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5.xml" ContentType="application/vnd.openxmlformats-officedocument.spreadsheetml.table+xml"/>
  <Override PartName="/xl/comments2.xml" ContentType="application/vnd.openxmlformats-officedocument.spreadsheetml.comments+xml"/>
  <Override PartName="/xl/tables/table16.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31ad876007e44d54" Type="http://schemas.microsoft.com/office/2007/relationships/ui/extensibility" Target="customUI/customUI14.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U:\04 - Calculations\Web\"/>
    </mc:Choice>
  </mc:AlternateContent>
  <xr:revisionPtr revIDLastSave="0" documentId="13_ncr:1_{D5781A55-C678-401C-8227-A1551D4C2BBF}" xr6:coauthVersionLast="47" xr6:coauthVersionMax="47" xr10:uidLastSave="{00000000-0000-0000-0000-000000000000}"/>
  <bookViews>
    <workbookView xWindow="-110" yWindow="-110" windowWidth="25180" windowHeight="16140" tabRatio="903" xr2:uid="{6B5D7554-9033-42A9-8888-0D6557FC5B0E}"/>
  </bookViews>
  <sheets>
    <sheet name="Instructions" sheetId="7" r:id="rId1"/>
    <sheet name="Dashboard" sheetId="3" r:id="rId2"/>
    <sheet name="Load Calc" sheetId="21" r:id="rId3"/>
    <sheet name="Utility Demand" sheetId="22" r:id="rId4"/>
    <sheet name="Logging Demand" sheetId="26" r:id="rId5"/>
    <sheet name="Generator" sheetId="23" state="hidden" r:id="rId6"/>
    <sheet name="UPS" sheetId="24" state="hidden" r:id="rId7"/>
    <sheet name="Transformers" sheetId="12" r:id="rId8"/>
    <sheet name="Feeder Schedule" sheetId="29" r:id="rId9"/>
    <sheet name="Short Circuit" sheetId="19" r:id="rId10"/>
    <sheet name="Voltage Drop" sheetId="18" r:id="rId11"/>
    <sheet name="Arc Flash" sheetId="25" r:id="rId12"/>
    <sheet name="Studies" sheetId="60" r:id="rId13"/>
    <sheet name="Report" sheetId="31" r:id="rId14"/>
    <sheet name="TPL_Switchboard" sheetId="15" r:id="rId15"/>
    <sheet name="TPL_MCC" sheetId="27" r:id="rId16"/>
    <sheet name="TPL_Panelboard" sheetId="28" r:id="rId17"/>
    <sheet name="NEC_Data" sheetId="2" r:id="rId18"/>
    <sheet name="Energy_Code_Data" sheetId="33" r:id="rId19"/>
  </sheets>
  <definedNames>
    <definedName name="AIC_List">NEC_Data!$Y$46:$Y$57</definedName>
    <definedName name="Ampacity_Al">NEC_Data!$BA$6:$BA$25</definedName>
    <definedName name="Ampacity_CM">NEC_Data!$BB$6:$BB$25</definedName>
    <definedName name="Ampacity_Cu">NEC_Data!$AZ$6:$AZ$25</definedName>
    <definedName name="Ampacity_Size">NEC_Data!$AY$6:$AY$25</definedName>
    <definedName name="ATS_List">NEC_Data!$DF$6:$DF$23</definedName>
    <definedName name="ATS_WCR">NEC_Data!$DG$6:$DG$23</definedName>
    <definedName name="Brace_List">NEC_Data!$DE$6:$DE$19</definedName>
    <definedName name="BranchAmpCol">Dashboard!$C$90</definedName>
    <definedName name="BranchCcol">Dashboard!$C$94</definedName>
    <definedName name="BranchCol60">NEC_Data!$AB$13</definedName>
    <definedName name="BranchK">Dashboard!$C$92</definedName>
    <definedName name="Bus_List">NEC_Data!$DD$6:$DD$22</definedName>
    <definedName name="Cfg_BranchMat">Dashboard!$C$47</definedName>
    <definedName name="Cfg_Class">Dashboard!$C$43</definedName>
    <definedName name="Cfg_Conduit">Dashboard!$C$50</definedName>
    <definedName name="Cfg_Energy_Code">'Load Calc'!$C$14</definedName>
    <definedName name="Cfg_FeederMat">Dashboard!$C$48</definedName>
    <definedName name="Cfg_LPD_Method">'Load Calc'!$C$15</definedName>
    <definedName name="Cfg_MaxNodes">NEC_Data!$CD$10</definedName>
    <definedName name="Cfg_MotorMult">NEC_Data!$CD$12</definedName>
    <definedName name="Cfg_MotorMultMCC">NEC_Data!$CD$13</definedName>
    <definedName name="Cfg_NEC">Dashboard!$B$14</definedName>
    <definedName name="Cfg_Phase">Dashboard!$C$40</definedName>
    <definedName name="Cfg_SCA">Dashboard!$C$72</definedName>
    <definedName name="Cfg_Temp">Dashboard!$C$49</definedName>
    <definedName name="Cfg_UtilFLA">Dashboard!$C$73</definedName>
    <definedName name="Cfg_UtilIscInf">Dashboard!$C$74</definedName>
    <definedName name="Cfg_UtilKVA">Dashboard!$C$67</definedName>
    <definedName name="Cfg_UtilPriV">Dashboard!$C$68</definedName>
    <definedName name="Cfg_UtilProvider">Dashboard!$C$65</definedName>
    <definedName name="Cfg_UtilTag">Dashboard!$C$64</definedName>
    <definedName name="Cfg_UtilXR">Dashboard!$C$71</definedName>
    <definedName name="Cfg_UtilZ">Dashboard!$C$70</definedName>
    <definedName name="Cfg_VDFeeder">NEC_Data!$CD$15</definedName>
    <definedName name="Cfg_VDTotal">NEC_Data!$CD$16</definedName>
    <definedName name="Cfg_VLN">Dashboard!$C$42</definedName>
    <definedName name="Cfg_Volt">Dashboard!$C$39</definedName>
    <definedName name="Class_List">NEC_Data!$K$46:$K$57</definedName>
    <definedName name="Class_Table">NEC_Data!$K$46:$N$57</definedName>
    <definedName name="Cond_Size">NEC_Data!$J$6:$J$28</definedName>
    <definedName name="Cond_Table">NEC_Data!$J$6:$U$28</definedName>
    <definedName name="EGC_Al">NEC_Data!$BE$6:$BE$22</definedName>
    <definedName name="EGC_Cu">NEC_Data!$BD$6:$BD$22</definedName>
    <definedName name="EGC_OCPD">NEC_Data!$BC$6:$BC$22</definedName>
    <definedName name="EGC_Table">NEC_Data!$W$6:$Y$24</definedName>
    <definedName name="Elev_DF">NEC_Data!$P$56:$Q$65</definedName>
    <definedName name="Equip_Demand">Dashboard!$F$101:$F$350</definedName>
    <definedName name="Equip_EmLen" comment="Feeder input written by the Distribution Map">Dashboard!$T$101:$T$350</definedName>
    <definedName name="Equip_FdrExist" comment="Feeder input written by the Distribution Map">Dashboard!$W$101:$W$350</definedName>
    <definedName name="Equip_FdrLen" comment="Feeder input written by the Distribution Map">Dashboard!$R$101:$R$350</definedName>
    <definedName name="Equip_FdrMat" comment="Feeder input written by the Distribution Map">Dashboard!$U$101:$U$350</definedName>
    <definedName name="Equip_FdrRace" comment="Feeder input written by the Distribution Map">Dashboard!$V$101:$V$350</definedName>
    <definedName name="Equip_FedFrom">Dashboard!$D$101:$D$350</definedName>
    <definedName name="Equip_List">Dashboard!$A$101:$A$350</definedName>
    <definedName name="Equip_Registry">Dashboard!$A$101:$J$350</definedName>
    <definedName name="Equip_Type">Dashboard!$B$101:$B$350</definedName>
    <definedName name="Equip_Volt">Dashboard!$C$101:$C$350</definedName>
    <definedName name="Equip_XfPriLen" comment="Feeder input written by the Distribution Map">Dashboard!$S$101:$S$350</definedName>
    <definedName name="Exist_LogBoard" comment="Board the 30-day logging session is placed on">IF(TRIM('Logging Demand'!$C$14&amp;"")&lt;&gt;"",TRIM('Logging Demand'!$C$14&amp;""),Exist_ServiceBoard)</definedName>
    <definedName name="Exist_ServiceBoard" comment="First registry board fed directly from a utility source - where a meter with no board chosen is placed">IFERROR(INDEX(_xlfn._xlws.FILTER(Dashboard!$A$101:$A$350,(Dashboard!$A$101:$A$350&lt;&gt;"")*((ISNUMBER(MATCH(Dashboard!$D$101:$D$350&amp;"",Util_TagList,0))+(Dashboard!$D$101:$D$350=""))&gt;0)),1),"")</definedName>
    <definedName name="FeederAmpCol">Dashboard!$C$91</definedName>
    <definedName name="FeederCcol">Dashboard!$C$95</definedName>
    <definedName name="FeederCol60">NEC_Data!$AB$14</definedName>
    <definedName name="FeederK">Dashboard!$C$93</definedName>
    <definedName name="Frame_List">NEC_Data!$AL$6:$AL$13</definedName>
    <definedName name="Gec_Al">NEC_Data!$BJ$6:$BJ$12</definedName>
    <definedName name="Gec_CM">NEC_Data!$BG$6:$BG$12</definedName>
    <definedName name="Gec_Cu">NEC_Data!$BI$6:$BI$12</definedName>
    <definedName name="Gen_kW_List">NEC_Data!$AA$45:$AA$70</definedName>
    <definedName name="Gen_SizeBasis" comment="ATS / generator sizing basis: Calculated Demand or Equipment Rating">Generator!$L$6</definedName>
    <definedName name="GEO_MAP" localSheetId="15">TPL_MCC!$BJ$1:$BO$42</definedName>
    <definedName name="GEO_MAP" localSheetId="16">TPL_Panelboard!$AS$1:$AX$42</definedName>
    <definedName name="GEO_MAP" localSheetId="14">TPL_Switchboard!$AS$1:$AX$42</definedName>
    <definedName name="K_Al">NEC_Data!$AB$7</definedName>
    <definedName name="K_Cu">NEC_Data!$AB$6</definedName>
    <definedName name="Kitchen_Table">NEC_Data!$P$47:$Q$51</definedName>
    <definedName name="LC_AdjustedDemand">'Load Calc'!$F$166</definedName>
    <definedName name="LC_ConnectedTotal">'Load Calc'!$E$163</definedName>
    <definedName name="LC_ContinuousAdder">'Load Calc'!$F$165</definedName>
    <definedName name="LC_DemandAmps">'Load Calc'!$F$167</definedName>
    <definedName name="LC_DemandTotal">'Load Calc'!$F$163</definedName>
    <definedName name="LC_DesignAmps">'Load Calc'!$F$170</definedName>
    <definedName name="LC_DesignLoad">'Load Calc'!$F$169</definedName>
    <definedName name="LC_DesignSpare">'Load Calc'!$E$168</definedName>
    <definedName name="LC_ExistingLoad125">'Load Calc'!$C$36</definedName>
    <definedName name="LC_ExistingSpare">'Load Calc'!$C$37</definedName>
    <definedName name="LC_GenByCategory">'Load Calc'!$E$178:$E$189</definedName>
    <definedName name="LC_GenTotal">'Load Calc'!$E$190</definedName>
    <definedName name="LC_MotorAdder">'Load Calc'!$F$164</definedName>
    <definedName name="LC_RemovedLoad">'Load Calc'!$C$38</definedName>
    <definedName name="LC_RenovationTotal">'Load Calc'!$F$172</definedName>
    <definedName name="LC_SectionState">'Load Calc'!$AA$8:$AD$18</definedName>
    <definedName name="LC_ServiceSize">'Load Calc'!$F$171</definedName>
    <definedName name="LC_TotalSF">'Load Calc'!$E$9</definedName>
    <definedName name="LC_UPSByCategory">'Load Calc'!$E$197:$E$208</definedName>
    <definedName name="LC_UPSTotal">'Load Calc'!$E$209</definedName>
    <definedName name="Light_Demand_kVA">NEC_Data!$AW$6:$AW$10</definedName>
    <definedName name="LPD_Active_List">_xlfn.ANCHORARRAY(Energy_Code_Data!$J$5)</definedName>
    <definedName name="LPD_BldgArea_List">Energy_Code_Data!$A$5:$A$36</definedName>
    <definedName name="LPD_BldgArea_Table">Energy_Code_Data!$A$5:$C$36</definedName>
    <definedName name="LPD_Space_List">Energy_Code_Data!$E$5:$E$122</definedName>
    <definedName name="LPD_Space_Table">Energy_Code_Data!$E$5:$G$122</definedName>
    <definedName name="Max_Cond_Pos" comment="Largest conductor the sizing engines may pick (750 kcmil); bigger loads go to parallel sets">MATCH("750",Cond_Size,0)</definedName>
    <definedName name="Min_Cond_Pos">NEC_Data!$AB$15</definedName>
    <definedName name="Motor1_HP">NEC_Data!$G$46:$G$54</definedName>
    <definedName name="Motor1_Table">NEC_Data!$G$46:$I$54</definedName>
    <definedName name="Motor3_HP">NEC_Data!$A$46:$A$72</definedName>
    <definedName name="Motor3_Table">NEC_Data!$A$46:$E$72</definedName>
    <definedName name="NEC_Ed">"NEC "&amp;IF(""&amp;Cfg_NEC="","2023",""&amp;Cfg_NEC)</definedName>
    <definedName name="NEC_ExistFactor" comment="NEC 220.87 existing-load multiplier: 125% of the maximum demand (same in the 2017, 2020, 2023 and 2026 cycles)">1.25</definedName>
    <definedName name="NEC_Ref2020">NEC_Data!$CY$3:$CY$45</definedName>
    <definedName name="NEC_Ref2023">NEC_Data!$CZ$3:$CZ$45</definedName>
    <definedName name="NEC_Ref2026">NEC_Data!$DA$3:$DA$45</definedName>
    <definedName name="NEC_RefKey">NEC_Data!$CX$3:$CX$45</definedName>
    <definedName name="NECREF">_xlfn.LAMBDA(_xlpm.s,_xlfn.LET(_xlpm.k,""&amp;_xlpm.s,_xlpm.e,IF(""&amp;Cfg_NEC="","2023",""&amp;Cfg_NEC),_xlpm.c,IF(_xlpm.e="2026",NEC_Ref2026,IF(_xlpm.e="2020",NEC_Ref2020,NEC_Ref2023)),_xlpm.r,_xlfn.XLOOKUP(_xlpm.k,NEC_RefKey,_xlpm.c,_xlpm.k),IF(""&amp;_xlpm.r="",_xlpm.k,""&amp;_xlpm.r)))</definedName>
    <definedName name="NEMA_120">NEC_Data!$AE$6:$AE$16</definedName>
    <definedName name="NEMA_208">NEC_Data!$AF$6:$AF$28</definedName>
    <definedName name="NEMA_240">NEC_Data!$AG$6:$AG$24</definedName>
    <definedName name="NEMA_277">NEC_Data!$AH$6:$AH$12</definedName>
    <definedName name="NEMA_480">NEC_Data!$AI$6:$AI$14</definedName>
    <definedName name="NEMA_600">NEC_Data!$AJ$6:$AJ$14</definedName>
    <definedName name="NEMA_Encl_List">NEC_Data!$AM$6:$AM$12</definedName>
    <definedName name="Occ_List">NEC_Data!$AP$6:$AP$10</definedName>
    <definedName name="OCPD_List">NEC_Data!$H$6:$H$42</definedName>
    <definedName name="Par_Min_Pos" comment="Smallest conductor allowed in parallel sets (NEC 310.10(G), 1/0)">MATCH("1/0",Cond_Size,0)</definedName>
    <definedName name="_xlnm.Print_Area" localSheetId="11">'Arc Flash'!$A$1:$Q$26</definedName>
    <definedName name="_xlnm.Print_Area" localSheetId="1">Dashboard!$A$1:$K$363</definedName>
    <definedName name="_xlnm.Print_Area" localSheetId="8">'Feeder Schedule'!$A$1:$W$104</definedName>
    <definedName name="_xlnm.Print_Area" localSheetId="5">Generator!$A$1:$T$58</definedName>
    <definedName name="_xlnm.Print_Area" localSheetId="2">'Load Calc'!$A$1:$X$210</definedName>
    <definedName name="_xlnm.Print_Area" localSheetId="4">'Logging Demand'!$A$1:$O$74</definedName>
    <definedName name="_xlnm.Print_Area" localSheetId="13">Report!$A$1:$E$49</definedName>
    <definedName name="_xlnm.Print_Area" localSheetId="9">'Short Circuit'!$A$1:$U$105,'Short Circuit'!$A$258:$U$262</definedName>
    <definedName name="_xlnm.Print_Area" localSheetId="12">Studies!$A$1:$U$105</definedName>
    <definedName name="_xlnm.Print_Area" localSheetId="15">TPL_MCC!$B$2:$AD$66</definedName>
    <definedName name="_xlnm.Print_Area" localSheetId="16">TPL_Panelboard!$B$2:$M$126</definedName>
    <definedName name="_xlnm.Print_Area" localSheetId="14">TPL_Switchboard!$B$2:$M$62</definedName>
    <definedName name="_xlnm.Print_Area" localSheetId="7">Transformers!$A$1:$V$105,Transformers!$A$108:$V$114</definedName>
    <definedName name="_xlnm.Print_Area" localSheetId="6">UPS!$A$1:$N$53</definedName>
    <definedName name="_xlnm.Print_Area" localSheetId="3">'Utility Demand'!$A$1:$O$68</definedName>
    <definedName name="_xlnm.Print_Area" localSheetId="10">'Voltage Drop'!$A$1:$L$105,'Voltage Drop'!$A$258:$L$260</definedName>
    <definedName name="_xlnm.Print_Titles" localSheetId="12">Studies!$1:$5</definedName>
    <definedName name="_xlnm.Print_Titles" localSheetId="7">Transformers!$1:$5</definedName>
    <definedName name="Race_Mag">NEC_Data!$K$32:$K$34</definedName>
    <definedName name="Race_Raceway">NEC_Data!$J$32:$J$34</definedName>
    <definedName name="Rcpt_Rem_DF">NEC_Data!$AQ$14</definedName>
    <definedName name="Rcpt_Thresh_VA">NEC_Data!$AQ$13</definedName>
    <definedName name="SQRT3">NEC_Data!$AB$10</definedName>
    <definedName name="Std_Al3_Code">NEC_Data!$CR$4:$CR$48</definedName>
    <definedName name="Std_Al3_Table">NEC_Data!$CR$4:$CV$48</definedName>
    <definedName name="Std_Cu1_Code">NEC_Data!$CL$4:$CL$42</definedName>
    <definedName name="Std_Cu1_Table">NEC_Data!$CL$4:$CP$42</definedName>
    <definedName name="Std_Cu3_Code">NEC_Data!$CF$4:$CF$68</definedName>
    <definedName name="Std_Cu3_Table">NEC_Data!$CF$4:$CJ$68</definedName>
    <definedName name="Supply_List">NEC_Data!$AN$6:$AN$7</definedName>
    <definedName name="Tie_BusA">Dashboard!$C$83:$C$86</definedName>
    <definedName name="Tie_BusB">Dashboard!$D$83:$D$86</definedName>
    <definedName name="Tie_Normal">Dashboard!$E$83:$E$86</definedName>
    <definedName name="Tie_Par">(Dashboard!$E$83:$E$86="N.C.")+((Dashboard!$F$83:$F$86&lt;&gt;"")*(Dashboard!$F$83:$F$86&lt;&gt;"Open transition"))&gt;0</definedName>
    <definedName name="Tie_SrcA">_xlfn.MAP(Dashboard!$C$83:$C$86,_xlfn.LAMBDA(_xlpm.b,_xlfn.LET(_xlpm.r,_xlfn.REDUCE(_xlpm.b&amp;"",_xlfn.SEQUENCE(12),_xlfn.LAMBDA(_xlpm.x,_xlpm.i,IF(OR(_xlpm.x="",ISNUMBER(MATCH(_xlpm.x,Util_TagList,0))),_xlpm.x,IFERROR(_xlfn.XLOOKUP(_xlpm.x,Equip_List,Equip_FedFrom)&amp;"","")))),IF(ISNUMBER(MATCH(_xlpm.r,Util_TagList,0)),_xlpm.r,""))))</definedName>
    <definedName name="Tie_SrcB">_xlfn.MAP(Dashboard!$D$83:$D$86,_xlfn.LAMBDA(_xlpm.b,_xlfn.LET(_xlpm.r,_xlfn.REDUCE(_xlpm.b&amp;"",_xlfn.SEQUENCE(12),_xlfn.LAMBDA(_xlpm.x,_xlpm.i,IF(OR(_xlpm.x="",ISNUMBER(MATCH(_xlpm.x,Util_TagList,0))),_xlpm.x,IFERROR(_xlfn.XLOOKUP(_xlpm.x,Equip_List,Equip_FedFrom)&amp;"","")))),IF(ISNUMBER(MATCH(_xlpm.r,Util_TagList,0)),_xlpm.r,""))))</definedName>
    <definedName name="Tie_Tags">Dashboard!$B$83:$B$86</definedName>
    <definedName name="Tie_Transfer">Dashboard!$F$83:$F$86</definedName>
    <definedName name="Tog_Gen">Dashboard!$C$58</definedName>
    <definedName name="Tog_SC">Dashboard!$C$57</definedName>
    <definedName name="Tog_UPS">Dashboard!$C$59</definedName>
    <definedName name="Tog_VD">Dashboard!$C$56</definedName>
    <definedName name="Tog_Wire">Dashboard!$C$55</definedName>
    <definedName name="TxEncl">NEC_Data!$BV$6:$BV$11</definedName>
    <definedName name="TxPh">NEC_Data!$BO$6:$BO$7</definedName>
    <definedName name="TxPriConn">NEC_Data!$BR$6:$BR$7</definedName>
    <definedName name="TxPriV">NEC_Data!$BP$6:$BP$14</definedName>
    <definedName name="TxSecConn">NEC_Data!$BS$6:$BS$9</definedName>
    <definedName name="TxSecV">NEC_Data!$BQ$6:$BQ$10</definedName>
    <definedName name="TxTaps">NEC_Data!$BU$6:$BU$9</definedName>
    <definedName name="TxType">NEC_Data!$BT$6:$BT$12</definedName>
    <definedName name="UD_MeterBlock" localSheetId="3">'Utility Demand'!$A$13:$O$31</definedName>
    <definedName name="UPS_kVA_List">NEC_Data!$AC$45:$AC$65</definedName>
    <definedName name="Util_IscInf">Dashboard!$C$74:$F$74</definedName>
    <definedName name="Util_KVA">Dashboard!$C$67:$F$67</definedName>
    <definedName name="Util_Owner">Dashboard!$C$66:$F$66</definedName>
    <definedName name="Util_PriV">Dashboard!$C$68:$F$68</definedName>
    <definedName name="Util_Provider">Dashboard!$C$65:$F$65</definedName>
    <definedName name="Util_SCA">Dashboard!$C$72:$F$72</definedName>
    <definedName name="Util_SCAEff">Dashboard!$C$75:$F$75</definedName>
    <definedName name="Util_SecV">Dashboard!$C$69:$F$69</definedName>
    <definedName name="Util_TagList">IFERROR(_xlfn.TOCOL(Dashboard!$C$64:$F$64,1),{"Utility Service"})</definedName>
    <definedName name="Util_Tags">Dashboard!$C$64:$F$64</definedName>
    <definedName name="Util_XR">Dashboard!$C$71:$F$71</definedName>
    <definedName name="Util_Z">Dashboard!$C$70:$F$70</definedName>
    <definedName name="VD_Branch">NEC_Data!$AB$8</definedName>
    <definedName name="VD_Total">NEC_Data!$AB$9</definedName>
    <definedName name="Volt_Sys">NEC_Data!$A$6:$A$24</definedName>
    <definedName name="Volt_Table">NEC_Data!$A$6:$F$24</definedName>
    <definedName name="Xfmr_BaseV">NEC_Data!$BY$4:$BY$12</definedName>
    <definedName name="Xfmr_Conn">NEC_Data!$CA$4:$CA$12</definedName>
    <definedName name="Xfmr_DefEncl">NEC_Data!$CD$5</definedName>
    <definedName name="Xfmr_DefTaps">NEC_Data!$CD$4</definedName>
    <definedName name="Xfmr_DefType">NEC_Data!$CD$3</definedName>
    <definedName name="Xfmr_DefXR">NEC_Data!$CD$7</definedName>
    <definedName name="Xfmr_DefZ">NEC_Data!$CD$6</definedName>
    <definedName name="Xfmr_Inrush">NEC_Data!$CD$8</definedName>
    <definedName name="Xfmr_LNV">NEC_Data!$CB$4:$CB$12</definedName>
    <definedName name="Xfmr_Ph">NEC_Data!$BZ$4:$BZ$12</definedName>
    <definedName name="Xfmr_VoltStr">NEC_Data!$BX$4:$BX$12</definedName>
    <definedName name="Xfmr1_kVA">NEC_Data!$W$46:$W$55</definedName>
    <definedName name="Xfmr3_kVA">NEC_Data!$S$46:$S$59</definedName>
    <definedName name="XR_kVA">NEC_Data!$BL$6:$BL$19</definedName>
    <definedName name="XR_Typ">NEC_Data!$BM$6:$BM$19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52" i="27" l="1"/>
  <c r="B51" i="27"/>
  <c r="B50" i="27"/>
  <c r="B49" i="27"/>
  <c r="B48" i="27"/>
  <c r="B47" i="27"/>
  <c r="B46" i="27"/>
  <c r="B45" i="27"/>
  <c r="B44" i="27"/>
  <c r="B43" i="27"/>
  <c r="B42" i="27"/>
  <c r="B41" i="27"/>
  <c r="B40" i="27"/>
  <c r="B39" i="27"/>
  <c r="B38" i="27"/>
  <c r="B37" i="27"/>
  <c r="B36" i="27"/>
  <c r="B35" i="27"/>
  <c r="B34" i="27"/>
  <c r="B33" i="27"/>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48" i="15"/>
  <c r="B47" i="15"/>
  <c r="B46" i="15"/>
  <c r="B45" i="15"/>
  <c r="B44" i="15"/>
  <c r="B43" i="15"/>
  <c r="B42" i="15"/>
  <c r="B41" i="15"/>
  <c r="B40" i="15"/>
  <c r="B39" i="15"/>
  <c r="B38" i="15"/>
  <c r="B37" i="15"/>
  <c r="B36" i="15"/>
  <c r="B35" i="15"/>
  <c r="B34" i="15"/>
  <c r="B33" i="15"/>
  <c r="B32" i="15"/>
  <c r="B31" i="15"/>
  <c r="B30" i="15"/>
  <c r="B29" i="15"/>
  <c r="BE4" i="29" a="1"/>
  <c r="M69" i="23"/>
  <c r="N69" i="23" s="1"/>
  <c r="M68" i="23"/>
  <c r="N68" i="23" s="1"/>
  <c r="M67" i="23"/>
  <c r="N67" i="23" s="1"/>
  <c r="M66" i="23"/>
  <c r="N66" i="23" s="1"/>
  <c r="M65" i="23"/>
  <c r="N65" i="23" s="1"/>
  <c r="M64" i="23"/>
  <c r="N64" i="23" s="1"/>
  <c r="M63" i="23"/>
  <c r="N63" i="23" s="1"/>
  <c r="K69" i="23"/>
  <c r="K68" i="23"/>
  <c r="K67" i="23"/>
  <c r="K66" i="23"/>
  <c r="K65" i="23"/>
  <c r="K64" i="23"/>
  <c r="K63" i="23"/>
  <c r="K15" i="27" a="1"/>
  <c r="J15" i="27" a="1"/>
  <c r="K15" i="28" a="1"/>
  <c r="J15" i="28" a="1"/>
  <c r="K15" i="15" a="1"/>
  <c r="J15" i="15" a="1"/>
  <c r="D14" i="26" a="1"/>
  <c r="O31" i="22" a="1"/>
  <c r="H13" i="27"/>
  <c r="H13" i="28"/>
  <c r="H13" i="15"/>
  <c r="F57" i="24"/>
  <c r="G57" i="24"/>
  <c r="H57" i="24"/>
  <c r="I57" i="24"/>
  <c r="J57" i="24"/>
  <c r="L57" i="24"/>
  <c r="W57" i="24"/>
  <c r="X57" i="24"/>
  <c r="F58" i="24"/>
  <c r="G58" i="24"/>
  <c r="H58" i="24"/>
  <c r="I58" i="24"/>
  <c r="J58" i="24"/>
  <c r="L58" i="24"/>
  <c r="W58" i="24"/>
  <c r="X58" i="24"/>
  <c r="F59" i="24"/>
  <c r="G59" i="24"/>
  <c r="H59" i="24"/>
  <c r="I59" i="24"/>
  <c r="J59" i="24"/>
  <c r="L59" i="24"/>
  <c r="W59" i="24"/>
  <c r="X59" i="24"/>
  <c r="F60" i="24"/>
  <c r="G60" i="24"/>
  <c r="H60" i="24"/>
  <c r="I60" i="24"/>
  <c r="J60" i="24"/>
  <c r="L60" i="24"/>
  <c r="W60" i="24"/>
  <c r="X60" i="24"/>
  <c r="F61" i="24"/>
  <c r="G61" i="24"/>
  <c r="H61" i="24"/>
  <c r="I61" i="24"/>
  <c r="J61" i="24"/>
  <c r="L61" i="24"/>
  <c r="M61" i="24" s="1"/>
  <c r="P61" i="24"/>
  <c r="Q61" i="24" s="1"/>
  <c r="R61" i="24" s="1"/>
  <c r="W61" i="24"/>
  <c r="X61" i="24"/>
  <c r="F62" i="24"/>
  <c r="G62" i="24"/>
  <c r="H62" i="24"/>
  <c r="I62" i="24"/>
  <c r="J62" i="24"/>
  <c r="L62" i="24"/>
  <c r="M62" i="24"/>
  <c r="P62" i="24"/>
  <c r="Q62" i="24"/>
  <c r="R62" i="24"/>
  <c r="S62" i="24"/>
  <c r="U62" i="24"/>
  <c r="W62" i="24"/>
  <c r="X62" i="24"/>
  <c r="F63" i="24"/>
  <c r="G63" i="24"/>
  <c r="H63" i="24"/>
  <c r="I63" i="24"/>
  <c r="J63" i="24"/>
  <c r="L63" i="24"/>
  <c r="P63" i="24" s="1"/>
  <c r="Q63" i="24" s="1"/>
  <c r="R63" i="24" s="1"/>
  <c r="M63" i="24"/>
  <c r="W63" i="24"/>
  <c r="X63" i="24"/>
  <c r="F64" i="24"/>
  <c r="G64" i="24"/>
  <c r="H64" i="24"/>
  <c r="I64" i="24"/>
  <c r="J64" i="24"/>
  <c r="L64" i="24"/>
  <c r="M64" i="24"/>
  <c r="P64" i="24"/>
  <c r="Q64" i="24"/>
  <c r="R64" i="24" s="1"/>
  <c r="S64" i="24"/>
  <c r="U64" i="24"/>
  <c r="W64" i="24"/>
  <c r="X64" i="24"/>
  <c r="H48" i="24"/>
  <c r="M48" i="24" a="1"/>
  <c r="C42" i="24" s="1"/>
  <c r="G49" i="24" a="1"/>
  <c r="H49" i="24"/>
  <c r="M49" i="24" a="1"/>
  <c r="G50" i="24" a="1"/>
  <c r="H50" i="24"/>
  <c r="M50" i="24" a="1"/>
  <c r="G51" i="24" a="1"/>
  <c r="H51" i="24"/>
  <c r="I51" i="24"/>
  <c r="M51" i="24" a="1"/>
  <c r="G52" i="24" a="1"/>
  <c r="H52" i="24"/>
  <c r="I52" i="24"/>
  <c r="M52" i="24" a="1"/>
  <c r="G53" i="24" a="1"/>
  <c r="H53" i="24"/>
  <c r="M53" i="24" a="1"/>
  <c r="J62" i="23"/>
  <c r="K62" i="23" s="1"/>
  <c r="J63" i="23"/>
  <c r="L63" i="23"/>
  <c r="P63" i="23"/>
  <c r="Q63" i="23"/>
  <c r="S63" i="23"/>
  <c r="T63" i="23"/>
  <c r="J64" i="23"/>
  <c r="L64" i="23"/>
  <c r="P64" i="23"/>
  <c r="Q64" i="23" s="1"/>
  <c r="S64" i="23"/>
  <c r="T64" i="23"/>
  <c r="U64" i="23"/>
  <c r="J65" i="23"/>
  <c r="L65" i="23"/>
  <c r="P65" i="23"/>
  <c r="Q65" i="23" s="1"/>
  <c r="S65" i="23"/>
  <c r="T65" i="23"/>
  <c r="J66" i="23"/>
  <c r="L66" i="23"/>
  <c r="P66" i="23"/>
  <c r="Q66" i="23"/>
  <c r="S66" i="23"/>
  <c r="T66" i="23"/>
  <c r="U66" i="23" s="1"/>
  <c r="J67" i="23"/>
  <c r="L67" i="23"/>
  <c r="P67" i="23"/>
  <c r="Q67" i="23" s="1"/>
  <c r="S67" i="23"/>
  <c r="T67" i="23"/>
  <c r="U67" i="23"/>
  <c r="J68" i="23"/>
  <c r="L68" i="23"/>
  <c r="P68" i="23"/>
  <c r="Q68" i="23" s="1"/>
  <c r="S68" i="23"/>
  <c r="T68" i="23"/>
  <c r="U68" i="23" s="1"/>
  <c r="J69" i="23"/>
  <c r="L69" i="23"/>
  <c r="P69" i="23"/>
  <c r="Q69" i="23" s="1"/>
  <c r="S69" i="23"/>
  <c r="T69" i="23"/>
  <c r="U69" i="23" s="1"/>
  <c r="I53" i="23"/>
  <c r="L53" i="23"/>
  <c r="Q53" i="23"/>
  <c r="H54" i="23" a="1"/>
  <c r="I54" i="23"/>
  <c r="J54" i="23"/>
  <c r="K54" i="23"/>
  <c r="L54" i="23"/>
  <c r="Q54" i="23"/>
  <c r="H55" i="23" a="1"/>
  <c r="I55" i="23"/>
  <c r="K55" i="23"/>
  <c r="L55" i="23"/>
  <c r="Q55" i="23"/>
  <c r="H56" i="23" a="1"/>
  <c r="I56" i="23"/>
  <c r="J56" i="23" s="1"/>
  <c r="K56" i="23"/>
  <c r="L56" i="23"/>
  <c r="Q56" i="23"/>
  <c r="H57" i="23" a="1"/>
  <c r="I57" i="23"/>
  <c r="K57" i="23"/>
  <c r="L57" i="23"/>
  <c r="Q57" i="23"/>
  <c r="H58" i="23" a="1"/>
  <c r="I58" i="23"/>
  <c r="K58" i="23"/>
  <c r="L58" i="23"/>
  <c r="Q58" i="2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E181" i="21"/>
  <c r="E184" i="21"/>
  <c r="C16" i="23" s="1" a="1"/>
  <c r="E185" i="21"/>
  <c r="C17" i="23" s="1" a="1"/>
  <c r="E186" i="21"/>
  <c r="C18" i="23" s="1" a="1"/>
  <c r="E188" i="21"/>
  <c r="E189" i="21"/>
  <c r="F196" i="21"/>
  <c r="G196" i="21"/>
  <c r="H196" i="21"/>
  <c r="I196" i="21"/>
  <c r="J196" i="21"/>
  <c r="J198" i="21" s="1"/>
  <c r="K196" i="21"/>
  <c r="F197" i="21"/>
  <c r="G197" i="21"/>
  <c r="H197" i="21"/>
  <c r="I197" i="21"/>
  <c r="E200" i="21"/>
  <c r="E203" i="21"/>
  <c r="C16" i="24" s="1" a="1"/>
  <c r="E204" i="21"/>
  <c r="C17" i="24" s="1" a="1"/>
  <c r="E205" i="21"/>
  <c r="C18" i="24" s="1" a="1"/>
  <c r="E207" i="21"/>
  <c r="E208" i="21"/>
  <c r="C21" i="24" s="1" a="1"/>
  <c r="C134" i="21" a="1"/>
  <c r="D134" i="21" a="1"/>
  <c r="E134" i="21" a="1"/>
  <c r="C135" i="21" a="1"/>
  <c r="D135" i="21" a="1"/>
  <c r="E135" i="21" a="1"/>
  <c r="C136" i="21" a="1"/>
  <c r="D136" i="21" a="1"/>
  <c r="E136" i="21" a="1"/>
  <c r="C137" i="21" a="1"/>
  <c r="D137" i="21" a="1"/>
  <c r="E137" i="21" a="1"/>
  <c r="C138" i="21" a="1"/>
  <c r="D138" i="21" a="1"/>
  <c r="E138" i="21" a="1"/>
  <c r="C139" i="21" a="1"/>
  <c r="D139" i="21" a="1"/>
  <c r="E139" i="21" a="1"/>
  <c r="C140" i="21" a="1"/>
  <c r="D140" i="21" a="1"/>
  <c r="E140" i="21" a="1"/>
  <c r="A146" i="21" a="1"/>
  <c r="E154" i="21"/>
  <c r="F154" i="21"/>
  <c r="E157" i="21"/>
  <c r="F157" i="21"/>
  <c r="E158" i="21"/>
  <c r="F158" i="21"/>
  <c r="E159" i="21"/>
  <c r="F159" i="21"/>
  <c r="E161" i="21"/>
  <c r="F161" i="21"/>
  <c r="E162" i="21"/>
  <c r="F162" i="21"/>
  <c r="D164" i="21" a="1"/>
  <c r="F164" i="21"/>
  <c r="D165" i="21" a="1"/>
  <c r="F165" i="21"/>
  <c r="D171" i="21" a="1"/>
  <c r="D172" i="21" a="1"/>
  <c r="F177" i="21"/>
  <c r="G177" i="21"/>
  <c r="H177" i="21"/>
  <c r="I177" i="21"/>
  <c r="J177" i="21"/>
  <c r="K177" i="21"/>
  <c r="A90" i="21" a="1"/>
  <c r="O93" i="21" a="1"/>
  <c r="P93" i="21" s="1"/>
  <c r="O95" i="21" s="1"/>
  <c r="P95" i="21" s="1"/>
  <c r="X93" i="21"/>
  <c r="A97" i="21" a="1"/>
  <c r="O100" i="21" a="1"/>
  <c r="P100" i="21" s="1"/>
  <c r="O102" i="21" s="1"/>
  <c r="P102" i="21" s="1"/>
  <c r="X100" i="21"/>
  <c r="O107" i="21" a="1"/>
  <c r="X107" i="21"/>
  <c r="O114" i="21" a="1"/>
  <c r="P114" i="21" s="1"/>
  <c r="O116" i="21" s="1"/>
  <c r="P116" i="21" s="1"/>
  <c r="X114" i="21"/>
  <c r="O121" i="21" a="1"/>
  <c r="P121" i="21" s="1"/>
  <c r="O123" i="21" s="1"/>
  <c r="P123" i="21" s="1"/>
  <c r="X121" i="21"/>
  <c r="C129" i="21" a="1"/>
  <c r="D129" i="21" a="1"/>
  <c r="E129" i="21" a="1"/>
  <c r="C130" i="21" a="1"/>
  <c r="D130" i="21" a="1"/>
  <c r="E130" i="21" a="1"/>
  <c r="C131" i="21" a="1"/>
  <c r="D131" i="21" a="1"/>
  <c r="E131" i="21" a="1"/>
  <c r="C132" i="21" a="1"/>
  <c r="D132" i="21" a="1"/>
  <c r="E132" i="21" a="1"/>
  <c r="C133" i="21" a="1"/>
  <c r="D133" i="21" a="1"/>
  <c r="E133" i="21" a="1"/>
  <c r="O51" i="21" a="1"/>
  <c r="P51" i="21" s="1"/>
  <c r="X51" i="21"/>
  <c r="AG8" i="21" s="1"/>
  <c r="O58" i="21" a="1"/>
  <c r="P58" i="21" s="1"/>
  <c r="X58" i="21"/>
  <c r="O65" i="21" a="1"/>
  <c r="P65" i="21" s="1"/>
  <c r="O67" i="21" s="1"/>
  <c r="P67" i="21" s="1"/>
  <c r="X65" i="21"/>
  <c r="O72" i="21" a="1"/>
  <c r="X72" i="21"/>
  <c r="O79" i="21" a="1"/>
  <c r="P79" i="21" s="1"/>
  <c r="X79" i="21"/>
  <c r="A83" i="21" a="1"/>
  <c r="O86" i="21" a="1"/>
  <c r="P86" i="21" s="1"/>
  <c r="O88" i="21" s="1"/>
  <c r="X86" i="21"/>
  <c r="G88" i="21"/>
  <c r="C2" i="21"/>
  <c r="I2" i="21"/>
  <c r="O2" i="21"/>
  <c r="E8" i="21"/>
  <c r="F8" i="21"/>
  <c r="AE8" i="21"/>
  <c r="AF8" i="21"/>
  <c r="AE9" i="21"/>
  <c r="AF9" i="21"/>
  <c r="AD10" i="21"/>
  <c r="AE10" i="21"/>
  <c r="AF10" i="21"/>
  <c r="AG10" i="21"/>
  <c r="AH10" i="21"/>
  <c r="A11" i="21"/>
  <c r="AE12" i="21"/>
  <c r="AF12" i="21"/>
  <c r="AD13" i="21"/>
  <c r="AE13" i="21"/>
  <c r="AF13" i="21"/>
  <c r="AG13" i="21"/>
  <c r="AH13" i="21"/>
  <c r="AD14" i="21"/>
  <c r="AE14" i="21"/>
  <c r="AF14" i="21"/>
  <c r="AG14" i="21"/>
  <c r="AH14" i="21"/>
  <c r="AD15" i="21"/>
  <c r="AG15" i="21"/>
  <c r="AH15" i="21"/>
  <c r="AD17" i="21"/>
  <c r="AG17" i="21"/>
  <c r="AH17" i="21"/>
  <c r="AD18" i="21"/>
  <c r="AG18" i="21"/>
  <c r="AH18" i="21"/>
  <c r="B27" i="21"/>
  <c r="A31" i="21" a="1"/>
  <c r="F34" i="21" a="1"/>
  <c r="B36" i="21" a="1"/>
  <c r="B38" i="21" a="1"/>
  <c r="B39" i="21" a="1"/>
  <c r="O44" i="21" a="1"/>
  <c r="P44" i="21" s="1"/>
  <c r="X44" i="21"/>
  <c r="C2" i="25"/>
  <c r="E24" i="25" a="1"/>
  <c r="O110" i="12" a="1"/>
  <c r="P110" i="12" a="1"/>
  <c r="O4" i="12" a="1"/>
  <c r="P4" i="12" a="1"/>
  <c r="AV4" i="12" a="1"/>
  <c r="AW4" i="12" a="1"/>
  <c r="C2" i="24"/>
  <c r="H2" i="24"/>
  <c r="E27" i="24"/>
  <c r="E28" i="24"/>
  <c r="E29" i="24"/>
  <c r="E30" i="24"/>
  <c r="E31" i="24"/>
  <c r="E32" i="24"/>
  <c r="E33" i="24"/>
  <c r="E34" i="24"/>
  <c r="C2" i="23"/>
  <c r="H2" i="23"/>
  <c r="G27" i="23"/>
  <c r="H27" i="23" s="1"/>
  <c r="J27" i="23" s="1" a="1"/>
  <c r="G28" i="23"/>
  <c r="H28" i="23" s="1"/>
  <c r="J28" i="23" s="1" a="1"/>
  <c r="G29" i="23"/>
  <c r="H29" i="23" s="1"/>
  <c r="J29" i="23" s="1" a="1"/>
  <c r="G30" i="23"/>
  <c r="H30" i="23" s="1"/>
  <c r="J30" i="23" s="1" a="1"/>
  <c r="G31" i="23"/>
  <c r="H31" i="23" s="1"/>
  <c r="J31" i="23" s="1" a="1"/>
  <c r="G32" i="23"/>
  <c r="H32" i="23" s="1"/>
  <c r="J32" i="23" s="1" a="1"/>
  <c r="G33" i="23"/>
  <c r="H33" i="23" s="1"/>
  <c r="J33" i="23" s="1" a="1"/>
  <c r="G34" i="23"/>
  <c r="H34" i="23" s="1"/>
  <c r="J34" i="23" s="1" a="1"/>
  <c r="G35" i="23"/>
  <c r="H35" i="23" s="1"/>
  <c r="J35" i="23" s="1" a="1"/>
  <c r="G36" i="23"/>
  <c r="H36" i="23" s="1"/>
  <c r="J36" i="23" s="1" a="1"/>
  <c r="A359" i="3" a="1"/>
  <c r="F8" i="3" a="1"/>
  <c r="F9" i="3" a="1"/>
  <c r="G12" i="3"/>
  <c r="H12" i="3"/>
  <c r="C22" i="3" a="1"/>
  <c r="C23" i="3" a="1"/>
  <c r="C24" i="3" a="1"/>
  <c r="C25" i="3" a="1"/>
  <c r="C26" i="3" a="1"/>
  <c r="C27" i="3" a="1"/>
  <c r="C28" i="3" a="1"/>
  <c r="C30" i="3" a="1"/>
  <c r="C31" i="3" a="1"/>
  <c r="C39" i="3"/>
  <c r="C40" i="3"/>
  <c r="C41" i="3"/>
  <c r="C42" i="3"/>
  <c r="C43" i="3"/>
  <c r="C75" i="3" a="1"/>
  <c r="D75" i="3" a="1"/>
  <c r="E75" i="3" a="1"/>
  <c r="F75" i="3" a="1"/>
  <c r="C76" i="3"/>
  <c r="D76" i="3"/>
  <c r="E76" i="3"/>
  <c r="F76" i="3"/>
  <c r="D77" i="3"/>
  <c r="E77" i="3"/>
  <c r="F77" i="3"/>
  <c r="B78" i="3" a="1"/>
  <c r="C78" i="3" a="1"/>
  <c r="G83" i="3" a="1"/>
  <c r="H83" i="3" a="1"/>
  <c r="I83" i="3" a="1"/>
  <c r="J83" i="3"/>
  <c r="G84" i="3" a="1"/>
  <c r="H84" i="3" a="1"/>
  <c r="I84" i="3" a="1"/>
  <c r="J84" i="3"/>
  <c r="G85" i="3" a="1"/>
  <c r="H85" i="3" a="1"/>
  <c r="I85" i="3" a="1"/>
  <c r="J85" i="3"/>
  <c r="G86" i="3" a="1"/>
  <c r="H86" i="3" a="1"/>
  <c r="I86" i="3" a="1"/>
  <c r="J86" i="3"/>
  <c r="C90" i="3"/>
  <c r="C91" i="3"/>
  <c r="C92" i="3"/>
  <c r="C93" i="3"/>
  <c r="C96" i="3"/>
  <c r="C502" i="3"/>
  <c r="C503" i="3"/>
  <c r="C504" i="3"/>
  <c r="C505" i="3"/>
  <c r="C506" i="3"/>
  <c r="C507" i="3"/>
  <c r="G507" i="3" s="1"/>
  <c r="C508" i="3"/>
  <c r="C509" i="3"/>
  <c r="C510" i="3"/>
  <c r="C511" i="3"/>
  <c r="C512" i="3"/>
  <c r="C513" i="3"/>
  <c r="C514" i="3"/>
  <c r="C515" i="3"/>
  <c r="C516" i="3"/>
  <c r="G516" i="3" s="1"/>
  <c r="C517" i="3"/>
  <c r="C518" i="3"/>
  <c r="C519" i="3"/>
  <c r="F519" i="3" s="1"/>
  <c r="C520" i="3"/>
  <c r="C521" i="3"/>
  <c r="C522" i="3"/>
  <c r="C523" i="3"/>
  <c r="C524" i="3"/>
  <c r="G524" i="3" s="1"/>
  <c r="C525" i="3"/>
  <c r="C526" i="3"/>
  <c r="C527" i="3"/>
  <c r="C528" i="3"/>
  <c r="C529" i="3"/>
  <c r="C530" i="3"/>
  <c r="C531" i="3"/>
  <c r="C532" i="3"/>
  <c r="C533" i="3"/>
  <c r="C534" i="3"/>
  <c r="G534" i="3" s="1"/>
  <c r="C535" i="3"/>
  <c r="C536" i="3"/>
  <c r="C537" i="3"/>
  <c r="C538" i="3"/>
  <c r="C539" i="3"/>
  <c r="C540" i="3"/>
  <c r="C541" i="3"/>
  <c r="C542" i="3"/>
  <c r="C543" i="3"/>
  <c r="C544" i="3"/>
  <c r="C545" i="3"/>
  <c r="C546" i="3"/>
  <c r="C547" i="3"/>
  <c r="C548" i="3"/>
  <c r="C549" i="3"/>
  <c r="C550" i="3"/>
  <c r="C551" i="3"/>
  <c r="C552" i="3"/>
  <c r="C553" i="3"/>
  <c r="C554" i="3"/>
  <c r="G554" i="3" s="1"/>
  <c r="C555" i="3"/>
  <c r="C556" i="3"/>
  <c r="C557" i="3"/>
  <c r="C558" i="3"/>
  <c r="C559" i="3"/>
  <c r="C560" i="3"/>
  <c r="G560" i="3" s="1"/>
  <c r="C561" i="3"/>
  <c r="C562" i="3"/>
  <c r="C563" i="3"/>
  <c r="C564" i="3"/>
  <c r="C565" i="3"/>
  <c r="C566" i="3"/>
  <c r="C567" i="3"/>
  <c r="C568" i="3"/>
  <c r="C569" i="3"/>
  <c r="G569" i="3" s="1"/>
  <c r="C570" i="3"/>
  <c r="C571" i="3"/>
  <c r="C572" i="3"/>
  <c r="C573" i="3"/>
  <c r="C574" i="3"/>
  <c r="C575" i="3"/>
  <c r="C576" i="3"/>
  <c r="G576" i="3" s="1"/>
  <c r="C577" i="3"/>
  <c r="C578" i="3"/>
  <c r="C579" i="3"/>
  <c r="C580" i="3"/>
  <c r="G580" i="3" s="1"/>
  <c r="C581" i="3"/>
  <c r="C582" i="3"/>
  <c r="C583" i="3"/>
  <c r="C584" i="3"/>
  <c r="C585" i="3"/>
  <c r="G585" i="3" s="1"/>
  <c r="C586" i="3"/>
  <c r="C587" i="3"/>
  <c r="C588" i="3"/>
  <c r="C589" i="3"/>
  <c r="C590" i="3"/>
  <c r="G590" i="3" s="1"/>
  <c r="C591" i="3"/>
  <c r="C592" i="3"/>
  <c r="C593" i="3"/>
  <c r="C594" i="3"/>
  <c r="C595" i="3"/>
  <c r="C596" i="3"/>
  <c r="C597" i="3"/>
  <c r="C598" i="3"/>
  <c r="C599" i="3"/>
  <c r="G599" i="3" s="1"/>
  <c r="C600" i="3"/>
  <c r="C601" i="3"/>
  <c r="C602" i="3"/>
  <c r="G602" i="3" s="1"/>
  <c r="C603" i="3"/>
  <c r="C604" i="3"/>
  <c r="C605" i="3"/>
  <c r="C606" i="3"/>
  <c r="C607" i="3"/>
  <c r="C608" i="3"/>
  <c r="G608" i="3" s="1"/>
  <c r="C377" i="3"/>
  <c r="C378" i="3"/>
  <c r="C379" i="3"/>
  <c r="F379" i="3" s="1"/>
  <c r="C380" i="3"/>
  <c r="G380" i="3" s="1"/>
  <c r="C381" i="3"/>
  <c r="C382" i="3"/>
  <c r="C383" i="3"/>
  <c r="G383" i="3" s="1"/>
  <c r="C384" i="3"/>
  <c r="C385" i="3"/>
  <c r="C386" i="3"/>
  <c r="C387" i="3"/>
  <c r="C388" i="3"/>
  <c r="G388" i="3" s="1"/>
  <c r="C389" i="3"/>
  <c r="C390" i="3"/>
  <c r="G390" i="3" s="1"/>
  <c r="C391" i="3"/>
  <c r="C392" i="3"/>
  <c r="G392" i="3" s="1"/>
  <c r="C393" i="3"/>
  <c r="C394" i="3"/>
  <c r="C395" i="3"/>
  <c r="G395" i="3" s="1"/>
  <c r="C396" i="3"/>
  <c r="C397" i="3"/>
  <c r="G397" i="3" s="1"/>
  <c r="C398" i="3"/>
  <c r="C399" i="3"/>
  <c r="C400" i="3"/>
  <c r="C401" i="3"/>
  <c r="C402" i="3"/>
  <c r="C403" i="3"/>
  <c r="C404" i="3"/>
  <c r="G404" i="3" s="1"/>
  <c r="C405" i="3"/>
  <c r="C406" i="3"/>
  <c r="G406" i="3" s="1"/>
  <c r="C407" i="3"/>
  <c r="G407" i="3" s="1"/>
  <c r="C408" i="3"/>
  <c r="C409" i="3"/>
  <c r="C410" i="3"/>
  <c r="C411" i="3"/>
  <c r="C412" i="3"/>
  <c r="C413" i="3"/>
  <c r="G413" i="3" s="1"/>
  <c r="C414" i="3"/>
  <c r="G414" i="3" s="1"/>
  <c r="C415" i="3"/>
  <c r="C416" i="3"/>
  <c r="C417" i="3"/>
  <c r="C418" i="3"/>
  <c r="G418" i="3" s="1"/>
  <c r="C419" i="3"/>
  <c r="C420" i="3"/>
  <c r="C421" i="3"/>
  <c r="F421" i="3" s="1"/>
  <c r="C422" i="3"/>
  <c r="G422" i="3" s="1"/>
  <c r="C423" i="3"/>
  <c r="F423" i="3" s="1"/>
  <c r="C424" i="3"/>
  <c r="C425" i="3"/>
  <c r="C426" i="3"/>
  <c r="G426" i="3" s="1"/>
  <c r="C427" i="3"/>
  <c r="C428" i="3"/>
  <c r="C429" i="3"/>
  <c r="G429" i="3" s="1"/>
  <c r="C430" i="3"/>
  <c r="C431" i="3"/>
  <c r="C432" i="3"/>
  <c r="C433" i="3"/>
  <c r="C434" i="3"/>
  <c r="C435" i="3"/>
  <c r="C436" i="3"/>
  <c r="C437" i="3"/>
  <c r="C438" i="3"/>
  <c r="G438" i="3" s="1"/>
  <c r="C439" i="3"/>
  <c r="C440" i="3"/>
  <c r="C441" i="3"/>
  <c r="C442" i="3"/>
  <c r="C443" i="3"/>
  <c r="G443" i="3" s="1"/>
  <c r="C444" i="3"/>
  <c r="C445" i="3"/>
  <c r="G445" i="3" s="1"/>
  <c r="C446" i="3"/>
  <c r="C447" i="3"/>
  <c r="C448" i="3"/>
  <c r="C449" i="3"/>
  <c r="C450" i="3"/>
  <c r="C451" i="3"/>
  <c r="C452" i="3"/>
  <c r="C453" i="3"/>
  <c r="C454" i="3"/>
  <c r="G454" i="3" s="1"/>
  <c r="C455" i="3"/>
  <c r="G455" i="3" s="1"/>
  <c r="C456" i="3"/>
  <c r="C457" i="3"/>
  <c r="G457" i="3" s="1"/>
  <c r="C458" i="3"/>
  <c r="C459" i="3"/>
  <c r="C460" i="3"/>
  <c r="C461" i="3"/>
  <c r="C462" i="3"/>
  <c r="C463" i="3"/>
  <c r="C464" i="3"/>
  <c r="C465" i="3"/>
  <c r="G465" i="3" s="1"/>
  <c r="C466" i="3"/>
  <c r="G466" i="3" s="1"/>
  <c r="C467" i="3"/>
  <c r="C468" i="3"/>
  <c r="C469" i="3"/>
  <c r="G469" i="3" s="1"/>
  <c r="C470" i="3"/>
  <c r="C471" i="3"/>
  <c r="C472" i="3"/>
  <c r="G472" i="3" s="1"/>
  <c r="C473" i="3"/>
  <c r="C474" i="3"/>
  <c r="F474" i="3" s="1"/>
  <c r="C475" i="3"/>
  <c r="G475" i="3" s="1"/>
  <c r="C476" i="3"/>
  <c r="C477" i="3"/>
  <c r="C478" i="3"/>
  <c r="C479" i="3"/>
  <c r="C480" i="3"/>
  <c r="G480" i="3" s="1"/>
  <c r="C481" i="3"/>
  <c r="C482" i="3"/>
  <c r="C483" i="3"/>
  <c r="C484" i="3"/>
  <c r="C485" i="3"/>
  <c r="C486" i="3"/>
  <c r="C487" i="3"/>
  <c r="G487" i="3" s="1"/>
  <c r="C488" i="3"/>
  <c r="C489" i="3"/>
  <c r="C490" i="3"/>
  <c r="C491" i="3"/>
  <c r="C492" i="3"/>
  <c r="G492" i="3" s="1"/>
  <c r="C493" i="3"/>
  <c r="C494" i="3"/>
  <c r="C495" i="3"/>
  <c r="G495" i="3" s="1"/>
  <c r="C496" i="3"/>
  <c r="C497" i="3"/>
  <c r="C498" i="3"/>
  <c r="C499" i="3"/>
  <c r="C500" i="3"/>
  <c r="C501" i="3"/>
  <c r="C362" i="3"/>
  <c r="C363" i="3"/>
  <c r="C364" i="3"/>
  <c r="C365" i="3"/>
  <c r="C366" i="3"/>
  <c r="G366" i="3" s="1"/>
  <c r="C367" i="3"/>
  <c r="C368" i="3"/>
  <c r="C369" i="3"/>
  <c r="C370" i="3"/>
  <c r="C371" i="3"/>
  <c r="C372" i="3"/>
  <c r="C373" i="3"/>
  <c r="C374" i="3"/>
  <c r="C375" i="3"/>
  <c r="C376" i="3"/>
  <c r="H14" i="27"/>
  <c r="H16" i="27" a="1"/>
  <c r="H15" i="27" a="1"/>
  <c r="H14" i="15"/>
  <c r="H16" i="15" a="1"/>
  <c r="H15" i="15" a="1"/>
  <c r="H14" i="28"/>
  <c r="H16" i="28" a="1"/>
  <c r="H15" i="28" a="1"/>
  <c r="D11" i="27" a="1"/>
  <c r="D11" i="28" a="1"/>
  <c r="D11" i="15" a="1"/>
  <c r="H71" i="28"/>
  <c r="H29" i="28"/>
  <c r="G29" i="27"/>
  <c r="BS24" i="27"/>
  <c r="BS25" i="27" s="1"/>
  <c r="BT24" i="27"/>
  <c r="BT25" i="27" s="1"/>
  <c r="BV24" i="27"/>
  <c r="BV25" i="27" s="1"/>
  <c r="BW24" i="27"/>
  <c r="BW25" i="27" s="1"/>
  <c r="K25" i="27"/>
  <c r="K14" i="27" s="1"/>
  <c r="AY24" i="15"/>
  <c r="AY25" i="15" s="1"/>
  <c r="AZ24" i="15"/>
  <c r="AZ25" i="15" s="1"/>
  <c r="BB24" i="15"/>
  <c r="BB25" i="15" s="1"/>
  <c r="BC24" i="15"/>
  <c r="BC25" i="15" s="1"/>
  <c r="K25" i="15"/>
  <c r="K14" i="15" s="1"/>
  <c r="AY24" i="28"/>
  <c r="AY25" i="28" s="1"/>
  <c r="AZ24" i="28"/>
  <c r="AZ25" i="28" s="1"/>
  <c r="BB24" i="28"/>
  <c r="BB25" i="28" s="1"/>
  <c r="BC24" i="28"/>
  <c r="BC25" i="28" s="1"/>
  <c r="K25" i="28"/>
  <c r="K14" i="28" s="1"/>
  <c r="L25" i="27"/>
  <c r="L14" i="27" s="1"/>
  <c r="L25" i="15"/>
  <c r="L14" i="15" s="1"/>
  <c r="L25" i="28"/>
  <c r="L14" i="28" s="1"/>
  <c r="AN72" i="28"/>
  <c r="AN30" i="28"/>
  <c r="F16" i="22"/>
  <c r="C13" i="26"/>
  <c r="P54" i="2" a="1"/>
  <c r="P45" i="2" a="1"/>
  <c r="G44" i="2" a="1"/>
  <c r="A44" i="2" a="1"/>
  <c r="BG13" i="2" a="1"/>
  <c r="AP12" i="2" a="1"/>
  <c r="AA12" i="2" a="1"/>
  <c r="AP11" i="2" a="1"/>
  <c r="BG4" i="2" a="1"/>
  <c r="BC4" i="2" a="1"/>
  <c r="AY4" i="2" a="1"/>
  <c r="AP4" i="2" a="1"/>
  <c r="W4" i="2" a="1"/>
  <c r="J4" i="2" a="1"/>
  <c r="H4" i="2" a="1"/>
  <c r="G28" i="27" a="1"/>
  <c r="G24" i="27" a="1"/>
  <c r="J4" i="27" a="1"/>
  <c r="J4" i="15" a="1"/>
  <c r="J4" i="28" a="1"/>
  <c r="D38" i="31" a="1"/>
  <c r="D37" i="31" a="1"/>
  <c r="D36" i="31" a="1"/>
  <c r="D35" i="31" a="1"/>
  <c r="D32" i="31" a="1"/>
  <c r="D27" i="31" a="1"/>
  <c r="D26" i="31" a="1"/>
  <c r="D21" i="31" a="1"/>
  <c r="D20" i="31" a="1"/>
  <c r="D19" i="31" a="1"/>
  <c r="D18" i="31" a="1"/>
  <c r="A2" i="31" a="1"/>
  <c r="A260" i="18" a="1"/>
  <c r="A2" i="18" a="1"/>
  <c r="B49" i="26" a="1"/>
  <c r="B48" i="26" a="1"/>
  <c r="A43" i="26" a="1"/>
  <c r="D40" i="26" a="1"/>
  <c r="A1" i="26" a="1"/>
  <c r="B68" i="22" a="1"/>
  <c r="B45" i="22" a="1"/>
  <c r="F40" i="22" a="1"/>
  <c r="F39" i="22" a="1"/>
  <c r="A33" i="22" a="1"/>
  <c r="A1" i="22" a="1"/>
  <c r="A114" i="12" a="1"/>
  <c r="F114" i="12" s="1"/>
  <c r="A113" i="12" a="1"/>
  <c r="F113" i="12" s="1"/>
  <c r="A112" i="12" a="1"/>
  <c r="F112" i="12" s="1"/>
  <c r="A111" i="12" a="1"/>
  <c r="BL3" i="29" a="1"/>
  <c r="H2" i="22"/>
  <c r="H2" i="26"/>
  <c r="C51" i="22" a="1"/>
  <c r="C52" i="22" a="1"/>
  <c r="C53" i="22" a="1"/>
  <c r="C54" i="22" a="1"/>
  <c r="C55" i="22" a="1"/>
  <c r="C56" i="22" a="1"/>
  <c r="C57" i="22" a="1"/>
  <c r="C58" i="22" a="1"/>
  <c r="C59" i="22" a="1"/>
  <c r="C60" i="22" a="1"/>
  <c r="C61" i="22" a="1"/>
  <c r="C62" i="22" a="1"/>
  <c r="H5" i="27"/>
  <c r="H5" i="15"/>
  <c r="H5" i="28"/>
  <c r="U65" i="23" l="1"/>
  <c r="M57" i="24"/>
  <c r="P57" i="24"/>
  <c r="Q57" i="24" s="1"/>
  <c r="R57" i="24" s="1"/>
  <c r="J55" i="23"/>
  <c r="P59" i="24"/>
  <c r="Q59" i="24" s="1"/>
  <c r="R59" i="24" s="1"/>
  <c r="M59" i="24"/>
  <c r="I53" i="24"/>
  <c r="J57" i="23"/>
  <c r="M58" i="24"/>
  <c r="P58" i="24"/>
  <c r="Q58" i="24" s="1"/>
  <c r="R58" i="24" s="1"/>
  <c r="AG9" i="21"/>
  <c r="AH9" i="21"/>
  <c r="AG11" i="21"/>
  <c r="AH11" i="21"/>
  <c r="AG12" i="21"/>
  <c r="AH12" i="21"/>
  <c r="E9" i="21"/>
  <c r="C17" i="21"/>
  <c r="C18" i="21" s="1"/>
  <c r="C27" i="21" s="1"/>
  <c r="C19" i="21"/>
  <c r="D25" i="21"/>
  <c r="E25" i="21" s="1"/>
  <c r="D26" i="21"/>
  <c r="E26" i="21" s="1"/>
  <c r="G26" i="21" s="1"/>
  <c r="D27" i="21"/>
  <c r="D28" i="21"/>
  <c r="E28" i="21" s="1"/>
  <c r="G28" i="21" s="1"/>
  <c r="J51" i="24"/>
  <c r="K51" i="24"/>
  <c r="L51" i="24" s="1"/>
  <c r="U61" i="24"/>
  <c r="S61" i="24"/>
  <c r="U63" i="23"/>
  <c r="J58" i="23"/>
  <c r="S57" i="24"/>
  <c r="U57" i="24"/>
  <c r="M60" i="24"/>
  <c r="P60" i="24"/>
  <c r="Q60" i="24" s="1"/>
  <c r="R60" i="24" s="1"/>
  <c r="F199" i="21"/>
  <c r="F198" i="21"/>
  <c r="G199" i="21"/>
  <c r="G198" i="21"/>
  <c r="H199" i="21"/>
  <c r="H198" i="21"/>
  <c r="I199" i="21"/>
  <c r="I198" i="21"/>
  <c r="K198" i="21"/>
  <c r="K197" i="21"/>
  <c r="M57" i="23" a="1"/>
  <c r="O57" i="23" s="1"/>
  <c r="N55" i="23" a="1"/>
  <c r="P55" i="23" s="1"/>
  <c r="N54" i="23" a="1"/>
  <c r="P54" i="23" s="1"/>
  <c r="N57" i="23" a="1"/>
  <c r="P57" i="23" s="1"/>
  <c r="M54" i="23" a="1"/>
  <c r="O54" i="23" s="1"/>
  <c r="N58" i="23" a="1"/>
  <c r="P58" i="23" s="1"/>
  <c r="M58" i="23" a="1"/>
  <c r="O58" i="23" s="1"/>
  <c r="N56" i="23" a="1"/>
  <c r="P56" i="23" s="1"/>
  <c r="M56" i="23" a="1"/>
  <c r="O56" i="23" s="1"/>
  <c r="M55" i="23" a="1"/>
  <c r="O55" i="23" s="1"/>
  <c r="L15" i="27"/>
  <c r="L15" i="28"/>
  <c r="L15" i="15"/>
  <c r="I49" i="24"/>
  <c r="I50" i="24"/>
  <c r="S63" i="24"/>
  <c r="U63" i="24"/>
  <c r="J52" i="24"/>
  <c r="K52" i="24"/>
  <c r="L52" i="24" s="1"/>
  <c r="Y59" i="24"/>
  <c r="Y60" i="24"/>
  <c r="Y61" i="24"/>
  <c r="Y62" i="24"/>
  <c r="Y64" i="24"/>
  <c r="C69" i="3"/>
  <c r="D69" i="3"/>
  <c r="E69" i="3"/>
  <c r="F69" i="3"/>
  <c r="G8" i="21"/>
  <c r="F202" i="21"/>
  <c r="F206" i="21"/>
  <c r="F200" i="21"/>
  <c r="F207" i="21"/>
  <c r="F208" i="21"/>
  <c r="F204" i="21"/>
  <c r="F205" i="21"/>
  <c r="F203" i="21"/>
  <c r="F201" i="21"/>
  <c r="G200" i="21"/>
  <c r="G204" i="21"/>
  <c r="G201" i="21"/>
  <c r="G205" i="21"/>
  <c r="G202" i="21"/>
  <c r="G203" i="21"/>
  <c r="G206" i="21"/>
  <c r="G207" i="21"/>
  <c r="G208" i="21"/>
  <c r="H200" i="21"/>
  <c r="H204" i="21"/>
  <c r="H201" i="21"/>
  <c r="H205" i="21"/>
  <c r="H202" i="21"/>
  <c r="H206" i="21"/>
  <c r="H203" i="21"/>
  <c r="H207" i="21"/>
  <c r="H208" i="21"/>
  <c r="I205" i="21"/>
  <c r="I200" i="21"/>
  <c r="I201" i="21"/>
  <c r="I204" i="21"/>
  <c r="I202" i="21"/>
  <c r="I206" i="21"/>
  <c r="I207" i="21"/>
  <c r="I203" i="21"/>
  <c r="I208" i="21"/>
  <c r="J197" i="21"/>
  <c r="J199" i="21"/>
  <c r="J204" i="21"/>
  <c r="J205" i="21"/>
  <c r="J200" i="21"/>
  <c r="J207" i="21"/>
  <c r="J201" i="21"/>
  <c r="J202" i="21"/>
  <c r="J203" i="21"/>
  <c r="J206" i="21"/>
  <c r="J208" i="21"/>
  <c r="K204" i="21"/>
  <c r="K202" i="21"/>
  <c r="K200" i="21"/>
  <c r="K207" i="21"/>
  <c r="K201" i="21"/>
  <c r="K199" i="21"/>
  <c r="K206" i="21"/>
  <c r="K203" i="21"/>
  <c r="K205" i="21"/>
  <c r="K208" i="21"/>
  <c r="Y63" i="24"/>
  <c r="Y58" i="24"/>
  <c r="D361" i="3"/>
  <c r="D360" i="3"/>
  <c r="B361" i="3"/>
  <c r="B360" i="3"/>
  <c r="D359" i="3"/>
  <c r="B359" i="3"/>
  <c r="P107" i="21"/>
  <c r="AG16" i="21"/>
  <c r="AH16" i="21"/>
  <c r="P72" i="21"/>
  <c r="E155" i="21" s="1"/>
  <c r="C359" i="3"/>
  <c r="AH8" i="21"/>
  <c r="C141" i="21"/>
  <c r="C143" i="21" s="1"/>
  <c r="C144" i="21" s="1"/>
  <c r="D141" i="21"/>
  <c r="D143" i="21" s="1"/>
  <c r="D144" i="21" s="1"/>
  <c r="E141" i="21"/>
  <c r="E143" i="21" s="1"/>
  <c r="E144" i="21" s="1"/>
  <c r="D42" i="23"/>
  <c r="F178" i="21"/>
  <c r="F189" i="21"/>
  <c r="F184" i="21"/>
  <c r="F179" i="21"/>
  <c r="F180" i="21"/>
  <c r="F181" i="21"/>
  <c r="F186" i="21"/>
  <c r="F188" i="21"/>
  <c r="F182" i="21"/>
  <c r="F185" i="21"/>
  <c r="F187" i="21"/>
  <c r="F183" i="21"/>
  <c r="G178" i="21"/>
  <c r="G184" i="21"/>
  <c r="G189" i="21"/>
  <c r="G179" i="21"/>
  <c r="G180" i="21"/>
  <c r="G181" i="21"/>
  <c r="G186" i="21"/>
  <c r="G188" i="21"/>
  <c r="G182" i="21"/>
  <c r="G187" i="21"/>
  <c r="G183" i="21"/>
  <c r="G185" i="21"/>
  <c r="H185" i="21"/>
  <c r="H188" i="21"/>
  <c r="H182" i="21"/>
  <c r="H178" i="21"/>
  <c r="H184" i="21"/>
  <c r="H179" i="21"/>
  <c r="H181" i="21"/>
  <c r="H189" i="21"/>
  <c r="H183" i="21"/>
  <c r="H180" i="21"/>
  <c r="H187" i="21"/>
  <c r="H186" i="21"/>
  <c r="I178" i="21"/>
  <c r="I188" i="21"/>
  <c r="I189" i="21"/>
  <c r="I180" i="21"/>
  <c r="I179" i="21"/>
  <c r="I181" i="21"/>
  <c r="I182" i="21"/>
  <c r="I183" i="21"/>
  <c r="I184" i="21"/>
  <c r="I185" i="21"/>
  <c r="I186" i="21"/>
  <c r="I187" i="21"/>
  <c r="J178" i="21"/>
  <c r="J180" i="21"/>
  <c r="J181" i="21"/>
  <c r="J185" i="21"/>
  <c r="J186" i="21"/>
  <c r="J187" i="21"/>
  <c r="J184" i="21"/>
  <c r="J182" i="21"/>
  <c r="J183" i="21"/>
  <c r="J179" i="21"/>
  <c r="J188" i="21"/>
  <c r="J189" i="21"/>
  <c r="K178" i="21"/>
  <c r="K183" i="21"/>
  <c r="K182" i="21"/>
  <c r="K185" i="21"/>
  <c r="K186" i="21"/>
  <c r="K187" i="21"/>
  <c r="K181" i="21"/>
  <c r="K180" i="21"/>
  <c r="K184" i="21"/>
  <c r="K179" i="21"/>
  <c r="K188" i="21"/>
  <c r="K189" i="21"/>
  <c r="BV3" i="12" a="1"/>
  <c r="P88" i="21"/>
  <c r="O53" i="21"/>
  <c r="P53" i="21" s="1"/>
  <c r="F152" i="21" s="1"/>
  <c r="AD8" i="21"/>
  <c r="E152" i="21"/>
  <c r="AD9" i="21"/>
  <c r="O60" i="21"/>
  <c r="P60" i="21" s="1"/>
  <c r="F153" i="21" s="1"/>
  <c r="E153" i="21"/>
  <c r="AD12" i="21"/>
  <c r="O81" i="21"/>
  <c r="P81" i="21" s="1"/>
  <c r="F156" i="21" s="1"/>
  <c r="E156" i="21"/>
  <c r="C21" i="23" a="1"/>
  <c r="AD7" i="21"/>
  <c r="O46" i="21"/>
  <c r="P46" i="21" s="1"/>
  <c r="F151" i="21" s="1"/>
  <c r="E151" i="21"/>
  <c r="E21" i="3"/>
  <c r="F167" i="21"/>
  <c r="G36" i="21"/>
  <c r="F170" i="21"/>
  <c r="F171" i="21" s="1"/>
  <c r="AG7" i="21"/>
  <c r="AH7" i="21"/>
  <c r="C94" i="3"/>
  <c r="C95" i="3"/>
  <c r="E469" i="3"/>
  <c r="F469" i="3"/>
  <c r="G506" i="3"/>
  <c r="E506" i="3"/>
  <c r="F506" i="3"/>
  <c r="E534" i="3"/>
  <c r="F534" i="3"/>
  <c r="E550" i="3"/>
  <c r="F550" i="3"/>
  <c r="G550" i="3"/>
  <c r="E567" i="3"/>
  <c r="F567" i="3"/>
  <c r="G567" i="3"/>
  <c r="E584" i="3"/>
  <c r="G584" i="3"/>
  <c r="F584" i="3"/>
  <c r="E602" i="3"/>
  <c r="F602" i="3"/>
  <c r="E605" i="3"/>
  <c r="G605" i="3"/>
  <c r="F605" i="3"/>
  <c r="E606" i="3"/>
  <c r="G606" i="3"/>
  <c r="F606" i="3"/>
  <c r="E608" i="3"/>
  <c r="F608" i="3"/>
  <c r="E384" i="3"/>
  <c r="F384" i="3"/>
  <c r="G384" i="3"/>
  <c r="E385" i="3"/>
  <c r="F385" i="3"/>
  <c r="G385" i="3"/>
  <c r="E480" i="3"/>
  <c r="F480" i="3"/>
  <c r="G481" i="3"/>
  <c r="E481" i="3"/>
  <c r="F481" i="3"/>
  <c r="G482" i="3"/>
  <c r="E482" i="3"/>
  <c r="F482" i="3"/>
  <c r="E483" i="3"/>
  <c r="G483" i="3"/>
  <c r="F483" i="3"/>
  <c r="E489" i="3"/>
  <c r="G489" i="3"/>
  <c r="F489" i="3"/>
  <c r="F490" i="3"/>
  <c r="G490" i="3"/>
  <c r="E490" i="3"/>
  <c r="E495" i="3"/>
  <c r="F495" i="3"/>
  <c r="E499" i="3"/>
  <c r="F499" i="3"/>
  <c r="G499" i="3"/>
  <c r="E373" i="3"/>
  <c r="F373" i="3"/>
  <c r="G373" i="3"/>
  <c r="E521" i="3"/>
  <c r="F521" i="3"/>
  <c r="G521" i="3"/>
  <c r="E532" i="3"/>
  <c r="G532" i="3"/>
  <c r="F532" i="3"/>
  <c r="E542" i="3"/>
  <c r="G542" i="3"/>
  <c r="F542" i="3"/>
  <c r="E559" i="3"/>
  <c r="F559" i="3"/>
  <c r="G559" i="3"/>
  <c r="E587" i="3"/>
  <c r="F587" i="3"/>
  <c r="G587" i="3"/>
  <c r="E589" i="3"/>
  <c r="G589" i="3"/>
  <c r="F589" i="3"/>
  <c r="E590" i="3"/>
  <c r="F590" i="3"/>
  <c r="E607" i="3"/>
  <c r="G607" i="3"/>
  <c r="F607" i="3"/>
  <c r="F378" i="3"/>
  <c r="E378" i="3"/>
  <c r="G378" i="3"/>
  <c r="E380" i="3"/>
  <c r="F380" i="3"/>
  <c r="E382" i="3"/>
  <c r="G382" i="3"/>
  <c r="F382" i="3"/>
  <c r="E393" i="3"/>
  <c r="G393" i="3"/>
  <c r="F393" i="3"/>
  <c r="E398" i="3"/>
  <c r="F398" i="3"/>
  <c r="G398" i="3"/>
  <c r="G408" i="3"/>
  <c r="F408" i="3"/>
  <c r="E408" i="3"/>
  <c r="E409" i="3"/>
  <c r="F409" i="3"/>
  <c r="G409" i="3"/>
  <c r="E410" i="3"/>
  <c r="F410" i="3"/>
  <c r="G410" i="3"/>
  <c r="E414" i="3"/>
  <c r="F414" i="3"/>
  <c r="E419" i="3"/>
  <c r="G419" i="3"/>
  <c r="F419" i="3"/>
  <c r="E420" i="3"/>
  <c r="F420" i="3"/>
  <c r="G420" i="3"/>
  <c r="E426" i="3"/>
  <c r="F426" i="3"/>
  <c r="E428" i="3"/>
  <c r="G428" i="3"/>
  <c r="F428" i="3"/>
  <c r="E429" i="3"/>
  <c r="F429" i="3"/>
  <c r="E438" i="3"/>
  <c r="F438" i="3"/>
  <c r="E443" i="3"/>
  <c r="F443" i="3"/>
  <c r="E444" i="3"/>
  <c r="F444" i="3"/>
  <c r="G444" i="3"/>
  <c r="E463" i="3"/>
  <c r="G463" i="3"/>
  <c r="F463" i="3"/>
  <c r="E477" i="3"/>
  <c r="G477" i="3"/>
  <c r="F477" i="3"/>
  <c r="F484" i="3"/>
  <c r="G484" i="3"/>
  <c r="E484" i="3"/>
  <c r="G485" i="3"/>
  <c r="E485" i="3"/>
  <c r="F485" i="3"/>
  <c r="G486" i="3"/>
  <c r="F486" i="3"/>
  <c r="E486" i="3"/>
  <c r="F487" i="3"/>
  <c r="E487" i="3"/>
  <c r="F488" i="3"/>
  <c r="E488" i="3"/>
  <c r="G488" i="3"/>
  <c r="G491" i="3"/>
  <c r="E491" i="3"/>
  <c r="F491" i="3"/>
  <c r="E492" i="3"/>
  <c r="F492" i="3"/>
  <c r="E493" i="3"/>
  <c r="F493" i="3"/>
  <c r="G493" i="3"/>
  <c r="E494" i="3"/>
  <c r="F494" i="3"/>
  <c r="G494" i="3"/>
  <c r="F496" i="3"/>
  <c r="E496" i="3"/>
  <c r="G496" i="3"/>
  <c r="F497" i="3"/>
  <c r="E497" i="3"/>
  <c r="G497" i="3"/>
  <c r="G498" i="3"/>
  <c r="E498" i="3"/>
  <c r="F498" i="3"/>
  <c r="G500" i="3"/>
  <c r="E500" i="3"/>
  <c r="F500" i="3"/>
  <c r="E501" i="3"/>
  <c r="F501" i="3"/>
  <c r="G501" i="3"/>
  <c r="E364" i="3"/>
  <c r="F364" i="3"/>
  <c r="G364" i="3"/>
  <c r="E375" i="3"/>
  <c r="F375" i="3"/>
  <c r="G375" i="3"/>
  <c r="F502" i="3"/>
  <c r="E502" i="3"/>
  <c r="G502" i="3"/>
  <c r="E503" i="3"/>
  <c r="F503" i="3"/>
  <c r="G503" i="3"/>
  <c r="E504" i="3"/>
  <c r="G504" i="3"/>
  <c r="F504" i="3"/>
  <c r="E505" i="3"/>
  <c r="F505" i="3"/>
  <c r="G505" i="3"/>
  <c r="F507" i="3"/>
  <c r="E507" i="3"/>
  <c r="G508" i="3"/>
  <c r="E508" i="3"/>
  <c r="F508" i="3"/>
  <c r="F509" i="3"/>
  <c r="E509" i="3"/>
  <c r="G509" i="3"/>
  <c r="F510" i="3"/>
  <c r="E510" i="3"/>
  <c r="G510" i="3"/>
  <c r="G511" i="3"/>
  <c r="E511" i="3"/>
  <c r="F511" i="3"/>
  <c r="E512" i="3"/>
  <c r="G512" i="3"/>
  <c r="F512" i="3"/>
  <c r="G513" i="3"/>
  <c r="F513" i="3"/>
  <c r="E513" i="3"/>
  <c r="E514" i="3"/>
  <c r="G514" i="3"/>
  <c r="F514" i="3"/>
  <c r="F515" i="3"/>
  <c r="G515" i="3"/>
  <c r="E515" i="3"/>
  <c r="E516" i="3"/>
  <c r="F516" i="3"/>
  <c r="E517" i="3"/>
  <c r="G517" i="3"/>
  <c r="F517" i="3"/>
  <c r="G518" i="3"/>
  <c r="E518" i="3"/>
  <c r="F518" i="3"/>
  <c r="E519" i="3"/>
  <c r="G519" i="3"/>
  <c r="E520" i="3"/>
  <c r="G520" i="3"/>
  <c r="F520" i="3"/>
  <c r="F522" i="3"/>
  <c r="E522" i="3"/>
  <c r="G522" i="3"/>
  <c r="G523" i="3"/>
  <c r="E523" i="3"/>
  <c r="F523" i="3"/>
  <c r="F524" i="3"/>
  <c r="E524" i="3"/>
  <c r="E525" i="3"/>
  <c r="F525" i="3"/>
  <c r="G525" i="3"/>
  <c r="E526" i="3"/>
  <c r="F526" i="3"/>
  <c r="G526" i="3"/>
  <c r="G527" i="3"/>
  <c r="F527" i="3"/>
  <c r="E527" i="3"/>
  <c r="G528" i="3"/>
  <c r="E528" i="3"/>
  <c r="F528" i="3"/>
  <c r="G529" i="3"/>
  <c r="F529" i="3"/>
  <c r="E529" i="3"/>
  <c r="F530" i="3"/>
  <c r="E530" i="3"/>
  <c r="G530" i="3"/>
  <c r="E531" i="3"/>
  <c r="G531" i="3"/>
  <c r="F531" i="3"/>
  <c r="G533" i="3"/>
  <c r="F533" i="3"/>
  <c r="E533" i="3"/>
  <c r="G535" i="3"/>
  <c r="F535" i="3"/>
  <c r="E535" i="3"/>
  <c r="G536" i="3"/>
  <c r="E536" i="3"/>
  <c r="F536" i="3"/>
  <c r="G537" i="3"/>
  <c r="E537" i="3"/>
  <c r="F537" i="3"/>
  <c r="G538" i="3"/>
  <c r="F538" i="3"/>
  <c r="E538" i="3"/>
  <c r="E539" i="3"/>
  <c r="G539" i="3"/>
  <c r="F539" i="3"/>
  <c r="F540" i="3"/>
  <c r="G540" i="3"/>
  <c r="E540" i="3"/>
  <c r="G541" i="3"/>
  <c r="F541" i="3"/>
  <c r="E541" i="3"/>
  <c r="G543" i="3"/>
  <c r="E543" i="3"/>
  <c r="F543" i="3"/>
  <c r="F544" i="3"/>
  <c r="E544" i="3"/>
  <c r="G544" i="3"/>
  <c r="F545" i="3"/>
  <c r="G545" i="3"/>
  <c r="E545" i="3"/>
  <c r="G546" i="3"/>
  <c r="F546" i="3"/>
  <c r="E546" i="3"/>
  <c r="G547" i="3"/>
  <c r="F547" i="3"/>
  <c r="E547" i="3"/>
  <c r="G548" i="3"/>
  <c r="E548" i="3"/>
  <c r="F548" i="3"/>
  <c r="E549" i="3"/>
  <c r="F549" i="3"/>
  <c r="G549" i="3"/>
  <c r="G551" i="3"/>
  <c r="E551" i="3"/>
  <c r="F551" i="3"/>
  <c r="F552" i="3"/>
  <c r="G552" i="3"/>
  <c r="E552" i="3"/>
  <c r="E553" i="3"/>
  <c r="F553" i="3"/>
  <c r="G553" i="3"/>
  <c r="F554" i="3"/>
  <c r="E554" i="3"/>
  <c r="E555" i="3"/>
  <c r="G555" i="3"/>
  <c r="F555" i="3"/>
  <c r="E556" i="3"/>
  <c r="F556" i="3"/>
  <c r="G556" i="3"/>
  <c r="G557" i="3"/>
  <c r="E557" i="3"/>
  <c r="F557" i="3"/>
  <c r="F558" i="3"/>
  <c r="E558" i="3"/>
  <c r="G558" i="3"/>
  <c r="E560" i="3"/>
  <c r="F560" i="3"/>
  <c r="F561" i="3"/>
  <c r="E561" i="3"/>
  <c r="G561" i="3"/>
  <c r="E562" i="3"/>
  <c r="G562" i="3"/>
  <c r="F562" i="3"/>
  <c r="G563" i="3"/>
  <c r="E563" i="3"/>
  <c r="F563" i="3"/>
  <c r="F564" i="3"/>
  <c r="E564" i="3"/>
  <c r="G564" i="3"/>
  <c r="G565" i="3"/>
  <c r="F565" i="3"/>
  <c r="E565" i="3"/>
  <c r="F566" i="3"/>
  <c r="E566" i="3"/>
  <c r="G566" i="3"/>
  <c r="F568" i="3"/>
  <c r="G568" i="3"/>
  <c r="E568" i="3"/>
  <c r="F569" i="3"/>
  <c r="E569" i="3"/>
  <c r="E570" i="3"/>
  <c r="G570" i="3"/>
  <c r="F570" i="3"/>
  <c r="E571" i="3"/>
  <c r="G571" i="3"/>
  <c r="F571" i="3"/>
  <c r="E572" i="3"/>
  <c r="G572" i="3"/>
  <c r="F572" i="3"/>
  <c r="G573" i="3"/>
  <c r="E573" i="3"/>
  <c r="F573" i="3"/>
  <c r="G574" i="3"/>
  <c r="F574" i="3"/>
  <c r="E574" i="3"/>
  <c r="G575" i="3"/>
  <c r="F575" i="3"/>
  <c r="E575" i="3"/>
  <c r="F576" i="3"/>
  <c r="E576" i="3"/>
  <c r="F577" i="3"/>
  <c r="G577" i="3"/>
  <c r="E577" i="3"/>
  <c r="G578" i="3"/>
  <c r="E578" i="3"/>
  <c r="F578" i="3"/>
  <c r="G579" i="3"/>
  <c r="E579" i="3"/>
  <c r="F579" i="3"/>
  <c r="F580" i="3"/>
  <c r="E580" i="3"/>
  <c r="E581" i="3"/>
  <c r="G581" i="3"/>
  <c r="F581" i="3"/>
  <c r="F582" i="3"/>
  <c r="G582" i="3"/>
  <c r="E582" i="3"/>
  <c r="G583" i="3"/>
  <c r="F583" i="3"/>
  <c r="E583" i="3"/>
  <c r="E585" i="3"/>
  <c r="F585" i="3"/>
  <c r="G586" i="3"/>
  <c r="F586" i="3"/>
  <c r="E586" i="3"/>
  <c r="G588" i="3"/>
  <c r="F588" i="3"/>
  <c r="E588" i="3"/>
  <c r="G591" i="3"/>
  <c r="E591" i="3"/>
  <c r="F591" i="3"/>
  <c r="G592" i="3"/>
  <c r="E592" i="3"/>
  <c r="F592" i="3"/>
  <c r="G593" i="3"/>
  <c r="F593" i="3"/>
  <c r="E593" i="3"/>
  <c r="F594" i="3"/>
  <c r="G594" i="3"/>
  <c r="E594" i="3"/>
  <c r="G595" i="3"/>
  <c r="E595" i="3"/>
  <c r="F595" i="3"/>
  <c r="E596" i="3"/>
  <c r="F596" i="3"/>
  <c r="G596" i="3"/>
  <c r="F597" i="3"/>
  <c r="E597" i="3"/>
  <c r="G597" i="3"/>
  <c r="F598" i="3"/>
  <c r="E598" i="3"/>
  <c r="G598" i="3"/>
  <c r="E599" i="3"/>
  <c r="F599" i="3"/>
  <c r="G600" i="3"/>
  <c r="F600" i="3"/>
  <c r="E600" i="3"/>
  <c r="F601" i="3"/>
  <c r="E601" i="3"/>
  <c r="G601" i="3"/>
  <c r="E603" i="3"/>
  <c r="G603" i="3"/>
  <c r="F603" i="3"/>
  <c r="E604" i="3"/>
  <c r="F604" i="3"/>
  <c r="G604" i="3"/>
  <c r="E377" i="3"/>
  <c r="F377" i="3"/>
  <c r="G377" i="3"/>
  <c r="E379" i="3"/>
  <c r="G379" i="3"/>
  <c r="F381" i="3"/>
  <c r="G381" i="3"/>
  <c r="E381" i="3"/>
  <c r="E383" i="3"/>
  <c r="F383" i="3"/>
  <c r="E386" i="3"/>
  <c r="G386" i="3"/>
  <c r="F386" i="3"/>
  <c r="G387" i="3"/>
  <c r="E387" i="3"/>
  <c r="F387" i="3"/>
  <c r="E388" i="3"/>
  <c r="F388" i="3"/>
  <c r="F389" i="3"/>
  <c r="E389" i="3"/>
  <c r="G389" i="3"/>
  <c r="E390" i="3"/>
  <c r="F390" i="3"/>
  <c r="G391" i="3"/>
  <c r="E391" i="3"/>
  <c r="F391" i="3"/>
  <c r="E392" i="3"/>
  <c r="F392" i="3"/>
  <c r="F394" i="3"/>
  <c r="G394" i="3"/>
  <c r="E394" i="3"/>
  <c r="E395" i="3"/>
  <c r="F395" i="3"/>
  <c r="F396" i="3"/>
  <c r="G396" i="3"/>
  <c r="E396" i="3"/>
  <c r="E397" i="3"/>
  <c r="F397" i="3"/>
  <c r="F399" i="3"/>
  <c r="E399" i="3"/>
  <c r="G399" i="3"/>
  <c r="G400" i="3"/>
  <c r="F400" i="3"/>
  <c r="E400" i="3"/>
  <c r="E401" i="3"/>
  <c r="F401" i="3"/>
  <c r="G401" i="3"/>
  <c r="E402" i="3"/>
  <c r="F402" i="3"/>
  <c r="G402" i="3"/>
  <c r="F403" i="3"/>
  <c r="E403" i="3"/>
  <c r="G403" i="3"/>
  <c r="F404" i="3"/>
  <c r="E404" i="3"/>
  <c r="G405" i="3"/>
  <c r="E405" i="3"/>
  <c r="F405" i="3"/>
  <c r="E406" i="3"/>
  <c r="F406" i="3"/>
  <c r="F407" i="3"/>
  <c r="E407" i="3"/>
  <c r="E411" i="3"/>
  <c r="F411" i="3"/>
  <c r="G411" i="3"/>
  <c r="E412" i="3"/>
  <c r="F412" i="3"/>
  <c r="G412" i="3"/>
  <c r="E413" i="3"/>
  <c r="F413" i="3"/>
  <c r="F415" i="3"/>
  <c r="G415" i="3"/>
  <c r="E415" i="3"/>
  <c r="F416" i="3"/>
  <c r="G416" i="3"/>
  <c r="E416" i="3"/>
  <c r="F417" i="3"/>
  <c r="E417" i="3"/>
  <c r="G417" i="3"/>
  <c r="E418" i="3"/>
  <c r="F418" i="3"/>
  <c r="G421" i="3"/>
  <c r="E421" i="3"/>
  <c r="F422" i="3"/>
  <c r="E422" i="3"/>
  <c r="E423" i="3"/>
  <c r="G423" i="3"/>
  <c r="E424" i="3"/>
  <c r="F424" i="3"/>
  <c r="G424" i="3"/>
  <c r="G425" i="3"/>
  <c r="E425" i="3"/>
  <c r="F425" i="3"/>
  <c r="F427" i="3"/>
  <c r="E427" i="3"/>
  <c r="G427" i="3"/>
  <c r="E430" i="3"/>
  <c r="G430" i="3"/>
  <c r="F430" i="3"/>
  <c r="F431" i="3"/>
  <c r="E431" i="3"/>
  <c r="G431" i="3"/>
  <c r="F432" i="3"/>
  <c r="E432" i="3"/>
  <c r="G432" i="3"/>
  <c r="F433" i="3"/>
  <c r="G433" i="3"/>
  <c r="E433" i="3"/>
  <c r="F434" i="3"/>
  <c r="E434" i="3"/>
  <c r="G434" i="3"/>
  <c r="G435" i="3"/>
  <c r="F435" i="3"/>
  <c r="E435" i="3"/>
  <c r="F436" i="3"/>
  <c r="G436" i="3"/>
  <c r="E436" i="3"/>
  <c r="G437" i="3"/>
  <c r="E437" i="3"/>
  <c r="F437" i="3"/>
  <c r="E439" i="3"/>
  <c r="G439" i="3"/>
  <c r="F439" i="3"/>
  <c r="F440" i="3"/>
  <c r="E440" i="3"/>
  <c r="G440" i="3"/>
  <c r="G441" i="3"/>
  <c r="F441" i="3"/>
  <c r="E441" i="3"/>
  <c r="F442" i="3"/>
  <c r="G442" i="3"/>
  <c r="E442" i="3"/>
  <c r="F445" i="3"/>
  <c r="E445" i="3"/>
  <c r="E446" i="3"/>
  <c r="G446" i="3"/>
  <c r="F446" i="3"/>
  <c r="G447" i="3"/>
  <c r="E447" i="3"/>
  <c r="F447" i="3"/>
  <c r="F448" i="3"/>
  <c r="E448" i="3"/>
  <c r="G448" i="3"/>
  <c r="G449" i="3"/>
  <c r="E449" i="3"/>
  <c r="F449" i="3"/>
  <c r="G450" i="3"/>
  <c r="F450" i="3"/>
  <c r="E450" i="3"/>
  <c r="E451" i="3"/>
  <c r="F451" i="3"/>
  <c r="G451" i="3"/>
  <c r="G452" i="3"/>
  <c r="F452" i="3"/>
  <c r="E452" i="3"/>
  <c r="G453" i="3"/>
  <c r="E453" i="3"/>
  <c r="F453" i="3"/>
  <c r="E454" i="3"/>
  <c r="F454" i="3"/>
  <c r="E455" i="3"/>
  <c r="F455" i="3"/>
  <c r="G456" i="3"/>
  <c r="F456" i="3"/>
  <c r="E456" i="3"/>
  <c r="E457" i="3"/>
  <c r="F457" i="3"/>
  <c r="E458" i="3"/>
  <c r="G458" i="3"/>
  <c r="F458" i="3"/>
  <c r="G459" i="3"/>
  <c r="E459" i="3"/>
  <c r="F459" i="3"/>
  <c r="E460" i="3"/>
  <c r="F460" i="3"/>
  <c r="G460" i="3"/>
  <c r="G461" i="3"/>
  <c r="E461" i="3"/>
  <c r="F461" i="3"/>
  <c r="G462" i="3"/>
  <c r="E462" i="3"/>
  <c r="F462" i="3"/>
  <c r="E464" i="3"/>
  <c r="F464" i="3"/>
  <c r="G464" i="3"/>
  <c r="E465" i="3"/>
  <c r="F465" i="3"/>
  <c r="E466" i="3"/>
  <c r="F466" i="3"/>
  <c r="G467" i="3"/>
  <c r="E467" i="3"/>
  <c r="F467" i="3"/>
  <c r="E468" i="3"/>
  <c r="G468" i="3"/>
  <c r="F468" i="3"/>
  <c r="E470" i="3"/>
  <c r="G470" i="3"/>
  <c r="F470" i="3"/>
  <c r="F471" i="3"/>
  <c r="G471" i="3"/>
  <c r="E471" i="3"/>
  <c r="E472" i="3"/>
  <c r="F472" i="3"/>
  <c r="G473" i="3"/>
  <c r="E473" i="3"/>
  <c r="F473" i="3"/>
  <c r="G474" i="3"/>
  <c r="E474" i="3"/>
  <c r="F475" i="3"/>
  <c r="E475" i="3"/>
  <c r="G476" i="3"/>
  <c r="E476" i="3"/>
  <c r="F476" i="3"/>
  <c r="E478" i="3"/>
  <c r="G478" i="3"/>
  <c r="F478" i="3"/>
  <c r="G479" i="3"/>
  <c r="E479" i="3"/>
  <c r="F479" i="3"/>
  <c r="E362" i="3"/>
  <c r="F362" i="3"/>
  <c r="G362" i="3"/>
  <c r="F363" i="3"/>
  <c r="G363" i="3"/>
  <c r="E363" i="3"/>
  <c r="G365" i="3"/>
  <c r="E365" i="3"/>
  <c r="F365" i="3"/>
  <c r="E366" i="3"/>
  <c r="F366" i="3"/>
  <c r="E367" i="3"/>
  <c r="F367" i="3"/>
  <c r="G367" i="3"/>
  <c r="F368" i="3"/>
  <c r="G368" i="3"/>
  <c r="E368" i="3"/>
  <c r="E369" i="3"/>
  <c r="F369" i="3"/>
  <c r="G369" i="3"/>
  <c r="G370" i="3"/>
  <c r="E370" i="3"/>
  <c r="F370" i="3"/>
  <c r="E371" i="3"/>
  <c r="G371" i="3"/>
  <c r="F371" i="3"/>
  <c r="F372" i="3"/>
  <c r="E372" i="3"/>
  <c r="G372" i="3"/>
  <c r="E374" i="3"/>
  <c r="F374" i="3"/>
  <c r="G374" i="3"/>
  <c r="E376" i="3"/>
  <c r="F376" i="3"/>
  <c r="G376" i="3"/>
  <c r="H72" i="28"/>
  <c r="H30" i="28"/>
  <c r="U114" i="12" a="1"/>
  <c r="R114" i="12" a="1"/>
  <c r="P114" i="12"/>
  <c r="M114" i="12" a="1"/>
  <c r="L114" i="12" a="1"/>
  <c r="J114" i="12" a="1"/>
  <c r="H114" i="12" a="1"/>
  <c r="C114" i="12"/>
  <c r="E114" i="12" a="1"/>
  <c r="I114" i="12" a="1"/>
  <c r="O114" i="12"/>
  <c r="G114" i="12" a="1"/>
  <c r="Q114" i="12" s="1"/>
  <c r="S114" i="12" a="1"/>
  <c r="B114" i="12" a="1"/>
  <c r="T114" i="12" a="1"/>
  <c r="N114" i="12"/>
  <c r="K114" i="12" a="1"/>
  <c r="D114" i="12" a="1"/>
  <c r="S113" i="12" a="1"/>
  <c r="L113" i="12" a="1"/>
  <c r="J113" i="12" a="1"/>
  <c r="I113" i="12" a="1"/>
  <c r="G113" i="12" a="1"/>
  <c r="Q113" i="12" s="1"/>
  <c r="D113" i="12" a="1"/>
  <c r="B113" i="12" a="1"/>
  <c r="N113" i="12"/>
  <c r="H113" i="12" a="1"/>
  <c r="K113" i="12" a="1"/>
  <c r="T113" i="12" a="1"/>
  <c r="R113" i="12" a="1"/>
  <c r="P113" i="12"/>
  <c r="O113" i="12"/>
  <c r="M113" i="12" a="1"/>
  <c r="E113" i="12" a="1"/>
  <c r="C113" i="12"/>
  <c r="U113" i="12" a="1"/>
  <c r="K112" i="12" a="1"/>
  <c r="J112" i="12" a="1"/>
  <c r="I112" i="12" a="1"/>
  <c r="M112" i="12" a="1"/>
  <c r="C112" i="12"/>
  <c r="E112" i="12" a="1"/>
  <c r="G112" i="12" a="1"/>
  <c r="H112" i="12" a="1"/>
  <c r="B112" i="12" a="1"/>
  <c r="D112" i="12" a="1"/>
  <c r="U112" i="12" a="1"/>
  <c r="S112" i="12" a="1"/>
  <c r="O112" i="12"/>
  <c r="T112" i="12" a="1"/>
  <c r="R112" i="12" a="1"/>
  <c r="P112" i="12"/>
  <c r="N112" i="12"/>
  <c r="L112" i="12" a="1"/>
  <c r="B111" i="12" a="1"/>
  <c r="C111" i="12"/>
  <c r="D111" i="12" a="1"/>
  <c r="E111" i="12" a="1"/>
  <c r="G111" i="12" a="1"/>
  <c r="H111" i="12" a="1"/>
  <c r="I111" i="12" a="1"/>
  <c r="J111" i="12" a="1"/>
  <c r="K111" i="12" a="1"/>
  <c r="L111" i="12" a="1"/>
  <c r="M111" i="12" a="1"/>
  <c r="N111" i="12"/>
  <c r="O111" i="12"/>
  <c r="P111" i="12"/>
  <c r="R111" i="12" a="1"/>
  <c r="S111" i="12" a="1"/>
  <c r="T111" i="12" a="1"/>
  <c r="U111" i="12" a="1"/>
  <c r="B13" i="31"/>
  <c r="U59" i="24" l="1"/>
  <c r="S59" i="24"/>
  <c r="R55" i="23"/>
  <c r="S55" i="23" s="1"/>
  <c r="E22" i="3"/>
  <c r="F9" i="21"/>
  <c r="J53" i="24"/>
  <c r="K53" i="24"/>
  <c r="L53" i="24" s="1"/>
  <c r="S58" i="24"/>
  <c r="U58" i="24"/>
  <c r="E27" i="21"/>
  <c r="E198" i="21"/>
  <c r="L198" i="21" s="1"/>
  <c r="F25" i="21"/>
  <c r="G25" i="21" s="1"/>
  <c r="E197" i="21"/>
  <c r="L197" i="21" s="1"/>
  <c r="J49" i="24"/>
  <c r="K49" i="24"/>
  <c r="L49" i="24" s="1"/>
  <c r="K50" i="24"/>
  <c r="L50" i="24" s="1"/>
  <c r="J50" i="24"/>
  <c r="R56" i="23"/>
  <c r="S56" i="23" s="1"/>
  <c r="U60" i="24"/>
  <c r="S60" i="24"/>
  <c r="R57" i="23"/>
  <c r="S57" i="23" s="1"/>
  <c r="R54" i="23"/>
  <c r="S54" i="23" s="1"/>
  <c r="R58" i="23"/>
  <c r="S58" i="23" s="1"/>
  <c r="D74" i="3"/>
  <c r="D73" i="3"/>
  <c r="E74" i="3"/>
  <c r="E73" i="3"/>
  <c r="F74" i="3"/>
  <c r="F73" i="3"/>
  <c r="C73" i="3"/>
  <c r="C74" i="3"/>
  <c r="C77" i="3" s="1"/>
  <c r="L204" i="21"/>
  <c r="L203" i="21"/>
  <c r="L205" i="21"/>
  <c r="L200" i="21"/>
  <c r="L207" i="21"/>
  <c r="E201" i="21"/>
  <c r="L201" i="21" s="1"/>
  <c r="E199" i="21"/>
  <c r="L199" i="21" s="1"/>
  <c r="L208" i="21"/>
  <c r="E206" i="21"/>
  <c r="L206" i="21" s="1"/>
  <c r="E202" i="21"/>
  <c r="G9" i="21"/>
  <c r="C16" i="21"/>
  <c r="O109" i="21"/>
  <c r="P109" i="21" s="1"/>
  <c r="F160" i="21" s="1"/>
  <c r="AD16" i="21"/>
  <c r="E160" i="21"/>
  <c r="L186" i="21"/>
  <c r="C361" i="3"/>
  <c r="C360" i="3"/>
  <c r="AD11" i="21"/>
  <c r="O74" i="21"/>
  <c r="P74" i="21" s="1"/>
  <c r="F155" i="21" s="1"/>
  <c r="L185" i="21"/>
  <c r="L184" i="21"/>
  <c r="L189" i="21"/>
  <c r="E178" i="21"/>
  <c r="L178" i="21" s="1"/>
  <c r="E182" i="21"/>
  <c r="L182" i="21" s="1"/>
  <c r="G359" i="3"/>
  <c r="E359" i="3"/>
  <c r="F359" i="3" s="1"/>
  <c r="E179" i="21"/>
  <c r="L179" i="21" s="1"/>
  <c r="L181" i="21"/>
  <c r="E187" i="21"/>
  <c r="L187" i="21" s="1"/>
  <c r="E180" i="21"/>
  <c r="L188" i="21"/>
  <c r="E183" i="21"/>
  <c r="L183" i="21" s="1"/>
  <c r="E34" i="3"/>
  <c r="E24" i="3"/>
  <c r="E25" i="3"/>
  <c r="Q112" i="12"/>
  <c r="G27" i="21" l="1"/>
  <c r="G29" i="21" s="1"/>
  <c r="F150" i="21" s="1"/>
  <c r="F163" i="21" s="1"/>
  <c r="F166" i="21" s="1"/>
  <c r="F169" i="21" s="1"/>
  <c r="E29" i="21"/>
  <c r="E150" i="21" s="1"/>
  <c r="E163" i="21" s="1"/>
  <c r="L202" i="21"/>
  <c r="G48" i="24" s="1" a="1"/>
  <c r="I48" i="24" s="1"/>
  <c r="E210" i="21"/>
  <c r="F210" i="21" s="1"/>
  <c r="E209" i="21"/>
  <c r="E361" i="3"/>
  <c r="F361" i="3" s="1"/>
  <c r="G361" i="3"/>
  <c r="E360" i="3"/>
  <c r="F360" i="3" s="1"/>
  <c r="G360" i="3"/>
  <c r="E190" i="21"/>
  <c r="E191" i="21"/>
  <c r="F191" i="21" s="1"/>
  <c r="L180" i="21"/>
  <c r="H53" i="23" s="1" a="1"/>
  <c r="BH24" i="27"/>
  <c r="BH21" i="27"/>
  <c r="BH22" i="27" s="1"/>
  <c r="AQ24" i="15"/>
  <c r="AQ21" i="15"/>
  <c r="AQ22" i="15" s="1"/>
  <c r="AQ24" i="28"/>
  <c r="AQ21" i="28"/>
  <c r="AQ22" i="28" s="1"/>
  <c r="AB9" i="2"/>
  <c r="K48" i="24" l="1"/>
  <c r="L48" i="24" s="1"/>
  <c r="J48" i="24"/>
  <c r="K53" i="23"/>
  <c r="M53" i="23" s="1" a="1"/>
  <c r="O53" i="23" s="1"/>
  <c r="J53" i="23"/>
  <c r="E33" i="3"/>
  <c r="N53" i="23" l="1" a="1"/>
  <c r="P53" i="23" s="1"/>
  <c r="R53" i="23" s="1"/>
  <c r="S53" i="23" s="1"/>
  <c r="L62" i="23"/>
  <c r="M62" i="23" s="1"/>
  <c r="N62" i="23" s="1"/>
  <c r="P62" i="23" s="1"/>
  <c r="Q62" i="23" s="1"/>
  <c r="S62" i="23" s="1"/>
  <c r="Z25" i="28" l="1"/>
  <c r="AA25" i="28"/>
  <c r="AB25" i="28"/>
  <c r="AC25" i="28"/>
  <c r="AD25" i="28"/>
  <c r="AE25" i="28"/>
  <c r="AF25" i="28"/>
  <c r="AG25" i="28"/>
  <c r="AH25" i="28"/>
  <c r="AQ29" i="28"/>
  <c r="AQ28" i="28"/>
  <c r="AQ27" i="28"/>
  <c r="BH33" i="27"/>
  <c r="BH32" i="27"/>
  <c r="BH31" i="27"/>
  <c r="AQ29" i="15"/>
  <c r="BA24" i="15" s="1"/>
  <c r="BA25" i="15" s="1"/>
  <c r="AQ28" i="15"/>
  <c r="AQ27" i="15"/>
  <c r="U27" i="2"/>
  <c r="U25" i="2"/>
  <c r="T27" i="2"/>
  <c r="T25" i="2"/>
  <c r="S27" i="2"/>
  <c r="S25" i="2"/>
  <c r="R27" i="2"/>
  <c r="R25" i="2"/>
  <c r="E79" i="26" a="1"/>
  <c r="D79" i="26" a="1"/>
  <c r="C79" i="26" a="1"/>
  <c r="N79" i="26" s="1" a="1"/>
  <c r="B79" i="26" a="1"/>
  <c r="D9" i="28"/>
  <c r="D10" i="28"/>
  <c r="D10" i="27"/>
  <c r="D9" i="15"/>
  <c r="AQ30" i="28" l="1"/>
  <c r="AQ31" i="28" s="1"/>
  <c r="BA24" i="28"/>
  <c r="BA25" i="28" s="1"/>
  <c r="BH34" i="27"/>
  <c r="BH35" i="27" s="1"/>
  <c r="BU24" i="27"/>
  <c r="BU25" i="27" s="1"/>
  <c r="K17" i="28"/>
  <c r="L17" i="28"/>
  <c r="H11" i="28" s="1"/>
  <c r="L17" i="27"/>
  <c r="H11" i="27" s="1"/>
  <c r="K17" i="27"/>
  <c r="D9" i="27"/>
  <c r="D10" i="15"/>
  <c r="AQ30" i="15"/>
  <c r="AI112" i="28"/>
  <c r="AI111" i="28"/>
  <c r="AI110" i="28"/>
  <c r="AI109" i="28"/>
  <c r="AI108" i="28"/>
  <c r="AI107" i="28"/>
  <c r="AI106" i="28"/>
  <c r="AI105" i="28"/>
  <c r="AI104" i="28"/>
  <c r="AI103" i="28"/>
  <c r="AI102" i="28"/>
  <c r="AI101" i="28"/>
  <c r="AI100" i="28"/>
  <c r="AI99" i="28"/>
  <c r="AI98" i="28"/>
  <c r="AI97" i="28"/>
  <c r="AI96" i="28"/>
  <c r="AI95" i="28"/>
  <c r="AI94" i="28"/>
  <c r="AI93" i="28"/>
  <c r="AI92" i="28"/>
  <c r="AI91" i="28"/>
  <c r="AI90" i="28"/>
  <c r="AI89" i="28"/>
  <c r="AI88" i="28"/>
  <c r="AI87" i="28"/>
  <c r="AI86" i="28"/>
  <c r="AI85" i="28"/>
  <c r="AI84" i="28"/>
  <c r="AI83" i="28"/>
  <c r="AI82" i="28"/>
  <c r="AI81" i="28"/>
  <c r="AI80" i="28"/>
  <c r="AI79" i="28"/>
  <c r="AI78" i="28"/>
  <c r="AI77" i="28"/>
  <c r="AI76" i="28"/>
  <c r="AI75" i="28"/>
  <c r="AI74" i="28"/>
  <c r="AI73" i="28"/>
  <c r="AI72" i="28"/>
  <c r="AI70" i="28"/>
  <c r="AI69" i="28"/>
  <c r="AI68" i="28"/>
  <c r="AI67" i="28"/>
  <c r="AI66" i="28"/>
  <c r="AI65" i="28"/>
  <c r="AI64" i="28"/>
  <c r="AI63" i="28"/>
  <c r="AI62" i="28"/>
  <c r="AI61" i="28"/>
  <c r="AI60" i="28"/>
  <c r="AI59" i="28"/>
  <c r="AI58" i="28"/>
  <c r="AI57" i="28"/>
  <c r="AI56" i="28"/>
  <c r="AI55" i="28"/>
  <c r="AI54" i="28"/>
  <c r="AI53" i="28"/>
  <c r="AI52" i="28"/>
  <c r="AI51" i="28"/>
  <c r="AI50" i="28"/>
  <c r="AI49" i="28"/>
  <c r="AI48" i="28"/>
  <c r="AI47" i="28"/>
  <c r="AI46" i="28"/>
  <c r="AI45" i="28"/>
  <c r="AI44" i="28"/>
  <c r="AI43" i="28"/>
  <c r="AI42" i="28"/>
  <c r="AI41" i="28"/>
  <c r="AI40" i="28"/>
  <c r="AI39" i="28"/>
  <c r="AI38" i="28"/>
  <c r="AI37" i="28"/>
  <c r="AI36" i="28"/>
  <c r="AI35" i="28"/>
  <c r="AI34" i="28"/>
  <c r="AI33" i="28"/>
  <c r="AI32" i="28"/>
  <c r="AI31" i="28"/>
  <c r="AI30" i="28"/>
  <c r="AI71" i="28"/>
  <c r="AI29" i="28"/>
  <c r="AI48" i="15"/>
  <c r="AI47" i="15"/>
  <c r="AI46" i="15"/>
  <c r="AI45" i="15"/>
  <c r="AI44" i="15"/>
  <c r="AI43" i="15"/>
  <c r="AI42" i="15"/>
  <c r="AI41" i="15"/>
  <c r="AI40" i="15"/>
  <c r="AI39" i="15"/>
  <c r="AI38" i="15"/>
  <c r="AI37" i="15"/>
  <c r="AI36" i="15"/>
  <c r="AI35" i="15"/>
  <c r="AI34" i="15"/>
  <c r="AI33" i="15"/>
  <c r="AI32" i="15"/>
  <c r="AI31" i="15"/>
  <c r="AI30" i="15"/>
  <c r="AI29" i="15"/>
  <c r="AZ52" i="27"/>
  <c r="AZ51" i="27"/>
  <c r="AZ50" i="27"/>
  <c r="AZ49" i="27"/>
  <c r="AZ48" i="27"/>
  <c r="AZ47" i="27"/>
  <c r="AZ46" i="27"/>
  <c r="AZ45" i="27"/>
  <c r="AZ44" i="27"/>
  <c r="AZ43" i="27"/>
  <c r="AZ42" i="27"/>
  <c r="AZ41" i="27"/>
  <c r="AZ40" i="27"/>
  <c r="AZ39" i="27"/>
  <c r="AZ38" i="27"/>
  <c r="AZ37" i="27"/>
  <c r="AZ36" i="27"/>
  <c r="AZ35" i="27"/>
  <c r="AZ34" i="27"/>
  <c r="AZ33" i="27"/>
  <c r="H52" i="27"/>
  <c r="G52" i="27" a="1"/>
  <c r="H51" i="27"/>
  <c r="G51" i="27" a="1"/>
  <c r="H50" i="27"/>
  <c r="G50" i="27" a="1"/>
  <c r="AP50" i="27" s="1"/>
  <c r="H49" i="27"/>
  <c r="G49" i="27" a="1"/>
  <c r="AP49" i="27" s="1"/>
  <c r="H48" i="27"/>
  <c r="G48" i="27" a="1"/>
  <c r="AU48" i="27" s="1"/>
  <c r="H47" i="27"/>
  <c r="G47" i="27" a="1"/>
  <c r="H46" i="27"/>
  <c r="G46" i="27" a="1"/>
  <c r="AR46" i="27" s="1"/>
  <c r="H45" i="27"/>
  <c r="G45" i="27" a="1"/>
  <c r="AQ45" i="27" s="1"/>
  <c r="H44" i="27"/>
  <c r="G44" i="27" a="1"/>
  <c r="H43" i="27"/>
  <c r="G43" i="27" a="1"/>
  <c r="H42" i="27"/>
  <c r="G42" i="27" a="1"/>
  <c r="H41" i="27"/>
  <c r="G41" i="27" a="1"/>
  <c r="AP41" i="27" s="1"/>
  <c r="H40" i="27"/>
  <c r="G40" i="27" a="1"/>
  <c r="H39" i="27"/>
  <c r="G39" i="27" a="1"/>
  <c r="BH38" i="27"/>
  <c r="H38" i="27"/>
  <c r="G38" i="27" a="1"/>
  <c r="H37" i="27"/>
  <c r="G37" i="27" a="1"/>
  <c r="H36" i="27"/>
  <c r="G36" i="27" a="1"/>
  <c r="H35" i="27"/>
  <c r="G35" i="27" a="1"/>
  <c r="AP35" i="27" s="1"/>
  <c r="AT35" i="27" s="1"/>
  <c r="H34" i="27"/>
  <c r="G34" i="27" a="1"/>
  <c r="AR34" i="27" s="1"/>
  <c r="H33" i="27"/>
  <c r="G33" i="27" a="1"/>
  <c r="AY25" i="27"/>
  <c r="AX25" i="27"/>
  <c r="AW25" i="27"/>
  <c r="AV25" i="27"/>
  <c r="AU25" i="27"/>
  <c r="AT25" i="27"/>
  <c r="AS25" i="27"/>
  <c r="AR25" i="27"/>
  <c r="AQ25" i="27"/>
  <c r="K13" i="27"/>
  <c r="L13" i="27" s="1"/>
  <c r="K12" i="27"/>
  <c r="L12" i="27" s="1"/>
  <c r="K11" i="27"/>
  <c r="K10" i="27"/>
  <c r="L10" i="27" s="1"/>
  <c r="K9" i="27"/>
  <c r="L9" i="27" s="1"/>
  <c r="K8" i="27"/>
  <c r="K7" i="27"/>
  <c r="BH42" i="27" s="1"/>
  <c r="BH43" i="27" s="1"/>
  <c r="L7" i="27" s="1"/>
  <c r="K6" i="27"/>
  <c r="K16" i="27" s="1"/>
  <c r="Z25" i="15"/>
  <c r="AA25" i="15"/>
  <c r="AB25" i="15"/>
  <c r="AC25" i="15"/>
  <c r="AD25" i="15"/>
  <c r="AE25" i="15"/>
  <c r="AF25" i="15"/>
  <c r="AG25" i="15"/>
  <c r="AH25" i="15"/>
  <c r="AQ34" i="15"/>
  <c r="K13" i="15"/>
  <c r="L13" i="15" s="1"/>
  <c r="K12" i="15"/>
  <c r="L12" i="15" s="1"/>
  <c r="K11" i="15"/>
  <c r="K10" i="15"/>
  <c r="L10" i="15" s="1"/>
  <c r="K9" i="15"/>
  <c r="L9" i="15" s="1"/>
  <c r="K8" i="15"/>
  <c r="K7" i="15"/>
  <c r="AQ38" i="15" s="1"/>
  <c r="AQ39" i="15" s="1"/>
  <c r="L7" i="15" s="1"/>
  <c r="K6" i="15"/>
  <c r="H48" i="15"/>
  <c r="G48" i="15" a="1"/>
  <c r="Z48" i="15" s="1"/>
  <c r="H47" i="15"/>
  <c r="G47" i="15" a="1"/>
  <c r="H46" i="15"/>
  <c r="G46" i="15" a="1"/>
  <c r="Z46" i="15" s="1"/>
  <c r="H45" i="15"/>
  <c r="G45" i="15" a="1"/>
  <c r="Z45" i="15" s="1"/>
  <c r="H44" i="15"/>
  <c r="G44" i="15" a="1"/>
  <c r="H43" i="15"/>
  <c r="G43" i="15" a="1"/>
  <c r="H42" i="15"/>
  <c r="G42" i="15" a="1"/>
  <c r="H41" i="15"/>
  <c r="G41" i="15" a="1"/>
  <c r="Z41" i="15" s="1"/>
  <c r="H40" i="15"/>
  <c r="G40" i="15" a="1"/>
  <c r="Z40" i="15" s="1"/>
  <c r="H39" i="15"/>
  <c r="G39" i="15" a="1"/>
  <c r="AA39" i="15" s="1"/>
  <c r="H38" i="15"/>
  <c r="G38" i="15" a="1"/>
  <c r="Z38" i="15" s="1"/>
  <c r="H37" i="15"/>
  <c r="G37" i="15" a="1"/>
  <c r="H36" i="15"/>
  <c r="G36" i="15" a="1"/>
  <c r="AA36" i="15" s="1"/>
  <c r="H35" i="15"/>
  <c r="G35" i="15" a="1"/>
  <c r="H34" i="15"/>
  <c r="G34" i="15" a="1"/>
  <c r="AD34" i="15" s="1"/>
  <c r="H33" i="15"/>
  <c r="G33" i="15" a="1"/>
  <c r="H32" i="15"/>
  <c r="G32" i="15" a="1"/>
  <c r="Z32" i="15" s="1"/>
  <c r="H31" i="15"/>
  <c r="G31" i="15" a="1"/>
  <c r="Z31" i="15" s="1"/>
  <c r="H30" i="15"/>
  <c r="G30" i="15" a="1"/>
  <c r="H29" i="15"/>
  <c r="G29" i="15" a="1"/>
  <c r="Z29" i="15" s="1"/>
  <c r="AB38" i="15"/>
  <c r="AQ34" i="28"/>
  <c r="K6" i="28"/>
  <c r="AB38" i="28"/>
  <c r="B23" i="31"/>
  <c r="J5" i="33" a="1"/>
  <c r="B38" i="31"/>
  <c r="B6" i="31"/>
  <c r="B7" i="31"/>
  <c r="B8" i="31"/>
  <c r="B9" i="31"/>
  <c r="B10" i="31"/>
  <c r="B11" i="31"/>
  <c r="B12" i="31"/>
  <c r="B21" i="31"/>
  <c r="K13" i="28"/>
  <c r="L13" i="28" s="1"/>
  <c r="K12" i="28"/>
  <c r="L12" i="28" s="1"/>
  <c r="K11" i="28"/>
  <c r="K10" i="28"/>
  <c r="L10" i="28" s="1"/>
  <c r="K9" i="28"/>
  <c r="L9" i="28" s="1"/>
  <c r="K8" i="28"/>
  <c r="K7" i="28"/>
  <c r="AQ38" i="28" s="1"/>
  <c r="AQ39" i="28" s="1"/>
  <c r="L7" i="28" s="1"/>
  <c r="G71" i="28" a="1"/>
  <c r="G30" i="28" a="1"/>
  <c r="G29" i="28" a="1"/>
  <c r="C28" i="26"/>
  <c r="M79" i="26" s="1" a="1"/>
  <c r="C23" i="26"/>
  <c r="C24" i="26" s="1"/>
  <c r="C19" i="26"/>
  <c r="E19" i="26" s="1" a="1"/>
  <c r="C11" i="26"/>
  <c r="C50" i="26" s="1"/>
  <c r="C51" i="26" s="1"/>
  <c r="C2" i="26"/>
  <c r="G35" i="22"/>
  <c r="F31" i="22"/>
  <c r="C31" i="22"/>
  <c r="K30" i="22"/>
  <c r="E30" i="22"/>
  <c r="G30" i="22" s="1"/>
  <c r="L30" i="22" s="1"/>
  <c r="M30" i="22" s="1"/>
  <c r="K29" i="22"/>
  <c r="E29" i="22"/>
  <c r="G29" i="22" s="1"/>
  <c r="L29" i="22" s="1"/>
  <c r="M29" i="22" s="1"/>
  <c r="K28" i="22"/>
  <c r="E28" i="22"/>
  <c r="G28" i="22" s="1"/>
  <c r="L28" i="22" s="1"/>
  <c r="M28" i="22" s="1"/>
  <c r="K27" i="22"/>
  <c r="E27" i="22"/>
  <c r="G27" i="22" s="1"/>
  <c r="L27" i="22" s="1"/>
  <c r="M27" i="22" s="1"/>
  <c r="K26" i="22"/>
  <c r="E26" i="22"/>
  <c r="G26" i="22" s="1"/>
  <c r="L26" i="22" s="1"/>
  <c r="M26" i="22" s="1"/>
  <c r="K25" i="22"/>
  <c r="E25" i="22"/>
  <c r="G25" i="22" s="1"/>
  <c r="L25" i="22" s="1"/>
  <c r="M25" i="22" s="1"/>
  <c r="K24" i="22"/>
  <c r="E24" i="22"/>
  <c r="G24" i="22" s="1"/>
  <c r="L24" i="22" s="1"/>
  <c r="M24" i="22" s="1"/>
  <c r="K23" i="22"/>
  <c r="E23" i="22"/>
  <c r="G23" i="22" s="1"/>
  <c r="L23" i="22" s="1"/>
  <c r="M23" i="22" s="1"/>
  <c r="K22" i="22"/>
  <c r="E22" i="22"/>
  <c r="G22" i="22" s="1"/>
  <c r="L22" i="22" s="1"/>
  <c r="M22" i="22" s="1"/>
  <c r="K21" i="22"/>
  <c r="E21" i="22"/>
  <c r="G21" i="22" s="1"/>
  <c r="L21" i="22" s="1"/>
  <c r="M21" i="22" s="1"/>
  <c r="K20" i="22"/>
  <c r="E20" i="22"/>
  <c r="G20" i="22" s="1"/>
  <c r="L20" i="22" s="1"/>
  <c r="M20" i="22" s="1"/>
  <c r="K19" i="22"/>
  <c r="E19" i="22"/>
  <c r="G19" i="22" s="1"/>
  <c r="L19" i="22" s="1"/>
  <c r="C2" i="22"/>
  <c r="B20" i="31"/>
  <c r="AB14" i="2"/>
  <c r="AB13" i="2"/>
  <c r="D9" i="22"/>
  <c r="K16" i="15" l="1"/>
  <c r="K16" i="28"/>
  <c r="BH46" i="27" a="1"/>
  <c r="D12" i="27" s="1"/>
  <c r="BH41" i="27" s="1" a="1"/>
  <c r="D20" i="27" s="1"/>
  <c r="BH44" i="27" a="1"/>
  <c r="BH36" i="27" a="1"/>
  <c r="AQ42" i="28" a="1"/>
  <c r="D12" i="28" s="1"/>
  <c r="AQ37" i="28" s="1" a="1"/>
  <c r="D20" i="28" s="1"/>
  <c r="AQ40" i="28" a="1"/>
  <c r="AQ32" i="28" a="1"/>
  <c r="AH34" i="15"/>
  <c r="Z71" i="28"/>
  <c r="AD71" i="28"/>
  <c r="Z30" i="28"/>
  <c r="AD30" i="28"/>
  <c r="Z29" i="28"/>
  <c r="AD29" i="28"/>
  <c r="L6" i="15"/>
  <c r="L6" i="28"/>
  <c r="C13" i="24" a="1"/>
  <c r="C20" i="24" a="1"/>
  <c r="C20" i="23" a="1"/>
  <c r="C13" i="23" a="1"/>
  <c r="D62" i="22"/>
  <c r="D61" i="22"/>
  <c r="D60" i="22"/>
  <c r="D59" i="22"/>
  <c r="D58" i="22"/>
  <c r="D57" i="22"/>
  <c r="D56" i="22"/>
  <c r="D55" i="22"/>
  <c r="D54" i="22"/>
  <c r="D53" i="22"/>
  <c r="D52" i="22"/>
  <c r="Y29" i="28"/>
  <c r="AS42" i="27"/>
  <c r="AB48" i="28"/>
  <c r="AB36" i="28"/>
  <c r="AB39" i="15"/>
  <c r="AS47" i="27"/>
  <c r="AB75" i="28"/>
  <c r="AB87" i="28"/>
  <c r="AB102" i="28"/>
  <c r="AB105" i="28"/>
  <c r="AB97" i="28"/>
  <c r="AS50" i="27"/>
  <c r="AS49" i="27"/>
  <c r="AS46" i="27"/>
  <c r="AS38" i="27"/>
  <c r="AS33" i="27"/>
  <c r="AS43" i="27"/>
  <c r="AB79" i="28"/>
  <c r="AN31" i="28"/>
  <c r="AQ49" i="27"/>
  <c r="AB69" i="28"/>
  <c r="AB34" i="28"/>
  <c r="AD42" i="15"/>
  <c r="Z42" i="15"/>
  <c r="AA33" i="15"/>
  <c r="Y33" i="15"/>
  <c r="AC33" i="15" s="1"/>
  <c r="Z33" i="15"/>
  <c r="AS45" i="27"/>
  <c r="AB47" i="15"/>
  <c r="AB62" i="28"/>
  <c r="AB76" i="28"/>
  <c r="AS37" i="27"/>
  <c r="AB41" i="15"/>
  <c r="AB43" i="15"/>
  <c r="AS48" i="27"/>
  <c r="Y29" i="15"/>
  <c r="AC29" i="15" s="1"/>
  <c r="AS41" i="27"/>
  <c r="AS36" i="27"/>
  <c r="AB31" i="15"/>
  <c r="AB54" i="28"/>
  <c r="AB30" i="15"/>
  <c r="AS34" i="27"/>
  <c r="C8" i="26"/>
  <c r="AS52" i="27"/>
  <c r="Z34" i="15"/>
  <c r="AE34" i="15" s="1"/>
  <c r="AP52" i="27"/>
  <c r="AT52" i="27" s="1"/>
  <c r="AR52" i="27"/>
  <c r="AQ52" i="27"/>
  <c r="AU52" i="27"/>
  <c r="Y35" i="15"/>
  <c r="AC35" i="15" s="1"/>
  <c r="Z35" i="15"/>
  <c r="AB44" i="28"/>
  <c r="Y36" i="15"/>
  <c r="AC36" i="15" s="1"/>
  <c r="L11" i="28"/>
  <c r="AD39" i="15"/>
  <c r="AB29" i="28"/>
  <c r="AB56" i="28"/>
  <c r="AB71" i="28"/>
  <c r="AB64" i="28"/>
  <c r="K17" i="15"/>
  <c r="AB111" i="28"/>
  <c r="AB35" i="28"/>
  <c r="AB100" i="28"/>
  <c r="AD33" i="15"/>
  <c r="AU34" i="27"/>
  <c r="AB30" i="28"/>
  <c r="AB80" i="28"/>
  <c r="AB83" i="28"/>
  <c r="AB73" i="28"/>
  <c r="Y39" i="15"/>
  <c r="AC39" i="15" s="1"/>
  <c r="AS51" i="27"/>
  <c r="AB103" i="28"/>
  <c r="AB32" i="28"/>
  <c r="AB47" i="28"/>
  <c r="AB52" i="28"/>
  <c r="Y40" i="15"/>
  <c r="AC40" i="15" s="1"/>
  <c r="AB53" i="28"/>
  <c r="AB59" i="28"/>
  <c r="AB112" i="28"/>
  <c r="C9" i="26"/>
  <c r="D8" i="22"/>
  <c r="AB50" i="28"/>
  <c r="AB42" i="28"/>
  <c r="AB57" i="28"/>
  <c r="AB95" i="28"/>
  <c r="AB88" i="28"/>
  <c r="Y31" i="15"/>
  <c r="AC31" i="15" s="1"/>
  <c r="Z39" i="15"/>
  <c r="AB86" i="28"/>
  <c r="AB66" i="28"/>
  <c r="AB81" i="28"/>
  <c r="AB40" i="28"/>
  <c r="AB84" i="28"/>
  <c r="AB63" i="28"/>
  <c r="AB78" i="28"/>
  <c r="AB93" i="28"/>
  <c r="AB96" i="28"/>
  <c r="AB32" i="15"/>
  <c r="AB29" i="15"/>
  <c r="AB37" i="15"/>
  <c r="Z36" i="15"/>
  <c r="L11" i="27"/>
  <c r="AB99" i="28"/>
  <c r="AB91" i="28"/>
  <c r="AB58" i="28"/>
  <c r="AB49" i="28"/>
  <c r="AB42" i="15"/>
  <c r="AA30" i="15"/>
  <c r="AD30" i="15"/>
  <c r="AQ40" i="27"/>
  <c r="AR40" i="27"/>
  <c r="AQ36" i="27"/>
  <c r="AR36" i="27"/>
  <c r="Y71" i="28"/>
  <c r="AC71" i="28" s="1"/>
  <c r="AQ43" i="27"/>
  <c r="AP43" i="27"/>
  <c r="AT43" i="27" s="1"/>
  <c r="AR43" i="27"/>
  <c r="AU43" i="27"/>
  <c r="AB74" i="28"/>
  <c r="AB41" i="28"/>
  <c r="AB90" i="28"/>
  <c r="AB68" i="28"/>
  <c r="AB46" i="28"/>
  <c r="AB107" i="28"/>
  <c r="AB72" i="28"/>
  <c r="AB35" i="15"/>
  <c r="Y42" i="15"/>
  <c r="AR50" i="27"/>
  <c r="L11" i="15"/>
  <c r="AR45" i="27"/>
  <c r="AA34" i="15"/>
  <c r="AQ34" i="27"/>
  <c r="AB46" i="15"/>
  <c r="AA42" i="15"/>
  <c r="AU50" i="27"/>
  <c r="AP46" i="27"/>
  <c r="AT46" i="27" s="1"/>
  <c r="C45" i="26"/>
  <c r="C46" i="26"/>
  <c r="C47" i="26" s="1"/>
  <c r="AD36" i="15"/>
  <c r="AB110" i="28"/>
  <c r="AB77" i="28"/>
  <c r="AB43" i="28"/>
  <c r="AB104" i="28"/>
  <c r="AB82" i="28"/>
  <c r="AB85" i="28"/>
  <c r="AB60" i="28"/>
  <c r="AB45" i="15"/>
  <c r="AB36" i="15"/>
  <c r="AU46" i="27"/>
  <c r="AU35" i="27"/>
  <c r="AS35" i="27"/>
  <c r="AB39" i="28"/>
  <c r="AB89" i="28"/>
  <c r="AB55" i="28"/>
  <c r="AB33" i="28"/>
  <c r="AB94" i="28"/>
  <c r="AB109" i="28"/>
  <c r="AB33" i="15"/>
  <c r="AA40" i="15"/>
  <c r="AB48" i="15"/>
  <c r="AQ35" i="27"/>
  <c r="AS44" i="27"/>
  <c r="AS40" i="27"/>
  <c r="AB98" i="28"/>
  <c r="AB65" i="28"/>
  <c r="AB31" i="28"/>
  <c r="AB92" i="28"/>
  <c r="AB70" i="28"/>
  <c r="AB37" i="28"/>
  <c r="AB108" i="28"/>
  <c r="AB34" i="15"/>
  <c r="AB40" i="15"/>
  <c r="AQ46" i="27"/>
  <c r="C33" i="26"/>
  <c r="E33" i="26" s="1"/>
  <c r="AB51" i="28"/>
  <c r="AB101" i="28"/>
  <c r="AB67" i="28"/>
  <c r="AB45" i="28"/>
  <c r="AB106" i="28"/>
  <c r="AB61" i="28"/>
  <c r="AB44" i="15"/>
  <c r="AR35" i="27"/>
  <c r="AS39" i="27"/>
  <c r="Y30" i="28"/>
  <c r="AA30" i="28"/>
  <c r="AT50" i="27"/>
  <c r="Y44" i="15"/>
  <c r="AD44" i="15"/>
  <c r="Z44" i="15"/>
  <c r="AA44" i="15"/>
  <c r="AQ51" i="27"/>
  <c r="AU51" i="27"/>
  <c r="AR51" i="27"/>
  <c r="AP51" i="27"/>
  <c r="AA48" i="15"/>
  <c r="Y48" i="15"/>
  <c r="AD48" i="15"/>
  <c r="AQ47" i="27"/>
  <c r="AU47" i="27"/>
  <c r="AP47" i="27"/>
  <c r="AR47" i="27"/>
  <c r="AU33" i="27"/>
  <c r="AR33" i="27"/>
  <c r="AQ33" i="27"/>
  <c r="AP33" i="27"/>
  <c r="AR37" i="27"/>
  <c r="AQ37" i="27"/>
  <c r="AP37" i="27"/>
  <c r="AU37" i="27"/>
  <c r="AQ41" i="27"/>
  <c r="AR41" i="27"/>
  <c r="AU41" i="27"/>
  <c r="AD37" i="15"/>
  <c r="Z37" i="15"/>
  <c r="Y37" i="15"/>
  <c r="AA37" i="15"/>
  <c r="AD41" i="15"/>
  <c r="Y41" i="15"/>
  <c r="AA41" i="15"/>
  <c r="L31" i="22"/>
  <c r="G36" i="22" s="1"/>
  <c r="C34" i="21" s="1"/>
  <c r="M19" i="22"/>
  <c r="AT41" i="27"/>
  <c r="Y34" i="15"/>
  <c r="Y45" i="15"/>
  <c r="AA45" i="15"/>
  <c r="AD45" i="15"/>
  <c r="AA31" i="15"/>
  <c r="AD31" i="15"/>
  <c r="AA38" i="15"/>
  <c r="Y38" i="15"/>
  <c r="AD38" i="15"/>
  <c r="AP38" i="27"/>
  <c r="AU38" i="27"/>
  <c r="AQ38" i="27"/>
  <c r="AQ44" i="27"/>
  <c r="AR44" i="27"/>
  <c r="AU44" i="27"/>
  <c r="AP44" i="27"/>
  <c r="AR48" i="27"/>
  <c r="AQ48" i="27"/>
  <c r="AV48" i="27" s="1"/>
  <c r="AP48" i="27"/>
  <c r="AR38" i="27"/>
  <c r="AD35" i="15"/>
  <c r="AA35" i="15"/>
  <c r="AY48" i="27"/>
  <c r="S48" i="27"/>
  <c r="U48" i="27" s="1" a="1"/>
  <c r="AP39" i="27"/>
  <c r="AR39" i="27"/>
  <c r="AU39" i="27"/>
  <c r="AQ39" i="27"/>
  <c r="AP45" i="27"/>
  <c r="AU45" i="27"/>
  <c r="AD47" i="15"/>
  <c r="AA47" i="15"/>
  <c r="Y47" i="15"/>
  <c r="Z47" i="15"/>
  <c r="AP42" i="27"/>
  <c r="AQ42" i="27"/>
  <c r="AR42" i="27"/>
  <c r="AU42" i="27"/>
  <c r="AA29" i="28"/>
  <c r="AA32" i="15"/>
  <c r="AT49" i="27"/>
  <c r="L6" i="27"/>
  <c r="Y32" i="15"/>
  <c r="Z43" i="15"/>
  <c r="AA43" i="15"/>
  <c r="Y43" i="15"/>
  <c r="AD43" i="15"/>
  <c r="AU36" i="27"/>
  <c r="AP36" i="27"/>
  <c r="AD32" i="15"/>
  <c r="Y30" i="15"/>
  <c r="Z30" i="15"/>
  <c r="AD40" i="15"/>
  <c r="AA29" i="15"/>
  <c r="AD29" i="15"/>
  <c r="AU40" i="27"/>
  <c r="AP40" i="27"/>
  <c r="AA71" i="28"/>
  <c r="AU49" i="27"/>
  <c r="AR49" i="27"/>
  <c r="AA46" i="15"/>
  <c r="Y46" i="15"/>
  <c r="AD46" i="15"/>
  <c r="AP34" i="27"/>
  <c r="AQ50" i="27"/>
  <c r="C52" i="26"/>
  <c r="N30" i="22" l="1"/>
  <c r="N28" i="22"/>
  <c r="N26" i="22"/>
  <c r="N24" i="22"/>
  <c r="N22" i="22"/>
  <c r="N20" i="22"/>
  <c r="N29" i="22"/>
  <c r="N27" i="22"/>
  <c r="N25" i="22"/>
  <c r="N23" i="22"/>
  <c r="N21" i="22"/>
  <c r="D51" i="22"/>
  <c r="N19" i="22"/>
  <c r="N31" i="22" s="1"/>
  <c r="G38" i="22" s="1"/>
  <c r="G40" i="22" s="1"/>
  <c r="C48" i="26"/>
  <c r="C49" i="26" s="1"/>
  <c r="G9" i="3"/>
  <c r="H9" i="3" a="1"/>
  <c r="G8" i="3"/>
  <c r="AL34" i="15"/>
  <c r="AJ34" i="15"/>
  <c r="AK34" i="15"/>
  <c r="AH71" i="28"/>
  <c r="AH30" i="28"/>
  <c r="AH29" i="28"/>
  <c r="AH42" i="15"/>
  <c r="AO34" i="15" a="1"/>
  <c r="AG34" i="15" a="1"/>
  <c r="L34" i="15" s="1" a="1"/>
  <c r="AY52" i="27"/>
  <c r="AH39" i="15"/>
  <c r="AH33" i="15"/>
  <c r="AY34" i="27"/>
  <c r="AH30" i="15"/>
  <c r="S50" i="27"/>
  <c r="AH36" i="15"/>
  <c r="S46" i="27"/>
  <c r="S35" i="27"/>
  <c r="AH44" i="15"/>
  <c r="AH48" i="15"/>
  <c r="AH37" i="15"/>
  <c r="AH45" i="15"/>
  <c r="AH31" i="15"/>
  <c r="AH38" i="15"/>
  <c r="BF48" i="27" a="1"/>
  <c r="AX48" i="27" a="1"/>
  <c r="L48" i="27" s="1" a="1"/>
  <c r="AH35" i="15"/>
  <c r="AH47" i="15"/>
  <c r="AH43" i="15"/>
  <c r="AH32" i="15"/>
  <c r="AE40" i="15"/>
  <c r="AF40" i="15" s="1"/>
  <c r="F40" i="15" s="1" a="1"/>
  <c r="AN32" i="28"/>
  <c r="H31" i="28"/>
  <c r="AC29" i="28"/>
  <c r="C12" i="24" a="1"/>
  <c r="C19" i="24" a="1"/>
  <c r="C15" i="24" a="1"/>
  <c r="C14" i="24" a="1"/>
  <c r="C11" i="24" a="1"/>
  <c r="C10" i="24" a="1"/>
  <c r="C19" i="23" a="1"/>
  <c r="C14" i="23" a="1"/>
  <c r="C15" i="23" a="1"/>
  <c r="C12" i="23" a="1"/>
  <c r="C11" i="23" a="1"/>
  <c r="C10" i="23" a="1"/>
  <c r="D11" i="22"/>
  <c r="G41" i="22" s="1"/>
  <c r="C34" i="26"/>
  <c r="C35" i="26" s="1"/>
  <c r="C36" i="26"/>
  <c r="E36" i="26" s="1"/>
  <c r="AV34" i="27"/>
  <c r="AE33" i="15"/>
  <c r="G31" i="28" a="1"/>
  <c r="AD31" i="28" s="1"/>
  <c r="AE37" i="15"/>
  <c r="AE44" i="15"/>
  <c r="AV49" i="27"/>
  <c r="AE29" i="28"/>
  <c r="AV37" i="27"/>
  <c r="AV42" i="27"/>
  <c r="AY46" i="27"/>
  <c r="BB46" i="27" s="1"/>
  <c r="S52" i="27"/>
  <c r="U52" i="27" s="1" a="1"/>
  <c r="AE42" i="15"/>
  <c r="AV35" i="27"/>
  <c r="AE39" i="15"/>
  <c r="AE35" i="15"/>
  <c r="S34" i="27"/>
  <c r="AV41" i="27"/>
  <c r="AV50" i="27"/>
  <c r="AE47" i="15"/>
  <c r="AV52" i="27"/>
  <c r="AY35" i="27"/>
  <c r="BA35" i="27" s="1"/>
  <c r="AV46" i="27"/>
  <c r="AV43" i="27"/>
  <c r="AV51" i="27"/>
  <c r="AE45" i="15"/>
  <c r="AY50" i="27"/>
  <c r="BC50" i="27" s="1"/>
  <c r="S43" i="27"/>
  <c r="U43" i="27" s="1" a="1"/>
  <c r="AY43" i="27"/>
  <c r="AE30" i="15"/>
  <c r="AE32" i="15"/>
  <c r="AE36" i="15"/>
  <c r="AC42" i="15"/>
  <c r="AV47" i="27"/>
  <c r="S36" i="27"/>
  <c r="U36" i="27" s="1" a="1"/>
  <c r="AY36" i="27"/>
  <c r="S39" i="27"/>
  <c r="U39" i="27" s="1" a="1"/>
  <c r="AY39" i="27"/>
  <c r="AC38" i="15"/>
  <c r="AT51" i="27"/>
  <c r="AC30" i="15"/>
  <c r="AT44" i="27"/>
  <c r="AT47" i="27"/>
  <c r="AC43" i="15"/>
  <c r="AT42" i="27"/>
  <c r="AC47" i="15"/>
  <c r="S44" i="27"/>
  <c r="U44" i="27" s="1" a="1"/>
  <c r="AY44" i="27"/>
  <c r="AT34" i="27"/>
  <c r="AQ35" i="15"/>
  <c r="L8" i="15" s="1"/>
  <c r="L16" i="15" s="1"/>
  <c r="AT39" i="27"/>
  <c r="AC41" i="15"/>
  <c r="AY47" i="27"/>
  <c r="S47" i="27"/>
  <c r="U47" i="27" s="1" a="1"/>
  <c r="S51" i="27"/>
  <c r="U51" i="27" s="1" a="1"/>
  <c r="AY51" i="27"/>
  <c r="AH46" i="15"/>
  <c r="AE46" i="15"/>
  <c r="AE43" i="15"/>
  <c r="AT33" i="27"/>
  <c r="BH39" i="27"/>
  <c r="L8" i="27" s="1"/>
  <c r="L16" i="27" s="1"/>
  <c r="AC46" i="15"/>
  <c r="AT40" i="27"/>
  <c r="AV36" i="27"/>
  <c r="AV44" i="27"/>
  <c r="AE31" i="15"/>
  <c r="AH41" i="15"/>
  <c r="AE41" i="15"/>
  <c r="AV33" i="27"/>
  <c r="AY40" i="27"/>
  <c r="S40" i="27"/>
  <c r="U40" i="27" s="1" a="1"/>
  <c r="AV40" i="27"/>
  <c r="AC32" i="15"/>
  <c r="T48" i="27"/>
  <c r="AV38" i="27"/>
  <c r="S41" i="27"/>
  <c r="U41" i="27" s="1" a="1"/>
  <c r="AY41" i="27"/>
  <c r="AC48" i="15"/>
  <c r="AE48" i="15"/>
  <c r="AC30" i="28"/>
  <c r="AE29" i="15"/>
  <c r="AH29" i="15"/>
  <c r="BA48" i="27"/>
  <c r="BC48" i="27"/>
  <c r="BB48" i="27"/>
  <c r="S38" i="27"/>
  <c r="U38" i="27" s="1" a="1"/>
  <c r="AY38" i="27"/>
  <c r="AC37" i="15"/>
  <c r="AY33" i="27"/>
  <c r="S33" i="27"/>
  <c r="U33" i="27" s="1" a="1"/>
  <c r="AE30" i="28"/>
  <c r="M31" i="22"/>
  <c r="AE71" i="28"/>
  <c r="AH40" i="15"/>
  <c r="AY45" i="27"/>
  <c r="S45" i="27"/>
  <c r="U45" i="27" s="1" a="1"/>
  <c r="AW48" i="27"/>
  <c r="F48" i="27" s="1" a="1"/>
  <c r="AT48" i="27"/>
  <c r="AT38" i="27"/>
  <c r="AC45" i="15"/>
  <c r="S49" i="27"/>
  <c r="U49" i="27" s="1" a="1"/>
  <c r="AY49" i="27"/>
  <c r="AY42" i="27"/>
  <c r="S42" i="27"/>
  <c r="U42" i="27" s="1" a="1"/>
  <c r="AT45" i="27"/>
  <c r="AF34" i="15"/>
  <c r="F34" i="15" s="1" a="1"/>
  <c r="AC34" i="15"/>
  <c r="AE38" i="15"/>
  <c r="AY37" i="27"/>
  <c r="S37" i="27"/>
  <c r="U37" i="27" s="1" a="1"/>
  <c r="AT36" i="27"/>
  <c r="AV39" i="27"/>
  <c r="AV45" i="27"/>
  <c r="AT37" i="27"/>
  <c r="AC44" i="15"/>
  <c r="E57" i="22" l="1"/>
  <c r="E59" i="22"/>
  <c r="E53" i="22"/>
  <c r="E62" i="22"/>
  <c r="E54" i="22"/>
  <c r="E56" i="22"/>
  <c r="E60" i="22"/>
  <c r="E52" i="22"/>
  <c r="E55" i="22"/>
  <c r="E58" i="22"/>
  <c r="E61" i="22"/>
  <c r="E51" i="22"/>
  <c r="C23" i="24"/>
  <c r="C23" i="23"/>
  <c r="AK71" i="28"/>
  <c r="AJ71" i="28"/>
  <c r="AL71" i="28"/>
  <c r="AJ30" i="28"/>
  <c r="AK30" i="28"/>
  <c r="AL30" i="28"/>
  <c r="AK29" i="28"/>
  <c r="AL29" i="28"/>
  <c r="AJ29" i="28"/>
  <c r="AK42" i="15"/>
  <c r="AL42" i="15"/>
  <c r="AJ42" i="15"/>
  <c r="BB52" i="27"/>
  <c r="BA52" i="27"/>
  <c r="BC52" i="27"/>
  <c r="AK39" i="15"/>
  <c r="AL39" i="15"/>
  <c r="AJ39" i="15"/>
  <c r="AJ33" i="15"/>
  <c r="AL33" i="15"/>
  <c r="AK33" i="15"/>
  <c r="BC34" i="27"/>
  <c r="BA34" i="27"/>
  <c r="BB34" i="27"/>
  <c r="AJ30" i="15"/>
  <c r="AK30" i="15"/>
  <c r="AL30" i="15"/>
  <c r="U50" i="27" a="1"/>
  <c r="T50" i="27"/>
  <c r="AJ36" i="15"/>
  <c r="AK36" i="15"/>
  <c r="AL36" i="15"/>
  <c r="U46" i="27" a="1"/>
  <c r="T46" i="27"/>
  <c r="T35" i="27"/>
  <c r="U35" i="27" a="1"/>
  <c r="AL44" i="15"/>
  <c r="AK44" i="15"/>
  <c r="AJ44" i="15"/>
  <c r="AJ48" i="15"/>
  <c r="AL48" i="15"/>
  <c r="AK48" i="15"/>
  <c r="AL37" i="15"/>
  <c r="AK37" i="15"/>
  <c r="AJ37" i="15"/>
  <c r="AK45" i="15"/>
  <c r="AJ45" i="15"/>
  <c r="AL45" i="15"/>
  <c r="AJ31" i="15"/>
  <c r="AK31" i="15"/>
  <c r="AL31" i="15"/>
  <c r="AJ38" i="15"/>
  <c r="AL38" i="15"/>
  <c r="AK38" i="15"/>
  <c r="AJ35" i="15"/>
  <c r="AK35" i="15"/>
  <c r="AL35" i="15"/>
  <c r="AL47" i="15"/>
  <c r="AK47" i="15"/>
  <c r="AJ47" i="15"/>
  <c r="AK43" i="15"/>
  <c r="AL43" i="15"/>
  <c r="AJ43" i="15"/>
  <c r="AK32" i="15"/>
  <c r="AL32" i="15"/>
  <c r="AJ32" i="15"/>
  <c r="K34" i="15" a="1"/>
  <c r="K48" i="27" a="1"/>
  <c r="AG40" i="15" a="1"/>
  <c r="L40" i="15" s="1" a="1"/>
  <c r="AO40" i="15" a="1"/>
  <c r="BF34" i="27" a="1"/>
  <c r="AX34" i="27" a="1"/>
  <c r="L34" i="27" s="1" a="1"/>
  <c r="AG33" i="15" a="1"/>
  <c r="L33" i="15" s="1" a="1"/>
  <c r="AO33" i="15" a="1"/>
  <c r="AH31" i="28"/>
  <c r="AO37" i="15" a="1"/>
  <c r="AG37" i="15" a="1"/>
  <c r="L37" i="15" s="1" a="1"/>
  <c r="AG44" i="15" a="1"/>
  <c r="L44" i="15" s="1" a="1"/>
  <c r="AO44" i="15" a="1"/>
  <c r="AX49" i="27" a="1"/>
  <c r="L49" i="27" s="1" a="1"/>
  <c r="BF49" i="27" a="1"/>
  <c r="AO29" i="28" a="1"/>
  <c r="AG29" i="28" a="1"/>
  <c r="L29" i="28" s="1" a="1"/>
  <c r="AX37" i="27" a="1"/>
  <c r="L37" i="27" s="1" a="1"/>
  <c r="BF37" i="27" a="1"/>
  <c r="AX42" i="27" a="1"/>
  <c r="L42" i="27" s="1" a="1"/>
  <c r="BF42" i="27" a="1"/>
  <c r="AG42" i="15" a="1"/>
  <c r="L42" i="15" s="1" a="1"/>
  <c r="AO42" i="15" a="1"/>
  <c r="AX35" i="27" a="1"/>
  <c r="L35" i="27" s="1" a="1"/>
  <c r="BF35" i="27" a="1"/>
  <c r="AO39" i="15" a="1"/>
  <c r="AG39" i="15" a="1"/>
  <c r="L39" i="15" s="1" a="1"/>
  <c r="AO35" i="15" a="1"/>
  <c r="AG35" i="15" a="1"/>
  <c r="L35" i="15" s="1" a="1"/>
  <c r="BF41" i="27" a="1"/>
  <c r="AX41" i="27" a="1"/>
  <c r="L41" i="27" s="1" a="1"/>
  <c r="AX50" i="27" a="1"/>
  <c r="L50" i="27" s="1" a="1"/>
  <c r="BF50" i="27" a="1"/>
  <c r="AG47" i="15" a="1"/>
  <c r="L47" i="15" s="1" a="1"/>
  <c r="AO47" i="15" a="1"/>
  <c r="AX52" i="27" a="1"/>
  <c r="L52" i="27" s="1" a="1"/>
  <c r="BF52" i="27" a="1"/>
  <c r="AX46" i="27" a="1"/>
  <c r="L46" i="27" s="1" a="1"/>
  <c r="BF46" i="27" a="1"/>
  <c r="AX43" i="27" a="1"/>
  <c r="L43" i="27" s="1" a="1"/>
  <c r="BF43" i="27" a="1"/>
  <c r="AX51" i="27" a="1"/>
  <c r="L51" i="27" s="1" a="1"/>
  <c r="BF51" i="27" a="1"/>
  <c r="AG45" i="15" a="1"/>
  <c r="L45" i="15" s="1" a="1"/>
  <c r="AO45" i="15" a="1"/>
  <c r="AG30" i="15" a="1"/>
  <c r="L30" i="15" s="1" a="1"/>
  <c r="AO30" i="15" a="1"/>
  <c r="AO32" i="15" a="1"/>
  <c r="AG32" i="15" a="1"/>
  <c r="L32" i="15" s="1" a="1"/>
  <c r="AO36" i="15" a="1"/>
  <c r="AG36" i="15" a="1"/>
  <c r="L36" i="15" s="1" a="1"/>
  <c r="BF47" i="27" a="1"/>
  <c r="AX47" i="27" a="1"/>
  <c r="L47" i="27" s="1" a="1"/>
  <c r="AG46" i="15" a="1"/>
  <c r="L46" i="15" s="1" a="1"/>
  <c r="AO46" i="15" a="1"/>
  <c r="AO43" i="15" a="1"/>
  <c r="AG43" i="15" a="1"/>
  <c r="L43" i="15" s="1" a="1"/>
  <c r="AX36" i="27" a="1"/>
  <c r="L36" i="27" s="1" a="1"/>
  <c r="BF36" i="27" a="1"/>
  <c r="BF44" i="27" a="1"/>
  <c r="AX44" i="27" a="1"/>
  <c r="L44" i="27" s="1" a="1"/>
  <c r="AG31" i="15" a="1"/>
  <c r="L31" i="15" s="1" a="1"/>
  <c r="AO31" i="15" a="1"/>
  <c r="AG41" i="15" a="1"/>
  <c r="L41" i="15" s="1" a="1"/>
  <c r="AO41" i="15" a="1"/>
  <c r="AX33" i="27" a="1"/>
  <c r="L33" i="27" s="1" a="1"/>
  <c r="BF33" i="27" a="1"/>
  <c r="BF40" i="27" a="1"/>
  <c r="AX40" i="27" a="1"/>
  <c r="L40" i="27" s="1" a="1"/>
  <c r="BF38" i="27" a="1"/>
  <c r="AX38" i="27" a="1"/>
  <c r="L38" i="27" s="1" a="1"/>
  <c r="AG48" i="15" a="1"/>
  <c r="L48" i="15" s="1" a="1"/>
  <c r="AO48" i="15" a="1"/>
  <c r="AG29" i="15" a="1"/>
  <c r="L29" i="15" s="1" a="1"/>
  <c r="AO29" i="15" a="1"/>
  <c r="AG30" i="28" a="1"/>
  <c r="L30" i="28" s="1" a="1"/>
  <c r="AO30" i="28" a="1"/>
  <c r="AG71" i="28" a="1"/>
  <c r="L71" i="28" s="1" a="1"/>
  <c r="AO71" i="28" a="1"/>
  <c r="AG38" i="15" a="1"/>
  <c r="L38" i="15" s="1" a="1"/>
  <c r="AO38" i="15" a="1"/>
  <c r="BF39" i="27" a="1"/>
  <c r="AX39" i="27" a="1"/>
  <c r="L39" i="27" s="1" a="1"/>
  <c r="BF45" i="27" a="1"/>
  <c r="AX45" i="27" a="1"/>
  <c r="L45" i="27" s="1" a="1"/>
  <c r="AN33" i="28"/>
  <c r="H33" i="28" s="1"/>
  <c r="G32" i="28" a="1"/>
  <c r="AD32" i="28" s="1"/>
  <c r="H32" i="28"/>
  <c r="T34" i="27"/>
  <c r="U34" i="27" a="1"/>
  <c r="AW35" i="27"/>
  <c r="F35" i="27" s="1" a="1"/>
  <c r="Y31" i="28"/>
  <c r="Z31" i="28"/>
  <c r="L17" i="15"/>
  <c r="H11" i="15" s="1"/>
  <c r="AQ31" i="15"/>
  <c r="G37" i="22"/>
  <c r="C35" i="21" s="1"/>
  <c r="C36" i="21" s="1"/>
  <c r="AW49" i="27"/>
  <c r="F49" i="27" s="1" a="1"/>
  <c r="AF44" i="15"/>
  <c r="F44" i="15" s="1" a="1"/>
  <c r="AW34" i="27"/>
  <c r="F34" i="27" s="1" a="1"/>
  <c r="AF29" i="28"/>
  <c r="F29" i="28" s="1" a="1"/>
  <c r="AA31" i="28"/>
  <c r="AF33" i="15"/>
  <c r="F33" i="15" s="1" a="1"/>
  <c r="AF37" i="15"/>
  <c r="F37" i="15" s="1" a="1"/>
  <c r="BA46" i="27"/>
  <c r="BB35" i="27"/>
  <c r="BC46" i="27"/>
  <c r="AF39" i="15"/>
  <c r="F39" i="15" s="1" a="1"/>
  <c r="BA50" i="27"/>
  <c r="AW37" i="27"/>
  <c r="F37" i="27" s="1" a="1"/>
  <c r="AF47" i="15"/>
  <c r="F47" i="15" s="1" a="1"/>
  <c r="AW45" i="27"/>
  <c r="F45" i="27" s="1" a="1"/>
  <c r="AW42" i="27"/>
  <c r="F42" i="27" s="1" a="1"/>
  <c r="BC35" i="27"/>
  <c r="AF42" i="15"/>
  <c r="F42" i="15" s="1" a="1"/>
  <c r="AW41" i="27"/>
  <c r="F41" i="27" s="1" a="1"/>
  <c r="T52" i="27"/>
  <c r="AF35" i="15"/>
  <c r="F35" i="15" s="1" a="1"/>
  <c r="AW46" i="27"/>
  <c r="F46" i="27" s="1" a="1"/>
  <c r="AW51" i="27"/>
  <c r="F51" i="27" s="1" a="1"/>
  <c r="AW44" i="27"/>
  <c r="F44" i="27" s="1" a="1"/>
  <c r="AW43" i="27"/>
  <c r="F43" i="27" s="1" a="1"/>
  <c r="AW40" i="27"/>
  <c r="F40" i="27" s="1" a="1"/>
  <c r="AW50" i="27"/>
  <c r="F50" i="27" s="1" a="1"/>
  <c r="AW52" i="27"/>
  <c r="F52" i="27" s="1" a="1"/>
  <c r="AF30" i="15"/>
  <c r="F30" i="15" s="1" a="1"/>
  <c r="AF46" i="15"/>
  <c r="F46" i="15" s="1" a="1"/>
  <c r="AF41" i="15"/>
  <c r="F41" i="15" s="1" a="1"/>
  <c r="BB43" i="27"/>
  <c r="BA43" i="27"/>
  <c r="BC43" i="27"/>
  <c r="T43" i="27"/>
  <c r="AF32" i="15"/>
  <c r="F32" i="15" s="1" a="1"/>
  <c r="BB50" i="27"/>
  <c r="AF45" i="15"/>
  <c r="F45" i="15" s="1" a="1"/>
  <c r="AW47" i="27"/>
  <c r="F47" i="27" s="1" a="1"/>
  <c r="AF36" i="15"/>
  <c r="F36" i="15" s="1" a="1"/>
  <c r="AL29" i="15"/>
  <c r="AK29" i="15"/>
  <c r="AJ29" i="15"/>
  <c r="AK41" i="15"/>
  <c r="AL41" i="15"/>
  <c r="AJ41" i="15"/>
  <c r="T45" i="27"/>
  <c r="AF29" i="15"/>
  <c r="F29" i="15" s="1" a="1"/>
  <c r="AF31" i="15"/>
  <c r="F31" i="15" s="1" a="1"/>
  <c r="BC51" i="27"/>
  <c r="BB51" i="27"/>
  <c r="BA51" i="27"/>
  <c r="BB44" i="27"/>
  <c r="BC44" i="27"/>
  <c r="BA44" i="27"/>
  <c r="AW36" i="27"/>
  <c r="F36" i="27" s="1" a="1"/>
  <c r="T42" i="27"/>
  <c r="BC45" i="27"/>
  <c r="BA45" i="27"/>
  <c r="BB45" i="27"/>
  <c r="BC41" i="27"/>
  <c r="BB41" i="27"/>
  <c r="BA41" i="27"/>
  <c r="T40" i="27"/>
  <c r="T51" i="27"/>
  <c r="AW39" i="27"/>
  <c r="F39" i="27" s="1" a="1"/>
  <c r="T44" i="27"/>
  <c r="BA49" i="27"/>
  <c r="BC49" i="27"/>
  <c r="BB49" i="27"/>
  <c r="BA33" i="27"/>
  <c r="BC33" i="27"/>
  <c r="BB33" i="27"/>
  <c r="AF30" i="28"/>
  <c r="F30" i="28" s="1" a="1"/>
  <c r="BC40" i="27"/>
  <c r="BB40" i="27"/>
  <c r="BA40" i="27"/>
  <c r="T49" i="27"/>
  <c r="AL40" i="15"/>
  <c r="AJ40" i="15"/>
  <c r="AK40" i="15"/>
  <c r="T47" i="27"/>
  <c r="H10" i="15"/>
  <c r="BB47" i="27"/>
  <c r="BA47" i="27"/>
  <c r="BC47" i="27"/>
  <c r="AF38" i="15"/>
  <c r="F38" i="15" s="1" a="1"/>
  <c r="BC42" i="27"/>
  <c r="BA42" i="27"/>
  <c r="BB42" i="27"/>
  <c r="H10" i="27"/>
  <c r="T33" i="27"/>
  <c r="T41" i="27"/>
  <c r="BB38" i="27"/>
  <c r="BC38" i="27"/>
  <c r="BA38" i="27"/>
  <c r="AL46" i="15"/>
  <c r="AK46" i="15"/>
  <c r="AJ46" i="15"/>
  <c r="BC39" i="27"/>
  <c r="BA39" i="27"/>
  <c r="BB39" i="27"/>
  <c r="AF71" i="28"/>
  <c r="F71" i="28" s="1" a="1"/>
  <c r="T38" i="27"/>
  <c r="T39" i="27"/>
  <c r="AW38" i="27"/>
  <c r="F38" i="27" s="1" a="1"/>
  <c r="AW33" i="27"/>
  <c r="F33" i="27" s="1" a="1"/>
  <c r="AF43" i="15"/>
  <c r="F43" i="15" s="1" a="1"/>
  <c r="BC36" i="27"/>
  <c r="BA36" i="27"/>
  <c r="BB36" i="27"/>
  <c r="T36" i="27"/>
  <c r="T37" i="27"/>
  <c r="BC37" i="27"/>
  <c r="BB37" i="27"/>
  <c r="BA37" i="27"/>
  <c r="AF48" i="15"/>
  <c r="F48" i="15" s="1" a="1"/>
  <c r="AQ42" i="15" l="1" a="1"/>
  <c r="D12" i="15" s="1"/>
  <c r="AQ40" i="15" a="1"/>
  <c r="AQ32" i="15" a="1"/>
  <c r="F172" i="21" a="1"/>
  <c r="G37" i="21"/>
  <c r="C37" i="21"/>
  <c r="E26" i="3" s="1"/>
  <c r="K40" i="15" a="1"/>
  <c r="K34" i="27" a="1"/>
  <c r="K33" i="15" a="1"/>
  <c r="K37" i="15" a="1"/>
  <c r="K44" i="15" a="1"/>
  <c r="K49" i="27" a="1"/>
  <c r="K29" i="28" a="1"/>
  <c r="K37" i="27" a="1"/>
  <c r="K42" i="27" a="1"/>
  <c r="K42" i="15" a="1"/>
  <c r="K35" i="27" a="1"/>
  <c r="K39" i="15" a="1"/>
  <c r="K35" i="15" a="1"/>
  <c r="K41" i="27" a="1"/>
  <c r="K50" i="27" a="1"/>
  <c r="K47" i="15" a="1"/>
  <c r="K52" i="27" a="1"/>
  <c r="K46" i="27" a="1"/>
  <c r="K43" i="27" a="1"/>
  <c r="K51" i="27" a="1"/>
  <c r="K45" i="15" a="1"/>
  <c r="K30" i="15" a="1"/>
  <c r="K32" i="15" a="1"/>
  <c r="K36" i="15" a="1"/>
  <c r="K47" i="27" a="1"/>
  <c r="K46" i="15" a="1"/>
  <c r="K43" i="15" a="1"/>
  <c r="K36" i="27" a="1"/>
  <c r="K44" i="27" a="1"/>
  <c r="K31" i="15" a="1"/>
  <c r="K41" i="15" a="1"/>
  <c r="K33" i="27" a="1"/>
  <c r="K40" i="27" a="1"/>
  <c r="K38" i="27" a="1"/>
  <c r="K48" i="15" a="1"/>
  <c r="K29" i="15" a="1"/>
  <c r="K30" i="28" a="1"/>
  <c r="K71" i="28" a="1"/>
  <c r="K38" i="15" a="1"/>
  <c r="K39" i="27" a="1"/>
  <c r="K45" i="27" a="1"/>
  <c r="AH32" i="28"/>
  <c r="AN34" i="28"/>
  <c r="H34" i="28" s="1"/>
  <c r="G33" i="28" a="1"/>
  <c r="Z32" i="28"/>
  <c r="AE32" i="28" s="1"/>
  <c r="AA32" i="28"/>
  <c r="Y32" i="28"/>
  <c r="AC32" i="28" s="1"/>
  <c r="AC31" i="28"/>
  <c r="H19" i="27"/>
  <c r="H21" i="15"/>
  <c r="H20" i="15"/>
  <c r="H19" i="15"/>
  <c r="H21" i="27"/>
  <c r="H20" i="27"/>
  <c r="G39" i="22"/>
  <c r="AE31" i="28"/>
  <c r="BH37" i="27" a="1"/>
  <c r="H6" i="27" s="1" a="1"/>
  <c r="AJ31" i="28"/>
  <c r="AL31" i="28"/>
  <c r="AK31" i="28"/>
  <c r="C38" i="24" l="1"/>
  <c r="C39" i="24"/>
  <c r="Z33" i="28"/>
  <c r="AD33" i="28"/>
  <c r="AH33" i="28" s="1"/>
  <c r="AA33" i="28"/>
  <c r="Y33" i="28"/>
  <c r="AC33" i="28" s="1"/>
  <c r="AK32" i="28"/>
  <c r="AL32" i="28"/>
  <c r="AJ32" i="28"/>
  <c r="AG32" i="28" a="1"/>
  <c r="L32" i="28" s="1" a="1"/>
  <c r="AO32" i="28" a="1"/>
  <c r="AG31" i="28" a="1"/>
  <c r="L31" i="28" s="1" a="1"/>
  <c r="AO31" i="28" a="1"/>
  <c r="AN35" i="28"/>
  <c r="H35" i="28" s="1"/>
  <c r="G34" i="28" a="1"/>
  <c r="AQ33" i="15" a="1"/>
  <c r="H6" i="15" s="1" a="1"/>
  <c r="AQ37" i="15" a="1"/>
  <c r="D20" i="15" s="1"/>
  <c r="F51" i="22"/>
  <c r="F54" i="22"/>
  <c r="F58" i="22"/>
  <c r="F61" i="22"/>
  <c r="F53" i="22"/>
  <c r="F56" i="22"/>
  <c r="F59" i="22"/>
  <c r="F52" i="22"/>
  <c r="F55" i="22"/>
  <c r="F57" i="22"/>
  <c r="F60" i="22"/>
  <c r="F62" i="22"/>
  <c r="G42" i="22"/>
  <c r="H8" i="3" s="1"/>
  <c r="G43" i="22"/>
  <c r="BH23" i="27"/>
  <c r="AF32" i="28"/>
  <c r="F32" i="28" s="1" a="1"/>
  <c r="AQ23" i="15"/>
  <c r="AF31" i="28"/>
  <c r="F31" i="28" s="1" a="1"/>
  <c r="H22" i="27"/>
  <c r="H22" i="15"/>
  <c r="C40" i="24" l="1"/>
  <c r="D40" i="23"/>
  <c r="D41" i="23"/>
  <c r="AE33" i="28"/>
  <c r="Z34" i="28"/>
  <c r="AD34" i="28"/>
  <c r="AH34" i="28" s="1"/>
  <c r="K32" i="28" a="1"/>
  <c r="K31" i="28" a="1"/>
  <c r="AN36" i="28"/>
  <c r="G35" i="28" a="1"/>
  <c r="AA34" i="28"/>
  <c r="Y34" i="28"/>
  <c r="AC34" i="28" s="1"/>
  <c r="AL33" i="28"/>
  <c r="AJ33" i="28"/>
  <c r="AK33" i="28"/>
  <c r="C41" i="24" l="1"/>
  <c r="B33" i="31" s="1"/>
  <c r="G10" i="3"/>
  <c r="AE34" i="28"/>
  <c r="AF33" i="28"/>
  <c r="F33" i="28" s="1" a="1"/>
  <c r="AG33" i="28" a="1"/>
  <c r="AO33" i="28" a="1"/>
  <c r="H36" i="28"/>
  <c r="G36" i="28" a="1"/>
  <c r="AN37" i="28"/>
  <c r="AD35" i="28"/>
  <c r="Z35" i="28"/>
  <c r="AA35" i="28"/>
  <c r="Y35" i="28"/>
  <c r="AC35" i="28" s="1"/>
  <c r="AJ34" i="28"/>
  <c r="AL34" i="28"/>
  <c r="AK34" i="28"/>
  <c r="AF34" i="28" l="1"/>
  <c r="F34" i="28" s="1" a="1"/>
  <c r="AG34" i="28" a="1"/>
  <c r="AO34" i="28" a="1"/>
  <c r="L33" i="28" a="1"/>
  <c r="K33" i="28" a="1"/>
  <c r="AE35" i="28"/>
  <c r="AD36" i="28"/>
  <c r="AH36" i="28" s="1"/>
  <c r="AL36" i="28" s="1"/>
  <c r="Z36" i="28"/>
  <c r="AA36" i="28"/>
  <c r="Y36" i="28"/>
  <c r="AC36" i="28" s="1"/>
  <c r="H37" i="28"/>
  <c r="G37" i="28" a="1"/>
  <c r="AN38" i="28"/>
  <c r="AH35" i="28"/>
  <c r="L34" i="28" l="1" a="1"/>
  <c r="K34" i="28" a="1"/>
  <c r="AE36" i="28"/>
  <c r="AO35" i="28" a="1"/>
  <c r="AG35" i="28" a="1"/>
  <c r="AF35" i="28"/>
  <c r="F35" i="28" s="1" a="1"/>
  <c r="AD37" i="28"/>
  <c r="AH37" i="28" s="1"/>
  <c r="Z37" i="28"/>
  <c r="AA37" i="28"/>
  <c r="Y37" i="28"/>
  <c r="AC37" i="28" s="1"/>
  <c r="H38" i="28"/>
  <c r="G38" i="28" a="1"/>
  <c r="AN39" i="28"/>
  <c r="AJ35" i="28"/>
  <c r="AL35" i="28"/>
  <c r="AK35" i="28"/>
  <c r="AK36" i="28"/>
  <c r="AJ36" i="28"/>
  <c r="H10" i="3" l="1"/>
  <c r="E31" i="3" s="1"/>
  <c r="AF36" i="28"/>
  <c r="F36" i="28" s="1" a="1"/>
  <c r="AG36" i="28" a="1"/>
  <c r="AO36" i="28" a="1"/>
  <c r="L35" i="28" a="1"/>
  <c r="K35" i="28" a="1"/>
  <c r="AE37" i="28"/>
  <c r="AL37" i="28"/>
  <c r="AK37" i="28"/>
  <c r="AJ37" i="28"/>
  <c r="AD38" i="28"/>
  <c r="AH38" i="28" s="1"/>
  <c r="Z38" i="28"/>
  <c r="AA38" i="28"/>
  <c r="Y38" i="28"/>
  <c r="AC38" i="28" s="1"/>
  <c r="H39" i="28"/>
  <c r="G39" i="28" a="1"/>
  <c r="AN40" i="28"/>
  <c r="AF37" i="28" l="1"/>
  <c r="F37" i="28" s="1" a="1"/>
  <c r="AG37" i="28" a="1"/>
  <c r="AO37" i="28" a="1"/>
  <c r="L36" i="28" a="1"/>
  <c r="K36" i="28" a="1"/>
  <c r="AE38" i="28"/>
  <c r="AF38" i="28" s="1"/>
  <c r="F38" i="28" s="1" a="1"/>
  <c r="AK38" i="28"/>
  <c r="AL38" i="28"/>
  <c r="AJ38" i="28"/>
  <c r="AD39" i="28"/>
  <c r="AH39" i="28" s="1"/>
  <c r="Z39" i="28"/>
  <c r="Y39" i="28"/>
  <c r="AC39" i="28" s="1"/>
  <c r="AA39" i="28"/>
  <c r="H40" i="28"/>
  <c r="AN41" i="28"/>
  <c r="G40" i="28" a="1"/>
  <c r="AE39" i="28" l="1"/>
  <c r="AG39" i="28" s="1" a="1"/>
  <c r="L39" i="28" s="1" a="1"/>
  <c r="AG38" i="28" a="1"/>
  <c r="AO38" i="28" a="1"/>
  <c r="L37" i="28" a="1"/>
  <c r="K37" i="28" a="1"/>
  <c r="H41" i="28"/>
  <c r="AN42" i="28"/>
  <c r="H42" i="28" s="1"/>
  <c r="G41" i="28" a="1"/>
  <c r="AD40" i="28"/>
  <c r="AH40" i="28" s="1"/>
  <c r="Z40" i="28"/>
  <c r="AA40" i="28"/>
  <c r="Y40" i="28"/>
  <c r="AC40" i="28" s="1"/>
  <c r="AK39" i="28"/>
  <c r="AL39" i="28"/>
  <c r="AJ39" i="28"/>
  <c r="AO39" i="28" l="1" a="1"/>
  <c r="AF39" i="28"/>
  <c r="F39" i="28" s="1" a="1"/>
  <c r="L38" i="28" a="1"/>
  <c r="K38" i="28" a="1"/>
  <c r="AE40" i="28"/>
  <c r="AF40" i="28" s="1"/>
  <c r="F40" i="28" s="1" a="1"/>
  <c r="AJ40" i="28"/>
  <c r="AL40" i="28"/>
  <c r="AK40" i="28"/>
  <c r="G42" i="28" a="1"/>
  <c r="AN43" i="28"/>
  <c r="H43" i="28" s="1"/>
  <c r="AD41" i="28"/>
  <c r="AH41" i="28" s="1"/>
  <c r="Z41" i="28"/>
  <c r="Y41" i="28"/>
  <c r="AC41" i="28" s="1"/>
  <c r="AA41" i="28"/>
  <c r="K39" i="28" a="1"/>
  <c r="AG40" i="28" l="1" a="1"/>
  <c r="AO40" i="28" a="1"/>
  <c r="AE41" i="28"/>
  <c r="AL41" i="28"/>
  <c r="AK41" i="28"/>
  <c r="AJ41" i="28"/>
  <c r="AD42" i="28"/>
  <c r="AH42" i="28" s="1"/>
  <c r="Z42" i="28"/>
  <c r="AA42" i="28"/>
  <c r="Y42" i="28"/>
  <c r="AC42" i="28" s="1"/>
  <c r="G43" i="28" a="1"/>
  <c r="AN44" i="28"/>
  <c r="L40" i="28" l="1" a="1"/>
  <c r="K40" i="28" a="1"/>
  <c r="AE42" i="28"/>
  <c r="AF41" i="28"/>
  <c r="F41" i="28" s="1" a="1"/>
  <c r="AO41" i="28" a="1"/>
  <c r="AG41" i="28" a="1"/>
  <c r="AK42" i="28"/>
  <c r="AJ42" i="28"/>
  <c r="AL42" i="28"/>
  <c r="AD43" i="28"/>
  <c r="AH43" i="28" s="1"/>
  <c r="Z43" i="28"/>
  <c r="Y43" i="28"/>
  <c r="AC43" i="28" s="1"/>
  <c r="AA43" i="28"/>
  <c r="H44" i="28"/>
  <c r="AN45" i="28"/>
  <c r="G44" i="28" a="1"/>
  <c r="AE43" i="28" l="1"/>
  <c r="AF42" i="28"/>
  <c r="F42" i="28" s="1" a="1"/>
  <c r="AG42" i="28" a="1"/>
  <c r="AO42" i="28" a="1"/>
  <c r="L41" i="28" a="1"/>
  <c r="K41" i="28" a="1"/>
  <c r="AL43" i="28"/>
  <c r="AJ43" i="28"/>
  <c r="AK43" i="28"/>
  <c r="Y44" i="28"/>
  <c r="AC44" i="28" s="1"/>
  <c r="AA44" i="28"/>
  <c r="G45" i="28" a="1"/>
  <c r="AN46" i="28"/>
  <c r="H45" i="28"/>
  <c r="AD44" i="28"/>
  <c r="AH44" i="28" s="1"/>
  <c r="Z44" i="28"/>
  <c r="AG43" i="28" l="1" a="1"/>
  <c r="AO43" i="28" a="1"/>
  <c r="AF43" i="28"/>
  <c r="F43" i="28" s="1" a="1"/>
  <c r="L42" i="28" a="1"/>
  <c r="K42" i="28" a="1"/>
  <c r="AE44" i="28"/>
  <c r="AD45" i="28"/>
  <c r="AH45" i="28" s="1"/>
  <c r="Z45" i="28"/>
  <c r="Y45" i="28"/>
  <c r="AC45" i="28" s="1"/>
  <c r="AA45" i="28"/>
  <c r="H46" i="28"/>
  <c r="AN47" i="28"/>
  <c r="G46" i="28" a="1"/>
  <c r="AK44" i="28"/>
  <c r="AJ44" i="28"/>
  <c r="AL44" i="28"/>
  <c r="L43" i="28" l="1" a="1"/>
  <c r="K43" i="28" a="1"/>
  <c r="AE45" i="28"/>
  <c r="AO44" i="28" a="1"/>
  <c r="AF44" i="28"/>
  <c r="F44" i="28" s="1" a="1"/>
  <c r="AG44" i="28" a="1"/>
  <c r="AJ45" i="28"/>
  <c r="AL45" i="28"/>
  <c r="AK45" i="28"/>
  <c r="H47" i="28"/>
  <c r="G47" i="28" a="1"/>
  <c r="AN48" i="28"/>
  <c r="AD46" i="28"/>
  <c r="AH46" i="28" s="1"/>
  <c r="Z46" i="28"/>
  <c r="Y46" i="28"/>
  <c r="AC46" i="28" s="1"/>
  <c r="AA46" i="28"/>
  <c r="AE46" i="28" l="1"/>
  <c r="AO46" i="28" s="1" a="1"/>
  <c r="H48" i="28"/>
  <c r="G48" i="28" a="1"/>
  <c r="AN49" i="28"/>
  <c r="AF45" i="28"/>
  <c r="F45" i="28" s="1" a="1"/>
  <c r="AG45" i="28" a="1"/>
  <c r="AO45" i="28" a="1"/>
  <c r="L44" i="28" a="1"/>
  <c r="K44" i="28" a="1"/>
  <c r="AD47" i="28"/>
  <c r="AH47" i="28" s="1"/>
  <c r="AA47" i="28"/>
  <c r="Z47" i="28"/>
  <c r="Y47" i="28"/>
  <c r="AC47" i="28" s="1"/>
  <c r="AL46" i="28"/>
  <c r="AK46" i="28"/>
  <c r="AJ46" i="28"/>
  <c r="AF46" i="28" l="1"/>
  <c r="F46" i="28" s="1" a="1"/>
  <c r="AG46" i="28" a="1"/>
  <c r="H49" i="28"/>
  <c r="AN50" i="28"/>
  <c r="G49" i="28" a="1"/>
  <c r="AD48" i="28"/>
  <c r="AH48" i="28" s="1"/>
  <c r="Z48" i="28"/>
  <c r="Y48" i="28"/>
  <c r="AC48" i="28" s="1"/>
  <c r="AA48" i="28"/>
  <c r="AE47" i="28"/>
  <c r="AO47" i="28" s="1" a="1"/>
  <c r="L45" i="28" a="1"/>
  <c r="K45" i="28" a="1"/>
  <c r="AL47" i="28"/>
  <c r="AK47" i="28"/>
  <c r="AJ47" i="28"/>
  <c r="AE48" i="28" l="1"/>
  <c r="AG48" i="28" s="1" a="1"/>
  <c r="L48" i="28" s="1" a="1"/>
  <c r="L46" i="28" a="1"/>
  <c r="K46" i="28" a="1"/>
  <c r="H50" i="28"/>
  <c r="AN51" i="28"/>
  <c r="G50" i="28" a="1"/>
  <c r="Z49" i="28"/>
  <c r="AD49" i="28"/>
  <c r="AH49" i="28" s="1"/>
  <c r="Y49" i="28"/>
  <c r="AC49" i="28" s="1"/>
  <c r="AA49" i="28"/>
  <c r="AJ48" i="28"/>
  <c r="AK48" i="28"/>
  <c r="AL48" i="28"/>
  <c r="AG47" i="28" a="1"/>
  <c r="AF47" i="28"/>
  <c r="F47" i="28" s="1" a="1"/>
  <c r="AO48" i="28" l="1" a="1"/>
  <c r="AF48" i="28"/>
  <c r="F48" i="28" s="1" a="1"/>
  <c r="AE49" i="28"/>
  <c r="H51" i="28"/>
  <c r="G51" i="28" a="1"/>
  <c r="AN52" i="28"/>
  <c r="AD50" i="28"/>
  <c r="AH50" i="28" s="1"/>
  <c r="Z50" i="28"/>
  <c r="Y50" i="28"/>
  <c r="AC50" i="28" s="1"/>
  <c r="AA50" i="28"/>
  <c r="L47" i="28" a="1"/>
  <c r="K47" i="28" a="1"/>
  <c r="K48" i="28" a="1"/>
  <c r="AK49" i="28"/>
  <c r="AL49" i="28"/>
  <c r="AJ49" i="28"/>
  <c r="AE50" i="28" l="1"/>
  <c r="AF49" i="28"/>
  <c r="F49" i="28" s="1" a="1"/>
  <c r="AG49" i="28" a="1"/>
  <c r="AO49" i="28" a="1"/>
  <c r="AD51" i="28"/>
  <c r="AH51" i="28" s="1"/>
  <c r="AA51" i="28"/>
  <c r="Y51" i="28"/>
  <c r="AC51" i="28" s="1"/>
  <c r="Z51" i="28"/>
  <c r="H52" i="28"/>
  <c r="AN53" i="28"/>
  <c r="G52" i="28" a="1"/>
  <c r="AL50" i="28"/>
  <c r="AK50" i="28"/>
  <c r="AJ50" i="28"/>
  <c r="AF50" i="28" l="1"/>
  <c r="F50" i="28" s="1" a="1"/>
  <c r="AG50" i="28" a="1"/>
  <c r="AO50" i="28" a="1"/>
  <c r="AE51" i="28"/>
  <c r="L49" i="28" a="1"/>
  <c r="K49" i="28" a="1"/>
  <c r="AL51" i="28"/>
  <c r="AK51" i="28"/>
  <c r="AJ51" i="28"/>
  <c r="H53" i="28"/>
  <c r="G53" i="28" a="1"/>
  <c r="AN54" i="28"/>
  <c r="AD52" i="28"/>
  <c r="AH52" i="28" s="1"/>
  <c r="Z52" i="28"/>
  <c r="AA52" i="28"/>
  <c r="Y52" i="28"/>
  <c r="AC52" i="28" s="1"/>
  <c r="AE52" i="28" l="1"/>
  <c r="L50" i="28" a="1"/>
  <c r="K50" i="28" a="1"/>
  <c r="AF51" i="28"/>
  <c r="F51" i="28" s="1" a="1"/>
  <c r="AG51" i="28" a="1"/>
  <c r="AO51" i="28" a="1"/>
  <c r="AD53" i="28"/>
  <c r="AH53" i="28" s="1"/>
  <c r="Z53" i="28"/>
  <c r="Y53" i="28"/>
  <c r="AC53" i="28" s="1"/>
  <c r="AA53" i="28"/>
  <c r="H54" i="28"/>
  <c r="G54" i="28" a="1"/>
  <c r="AN55" i="28"/>
  <c r="H55" i="28" s="1"/>
  <c r="AK52" i="28"/>
  <c r="AL52" i="28"/>
  <c r="AJ52" i="28"/>
  <c r="AG52" i="28" l="1" a="1"/>
  <c r="AO52" i="28" a="1"/>
  <c r="AF52" i="28"/>
  <c r="F52" i="28" s="1" a="1"/>
  <c r="AE53" i="28"/>
  <c r="L51" i="28" a="1"/>
  <c r="K51" i="28" a="1"/>
  <c r="AJ53" i="28"/>
  <c r="AL53" i="28"/>
  <c r="AK53" i="28"/>
  <c r="Z54" i="28"/>
  <c r="AD54" i="28"/>
  <c r="AH54" i="28" s="1"/>
  <c r="Y54" i="28"/>
  <c r="AC54" i="28" s="1"/>
  <c r="AA54" i="28"/>
  <c r="AN56" i="28"/>
  <c r="G55" i="28" a="1"/>
  <c r="L52" i="28" l="1" a="1"/>
  <c r="K52" i="28" a="1"/>
  <c r="AF53" i="28"/>
  <c r="F53" i="28" s="1" a="1"/>
  <c r="AG53" i="28" a="1"/>
  <c r="AO53" i="28" a="1"/>
  <c r="AE54" i="28"/>
  <c r="H56" i="28"/>
  <c r="AN57" i="28"/>
  <c r="G56" i="28" a="1"/>
  <c r="Z56" i="28" s="1"/>
  <c r="AD55" i="28"/>
  <c r="AH55" i="28" s="1"/>
  <c r="AL55" i="28" s="1"/>
  <c r="Z55" i="28"/>
  <c r="Y55" i="28"/>
  <c r="AC55" i="28" s="1"/>
  <c r="AA55" i="28"/>
  <c r="AK54" i="28"/>
  <c r="AJ54" i="28"/>
  <c r="AL54" i="28"/>
  <c r="L53" i="28" l="1" a="1"/>
  <c r="K53" i="28" a="1"/>
  <c r="AG54" i="28" a="1"/>
  <c r="AO54" i="28" a="1"/>
  <c r="AF54" i="28"/>
  <c r="F54" i="28" s="1" a="1"/>
  <c r="AE55" i="28"/>
  <c r="H57" i="28"/>
  <c r="G57" i="28" a="1"/>
  <c r="AN58" i="28"/>
  <c r="AD56" i="28"/>
  <c r="AA56" i="28"/>
  <c r="Y56" i="28"/>
  <c r="AC56" i="28" s="1"/>
  <c r="AK55" i="28"/>
  <c r="AJ55" i="28"/>
  <c r="L54" i="28" l="1" a="1"/>
  <c r="K54" i="28" a="1"/>
  <c r="AG55" i="28" a="1"/>
  <c r="AO55" i="28" a="1"/>
  <c r="AF55" i="28"/>
  <c r="F55" i="28" s="1" a="1"/>
  <c r="Z57" i="28"/>
  <c r="AD57" i="28"/>
  <c r="AH57" i="28" s="1"/>
  <c r="AA57" i="28"/>
  <c r="Y57" i="28"/>
  <c r="AC57" i="28" s="1"/>
  <c r="H58" i="28"/>
  <c r="G58" i="28" a="1"/>
  <c r="AN59" i="28"/>
  <c r="AE56" i="28"/>
  <c r="AH56" i="28"/>
  <c r="AE57" i="28" l="1"/>
  <c r="L55" i="28" a="1"/>
  <c r="K55" i="28" a="1"/>
  <c r="Z58" i="28"/>
  <c r="AD58" i="28"/>
  <c r="AH58" i="28" s="1"/>
  <c r="AA58" i="28"/>
  <c r="Y58" i="28"/>
  <c r="AC58" i="28" s="1"/>
  <c r="H59" i="28"/>
  <c r="AN60" i="28"/>
  <c r="G59" i="28" a="1"/>
  <c r="AO56" i="28" a="1"/>
  <c r="AF56" i="28"/>
  <c r="F56" i="28" s="1" a="1"/>
  <c r="AG56" i="28" a="1"/>
  <c r="AK56" i="28"/>
  <c r="AL56" i="28"/>
  <c r="AJ56" i="28"/>
  <c r="AK57" i="28"/>
  <c r="AL57" i="28"/>
  <c r="AJ57" i="28"/>
  <c r="AO57" i="28" l="1" a="1"/>
  <c r="AG57" i="28" a="1"/>
  <c r="AF57" i="28"/>
  <c r="F57" i="28" s="1" a="1"/>
  <c r="AE58" i="28"/>
  <c r="AG58" i="28" s="1" a="1"/>
  <c r="L58" i="28" s="1" a="1"/>
  <c r="H60" i="28"/>
  <c r="G60" i="28" a="1"/>
  <c r="AN61" i="28"/>
  <c r="AD59" i="28"/>
  <c r="AH59" i="28" s="1"/>
  <c r="Z59" i="28"/>
  <c r="AA59" i="28"/>
  <c r="Y59" i="28"/>
  <c r="AC59" i="28" s="1"/>
  <c r="L56" i="28" a="1"/>
  <c r="K56" i="28" a="1"/>
  <c r="AK58" i="28"/>
  <c r="AL58" i="28"/>
  <c r="AJ58" i="28"/>
  <c r="L57" i="28" l="1" a="1"/>
  <c r="K57" i="28" a="1"/>
  <c r="AE59" i="28"/>
  <c r="AO58" i="28" a="1"/>
  <c r="AF58" i="28"/>
  <c r="F58" i="28" s="1" a="1"/>
  <c r="H61" i="28"/>
  <c r="AN62" i="28"/>
  <c r="H62" i="28" s="1"/>
  <c r="G61" i="28" a="1"/>
  <c r="Z61" i="28" s="1"/>
  <c r="AJ59" i="28"/>
  <c r="AL59" i="28"/>
  <c r="AK59" i="28"/>
  <c r="AD60" i="28"/>
  <c r="AH60" i="28" s="1"/>
  <c r="Z60" i="28"/>
  <c r="Y60" i="28"/>
  <c r="AC60" i="28" s="1"/>
  <c r="AA60" i="28"/>
  <c r="K58" i="28" a="1"/>
  <c r="AE60" i="28" l="1"/>
  <c r="AG59" i="28" a="1"/>
  <c r="AO59" i="28" a="1"/>
  <c r="AF59" i="28"/>
  <c r="F59" i="28" s="1" a="1"/>
  <c r="AN63" i="28"/>
  <c r="H63" i="28" s="1"/>
  <c r="G62" i="28" a="1"/>
  <c r="AD61" i="28"/>
  <c r="AA61" i="28"/>
  <c r="Y61" i="28"/>
  <c r="AC61" i="28" s="1"/>
  <c r="AJ60" i="28"/>
  <c r="AL60" i="28"/>
  <c r="AK60" i="28"/>
  <c r="AG60" i="28" l="1" a="1"/>
  <c r="AO60" i="28" a="1"/>
  <c r="AF60" i="28"/>
  <c r="F60" i="28" s="1" a="1"/>
  <c r="L59" i="28" a="1"/>
  <c r="K59" i="28" a="1"/>
  <c r="AE61" i="28"/>
  <c r="AH61" i="28"/>
  <c r="AL61" i="28" s="1"/>
  <c r="Z62" i="28"/>
  <c r="AD62" i="28"/>
  <c r="AH62" i="28" s="1"/>
  <c r="G63" i="28" a="1"/>
  <c r="AN64" i="28"/>
  <c r="Y62" i="28"/>
  <c r="AC62" i="28" s="1"/>
  <c r="AA62" i="28"/>
  <c r="AO61" i="28" l="1" a="1"/>
  <c r="AG61" i="28" a="1"/>
  <c r="AF61" i="28"/>
  <c r="F61" i="28" s="1" a="1"/>
  <c r="AK61" i="28"/>
  <c r="AJ61" i="28"/>
  <c r="AE62" i="28"/>
  <c r="L60" i="28" a="1"/>
  <c r="K60" i="28" a="1"/>
  <c r="AA63" i="28"/>
  <c r="Y63" i="28"/>
  <c r="AC63" i="28" s="1"/>
  <c r="Z63" i="28"/>
  <c r="AD63" i="28"/>
  <c r="AH63" i="28" s="1"/>
  <c r="AN65" i="28"/>
  <c r="H65" i="28" s="1"/>
  <c r="G64" i="28" a="1"/>
  <c r="H64" i="28"/>
  <c r="AL62" i="28"/>
  <c r="AJ62" i="28"/>
  <c r="AK62" i="28"/>
  <c r="L61" i="28" l="1" a="1"/>
  <c r="K61" i="28" a="1"/>
  <c r="AE63" i="28"/>
  <c r="AG62" i="28" a="1"/>
  <c r="AO62" i="28" a="1"/>
  <c r="AF62" i="28"/>
  <c r="F62" i="28" s="1" a="1"/>
  <c r="AD64" i="28"/>
  <c r="AA64" i="28"/>
  <c r="Z64" i="28"/>
  <c r="Y64" i="28"/>
  <c r="AC64" i="28" s="1"/>
  <c r="G65" i="28" a="1"/>
  <c r="AN66" i="28"/>
  <c r="AL63" i="28"/>
  <c r="AK63" i="28"/>
  <c r="AJ63" i="28"/>
  <c r="AG63" i="28" l="1" a="1"/>
  <c r="AO63" i="28" a="1"/>
  <c r="AF63" i="28"/>
  <c r="F63" i="28" s="1" a="1"/>
  <c r="L62" i="28" a="1"/>
  <c r="K62" i="28" a="1"/>
  <c r="AH64" i="28"/>
  <c r="AE64" i="28"/>
  <c r="H66" i="28"/>
  <c r="AN67" i="28"/>
  <c r="G66" i="28" a="1"/>
  <c r="AD65" i="28"/>
  <c r="AH65" i="28" s="1"/>
  <c r="Z65" i="28"/>
  <c r="AA65" i="28"/>
  <c r="Y65" i="28"/>
  <c r="AC65" i="28" s="1"/>
  <c r="H11" i="3"/>
  <c r="G11" i="3"/>
  <c r="AE65" i="28" l="1"/>
  <c r="L63" i="28" a="1"/>
  <c r="K63" i="28" a="1"/>
  <c r="AK64" i="28"/>
  <c r="AJ64" i="28"/>
  <c r="AL64" i="28"/>
  <c r="AG64" i="28" a="1"/>
  <c r="AO64" i="28" a="1"/>
  <c r="AF64" i="28"/>
  <c r="F64" i="28" s="1" a="1"/>
  <c r="H67" i="28"/>
  <c r="G67" i="28" a="1"/>
  <c r="AN68" i="28"/>
  <c r="Z66" i="28"/>
  <c r="AD66" i="28"/>
  <c r="AH66" i="28" s="1"/>
  <c r="AA66" i="28"/>
  <c r="Y66" i="28"/>
  <c r="AC66" i="28" s="1"/>
  <c r="AL65" i="28"/>
  <c r="AJ65" i="28"/>
  <c r="AK65" i="28"/>
  <c r="E32" i="3"/>
  <c r="AG65" i="28" l="1" a="1"/>
  <c r="AO65" i="28" a="1"/>
  <c r="AF65" i="28"/>
  <c r="F65" i="28" s="1" a="1"/>
  <c r="AE66" i="28"/>
  <c r="AG66" i="28" s="1" a="1"/>
  <c r="L66" i="28" s="1" a="1"/>
  <c r="L64" i="28" a="1"/>
  <c r="K64" i="28" a="1"/>
  <c r="AD67" i="28"/>
  <c r="AH67" i="28" s="1"/>
  <c r="Z67" i="28"/>
  <c r="AA67" i="28"/>
  <c r="Y67" i="28"/>
  <c r="AC67" i="28" s="1"/>
  <c r="H68" i="28"/>
  <c r="G68" i="28" a="1"/>
  <c r="AD68" i="28" s="1"/>
  <c r="AH68" i="28" s="1"/>
  <c r="AN69" i="28"/>
  <c r="AL66" i="28"/>
  <c r="AK66" i="28"/>
  <c r="AJ66" i="28"/>
  <c r="L65" i="28" l="1" a="1"/>
  <c r="K65" i="28" a="1"/>
  <c r="AF66" i="28"/>
  <c r="F66" i="28" s="1" a="1"/>
  <c r="AO66" i="28" a="1"/>
  <c r="AE67" i="28"/>
  <c r="AJ67" i="28"/>
  <c r="AL67" i="28"/>
  <c r="AK67" i="28"/>
  <c r="Y68" i="28"/>
  <c r="AC68" i="28" s="1"/>
  <c r="AA68" i="28"/>
  <c r="Z68" i="28"/>
  <c r="AE68" i="28" s="1"/>
  <c r="H69" i="28"/>
  <c r="AN70" i="28"/>
  <c r="G69" i="28" a="1"/>
  <c r="K66" i="28" a="1"/>
  <c r="Y69" i="28" l="1"/>
  <c r="AC69" i="28" s="1"/>
  <c r="AA69" i="28"/>
  <c r="AG67" i="28" a="1"/>
  <c r="AO67" i="28" a="1"/>
  <c r="AF67" i="28"/>
  <c r="F67" i="28" s="1" a="1"/>
  <c r="H70" i="28"/>
  <c r="G70" i="28" a="1"/>
  <c r="Z70" i="28" s="1"/>
  <c r="Z69" i="28"/>
  <c r="AD69" i="28"/>
  <c r="AH69" i="28" s="1"/>
  <c r="AG68" i="28" a="1"/>
  <c r="L68" i="28" s="1" a="1"/>
  <c r="AO68" i="28" a="1"/>
  <c r="AF68" i="28"/>
  <c r="F68" i="28" s="1" a="1"/>
  <c r="AN73" i="28"/>
  <c r="G72" i="28" a="1"/>
  <c r="AL68" i="28"/>
  <c r="AK68" i="28"/>
  <c r="AJ68" i="28"/>
  <c r="L67" i="28" l="1" a="1"/>
  <c r="K67" i="28" a="1"/>
  <c r="AE69" i="28"/>
  <c r="AD70" i="28"/>
  <c r="Y70" i="28"/>
  <c r="AC70" i="28" s="1"/>
  <c r="AA70" i="28"/>
  <c r="F111" i="12"/>
  <c r="Q111" i="12" s="1"/>
  <c r="K68" i="28" a="1"/>
  <c r="H73" i="28"/>
  <c r="Z72" i="28"/>
  <c r="AD72" i="28"/>
  <c r="AN74" i="28"/>
  <c r="G73" i="28" a="1"/>
  <c r="AD73" i="28" s="1"/>
  <c r="AL69" i="28"/>
  <c r="AK69" i="28"/>
  <c r="AJ69" i="28"/>
  <c r="Y72" i="28"/>
  <c r="AA72" i="28"/>
  <c r="AG69" i="28" l="1" a="1"/>
  <c r="AO69" i="28" a="1"/>
  <c r="AF69" i="28"/>
  <c r="F69" i="28" s="1" a="1"/>
  <c r="AH70" i="28"/>
  <c r="AL70" i="28" s="1"/>
  <c r="AE70" i="28"/>
  <c r="AH72" i="28"/>
  <c r="AH73" i="28"/>
  <c r="H74" i="28"/>
  <c r="Z73" i="28"/>
  <c r="AE72" i="28"/>
  <c r="AC72" i="28"/>
  <c r="Y73" i="28"/>
  <c r="AA73" i="28"/>
  <c r="AN75" i="28"/>
  <c r="G74" i="28" a="1"/>
  <c r="AD74" i="28" s="1"/>
  <c r="AJ70" i="28" l="1"/>
  <c r="AK70" i="28"/>
  <c r="L69" i="28" a="1"/>
  <c r="K69" i="28" a="1"/>
  <c r="AO70" i="28" a="1"/>
  <c r="AF70" i="28"/>
  <c r="F70" i="28" s="1" a="1"/>
  <c r="AG70" i="28" a="1"/>
  <c r="AG72" i="28" a="1"/>
  <c r="L72" i="28" s="1" a="1"/>
  <c r="AO72" i="28" a="1"/>
  <c r="AH74" i="28"/>
  <c r="AL74" i="28" s="1"/>
  <c r="H75" i="28"/>
  <c r="AE73" i="28"/>
  <c r="Z74" i="28"/>
  <c r="AF72" i="28"/>
  <c r="F72" i="28" s="1" a="1"/>
  <c r="G75" i="28" a="1"/>
  <c r="AN76" i="28"/>
  <c r="AC73" i="28"/>
  <c r="AK73" i="28"/>
  <c r="AJ73" i="28"/>
  <c r="AL73" i="28"/>
  <c r="AK72" i="28"/>
  <c r="AL72" i="28"/>
  <c r="AJ72" i="28"/>
  <c r="AA74" i="28"/>
  <c r="Y74" i="28"/>
  <c r="L70" i="28" l="1" a="1"/>
  <c r="K70" i="28" a="1"/>
  <c r="K72" i="28" a="1"/>
  <c r="AG73" i="28" a="1"/>
  <c r="L73" i="28" s="1" a="1"/>
  <c r="AO73" i="28" a="1"/>
  <c r="Z75" i="28"/>
  <c r="AD75" i="28"/>
  <c r="H76" i="28"/>
  <c r="AF73" i="28"/>
  <c r="F73" i="28" s="1" a="1"/>
  <c r="AE74" i="28"/>
  <c r="AJ74" i="28"/>
  <c r="AK74" i="28"/>
  <c r="AN77" i="28"/>
  <c r="G76" i="28" a="1"/>
  <c r="AD76" i="28" s="1"/>
  <c r="Y75" i="28"/>
  <c r="AA75" i="28"/>
  <c r="AC74" i="28"/>
  <c r="K73" i="28" l="1" a="1"/>
  <c r="AH75" i="28"/>
  <c r="AH76" i="28"/>
  <c r="AG74" i="28" a="1"/>
  <c r="L74" i="28" s="1" a="1"/>
  <c r="AO74" i="28" a="1"/>
  <c r="H77" i="28"/>
  <c r="AF74" i="28"/>
  <c r="F74" i="28" s="1" a="1"/>
  <c r="Z76" i="28"/>
  <c r="AE75" i="28"/>
  <c r="AC75" i="28"/>
  <c r="AA76" i="28"/>
  <c r="Y76" i="28"/>
  <c r="G77" i="28" a="1"/>
  <c r="AD77" i="28" s="1"/>
  <c r="AN78" i="28"/>
  <c r="BO4" i="12" l="1" a="1"/>
  <c r="K74" i="28" a="1"/>
  <c r="AH77" i="28"/>
  <c r="AG75" i="28" a="1"/>
  <c r="L75" i="28" s="1" a="1"/>
  <c r="AO75" i="28" a="1"/>
  <c r="H78" i="28"/>
  <c r="AE76" i="28"/>
  <c r="Z77" i="28"/>
  <c r="AF75" i="28"/>
  <c r="F75" i="28" s="1" a="1"/>
  <c r="AL75" i="28"/>
  <c r="AK75" i="28"/>
  <c r="AJ75" i="28"/>
  <c r="AC76" i="28"/>
  <c r="AA77" i="28"/>
  <c r="Y77" i="28"/>
  <c r="AJ76" i="28"/>
  <c r="AL76" i="28"/>
  <c r="AK76" i="28"/>
  <c r="AN79" i="28"/>
  <c r="G78" i="28" a="1"/>
  <c r="B44" i="29" l="1" a="1"/>
  <c r="B19" i="29" a="1"/>
  <c r="B229" i="29" a="1"/>
  <c r="B213" i="29" a="1"/>
  <c r="B190" i="29" a="1"/>
  <c r="B186" i="29" a="1"/>
  <c r="B164" i="29" a="1"/>
  <c r="B251" i="29" a="1"/>
  <c r="B232" i="29" a="1"/>
  <c r="B167" i="29" a="1"/>
  <c r="B137" i="29" a="1"/>
  <c r="B107" i="29" a="1"/>
  <c r="B94" i="29" a="1"/>
  <c r="B31" i="29" a="1"/>
  <c r="B5" i="29" a="1"/>
  <c r="B183" i="29" a="1"/>
  <c r="B214" i="29" a="1"/>
  <c r="B212" i="29" a="1"/>
  <c r="B188" i="29" a="1"/>
  <c r="B161" i="29" a="1"/>
  <c r="B132" i="29" a="1"/>
  <c r="B97" i="29" a="1"/>
  <c r="B245" i="29" a="1"/>
  <c r="B217" i="29" a="1"/>
  <c r="B200" i="29" a="1"/>
  <c r="B166" i="29" a="1"/>
  <c r="B145" i="29" a="1"/>
  <c r="B78" i="29" a="1"/>
  <c r="B64" i="29" a="1"/>
  <c r="B60" i="29" a="1"/>
  <c r="B51" i="29" a="1"/>
  <c r="B8" i="29" a="1"/>
  <c r="B79" i="29" a="1"/>
  <c r="B36" i="29" a="1"/>
  <c r="B16" i="29" a="1"/>
  <c r="B240" i="29" a="1"/>
  <c r="B127" i="29" a="1"/>
  <c r="B110" i="29" a="1"/>
  <c r="B93" i="29" a="1"/>
  <c r="B76" i="29" a="1"/>
  <c r="B65" i="29" a="1"/>
  <c r="B52" i="29" a="1"/>
  <c r="B118" i="29" a="1"/>
  <c r="B135" i="29" a="1"/>
  <c r="B253" i="29" a="1"/>
  <c r="B156" i="29" a="1"/>
  <c r="B152" i="29" a="1"/>
  <c r="B30" i="29" a="1"/>
  <c r="B222" i="29" a="1"/>
  <c r="B233" i="29" a="1"/>
  <c r="B136" i="29" a="1"/>
  <c r="B87" i="29" a="1"/>
  <c r="B61" i="29" a="1"/>
  <c r="B11" i="29" a="1"/>
  <c r="B98" i="29" a="1"/>
  <c r="B24" i="29" a="1"/>
  <c r="B129" i="29" a="1"/>
  <c r="B224" i="29" a="1"/>
  <c r="B139" i="29" a="1"/>
  <c r="B84" i="29" a="1"/>
  <c r="B14" i="29" a="1"/>
  <c r="B199" i="29" a="1"/>
  <c r="B153" i="29" a="1"/>
  <c r="B55" i="29" a="1"/>
  <c r="B242" i="29" a="1"/>
  <c r="B189" i="29" a="1"/>
  <c r="B162" i="29" a="1"/>
  <c r="B119" i="29" a="1"/>
  <c r="B72" i="29" a="1"/>
  <c r="B38" i="29" a="1"/>
  <c r="B15" i="29" a="1"/>
  <c r="B254" i="29" a="1"/>
  <c r="B238" i="29" a="1"/>
  <c r="B68" i="29" a="1"/>
  <c r="B58" i="29" a="1"/>
  <c r="B48" i="29" a="1"/>
  <c r="B39" i="29" a="1"/>
  <c r="B252" i="29" a="1"/>
  <c r="B246" i="29" a="1"/>
  <c r="B243" i="29" a="1"/>
  <c r="B71" i="29" a="1"/>
  <c r="B46" i="29" a="1"/>
  <c r="B250" i="29" a="1"/>
  <c r="B10" i="29" a="1"/>
  <c r="B82" i="29" a="1"/>
  <c r="B180" i="29" a="1"/>
  <c r="B134" i="29" a="1"/>
  <c r="B237" i="29" a="1"/>
  <c r="B231" i="29" a="1"/>
  <c r="B221" i="29" a="1"/>
  <c r="B205" i="29" a="1"/>
  <c r="B198" i="29" a="1"/>
  <c r="B191" i="29" a="1"/>
  <c r="B187" i="29" a="1"/>
  <c r="B184" i="29" a="1"/>
  <c r="B178" i="29" a="1"/>
  <c r="B173" i="29" a="1"/>
  <c r="B165" i="29" a="1"/>
  <c r="B159" i="29" a="1"/>
  <c r="B150" i="29" a="1"/>
  <c r="B146" i="29" a="1"/>
  <c r="B141" i="29" a="1"/>
  <c r="B131" i="29" a="1"/>
  <c r="B128" i="29" a="1"/>
  <c r="B121" i="29" a="1"/>
  <c r="B109" i="29" a="1"/>
  <c r="B102" i="29" a="1"/>
  <c r="B96" i="29" a="1"/>
  <c r="B88" i="29" a="1"/>
  <c r="B83" i="29" a="1"/>
  <c r="B59" i="29" a="1"/>
  <c r="B50" i="29" a="1"/>
  <c r="B41" i="29" a="1"/>
  <c r="B228" i="29" a="1"/>
  <c r="B226" i="29" a="1"/>
  <c r="B29" i="29" a="1"/>
  <c r="B21" i="29" a="1"/>
  <c r="B6" i="29" a="1"/>
  <c r="B13" i="29" a="1"/>
  <c r="B223" i="29" a="1"/>
  <c r="B193" i="29" a="1"/>
  <c r="B196" i="29" a="1"/>
  <c r="B176" i="29" a="1"/>
  <c r="B220" i="29" a="1"/>
  <c r="B90" i="29" a="1"/>
  <c r="B248" i="29" a="1"/>
  <c r="B122" i="29" a="1"/>
  <c r="B130" i="29" a="1"/>
  <c r="B103" i="29" a="1"/>
  <c r="B45" i="29" a="1"/>
  <c r="B25" i="29" a="1"/>
  <c r="B236" i="29" a="1"/>
  <c r="B171" i="29" a="1"/>
  <c r="B47" i="29" a="1"/>
  <c r="B89" i="29" a="1"/>
  <c r="B181" i="29" a="1"/>
  <c r="B37" i="29" a="1"/>
  <c r="B192" i="29" a="1"/>
  <c r="B239" i="29" a="1"/>
  <c r="B234" i="29" a="1"/>
  <c r="B227" i="29" a="1"/>
  <c r="B207" i="29" a="1"/>
  <c r="B203" i="29" a="1"/>
  <c r="B194" i="29" a="1"/>
  <c r="B241" i="29" a="1"/>
  <c r="B175" i="29" a="1"/>
  <c r="B209" i="29" a="1"/>
  <c r="B149" i="29" a="1"/>
  <c r="B249" i="29" a="1"/>
  <c r="B235" i="29" a="1"/>
  <c r="B225" i="29" a="1"/>
  <c r="B219" i="29" a="1"/>
  <c r="B182" i="29" a="1"/>
  <c r="B172" i="29" a="1"/>
  <c r="B168" i="29" a="1"/>
  <c r="B160" i="29" a="1"/>
  <c r="B151" i="29" a="1"/>
  <c r="B140" i="29" a="1"/>
  <c r="B120" i="29" a="1"/>
  <c r="B117" i="29" a="1"/>
  <c r="B108" i="29" a="1"/>
  <c r="B95" i="29" a="1"/>
  <c r="B92" i="29" a="1"/>
  <c r="B80" i="29" a="1"/>
  <c r="B73" i="29" a="1"/>
  <c r="B66" i="29" a="1"/>
  <c r="B56" i="29" a="1"/>
  <c r="B49" i="29" a="1"/>
  <c r="B202" i="29" a="1"/>
  <c r="B208" i="29" a="1"/>
  <c r="B113" i="29" a="1"/>
  <c r="B62" i="29" a="1"/>
  <c r="B230" i="29" a="1"/>
  <c r="B17" i="29" a="1"/>
  <c r="B174" i="29" a="1"/>
  <c r="B147" i="29" a="1"/>
  <c r="B112" i="29" a="1"/>
  <c r="B77" i="29" a="1"/>
  <c r="B69" i="29" a="1"/>
  <c r="B35" i="29" a="1"/>
  <c r="B22" i="29" a="1"/>
  <c r="B218" i="29" a="1"/>
  <c r="B81" i="29" a="1"/>
  <c r="B9" i="29" a="1"/>
  <c r="B111" i="29" a="1"/>
  <c r="B154" i="29" a="1"/>
  <c r="B114" i="29" a="1"/>
  <c r="B99" i="29" a="1"/>
  <c r="B67" i="29" a="1"/>
  <c r="B216" i="29" a="1"/>
  <c r="B197" i="29" a="1"/>
  <c r="B179" i="29" a="1"/>
  <c r="B133" i="29" a="1"/>
  <c r="B125" i="29" a="1"/>
  <c r="B23" i="29" a="1"/>
  <c r="B210" i="29" a="1"/>
  <c r="B195" i="29" a="1"/>
  <c r="B170" i="29" a="1"/>
  <c r="B144" i="29" a="1"/>
  <c r="B104" i="29" a="1"/>
  <c r="B40" i="29" a="1"/>
  <c r="B27" i="29" a="1"/>
  <c r="B247" i="29" a="1"/>
  <c r="B201" i="29" a="1"/>
  <c r="B18" i="29" a="1"/>
  <c r="B7" i="29" a="1"/>
  <c r="B138" i="29" a="1"/>
  <c r="B105" i="29" a="1"/>
  <c r="B169" i="29" a="1"/>
  <c r="B143" i="29" a="1"/>
  <c r="B116" i="29" a="1"/>
  <c r="B91" i="29" a="1"/>
  <c r="B63" i="29" a="1"/>
  <c r="BC4" i="19" a="1"/>
  <c r="B148" i="29" a="1"/>
  <c r="B115" i="29" a="1"/>
  <c r="B101" i="29" a="1"/>
  <c r="B86" i="29" a="1"/>
  <c r="B215" i="29" a="1"/>
  <c r="B157" i="29" a="1"/>
  <c r="B206" i="29" a="1"/>
  <c r="B177" i="29" a="1"/>
  <c r="B142" i="29" a="1"/>
  <c r="B124" i="29" a="1"/>
  <c r="B74" i="29" a="1"/>
  <c r="B204" i="29" a="1"/>
  <c r="B185" i="29" a="1"/>
  <c r="B158" i="29" a="1"/>
  <c r="B126" i="29" a="1"/>
  <c r="B70" i="29" a="1"/>
  <c r="B54" i="29" a="1"/>
  <c r="B43" i="29" a="1"/>
  <c r="B244" i="29" a="1"/>
  <c r="B53" i="29" a="1"/>
  <c r="B26" i="29" a="1"/>
  <c r="B211" i="29" a="1"/>
  <c r="B123" i="29" a="1"/>
  <c r="B100" i="29" a="1"/>
  <c r="B85" i="29" a="1"/>
  <c r="B57" i="29" a="1"/>
  <c r="B42" i="29" a="1"/>
  <c r="B34" i="29" a="1"/>
  <c r="B28" i="29" a="1"/>
  <c r="B20" i="29" a="1"/>
  <c r="B12" i="29" a="1"/>
  <c r="B155" i="29" a="1"/>
  <c r="B33" i="29" a="1"/>
  <c r="B163" i="29" a="1"/>
  <c r="B106" i="29" a="1"/>
  <c r="B75" i="29" a="1"/>
  <c r="B32" i="29" a="1"/>
  <c r="F20" i="12" a="1"/>
  <c r="A20" i="12" a="1"/>
  <c r="E95" i="12" a="1"/>
  <c r="I95" i="12" s="1"/>
  <c r="F99" i="12" a="1"/>
  <c r="G99" i="12" s="1" a="1"/>
  <c r="D63" i="12" a="1"/>
  <c r="H63" i="12" s="1"/>
  <c r="E47" i="12" a="1"/>
  <c r="I47" i="12" s="1"/>
  <c r="E28" i="12" a="1"/>
  <c r="I28" i="12" s="1"/>
  <c r="F9" i="12" a="1"/>
  <c r="F81" i="12" a="1"/>
  <c r="A61" i="12" a="1"/>
  <c r="C43" i="12" a="1"/>
  <c r="B21" i="12" a="1"/>
  <c r="A27" i="12" a="1"/>
  <c r="E40" i="12" a="1"/>
  <c r="I40" i="12" s="1"/>
  <c r="E7" i="12" a="1"/>
  <c r="I7" i="12" s="1"/>
  <c r="E105" i="12" a="1"/>
  <c r="I105" i="12" s="1"/>
  <c r="B96" i="12" a="1"/>
  <c r="C100" i="12" a="1"/>
  <c r="E62" i="12" a="1"/>
  <c r="I62" i="12" s="1"/>
  <c r="E46" i="12" a="1"/>
  <c r="I46" i="12" s="1"/>
  <c r="E49" i="12" a="1"/>
  <c r="I49" i="12" s="1"/>
  <c r="D22" i="12" a="1"/>
  <c r="H22" i="12" s="1"/>
  <c r="D24" i="12" a="1"/>
  <c r="H24" i="12" s="1"/>
  <c r="B39" i="12" a="1"/>
  <c r="AL56" i="12" a="1"/>
  <c r="D38" i="12" a="1"/>
  <c r="H38" i="12" s="1"/>
  <c r="B8" i="12" a="1"/>
  <c r="D81" i="12" a="1"/>
  <c r="H81" i="12" s="1"/>
  <c r="E100" i="12" a="1"/>
  <c r="I100" i="12" s="1"/>
  <c r="A63" i="12" a="1"/>
  <c r="E65" i="12" a="1"/>
  <c r="I65" i="12" s="1"/>
  <c r="E45" i="12" a="1"/>
  <c r="I45" i="12" s="1"/>
  <c r="E50" i="12" a="1"/>
  <c r="I50" i="12" s="1"/>
  <c r="F21" i="12" a="1"/>
  <c r="F26" i="12" a="1"/>
  <c r="C33" i="12" a="1"/>
  <c r="B40" i="12" a="1"/>
  <c r="D70" i="12" a="1"/>
  <c r="H70" i="12" s="1"/>
  <c r="B70" i="12" a="1"/>
  <c r="F57" i="12" a="1"/>
  <c r="D23" i="12" a="1"/>
  <c r="H23" i="12" s="1"/>
  <c r="AL34" i="12" a="1"/>
  <c r="F38" i="12" a="1"/>
  <c r="F105" i="12" a="1"/>
  <c r="F10" i="12" a="1"/>
  <c r="AL12" i="12" a="1"/>
  <c r="C11" i="12" a="1"/>
  <c r="E12" i="12" a="1"/>
  <c r="I12" i="12" s="1"/>
  <c r="F13" i="12" a="1"/>
  <c r="C14" i="12" a="1"/>
  <c r="E15" i="12" a="1"/>
  <c r="I15" i="12" s="1"/>
  <c r="D16" i="12" a="1"/>
  <c r="H16" i="12" s="1"/>
  <c r="B17" i="12" a="1"/>
  <c r="E17" i="12" a="1"/>
  <c r="I17" i="12" s="1"/>
  <c r="F18" i="12" a="1"/>
  <c r="A84" i="12" a="1"/>
  <c r="AL84" i="12" a="1"/>
  <c r="A85" i="12" a="1"/>
  <c r="C85" i="12" a="1"/>
  <c r="E85" i="12" a="1"/>
  <c r="I85" i="12" s="1"/>
  <c r="AL85" i="12" a="1"/>
  <c r="B86" i="12" a="1"/>
  <c r="D86" i="12" a="1"/>
  <c r="H86" i="12" s="1"/>
  <c r="F86" i="12" a="1"/>
  <c r="AL86" i="12" a="1"/>
  <c r="B87" i="12" a="1"/>
  <c r="D87" i="12" a="1"/>
  <c r="H87" i="12" s="1"/>
  <c r="E87" i="12" a="1"/>
  <c r="I87" i="12" s="1"/>
  <c r="AL87" i="12" a="1"/>
  <c r="B88" i="12" a="1"/>
  <c r="C88" i="12" a="1"/>
  <c r="E88" i="12" a="1"/>
  <c r="I88" i="12" s="1"/>
  <c r="AL88" i="12" a="1"/>
  <c r="B89" i="12" a="1"/>
  <c r="C89" i="12" a="1"/>
  <c r="E89" i="12" a="1"/>
  <c r="I89" i="12" s="1"/>
  <c r="AL89" i="12" a="1"/>
  <c r="B90" i="12" a="1"/>
  <c r="D90" i="12" a="1"/>
  <c r="H90" i="12" s="1"/>
  <c r="E90" i="12" a="1"/>
  <c r="I90" i="12" s="1"/>
  <c r="A91" i="12" a="1"/>
  <c r="B91" i="12" a="1"/>
  <c r="D91" i="12" a="1"/>
  <c r="H91" i="12" s="1"/>
  <c r="F91" i="12" a="1"/>
  <c r="AL91" i="12" a="1"/>
  <c r="B92" i="12" a="1"/>
  <c r="F61" i="12" a="1"/>
  <c r="C62" i="12" a="1"/>
  <c r="F62" i="12" a="1"/>
  <c r="B63" i="12" a="1"/>
  <c r="E63" i="12" a="1"/>
  <c r="I63" i="12" s="1"/>
  <c r="A64" i="12" a="1"/>
  <c r="D64" i="12" a="1"/>
  <c r="H64" i="12" s="1"/>
  <c r="A65" i="12" a="1"/>
  <c r="D65" i="12" a="1"/>
  <c r="H65" i="12" s="1"/>
  <c r="F65" i="12" a="1"/>
  <c r="B66" i="12" a="1"/>
  <c r="E66" i="12" a="1"/>
  <c r="I66" i="12" s="1"/>
  <c r="A67" i="12" a="1"/>
  <c r="A42" i="12" a="1"/>
  <c r="F42" i="12" a="1"/>
  <c r="F43" i="12" a="1"/>
  <c r="C44" i="12" a="1"/>
  <c r="B45" i="12" a="1"/>
  <c r="AL45" i="12" a="1"/>
  <c r="D47" i="12" a="1"/>
  <c r="H47" i="12" s="1"/>
  <c r="B48" i="12" a="1"/>
  <c r="C48" i="12" a="1"/>
  <c r="C49" i="12" a="1"/>
  <c r="C50" i="12" a="1"/>
  <c r="E52" i="12" a="1"/>
  <c r="I52" i="12" s="1"/>
  <c r="C53" i="12" a="1"/>
  <c r="A56" i="12" a="1"/>
  <c r="C57" i="12" a="1"/>
  <c r="C58" i="12" a="1"/>
  <c r="A59" i="12" a="1"/>
  <c r="A60" i="12" a="1"/>
  <c r="F60" i="12" a="1"/>
  <c r="G60" i="12" s="1" a="1"/>
  <c r="C21" i="12" a="1"/>
  <c r="AL23" i="12" a="1"/>
  <c r="A28" i="12" a="1"/>
  <c r="F30" i="12" a="1"/>
  <c r="G30" i="12" s="1" a="1"/>
  <c r="E32" i="12" a="1"/>
  <c r="I32" i="12" s="1"/>
  <c r="C34" i="12" a="1"/>
  <c r="E37" i="12" a="1"/>
  <c r="I37" i="12" s="1"/>
  <c r="A40" i="12" a="1"/>
  <c r="A68" i="12" a="1"/>
  <c r="AL68" i="12" a="1"/>
  <c r="C70" i="12" a="1"/>
  <c r="D54" i="12" a="1"/>
  <c r="H54" i="12" s="1"/>
  <c r="D57" i="12" a="1"/>
  <c r="H57" i="12" s="1"/>
  <c r="D60" i="12" a="1"/>
  <c r="H60" i="12" s="1"/>
  <c r="A25" i="12" a="1"/>
  <c r="AL28" i="12" a="1"/>
  <c r="A38" i="12" a="1"/>
  <c r="F51" i="12" a="1"/>
  <c r="G51" i="12" s="1" a="1"/>
  <c r="AL105" i="12" a="1"/>
  <c r="C83" i="12" a="1"/>
  <c r="E6" i="12" a="1"/>
  <c r="I6" i="12" s="1"/>
  <c r="A8" i="12" a="1"/>
  <c r="D9" i="12" a="1"/>
  <c r="H9" i="12" s="1"/>
  <c r="B10" i="12" a="1"/>
  <c r="E10" i="12" a="1"/>
  <c r="I10" i="12" s="1"/>
  <c r="B11" i="12" a="1"/>
  <c r="F11" i="12" a="1"/>
  <c r="G11" i="12" s="1" a="1"/>
  <c r="C12" i="12" a="1"/>
  <c r="A13" i="12" a="1"/>
  <c r="D13" i="12" a="1"/>
  <c r="H13" i="12" s="1"/>
  <c r="A14" i="12" a="1"/>
  <c r="E72" i="12" a="1"/>
  <c r="I72" i="12" s="1"/>
  <c r="AL72" i="12" a="1"/>
  <c r="B73" i="12" a="1"/>
  <c r="D73" i="12" a="1"/>
  <c r="H73" i="12" s="1"/>
  <c r="E73" i="12" a="1"/>
  <c r="I73" i="12" s="1"/>
  <c r="AL73" i="12" a="1"/>
  <c r="C74" i="12" a="1"/>
  <c r="D74" i="12" a="1"/>
  <c r="H74" i="12" s="1"/>
  <c r="F74" i="12" a="1"/>
  <c r="A75" i="12" a="1"/>
  <c r="C75" i="12" a="1"/>
  <c r="E75" i="12" a="1"/>
  <c r="I75" i="12" s="1"/>
  <c r="AL75" i="12" a="1"/>
  <c r="B76" i="12" a="1"/>
  <c r="D76" i="12" a="1"/>
  <c r="H76" i="12" s="1"/>
  <c r="F76" i="12" a="1"/>
  <c r="A77" i="12" a="1"/>
  <c r="C77" i="12" a="1"/>
  <c r="E77" i="12" a="1"/>
  <c r="I77" i="12" s="1"/>
  <c r="F77" i="12" a="1"/>
  <c r="A78" i="12" a="1"/>
  <c r="C78" i="12" a="1"/>
  <c r="E78" i="12" a="1"/>
  <c r="I78" i="12" s="1"/>
  <c r="AL78" i="12" a="1"/>
  <c r="B79" i="12" a="1"/>
  <c r="C79" i="12" a="1"/>
  <c r="E79" i="12" a="1"/>
  <c r="I79" i="12" s="1"/>
  <c r="AL79" i="12" a="1"/>
  <c r="B80" i="12" a="1"/>
  <c r="D80" i="12" a="1"/>
  <c r="H80" i="12" s="1"/>
  <c r="F80" i="12" a="1"/>
  <c r="A41" i="12" a="1"/>
  <c r="B41" i="12" a="1"/>
  <c r="D41" i="12" a="1"/>
  <c r="H41" i="12" s="1"/>
  <c r="E41" i="12" a="1"/>
  <c r="I41" i="12" s="1"/>
  <c r="B42" i="12" a="1"/>
  <c r="AL42" i="12" a="1"/>
  <c r="D43" i="12" a="1"/>
  <c r="H43" i="12" s="1"/>
  <c r="E43" i="12" a="1"/>
  <c r="I43" i="12" s="1"/>
  <c r="D44" i="12" a="1"/>
  <c r="H44" i="12" s="1"/>
  <c r="A45" i="12" a="1"/>
  <c r="F45" i="12" a="1"/>
  <c r="G45" i="12" s="1" a="1"/>
  <c r="C46" i="12" a="1"/>
  <c r="AL46" i="12" a="1"/>
  <c r="C47" i="12" a="1"/>
  <c r="F47" i="12" a="1"/>
  <c r="G47" i="12" s="1" a="1"/>
  <c r="F48" i="12" a="1"/>
  <c r="G48" i="12" s="1" a="1"/>
  <c r="AL48" i="12" a="1"/>
  <c r="D49" i="12" a="1"/>
  <c r="H49" i="12" s="1"/>
  <c r="AL49" i="12" a="1"/>
  <c r="D50" i="12" a="1"/>
  <c r="H50" i="12" s="1"/>
  <c r="AL51" i="12" a="1"/>
  <c r="D52" i="12" a="1"/>
  <c r="H52" i="12" s="1"/>
  <c r="F52" i="12" a="1"/>
  <c r="D53" i="12" a="1"/>
  <c r="H53" i="12" s="1"/>
  <c r="AL53" i="12" a="1"/>
  <c r="B54" i="12" a="1"/>
  <c r="E54" i="12" a="1"/>
  <c r="I54" i="12" s="1"/>
  <c r="F55" i="12" a="1"/>
  <c r="G55" i="12" s="1" a="1"/>
  <c r="E56" i="12" a="1"/>
  <c r="I56" i="12" s="1"/>
  <c r="B59" i="12" a="1"/>
  <c r="B29" i="12" a="1"/>
  <c r="F8" i="12" a="1"/>
  <c r="C103" i="12" a="1"/>
  <c r="D83" i="12" a="1"/>
  <c r="H83" i="12" s="1"/>
  <c r="F97" i="12" a="1"/>
  <c r="G97" i="12" s="1" a="1"/>
  <c r="AL61" i="12" a="1"/>
  <c r="C65" i="12" a="1"/>
  <c r="F44" i="12" a="1"/>
  <c r="B52" i="12" a="1"/>
  <c r="C59" i="12" a="1"/>
  <c r="AL25" i="12" a="1"/>
  <c r="A31" i="12" a="1"/>
  <c r="AL33" i="12" a="1"/>
  <c r="A36" i="12" a="1"/>
  <c r="C37" i="12" a="1"/>
  <c r="E38" i="12" a="1"/>
  <c r="I38" i="12" s="1"/>
  <c r="AL38" i="12" a="1"/>
  <c r="B67" i="12" a="1"/>
  <c r="B68" i="12" a="1"/>
  <c r="F68" i="12" a="1"/>
  <c r="D69" i="12" a="1"/>
  <c r="H69" i="12" s="1"/>
  <c r="E82" i="12" a="1"/>
  <c r="I82" i="12" s="1"/>
  <c r="F83" i="12" a="1"/>
  <c r="D96" i="12" a="1"/>
  <c r="H96" i="12" s="1"/>
  <c r="AL97" i="12" a="1"/>
  <c r="A99" i="12" a="1"/>
  <c r="AL99" i="12" a="1"/>
  <c r="B100" i="12" a="1"/>
  <c r="F100" i="12" a="1"/>
  <c r="G100" i="12" s="1" a="1"/>
  <c r="D61" i="12" a="1"/>
  <c r="H61" i="12" s="1"/>
  <c r="D62" i="12" a="1"/>
  <c r="H62" i="12" s="1"/>
  <c r="C63" i="12" a="1"/>
  <c r="F64" i="12" a="1"/>
  <c r="G64" i="12" s="1" a="1"/>
  <c r="C66" i="12" a="1"/>
  <c r="C42" i="12" a="1"/>
  <c r="AL43" i="12" a="1"/>
  <c r="B46" i="12" a="1"/>
  <c r="A49" i="12" a="1"/>
  <c r="A53" i="12" a="1"/>
  <c r="AL22" i="12" a="1"/>
  <c r="E25" i="12" a="1"/>
  <c r="I25" i="12" s="1"/>
  <c r="B27" i="12" a="1"/>
  <c r="AL29" i="12" a="1"/>
  <c r="C31" i="12" a="1"/>
  <c r="B35" i="12" a="1"/>
  <c r="D37" i="12" a="1"/>
  <c r="H37" i="12" s="1"/>
  <c r="AL50" i="12" a="1"/>
  <c r="C101" i="12" a="1"/>
  <c r="D103" i="12" a="1"/>
  <c r="H103" i="12" s="1"/>
  <c r="D105" i="12" a="1"/>
  <c r="H105" i="12" s="1"/>
  <c r="B81" i="12" a="1"/>
  <c r="A83" i="12" a="1"/>
  <c r="C6" i="12" a="1"/>
  <c r="B7" i="12" a="1"/>
  <c r="C8" i="12" a="1"/>
  <c r="AL9" i="12" a="1"/>
  <c r="AL10" i="12" a="1"/>
  <c r="A12" i="12" a="1"/>
  <c r="B13" i="12" a="1"/>
  <c r="AL13" i="12" a="1"/>
  <c r="E14" i="12" a="1"/>
  <c r="I14" i="12" s="1"/>
  <c r="B15" i="12" a="1"/>
  <c r="F15" i="12" a="1"/>
  <c r="G15" i="12" s="1" a="1"/>
  <c r="A16" i="12" a="1"/>
  <c r="C16" i="12" a="1"/>
  <c r="F16" i="12" a="1"/>
  <c r="G16" i="12" s="1" a="1"/>
  <c r="C17" i="12" a="1"/>
  <c r="C18" i="12" a="1"/>
  <c r="A19" i="12" a="1"/>
  <c r="B20" i="12" a="1"/>
  <c r="AL101" i="12" a="1"/>
  <c r="A103" i="12" a="1"/>
  <c r="C104" i="12" a="1"/>
  <c r="C105" i="12" a="1"/>
  <c r="A81" i="12" a="1"/>
  <c r="B83" i="12" a="1"/>
  <c r="D95" i="12" a="1"/>
  <c r="H95" i="12" s="1"/>
  <c r="A97" i="12" a="1"/>
  <c r="AL62" i="12" a="1"/>
  <c r="C64" i="12" a="1"/>
  <c r="AL65" i="12" a="1"/>
  <c r="AL66" i="12" a="1"/>
  <c r="E44" i="12" a="1"/>
  <c r="I44" i="12" s="1"/>
  <c r="B47" i="12" a="1"/>
  <c r="A50" i="12" a="1"/>
  <c r="B58" i="12" a="1"/>
  <c r="C60" i="12" a="1"/>
  <c r="E21" i="12" a="1"/>
  <c r="I21" i="12" s="1"/>
  <c r="AL58" i="12" a="1"/>
  <c r="C22" i="12" a="1"/>
  <c r="AL26" i="12" a="1"/>
  <c r="B30" i="12" a="1"/>
  <c r="F32" i="12" a="1"/>
  <c r="G32" i="12" s="1" a="1"/>
  <c r="D35" i="12" a="1"/>
  <c r="H35" i="12" s="1"/>
  <c r="A37" i="12" a="1"/>
  <c r="AL40" i="12" a="1"/>
  <c r="C69" i="12" a="1"/>
  <c r="AL54" i="12" a="1"/>
  <c r="B60" i="12" a="1"/>
  <c r="C24" i="12" a="1"/>
  <c r="D34" i="12" a="1"/>
  <c r="H34" i="12" s="1"/>
  <c r="A101" i="12" a="1"/>
  <c r="AL20" i="12" a="1"/>
  <c r="AL83" i="12" a="1"/>
  <c r="F98" i="12" a="1"/>
  <c r="C61" i="12" a="1"/>
  <c r="A22" i="12" a="1"/>
  <c r="D26" i="12" a="1"/>
  <c r="H26" i="12" s="1"/>
  <c r="C27" i="12" a="1"/>
  <c r="A32" i="12" a="1"/>
  <c r="B33" i="12" a="1"/>
  <c r="F35" i="12" a="1"/>
  <c r="B38" i="12" a="1"/>
  <c r="D40" i="12" a="1"/>
  <c r="H40" i="12" s="1"/>
  <c r="F67" i="12" a="1"/>
  <c r="G67" i="12" s="1" a="1"/>
  <c r="E68" i="12" a="1"/>
  <c r="I68" i="12" s="1"/>
  <c r="A70" i="12" a="1"/>
  <c r="A71" i="12" a="1"/>
  <c r="C55" i="12" a="1"/>
  <c r="A58" i="12" a="1"/>
  <c r="E22" i="12" a="1"/>
  <c r="I22" i="12" s="1"/>
  <c r="C26" i="12" a="1"/>
  <c r="A30" i="12" a="1"/>
  <c r="F40" i="12" a="1"/>
  <c r="E101" i="12" a="1"/>
  <c r="I101" i="12" s="1"/>
  <c r="AL104" i="12" a="1"/>
  <c r="D84" i="12" a="1"/>
  <c r="H84" i="12" s="1"/>
  <c r="C7" i="12" a="1"/>
  <c r="D8" i="12" a="1"/>
  <c r="H8" i="12" s="1"/>
  <c r="E23" i="12" a="1"/>
  <c r="I23" i="12" s="1"/>
  <c r="E27" i="12" a="1"/>
  <c r="I27" i="12" s="1"/>
  <c r="F31" i="12" a="1"/>
  <c r="A33" i="12" a="1"/>
  <c r="F34" i="12" a="1"/>
  <c r="C38" i="12" a="1"/>
  <c r="C40" i="12" a="1"/>
  <c r="D67" i="12" a="1"/>
  <c r="H67" i="12" s="1"/>
  <c r="B71" i="12" a="1"/>
  <c r="AL55" i="12" a="1"/>
  <c r="AL21" i="12" a="1"/>
  <c r="AL103" i="12" a="1"/>
  <c r="F6" i="12" a="1"/>
  <c r="F101" i="12" a="1"/>
  <c r="AL82" i="12" a="1"/>
  <c r="E99" i="12" a="1"/>
  <c r="I99" i="12" s="1"/>
  <c r="B62" i="12" a="1"/>
  <c r="D66" i="12" a="1"/>
  <c r="H66" i="12" s="1"/>
  <c r="A44" i="12" a="1"/>
  <c r="D56" i="12" a="1"/>
  <c r="H56" i="12" s="1"/>
  <c r="AL27" i="12" a="1"/>
  <c r="AL31" i="12" a="1"/>
  <c r="AL37" i="12" a="1"/>
  <c r="E67" i="12" a="1"/>
  <c r="I67" i="12" s="1"/>
  <c r="F69" i="12" a="1"/>
  <c r="C71" i="12" a="1"/>
  <c r="A15" i="12" a="1"/>
  <c r="B16" i="12" a="1"/>
  <c r="A17" i="12" a="1"/>
  <c r="A18" i="12" a="1"/>
  <c r="B19" i="12" a="1"/>
  <c r="F19" i="12" a="1"/>
  <c r="D71" i="12" a="1"/>
  <c r="H71" i="12" s="1"/>
  <c r="F71" i="12" a="1"/>
  <c r="A72" i="12" a="1"/>
  <c r="C72" i="12" a="1"/>
  <c r="D72" i="12" a="1"/>
  <c r="H72" i="12" s="1"/>
  <c r="F72" i="12" a="1"/>
  <c r="A73" i="12" a="1"/>
  <c r="C73" i="12" a="1"/>
  <c r="F73" i="12" a="1"/>
  <c r="G73" i="12" s="1" a="1"/>
  <c r="A74" i="12" a="1"/>
  <c r="B74" i="12" a="1"/>
  <c r="E74" i="12" a="1"/>
  <c r="I74" i="12" s="1"/>
  <c r="AL74" i="12" a="1"/>
  <c r="B75" i="12" a="1"/>
  <c r="D75" i="12" a="1"/>
  <c r="H75" i="12" s="1"/>
  <c r="F75" i="12" a="1"/>
  <c r="A76" i="12" a="1"/>
  <c r="C76" i="12" a="1"/>
  <c r="E76" i="12" a="1"/>
  <c r="I76" i="12" s="1"/>
  <c r="AL76" i="12" a="1"/>
  <c r="B77" i="12" a="1"/>
  <c r="D77" i="12" a="1"/>
  <c r="H77" i="12" s="1"/>
  <c r="AL77" i="12" a="1"/>
  <c r="B78" i="12" a="1"/>
  <c r="D78" i="12" a="1"/>
  <c r="H78" i="12" s="1"/>
  <c r="F78" i="12" a="1"/>
  <c r="A79" i="12" a="1"/>
  <c r="D79" i="12" a="1"/>
  <c r="H79" i="12" s="1"/>
  <c r="F79" i="12" a="1"/>
  <c r="A80" i="12" a="1"/>
  <c r="C80" i="12" a="1"/>
  <c r="E80" i="12" a="1"/>
  <c r="I80" i="12" s="1"/>
  <c r="AL80" i="12" a="1"/>
  <c r="C41" i="12" a="1"/>
  <c r="F41" i="12" a="1"/>
  <c r="E42" i="12" a="1"/>
  <c r="I42" i="12" s="1"/>
  <c r="A43" i="12" a="1"/>
  <c r="B44" i="12" a="1"/>
  <c r="AL44" i="12" a="1"/>
  <c r="C45" i="12" a="1"/>
  <c r="A46" i="12" a="1"/>
  <c r="D46" i="12" a="1"/>
  <c r="H46" i="12" s="1"/>
  <c r="A47" i="12" a="1"/>
  <c r="A48" i="12" a="1"/>
  <c r="D48" i="12" a="1"/>
  <c r="H48" i="12" s="1"/>
  <c r="B49" i="12" a="1"/>
  <c r="F49" i="12" a="1"/>
  <c r="G49" i="12" s="1" a="1"/>
  <c r="B50" i="12" a="1"/>
  <c r="F50" i="12" a="1"/>
  <c r="A52" i="12" a="1"/>
  <c r="B53" i="12" a="1"/>
  <c r="F53" i="12" a="1"/>
  <c r="A54" i="12" a="1"/>
  <c r="A55" i="12" a="1"/>
  <c r="A57" i="12" a="1"/>
  <c r="A21" i="12" a="1"/>
  <c r="A24" i="12" a="1"/>
  <c r="B84" i="12" a="1"/>
  <c r="D104" i="12" a="1"/>
  <c r="H104" i="12" s="1"/>
  <c r="E98" i="12" a="1"/>
  <c r="I98" i="12" s="1"/>
  <c r="AL41" i="12" a="1"/>
  <c r="E102" i="12" a="1"/>
  <c r="I102" i="12" s="1"/>
  <c r="AL96" i="12" a="1"/>
  <c r="E64" i="12" a="1"/>
  <c r="I64" i="12" s="1"/>
  <c r="E57" i="12" a="1"/>
  <c r="I57" i="12" s="1"/>
  <c r="B24" i="12" a="1"/>
  <c r="C32" i="12" a="1"/>
  <c r="C81" i="12" a="1"/>
  <c r="B102" i="12" a="1"/>
  <c r="B99" i="12" a="1"/>
  <c r="A66" i="12" a="1"/>
  <c r="E53" i="12" a="1"/>
  <c r="I53" i="12" s="1"/>
  <c r="AL60" i="12" a="1"/>
  <c r="B32" i="12" a="1"/>
  <c r="A34" i="12" a="1"/>
  <c r="E70" i="12" a="1"/>
  <c r="I70" i="12" s="1"/>
  <c r="E26" i="12" a="1"/>
  <c r="I26" i="12" s="1"/>
  <c r="B105" i="12" a="1"/>
  <c r="F102" i="12" a="1"/>
  <c r="D97" i="12" a="1"/>
  <c r="H97" i="12" s="1"/>
  <c r="B64" i="12" a="1"/>
  <c r="D42" i="12" a="1"/>
  <c r="H42" i="12" s="1"/>
  <c r="E58" i="12" a="1"/>
  <c r="I58" i="12" s="1"/>
  <c r="F24" i="12" a="1"/>
  <c r="D30" i="12" a="1"/>
  <c r="H30" i="12" s="1"/>
  <c r="AL36" i="12" a="1"/>
  <c r="D68" i="12" a="1"/>
  <c r="H68" i="12" s="1"/>
  <c r="E55" i="12" a="1"/>
  <c r="I55" i="12" s="1"/>
  <c r="F54" i="12" a="1"/>
  <c r="E29" i="12" a="1"/>
  <c r="I29" i="12" s="1"/>
  <c r="A102" i="12" a="1"/>
  <c r="F84" i="12" a="1"/>
  <c r="A11" i="12" a="1"/>
  <c r="C15" i="12" a="1"/>
  <c r="AL11" i="12" a="1"/>
  <c r="C13" i="12" a="1"/>
  <c r="AL14" i="12" a="1"/>
  <c r="AL15" i="12" a="1"/>
  <c r="AL16" i="12" a="1"/>
  <c r="B18" i="12" a="1"/>
  <c r="C19" i="12" a="1"/>
  <c r="C84" i="12" a="1"/>
  <c r="E84" i="12" a="1"/>
  <c r="I84" i="12" s="1"/>
  <c r="B85" i="12" a="1"/>
  <c r="D85" i="12" a="1"/>
  <c r="H85" i="12" s="1"/>
  <c r="F85" i="12" a="1"/>
  <c r="G85" i="12" s="1" a="1"/>
  <c r="A86" i="12" a="1"/>
  <c r="C86" i="12" a="1"/>
  <c r="E86" i="12" a="1"/>
  <c r="I86" i="12" s="1"/>
  <c r="A87" i="12" a="1"/>
  <c r="C87" i="12" a="1"/>
  <c r="F87" i="12" a="1"/>
  <c r="A88" i="12" a="1"/>
  <c r="D88" i="12" a="1"/>
  <c r="H88" i="12" s="1"/>
  <c r="F88" i="12" a="1"/>
  <c r="A89" i="12" a="1"/>
  <c r="D89" i="12" a="1"/>
  <c r="H89" i="12" s="1"/>
  <c r="F89" i="12" a="1"/>
  <c r="A90" i="12" a="1"/>
  <c r="C90" i="12" a="1"/>
  <c r="F90" i="12" a="1"/>
  <c r="AL90" i="12" a="1"/>
  <c r="C91" i="12" a="1"/>
  <c r="E91" i="12" a="1"/>
  <c r="I91" i="12" s="1"/>
  <c r="A92" i="12" a="1"/>
  <c r="AL70" i="12" a="1"/>
  <c r="B56" i="12" a="1"/>
  <c r="D21" i="12" a="1"/>
  <c r="H21" i="12" s="1"/>
  <c r="A26" i="12" a="1"/>
  <c r="B31" i="12" a="1"/>
  <c r="E36" i="12" a="1"/>
  <c r="I36" i="12" s="1"/>
  <c r="A51" i="12" a="1"/>
  <c r="F103" i="12" a="1"/>
  <c r="F82" i="12" a="1"/>
  <c r="D7" i="12" a="1"/>
  <c r="H7" i="12" s="1"/>
  <c r="E9" i="12" a="1"/>
  <c r="I9" i="12" s="1"/>
  <c r="B12" i="12" a="1"/>
  <c r="B14" i="12" a="1"/>
  <c r="D18" i="12" a="1"/>
  <c r="H18" i="12" s="1"/>
  <c r="C92" i="12" a="1"/>
  <c r="D92" i="12" a="1"/>
  <c r="H92" i="12" s="1"/>
  <c r="E92" i="12" a="1"/>
  <c r="I92" i="12" s="1"/>
  <c r="F92" i="12" a="1"/>
  <c r="AL92" i="12" a="1"/>
  <c r="A93" i="12" a="1"/>
  <c r="B93" i="12" a="1"/>
  <c r="C93" i="12" a="1"/>
  <c r="D93" i="12" a="1"/>
  <c r="H93" i="12" s="1"/>
  <c r="E93" i="12" a="1"/>
  <c r="I93" i="12" s="1"/>
  <c r="F93" i="12" a="1"/>
  <c r="AL93" i="12" a="1"/>
  <c r="A94" i="12" a="1"/>
  <c r="B94" i="12" a="1"/>
  <c r="C94" i="12" a="1"/>
  <c r="D94" i="12" a="1"/>
  <c r="H94" i="12" s="1"/>
  <c r="E94" i="12" a="1"/>
  <c r="I94" i="12" s="1"/>
  <c r="F94" i="12" a="1"/>
  <c r="G94" i="12" s="1" a="1"/>
  <c r="AL94" i="12" a="1"/>
  <c r="A95" i="12" a="1"/>
  <c r="B95" i="12" a="1"/>
  <c r="C95" i="12" a="1"/>
  <c r="AL95" i="12" a="1"/>
  <c r="C96" i="12" a="1"/>
  <c r="F96" i="12" a="1"/>
  <c r="B97" i="12" a="1"/>
  <c r="E97" i="12" a="1"/>
  <c r="I97" i="12" s="1"/>
  <c r="A98" i="12" a="1"/>
  <c r="D98" i="12" a="1"/>
  <c r="H98" i="12" s="1"/>
  <c r="AL98" i="12" a="1"/>
  <c r="C99" i="12" a="1"/>
  <c r="F28" i="12" a="1"/>
  <c r="B34" i="12" a="1"/>
  <c r="C36" i="12" a="1"/>
  <c r="A39" i="12" a="1"/>
  <c r="D51" i="12" a="1"/>
  <c r="H51" i="12" s="1"/>
  <c r="D102" i="12" a="1"/>
  <c r="H102" i="12" s="1"/>
  <c r="B104" i="12" a="1"/>
  <c r="B82" i="12" a="1"/>
  <c r="F22" i="12" a="1"/>
  <c r="F25" i="12" a="1"/>
  <c r="A29" i="12" a="1"/>
  <c r="AL32" i="12" a="1"/>
  <c r="A35" i="12" a="1"/>
  <c r="C39" i="12" a="1"/>
  <c r="C67" i="12" a="1"/>
  <c r="C68" i="12" a="1"/>
  <c r="E69" i="12" a="1"/>
  <c r="I69" i="12" s="1"/>
  <c r="F70" i="12" a="1"/>
  <c r="C56" i="12" a="1"/>
  <c r="D59" i="12" a="1"/>
  <c r="H59" i="12" s="1"/>
  <c r="F23" i="12" a="1"/>
  <c r="F27" i="12" a="1"/>
  <c r="E31" i="12" a="1"/>
  <c r="I31" i="12" s="1"/>
  <c r="B51" i="12" a="1"/>
  <c r="B103" i="12" a="1"/>
  <c r="A6" i="12" a="1"/>
  <c r="A7" i="12" a="1"/>
  <c r="B26" i="12" a="1"/>
  <c r="C29" i="12" a="1"/>
  <c r="C54" i="12" a="1"/>
  <c r="F58" i="12" a="1"/>
  <c r="D25" i="12" a="1"/>
  <c r="H25" i="12" s="1"/>
  <c r="E30" i="12" a="1"/>
  <c r="I30" i="12" s="1"/>
  <c r="E35" i="12" a="1"/>
  <c r="I35" i="12" s="1"/>
  <c r="B37" i="12" a="1"/>
  <c r="C51" i="12" a="1"/>
  <c r="C9" i="12" a="1"/>
  <c r="A105" i="12" a="1"/>
  <c r="E96" i="12" a="1"/>
  <c r="I96" i="12" s="1"/>
  <c r="AL100" i="12" a="1"/>
  <c r="F63" i="12" a="1"/>
  <c r="E48" i="12" a="1"/>
  <c r="I48" i="12" s="1"/>
  <c r="F59" i="12" a="1"/>
  <c r="C23" i="12" a="1"/>
  <c r="C35" i="12" a="1"/>
  <c r="AL67" i="12" a="1"/>
  <c r="D14" i="12" a="1"/>
  <c r="H14" i="12" s="1"/>
  <c r="D15" i="12" a="1"/>
  <c r="H15" i="12" s="1"/>
  <c r="E16" i="12" a="1"/>
  <c r="I16" i="12" s="1"/>
  <c r="D17" i="12" a="1"/>
  <c r="H17" i="12" s="1"/>
  <c r="E18" i="12" a="1"/>
  <c r="I18" i="12" s="1"/>
  <c r="C20" i="12" a="1"/>
  <c r="E71" i="12" a="1"/>
  <c r="I71" i="12" s="1"/>
  <c r="AL71" i="12" a="1"/>
  <c r="B72" i="12" a="1"/>
  <c r="BO2" i="12"/>
  <c r="F7" i="12" a="1"/>
  <c r="A9" i="12" a="1"/>
  <c r="C10" i="12" a="1"/>
  <c r="D11" i="12" a="1"/>
  <c r="H11" i="12" s="1"/>
  <c r="F12" i="12" a="1"/>
  <c r="F17" i="12" a="1"/>
  <c r="E19" i="12" a="1"/>
  <c r="I19" i="12" s="1"/>
  <c r="E20" i="12" a="1"/>
  <c r="I20" i="12" s="1"/>
  <c r="C102" i="12" a="1"/>
  <c r="E103" i="12" a="1"/>
  <c r="I103" i="12" s="1"/>
  <c r="F104" i="12" a="1"/>
  <c r="A82" i="12" a="1"/>
  <c r="A96" i="12" a="1"/>
  <c r="C97" i="12" a="1"/>
  <c r="C98" i="12" a="1"/>
  <c r="D99" i="12" a="1"/>
  <c r="H99" i="12" s="1"/>
  <c r="D100" i="12" a="1"/>
  <c r="H100" i="12" s="1"/>
  <c r="B61" i="12" a="1"/>
  <c r="A62" i="12" a="1"/>
  <c r="AL63" i="12" a="1"/>
  <c r="B65" i="12" a="1"/>
  <c r="B43" i="12" a="1"/>
  <c r="D45" i="12" a="1"/>
  <c r="H45" i="12" s="1"/>
  <c r="AL47" i="12" a="1"/>
  <c r="C52" i="12" a="1"/>
  <c r="B57" i="12" a="1"/>
  <c r="E59" i="12" a="1"/>
  <c r="I59" i="12" s="1"/>
  <c r="B23" i="12" a="1"/>
  <c r="B25" i="12" a="1"/>
  <c r="C28" i="12" a="1"/>
  <c r="AL30" i="12" a="1"/>
  <c r="D32" i="12" a="1"/>
  <c r="H32" i="12" s="1"/>
  <c r="D33" i="12" a="1"/>
  <c r="H33" i="12" s="1"/>
  <c r="D36" i="12" a="1"/>
  <c r="H36" i="12" s="1"/>
  <c r="AL39" i="12" a="1"/>
  <c r="B69" i="12" a="1"/>
  <c r="AL69" i="12" a="1"/>
  <c r="D55" i="12" a="1"/>
  <c r="H55" i="12" s="1"/>
  <c r="AL57" i="12" a="1"/>
  <c r="A23" i="12" a="1"/>
  <c r="B28" i="12" a="1"/>
  <c r="B36" i="12" a="1"/>
  <c r="F39" i="12" a="1"/>
  <c r="B101" i="12" a="1"/>
  <c r="C82" i="12" a="1"/>
  <c r="D10" i="12" a="1"/>
  <c r="H10" i="12" s="1"/>
  <c r="A104" i="12" a="1"/>
  <c r="D82" i="12" a="1"/>
  <c r="H82" i="12" s="1"/>
  <c r="F95" i="12" a="1"/>
  <c r="B98" i="12" a="1"/>
  <c r="A100" i="12" a="1"/>
  <c r="E61" i="12" a="1"/>
  <c r="I61" i="12" s="1"/>
  <c r="AL64" i="12" a="1"/>
  <c r="F66" i="12" a="1"/>
  <c r="F46" i="12" a="1"/>
  <c r="AL52" i="12" a="1"/>
  <c r="E60" i="12" a="1"/>
  <c r="I60" i="12" s="1"/>
  <c r="C25" i="12" a="1"/>
  <c r="D29" i="12" a="1"/>
  <c r="H29" i="12" s="1"/>
  <c r="AL24" i="12" a="1"/>
  <c r="F29" i="12" a="1"/>
  <c r="D31" i="12" a="1"/>
  <c r="H31" i="12" s="1"/>
  <c r="F33" i="12" a="1"/>
  <c r="F36" i="12" a="1"/>
  <c r="E34" i="12" a="1"/>
  <c r="I34" i="12" s="1"/>
  <c r="E39" i="12" a="1"/>
  <c r="I39" i="12" s="1"/>
  <c r="A69" i="12" a="1"/>
  <c r="B55" i="12" a="1"/>
  <c r="F56" i="12" a="1"/>
  <c r="D58" i="12" a="1"/>
  <c r="H58" i="12" s="1"/>
  <c r="AL59" i="12" a="1"/>
  <c r="B22" i="12" a="1"/>
  <c r="E24" i="12" a="1"/>
  <c r="I24" i="12" s="1"/>
  <c r="D27" i="12" a="1"/>
  <c r="H27" i="12" s="1"/>
  <c r="D28" i="12" a="1"/>
  <c r="H28" i="12" s="1"/>
  <c r="C30" i="12" a="1"/>
  <c r="E33" i="12" a="1"/>
  <c r="I33" i="12" s="1"/>
  <c r="AL35" i="12" a="1"/>
  <c r="F37" i="12" a="1"/>
  <c r="D39" i="12" a="1"/>
  <c r="H39" i="12" s="1"/>
  <c r="E51" i="12" a="1"/>
  <c r="I51" i="12" s="1"/>
  <c r="D101" i="12" a="1"/>
  <c r="H101" i="12" s="1"/>
  <c r="AL102" i="12" a="1"/>
  <c r="E104" i="12" a="1"/>
  <c r="I104" i="12" s="1"/>
  <c r="E81" i="12" a="1"/>
  <c r="I81" i="12" s="1"/>
  <c r="AL81" i="12" a="1"/>
  <c r="E83" i="12" a="1"/>
  <c r="I83" i="12" s="1"/>
  <c r="B6" i="12" a="1"/>
  <c r="D6" i="12" a="1"/>
  <c r="H6" i="12" s="1"/>
  <c r="E8" i="12" a="1"/>
  <c r="I8" i="12" s="1"/>
  <c r="B9" i="12" a="1"/>
  <c r="A10" i="12" a="1"/>
  <c r="E11" i="12" a="1"/>
  <c r="I11" i="12" s="1"/>
  <c r="D12" i="12" a="1"/>
  <c r="H12" i="12" s="1"/>
  <c r="E13" i="12" a="1"/>
  <c r="I13" i="12" s="1"/>
  <c r="F14" i="12" a="1"/>
  <c r="AL17" i="12" a="1"/>
  <c r="AL18" i="12" a="1"/>
  <c r="D19" i="12" a="1"/>
  <c r="H19" i="12" s="1"/>
  <c r="AL19" i="12" a="1"/>
  <c r="D20" i="12" a="1"/>
  <c r="H20" i="12" s="1"/>
  <c r="K75" i="28" a="1"/>
  <c r="AG76" i="28" a="1"/>
  <c r="L76" i="28" s="1" a="1"/>
  <c r="AO76" i="28" a="1"/>
  <c r="H79" i="28"/>
  <c r="Z78" i="28"/>
  <c r="AD78" i="28"/>
  <c r="AF76" i="28"/>
  <c r="F76" i="28" s="1" a="1"/>
  <c r="AE77" i="28"/>
  <c r="AN80" i="28"/>
  <c r="G79" i="28" a="1"/>
  <c r="AD79" i="28" s="1"/>
  <c r="AA78" i="28"/>
  <c r="Y78" i="28"/>
  <c r="AJ77" i="28"/>
  <c r="AK77" i="28"/>
  <c r="AL77" i="28"/>
  <c r="AC77" i="28"/>
  <c r="CJ44" i="29" l="1" a="1"/>
  <c r="CE44" i="29"/>
  <c r="CJ19" i="29" a="1"/>
  <c r="CE19" i="29"/>
  <c r="CJ229" i="29" a="1"/>
  <c r="CE229" i="29"/>
  <c r="CJ213" i="29" a="1"/>
  <c r="CE213" i="29"/>
  <c r="CJ190" i="29" a="1"/>
  <c r="CE190" i="29"/>
  <c r="CJ186" i="29" a="1"/>
  <c r="CE186" i="29"/>
  <c r="CJ164" i="29" a="1"/>
  <c r="CE164" i="29"/>
  <c r="CJ251" i="29" a="1"/>
  <c r="CE251" i="29"/>
  <c r="CJ232" i="29" a="1"/>
  <c r="CE232" i="29"/>
  <c r="CJ167" i="29" a="1"/>
  <c r="CE167" i="29"/>
  <c r="CJ137" i="29" a="1"/>
  <c r="CE137" i="29"/>
  <c r="CJ107" i="29" a="1"/>
  <c r="CE107" i="29"/>
  <c r="CJ94" i="29" a="1"/>
  <c r="CE94" i="29"/>
  <c r="CJ31" i="29" a="1"/>
  <c r="CE31" i="29"/>
  <c r="CJ183" i="29" a="1"/>
  <c r="CE183" i="29"/>
  <c r="CJ214" i="29" a="1"/>
  <c r="CE214" i="29"/>
  <c r="CJ212" i="29" a="1"/>
  <c r="CE212" i="29"/>
  <c r="CJ188" i="29" a="1"/>
  <c r="CE188" i="29"/>
  <c r="CJ161" i="29" a="1"/>
  <c r="CE161" i="29"/>
  <c r="CJ132" i="29" a="1"/>
  <c r="CE132" i="29"/>
  <c r="CJ97" i="29" a="1"/>
  <c r="CE97" i="29"/>
  <c r="CJ245" i="29" a="1"/>
  <c r="CE245" i="29"/>
  <c r="CJ217" i="29" a="1"/>
  <c r="CE217" i="29"/>
  <c r="CJ200" i="29" a="1"/>
  <c r="CE200" i="29"/>
  <c r="CJ166" i="29" a="1"/>
  <c r="CE166" i="29"/>
  <c r="CJ145" i="29" a="1"/>
  <c r="CE145" i="29"/>
  <c r="CJ78" i="29" a="1"/>
  <c r="CE78" i="29"/>
  <c r="CJ64" i="29" a="1"/>
  <c r="CE64" i="29"/>
  <c r="CJ60" i="29" a="1"/>
  <c r="CE60" i="29"/>
  <c r="CJ51" i="29" a="1"/>
  <c r="CE51" i="29"/>
  <c r="CJ79" i="29" a="1"/>
  <c r="CE79" i="29"/>
  <c r="CJ36" i="29" a="1"/>
  <c r="CE36" i="29"/>
  <c r="CJ16" i="29" a="1"/>
  <c r="CE16" i="29"/>
  <c r="CJ240" i="29" a="1"/>
  <c r="CE240" i="29"/>
  <c r="CJ127" i="29" a="1"/>
  <c r="CE127" i="29"/>
  <c r="CJ110" i="29" a="1"/>
  <c r="CE110" i="29"/>
  <c r="CJ93" i="29" a="1"/>
  <c r="CE93" i="29"/>
  <c r="CJ76" i="29" a="1"/>
  <c r="CE76" i="29"/>
  <c r="CJ65" i="29" a="1"/>
  <c r="CE65" i="29"/>
  <c r="CJ52" i="29" a="1"/>
  <c r="CE52" i="29"/>
  <c r="CJ118" i="29" a="1"/>
  <c r="CE118" i="29"/>
  <c r="CJ135" i="29" a="1"/>
  <c r="CE135" i="29"/>
  <c r="CJ253" i="29" a="1"/>
  <c r="CE253" i="29"/>
  <c r="CJ156" i="29" a="1"/>
  <c r="CE156" i="29"/>
  <c r="CJ152" i="29" a="1"/>
  <c r="CE152" i="29"/>
  <c r="CJ30" i="29" a="1"/>
  <c r="CE30" i="29"/>
  <c r="CJ222" i="29" a="1"/>
  <c r="CE222" i="29"/>
  <c r="CJ233" i="29" a="1"/>
  <c r="CE233" i="29"/>
  <c r="CJ136" i="29" a="1"/>
  <c r="CE136" i="29"/>
  <c r="CJ87" i="29" a="1"/>
  <c r="CE87" i="29"/>
  <c r="CJ61" i="29" a="1"/>
  <c r="CE61" i="29"/>
  <c r="CJ98" i="29" a="1"/>
  <c r="CE98" i="29"/>
  <c r="CJ24" i="29" a="1"/>
  <c r="CE24" i="29"/>
  <c r="CJ129" i="29" a="1"/>
  <c r="CE129" i="29"/>
  <c r="CJ224" i="29" a="1"/>
  <c r="CE224" i="29"/>
  <c r="CJ139" i="29" a="1"/>
  <c r="CE139" i="29"/>
  <c r="CJ84" i="29" a="1"/>
  <c r="CE84" i="29"/>
  <c r="CJ14" i="29" a="1"/>
  <c r="CE14" i="29"/>
  <c r="CJ199" i="29" a="1"/>
  <c r="CE199" i="29"/>
  <c r="CJ153" i="29" a="1"/>
  <c r="CE153" i="29"/>
  <c r="CJ55" i="29" a="1"/>
  <c r="CE55" i="29"/>
  <c r="CJ242" i="29" a="1"/>
  <c r="CE242" i="29"/>
  <c r="CJ189" i="29" a="1"/>
  <c r="CE189" i="29"/>
  <c r="CJ162" i="29" a="1"/>
  <c r="CE162" i="29"/>
  <c r="CJ119" i="29" a="1"/>
  <c r="CE119" i="29"/>
  <c r="CJ72" i="29" a="1"/>
  <c r="CE72" i="29"/>
  <c r="CJ38" i="29" a="1"/>
  <c r="CE38" i="29"/>
  <c r="CJ15" i="29" a="1"/>
  <c r="CE15" i="29"/>
  <c r="CJ254" i="29" a="1"/>
  <c r="CE254" i="29"/>
  <c r="CJ238" i="29" a="1"/>
  <c r="CE238" i="29"/>
  <c r="CJ68" i="29" a="1"/>
  <c r="CE68" i="29"/>
  <c r="CJ58" i="29" a="1"/>
  <c r="CE58" i="29"/>
  <c r="CJ48" i="29" a="1"/>
  <c r="CE48" i="29"/>
  <c r="CJ39" i="29" a="1"/>
  <c r="CE39" i="29"/>
  <c r="CJ252" i="29" a="1"/>
  <c r="CE252" i="29"/>
  <c r="CJ246" i="29" a="1"/>
  <c r="CE246" i="29"/>
  <c r="CJ243" i="29" a="1"/>
  <c r="CE243" i="29"/>
  <c r="CJ71" i="29" a="1"/>
  <c r="CE71" i="29"/>
  <c r="CJ46" i="29" a="1"/>
  <c r="CE46" i="29"/>
  <c r="CJ250" i="29" a="1"/>
  <c r="CE250" i="29"/>
  <c r="CJ82" i="29" a="1"/>
  <c r="CE82" i="29"/>
  <c r="CJ180" i="29" a="1"/>
  <c r="CE180" i="29"/>
  <c r="CJ134" i="29" a="1"/>
  <c r="CE134" i="29"/>
  <c r="CJ237" i="29" a="1"/>
  <c r="CE237" i="29"/>
  <c r="CJ231" i="29" a="1"/>
  <c r="CE231" i="29"/>
  <c r="CJ221" i="29" a="1"/>
  <c r="CE221" i="29"/>
  <c r="CJ205" i="29" a="1"/>
  <c r="CE205" i="29"/>
  <c r="CJ198" i="29" a="1"/>
  <c r="CE198" i="29"/>
  <c r="CJ191" i="29" a="1"/>
  <c r="CE191" i="29"/>
  <c r="CJ187" i="29" a="1"/>
  <c r="CE187" i="29"/>
  <c r="CJ184" i="29" a="1"/>
  <c r="CE184" i="29"/>
  <c r="CJ178" i="29" a="1"/>
  <c r="CE178" i="29"/>
  <c r="CJ173" i="29" a="1"/>
  <c r="CE173" i="29"/>
  <c r="CJ165" i="29" a="1"/>
  <c r="CE165" i="29"/>
  <c r="CJ159" i="29" a="1"/>
  <c r="CE159" i="29"/>
  <c r="CJ150" i="29" a="1"/>
  <c r="CE150" i="29"/>
  <c r="CJ146" i="29" a="1"/>
  <c r="CE146" i="29"/>
  <c r="CJ141" i="29" a="1"/>
  <c r="CE141" i="29"/>
  <c r="CJ131" i="29" a="1"/>
  <c r="CE131" i="29"/>
  <c r="CJ128" i="29" a="1"/>
  <c r="CE128" i="29"/>
  <c r="CJ121" i="29" a="1"/>
  <c r="CE121" i="29"/>
  <c r="CJ109" i="29" a="1"/>
  <c r="CE109" i="29"/>
  <c r="CJ102" i="29" a="1"/>
  <c r="CE102" i="29"/>
  <c r="CJ96" i="29" a="1"/>
  <c r="CE96" i="29"/>
  <c r="CJ88" i="29" a="1"/>
  <c r="CE88" i="29"/>
  <c r="CJ83" i="29" a="1"/>
  <c r="CE83" i="29"/>
  <c r="CJ59" i="29" a="1"/>
  <c r="CE59" i="29"/>
  <c r="CJ50" i="29" a="1"/>
  <c r="CE50" i="29"/>
  <c r="CJ41" i="29" a="1"/>
  <c r="CE41" i="29"/>
  <c r="CJ228" i="29" a="1"/>
  <c r="CE228" i="29"/>
  <c r="CJ226" i="29" a="1"/>
  <c r="CE226" i="29"/>
  <c r="CJ29" i="29" a="1"/>
  <c r="CE29" i="29"/>
  <c r="CJ21" i="29" a="1"/>
  <c r="CE21" i="29"/>
  <c r="CJ13" i="29" a="1"/>
  <c r="CE13" i="29"/>
  <c r="CJ223" i="29" a="1"/>
  <c r="CE223" i="29"/>
  <c r="CJ193" i="29" a="1"/>
  <c r="CE193" i="29"/>
  <c r="CJ196" i="29" a="1"/>
  <c r="CE196" i="29"/>
  <c r="CJ176" i="29" a="1"/>
  <c r="CE176" i="29"/>
  <c r="CJ220" i="29" a="1"/>
  <c r="CE220" i="29"/>
  <c r="CJ90" i="29" a="1"/>
  <c r="CE90" i="29"/>
  <c r="CJ248" i="29" a="1"/>
  <c r="CE248" i="29"/>
  <c r="CJ122" i="29" a="1"/>
  <c r="CE122" i="29"/>
  <c r="CJ130" i="29" a="1"/>
  <c r="CE130" i="29"/>
  <c r="CJ103" i="29" a="1"/>
  <c r="CE103" i="29"/>
  <c r="CJ45" i="29" a="1"/>
  <c r="CE45" i="29"/>
  <c r="CJ25" i="29" a="1"/>
  <c r="CE25" i="29"/>
  <c r="CJ236" i="29" a="1"/>
  <c r="CE236" i="29"/>
  <c r="CJ171" i="29" a="1"/>
  <c r="CE171" i="29"/>
  <c r="CJ47" i="29" a="1"/>
  <c r="CE47" i="29"/>
  <c r="CJ89" i="29" a="1"/>
  <c r="CE89" i="29"/>
  <c r="CJ181" i="29" a="1"/>
  <c r="CE181" i="29"/>
  <c r="CJ37" i="29" a="1"/>
  <c r="CE37" i="29"/>
  <c r="CJ192" i="29" a="1"/>
  <c r="CE192" i="29"/>
  <c r="CJ239" i="29" a="1"/>
  <c r="CE239" i="29"/>
  <c r="CJ234" i="29" a="1"/>
  <c r="CE234" i="29"/>
  <c r="CJ227" i="29" a="1"/>
  <c r="CE227" i="29"/>
  <c r="CJ207" i="29" a="1"/>
  <c r="CE207" i="29"/>
  <c r="CJ203" i="29" a="1"/>
  <c r="CE203" i="29"/>
  <c r="CJ194" i="29" a="1"/>
  <c r="CE194" i="29"/>
  <c r="CJ241" i="29" a="1"/>
  <c r="CE241" i="29"/>
  <c r="CJ175" i="29" a="1"/>
  <c r="CE175" i="29"/>
  <c r="CJ209" i="29" a="1"/>
  <c r="CE209" i="29"/>
  <c r="CJ149" i="29" a="1"/>
  <c r="CE149" i="29"/>
  <c r="CJ249" i="29" a="1"/>
  <c r="CE249" i="29"/>
  <c r="CJ235" i="29" a="1"/>
  <c r="CE235" i="29"/>
  <c r="CJ225" i="29" a="1"/>
  <c r="CE225" i="29"/>
  <c r="CJ219" i="29" a="1"/>
  <c r="CE219" i="29"/>
  <c r="CJ182" i="29" a="1"/>
  <c r="CE182" i="29"/>
  <c r="CJ172" i="29" a="1"/>
  <c r="CE172" i="29"/>
  <c r="CJ168" i="29" a="1"/>
  <c r="CE168" i="29"/>
  <c r="CJ160" i="29" a="1"/>
  <c r="CE160" i="29"/>
  <c r="CJ151" i="29" a="1"/>
  <c r="CE151" i="29"/>
  <c r="CJ140" i="29" a="1"/>
  <c r="CE140" i="29"/>
  <c r="CJ120" i="29" a="1"/>
  <c r="CE120" i="29"/>
  <c r="CJ117" i="29" a="1"/>
  <c r="CE117" i="29"/>
  <c r="CJ108" i="29" a="1"/>
  <c r="CE108" i="29"/>
  <c r="CJ95" i="29" a="1"/>
  <c r="CE95" i="29"/>
  <c r="CJ92" i="29" a="1"/>
  <c r="CE92" i="29"/>
  <c r="CJ80" i="29" a="1"/>
  <c r="CE80" i="29"/>
  <c r="CJ73" i="29" a="1"/>
  <c r="CE73" i="29"/>
  <c r="CJ66" i="29" a="1"/>
  <c r="CE66" i="29"/>
  <c r="CJ56" i="29" a="1"/>
  <c r="CE56" i="29"/>
  <c r="CJ49" i="29" a="1"/>
  <c r="CE49" i="29"/>
  <c r="CJ202" i="29" a="1"/>
  <c r="CE202" i="29"/>
  <c r="CJ208" i="29" a="1"/>
  <c r="CE208" i="29"/>
  <c r="CJ113" i="29" a="1"/>
  <c r="CE113" i="29"/>
  <c r="CJ62" i="29" a="1"/>
  <c r="CE62" i="29"/>
  <c r="CJ230" i="29" a="1"/>
  <c r="CE230" i="29"/>
  <c r="CJ17" i="29" a="1"/>
  <c r="CE17" i="29"/>
  <c r="CJ174" i="29" a="1"/>
  <c r="CE174" i="29"/>
  <c r="CJ147" i="29" a="1"/>
  <c r="CE147" i="29"/>
  <c r="CJ112" i="29" a="1"/>
  <c r="CE112" i="29"/>
  <c r="CJ77" i="29" a="1"/>
  <c r="CE77" i="29"/>
  <c r="CJ69" i="29" a="1"/>
  <c r="CE69" i="29"/>
  <c r="CJ35" i="29" a="1"/>
  <c r="CE35" i="29"/>
  <c r="CJ22" i="29" a="1"/>
  <c r="CE22" i="29"/>
  <c r="CJ218" i="29" a="1"/>
  <c r="CE218" i="29"/>
  <c r="CJ81" i="29" a="1"/>
  <c r="CE81" i="29"/>
  <c r="CJ111" i="29" a="1"/>
  <c r="CE111" i="29"/>
  <c r="CJ154" i="29" a="1"/>
  <c r="CE154" i="29"/>
  <c r="CJ114" i="29" a="1"/>
  <c r="CE114" i="29"/>
  <c r="CJ99" i="29" a="1"/>
  <c r="CE99" i="29"/>
  <c r="CJ67" i="29" a="1"/>
  <c r="CE67" i="29"/>
  <c r="CJ216" i="29" a="1"/>
  <c r="CE216" i="29"/>
  <c r="CJ197" i="29" a="1"/>
  <c r="CE197" i="29"/>
  <c r="CJ179" i="29" a="1"/>
  <c r="CE179" i="29"/>
  <c r="CJ133" i="29" a="1"/>
  <c r="CE133" i="29"/>
  <c r="CJ125" i="29" a="1"/>
  <c r="CE125" i="29"/>
  <c r="CJ23" i="29" a="1"/>
  <c r="CE23" i="29"/>
  <c r="CJ210" i="29" a="1"/>
  <c r="CE210" i="29"/>
  <c r="CJ195" i="29" a="1"/>
  <c r="CE195" i="29"/>
  <c r="CJ170" i="29" a="1"/>
  <c r="CE170" i="29"/>
  <c r="CJ144" i="29" a="1"/>
  <c r="CE144" i="29"/>
  <c r="CJ104" i="29" a="1"/>
  <c r="CE104" i="29"/>
  <c r="CJ40" i="29" a="1"/>
  <c r="CE40" i="29"/>
  <c r="CJ27" i="29" a="1"/>
  <c r="CE27" i="29"/>
  <c r="CJ247" i="29" a="1"/>
  <c r="CE247" i="29"/>
  <c r="CJ201" i="29" a="1"/>
  <c r="CE201" i="29"/>
  <c r="CJ18" i="29" a="1"/>
  <c r="CE18" i="29"/>
  <c r="CJ138" i="29" a="1"/>
  <c r="CE138" i="29"/>
  <c r="CJ105" i="29" a="1"/>
  <c r="CE105" i="29"/>
  <c r="CJ169" i="29" a="1"/>
  <c r="CE169" i="29"/>
  <c r="CJ143" i="29" a="1"/>
  <c r="CE143" i="29"/>
  <c r="CJ116" i="29" a="1"/>
  <c r="CE116" i="29"/>
  <c r="CJ91" i="29" a="1"/>
  <c r="CE91" i="29"/>
  <c r="CJ63" i="29" a="1"/>
  <c r="CE63" i="29"/>
  <c r="CJ148" i="29" a="1"/>
  <c r="CE148" i="29"/>
  <c r="CJ115" i="29" a="1"/>
  <c r="CE115" i="29"/>
  <c r="CJ101" i="29" a="1"/>
  <c r="CE101" i="29"/>
  <c r="CJ86" i="29" a="1"/>
  <c r="CE86" i="29"/>
  <c r="CJ215" i="29" a="1"/>
  <c r="CE215" i="29"/>
  <c r="CJ157" i="29" a="1"/>
  <c r="CE157" i="29"/>
  <c r="CJ206" i="29" a="1"/>
  <c r="CE206" i="29"/>
  <c r="CJ177" i="29" a="1"/>
  <c r="CE177" i="29"/>
  <c r="CJ142" i="29" a="1"/>
  <c r="CE142" i="29"/>
  <c r="CJ124" i="29" a="1"/>
  <c r="CE124" i="29"/>
  <c r="CJ74" i="29" a="1"/>
  <c r="CE74" i="29"/>
  <c r="CJ204" i="29" a="1"/>
  <c r="CE204" i="29"/>
  <c r="CJ185" i="29" a="1"/>
  <c r="CE185" i="29"/>
  <c r="CJ158" i="29" a="1"/>
  <c r="CE158" i="29"/>
  <c r="CJ126" i="29" a="1"/>
  <c r="CE126" i="29"/>
  <c r="CJ70" i="29" a="1"/>
  <c r="CE70" i="29"/>
  <c r="CJ54" i="29" a="1"/>
  <c r="CE54" i="29"/>
  <c r="CJ43" i="29" a="1"/>
  <c r="CE43" i="29"/>
  <c r="CJ244" i="29" a="1"/>
  <c r="CE244" i="29"/>
  <c r="CJ53" i="29" a="1"/>
  <c r="CE53" i="29"/>
  <c r="CJ26" i="29" a="1"/>
  <c r="CE26" i="29"/>
  <c r="CJ211" i="29" a="1"/>
  <c r="CE211" i="29"/>
  <c r="CJ123" i="29" a="1"/>
  <c r="CE123" i="29"/>
  <c r="CJ100" i="29" a="1"/>
  <c r="CE100" i="29"/>
  <c r="CJ85" i="29" a="1"/>
  <c r="CE85" i="29"/>
  <c r="CJ57" i="29" a="1"/>
  <c r="CE57" i="29"/>
  <c r="CJ42" i="29" a="1"/>
  <c r="CE42" i="29"/>
  <c r="CJ34" i="29" a="1"/>
  <c r="CE34" i="29"/>
  <c r="CJ28" i="29" a="1"/>
  <c r="CE28" i="29"/>
  <c r="CJ20" i="29" a="1"/>
  <c r="CE20" i="29"/>
  <c r="CJ12" i="29" a="1"/>
  <c r="CE12" i="29"/>
  <c r="CJ155" i="29" a="1"/>
  <c r="CE155" i="29"/>
  <c r="CJ33" i="29" a="1"/>
  <c r="CE33" i="29"/>
  <c r="CJ163" i="29" a="1"/>
  <c r="CE163" i="29"/>
  <c r="CJ106" i="29" a="1"/>
  <c r="CE106" i="29"/>
  <c r="CJ75" i="29" a="1"/>
  <c r="CE75" i="29"/>
  <c r="CJ32" i="29" a="1"/>
  <c r="CE32" i="29"/>
  <c r="D44" i="23"/>
  <c r="D43" i="23"/>
  <c r="G8" i="12" a="1"/>
  <c r="G20" i="12" a="1"/>
  <c r="Q20" i="12" s="1"/>
  <c r="P20" i="12"/>
  <c r="V20" i="12"/>
  <c r="T20" i="12"/>
  <c r="O20" i="12"/>
  <c r="U20" i="12"/>
  <c r="S20" i="12"/>
  <c r="AK99" i="12"/>
  <c r="AJ99" i="12"/>
  <c r="Q99" i="12"/>
  <c r="G9" i="12" a="1"/>
  <c r="Q9" i="12" s="1"/>
  <c r="G81" i="12" a="1"/>
  <c r="Q81" i="12" s="1"/>
  <c r="S61" i="12"/>
  <c r="O61" i="12"/>
  <c r="P61" i="12"/>
  <c r="T61" i="12"/>
  <c r="V61" i="12"/>
  <c r="U61" i="12"/>
  <c r="J21" i="12"/>
  <c r="K21" i="12"/>
  <c r="L21" i="12"/>
  <c r="AX21" i="12"/>
  <c r="AY21" i="12"/>
  <c r="T27" i="12"/>
  <c r="P27" i="12"/>
  <c r="O27" i="12"/>
  <c r="U27" i="12"/>
  <c r="V27" i="12"/>
  <c r="S27" i="12"/>
  <c r="AX96" i="12"/>
  <c r="L96" i="12"/>
  <c r="K96" i="12"/>
  <c r="J96" i="12"/>
  <c r="AY96" i="12"/>
  <c r="J39" i="12"/>
  <c r="AY39" i="12"/>
  <c r="K39" i="12"/>
  <c r="AX39" i="12"/>
  <c r="L39" i="12"/>
  <c r="AY8" i="12"/>
  <c r="K8" i="12"/>
  <c r="J8" i="12"/>
  <c r="AX8" i="12"/>
  <c r="L8" i="12"/>
  <c r="T63" i="12"/>
  <c r="U63" i="12"/>
  <c r="V63" i="12"/>
  <c r="O63" i="12"/>
  <c r="P63" i="12"/>
  <c r="S63" i="12"/>
  <c r="G21" i="12" a="1"/>
  <c r="Q21" i="12" s="1"/>
  <c r="G26" i="12" a="1"/>
  <c r="Q26" i="12" s="1"/>
  <c r="AX40" i="12"/>
  <c r="L40" i="12"/>
  <c r="K40" i="12"/>
  <c r="J40" i="12"/>
  <c r="AY40" i="12"/>
  <c r="J70" i="12"/>
  <c r="L70" i="12"/>
  <c r="AX70" i="12"/>
  <c r="AY70" i="12"/>
  <c r="K70" i="12"/>
  <c r="G57" i="12" a="1"/>
  <c r="Q57" i="12" s="1"/>
  <c r="G38" i="12" a="1"/>
  <c r="Q38" i="12" s="1"/>
  <c r="G105" i="12" a="1"/>
  <c r="Q105" i="12" s="1"/>
  <c r="G10" i="12" a="1"/>
  <c r="Q10" i="12" s="1"/>
  <c r="G13" i="12" a="1"/>
  <c r="Q13" i="12" s="1"/>
  <c r="L17" i="12"/>
  <c r="AX17" i="12"/>
  <c r="J17" i="12"/>
  <c r="AY17" i="12"/>
  <c r="K17" i="12"/>
  <c r="G18" i="12" a="1"/>
  <c r="Q18" i="12" s="1"/>
  <c r="S84" i="12"/>
  <c r="P84" i="12"/>
  <c r="T84" i="12"/>
  <c r="V84" i="12"/>
  <c r="O84" i="12"/>
  <c r="U84" i="12"/>
  <c r="O85" i="12"/>
  <c r="S85" i="12"/>
  <c r="T85" i="12"/>
  <c r="U85" i="12"/>
  <c r="V85" i="12"/>
  <c r="P85" i="12"/>
  <c r="J86" i="12"/>
  <c r="K86" i="12"/>
  <c r="AX86" i="12"/>
  <c r="AY86" i="12"/>
  <c r="L86" i="12"/>
  <c r="G86" i="12" a="1"/>
  <c r="Q86" i="12" s="1"/>
  <c r="AX87" i="12"/>
  <c r="K87" i="12"/>
  <c r="J87" i="12"/>
  <c r="L87" i="12"/>
  <c r="AY87" i="12"/>
  <c r="L88" i="12"/>
  <c r="K88" i="12"/>
  <c r="AX88" i="12"/>
  <c r="AY88" i="12"/>
  <c r="J88" i="12"/>
  <c r="AY89" i="12"/>
  <c r="AX89" i="12"/>
  <c r="L89" i="12"/>
  <c r="K89" i="12"/>
  <c r="J89" i="12"/>
  <c r="AX90" i="12"/>
  <c r="K90" i="12"/>
  <c r="L90" i="12"/>
  <c r="J90" i="12"/>
  <c r="AY90" i="12"/>
  <c r="P91" i="12"/>
  <c r="T91" i="12"/>
  <c r="S91" i="12"/>
  <c r="V91" i="12"/>
  <c r="U91" i="12"/>
  <c r="O91" i="12"/>
  <c r="AX91" i="12"/>
  <c r="K91" i="12"/>
  <c r="J91" i="12"/>
  <c r="L91" i="12"/>
  <c r="AY91" i="12"/>
  <c r="G91" i="12" a="1"/>
  <c r="Q91" i="12" s="1"/>
  <c r="J92" i="12"/>
  <c r="AX92" i="12"/>
  <c r="K92" i="12"/>
  <c r="AY92" i="12"/>
  <c r="L92" i="12"/>
  <c r="G61" i="12" a="1"/>
  <c r="Q61" i="12" s="1"/>
  <c r="G62" i="12" a="1"/>
  <c r="Q62" i="12" s="1"/>
  <c r="L63" i="12"/>
  <c r="AY63" i="12"/>
  <c r="AX63" i="12"/>
  <c r="K63" i="12"/>
  <c r="J63" i="12"/>
  <c r="P64" i="12"/>
  <c r="S64" i="12"/>
  <c r="V64" i="12"/>
  <c r="T64" i="12"/>
  <c r="O64" i="12"/>
  <c r="U64" i="12"/>
  <c r="T65" i="12"/>
  <c r="P65" i="12"/>
  <c r="V65" i="12"/>
  <c r="S65" i="12"/>
  <c r="O65" i="12"/>
  <c r="U65" i="12"/>
  <c r="G65" i="12" a="1"/>
  <c r="Q65" i="12" s="1"/>
  <c r="K66" i="12"/>
  <c r="AY66" i="12"/>
  <c r="L66" i="12"/>
  <c r="AX66" i="12"/>
  <c r="J66" i="12"/>
  <c r="S67" i="12"/>
  <c r="P67" i="12"/>
  <c r="O67" i="12"/>
  <c r="U67" i="12"/>
  <c r="T67" i="12"/>
  <c r="V67" i="12"/>
  <c r="O42" i="12"/>
  <c r="S42" i="12"/>
  <c r="U42" i="12"/>
  <c r="T42" i="12"/>
  <c r="P42" i="12"/>
  <c r="V42" i="12"/>
  <c r="G42" i="12" a="1"/>
  <c r="Q42" i="12" s="1"/>
  <c r="G43" i="12" a="1"/>
  <c r="Q43" i="12" s="1"/>
  <c r="L45" i="12"/>
  <c r="K45" i="12"/>
  <c r="J45" i="12"/>
  <c r="AY45" i="12"/>
  <c r="AX45" i="12"/>
  <c r="K48" i="12"/>
  <c r="AY48" i="12"/>
  <c r="AX48" i="12"/>
  <c r="L48" i="12"/>
  <c r="J48" i="12"/>
  <c r="S56" i="12"/>
  <c r="V56" i="12"/>
  <c r="T56" i="12"/>
  <c r="P56" i="12"/>
  <c r="O56" i="12"/>
  <c r="U56" i="12"/>
  <c r="O59" i="12"/>
  <c r="V59" i="12"/>
  <c r="P59" i="12"/>
  <c r="S59" i="12"/>
  <c r="T59" i="12"/>
  <c r="U59" i="12"/>
  <c r="T60" i="12"/>
  <c r="P60" i="12"/>
  <c r="O60" i="12"/>
  <c r="U60" i="12"/>
  <c r="S60" i="12"/>
  <c r="V60" i="12"/>
  <c r="AK60" i="12"/>
  <c r="AJ60" i="12"/>
  <c r="Q60" i="12"/>
  <c r="U28" i="12"/>
  <c r="S28" i="12"/>
  <c r="P28" i="12"/>
  <c r="T28" i="12"/>
  <c r="V28" i="12"/>
  <c r="O28" i="12"/>
  <c r="AJ30" i="12"/>
  <c r="AK30" i="12"/>
  <c r="Q30" i="12"/>
  <c r="V40" i="12"/>
  <c r="U40" i="12"/>
  <c r="T40" i="12"/>
  <c r="P40" i="12"/>
  <c r="O40" i="12"/>
  <c r="S40" i="12"/>
  <c r="U68" i="12"/>
  <c r="V68" i="12"/>
  <c r="O68" i="12"/>
  <c r="P68" i="12"/>
  <c r="S68" i="12"/>
  <c r="T68" i="12"/>
  <c r="S25" i="12"/>
  <c r="P25" i="12"/>
  <c r="V25" i="12"/>
  <c r="T25" i="12"/>
  <c r="O25" i="12"/>
  <c r="U25" i="12"/>
  <c r="V38" i="12"/>
  <c r="P38" i="12"/>
  <c r="U38" i="12"/>
  <c r="O38" i="12"/>
  <c r="S38" i="12"/>
  <c r="T38" i="12"/>
  <c r="AJ51" i="12"/>
  <c r="AK51" i="12"/>
  <c r="Q51" i="12"/>
  <c r="L10" i="12"/>
  <c r="K10" i="12"/>
  <c r="J10" i="12"/>
  <c r="AX10" i="12"/>
  <c r="AY10" i="12"/>
  <c r="J11" i="12"/>
  <c r="K11" i="12"/>
  <c r="AY11" i="12"/>
  <c r="AX11" i="12"/>
  <c r="L11" i="12"/>
  <c r="AJ11" i="12"/>
  <c r="AK11" i="12"/>
  <c r="Q11" i="12"/>
  <c r="T13" i="12"/>
  <c r="S13" i="12"/>
  <c r="U13" i="12"/>
  <c r="V13" i="12"/>
  <c r="P13" i="12"/>
  <c r="O13" i="12"/>
  <c r="U14" i="12"/>
  <c r="P14" i="12"/>
  <c r="S14" i="12"/>
  <c r="V14" i="12"/>
  <c r="O14" i="12"/>
  <c r="T14" i="12"/>
  <c r="K73" i="12"/>
  <c r="AY73" i="12"/>
  <c r="L73" i="12"/>
  <c r="AX73" i="12"/>
  <c r="J73" i="12"/>
  <c r="G74" i="12" a="1"/>
  <c r="Q74" i="12" s="1"/>
  <c r="U75" i="12"/>
  <c r="O75" i="12"/>
  <c r="P75" i="12"/>
  <c r="S75" i="12"/>
  <c r="T75" i="12"/>
  <c r="V75" i="12"/>
  <c r="J76" i="12"/>
  <c r="L76" i="12"/>
  <c r="AY76" i="12"/>
  <c r="K76" i="12"/>
  <c r="AX76" i="12"/>
  <c r="G76" i="12" a="1"/>
  <c r="Q76" i="12" s="1"/>
  <c r="V77" i="12"/>
  <c r="O77" i="12"/>
  <c r="P77" i="12"/>
  <c r="S77" i="12"/>
  <c r="U77" i="12"/>
  <c r="T77" i="12"/>
  <c r="G77" i="12" a="1"/>
  <c r="Q77" i="12" s="1"/>
  <c r="P78" i="12"/>
  <c r="V78" i="12"/>
  <c r="U78" i="12"/>
  <c r="O78" i="12"/>
  <c r="T78" i="12"/>
  <c r="S78" i="12"/>
  <c r="AX79" i="12"/>
  <c r="K79" i="12"/>
  <c r="AY79" i="12"/>
  <c r="J79" i="12"/>
  <c r="L79" i="12"/>
  <c r="L80" i="12"/>
  <c r="AY80" i="12"/>
  <c r="AX80" i="12"/>
  <c r="J80" i="12"/>
  <c r="K80" i="12"/>
  <c r="G80" i="12" a="1"/>
  <c r="Q80" i="12" s="1"/>
  <c r="O41" i="12"/>
  <c r="U41" i="12"/>
  <c r="V41" i="12"/>
  <c r="S41" i="12"/>
  <c r="T41" i="12"/>
  <c r="P41" i="12"/>
  <c r="AX41" i="12"/>
  <c r="J41" i="12"/>
  <c r="K41" i="12"/>
  <c r="AY41" i="12"/>
  <c r="L41" i="12"/>
  <c r="J42" i="12"/>
  <c r="K42" i="12"/>
  <c r="L42" i="12"/>
  <c r="AX42" i="12"/>
  <c r="AY42" i="12"/>
  <c r="S45" i="12"/>
  <c r="T45" i="12"/>
  <c r="V45" i="12"/>
  <c r="P45" i="12"/>
  <c r="U45" i="12"/>
  <c r="O45" i="12"/>
  <c r="AK45" i="12"/>
  <c r="AJ45" i="12"/>
  <c r="Q45" i="12"/>
  <c r="AK47" i="12"/>
  <c r="AJ47" i="12"/>
  <c r="Q47" i="12"/>
  <c r="AJ48" i="12"/>
  <c r="AK48" i="12"/>
  <c r="Q48" i="12"/>
  <c r="G52" i="12" a="1"/>
  <c r="Q52" i="12" s="1"/>
  <c r="K54" i="12"/>
  <c r="AX54" i="12"/>
  <c r="J54" i="12"/>
  <c r="AY54" i="12"/>
  <c r="L54" i="12"/>
  <c r="AK55" i="12"/>
  <c r="AJ55" i="12"/>
  <c r="Q55" i="12"/>
  <c r="L59" i="12"/>
  <c r="AY59" i="12"/>
  <c r="AX59" i="12"/>
  <c r="K59" i="12"/>
  <c r="J59" i="12"/>
  <c r="J29" i="12"/>
  <c r="L29" i="12"/>
  <c r="K29" i="12"/>
  <c r="AY29" i="12"/>
  <c r="AX29" i="12"/>
  <c r="AJ97" i="12"/>
  <c r="AK97" i="12"/>
  <c r="Q97" i="12"/>
  <c r="G44" i="12" a="1"/>
  <c r="Q44" i="12" s="1"/>
  <c r="AX52" i="12"/>
  <c r="J52" i="12"/>
  <c r="K52" i="12"/>
  <c r="AY52" i="12"/>
  <c r="L52" i="12"/>
  <c r="O31" i="12"/>
  <c r="V31" i="12"/>
  <c r="S31" i="12"/>
  <c r="P31" i="12"/>
  <c r="T31" i="12"/>
  <c r="U31" i="12"/>
  <c r="O36" i="12"/>
  <c r="S36" i="12"/>
  <c r="P36" i="12"/>
  <c r="T36" i="12"/>
  <c r="V36" i="12"/>
  <c r="U36" i="12"/>
  <c r="AY67" i="12"/>
  <c r="AX67" i="12"/>
  <c r="L67" i="12"/>
  <c r="K67" i="12"/>
  <c r="J67" i="12"/>
  <c r="L68" i="12"/>
  <c r="AX68" i="12"/>
  <c r="AY68" i="12"/>
  <c r="K68" i="12"/>
  <c r="J68" i="12"/>
  <c r="G68" i="12" a="1"/>
  <c r="Q68" i="12" s="1"/>
  <c r="G83" i="12" a="1"/>
  <c r="Q83" i="12" s="1"/>
  <c r="V99" i="12"/>
  <c r="U99" i="12"/>
  <c r="S99" i="12"/>
  <c r="P99" i="12"/>
  <c r="O99" i="12"/>
  <c r="T99" i="12"/>
  <c r="L100" i="12"/>
  <c r="AX100" i="12"/>
  <c r="K100" i="12"/>
  <c r="J100" i="12"/>
  <c r="AY100" i="12"/>
  <c r="AK100" i="12"/>
  <c r="AJ100" i="12"/>
  <c r="Q100" i="12"/>
  <c r="AK64" i="12"/>
  <c r="AJ64" i="12"/>
  <c r="Q64" i="12"/>
  <c r="K46" i="12"/>
  <c r="L46" i="12"/>
  <c r="AY46" i="12"/>
  <c r="AX46" i="12"/>
  <c r="J46" i="12"/>
  <c r="V49" i="12"/>
  <c r="S49" i="12"/>
  <c r="T49" i="12"/>
  <c r="U49" i="12"/>
  <c r="O49" i="12"/>
  <c r="P49" i="12"/>
  <c r="T53" i="12"/>
  <c r="U53" i="12"/>
  <c r="S53" i="12"/>
  <c r="P53" i="12"/>
  <c r="O53" i="12"/>
  <c r="V53" i="12"/>
  <c r="K27" i="12"/>
  <c r="L27" i="12"/>
  <c r="AX27" i="12"/>
  <c r="J27" i="12"/>
  <c r="AY27" i="12"/>
  <c r="AX35" i="12"/>
  <c r="L35" i="12"/>
  <c r="K35" i="12"/>
  <c r="AY35" i="12"/>
  <c r="J35" i="12"/>
  <c r="K81" i="12"/>
  <c r="J81" i="12"/>
  <c r="AX81" i="12"/>
  <c r="L81" i="12"/>
  <c r="AY81" i="12"/>
  <c r="T83" i="12"/>
  <c r="V83" i="12"/>
  <c r="O83" i="12"/>
  <c r="S83" i="12"/>
  <c r="P83" i="12"/>
  <c r="U83" i="12"/>
  <c r="AX7" i="12"/>
  <c r="AY7" i="12"/>
  <c r="L7" i="12"/>
  <c r="J7" i="12"/>
  <c r="K7" i="12"/>
  <c r="P12" i="12"/>
  <c r="O12" i="12"/>
  <c r="V12" i="12"/>
  <c r="T12" i="12"/>
  <c r="S12" i="12"/>
  <c r="U12" i="12"/>
  <c r="K13" i="12"/>
  <c r="AX13" i="12"/>
  <c r="J13" i="12"/>
  <c r="L13" i="12"/>
  <c r="AY13" i="12"/>
  <c r="AY15" i="12"/>
  <c r="L15" i="12"/>
  <c r="K15" i="12"/>
  <c r="J15" i="12"/>
  <c r="AX15" i="12"/>
  <c r="AK15" i="12"/>
  <c r="AJ15" i="12"/>
  <c r="Q15" i="12"/>
  <c r="O16" i="12"/>
  <c r="P16" i="12"/>
  <c r="U16" i="12"/>
  <c r="T16" i="12"/>
  <c r="V16" i="12"/>
  <c r="S16" i="12"/>
  <c r="AJ16" i="12"/>
  <c r="AK16" i="12"/>
  <c r="Q16" i="12"/>
  <c r="S19" i="12"/>
  <c r="T19" i="12"/>
  <c r="U19" i="12"/>
  <c r="V19" i="12"/>
  <c r="O19" i="12"/>
  <c r="P19" i="12"/>
  <c r="AY20" i="12"/>
  <c r="J20" i="12"/>
  <c r="AX20" i="12"/>
  <c r="L20" i="12"/>
  <c r="K20" i="12"/>
  <c r="V103" i="12"/>
  <c r="U103" i="12"/>
  <c r="S103" i="12"/>
  <c r="T103" i="12"/>
  <c r="O103" i="12"/>
  <c r="P103" i="12"/>
  <c r="P81" i="12"/>
  <c r="T81" i="12"/>
  <c r="V81" i="12"/>
  <c r="S81" i="12"/>
  <c r="O81" i="12"/>
  <c r="U81" i="12"/>
  <c r="J83" i="12"/>
  <c r="K83" i="12"/>
  <c r="L83" i="12"/>
  <c r="AY83" i="12"/>
  <c r="AX83" i="12"/>
  <c r="U97" i="12"/>
  <c r="V97" i="12"/>
  <c r="T97" i="12"/>
  <c r="S97" i="12"/>
  <c r="O97" i="12"/>
  <c r="P97" i="12"/>
  <c r="K47" i="12"/>
  <c r="L47" i="12"/>
  <c r="AX47" i="12"/>
  <c r="J47" i="12"/>
  <c r="AY47" i="12"/>
  <c r="S50" i="12"/>
  <c r="V50" i="12"/>
  <c r="O50" i="12"/>
  <c r="T50" i="12"/>
  <c r="P50" i="12"/>
  <c r="U50" i="12"/>
  <c r="J58" i="12"/>
  <c r="K58" i="12"/>
  <c r="AX58" i="12"/>
  <c r="L58" i="12"/>
  <c r="AY58" i="12"/>
  <c r="AY30" i="12"/>
  <c r="AX30" i="12"/>
  <c r="K30" i="12"/>
  <c r="L30" i="12"/>
  <c r="J30" i="12"/>
  <c r="AK32" i="12"/>
  <c r="AJ32" i="12"/>
  <c r="Q32" i="12"/>
  <c r="V37" i="12"/>
  <c r="S37" i="12"/>
  <c r="T37" i="12"/>
  <c r="O37" i="12"/>
  <c r="P37" i="12"/>
  <c r="U37" i="12"/>
  <c r="K60" i="12"/>
  <c r="AX60" i="12"/>
  <c r="L60" i="12"/>
  <c r="J60" i="12"/>
  <c r="AY60" i="12"/>
  <c r="T101" i="12"/>
  <c r="V101" i="12"/>
  <c r="O101" i="12"/>
  <c r="S101" i="12"/>
  <c r="P101" i="12"/>
  <c r="U101" i="12"/>
  <c r="G98" i="12" a="1"/>
  <c r="Q98" i="12" s="1"/>
  <c r="S22" i="12"/>
  <c r="U22" i="12"/>
  <c r="V22" i="12"/>
  <c r="O22" i="12"/>
  <c r="P22" i="12"/>
  <c r="T22" i="12"/>
  <c r="V32" i="12"/>
  <c r="T32" i="12"/>
  <c r="S32" i="12"/>
  <c r="O32" i="12"/>
  <c r="P32" i="12"/>
  <c r="U32" i="12"/>
  <c r="J33" i="12"/>
  <c r="K33" i="12"/>
  <c r="L33" i="12"/>
  <c r="AX33" i="12"/>
  <c r="AY33" i="12"/>
  <c r="G35" i="12" a="1"/>
  <c r="Q35" i="12" s="1"/>
  <c r="AY38" i="12"/>
  <c r="J38" i="12"/>
  <c r="AX38" i="12"/>
  <c r="L38" i="12"/>
  <c r="K38" i="12"/>
  <c r="AJ67" i="12"/>
  <c r="AK67" i="12"/>
  <c r="Q67" i="12"/>
  <c r="P70" i="12"/>
  <c r="U70" i="12"/>
  <c r="V70" i="12"/>
  <c r="S70" i="12"/>
  <c r="O70" i="12"/>
  <c r="T70" i="12"/>
  <c r="S71" i="12"/>
  <c r="O71" i="12"/>
  <c r="T71" i="12"/>
  <c r="U71" i="12"/>
  <c r="V71" i="12"/>
  <c r="P71" i="12"/>
  <c r="V58" i="12"/>
  <c r="S58" i="12"/>
  <c r="P58" i="12"/>
  <c r="T58" i="12"/>
  <c r="U58" i="12"/>
  <c r="O58" i="12"/>
  <c r="S30" i="12"/>
  <c r="V30" i="12"/>
  <c r="O30" i="12"/>
  <c r="P30" i="12"/>
  <c r="T30" i="12"/>
  <c r="U30" i="12"/>
  <c r="G40" i="12" a="1"/>
  <c r="Q40" i="12" s="1"/>
  <c r="G31" i="12" a="1"/>
  <c r="Q31" i="12" s="1"/>
  <c r="S33" i="12"/>
  <c r="V33" i="12"/>
  <c r="U33" i="12"/>
  <c r="O33" i="12"/>
  <c r="T33" i="12"/>
  <c r="P33" i="12"/>
  <c r="G34" i="12" a="1"/>
  <c r="Q34" i="12" s="1"/>
  <c r="AY71" i="12"/>
  <c r="AX71" i="12"/>
  <c r="L71" i="12"/>
  <c r="J71" i="12"/>
  <c r="K71" i="12"/>
  <c r="G6" i="12" a="1"/>
  <c r="Q6" i="12" s="1"/>
  <c r="G101" i="12" a="1"/>
  <c r="Q101" i="12" s="1"/>
  <c r="L62" i="12"/>
  <c r="J62" i="12"/>
  <c r="AY62" i="12"/>
  <c r="K62" i="12"/>
  <c r="AX62" i="12"/>
  <c r="U44" i="12"/>
  <c r="T44" i="12"/>
  <c r="V44" i="12"/>
  <c r="P44" i="12"/>
  <c r="O44" i="12"/>
  <c r="S44" i="12"/>
  <c r="G69" i="12" a="1"/>
  <c r="Q69" i="12" s="1"/>
  <c r="P15" i="12"/>
  <c r="O15" i="12"/>
  <c r="S15" i="12"/>
  <c r="T15" i="12"/>
  <c r="U15" i="12"/>
  <c r="V15" i="12"/>
  <c r="K16" i="12"/>
  <c r="AY16" i="12"/>
  <c r="J16" i="12"/>
  <c r="L16" i="12"/>
  <c r="AX16" i="12"/>
  <c r="S17" i="12"/>
  <c r="V17" i="12"/>
  <c r="U17" i="12"/>
  <c r="T17" i="12"/>
  <c r="O17" i="12"/>
  <c r="P17" i="12"/>
  <c r="S18" i="12"/>
  <c r="P18" i="12"/>
  <c r="V18" i="12"/>
  <c r="U18" i="12"/>
  <c r="T18" i="12"/>
  <c r="O18" i="12"/>
  <c r="J19" i="12"/>
  <c r="AX19" i="12"/>
  <c r="K19" i="12"/>
  <c r="L19" i="12"/>
  <c r="AY19" i="12"/>
  <c r="G19" i="12" a="1"/>
  <c r="Q19" i="12" s="1"/>
  <c r="G71" i="12" a="1"/>
  <c r="Q71" i="12" s="1"/>
  <c r="T72" i="12"/>
  <c r="V72" i="12"/>
  <c r="P72" i="12"/>
  <c r="O72" i="12"/>
  <c r="S72" i="12"/>
  <c r="U72" i="12"/>
  <c r="G72" i="12" a="1"/>
  <c r="Q72" i="12" s="1"/>
  <c r="O73" i="12"/>
  <c r="T73" i="12"/>
  <c r="U73" i="12"/>
  <c r="P73" i="12"/>
  <c r="S73" i="12"/>
  <c r="V73" i="12"/>
  <c r="AJ73" i="12"/>
  <c r="AK73" i="12"/>
  <c r="Q73" i="12"/>
  <c r="S74" i="12"/>
  <c r="O74" i="12"/>
  <c r="U74" i="12"/>
  <c r="P74" i="12"/>
  <c r="T74" i="12"/>
  <c r="V74" i="12"/>
  <c r="J74" i="12"/>
  <c r="AX74" i="12"/>
  <c r="L74" i="12"/>
  <c r="AY74" i="12"/>
  <c r="K74" i="12"/>
  <c r="K75" i="12"/>
  <c r="AY75" i="12"/>
  <c r="AX75" i="12"/>
  <c r="J75" i="12"/>
  <c r="L75" i="12"/>
  <c r="G75" i="12" a="1"/>
  <c r="Q75" i="12" s="1"/>
  <c r="P76" i="12"/>
  <c r="S76" i="12"/>
  <c r="V76" i="12"/>
  <c r="U76" i="12"/>
  <c r="T76" i="12"/>
  <c r="O76" i="12"/>
  <c r="K77" i="12"/>
  <c r="J77" i="12"/>
  <c r="AX77" i="12"/>
  <c r="L77" i="12"/>
  <c r="AY77" i="12"/>
  <c r="AY78" i="12"/>
  <c r="AX78" i="12"/>
  <c r="L78" i="12"/>
  <c r="J78" i="12"/>
  <c r="K78" i="12"/>
  <c r="G78" i="12" a="1"/>
  <c r="Q78" i="12" s="1"/>
  <c r="V79" i="12"/>
  <c r="O79" i="12"/>
  <c r="U79" i="12"/>
  <c r="S79" i="12"/>
  <c r="T79" i="12"/>
  <c r="P79" i="12"/>
  <c r="G79" i="12" a="1"/>
  <c r="Q79" i="12" s="1"/>
  <c r="S80" i="12"/>
  <c r="P80" i="12"/>
  <c r="T80" i="12"/>
  <c r="V80" i="12"/>
  <c r="O80" i="12"/>
  <c r="U80" i="12"/>
  <c r="G41" i="12" a="1"/>
  <c r="Q41" i="12" s="1"/>
  <c r="S43" i="12"/>
  <c r="P43" i="12"/>
  <c r="U43" i="12"/>
  <c r="O43" i="12"/>
  <c r="T43" i="12"/>
  <c r="V43" i="12"/>
  <c r="AX44" i="12"/>
  <c r="AY44" i="12"/>
  <c r="L44" i="12"/>
  <c r="K44" i="12"/>
  <c r="J44" i="12"/>
  <c r="P46" i="12"/>
  <c r="O46" i="12"/>
  <c r="U46" i="12"/>
  <c r="T46" i="12"/>
  <c r="V46" i="12"/>
  <c r="S46" i="12"/>
  <c r="T47" i="12"/>
  <c r="V47" i="12"/>
  <c r="P47" i="12"/>
  <c r="O47" i="12"/>
  <c r="S47" i="12"/>
  <c r="U47" i="12"/>
  <c r="O48" i="12"/>
  <c r="P48" i="12"/>
  <c r="V48" i="12"/>
  <c r="T48" i="12"/>
  <c r="S48" i="12"/>
  <c r="U48" i="12"/>
  <c r="L49" i="12"/>
  <c r="K49" i="12"/>
  <c r="J49" i="12"/>
  <c r="AX49" i="12"/>
  <c r="AY49" i="12"/>
  <c r="AJ49" i="12"/>
  <c r="AK49" i="12"/>
  <c r="Q49" i="12"/>
  <c r="AX50" i="12"/>
  <c r="J50" i="12"/>
  <c r="L50" i="12"/>
  <c r="K50" i="12"/>
  <c r="AY50" i="12"/>
  <c r="G50" i="12" a="1"/>
  <c r="Q50" i="12" s="1"/>
  <c r="P52" i="12"/>
  <c r="U52" i="12"/>
  <c r="T52" i="12"/>
  <c r="V52" i="12"/>
  <c r="O52" i="12"/>
  <c r="S52" i="12"/>
  <c r="J53" i="12"/>
  <c r="L53" i="12"/>
  <c r="AY53" i="12"/>
  <c r="AX53" i="12"/>
  <c r="K53" i="12"/>
  <c r="G53" i="12" a="1"/>
  <c r="Q53" i="12" s="1"/>
  <c r="S54" i="12"/>
  <c r="U54" i="12"/>
  <c r="O54" i="12"/>
  <c r="V54" i="12"/>
  <c r="T54" i="12"/>
  <c r="P54" i="12"/>
  <c r="T55" i="12"/>
  <c r="P55" i="12"/>
  <c r="O55" i="12"/>
  <c r="S55" i="12"/>
  <c r="U55" i="12"/>
  <c r="V55" i="12"/>
  <c r="P57" i="12"/>
  <c r="U57" i="12"/>
  <c r="T57" i="12"/>
  <c r="V57" i="12"/>
  <c r="S57" i="12"/>
  <c r="O57" i="12"/>
  <c r="S21" i="12"/>
  <c r="V21" i="12"/>
  <c r="T21" i="12"/>
  <c r="O21" i="12"/>
  <c r="P21" i="12"/>
  <c r="U21" i="12"/>
  <c r="T24" i="12"/>
  <c r="P24" i="12"/>
  <c r="S24" i="12"/>
  <c r="O24" i="12"/>
  <c r="U24" i="12"/>
  <c r="V24" i="12"/>
  <c r="K84" i="12"/>
  <c r="L84" i="12"/>
  <c r="J84" i="12"/>
  <c r="AY84" i="12"/>
  <c r="AX84" i="12"/>
  <c r="J24" i="12"/>
  <c r="AX24" i="12"/>
  <c r="AY24" i="12"/>
  <c r="L24" i="12"/>
  <c r="K24" i="12"/>
  <c r="J102" i="12"/>
  <c r="AY102" i="12"/>
  <c r="K102" i="12"/>
  <c r="AX102" i="12"/>
  <c r="L102" i="12"/>
  <c r="AX99" i="12"/>
  <c r="L99" i="12"/>
  <c r="AY99" i="12"/>
  <c r="J99" i="12"/>
  <c r="K99" i="12"/>
  <c r="P66" i="12"/>
  <c r="V66" i="12"/>
  <c r="O66" i="12"/>
  <c r="S66" i="12"/>
  <c r="U66" i="12"/>
  <c r="T66" i="12"/>
  <c r="AX32" i="12"/>
  <c r="K32" i="12"/>
  <c r="AY32" i="12"/>
  <c r="L32" i="12"/>
  <c r="J32" i="12"/>
  <c r="P34" i="12"/>
  <c r="U34" i="12"/>
  <c r="V34" i="12"/>
  <c r="O34" i="12"/>
  <c r="S34" i="12"/>
  <c r="T34" i="12"/>
  <c r="K105" i="12"/>
  <c r="AX105" i="12"/>
  <c r="J105" i="12"/>
  <c r="L105" i="12"/>
  <c r="AY105" i="12"/>
  <c r="G102" i="12" a="1"/>
  <c r="Q102" i="12" s="1"/>
  <c r="AX64" i="12"/>
  <c r="L64" i="12"/>
  <c r="K64" i="12"/>
  <c r="J64" i="12"/>
  <c r="AY64" i="12"/>
  <c r="G24" i="12" a="1"/>
  <c r="Q24" i="12" s="1"/>
  <c r="G54" i="12" a="1"/>
  <c r="Q54" i="12" s="1"/>
  <c r="T102" i="12"/>
  <c r="S102" i="12"/>
  <c r="U102" i="12"/>
  <c r="O102" i="12"/>
  <c r="P102" i="12"/>
  <c r="V102" i="12"/>
  <c r="G84" i="12" a="1"/>
  <c r="Q84" i="12" s="1"/>
  <c r="U11" i="12"/>
  <c r="V11" i="12"/>
  <c r="S11" i="12"/>
  <c r="O11" i="12"/>
  <c r="P11" i="12"/>
  <c r="T11" i="12"/>
  <c r="AX18" i="12"/>
  <c r="L18" i="12"/>
  <c r="AY18" i="12"/>
  <c r="J18" i="12"/>
  <c r="K18" i="12"/>
  <c r="J85" i="12"/>
  <c r="AX85" i="12"/>
  <c r="L85" i="12"/>
  <c r="K85" i="12"/>
  <c r="AY85" i="12"/>
  <c r="AK85" i="12"/>
  <c r="AJ85" i="12"/>
  <c r="Q85" i="12"/>
  <c r="T86" i="12"/>
  <c r="S86" i="12"/>
  <c r="U86" i="12"/>
  <c r="V86" i="12"/>
  <c r="O86" i="12"/>
  <c r="P86" i="12"/>
  <c r="T87" i="12"/>
  <c r="P87" i="12"/>
  <c r="O87" i="12"/>
  <c r="S87" i="12"/>
  <c r="U87" i="12"/>
  <c r="V87" i="12"/>
  <c r="G87" i="12" a="1"/>
  <c r="Q87" i="12" s="1"/>
  <c r="O88" i="12"/>
  <c r="S88" i="12"/>
  <c r="V88" i="12"/>
  <c r="U88" i="12"/>
  <c r="P88" i="12"/>
  <c r="T88" i="12"/>
  <c r="G88" i="12" a="1"/>
  <c r="Q88" i="12" s="1"/>
  <c r="O89" i="12"/>
  <c r="P89" i="12"/>
  <c r="S89" i="12"/>
  <c r="T89" i="12"/>
  <c r="V89" i="12"/>
  <c r="U89" i="12"/>
  <c r="G89" i="12" a="1"/>
  <c r="Q89" i="12" s="1"/>
  <c r="V90" i="12"/>
  <c r="O90" i="12"/>
  <c r="S90" i="12"/>
  <c r="T90" i="12"/>
  <c r="P90" i="12"/>
  <c r="U90" i="12"/>
  <c r="G90" i="12" a="1"/>
  <c r="Q90" i="12" s="1"/>
  <c r="U92" i="12"/>
  <c r="S92" i="12"/>
  <c r="O92" i="12"/>
  <c r="V92" i="12"/>
  <c r="T92" i="12"/>
  <c r="P92" i="12"/>
  <c r="K56" i="12"/>
  <c r="L56" i="12"/>
  <c r="AX56" i="12"/>
  <c r="J56" i="12"/>
  <c r="AY56" i="12"/>
  <c r="P26" i="12"/>
  <c r="O26" i="12"/>
  <c r="V26" i="12"/>
  <c r="U26" i="12"/>
  <c r="T26" i="12"/>
  <c r="S26" i="12"/>
  <c r="AY31" i="12"/>
  <c r="L31" i="12"/>
  <c r="J31" i="12"/>
  <c r="AX31" i="12"/>
  <c r="K31" i="12"/>
  <c r="S51" i="12"/>
  <c r="P51" i="12"/>
  <c r="V51" i="12"/>
  <c r="U51" i="12"/>
  <c r="T51" i="12"/>
  <c r="O51" i="12"/>
  <c r="G103" i="12" a="1"/>
  <c r="Q103" i="12" s="1"/>
  <c r="G82" i="12" a="1"/>
  <c r="Q82" i="12" s="1"/>
  <c r="K12" i="12"/>
  <c r="AX12" i="12"/>
  <c r="L12" i="12"/>
  <c r="J12" i="12"/>
  <c r="AY12" i="12"/>
  <c r="AX14" i="12"/>
  <c r="K14" i="12"/>
  <c r="AY14" i="12"/>
  <c r="J14" i="12"/>
  <c r="L14" i="12"/>
  <c r="G92" i="12" a="1"/>
  <c r="Q92" i="12" s="1"/>
  <c r="U93" i="12"/>
  <c r="V93" i="12"/>
  <c r="S93" i="12"/>
  <c r="P93" i="12"/>
  <c r="O93" i="12"/>
  <c r="T93" i="12"/>
  <c r="K93" i="12"/>
  <c r="J93" i="12"/>
  <c r="AY93" i="12"/>
  <c r="AX93" i="12"/>
  <c r="L93" i="12"/>
  <c r="G93" i="12" a="1"/>
  <c r="Q93" i="12" s="1"/>
  <c r="P94" i="12"/>
  <c r="U94" i="12"/>
  <c r="S94" i="12"/>
  <c r="V94" i="12"/>
  <c r="T94" i="12"/>
  <c r="O94" i="12"/>
  <c r="AY94" i="12"/>
  <c r="J94" i="12"/>
  <c r="K94" i="12"/>
  <c r="L94" i="12"/>
  <c r="AX94" i="12"/>
  <c r="AK94" i="12"/>
  <c r="AJ94" i="12"/>
  <c r="Q94" i="12"/>
  <c r="S95" i="12"/>
  <c r="V95" i="12"/>
  <c r="P95" i="12"/>
  <c r="U95" i="12"/>
  <c r="O95" i="12"/>
  <c r="T95" i="12"/>
  <c r="J95" i="12"/>
  <c r="L95" i="12"/>
  <c r="K95" i="12"/>
  <c r="AY95" i="12"/>
  <c r="AX95" i="12"/>
  <c r="G96" i="12" a="1"/>
  <c r="Q96" i="12" s="1"/>
  <c r="AY97" i="12"/>
  <c r="K97" i="12"/>
  <c r="AX97" i="12"/>
  <c r="J97" i="12"/>
  <c r="L97" i="12"/>
  <c r="O98" i="12"/>
  <c r="U98" i="12"/>
  <c r="P98" i="12"/>
  <c r="S98" i="12"/>
  <c r="T98" i="12"/>
  <c r="V98" i="12"/>
  <c r="G28" i="12" a="1"/>
  <c r="Q28" i="12" s="1"/>
  <c r="L34" i="12"/>
  <c r="K34" i="12"/>
  <c r="AX34" i="12"/>
  <c r="J34" i="12"/>
  <c r="AY34" i="12"/>
  <c r="T39" i="12"/>
  <c r="U39" i="12"/>
  <c r="S39" i="12"/>
  <c r="V39" i="12"/>
  <c r="O39" i="12"/>
  <c r="P39" i="12"/>
  <c r="AY104" i="12"/>
  <c r="L104" i="12"/>
  <c r="AX104" i="12"/>
  <c r="J104" i="12"/>
  <c r="K104" i="12"/>
  <c r="K82" i="12"/>
  <c r="J82" i="12"/>
  <c r="AY82" i="12"/>
  <c r="AX82" i="12"/>
  <c r="L82" i="12"/>
  <c r="G22" i="12" a="1"/>
  <c r="Q22" i="12" s="1"/>
  <c r="G25" i="12" a="1"/>
  <c r="Q25" i="12" s="1"/>
  <c r="O29" i="12"/>
  <c r="U29" i="12"/>
  <c r="T29" i="12"/>
  <c r="S29" i="12"/>
  <c r="V29" i="12"/>
  <c r="P29" i="12"/>
  <c r="T35" i="12"/>
  <c r="U35" i="12"/>
  <c r="S35" i="12"/>
  <c r="O35" i="12"/>
  <c r="V35" i="12"/>
  <c r="P35" i="12"/>
  <c r="G70" i="12" a="1"/>
  <c r="Q70" i="12" s="1"/>
  <c r="G23" i="12" a="1"/>
  <c r="Q23" i="12" s="1"/>
  <c r="G27" i="12" a="1"/>
  <c r="Q27" i="12" s="1"/>
  <c r="K51" i="12"/>
  <c r="AY51" i="12"/>
  <c r="J51" i="12"/>
  <c r="AX51" i="12"/>
  <c r="L51" i="12"/>
  <c r="AX103" i="12"/>
  <c r="J103" i="12"/>
  <c r="AY103" i="12"/>
  <c r="L103" i="12"/>
  <c r="K103" i="12"/>
  <c r="AX26" i="12"/>
  <c r="AY26" i="12"/>
  <c r="J26" i="12"/>
  <c r="K26" i="12"/>
  <c r="L26" i="12"/>
  <c r="G58" i="12" a="1"/>
  <c r="Q58" i="12" s="1"/>
  <c r="AY37" i="12"/>
  <c r="J37" i="12"/>
  <c r="AX37" i="12"/>
  <c r="L37" i="12"/>
  <c r="K37" i="12"/>
  <c r="T105" i="12"/>
  <c r="V105" i="12"/>
  <c r="P105" i="12"/>
  <c r="O105" i="12"/>
  <c r="U105" i="12"/>
  <c r="S105" i="12"/>
  <c r="G63" i="12" a="1"/>
  <c r="Q63" i="12" s="1"/>
  <c r="G59" i="12" a="1"/>
  <c r="Q59" i="12" s="1"/>
  <c r="K72" i="12"/>
  <c r="AX72" i="12"/>
  <c r="J72" i="12"/>
  <c r="L72" i="12"/>
  <c r="AY72" i="12"/>
  <c r="G7" i="12" a="1"/>
  <c r="Q7" i="12" s="1"/>
  <c r="S9" i="12"/>
  <c r="P9" i="12"/>
  <c r="T9" i="12"/>
  <c r="O9" i="12"/>
  <c r="V9" i="12"/>
  <c r="U9" i="12"/>
  <c r="G12" i="12" a="1"/>
  <c r="Q12" i="12" s="1"/>
  <c r="G17" i="12" a="1"/>
  <c r="Q17" i="12" s="1"/>
  <c r="G104" i="12" a="1"/>
  <c r="Q104" i="12" s="1"/>
  <c r="S82" i="12"/>
  <c r="P82" i="12"/>
  <c r="V82" i="12"/>
  <c r="O82" i="12"/>
  <c r="U82" i="12"/>
  <c r="T82" i="12"/>
  <c r="V96" i="12"/>
  <c r="O96" i="12"/>
  <c r="U96" i="12"/>
  <c r="P96" i="12"/>
  <c r="T96" i="12"/>
  <c r="S96" i="12"/>
  <c r="L61" i="12"/>
  <c r="AX61" i="12"/>
  <c r="K61" i="12"/>
  <c r="J61" i="12"/>
  <c r="AY61" i="12"/>
  <c r="V62" i="12"/>
  <c r="O62" i="12"/>
  <c r="P62" i="12"/>
  <c r="S62" i="12"/>
  <c r="U62" i="12"/>
  <c r="T62" i="12"/>
  <c r="K65" i="12"/>
  <c r="J65" i="12"/>
  <c r="L65" i="12"/>
  <c r="AY65" i="12"/>
  <c r="AX65" i="12"/>
  <c r="AY43" i="12"/>
  <c r="K43" i="12"/>
  <c r="L43" i="12"/>
  <c r="AX43" i="12"/>
  <c r="J43" i="12"/>
  <c r="AX57" i="12"/>
  <c r="L57" i="12"/>
  <c r="AY57" i="12"/>
  <c r="J57" i="12"/>
  <c r="K57" i="12"/>
  <c r="AX23" i="12"/>
  <c r="AY23" i="12"/>
  <c r="J23" i="12"/>
  <c r="K23" i="12"/>
  <c r="L23" i="12"/>
  <c r="AY25" i="12"/>
  <c r="K25" i="12"/>
  <c r="AX25" i="12"/>
  <c r="L25" i="12"/>
  <c r="J25" i="12"/>
  <c r="J69" i="12"/>
  <c r="K69" i="12"/>
  <c r="AX69" i="12"/>
  <c r="L69" i="12"/>
  <c r="AY69" i="12"/>
  <c r="V23" i="12"/>
  <c r="T23" i="12"/>
  <c r="S23" i="12"/>
  <c r="P23" i="12"/>
  <c r="O23" i="12"/>
  <c r="U23" i="12"/>
  <c r="AX28" i="12"/>
  <c r="L28" i="12"/>
  <c r="J28" i="12"/>
  <c r="K28" i="12"/>
  <c r="AY28" i="12"/>
  <c r="J36" i="12"/>
  <c r="L36" i="12"/>
  <c r="AY36" i="12"/>
  <c r="AX36" i="12"/>
  <c r="K36" i="12"/>
  <c r="G39" i="12" a="1"/>
  <c r="Q39" i="12" s="1"/>
  <c r="J101" i="12"/>
  <c r="AX101" i="12"/>
  <c r="K101" i="12"/>
  <c r="AY101" i="12"/>
  <c r="L101" i="12"/>
  <c r="O104" i="12"/>
  <c r="S104" i="12"/>
  <c r="T104" i="12"/>
  <c r="V104" i="12"/>
  <c r="P104" i="12"/>
  <c r="U104" i="12"/>
  <c r="G95" i="12" a="1"/>
  <c r="Q95" i="12" s="1"/>
  <c r="J98" i="12"/>
  <c r="AY98" i="12"/>
  <c r="AX98" i="12"/>
  <c r="L98" i="12"/>
  <c r="K98" i="12"/>
  <c r="T100" i="12"/>
  <c r="P100" i="12"/>
  <c r="O100" i="12"/>
  <c r="V100" i="12"/>
  <c r="S100" i="12"/>
  <c r="U100" i="12"/>
  <c r="G66" i="12" a="1"/>
  <c r="Q66" i="12" s="1"/>
  <c r="G46" i="12" a="1"/>
  <c r="Q46" i="12" s="1"/>
  <c r="G29" i="12" a="1"/>
  <c r="Q29" i="12" s="1"/>
  <c r="G33" i="12" a="1"/>
  <c r="Q33" i="12" s="1"/>
  <c r="G36" i="12" a="1"/>
  <c r="Q36" i="12" s="1"/>
  <c r="O69" i="12"/>
  <c r="V69" i="12"/>
  <c r="U69" i="12"/>
  <c r="P69" i="12"/>
  <c r="S69" i="12"/>
  <c r="T69" i="12"/>
  <c r="AX55" i="12"/>
  <c r="K55" i="12"/>
  <c r="J55" i="12"/>
  <c r="AY55" i="12"/>
  <c r="L55" i="12"/>
  <c r="G56" i="12" a="1"/>
  <c r="Q56" i="12" s="1"/>
  <c r="AX22" i="12"/>
  <c r="L22" i="12"/>
  <c r="K22" i="12"/>
  <c r="AY22" i="12"/>
  <c r="J22" i="12"/>
  <c r="G37" i="12" a="1"/>
  <c r="Q37" i="12" s="1"/>
  <c r="AY6" i="12"/>
  <c r="AX6" i="12"/>
  <c r="K6" i="12"/>
  <c r="L6" i="12"/>
  <c r="J6" i="12"/>
  <c r="L9" i="12"/>
  <c r="AY9" i="12"/>
  <c r="K9" i="12"/>
  <c r="J9" i="12"/>
  <c r="AX9" i="12"/>
  <c r="P10" i="12"/>
  <c r="O10" i="12"/>
  <c r="V10" i="12"/>
  <c r="U10" i="12"/>
  <c r="S10" i="12"/>
  <c r="T10" i="12"/>
  <c r="G14" i="12" a="1"/>
  <c r="Q14" i="12" s="1"/>
  <c r="K76" i="28" a="1"/>
  <c r="AH78" i="28"/>
  <c r="AG77" i="28" a="1"/>
  <c r="L77" i="28" s="1" a="1"/>
  <c r="AO77" i="28" a="1"/>
  <c r="AH79" i="28"/>
  <c r="AL79" i="28" s="1"/>
  <c r="H80" i="28"/>
  <c r="AF77" i="28"/>
  <c r="F77" i="28" s="1" a="1"/>
  <c r="Z79" i="28"/>
  <c r="AE78" i="28"/>
  <c r="Y79" i="28"/>
  <c r="AA79" i="28"/>
  <c r="AC78" i="28"/>
  <c r="AN81" i="28"/>
  <c r="G80" i="28" a="1"/>
  <c r="AD80" i="28" s="1"/>
  <c r="L44" i="29" l="1"/>
  <c r="CK44" i="29" a="1"/>
  <c r="N44" i="29"/>
  <c r="H44" i="29" a="1"/>
  <c r="M44" i="29"/>
  <c r="H19" i="29" a="1"/>
  <c r="L19" i="29"/>
  <c r="CK19" i="29" a="1"/>
  <c r="N19" i="29"/>
  <c r="M19" i="29"/>
  <c r="CK229" i="29" a="1"/>
  <c r="H229" i="29" a="1"/>
  <c r="N229" i="29"/>
  <c r="M229" i="29"/>
  <c r="L229" i="29"/>
  <c r="H45" i="29" a="1"/>
  <c r="L45" i="29"/>
  <c r="CK45" i="29" a="1"/>
  <c r="N45" i="29"/>
  <c r="M45" i="29"/>
  <c r="N25" i="29"/>
  <c r="M25" i="29"/>
  <c r="H25" i="29" a="1"/>
  <c r="CK25" i="29" a="1"/>
  <c r="L25" i="29"/>
  <c r="M236" i="29"/>
  <c r="CK236" i="29" a="1"/>
  <c r="N236" i="29"/>
  <c r="H236" i="29" a="1"/>
  <c r="L236" i="29"/>
  <c r="CK171" i="29" a="1"/>
  <c r="L171" i="29"/>
  <c r="H171" i="29" a="1"/>
  <c r="M171" i="29"/>
  <c r="N171" i="29"/>
  <c r="CK47" i="29" a="1"/>
  <c r="H47" i="29" a="1"/>
  <c r="M47" i="29"/>
  <c r="N47" i="29"/>
  <c r="L47" i="29"/>
  <c r="CK89" i="29" a="1"/>
  <c r="H89" i="29" a="1"/>
  <c r="N89" i="29"/>
  <c r="M89" i="29"/>
  <c r="L89" i="29"/>
  <c r="H181" i="29" a="1"/>
  <c r="CK181" i="29" a="1"/>
  <c r="L181" i="29"/>
  <c r="M181" i="29"/>
  <c r="N181" i="29"/>
  <c r="CK37" i="29" a="1"/>
  <c r="M37" i="29"/>
  <c r="L37" i="29"/>
  <c r="N37" i="29"/>
  <c r="H37" i="29" a="1"/>
  <c r="CK192" i="29" a="1"/>
  <c r="M192" i="29"/>
  <c r="L192" i="29"/>
  <c r="H192" i="29" a="1"/>
  <c r="N192" i="29"/>
  <c r="CK239" i="29" a="1"/>
  <c r="L239" i="29"/>
  <c r="H239" i="29" a="1"/>
  <c r="N239" i="29"/>
  <c r="M239" i="29"/>
  <c r="CK234" i="29" a="1"/>
  <c r="L234" i="29"/>
  <c r="N234" i="29"/>
  <c r="H234" i="29" a="1"/>
  <c r="M234" i="29"/>
  <c r="CK227" i="29" a="1"/>
  <c r="N227" i="29"/>
  <c r="L227" i="29"/>
  <c r="H227" i="29" a="1"/>
  <c r="M227" i="29"/>
  <c r="CK207" i="29" a="1"/>
  <c r="M207" i="29"/>
  <c r="L207" i="29"/>
  <c r="H207" i="29" a="1"/>
  <c r="N207" i="29"/>
  <c r="CK203" i="29" a="1"/>
  <c r="L203" i="29"/>
  <c r="M203" i="29"/>
  <c r="N203" i="29"/>
  <c r="H203" i="29" a="1"/>
  <c r="L194" i="29"/>
  <c r="M194" i="29"/>
  <c r="CK194" i="29" a="1"/>
  <c r="H194" i="29" a="1"/>
  <c r="N194" i="29"/>
  <c r="N241" i="29"/>
  <c r="L241" i="29"/>
  <c r="CK241" i="29" a="1"/>
  <c r="H241" i="29" a="1"/>
  <c r="M241" i="29"/>
  <c r="CK175" i="29" a="1"/>
  <c r="M175" i="29"/>
  <c r="L175" i="29"/>
  <c r="H175" i="29" a="1"/>
  <c r="N175" i="29"/>
  <c r="CK209" i="29" a="1"/>
  <c r="N209" i="29"/>
  <c r="M209" i="29"/>
  <c r="H209" i="29" a="1"/>
  <c r="L209" i="29"/>
  <c r="H149" i="29" a="1"/>
  <c r="CK149" i="29" a="1"/>
  <c r="L149" i="29"/>
  <c r="M149" i="29"/>
  <c r="N149" i="29"/>
  <c r="H249" i="29" a="1"/>
  <c r="M249" i="29"/>
  <c r="CK249" i="29" a="1"/>
  <c r="L249" i="29"/>
  <c r="N249" i="29"/>
  <c r="M235" i="29"/>
  <c r="H235" i="29" a="1"/>
  <c r="L235" i="29"/>
  <c r="CK235" i="29" a="1"/>
  <c r="N235" i="29"/>
  <c r="N225" i="29"/>
  <c r="H225" i="29" a="1"/>
  <c r="L225" i="29"/>
  <c r="CK225" i="29" a="1"/>
  <c r="M225" i="29"/>
  <c r="M219" i="29"/>
  <c r="H219" i="29" a="1"/>
  <c r="L219" i="29"/>
  <c r="CK219" i="29" a="1"/>
  <c r="N219" i="29"/>
  <c r="CK182" i="29" a="1"/>
  <c r="M182" i="29"/>
  <c r="L182" i="29"/>
  <c r="H182" i="29" a="1"/>
  <c r="N182" i="29"/>
  <c r="L172" i="29"/>
  <c r="M172" i="29"/>
  <c r="N172" i="29"/>
  <c r="CK172" i="29" a="1"/>
  <c r="H172" i="29" a="1"/>
  <c r="M168" i="29"/>
  <c r="N168" i="29"/>
  <c r="CK168" i="29" a="1"/>
  <c r="H168" i="29" a="1"/>
  <c r="L168" i="29"/>
  <c r="CK160" i="29" a="1"/>
  <c r="H160" i="29" a="1"/>
  <c r="L160" i="29"/>
  <c r="M160" i="29"/>
  <c r="N160" i="29"/>
  <c r="H151" i="29" a="1"/>
  <c r="L151" i="29"/>
  <c r="CK151" i="29" a="1"/>
  <c r="N151" i="29"/>
  <c r="M151" i="29"/>
  <c r="M140" i="29"/>
  <c r="L140" i="29"/>
  <c r="H140" i="29" a="1"/>
  <c r="CK140" i="29" a="1"/>
  <c r="N140" i="29"/>
  <c r="H120" i="29" a="1"/>
  <c r="L120" i="29"/>
  <c r="CK120" i="29" a="1"/>
  <c r="M120" i="29"/>
  <c r="N120" i="29"/>
  <c r="N213" i="29"/>
  <c r="M213" i="29"/>
  <c r="L213" i="29"/>
  <c r="H213" i="29" a="1"/>
  <c r="CK213" i="29" a="1"/>
  <c r="L190" i="29"/>
  <c r="H190" i="29" a="1"/>
  <c r="CK190" i="29" a="1"/>
  <c r="M190" i="29"/>
  <c r="N190" i="29"/>
  <c r="M186" i="29"/>
  <c r="H186" i="29" a="1"/>
  <c r="L186" i="29"/>
  <c r="CK186" i="29" a="1"/>
  <c r="N186" i="29"/>
  <c r="M164" i="29"/>
  <c r="CK164" i="29" a="1"/>
  <c r="N164" i="29"/>
  <c r="H164" i="29" a="1"/>
  <c r="L164" i="29"/>
  <c r="N251" i="29"/>
  <c r="H251" i="29" a="1"/>
  <c r="CK251" i="29" a="1"/>
  <c r="L251" i="29"/>
  <c r="M251" i="29"/>
  <c r="N232" i="29"/>
  <c r="CK232" i="29" a="1"/>
  <c r="M232" i="29"/>
  <c r="H232" i="29" a="1"/>
  <c r="L232" i="29"/>
  <c r="H167" i="29" a="1"/>
  <c r="CK167" i="29" a="1"/>
  <c r="M167" i="29"/>
  <c r="N167" i="29"/>
  <c r="L167" i="29"/>
  <c r="M137" i="29"/>
  <c r="L137" i="29"/>
  <c r="CK137" i="29" a="1"/>
  <c r="N137" i="29"/>
  <c r="H137" i="29" a="1"/>
  <c r="N107" i="29"/>
  <c r="M107" i="29"/>
  <c r="H107" i="29" a="1"/>
  <c r="L107" i="29"/>
  <c r="CK107" i="29" a="1"/>
  <c r="L94" i="29"/>
  <c r="H94" i="29" a="1"/>
  <c r="CK94" i="29" a="1"/>
  <c r="N94" i="29"/>
  <c r="M94" i="29"/>
  <c r="N31" i="29"/>
  <c r="H31" i="29" a="1"/>
  <c r="CK31" i="29" a="1"/>
  <c r="L31" i="29"/>
  <c r="M31" i="29"/>
  <c r="L183" i="29"/>
  <c r="CK183" i="29" a="1"/>
  <c r="M183" i="29"/>
  <c r="H183" i="29" a="1"/>
  <c r="N183" i="29"/>
  <c r="H214" i="29" a="1"/>
  <c r="N214" i="29"/>
  <c r="M214" i="29"/>
  <c r="CK214" i="29" a="1"/>
  <c r="L214" i="29"/>
  <c r="L212" i="29"/>
  <c r="CK212" i="29" a="1"/>
  <c r="M212" i="29"/>
  <c r="N212" i="29"/>
  <c r="H212" i="29" a="1"/>
  <c r="H188" i="29" a="1"/>
  <c r="L188" i="29"/>
  <c r="M188" i="29"/>
  <c r="CK188" i="29" a="1"/>
  <c r="N188" i="29"/>
  <c r="L161" i="29"/>
  <c r="H161" i="29" a="1"/>
  <c r="M161" i="29"/>
  <c r="CK161" i="29" a="1"/>
  <c r="N161" i="29"/>
  <c r="L132" i="29"/>
  <c r="H132" i="29" a="1"/>
  <c r="M132" i="29"/>
  <c r="CK132" i="29" a="1"/>
  <c r="N132" i="29"/>
  <c r="N97" i="29"/>
  <c r="M97" i="29"/>
  <c r="L97" i="29"/>
  <c r="CK97" i="29" a="1"/>
  <c r="H97" i="29" a="1"/>
  <c r="L245" i="29"/>
  <c r="M245" i="29"/>
  <c r="H245" i="29" a="1"/>
  <c r="N245" i="29"/>
  <c r="CK245" i="29" a="1"/>
  <c r="H217" i="29" a="1"/>
  <c r="M217" i="29"/>
  <c r="CK217" i="29" a="1"/>
  <c r="L217" i="29"/>
  <c r="N217" i="29"/>
  <c r="N200" i="29"/>
  <c r="M200" i="29"/>
  <c r="CK200" i="29" a="1"/>
  <c r="L200" i="29"/>
  <c r="H200" i="29" a="1"/>
  <c r="H166" i="29" a="1"/>
  <c r="M166" i="29"/>
  <c r="N166" i="29"/>
  <c r="CK166" i="29" a="1"/>
  <c r="L166" i="29"/>
  <c r="N145" i="29"/>
  <c r="M145" i="29"/>
  <c r="L145" i="29"/>
  <c r="H145" i="29" a="1"/>
  <c r="CK145" i="29" a="1"/>
  <c r="CK78" i="29" a="1"/>
  <c r="L78" i="29"/>
  <c r="N78" i="29"/>
  <c r="M78" i="29"/>
  <c r="H78" i="29" a="1"/>
  <c r="L64" i="29"/>
  <c r="M64" i="29"/>
  <c r="N64" i="29"/>
  <c r="H64" i="29" a="1"/>
  <c r="CK64" i="29" a="1"/>
  <c r="N60" i="29"/>
  <c r="CK60" i="29" a="1"/>
  <c r="H60" i="29" a="1"/>
  <c r="L60" i="29"/>
  <c r="M60" i="29"/>
  <c r="N51" i="29"/>
  <c r="H51" i="29" a="1"/>
  <c r="M51" i="29"/>
  <c r="CK51" i="29" a="1"/>
  <c r="L51" i="29"/>
  <c r="CK79" i="29" a="1"/>
  <c r="M79" i="29"/>
  <c r="H79" i="29" a="1"/>
  <c r="N79" i="29"/>
  <c r="L79" i="29"/>
  <c r="H36" i="29" a="1"/>
  <c r="CK36" i="29" a="1"/>
  <c r="M36" i="29"/>
  <c r="N36" i="29"/>
  <c r="L36" i="29"/>
  <c r="CK16" i="29" a="1"/>
  <c r="H16" i="29" a="1"/>
  <c r="N16" i="29"/>
  <c r="L16" i="29"/>
  <c r="M16" i="29"/>
  <c r="CK240" i="29" a="1"/>
  <c r="H240" i="29" a="1"/>
  <c r="L240" i="29"/>
  <c r="N240" i="29"/>
  <c r="M240" i="29"/>
  <c r="H127" i="29" a="1"/>
  <c r="CK127" i="29" a="1"/>
  <c r="M127" i="29"/>
  <c r="N127" i="29"/>
  <c r="L127" i="29"/>
  <c r="N110" i="29"/>
  <c r="H110" i="29" a="1"/>
  <c r="L110" i="29"/>
  <c r="M110" i="29"/>
  <c r="CK110" i="29" a="1"/>
  <c r="CK93" i="29" a="1"/>
  <c r="L93" i="29"/>
  <c r="M93" i="29"/>
  <c r="H93" i="29" a="1"/>
  <c r="N93" i="29"/>
  <c r="CK76" i="29" a="1"/>
  <c r="M76" i="29"/>
  <c r="N76" i="29"/>
  <c r="H76" i="29" a="1"/>
  <c r="L76" i="29"/>
  <c r="L65" i="29"/>
  <c r="M65" i="29"/>
  <c r="N65" i="29"/>
  <c r="CK65" i="29" a="1"/>
  <c r="H65" i="29" a="1"/>
  <c r="H52" i="29" a="1"/>
  <c r="N52" i="29"/>
  <c r="M52" i="29"/>
  <c r="CK52" i="29" a="1"/>
  <c r="L52" i="29"/>
  <c r="H118" i="29" a="1"/>
  <c r="CK118" i="29" a="1"/>
  <c r="M118" i="29"/>
  <c r="N118" i="29"/>
  <c r="L118" i="29"/>
  <c r="CK135" i="29" a="1"/>
  <c r="N135" i="29"/>
  <c r="M135" i="29"/>
  <c r="L135" i="29"/>
  <c r="H135" i="29" a="1"/>
  <c r="M253" i="29"/>
  <c r="CK253" i="29" a="1"/>
  <c r="L253" i="29"/>
  <c r="N253" i="29"/>
  <c r="H253" i="29" a="1"/>
  <c r="N156" i="29"/>
  <c r="M156" i="29"/>
  <c r="H156" i="29" a="1"/>
  <c r="L156" i="29"/>
  <c r="CK156" i="29" a="1"/>
  <c r="H152" i="29" a="1"/>
  <c r="M152" i="29"/>
  <c r="L152" i="29"/>
  <c r="N152" i="29"/>
  <c r="CK152" i="29" a="1"/>
  <c r="CK30" i="29" a="1"/>
  <c r="M30" i="29"/>
  <c r="H30" i="29" a="1"/>
  <c r="L30" i="29"/>
  <c r="N30" i="29"/>
  <c r="L222" i="29"/>
  <c r="CK222" i="29" a="1"/>
  <c r="H222" i="29" a="1"/>
  <c r="M222" i="29"/>
  <c r="N222" i="29"/>
  <c r="N233" i="29"/>
  <c r="H233" i="29" a="1"/>
  <c r="L233" i="29"/>
  <c r="M233" i="29"/>
  <c r="CK233" i="29" a="1"/>
  <c r="N136" i="29"/>
  <c r="M136" i="29"/>
  <c r="L136" i="29"/>
  <c r="CK136" i="29" a="1"/>
  <c r="H136" i="29" a="1"/>
  <c r="M87" i="29"/>
  <c r="H87" i="29" a="1"/>
  <c r="L87" i="29"/>
  <c r="CK87" i="29" a="1"/>
  <c r="N87" i="29"/>
  <c r="L61" i="29"/>
  <c r="M61" i="29"/>
  <c r="N61" i="29"/>
  <c r="CK61" i="29" a="1"/>
  <c r="H61" i="29" a="1"/>
  <c r="H98" i="29" a="1"/>
  <c r="L98" i="29"/>
  <c r="M98" i="29"/>
  <c r="N98" i="29"/>
  <c r="CK98" i="29" a="1"/>
  <c r="M24" i="29"/>
  <c r="H24" i="29" a="1"/>
  <c r="CK24" i="29" a="1"/>
  <c r="L24" i="29"/>
  <c r="N24" i="29"/>
  <c r="CK129" i="29" a="1"/>
  <c r="N129" i="29"/>
  <c r="H129" i="29" a="1"/>
  <c r="M129" i="29"/>
  <c r="L129" i="29"/>
  <c r="M224" i="29"/>
  <c r="L224" i="29"/>
  <c r="CK224" i="29" a="1"/>
  <c r="N224" i="29"/>
  <c r="H224" i="29" a="1"/>
  <c r="H139" i="29" a="1"/>
  <c r="N139" i="29"/>
  <c r="CK139" i="29" a="1"/>
  <c r="M139" i="29"/>
  <c r="L139" i="29"/>
  <c r="L84" i="29"/>
  <c r="N84" i="29"/>
  <c r="CK84" i="29" a="1"/>
  <c r="M84" i="29"/>
  <c r="H84" i="29" a="1"/>
  <c r="H14" i="29" a="1"/>
  <c r="CK14" i="29" a="1"/>
  <c r="M14" i="29"/>
  <c r="N14" i="29"/>
  <c r="L14" i="29"/>
  <c r="L199" i="29"/>
  <c r="M199" i="29"/>
  <c r="H199" i="29" a="1"/>
  <c r="N199" i="29"/>
  <c r="CK199" i="29" a="1"/>
  <c r="L153" i="29"/>
  <c r="M153" i="29"/>
  <c r="N153" i="29"/>
  <c r="CK153" i="29" a="1"/>
  <c r="H153" i="29" a="1"/>
  <c r="H55" i="29" a="1"/>
  <c r="CK55" i="29" a="1"/>
  <c r="N55" i="29"/>
  <c r="L55" i="29"/>
  <c r="M55" i="29"/>
  <c r="CK242" i="29" a="1"/>
  <c r="N242" i="29"/>
  <c r="M242" i="29"/>
  <c r="L242" i="29"/>
  <c r="H242" i="29" a="1"/>
  <c r="M189" i="29"/>
  <c r="L189" i="29"/>
  <c r="H189" i="29" a="1"/>
  <c r="CK189" i="29" a="1"/>
  <c r="N189" i="29"/>
  <c r="CK162" i="29" a="1"/>
  <c r="L162" i="29"/>
  <c r="M162" i="29"/>
  <c r="H162" i="29" a="1"/>
  <c r="N162" i="29"/>
  <c r="CK119" i="29" a="1"/>
  <c r="L119" i="29"/>
  <c r="N119" i="29"/>
  <c r="H119" i="29" a="1"/>
  <c r="M119" i="29"/>
  <c r="M72" i="29"/>
  <c r="CK72" i="29" a="1"/>
  <c r="L72" i="29"/>
  <c r="N72" i="29"/>
  <c r="H72" i="29" a="1"/>
  <c r="H38" i="29" a="1"/>
  <c r="L38" i="29"/>
  <c r="N38" i="29"/>
  <c r="CK38" i="29" a="1"/>
  <c r="M38" i="29"/>
  <c r="L15" i="29"/>
  <c r="CK15" i="29" a="1"/>
  <c r="H15" i="29" a="1"/>
  <c r="N15" i="29"/>
  <c r="M15" i="29"/>
  <c r="CK254" i="29" a="1"/>
  <c r="N254" i="29"/>
  <c r="H254" i="29" a="1"/>
  <c r="M254" i="29"/>
  <c r="L254" i="29"/>
  <c r="H238" i="29" a="1"/>
  <c r="N238" i="29"/>
  <c r="CK238" i="29" a="1"/>
  <c r="M238" i="29"/>
  <c r="L238" i="29"/>
  <c r="N68" i="29"/>
  <c r="H68" i="29" a="1"/>
  <c r="M68" i="29"/>
  <c r="CK68" i="29" a="1"/>
  <c r="L68" i="29"/>
  <c r="M58" i="29"/>
  <c r="L58" i="29"/>
  <c r="CK58" i="29" a="1"/>
  <c r="N58" i="29"/>
  <c r="H58" i="29" a="1"/>
  <c r="L48" i="29"/>
  <c r="N48" i="29"/>
  <c r="H48" i="29" a="1"/>
  <c r="M48" i="29"/>
  <c r="CK48" i="29" a="1"/>
  <c r="CK39" i="29" a="1"/>
  <c r="N39" i="29"/>
  <c r="L39" i="29"/>
  <c r="H39" i="29" a="1"/>
  <c r="M39" i="29"/>
  <c r="L252" i="29"/>
  <c r="CK252" i="29" a="1"/>
  <c r="H252" i="29" a="1"/>
  <c r="N252" i="29"/>
  <c r="M252" i="29"/>
  <c r="H246" i="29" a="1"/>
  <c r="L246" i="29"/>
  <c r="CK246" i="29" a="1"/>
  <c r="M246" i="29"/>
  <c r="N246" i="29"/>
  <c r="H243" i="29" a="1"/>
  <c r="CK243" i="29" a="1"/>
  <c r="M243" i="29"/>
  <c r="L243" i="29"/>
  <c r="N243" i="29"/>
  <c r="M71" i="29"/>
  <c r="N71" i="29"/>
  <c r="CK71" i="29" a="1"/>
  <c r="L71" i="29"/>
  <c r="H71" i="29" a="1"/>
  <c r="H46" i="29" a="1"/>
  <c r="CK46" i="29" a="1"/>
  <c r="L46" i="29"/>
  <c r="M46" i="29"/>
  <c r="N46" i="29"/>
  <c r="CK250" i="29" a="1"/>
  <c r="L250" i="29"/>
  <c r="N250" i="29"/>
  <c r="M250" i="29"/>
  <c r="H250" i="29" a="1"/>
  <c r="CK82" i="29" a="1"/>
  <c r="M82" i="29"/>
  <c r="H82" i="29" a="1"/>
  <c r="L82" i="29"/>
  <c r="N82" i="29"/>
  <c r="L180" i="29"/>
  <c r="M180" i="29"/>
  <c r="CK180" i="29" a="1"/>
  <c r="H180" i="29" a="1"/>
  <c r="N180" i="29"/>
  <c r="H134" i="29" a="1"/>
  <c r="M134" i="29"/>
  <c r="CK134" i="29" a="1"/>
  <c r="L134" i="29"/>
  <c r="N134" i="29"/>
  <c r="H237" i="29" a="1"/>
  <c r="N237" i="29"/>
  <c r="M237" i="29"/>
  <c r="L237" i="29"/>
  <c r="CK237" i="29" a="1"/>
  <c r="H231" i="29" a="1"/>
  <c r="M231" i="29"/>
  <c r="L231" i="29"/>
  <c r="CK231" i="29" a="1"/>
  <c r="N231" i="29"/>
  <c r="H221" i="29" a="1"/>
  <c r="CK221" i="29" a="1"/>
  <c r="L221" i="29"/>
  <c r="N221" i="29"/>
  <c r="M221" i="29"/>
  <c r="CK205" i="29" a="1"/>
  <c r="H205" i="29" a="1"/>
  <c r="N205" i="29"/>
  <c r="L205" i="29"/>
  <c r="M205" i="29"/>
  <c r="L198" i="29"/>
  <c r="CK198" i="29" a="1"/>
  <c r="N198" i="29"/>
  <c r="H198" i="29" a="1"/>
  <c r="M198" i="29"/>
  <c r="L191" i="29"/>
  <c r="H191" i="29" a="1"/>
  <c r="CK191" i="29" a="1"/>
  <c r="M191" i="29"/>
  <c r="N191" i="29"/>
  <c r="M187" i="29"/>
  <c r="L187" i="29"/>
  <c r="H187" i="29" a="1"/>
  <c r="CK187" i="29" a="1"/>
  <c r="N187" i="29"/>
  <c r="H184" i="29" a="1"/>
  <c r="L184" i="29"/>
  <c r="M184" i="29"/>
  <c r="CK184" i="29" a="1"/>
  <c r="N184" i="29"/>
  <c r="N178" i="29"/>
  <c r="H178" i="29" a="1"/>
  <c r="L178" i="29"/>
  <c r="M178" i="29"/>
  <c r="CK178" i="29" a="1"/>
  <c r="L173" i="29"/>
  <c r="N173" i="29"/>
  <c r="M173" i="29"/>
  <c r="CK173" i="29" a="1"/>
  <c r="H173" i="29" a="1"/>
  <c r="N165" i="29"/>
  <c r="CK165" i="29" a="1"/>
  <c r="M165" i="29"/>
  <c r="L165" i="29"/>
  <c r="H165" i="29" a="1"/>
  <c r="M159" i="29"/>
  <c r="CK159" i="29" a="1"/>
  <c r="L159" i="29"/>
  <c r="N159" i="29"/>
  <c r="H159" i="29" a="1"/>
  <c r="M150" i="29"/>
  <c r="CK150" i="29" a="1"/>
  <c r="L150" i="29"/>
  <c r="H150" i="29" a="1"/>
  <c r="N150" i="29"/>
  <c r="M146" i="29"/>
  <c r="N146" i="29"/>
  <c r="CK146" i="29" a="1"/>
  <c r="L146" i="29"/>
  <c r="H146" i="29" a="1"/>
  <c r="N141" i="29"/>
  <c r="CK141" i="29" a="1"/>
  <c r="M141" i="29"/>
  <c r="H141" i="29" a="1"/>
  <c r="L141" i="29"/>
  <c r="M131" i="29"/>
  <c r="H131" i="29" a="1"/>
  <c r="N131" i="29"/>
  <c r="L131" i="29"/>
  <c r="CK131" i="29" a="1"/>
  <c r="L128" i="29"/>
  <c r="M128" i="29"/>
  <c r="CK128" i="29" a="1"/>
  <c r="N128" i="29"/>
  <c r="H128" i="29" a="1"/>
  <c r="L121" i="29"/>
  <c r="M121" i="29"/>
  <c r="CK121" i="29" a="1"/>
  <c r="H121" i="29" a="1"/>
  <c r="N121" i="29"/>
  <c r="L109" i="29"/>
  <c r="CK109" i="29" a="1"/>
  <c r="H109" i="29" a="1"/>
  <c r="M109" i="29"/>
  <c r="N109" i="29"/>
  <c r="H102" i="29" a="1"/>
  <c r="N102" i="29"/>
  <c r="M102" i="29"/>
  <c r="CK102" i="29" a="1"/>
  <c r="L102" i="29"/>
  <c r="H96" i="29" a="1"/>
  <c r="CK96" i="29" a="1"/>
  <c r="L96" i="29"/>
  <c r="N96" i="29"/>
  <c r="M96" i="29"/>
  <c r="L88" i="29"/>
  <c r="H88" i="29" a="1"/>
  <c r="CK88" i="29" a="1"/>
  <c r="M88" i="29"/>
  <c r="N88" i="29"/>
  <c r="CK83" i="29" a="1"/>
  <c r="N83" i="29"/>
  <c r="M83" i="29"/>
  <c r="H83" i="29" a="1"/>
  <c r="L83" i="29"/>
  <c r="CK59" i="29" a="1"/>
  <c r="H59" i="29" a="1"/>
  <c r="N59" i="29"/>
  <c r="M59" i="29"/>
  <c r="L59" i="29"/>
  <c r="N50" i="29"/>
  <c r="H50" i="29" a="1"/>
  <c r="L50" i="29"/>
  <c r="M50" i="29"/>
  <c r="CK50" i="29" a="1"/>
  <c r="M41" i="29"/>
  <c r="CK41" i="29" a="1"/>
  <c r="L41" i="29"/>
  <c r="N41" i="29"/>
  <c r="H41" i="29" a="1"/>
  <c r="CK228" i="29" a="1"/>
  <c r="L228" i="29"/>
  <c r="M228" i="29"/>
  <c r="H228" i="29" a="1"/>
  <c r="N228" i="29"/>
  <c r="L226" i="29"/>
  <c r="M226" i="29"/>
  <c r="N226" i="29"/>
  <c r="H226" i="29" a="1"/>
  <c r="CK226" i="29" a="1"/>
  <c r="CK29" i="29" a="1"/>
  <c r="H29" i="29" a="1"/>
  <c r="M29" i="29"/>
  <c r="L29" i="29"/>
  <c r="N29" i="29"/>
  <c r="N21" i="29"/>
  <c r="L21" i="29"/>
  <c r="H21" i="29" a="1"/>
  <c r="CK21" i="29" a="1"/>
  <c r="M21" i="29"/>
  <c r="H13" i="29" a="1"/>
  <c r="CK13" i="29" a="1"/>
  <c r="M13" i="29"/>
  <c r="L13" i="29"/>
  <c r="N13" i="29"/>
  <c r="CK223" i="29" a="1"/>
  <c r="M223" i="29"/>
  <c r="L223" i="29"/>
  <c r="H223" i="29" a="1"/>
  <c r="N223" i="29"/>
  <c r="CK193" i="29" a="1"/>
  <c r="M193" i="29"/>
  <c r="N193" i="29"/>
  <c r="H193" i="29" a="1"/>
  <c r="L193" i="29"/>
  <c r="M196" i="29"/>
  <c r="H196" i="29" a="1"/>
  <c r="L196" i="29"/>
  <c r="CK196" i="29" a="1"/>
  <c r="N196" i="29"/>
  <c r="M176" i="29"/>
  <c r="H176" i="29" a="1"/>
  <c r="CK176" i="29" a="1"/>
  <c r="L176" i="29"/>
  <c r="N176" i="29"/>
  <c r="M220" i="29"/>
  <c r="CK220" i="29" a="1"/>
  <c r="H220" i="29" a="1"/>
  <c r="L220" i="29"/>
  <c r="N220" i="29"/>
  <c r="H90" i="29" a="1"/>
  <c r="N90" i="29"/>
  <c r="CK90" i="29" a="1"/>
  <c r="M90" i="29"/>
  <c r="L90" i="29"/>
  <c r="M248" i="29"/>
  <c r="H248" i="29" a="1"/>
  <c r="L248" i="29"/>
  <c r="CK248" i="29" a="1"/>
  <c r="N248" i="29"/>
  <c r="H122" i="29" a="1"/>
  <c r="CK122" i="29" a="1"/>
  <c r="L122" i="29"/>
  <c r="M122" i="29"/>
  <c r="N122" i="29"/>
  <c r="M130" i="29"/>
  <c r="CK130" i="29" a="1"/>
  <c r="H130" i="29" a="1"/>
  <c r="N130" i="29"/>
  <c r="L130" i="29"/>
  <c r="M103" i="29"/>
  <c r="H103" i="29" a="1"/>
  <c r="CK103" i="29" a="1"/>
  <c r="L103" i="29"/>
  <c r="N103" i="29"/>
  <c r="L117" i="29"/>
  <c r="CK117" i="29" a="1"/>
  <c r="H117" i="29" a="1"/>
  <c r="M117" i="29"/>
  <c r="N117" i="29"/>
  <c r="H108" i="29" a="1"/>
  <c r="M108" i="29"/>
  <c r="N108" i="29"/>
  <c r="CK108" i="29" a="1"/>
  <c r="L108" i="29"/>
  <c r="CK95" i="29" a="1"/>
  <c r="L95" i="29"/>
  <c r="H95" i="29" a="1"/>
  <c r="N95" i="29"/>
  <c r="M95" i="29"/>
  <c r="H92" i="29" a="1"/>
  <c r="CK92" i="29" a="1"/>
  <c r="M92" i="29"/>
  <c r="L92" i="29"/>
  <c r="N92" i="29"/>
  <c r="CK80" i="29" a="1"/>
  <c r="M80" i="29"/>
  <c r="N80" i="29"/>
  <c r="H80" i="29" a="1"/>
  <c r="L80" i="29"/>
  <c r="CK73" i="29" a="1"/>
  <c r="L73" i="29"/>
  <c r="H73" i="29" a="1"/>
  <c r="M73" i="29"/>
  <c r="N73" i="29"/>
  <c r="CK66" i="29" a="1"/>
  <c r="H66" i="29" a="1"/>
  <c r="N66" i="29"/>
  <c r="M66" i="29"/>
  <c r="L66" i="29"/>
  <c r="H56" i="29" a="1"/>
  <c r="N56" i="29"/>
  <c r="L56" i="29"/>
  <c r="CK56" i="29" a="1"/>
  <c r="M56" i="29"/>
  <c r="H49" i="29" a="1"/>
  <c r="L49" i="29"/>
  <c r="M49" i="29"/>
  <c r="N49" i="29"/>
  <c r="CK49" i="29" a="1"/>
  <c r="L202" i="29"/>
  <c r="H202" i="29" a="1"/>
  <c r="M202" i="29"/>
  <c r="CK202" i="29" a="1"/>
  <c r="N202" i="29"/>
  <c r="N208" i="29"/>
  <c r="H208" i="29" a="1"/>
  <c r="CK208" i="29" a="1"/>
  <c r="L208" i="29"/>
  <c r="M208" i="29"/>
  <c r="N113" i="29"/>
  <c r="M113" i="29"/>
  <c r="CK113" i="29" a="1"/>
  <c r="H113" i="29" a="1"/>
  <c r="L113" i="29"/>
  <c r="M62" i="29"/>
  <c r="L62" i="29"/>
  <c r="CK62" i="29" a="1"/>
  <c r="H62" i="29" a="1"/>
  <c r="N62" i="29"/>
  <c r="M230" i="29"/>
  <c r="CK230" i="29" a="1"/>
  <c r="H230" i="29" a="1"/>
  <c r="N230" i="29"/>
  <c r="L230" i="29"/>
  <c r="H17" i="29" a="1"/>
  <c r="N17" i="29"/>
  <c r="M17" i="29"/>
  <c r="L17" i="29"/>
  <c r="CK17" i="29" a="1"/>
  <c r="H174" i="29" a="1"/>
  <c r="L174" i="29"/>
  <c r="CK174" i="29" a="1"/>
  <c r="M174" i="29"/>
  <c r="N174" i="29"/>
  <c r="H147" i="29" a="1"/>
  <c r="L147" i="29"/>
  <c r="N147" i="29"/>
  <c r="CK147" i="29" a="1"/>
  <c r="M147" i="29"/>
  <c r="N112" i="29"/>
  <c r="L112" i="29"/>
  <c r="CK112" i="29" a="1"/>
  <c r="H112" i="29" a="1"/>
  <c r="M112" i="29"/>
  <c r="CK77" i="29" a="1"/>
  <c r="N77" i="29"/>
  <c r="M77" i="29"/>
  <c r="L77" i="29"/>
  <c r="H77" i="29" a="1"/>
  <c r="N69" i="29"/>
  <c r="CK69" i="29" a="1"/>
  <c r="M69" i="29"/>
  <c r="H69" i="29" a="1"/>
  <c r="L69" i="29"/>
  <c r="CK35" i="29" a="1"/>
  <c r="H35" i="29" a="1"/>
  <c r="N35" i="29"/>
  <c r="L35" i="29"/>
  <c r="M35" i="29"/>
  <c r="H22" i="29" a="1"/>
  <c r="CK22" i="29" a="1"/>
  <c r="M22" i="29"/>
  <c r="N22" i="29"/>
  <c r="L22" i="29"/>
  <c r="L218" i="29"/>
  <c r="H218" i="29" a="1"/>
  <c r="CK218" i="29" a="1"/>
  <c r="M218" i="29"/>
  <c r="N218" i="29"/>
  <c r="CK81" i="29" a="1"/>
  <c r="N81" i="29"/>
  <c r="H81" i="29" a="1"/>
  <c r="L81" i="29"/>
  <c r="M81" i="29"/>
  <c r="L111" i="29"/>
  <c r="N111" i="29"/>
  <c r="CK111" i="29" a="1"/>
  <c r="M111" i="29"/>
  <c r="H111" i="29" a="1"/>
  <c r="CK154" i="29" a="1"/>
  <c r="L154" i="29"/>
  <c r="M154" i="29"/>
  <c r="N154" i="29"/>
  <c r="H154" i="29" a="1"/>
  <c r="CK114" i="29" a="1"/>
  <c r="H114" i="29" a="1"/>
  <c r="N114" i="29"/>
  <c r="L114" i="29"/>
  <c r="M114" i="29"/>
  <c r="CK99" i="29" a="1"/>
  <c r="L99" i="29"/>
  <c r="N99" i="29"/>
  <c r="M99" i="29"/>
  <c r="H99" i="29" a="1"/>
  <c r="M67" i="29"/>
  <c r="N67" i="29"/>
  <c r="L67" i="29"/>
  <c r="H67" i="29" a="1"/>
  <c r="CK67" i="29" a="1"/>
  <c r="CK216" i="29" a="1"/>
  <c r="H216" i="29" a="1"/>
  <c r="M216" i="29"/>
  <c r="N216" i="29"/>
  <c r="L216" i="29"/>
  <c r="M197" i="29"/>
  <c r="H197" i="29" a="1"/>
  <c r="L197" i="29"/>
  <c r="N197" i="29"/>
  <c r="CK197" i="29" a="1"/>
  <c r="CK179" i="29" a="1"/>
  <c r="L179" i="29"/>
  <c r="H179" i="29" a="1"/>
  <c r="M179" i="29"/>
  <c r="N179" i="29"/>
  <c r="L133" i="29"/>
  <c r="M133" i="29"/>
  <c r="CK133" i="29" a="1"/>
  <c r="H133" i="29" a="1"/>
  <c r="N133" i="29"/>
  <c r="H125" i="29" a="1"/>
  <c r="L125" i="29"/>
  <c r="N125" i="29"/>
  <c r="CK125" i="29" a="1"/>
  <c r="M125" i="29"/>
  <c r="CK23" i="29" a="1"/>
  <c r="N23" i="29"/>
  <c r="M23" i="29"/>
  <c r="H23" i="29" a="1"/>
  <c r="L23" i="29"/>
  <c r="H210" i="29" a="1"/>
  <c r="N210" i="29"/>
  <c r="M210" i="29"/>
  <c r="L210" i="29"/>
  <c r="CK210" i="29" a="1"/>
  <c r="M195" i="29"/>
  <c r="L195" i="29"/>
  <c r="CK195" i="29" a="1"/>
  <c r="H195" i="29" a="1"/>
  <c r="N195" i="29"/>
  <c r="CK170" i="29" a="1"/>
  <c r="N170" i="29"/>
  <c r="M170" i="29"/>
  <c r="L170" i="29"/>
  <c r="H170" i="29" a="1"/>
  <c r="H144" i="29" a="1"/>
  <c r="M144" i="29"/>
  <c r="CK144" i="29" a="1"/>
  <c r="L144" i="29"/>
  <c r="N144" i="29"/>
  <c r="L104" i="29"/>
  <c r="CK104" i="29" a="1"/>
  <c r="N104" i="29"/>
  <c r="M104" i="29"/>
  <c r="H104" i="29" a="1"/>
  <c r="N40" i="29"/>
  <c r="M40" i="29"/>
  <c r="H40" i="29" a="1"/>
  <c r="L40" i="29"/>
  <c r="CK40" i="29" a="1"/>
  <c r="CK27" i="29" a="1"/>
  <c r="L27" i="29"/>
  <c r="H27" i="29" a="1"/>
  <c r="M27" i="29"/>
  <c r="N27" i="29"/>
  <c r="CK247" i="29" a="1"/>
  <c r="H247" i="29" a="1"/>
  <c r="M247" i="29"/>
  <c r="N247" i="29"/>
  <c r="L247" i="29"/>
  <c r="CK201" i="29" a="1"/>
  <c r="L201" i="29"/>
  <c r="M201" i="29"/>
  <c r="H201" i="29" a="1"/>
  <c r="N201" i="29"/>
  <c r="CK18" i="29" a="1"/>
  <c r="M18" i="29"/>
  <c r="N18" i="29"/>
  <c r="L18" i="29"/>
  <c r="H18" i="29" a="1"/>
  <c r="CK138" i="29" a="1"/>
  <c r="H138" i="29" a="1"/>
  <c r="M138" i="29"/>
  <c r="L138" i="29"/>
  <c r="N138" i="29"/>
  <c r="CK105" i="29" a="1"/>
  <c r="N105" i="29"/>
  <c r="L105" i="29"/>
  <c r="H105" i="29" a="1"/>
  <c r="M105" i="29"/>
  <c r="H169" i="29" a="1"/>
  <c r="CK169" i="29" a="1"/>
  <c r="N169" i="29"/>
  <c r="L169" i="29"/>
  <c r="M169" i="29"/>
  <c r="CK143" i="29" a="1"/>
  <c r="N143" i="29"/>
  <c r="M143" i="29"/>
  <c r="L143" i="29"/>
  <c r="H143" i="29" a="1"/>
  <c r="M116" i="29"/>
  <c r="CK116" i="29" a="1"/>
  <c r="N116" i="29"/>
  <c r="H116" i="29" a="1"/>
  <c r="L116" i="29"/>
  <c r="H91" i="29" a="1"/>
  <c r="N91" i="29"/>
  <c r="CK91" i="29" a="1"/>
  <c r="M91" i="29"/>
  <c r="L91" i="29"/>
  <c r="L63" i="29"/>
  <c r="M63" i="29"/>
  <c r="CK63" i="29" a="1"/>
  <c r="H63" i="29" a="1"/>
  <c r="N63" i="29"/>
  <c r="M148" i="29"/>
  <c r="L148" i="29"/>
  <c r="CK148" i="29" a="1"/>
  <c r="H148" i="29" a="1"/>
  <c r="N148" i="29"/>
  <c r="H115" i="29" a="1"/>
  <c r="N115" i="29"/>
  <c r="CK115" i="29" a="1"/>
  <c r="M115" i="29"/>
  <c r="L115" i="29"/>
  <c r="L101" i="29"/>
  <c r="N101" i="29"/>
  <c r="H101" i="29" a="1"/>
  <c r="M101" i="29"/>
  <c r="CK101" i="29" a="1"/>
  <c r="CK86" i="29" a="1"/>
  <c r="M86" i="29"/>
  <c r="H86" i="29" a="1"/>
  <c r="N86" i="29"/>
  <c r="L86" i="29"/>
  <c r="M215" i="29"/>
  <c r="CK215" i="29" a="1"/>
  <c r="N215" i="29"/>
  <c r="H215" i="29" a="1"/>
  <c r="L215" i="29"/>
  <c r="N157" i="29"/>
  <c r="M157" i="29"/>
  <c r="H157" i="29" a="1"/>
  <c r="CK157" i="29" a="1"/>
  <c r="L157" i="29"/>
  <c r="CK206" i="29" a="1"/>
  <c r="H206" i="29" a="1"/>
  <c r="M206" i="29"/>
  <c r="L206" i="29"/>
  <c r="N206" i="29"/>
  <c r="M177" i="29"/>
  <c r="L177" i="29"/>
  <c r="CK177" i="29" a="1"/>
  <c r="H177" i="29" a="1"/>
  <c r="N177" i="29"/>
  <c r="H142" i="29" a="1"/>
  <c r="M142" i="29"/>
  <c r="L142" i="29"/>
  <c r="N142" i="29"/>
  <c r="CK142" i="29" a="1"/>
  <c r="H124" i="29" a="1"/>
  <c r="M124" i="29"/>
  <c r="L124" i="29"/>
  <c r="CK124" i="29" a="1"/>
  <c r="N124" i="29"/>
  <c r="N74" i="29"/>
  <c r="CK74" i="29" a="1"/>
  <c r="L74" i="29"/>
  <c r="M74" i="29"/>
  <c r="H74" i="29" a="1"/>
  <c r="N204" i="29"/>
  <c r="CK204" i="29" a="1"/>
  <c r="L204" i="29"/>
  <c r="M204" i="29"/>
  <c r="H204" i="29" a="1"/>
  <c r="H185" i="29" a="1"/>
  <c r="CK185" i="29" a="1"/>
  <c r="M185" i="29"/>
  <c r="L185" i="29"/>
  <c r="N185" i="29"/>
  <c r="CK158" i="29" a="1"/>
  <c r="H158" i="29" a="1"/>
  <c r="M158" i="29"/>
  <c r="L158" i="29"/>
  <c r="N158" i="29"/>
  <c r="H126" i="29" a="1"/>
  <c r="M126" i="29"/>
  <c r="L126" i="29"/>
  <c r="N126" i="29"/>
  <c r="CK126" i="29" a="1"/>
  <c r="M70" i="29"/>
  <c r="H70" i="29" a="1"/>
  <c r="CK70" i="29" a="1"/>
  <c r="N70" i="29"/>
  <c r="L70" i="29"/>
  <c r="H54" i="29" a="1"/>
  <c r="N54" i="29"/>
  <c r="M54" i="29"/>
  <c r="L54" i="29"/>
  <c r="CK54" i="29" a="1"/>
  <c r="CK43" i="29" a="1"/>
  <c r="L43" i="29"/>
  <c r="N43" i="29"/>
  <c r="H43" i="29" a="1"/>
  <c r="M43" i="29"/>
  <c r="L244" i="29"/>
  <c r="M244" i="29"/>
  <c r="H244" i="29" a="1"/>
  <c r="N244" i="29"/>
  <c r="CK244" i="29" a="1"/>
  <c r="CK53" i="29" a="1"/>
  <c r="N53" i="29"/>
  <c r="M53" i="29"/>
  <c r="H53" i="29" a="1"/>
  <c r="L53" i="29"/>
  <c r="L26" i="29"/>
  <c r="CK26" i="29" a="1"/>
  <c r="M26" i="29"/>
  <c r="N26" i="29"/>
  <c r="H26" i="29" a="1"/>
  <c r="L211" i="29"/>
  <c r="N211" i="29"/>
  <c r="CK211" i="29" a="1"/>
  <c r="M211" i="29"/>
  <c r="H211" i="29" a="1"/>
  <c r="H123" i="29" a="1"/>
  <c r="L123" i="29"/>
  <c r="M123" i="29"/>
  <c r="CK123" i="29" a="1"/>
  <c r="N123" i="29"/>
  <c r="CK100" i="29" a="1"/>
  <c r="H100" i="29" a="1"/>
  <c r="L100" i="29"/>
  <c r="M100" i="29"/>
  <c r="N100" i="29"/>
  <c r="CK85" i="29" a="1"/>
  <c r="H85" i="29" a="1"/>
  <c r="N85" i="29"/>
  <c r="M85" i="29"/>
  <c r="L85" i="29"/>
  <c r="H57" i="29" a="1"/>
  <c r="M57" i="29"/>
  <c r="N57" i="29"/>
  <c r="CK57" i="29" a="1"/>
  <c r="L57" i="29"/>
  <c r="M42" i="29"/>
  <c r="N42" i="29"/>
  <c r="H42" i="29" a="1"/>
  <c r="L42" i="29"/>
  <c r="CK42" i="29" a="1"/>
  <c r="H34" i="29" a="1"/>
  <c r="M34" i="29"/>
  <c r="CK34" i="29" a="1"/>
  <c r="L34" i="29"/>
  <c r="N34" i="29"/>
  <c r="CK28" i="29" a="1"/>
  <c r="H28" i="29" a="1"/>
  <c r="M28" i="29"/>
  <c r="L28" i="29"/>
  <c r="N28" i="29"/>
  <c r="N20" i="29"/>
  <c r="L20" i="29"/>
  <c r="M20" i="29"/>
  <c r="CK20" i="29" a="1"/>
  <c r="H20" i="29" a="1"/>
  <c r="H12" i="29" a="1"/>
  <c r="N12" i="29"/>
  <c r="M12" i="29"/>
  <c r="L12" i="29"/>
  <c r="CK12" i="29" a="1"/>
  <c r="CK155" i="29" a="1"/>
  <c r="H155" i="29" a="1"/>
  <c r="M155" i="29"/>
  <c r="N155" i="29"/>
  <c r="L155" i="29"/>
  <c r="L33" i="29"/>
  <c r="N33" i="29"/>
  <c r="H33" i="29" a="1"/>
  <c r="CK33" i="29" a="1"/>
  <c r="M33" i="29"/>
  <c r="CK163" i="29" a="1"/>
  <c r="N163" i="29"/>
  <c r="M163" i="29"/>
  <c r="H163" i="29" a="1"/>
  <c r="L163" i="29"/>
  <c r="N106" i="29"/>
  <c r="H106" i="29" a="1"/>
  <c r="M106" i="29"/>
  <c r="CK106" i="29" a="1"/>
  <c r="L106" i="29"/>
  <c r="CK75" i="29" a="1"/>
  <c r="M75" i="29"/>
  <c r="L75" i="29"/>
  <c r="N75" i="29"/>
  <c r="H75" i="29" a="1"/>
  <c r="CK32" i="29" a="1"/>
  <c r="M32" i="29"/>
  <c r="N32" i="29"/>
  <c r="L32" i="29"/>
  <c r="H32" i="29" a="1"/>
  <c r="D45" i="23"/>
  <c r="AJ8" i="12"/>
  <c r="AK8" i="12"/>
  <c r="Q8" i="12"/>
  <c r="AJ20" i="12"/>
  <c r="AK20" i="12"/>
  <c r="AU99" i="12" a="1"/>
  <c r="N99" i="12" a="1"/>
  <c r="AT99" i="12"/>
  <c r="AR99" i="12"/>
  <c r="M99" i="12" a="1"/>
  <c r="AK9" i="12"/>
  <c r="AJ9" i="12"/>
  <c r="AK81" i="12"/>
  <c r="AJ81" i="12"/>
  <c r="AG21" i="12"/>
  <c r="AI21" i="12"/>
  <c r="AH21" i="12"/>
  <c r="AG96" i="12"/>
  <c r="AI96" i="12"/>
  <c r="AH96" i="12"/>
  <c r="AI39" i="12"/>
  <c r="AG39" i="12"/>
  <c r="AH39" i="12"/>
  <c r="AH8" i="12"/>
  <c r="AJ21" i="12"/>
  <c r="AK21" i="12"/>
  <c r="AJ26" i="12"/>
  <c r="AK26" i="12"/>
  <c r="AI40" i="12"/>
  <c r="AG40" i="12"/>
  <c r="AH40" i="12"/>
  <c r="AI70" i="12"/>
  <c r="AH70" i="12"/>
  <c r="AG70" i="12"/>
  <c r="AJ57" i="12"/>
  <c r="AK57" i="12"/>
  <c r="AJ38" i="12"/>
  <c r="AK38" i="12"/>
  <c r="AJ105" i="12"/>
  <c r="AK105" i="12"/>
  <c r="AK10" i="12"/>
  <c r="AJ10" i="12"/>
  <c r="AJ13" i="12"/>
  <c r="AK13" i="12"/>
  <c r="AG17" i="12"/>
  <c r="AH17" i="12"/>
  <c r="AI17" i="12"/>
  <c r="AJ18" i="12"/>
  <c r="AK18" i="12"/>
  <c r="AG86" i="12"/>
  <c r="AH86" i="12"/>
  <c r="AI86" i="12"/>
  <c r="AK86" i="12"/>
  <c r="AJ86" i="12"/>
  <c r="AH87" i="12"/>
  <c r="AI87" i="12"/>
  <c r="AG87" i="12"/>
  <c r="AG88" i="12"/>
  <c r="AI88" i="12"/>
  <c r="AH88" i="12"/>
  <c r="AG89" i="12"/>
  <c r="AH89" i="12"/>
  <c r="AI89" i="12"/>
  <c r="AH90" i="12"/>
  <c r="AG90" i="12"/>
  <c r="AI90" i="12"/>
  <c r="AH91" i="12"/>
  <c r="AI91" i="12"/>
  <c r="AG91" i="12"/>
  <c r="AK91" i="12"/>
  <c r="AJ91" i="12"/>
  <c r="AG92" i="12"/>
  <c r="AI92" i="12"/>
  <c r="AH92" i="12"/>
  <c r="AK61" i="12"/>
  <c r="AJ61" i="12"/>
  <c r="AJ62" i="12"/>
  <c r="AK62" i="12"/>
  <c r="AH63" i="12"/>
  <c r="AG63" i="12"/>
  <c r="AI63" i="12"/>
  <c r="AJ65" i="12"/>
  <c r="AK65" i="12"/>
  <c r="AG66" i="12"/>
  <c r="AI66" i="12"/>
  <c r="AH66" i="12"/>
  <c r="AK42" i="12"/>
  <c r="AJ42" i="12"/>
  <c r="AK43" i="12"/>
  <c r="AJ43" i="12"/>
  <c r="AG45" i="12"/>
  <c r="AI45" i="12"/>
  <c r="AH45" i="12"/>
  <c r="AN45" i="12"/>
  <c r="AM45" i="12"/>
  <c r="AO45" i="12" s="1"/>
  <c r="AP45" i="12" s="1"/>
  <c r="AI48" i="12"/>
  <c r="AG48" i="12"/>
  <c r="AN48" i="12"/>
  <c r="AM48" i="12"/>
  <c r="AO48" i="12" s="1"/>
  <c r="AP48" i="12" s="1"/>
  <c r="AH48" i="12"/>
  <c r="N60" i="12" a="1"/>
  <c r="AT60" i="12"/>
  <c r="AU60" i="12" a="1"/>
  <c r="AR60" i="12"/>
  <c r="M60" i="12" a="1"/>
  <c r="M30" i="12" a="1"/>
  <c r="AR30" i="12"/>
  <c r="AT30" i="12"/>
  <c r="AU30" i="12" a="1"/>
  <c r="N30" i="12" a="1"/>
  <c r="AR51" i="12"/>
  <c r="M51" i="12" a="1"/>
  <c r="AU51" i="12" a="1"/>
  <c r="AT51" i="12"/>
  <c r="N51" i="12" a="1"/>
  <c r="AH10" i="12"/>
  <c r="AG10" i="12"/>
  <c r="AI10" i="12"/>
  <c r="AG11" i="12"/>
  <c r="AI11" i="12"/>
  <c r="AH11" i="12"/>
  <c r="AN11" i="12"/>
  <c r="AM11" i="12"/>
  <c r="AO11" i="12" s="1"/>
  <c r="AP11" i="12" s="1"/>
  <c r="M11" i="12" a="1"/>
  <c r="AR11" i="12"/>
  <c r="AU11" i="12" a="1"/>
  <c r="AT11" i="12"/>
  <c r="N11" i="12" a="1"/>
  <c r="AI73" i="12"/>
  <c r="AH73" i="12"/>
  <c r="AG73" i="12"/>
  <c r="AN73" i="12"/>
  <c r="AM73" i="12"/>
  <c r="AO73" i="12" s="1"/>
  <c r="AP73" i="12" s="1"/>
  <c r="AK74" i="12"/>
  <c r="AJ74" i="12"/>
  <c r="AG76" i="12"/>
  <c r="AI76" i="12"/>
  <c r="AH76" i="12"/>
  <c r="AK76" i="12"/>
  <c r="AJ76" i="12"/>
  <c r="AJ77" i="12"/>
  <c r="AK77" i="12"/>
  <c r="AH79" i="12"/>
  <c r="AG79" i="12"/>
  <c r="AI79" i="12"/>
  <c r="AI80" i="12"/>
  <c r="AH80" i="12"/>
  <c r="AG80" i="12"/>
  <c r="AK80" i="12"/>
  <c r="AJ80" i="12"/>
  <c r="AH41" i="12"/>
  <c r="AG41" i="12"/>
  <c r="AI41" i="12"/>
  <c r="AI42" i="12"/>
  <c r="AG42" i="12"/>
  <c r="AH42" i="12"/>
  <c r="N45" i="12" a="1"/>
  <c r="AU45" i="12" a="1"/>
  <c r="AT45" i="12"/>
  <c r="M45" i="12" a="1"/>
  <c r="AR45" i="12"/>
  <c r="AU47" i="12" a="1"/>
  <c r="AT47" i="12"/>
  <c r="N47" i="12" a="1"/>
  <c r="AR47" i="12"/>
  <c r="M47" i="12" a="1"/>
  <c r="AR48" i="12"/>
  <c r="M48" i="12" a="1"/>
  <c r="AU48" i="12" a="1"/>
  <c r="AT48" i="12"/>
  <c r="N48" i="12" a="1"/>
  <c r="AK52" i="12"/>
  <c r="AJ52" i="12"/>
  <c r="AG54" i="12"/>
  <c r="AI54" i="12"/>
  <c r="AH54" i="12"/>
  <c r="AU55" i="12" a="1"/>
  <c r="AT55" i="12"/>
  <c r="N55" i="12" a="1"/>
  <c r="AR55" i="12"/>
  <c r="M55" i="12" a="1"/>
  <c r="AG59" i="12"/>
  <c r="AH59" i="12"/>
  <c r="AI59" i="12"/>
  <c r="AH29" i="12"/>
  <c r="AI29" i="12"/>
  <c r="AG29" i="12"/>
  <c r="AR97" i="12"/>
  <c r="M97" i="12" a="1"/>
  <c r="AU97" i="12" a="1"/>
  <c r="AT97" i="12"/>
  <c r="N97" i="12" a="1"/>
  <c r="AK44" i="12"/>
  <c r="AJ44" i="12"/>
  <c r="AI52" i="12"/>
  <c r="AG52" i="12"/>
  <c r="AH52" i="12"/>
  <c r="AM67" i="12"/>
  <c r="AO67" i="12" s="1"/>
  <c r="AP67" i="12" s="1"/>
  <c r="AN67" i="12"/>
  <c r="AG67" i="12"/>
  <c r="AI67" i="12"/>
  <c r="AH67" i="12"/>
  <c r="AG68" i="12"/>
  <c r="AI68" i="12"/>
  <c r="AH68" i="12"/>
  <c r="AJ68" i="12"/>
  <c r="AK68" i="12"/>
  <c r="AK83" i="12"/>
  <c r="AJ83" i="12"/>
  <c r="AM100" i="12"/>
  <c r="AO100" i="12" s="1"/>
  <c r="AP100" i="12" s="1"/>
  <c r="AN100" i="12"/>
  <c r="AH100" i="12"/>
  <c r="AG100" i="12"/>
  <c r="AI100" i="12"/>
  <c r="AU100" i="12" a="1"/>
  <c r="AT100" i="12"/>
  <c r="N100" i="12" a="1"/>
  <c r="M100" i="12" a="1"/>
  <c r="AR100" i="12"/>
  <c r="AU64" i="12" a="1"/>
  <c r="AT64" i="12"/>
  <c r="N64" i="12" a="1"/>
  <c r="M64" i="12" a="1"/>
  <c r="AR64" i="12"/>
  <c r="AG46" i="12"/>
  <c r="AH46" i="12"/>
  <c r="AI46" i="12"/>
  <c r="AH27" i="12"/>
  <c r="AI27" i="12"/>
  <c r="AG27" i="12"/>
  <c r="AH35" i="12"/>
  <c r="AG35" i="12"/>
  <c r="AI35" i="12"/>
  <c r="AH81" i="12"/>
  <c r="AG81" i="12"/>
  <c r="AI81" i="12"/>
  <c r="AH7" i="12"/>
  <c r="AG13" i="12"/>
  <c r="AI13" i="12"/>
  <c r="AH13" i="12"/>
  <c r="AG15" i="12"/>
  <c r="AN15" i="12"/>
  <c r="AH15" i="12"/>
  <c r="AM15" i="12"/>
  <c r="AO15" i="12" s="1"/>
  <c r="AP15" i="12" s="1"/>
  <c r="AI15" i="12"/>
  <c r="N15" i="12" a="1"/>
  <c r="AU15" i="12" a="1"/>
  <c r="AT15" i="12"/>
  <c r="M15" i="12" a="1"/>
  <c r="AR15" i="12"/>
  <c r="M16" i="12" a="1"/>
  <c r="AR16" i="12"/>
  <c r="AU16" i="12" a="1"/>
  <c r="N16" i="12" a="1"/>
  <c r="AT16" i="12"/>
  <c r="AH20" i="12"/>
  <c r="AI20" i="12"/>
  <c r="AG20" i="12"/>
  <c r="AG83" i="12"/>
  <c r="AI83" i="12"/>
  <c r="AH83" i="12"/>
  <c r="AM47" i="12"/>
  <c r="AO47" i="12" s="1"/>
  <c r="AP47" i="12" s="1"/>
  <c r="AN47" i="12"/>
  <c r="AH47" i="12"/>
  <c r="AI47" i="12"/>
  <c r="AG47" i="12"/>
  <c r="AG58" i="12"/>
  <c r="AI58" i="12"/>
  <c r="AH58" i="12"/>
  <c r="AM30" i="12"/>
  <c r="AO30" i="12" s="1"/>
  <c r="AP30" i="12" s="1"/>
  <c r="AN30" i="12"/>
  <c r="AG30" i="12"/>
  <c r="AI30" i="12"/>
  <c r="AH30" i="12"/>
  <c r="AU32" i="12" a="1"/>
  <c r="AT32" i="12"/>
  <c r="N32" i="12" a="1"/>
  <c r="AR32" i="12"/>
  <c r="M32" i="12" a="1"/>
  <c r="AN60" i="12"/>
  <c r="AM60" i="12"/>
  <c r="AO60" i="12" s="1"/>
  <c r="AP60" i="12" s="1"/>
  <c r="AH60" i="12"/>
  <c r="AI60" i="12"/>
  <c r="AG60" i="12"/>
  <c r="AJ98" i="12"/>
  <c r="AK98" i="12"/>
  <c r="AI33" i="12"/>
  <c r="AG33" i="12"/>
  <c r="AH33" i="12"/>
  <c r="AK35" i="12"/>
  <c r="AJ35" i="12"/>
  <c r="AH38" i="12"/>
  <c r="AG38" i="12"/>
  <c r="AI38" i="12"/>
  <c r="M67" i="12" a="1"/>
  <c r="AR67" i="12"/>
  <c r="AT67" i="12"/>
  <c r="N67" i="12" a="1"/>
  <c r="AU67" i="12" a="1"/>
  <c r="AK40" i="12"/>
  <c r="AJ40" i="12"/>
  <c r="AK31" i="12"/>
  <c r="AJ31" i="12"/>
  <c r="AJ34" i="12"/>
  <c r="AK34" i="12"/>
  <c r="AG71" i="12"/>
  <c r="AH71" i="12"/>
  <c r="AI71" i="12"/>
  <c r="AJ6" i="12"/>
  <c r="AK6" i="12"/>
  <c r="AJ101" i="12"/>
  <c r="AK101" i="12"/>
  <c r="AI62" i="12"/>
  <c r="AG62" i="12"/>
  <c r="AH62" i="12"/>
  <c r="AK69" i="12"/>
  <c r="AJ69" i="12"/>
  <c r="AI16" i="12"/>
  <c r="AG16" i="12"/>
  <c r="AH16" i="12"/>
  <c r="AM16" i="12"/>
  <c r="AO16" i="12" s="1"/>
  <c r="AP16" i="12" s="1"/>
  <c r="AN16" i="12"/>
  <c r="AI19" i="12"/>
  <c r="AG19" i="12"/>
  <c r="AH19" i="12"/>
  <c r="AK19" i="12"/>
  <c r="AJ19" i="12"/>
  <c r="AJ71" i="12"/>
  <c r="AK71" i="12"/>
  <c r="AJ72" i="12"/>
  <c r="AK72" i="12"/>
  <c r="AR73" i="12"/>
  <c r="M73" i="12" a="1"/>
  <c r="AU73" i="12" a="1"/>
  <c r="AT73" i="12"/>
  <c r="N73" i="12" a="1"/>
  <c r="AG74" i="12"/>
  <c r="AI74" i="12"/>
  <c r="AH74" i="12"/>
  <c r="AG75" i="12"/>
  <c r="AH75" i="12"/>
  <c r="AI75" i="12"/>
  <c r="AJ75" i="12"/>
  <c r="AK75" i="12"/>
  <c r="AG77" i="12"/>
  <c r="AI77" i="12"/>
  <c r="AH77" i="12"/>
  <c r="AH78" i="12"/>
  <c r="AG78" i="12"/>
  <c r="AI78" i="12"/>
  <c r="AJ78" i="12"/>
  <c r="AK78" i="12"/>
  <c r="AK79" i="12"/>
  <c r="AJ79" i="12"/>
  <c r="AK41" i="12"/>
  <c r="AJ41" i="12"/>
  <c r="AG44" i="12"/>
  <c r="AH44" i="12"/>
  <c r="AI44" i="12"/>
  <c r="AG49" i="12"/>
  <c r="AM49" i="12"/>
  <c r="AO49" i="12" s="1"/>
  <c r="AP49" i="12" s="1"/>
  <c r="AN49" i="12"/>
  <c r="AH49" i="12"/>
  <c r="AI49" i="12"/>
  <c r="M49" i="12" a="1"/>
  <c r="AR49" i="12"/>
  <c r="AU49" i="12" a="1"/>
  <c r="N49" i="12" a="1"/>
  <c r="AT49" i="12"/>
  <c r="AI50" i="12"/>
  <c r="AH50" i="12"/>
  <c r="AG50" i="12"/>
  <c r="AJ50" i="12"/>
  <c r="AK50" i="12"/>
  <c r="AG53" i="12"/>
  <c r="AH53" i="12"/>
  <c r="AI53" i="12"/>
  <c r="AK53" i="12"/>
  <c r="AJ53" i="12"/>
  <c r="AG84" i="12"/>
  <c r="AI84" i="12"/>
  <c r="AH84" i="12"/>
  <c r="AI24" i="12"/>
  <c r="AH24" i="12"/>
  <c r="AG24" i="12"/>
  <c r="AG102" i="12"/>
  <c r="AI102" i="12"/>
  <c r="AH102" i="12"/>
  <c r="AG99" i="12"/>
  <c r="AI99" i="12"/>
  <c r="AH99" i="12"/>
  <c r="AM99" i="12"/>
  <c r="AO99" i="12" s="1"/>
  <c r="AP99" i="12" s="1"/>
  <c r="AN99" i="12"/>
  <c r="AI32" i="12"/>
  <c r="AM32" i="12"/>
  <c r="AO32" i="12" s="1"/>
  <c r="AP32" i="12" s="1"/>
  <c r="AN32" i="12"/>
  <c r="AG32" i="12"/>
  <c r="AH32" i="12"/>
  <c r="AI105" i="12"/>
  <c r="AH105" i="12"/>
  <c r="AG105" i="12"/>
  <c r="AK102" i="12"/>
  <c r="AJ102" i="12"/>
  <c r="AN64" i="12"/>
  <c r="AH64" i="12"/>
  <c r="AM64" i="12"/>
  <c r="AO64" i="12" s="1"/>
  <c r="AP64" i="12" s="1"/>
  <c r="AG64" i="12"/>
  <c r="AI64" i="12"/>
  <c r="AJ24" i="12"/>
  <c r="AK24" i="12"/>
  <c r="AK54" i="12"/>
  <c r="AJ54" i="12"/>
  <c r="AJ84" i="12"/>
  <c r="AK84" i="12"/>
  <c r="AG18" i="12"/>
  <c r="AI18" i="12"/>
  <c r="AH18" i="12"/>
  <c r="AM85" i="12"/>
  <c r="AO85" i="12" s="1"/>
  <c r="AP85" i="12" s="1"/>
  <c r="AN85" i="12"/>
  <c r="AH85" i="12"/>
  <c r="AG85" i="12"/>
  <c r="AI85" i="12"/>
  <c r="AT85" i="12"/>
  <c r="AU85" i="12" a="1"/>
  <c r="N85" i="12" a="1"/>
  <c r="AR85" i="12"/>
  <c r="M85" i="12" a="1"/>
  <c r="AJ87" i="12"/>
  <c r="AK87" i="12"/>
  <c r="AK88" i="12"/>
  <c r="AJ88" i="12"/>
  <c r="AK89" i="12"/>
  <c r="AJ89" i="12"/>
  <c r="AJ90" i="12"/>
  <c r="AK90" i="12"/>
  <c r="AH56" i="12"/>
  <c r="AI56" i="12"/>
  <c r="AG56" i="12"/>
  <c r="AI31" i="12"/>
  <c r="AG31" i="12"/>
  <c r="AH31" i="12"/>
  <c r="AJ103" i="12"/>
  <c r="AK103" i="12"/>
  <c r="AK82" i="12"/>
  <c r="AJ82" i="12"/>
  <c r="AG12" i="12"/>
  <c r="AI12" i="12"/>
  <c r="AH12" i="12"/>
  <c r="AG14" i="12"/>
  <c r="AI14" i="12"/>
  <c r="AH14" i="12"/>
  <c r="AK92" i="12"/>
  <c r="AJ92" i="12"/>
  <c r="AH93" i="12"/>
  <c r="AG93" i="12"/>
  <c r="AI93" i="12"/>
  <c r="AJ93" i="12"/>
  <c r="AK93" i="12"/>
  <c r="AM94" i="12"/>
  <c r="AO94" i="12" s="1"/>
  <c r="AP94" i="12" s="1"/>
  <c r="AN94" i="12"/>
  <c r="AH94" i="12"/>
  <c r="AG94" i="12"/>
  <c r="AI94" i="12"/>
  <c r="AU94" i="12" a="1"/>
  <c r="AT94" i="12"/>
  <c r="N94" i="12" a="1"/>
  <c r="AR94" i="12"/>
  <c r="M94" i="12" a="1"/>
  <c r="AH95" i="12"/>
  <c r="AG95" i="12"/>
  <c r="AI95" i="12"/>
  <c r="AJ96" i="12"/>
  <c r="AK96" i="12"/>
  <c r="AM97" i="12"/>
  <c r="AO97" i="12" s="1"/>
  <c r="AP97" i="12" s="1"/>
  <c r="AI97" i="12"/>
  <c r="AH97" i="12"/>
  <c r="AG97" i="12"/>
  <c r="AN97" i="12"/>
  <c r="AJ28" i="12"/>
  <c r="AK28" i="12"/>
  <c r="AI34" i="12"/>
  <c r="AG34" i="12"/>
  <c r="AH34" i="12"/>
  <c r="AI104" i="12"/>
  <c r="AG104" i="12"/>
  <c r="AH104" i="12"/>
  <c r="AH82" i="12"/>
  <c r="AG82" i="12"/>
  <c r="AI82" i="12"/>
  <c r="AJ22" i="12"/>
  <c r="AK22" i="12"/>
  <c r="AK25" i="12"/>
  <c r="AJ25" i="12"/>
  <c r="AK70" i="12"/>
  <c r="AJ70" i="12"/>
  <c r="AJ23" i="12"/>
  <c r="AK23" i="12"/>
  <c r="AJ27" i="12"/>
  <c r="AK27" i="12"/>
  <c r="AN51" i="12"/>
  <c r="AM51" i="12"/>
  <c r="AO51" i="12" s="1"/>
  <c r="AP51" i="12" s="1"/>
  <c r="AH51" i="12"/>
  <c r="AI51" i="12"/>
  <c r="AG51" i="12"/>
  <c r="AH103" i="12"/>
  <c r="AG103" i="12"/>
  <c r="AI103" i="12"/>
  <c r="AI26" i="12"/>
  <c r="AG26" i="12"/>
  <c r="AH26" i="12"/>
  <c r="AJ58" i="12"/>
  <c r="AK58" i="12"/>
  <c r="AG37" i="12"/>
  <c r="AI37" i="12"/>
  <c r="AH37" i="12"/>
  <c r="AJ63" i="12"/>
  <c r="AK63" i="12"/>
  <c r="AJ59" i="12"/>
  <c r="AK59" i="12"/>
  <c r="AH72" i="12"/>
  <c r="AI72" i="12"/>
  <c r="AG72" i="12"/>
  <c r="AJ7" i="12"/>
  <c r="AK7" i="12"/>
  <c r="AK12" i="12"/>
  <c r="AJ12" i="12"/>
  <c r="AJ17" i="12"/>
  <c r="AK17" i="12"/>
  <c r="AK104" i="12"/>
  <c r="AJ104" i="12"/>
  <c r="AG61" i="12"/>
  <c r="AH61" i="12"/>
  <c r="AI61" i="12"/>
  <c r="AG65" i="12"/>
  <c r="AH65" i="12"/>
  <c r="AI65" i="12"/>
  <c r="AH43" i="12"/>
  <c r="AG43" i="12"/>
  <c r="AI43" i="12"/>
  <c r="AI57" i="12"/>
  <c r="AH57" i="12"/>
  <c r="AG57" i="12"/>
  <c r="AH23" i="12"/>
  <c r="AG23" i="12"/>
  <c r="AI23" i="12"/>
  <c r="AI25" i="12"/>
  <c r="AG25" i="12"/>
  <c r="AH25" i="12"/>
  <c r="AG69" i="12"/>
  <c r="AI69" i="12"/>
  <c r="AH69" i="12"/>
  <c r="AI28" i="12"/>
  <c r="AG28" i="12"/>
  <c r="AH28" i="12"/>
  <c r="AI36" i="12"/>
  <c r="AH36" i="12"/>
  <c r="AG36" i="12"/>
  <c r="AJ39" i="12"/>
  <c r="AK39" i="12"/>
  <c r="AG101" i="12"/>
  <c r="AH101" i="12"/>
  <c r="AI101" i="12"/>
  <c r="AK95" i="12"/>
  <c r="AJ95" i="12"/>
  <c r="AH98" i="12"/>
  <c r="AI98" i="12"/>
  <c r="AG98" i="12"/>
  <c r="AJ66" i="12"/>
  <c r="AK66" i="12"/>
  <c r="AK46" i="12"/>
  <c r="AJ46" i="12"/>
  <c r="AK29" i="12"/>
  <c r="AJ29" i="12"/>
  <c r="AJ33" i="12"/>
  <c r="AK33" i="12"/>
  <c r="AJ36" i="12"/>
  <c r="AK36" i="12"/>
  <c r="AN55" i="12"/>
  <c r="AM55" i="12"/>
  <c r="AO55" i="12" s="1"/>
  <c r="AP55" i="12" s="1"/>
  <c r="AI55" i="12"/>
  <c r="AH55" i="12"/>
  <c r="AG55" i="12"/>
  <c r="AJ56" i="12"/>
  <c r="AK56" i="12"/>
  <c r="AH22" i="12"/>
  <c r="AI22" i="12"/>
  <c r="AG22" i="12"/>
  <c r="AJ37" i="12"/>
  <c r="AK37" i="12"/>
  <c r="AH6" i="12"/>
  <c r="AG9" i="12"/>
  <c r="AH9" i="12"/>
  <c r="AI9" i="12"/>
  <c r="AK14" i="12"/>
  <c r="AJ14" i="12"/>
  <c r="K77" i="28" a="1"/>
  <c r="AF78" i="28"/>
  <c r="F78" i="28" s="1" a="1"/>
  <c r="AG78" i="28" a="1"/>
  <c r="L78" i="28" s="1" a="1"/>
  <c r="AO78" i="28" a="1"/>
  <c r="AH80" i="28"/>
  <c r="AK80" i="28" s="1"/>
  <c r="H81" i="28"/>
  <c r="AE79" i="28"/>
  <c r="AJ79" i="28"/>
  <c r="AK79" i="28"/>
  <c r="Z80" i="28"/>
  <c r="AC79" i="28"/>
  <c r="AK78" i="28"/>
  <c r="AL78" i="28"/>
  <c r="AJ78" i="28"/>
  <c r="AA80" i="28"/>
  <c r="Y80" i="28"/>
  <c r="G81" i="28" a="1"/>
  <c r="AN82" i="28"/>
  <c r="AN52" i="12" l="1"/>
  <c r="AM52" i="12"/>
  <c r="AO52" i="12" s="1"/>
  <c r="AP52" i="12" s="1"/>
  <c r="B32" i="31"/>
  <c r="D46" i="23"/>
  <c r="AR8" i="12"/>
  <c r="V8" i="12" s="1"/>
  <c r="M8" i="12" a="1"/>
  <c r="AZ8" i="12" s="1"/>
  <c r="AT8" i="12"/>
  <c r="AU8" i="12" a="1"/>
  <c r="N8" i="12" a="1"/>
  <c r="AZ45" i="12"/>
  <c r="AG8" i="12"/>
  <c r="AI8" i="12"/>
  <c r="AZ100" i="12"/>
  <c r="AN69" i="12"/>
  <c r="AM69" i="12"/>
  <c r="AO69" i="12" s="1"/>
  <c r="AP69" i="12" s="1"/>
  <c r="AM28" i="12"/>
  <c r="AO28" i="12" s="1"/>
  <c r="AP28" i="12" s="1"/>
  <c r="AN28" i="12"/>
  <c r="AN20" i="12"/>
  <c r="AM20" i="12"/>
  <c r="AO20" i="12" s="1"/>
  <c r="AP20" i="12" s="1"/>
  <c r="AN81" i="12"/>
  <c r="AM81" i="12"/>
  <c r="AO81" i="12" s="1"/>
  <c r="AP81" i="12" s="1"/>
  <c r="AN38" i="12"/>
  <c r="AM38" i="12"/>
  <c r="AO38" i="12" s="1"/>
  <c r="AP38" i="12" s="1"/>
  <c r="AM61" i="12"/>
  <c r="AO61" i="12" s="1"/>
  <c r="AP61" i="12" s="1"/>
  <c r="AN61" i="12"/>
  <c r="AM62" i="12"/>
  <c r="AO62" i="12" s="1"/>
  <c r="AP62" i="12" s="1"/>
  <c r="AN62" i="12"/>
  <c r="AN83" i="12"/>
  <c r="AM83" i="12"/>
  <c r="AO83" i="12" s="1"/>
  <c r="AP83" i="12" s="1"/>
  <c r="AM25" i="12"/>
  <c r="AO25" i="12" s="1"/>
  <c r="AP25" i="12" s="1"/>
  <c r="AN25" i="12"/>
  <c r="AN23" i="12"/>
  <c r="AM23" i="12"/>
  <c r="AO23" i="12" s="1"/>
  <c r="AP23" i="12" s="1"/>
  <c r="AN86" i="12"/>
  <c r="AM86" i="12"/>
  <c r="AO86" i="12" s="1"/>
  <c r="AP86" i="12" s="1"/>
  <c r="AM96" i="12"/>
  <c r="AO96" i="12" s="1"/>
  <c r="AP96" i="12" s="1"/>
  <c r="AN96" i="12"/>
  <c r="AM22" i="12"/>
  <c r="AO22" i="12" s="1"/>
  <c r="AP22" i="12" s="1"/>
  <c r="AN22" i="12"/>
  <c r="AM70" i="12"/>
  <c r="AO70" i="12" s="1"/>
  <c r="AP70" i="12" s="1"/>
  <c r="AN70" i="12"/>
  <c r="AM27" i="12"/>
  <c r="AO27" i="12" s="1"/>
  <c r="AP27" i="12" s="1"/>
  <c r="AN27" i="12"/>
  <c r="AM58" i="12"/>
  <c r="AO58" i="12" s="1"/>
  <c r="AP58" i="12" s="1"/>
  <c r="AN58" i="12"/>
  <c r="AZ30" i="12"/>
  <c r="AZ64" i="12"/>
  <c r="AZ16" i="12"/>
  <c r="AN9" i="12"/>
  <c r="AM9" i="12"/>
  <c r="AO9" i="12" s="1"/>
  <c r="AP9" i="12" s="1"/>
  <c r="AM57" i="12"/>
  <c r="AO57" i="12" s="1"/>
  <c r="AP57" i="12" s="1"/>
  <c r="AN57" i="12"/>
  <c r="AN105" i="12"/>
  <c r="AM105" i="12"/>
  <c r="AO105" i="12" s="1"/>
  <c r="AP105" i="12" s="1"/>
  <c r="AM65" i="12"/>
  <c r="AO65" i="12" s="1"/>
  <c r="AP65" i="12" s="1"/>
  <c r="AN65" i="12"/>
  <c r="AM43" i="12"/>
  <c r="AO43" i="12" s="1"/>
  <c r="AP43" i="12" s="1"/>
  <c r="AN43" i="12"/>
  <c r="AN74" i="12"/>
  <c r="AM74" i="12"/>
  <c r="AO74" i="12" s="1"/>
  <c r="AP74" i="12" s="1"/>
  <c r="AN77" i="12"/>
  <c r="AM77" i="12"/>
  <c r="AO77" i="12" s="1"/>
  <c r="AP77" i="12" s="1"/>
  <c r="AN44" i="12"/>
  <c r="AM44" i="12"/>
  <c r="AO44" i="12" s="1"/>
  <c r="AP44" i="12" s="1"/>
  <c r="AN98" i="12"/>
  <c r="AM98" i="12"/>
  <c r="AO98" i="12" s="1"/>
  <c r="AP98" i="12" s="1"/>
  <c r="AM101" i="12"/>
  <c r="AO101" i="12" s="1"/>
  <c r="AP101" i="12" s="1"/>
  <c r="AN101" i="12"/>
  <c r="AM24" i="12"/>
  <c r="AO24" i="12" s="1"/>
  <c r="AP24" i="12" s="1"/>
  <c r="AN24" i="12"/>
  <c r="AM84" i="12"/>
  <c r="AO84" i="12" s="1"/>
  <c r="AP84" i="12" s="1"/>
  <c r="AN84" i="12"/>
  <c r="M20" i="12" a="1"/>
  <c r="AR20" i="12"/>
  <c r="N20" i="12" a="1"/>
  <c r="AU20" i="12" a="1"/>
  <c r="AT20" i="12"/>
  <c r="AV99" i="12" a="1"/>
  <c r="AW99" i="12" a="1"/>
  <c r="AT9" i="12"/>
  <c r="AU9" i="12" a="1"/>
  <c r="N9" i="12" a="1"/>
  <c r="AR9" i="12"/>
  <c r="M9" i="12" a="1"/>
  <c r="AU81" i="12" a="1"/>
  <c r="N81" i="12" a="1"/>
  <c r="AT81" i="12"/>
  <c r="M81" i="12" a="1"/>
  <c r="AR81" i="12"/>
  <c r="M21" i="12" a="1"/>
  <c r="AR21" i="12"/>
  <c r="N21" i="12" a="1"/>
  <c r="AT21" i="12"/>
  <c r="AU21" i="12" a="1"/>
  <c r="AR26" i="12"/>
  <c r="M26" i="12" a="1"/>
  <c r="N26" i="12" a="1"/>
  <c r="AU26" i="12" a="1"/>
  <c r="AT26" i="12"/>
  <c r="AR57" i="12"/>
  <c r="M57" i="12" a="1"/>
  <c r="AT57" i="12"/>
  <c r="AU57" i="12" a="1"/>
  <c r="N57" i="12" a="1"/>
  <c r="M38" i="12" a="1"/>
  <c r="AR38" i="12"/>
  <c r="AU38" i="12" a="1"/>
  <c r="N38" i="12" a="1"/>
  <c r="AT38" i="12"/>
  <c r="AR105" i="12"/>
  <c r="M105" i="12" a="1"/>
  <c r="AU105" i="12" a="1"/>
  <c r="N105" i="12" a="1"/>
  <c r="AT105" i="12"/>
  <c r="N10" i="12" a="1"/>
  <c r="AU10" i="12" a="1"/>
  <c r="AT10" i="12"/>
  <c r="M10" i="12" a="1"/>
  <c r="AR10" i="12"/>
  <c r="M13" i="12" a="1"/>
  <c r="AR13" i="12"/>
  <c r="AT13" i="12"/>
  <c r="AU13" i="12" a="1"/>
  <c r="N13" i="12" a="1"/>
  <c r="M18" i="12" a="1"/>
  <c r="AR18" i="12"/>
  <c r="AT18" i="12"/>
  <c r="AU18" i="12" a="1"/>
  <c r="N18" i="12" a="1"/>
  <c r="N86" i="12" a="1"/>
  <c r="AT86" i="12"/>
  <c r="AU86" i="12" a="1"/>
  <c r="M86" i="12" a="1"/>
  <c r="AR86" i="12"/>
  <c r="AU91" i="12" a="1"/>
  <c r="N91" i="12" a="1"/>
  <c r="AT91" i="12"/>
  <c r="AR91" i="12"/>
  <c r="M91" i="12" a="1"/>
  <c r="AT61" i="12"/>
  <c r="AU61" i="12" a="1"/>
  <c r="N61" i="12" a="1"/>
  <c r="AR61" i="12"/>
  <c r="M61" i="12" a="1"/>
  <c r="M62" i="12" a="1"/>
  <c r="AR62" i="12"/>
  <c r="N62" i="12" a="1"/>
  <c r="AU62" i="12" a="1"/>
  <c r="AT62" i="12"/>
  <c r="M65" i="12" a="1"/>
  <c r="AR65" i="12"/>
  <c r="N65" i="12" a="1"/>
  <c r="AT65" i="12"/>
  <c r="AU65" i="12" a="1"/>
  <c r="AT42" i="12"/>
  <c r="AU42" i="12" a="1"/>
  <c r="N42" i="12" a="1"/>
  <c r="AR42" i="12"/>
  <c r="M42" i="12" a="1"/>
  <c r="N43" i="12" a="1"/>
  <c r="AT43" i="12"/>
  <c r="AU43" i="12" a="1"/>
  <c r="AR43" i="12"/>
  <c r="M43" i="12" a="1"/>
  <c r="AS45" i="12" a="1"/>
  <c r="AQ45" i="12"/>
  <c r="AS48" i="12" a="1"/>
  <c r="AQ48" i="12"/>
  <c r="AW60" i="12" a="1"/>
  <c r="AV60" i="12" a="1"/>
  <c r="AW30" i="12" a="1"/>
  <c r="AV30" i="12" a="1"/>
  <c r="AW51" i="12" a="1"/>
  <c r="AV51" i="12" a="1"/>
  <c r="AQ11" i="12"/>
  <c r="AS11" i="12" a="1"/>
  <c r="AW11" i="12" a="1"/>
  <c r="AV11" i="12" a="1"/>
  <c r="AQ73" i="12"/>
  <c r="AS73" i="12" a="1"/>
  <c r="AU74" i="12" a="1"/>
  <c r="N74" i="12" a="1"/>
  <c r="AT74" i="12"/>
  <c r="AR74" i="12"/>
  <c r="M74" i="12" a="1"/>
  <c r="AU76" i="12" a="1"/>
  <c r="N76" i="12" a="1"/>
  <c r="AT76" i="12"/>
  <c r="AR76" i="12"/>
  <c r="M76" i="12" a="1"/>
  <c r="M77" i="12" a="1"/>
  <c r="AR77" i="12"/>
  <c r="AT77" i="12"/>
  <c r="AU77" i="12" a="1"/>
  <c r="N77" i="12" a="1"/>
  <c r="AT80" i="12"/>
  <c r="N80" i="12" a="1"/>
  <c r="AU80" i="12" a="1"/>
  <c r="AR80" i="12"/>
  <c r="M80" i="12" a="1"/>
  <c r="AW45" i="12" a="1"/>
  <c r="AV45" i="12" a="1"/>
  <c r="AV47" i="12" a="1"/>
  <c r="AW47" i="12" a="1"/>
  <c r="AV48" i="12" a="1"/>
  <c r="AW48" i="12" a="1"/>
  <c r="AT52" i="12"/>
  <c r="AU52" i="12" a="1"/>
  <c r="N52" i="12" a="1"/>
  <c r="AR52" i="12"/>
  <c r="M52" i="12" a="1"/>
  <c r="AW55" i="12" a="1"/>
  <c r="AV55" i="12" a="1"/>
  <c r="AW97" i="12" a="1"/>
  <c r="AV97" i="12" a="1"/>
  <c r="AT44" i="12"/>
  <c r="N44" i="12" a="1"/>
  <c r="AU44" i="12" a="1"/>
  <c r="AR44" i="12"/>
  <c r="M44" i="12" a="1"/>
  <c r="AQ67" i="12"/>
  <c r="AS67" i="12" a="1"/>
  <c r="AR68" i="12"/>
  <c r="M68" i="12" a="1"/>
  <c r="AT68" i="12"/>
  <c r="N68" i="12" a="1"/>
  <c r="AU68" i="12" a="1"/>
  <c r="N83" i="12" a="1"/>
  <c r="AT83" i="12"/>
  <c r="AU83" i="12" a="1"/>
  <c r="AR83" i="12"/>
  <c r="M83" i="12" a="1"/>
  <c r="AQ100" i="12"/>
  <c r="AS100" i="12" a="1"/>
  <c r="AW100" i="12" a="1"/>
  <c r="AV100" i="12" a="1"/>
  <c r="AV64" i="12" a="1"/>
  <c r="AW64" i="12" a="1"/>
  <c r="AS15" i="12" a="1"/>
  <c r="AQ15" i="12"/>
  <c r="AV15" i="12" a="1"/>
  <c r="AW15" i="12" a="1"/>
  <c r="AV16" i="12" a="1"/>
  <c r="AW16" i="12" a="1"/>
  <c r="AQ47" i="12"/>
  <c r="AS47" i="12" a="1"/>
  <c r="AQ30" i="12"/>
  <c r="AS30" i="12" a="1"/>
  <c r="AV32" i="12" a="1"/>
  <c r="AW32" i="12" a="1"/>
  <c r="AS60" i="12" a="1"/>
  <c r="AQ60" i="12"/>
  <c r="M98" i="12" a="1"/>
  <c r="AR98" i="12"/>
  <c r="AU98" i="12" a="1"/>
  <c r="AT98" i="12"/>
  <c r="N98" i="12" a="1"/>
  <c r="AT35" i="12"/>
  <c r="N35" i="12" a="1"/>
  <c r="AU35" i="12" a="1"/>
  <c r="M35" i="12" a="1"/>
  <c r="AR35" i="12"/>
  <c r="AV67" i="12" a="1"/>
  <c r="AW67" i="12" a="1"/>
  <c r="N40" i="12" a="1"/>
  <c r="AU40" i="12" a="1"/>
  <c r="AT40" i="12"/>
  <c r="AR40" i="12"/>
  <c r="M40" i="12" a="1"/>
  <c r="AU31" i="12" a="1"/>
  <c r="AT31" i="12"/>
  <c r="N31" i="12" a="1"/>
  <c r="AR31" i="12"/>
  <c r="M31" i="12" a="1"/>
  <c r="M34" i="12" a="1"/>
  <c r="AR34" i="12"/>
  <c r="AT34" i="12"/>
  <c r="AU34" i="12" a="1"/>
  <c r="N34" i="12" a="1"/>
  <c r="AR6" i="12"/>
  <c r="M6" i="12" a="1"/>
  <c r="N6" i="12" a="1"/>
  <c r="AT6" i="12"/>
  <c r="AU6" i="12" s="1" a="1"/>
  <c r="AR101" i="12"/>
  <c r="M101" i="12" a="1"/>
  <c r="AU101" i="12" a="1"/>
  <c r="N101" i="12" a="1"/>
  <c r="AT101" i="12"/>
  <c r="N69" i="12" a="1"/>
  <c r="AU69" i="12" a="1"/>
  <c r="AT69" i="12"/>
  <c r="AR69" i="12"/>
  <c r="M69" i="12" a="1"/>
  <c r="AQ16" i="12"/>
  <c r="AS16" i="12" a="1"/>
  <c r="AU19" i="12" a="1"/>
  <c r="AT19" i="12"/>
  <c r="N19" i="12" a="1"/>
  <c r="AR19" i="12"/>
  <c r="M19" i="12" a="1"/>
  <c r="M71" i="12" a="1"/>
  <c r="AR71" i="12"/>
  <c r="AU71" i="12" a="1"/>
  <c r="N71" i="12" a="1"/>
  <c r="AT71" i="12"/>
  <c r="M72" i="12" a="1"/>
  <c r="AR72" i="12"/>
  <c r="N72" i="12" a="1"/>
  <c r="AU72" i="12" a="1"/>
  <c r="AT72" i="12"/>
  <c r="AV73" i="12" a="1"/>
  <c r="AW73" i="12" a="1"/>
  <c r="M75" i="12" a="1"/>
  <c r="AR75" i="12"/>
  <c r="AU75" i="12" a="1"/>
  <c r="N75" i="12" a="1"/>
  <c r="AT75" i="12"/>
  <c r="AR78" i="12"/>
  <c r="M78" i="12" a="1"/>
  <c r="AU78" i="12" a="1"/>
  <c r="N78" i="12" a="1"/>
  <c r="AT78" i="12"/>
  <c r="AU79" i="12" a="1"/>
  <c r="N79" i="12" a="1"/>
  <c r="AT79" i="12"/>
  <c r="M79" i="12" a="1"/>
  <c r="AR79" i="12"/>
  <c r="AT41" i="12"/>
  <c r="N41" i="12" a="1"/>
  <c r="AU41" i="12" a="1"/>
  <c r="AR41" i="12"/>
  <c r="M41" i="12" a="1"/>
  <c r="AS49" i="12" a="1"/>
  <c r="AQ49" i="12"/>
  <c r="AW49" i="12" a="1"/>
  <c r="AV49" i="12" a="1"/>
  <c r="M50" i="12" a="1"/>
  <c r="AR50" i="12"/>
  <c r="N50" i="12" a="1"/>
  <c r="AU50" i="12" a="1"/>
  <c r="AT50" i="12"/>
  <c r="N53" i="12" a="1"/>
  <c r="AT53" i="12"/>
  <c r="AU53" i="12" a="1"/>
  <c r="AR53" i="12"/>
  <c r="M53" i="12" a="1"/>
  <c r="AS99" i="12" a="1"/>
  <c r="AQ99" i="12"/>
  <c r="AQ32" i="12"/>
  <c r="AS32" i="12" a="1"/>
  <c r="AT102" i="12"/>
  <c r="N102" i="12" a="1"/>
  <c r="AU102" i="12" a="1"/>
  <c r="AR102" i="12"/>
  <c r="M102" i="12" a="1"/>
  <c r="AQ64" i="12"/>
  <c r="AS64" i="12" a="1"/>
  <c r="M24" i="12" a="1"/>
  <c r="AR24" i="12"/>
  <c r="AU24" i="12" a="1"/>
  <c r="AT24" i="12"/>
  <c r="N24" i="12" a="1"/>
  <c r="AU54" i="12" a="1"/>
  <c r="AT54" i="12"/>
  <c r="N54" i="12" a="1"/>
  <c r="M54" i="12" a="1"/>
  <c r="AR54" i="12"/>
  <c r="M84" i="12" a="1"/>
  <c r="AR84" i="12"/>
  <c r="AT84" i="12"/>
  <c r="AU84" i="12" a="1"/>
  <c r="N84" i="12" a="1"/>
  <c r="AS85" i="12" a="1"/>
  <c r="AQ85" i="12"/>
  <c r="AW85" i="12" a="1"/>
  <c r="AV85" i="12" a="1"/>
  <c r="AR87" i="12"/>
  <c r="M87" i="12" a="1"/>
  <c r="AU87" i="12" a="1"/>
  <c r="N87" i="12" a="1"/>
  <c r="AT87" i="12"/>
  <c r="N88" i="12" a="1"/>
  <c r="AU88" i="12" a="1"/>
  <c r="AT88" i="12"/>
  <c r="M88" i="12" a="1"/>
  <c r="AR88" i="12"/>
  <c r="N89" i="12" a="1"/>
  <c r="AU89" i="12" a="1"/>
  <c r="AT89" i="12"/>
  <c r="M89" i="12" a="1"/>
  <c r="AR89" i="12"/>
  <c r="M90" i="12" a="1"/>
  <c r="AR90" i="12"/>
  <c r="AU90" i="12" a="1"/>
  <c r="AT90" i="12"/>
  <c r="N90" i="12" a="1"/>
  <c r="M103" i="12" a="1"/>
  <c r="AR103" i="12"/>
  <c r="AT103" i="12"/>
  <c r="AU103" i="12" a="1"/>
  <c r="N103" i="12" a="1"/>
  <c r="N82" i="12" a="1"/>
  <c r="AU82" i="12" a="1"/>
  <c r="AT82" i="12"/>
  <c r="M82" i="12" a="1"/>
  <c r="AR82" i="12"/>
  <c r="N92" i="12" a="1"/>
  <c r="AT92" i="12"/>
  <c r="AU92" i="12" a="1"/>
  <c r="AR92" i="12"/>
  <c r="M92" i="12" a="1"/>
  <c r="M93" i="12" a="1"/>
  <c r="AR93" i="12"/>
  <c r="N93" i="12" a="1"/>
  <c r="AT93" i="12"/>
  <c r="AU93" i="12" a="1"/>
  <c r="AQ94" i="12"/>
  <c r="AS94" i="12" a="1"/>
  <c r="AV94" i="12" a="1"/>
  <c r="AW94" i="12" a="1"/>
  <c r="M96" i="12" a="1"/>
  <c r="AR96" i="12"/>
  <c r="AU96" i="12" a="1"/>
  <c r="AT96" i="12"/>
  <c r="N96" i="12" a="1"/>
  <c r="AQ97" i="12"/>
  <c r="AS97" i="12" a="1"/>
  <c r="AR28" i="12"/>
  <c r="M28" i="12" a="1"/>
  <c r="AU28" i="12" a="1"/>
  <c r="AT28" i="12"/>
  <c r="N28" i="12" a="1"/>
  <c r="M22" i="12" a="1"/>
  <c r="AR22" i="12"/>
  <c r="N22" i="12" a="1"/>
  <c r="AT22" i="12"/>
  <c r="AU22" i="12" a="1"/>
  <c r="N25" i="12" a="1"/>
  <c r="AU25" i="12" a="1"/>
  <c r="AT25" i="12"/>
  <c r="AR25" i="12"/>
  <c r="M25" i="12" a="1"/>
  <c r="N70" i="12" a="1"/>
  <c r="AU70" i="12" a="1"/>
  <c r="AT70" i="12"/>
  <c r="AR70" i="12"/>
  <c r="M70" i="12" a="1"/>
  <c r="M23" i="12" a="1"/>
  <c r="AR23" i="12"/>
  <c r="AU23" i="12" a="1"/>
  <c r="AT23" i="12"/>
  <c r="N23" i="12" a="1"/>
  <c r="M27" i="12" a="1"/>
  <c r="AR27" i="12"/>
  <c r="AU27" i="12" a="1"/>
  <c r="AT27" i="12"/>
  <c r="N27" i="12" a="1"/>
  <c r="AS51" i="12" a="1"/>
  <c r="AQ51" i="12"/>
  <c r="AR58" i="12"/>
  <c r="M58" i="12" a="1"/>
  <c r="AT58" i="12"/>
  <c r="N58" i="12" a="1"/>
  <c r="AU58" i="12" a="1"/>
  <c r="M63" i="12" a="1"/>
  <c r="AR63" i="12"/>
  <c r="N63" i="12" a="1"/>
  <c r="AU63" i="12" a="1"/>
  <c r="AT63" i="12"/>
  <c r="M59" i="12" a="1"/>
  <c r="AR59" i="12"/>
  <c r="AT59" i="12"/>
  <c r="N59" i="12" a="1"/>
  <c r="AU59" i="12" a="1"/>
  <c r="M7" i="12" a="1"/>
  <c r="AR7" i="12"/>
  <c r="AT7" i="12"/>
  <c r="AU7" i="12" s="1" a="1"/>
  <c r="N7" i="12" a="1"/>
  <c r="AU12" i="12" a="1"/>
  <c r="AT12" i="12"/>
  <c r="N12" i="12" a="1"/>
  <c r="AR12" i="12"/>
  <c r="M12" i="12" a="1"/>
  <c r="AR17" i="12"/>
  <c r="M17" i="12" a="1"/>
  <c r="AT17" i="12"/>
  <c r="N17" i="12" a="1"/>
  <c r="AU17" i="12" a="1"/>
  <c r="AU104" i="12" a="1"/>
  <c r="AT104" i="12"/>
  <c r="N104" i="12" a="1"/>
  <c r="AR104" i="12"/>
  <c r="M104" i="12" a="1"/>
  <c r="M39" i="12" a="1"/>
  <c r="AR39" i="12"/>
  <c r="N39" i="12" a="1"/>
  <c r="AU39" i="12" a="1"/>
  <c r="AT39" i="12"/>
  <c r="N95" i="12" a="1"/>
  <c r="AT95" i="12"/>
  <c r="AU95" i="12" a="1"/>
  <c r="M95" i="12" a="1"/>
  <c r="AR95" i="12"/>
  <c r="AR66" i="12"/>
  <c r="M66" i="12" a="1"/>
  <c r="AU66" i="12" a="1"/>
  <c r="N66" i="12" a="1"/>
  <c r="AT66" i="12"/>
  <c r="AU46" i="12" a="1"/>
  <c r="AT46" i="12"/>
  <c r="N46" i="12" a="1"/>
  <c r="AR46" i="12"/>
  <c r="M46" i="12" a="1"/>
  <c r="N29" i="12" a="1"/>
  <c r="AT29" i="12"/>
  <c r="AU29" i="12" a="1"/>
  <c r="AR29" i="12"/>
  <c r="M29" i="12" a="1"/>
  <c r="AR33" i="12"/>
  <c r="M33" i="12" a="1"/>
  <c r="AT33" i="12"/>
  <c r="N33" i="12" a="1"/>
  <c r="AU33" i="12" a="1"/>
  <c r="M36" i="12" a="1"/>
  <c r="AR36" i="12"/>
  <c r="N36" i="12" a="1"/>
  <c r="AT36" i="12"/>
  <c r="AU36" i="12" a="1"/>
  <c r="AQ55" i="12"/>
  <c r="AS55" i="12" a="1"/>
  <c r="AR56" i="12"/>
  <c r="M56" i="12" a="1"/>
  <c r="AU56" i="12" a="1"/>
  <c r="N56" i="12" a="1"/>
  <c r="AT56" i="12"/>
  <c r="M37" i="12" a="1"/>
  <c r="AR37" i="12"/>
  <c r="N37" i="12" a="1"/>
  <c r="AU37" i="12" a="1"/>
  <c r="AT37" i="12"/>
  <c r="AT14" i="12"/>
  <c r="AU14" i="12" a="1"/>
  <c r="N14" i="12" a="1"/>
  <c r="AR14" i="12"/>
  <c r="M14" i="12" a="1"/>
  <c r="AZ99" i="12"/>
  <c r="AZ32" i="12"/>
  <c r="AZ60" i="12"/>
  <c r="AZ51" i="12"/>
  <c r="AZ11" i="12"/>
  <c r="AZ47" i="12"/>
  <c r="AZ48" i="12"/>
  <c r="AZ55" i="12"/>
  <c r="AZ97" i="12"/>
  <c r="AZ15" i="12"/>
  <c r="AZ67" i="12"/>
  <c r="AZ73" i="12"/>
  <c r="AZ49" i="12"/>
  <c r="AZ85" i="12"/>
  <c r="AZ94" i="12"/>
  <c r="AN21" i="12"/>
  <c r="AM21" i="12"/>
  <c r="AO21" i="12" s="1"/>
  <c r="AP21" i="12" s="1"/>
  <c r="AM26" i="12"/>
  <c r="AO26" i="12" s="1"/>
  <c r="AP26" i="12" s="1"/>
  <c r="AN26" i="12"/>
  <c r="AN10" i="12"/>
  <c r="AM10" i="12"/>
  <c r="AO10" i="12" s="1"/>
  <c r="AP10" i="12" s="1"/>
  <c r="AM13" i="12"/>
  <c r="AO13" i="12" s="1"/>
  <c r="AP13" i="12" s="1"/>
  <c r="AN13" i="12"/>
  <c r="AM18" i="12"/>
  <c r="AO18" i="12" s="1"/>
  <c r="AP18" i="12" s="1"/>
  <c r="AN18" i="12"/>
  <c r="AN91" i="12"/>
  <c r="AM91" i="12"/>
  <c r="AO91" i="12" s="1"/>
  <c r="AP91" i="12" s="1"/>
  <c r="AM42" i="12"/>
  <c r="AO42" i="12" s="1"/>
  <c r="AP42" i="12" s="1"/>
  <c r="AN42" i="12"/>
  <c r="AN76" i="12"/>
  <c r="AM76" i="12"/>
  <c r="AO76" i="12" s="1"/>
  <c r="AP76" i="12" s="1"/>
  <c r="AM80" i="12"/>
  <c r="AO80" i="12" s="1"/>
  <c r="AP80" i="12" s="1"/>
  <c r="AN80" i="12"/>
  <c r="AN68" i="12"/>
  <c r="AM68" i="12"/>
  <c r="AO68" i="12" s="1"/>
  <c r="AP68" i="12" s="1"/>
  <c r="AI7" i="12"/>
  <c r="AG7" i="12"/>
  <c r="AM35" i="12"/>
  <c r="AO35" i="12" s="1"/>
  <c r="AP35" i="12" s="1"/>
  <c r="AN35" i="12"/>
  <c r="AN40" i="12"/>
  <c r="AM40" i="12"/>
  <c r="AO40" i="12" s="1"/>
  <c r="AP40" i="12" s="1"/>
  <c r="AN31" i="12"/>
  <c r="AM31" i="12"/>
  <c r="AO31" i="12" s="1"/>
  <c r="AP31" i="12" s="1"/>
  <c r="AN34" i="12"/>
  <c r="AM34" i="12"/>
  <c r="AO34" i="12" s="1"/>
  <c r="AP34" i="12" s="1"/>
  <c r="AM19" i="12"/>
  <c r="AO19" i="12" s="1"/>
  <c r="AP19" i="12" s="1"/>
  <c r="AN19" i="12"/>
  <c r="AM71" i="12"/>
  <c r="AO71" i="12" s="1"/>
  <c r="AP71" i="12" s="1"/>
  <c r="AN71" i="12"/>
  <c r="AM72" i="12"/>
  <c r="AO72" i="12" s="1"/>
  <c r="AP72" i="12" s="1"/>
  <c r="AN72" i="12"/>
  <c r="AM75" i="12"/>
  <c r="AO75" i="12" s="1"/>
  <c r="AP75" i="12" s="1"/>
  <c r="AN75" i="12"/>
  <c r="AM78" i="12"/>
  <c r="AO78" i="12" s="1"/>
  <c r="AP78" i="12" s="1"/>
  <c r="AN78" i="12"/>
  <c r="AM79" i="12"/>
  <c r="AO79" i="12" s="1"/>
  <c r="AP79" i="12" s="1"/>
  <c r="AN79" i="12"/>
  <c r="AM41" i="12"/>
  <c r="AO41" i="12" s="1"/>
  <c r="AP41" i="12" s="1"/>
  <c r="AN41" i="12"/>
  <c r="AM50" i="12"/>
  <c r="AO50" i="12" s="1"/>
  <c r="AP50" i="12" s="1"/>
  <c r="AN50" i="12"/>
  <c r="AN53" i="12"/>
  <c r="AM53" i="12"/>
  <c r="AO53" i="12" s="1"/>
  <c r="AP53" i="12" s="1"/>
  <c r="AM102" i="12"/>
  <c r="AO102" i="12" s="1"/>
  <c r="AP102" i="12" s="1"/>
  <c r="AN102" i="12"/>
  <c r="AM54" i="12"/>
  <c r="AO54" i="12" s="1"/>
  <c r="AP54" i="12" s="1"/>
  <c r="AN54" i="12"/>
  <c r="AN87" i="12"/>
  <c r="AM87" i="12"/>
  <c r="AO87" i="12" s="1"/>
  <c r="AP87" i="12" s="1"/>
  <c r="AN88" i="12"/>
  <c r="AM88" i="12"/>
  <c r="AO88" i="12" s="1"/>
  <c r="AP88" i="12" s="1"/>
  <c r="AN89" i="12"/>
  <c r="AM89" i="12"/>
  <c r="AO89" i="12" s="1"/>
  <c r="AP89" i="12" s="1"/>
  <c r="AN90" i="12"/>
  <c r="AM90" i="12"/>
  <c r="AO90" i="12" s="1"/>
  <c r="AP90" i="12" s="1"/>
  <c r="AM103" i="12"/>
  <c r="AO103" i="12" s="1"/>
  <c r="AP103" i="12" s="1"/>
  <c r="AN103" i="12"/>
  <c r="AN82" i="12"/>
  <c r="AM82" i="12"/>
  <c r="AO82" i="12" s="1"/>
  <c r="AP82" i="12" s="1"/>
  <c r="AN92" i="12"/>
  <c r="AM92" i="12"/>
  <c r="AO92" i="12" s="1"/>
  <c r="AP92" i="12" s="1"/>
  <c r="AM93" i="12"/>
  <c r="AO93" i="12" s="1"/>
  <c r="AP93" i="12" s="1"/>
  <c r="AN93" i="12"/>
  <c r="AM63" i="12"/>
  <c r="AO63" i="12" s="1"/>
  <c r="AP63" i="12" s="1"/>
  <c r="AN63" i="12"/>
  <c r="AM59" i="12"/>
  <c r="AO59" i="12" s="1"/>
  <c r="AP59" i="12" s="1"/>
  <c r="AN59" i="12"/>
  <c r="AM12" i="12"/>
  <c r="AO12" i="12" s="1"/>
  <c r="AP12" i="12" s="1"/>
  <c r="AN12" i="12"/>
  <c r="AN17" i="12"/>
  <c r="AM17" i="12"/>
  <c r="AO17" i="12" s="1"/>
  <c r="AP17" i="12" s="1"/>
  <c r="AM104" i="12"/>
  <c r="AO104" i="12" s="1"/>
  <c r="AP104" i="12" s="1"/>
  <c r="AN104" i="12"/>
  <c r="AN39" i="12"/>
  <c r="AM39" i="12"/>
  <c r="AO39" i="12" s="1"/>
  <c r="AP39" i="12" s="1"/>
  <c r="AN95" i="12"/>
  <c r="AM95" i="12"/>
  <c r="AO95" i="12" s="1"/>
  <c r="AP95" i="12" s="1"/>
  <c r="AN66" i="12"/>
  <c r="AM66" i="12"/>
  <c r="AO66" i="12" s="1"/>
  <c r="AP66" i="12" s="1"/>
  <c r="AM46" i="12"/>
  <c r="AO46" i="12" s="1"/>
  <c r="AP46" i="12" s="1"/>
  <c r="AN46" i="12"/>
  <c r="AM29" i="12"/>
  <c r="AO29" i="12" s="1"/>
  <c r="AP29" i="12" s="1"/>
  <c r="AN29" i="12"/>
  <c r="AN33" i="12"/>
  <c r="AM33" i="12"/>
  <c r="AO33" i="12" s="1"/>
  <c r="AP33" i="12" s="1"/>
  <c r="AN36" i="12"/>
  <c r="AM36" i="12"/>
  <c r="AO36" i="12" s="1"/>
  <c r="AP36" i="12" s="1"/>
  <c r="AM56" i="12"/>
  <c r="AO56" i="12" s="1"/>
  <c r="AP56" i="12" s="1"/>
  <c r="AN56" i="12"/>
  <c r="AN37" i="12"/>
  <c r="AM37" i="12"/>
  <c r="AO37" i="12" s="1"/>
  <c r="AP37" i="12" s="1"/>
  <c r="AG6" i="12"/>
  <c r="AI6" i="12"/>
  <c r="AM14" i="12"/>
  <c r="AO14" i="12" s="1"/>
  <c r="AP14" i="12" s="1"/>
  <c r="AN14" i="12"/>
  <c r="K78" i="28" a="1"/>
  <c r="AF79" i="28"/>
  <c r="F79" i="28" s="1" a="1"/>
  <c r="AG79" i="28" a="1"/>
  <c r="L79" i="28" s="1" a="1"/>
  <c r="AO79" i="28" a="1"/>
  <c r="Z81" i="28"/>
  <c r="AD81" i="28"/>
  <c r="H82" i="28"/>
  <c r="AE80" i="28"/>
  <c r="AL80" i="28"/>
  <c r="AJ80" i="28"/>
  <c r="AA81" i="28"/>
  <c r="Y81" i="28"/>
  <c r="AC80" i="28"/>
  <c r="G82" i="28" a="1"/>
  <c r="AN83" i="28"/>
  <c r="AQ52" i="12" l="1"/>
  <c r="AS52" i="12" a="1"/>
  <c r="AZ54" i="12"/>
  <c r="AZ77" i="12"/>
  <c r="AV8" i="12" a="1"/>
  <c r="O8" i="12" s="1"/>
  <c r="AW8" i="12" a="1"/>
  <c r="P8" i="12" s="1"/>
  <c r="AZ84" i="12"/>
  <c r="AZ103" i="12"/>
  <c r="AZ34" i="12"/>
  <c r="AS69" i="12" a="1"/>
  <c r="AQ69" i="12"/>
  <c r="AQ28" i="12"/>
  <c r="AS28" i="12" a="1"/>
  <c r="AZ38" i="12"/>
  <c r="AZ13" i="12"/>
  <c r="AZ72" i="12"/>
  <c r="AZ89" i="12"/>
  <c r="AZ96" i="12"/>
  <c r="AZ23" i="12"/>
  <c r="AZ20" i="12"/>
  <c r="AQ86" i="12"/>
  <c r="AS86" i="12" a="1"/>
  <c r="AS20" i="12" a="1"/>
  <c r="AQ20" i="12"/>
  <c r="AS38" i="12" a="1"/>
  <c r="AQ38" i="12"/>
  <c r="AQ62" i="12"/>
  <c r="AS62" i="12" a="1"/>
  <c r="AQ105" i="12"/>
  <c r="AS105" i="12" a="1"/>
  <c r="AS74" i="12" a="1"/>
  <c r="AQ74" i="12"/>
  <c r="AQ77" i="12"/>
  <c r="AS77" i="12" a="1"/>
  <c r="AS44" i="12" a="1"/>
  <c r="AQ44" i="12"/>
  <c r="AS24" i="12" a="1"/>
  <c r="AQ24" i="12"/>
  <c r="AQ84" i="12"/>
  <c r="AS84" i="12" a="1"/>
  <c r="AZ81" i="12"/>
  <c r="AZ21" i="12"/>
  <c r="AZ10" i="12"/>
  <c r="AZ86" i="12"/>
  <c r="AQ43" i="12"/>
  <c r="AS43" i="12" a="1"/>
  <c r="AQ61" i="12"/>
  <c r="AS61" i="12" a="1"/>
  <c r="AQ25" i="12"/>
  <c r="AS25" i="12" a="1"/>
  <c r="AQ23" i="12"/>
  <c r="AS23" i="12" a="1"/>
  <c r="AS22" i="12" a="1"/>
  <c r="AQ22" i="12"/>
  <c r="AS9" i="12" a="1"/>
  <c r="AQ9" i="12"/>
  <c r="AQ57" i="12"/>
  <c r="AS57" i="12" a="1"/>
  <c r="AQ65" i="12"/>
  <c r="AS65" i="12" a="1"/>
  <c r="AQ98" i="12"/>
  <c r="AS98" i="12" a="1"/>
  <c r="AS101" i="12" a="1"/>
  <c r="AQ101" i="12"/>
  <c r="AZ18" i="12"/>
  <c r="AZ65" i="12"/>
  <c r="AZ88" i="12"/>
  <c r="AZ63" i="12"/>
  <c r="AS81" i="12" a="1"/>
  <c r="AQ81" i="12"/>
  <c r="AQ83" i="12"/>
  <c r="AS83" i="12" a="1"/>
  <c r="AS96" i="12" a="1"/>
  <c r="AQ96" i="12"/>
  <c r="AS70" i="12" a="1"/>
  <c r="AQ70" i="12"/>
  <c r="AS27" i="12" a="1"/>
  <c r="AQ27" i="12"/>
  <c r="AQ58" i="12"/>
  <c r="AS58" i="12" a="1"/>
  <c r="AZ93" i="12"/>
  <c r="AZ71" i="12"/>
  <c r="AZ75" i="12"/>
  <c r="AZ50" i="12"/>
  <c r="AZ90" i="12"/>
  <c r="AZ82" i="12"/>
  <c r="AZ27" i="12"/>
  <c r="AZ36" i="12"/>
  <c r="AZ37" i="12"/>
  <c r="AZ24" i="12"/>
  <c r="AZ39" i="12"/>
  <c r="AZ62" i="12"/>
  <c r="AZ98" i="12"/>
  <c r="AZ35" i="12"/>
  <c r="AZ66" i="12"/>
  <c r="AV20" i="12" a="1"/>
  <c r="AW20" i="12" a="1"/>
  <c r="AW9" i="12" a="1"/>
  <c r="AV9" i="12" a="1"/>
  <c r="AW81" i="12" a="1"/>
  <c r="AV81" i="12" a="1"/>
  <c r="AV21" i="12" a="1"/>
  <c r="AW21" i="12" a="1"/>
  <c r="AW26" i="12" a="1"/>
  <c r="AV26" i="12" a="1"/>
  <c r="AW57" i="12" a="1"/>
  <c r="AV57" i="12" a="1"/>
  <c r="AV38" i="12" a="1"/>
  <c r="AW38" i="12" a="1"/>
  <c r="AV105" i="12" a="1"/>
  <c r="AW105" i="12" a="1"/>
  <c r="AV10" i="12" a="1"/>
  <c r="AW10" i="12" a="1"/>
  <c r="AW13" i="12" a="1"/>
  <c r="AV13" i="12" a="1"/>
  <c r="AV18" i="12" a="1"/>
  <c r="AW18" i="12" a="1"/>
  <c r="AV86" i="12" a="1"/>
  <c r="AW86" i="12" a="1"/>
  <c r="AW91" i="12" a="1"/>
  <c r="AV91" i="12" a="1"/>
  <c r="AW61" i="12" a="1"/>
  <c r="AV61" i="12" a="1"/>
  <c r="AV62" i="12" a="1"/>
  <c r="AW62" i="12" a="1"/>
  <c r="AV65" i="12" a="1"/>
  <c r="AW65" i="12" a="1"/>
  <c r="AW42" i="12" a="1"/>
  <c r="AV42" i="12" a="1"/>
  <c r="AV43" i="12" a="1"/>
  <c r="AW43" i="12" a="1"/>
  <c r="AV74" i="12" a="1"/>
  <c r="AW74" i="12" a="1"/>
  <c r="AW76" i="12" a="1"/>
  <c r="AV76" i="12" a="1"/>
  <c r="AV77" i="12" a="1"/>
  <c r="AW77" i="12" a="1"/>
  <c r="AW80" i="12" a="1"/>
  <c r="AV80" i="12" a="1"/>
  <c r="AW52" i="12" a="1"/>
  <c r="AV52" i="12" a="1"/>
  <c r="AW44" i="12" a="1"/>
  <c r="AV44" i="12" a="1"/>
  <c r="AW68" i="12" a="1"/>
  <c r="AV68" i="12" a="1"/>
  <c r="AW83" i="12" a="1"/>
  <c r="AV83" i="12" a="1"/>
  <c r="AW98" i="12" a="1"/>
  <c r="AV98" i="12" a="1"/>
  <c r="AW35" i="12" a="1"/>
  <c r="AV35" i="12" a="1"/>
  <c r="AV40" i="12" a="1"/>
  <c r="AW40" i="12" a="1"/>
  <c r="AW31" i="12" a="1"/>
  <c r="AV31" i="12" a="1"/>
  <c r="AV34" i="12" a="1"/>
  <c r="AW34" i="12" a="1"/>
  <c r="V6" i="12"/>
  <c r="AZ6" i="12"/>
  <c r="AW6" i="12" a="1"/>
  <c r="P6" i="12" s="1"/>
  <c r="AV6" i="12" a="1"/>
  <c r="O6" i="12" s="1"/>
  <c r="AV101" i="12" a="1"/>
  <c r="AW101" i="12" a="1"/>
  <c r="AW69" i="12" a="1"/>
  <c r="AV69" i="12" a="1"/>
  <c r="AV19" i="12" a="1"/>
  <c r="AW19" i="12" a="1"/>
  <c r="AW71" i="12" a="1"/>
  <c r="AV71" i="12" a="1"/>
  <c r="AW72" i="12" a="1"/>
  <c r="AV72" i="12" a="1"/>
  <c r="AW75" i="12" a="1"/>
  <c r="AV75" i="12" a="1"/>
  <c r="AW78" i="12" a="1"/>
  <c r="AV78" i="12" a="1"/>
  <c r="AW79" i="12" a="1"/>
  <c r="AV79" i="12" a="1"/>
  <c r="AV41" i="12" a="1"/>
  <c r="AW41" i="12" a="1"/>
  <c r="AV50" i="12" a="1"/>
  <c r="AW50" i="12" a="1"/>
  <c r="AV53" i="12" a="1"/>
  <c r="AW53" i="12" a="1"/>
  <c r="AV102" i="12" a="1"/>
  <c r="AW102" i="12" a="1"/>
  <c r="AW24" i="12" a="1"/>
  <c r="AV24" i="12" a="1"/>
  <c r="AW54" i="12" a="1"/>
  <c r="AV54" i="12" a="1"/>
  <c r="AV84" i="12" a="1"/>
  <c r="AW84" i="12" a="1"/>
  <c r="AV87" i="12" a="1"/>
  <c r="AW87" i="12" a="1"/>
  <c r="AW88" i="12" a="1"/>
  <c r="AV88" i="12" a="1"/>
  <c r="AW89" i="12" a="1"/>
  <c r="AV89" i="12" a="1"/>
  <c r="AW90" i="12" a="1"/>
  <c r="AV90" i="12" a="1"/>
  <c r="AV103" i="12" a="1"/>
  <c r="AW103" i="12" a="1"/>
  <c r="AW82" i="12" a="1"/>
  <c r="AV82" i="12" a="1"/>
  <c r="AW92" i="12" a="1"/>
  <c r="AV92" i="12" a="1"/>
  <c r="AV93" i="12" a="1"/>
  <c r="AW93" i="12" a="1"/>
  <c r="AW96" i="12" a="1"/>
  <c r="AV96" i="12" a="1"/>
  <c r="AV28" i="12" a="1"/>
  <c r="AW28" i="12" a="1"/>
  <c r="AV22" i="12" a="1"/>
  <c r="AW22" i="12" a="1"/>
  <c r="AW25" i="12" a="1"/>
  <c r="AV25" i="12" a="1"/>
  <c r="AW70" i="12" a="1"/>
  <c r="AV70" i="12" a="1"/>
  <c r="AV23" i="12" a="1"/>
  <c r="AW23" i="12" a="1"/>
  <c r="AV27" i="12" a="1"/>
  <c r="AW27" i="12" a="1"/>
  <c r="AW58" i="12" a="1"/>
  <c r="AV58" i="12" a="1"/>
  <c r="AW63" i="12" a="1"/>
  <c r="AV63" i="12" a="1"/>
  <c r="AW59" i="12" a="1"/>
  <c r="AV59" i="12" a="1"/>
  <c r="AZ7" i="12"/>
  <c r="V7" i="12"/>
  <c r="AV7" i="12" a="1"/>
  <c r="O7" i="12" s="1"/>
  <c r="AW7" i="12" a="1"/>
  <c r="P7" i="12" s="1"/>
  <c r="AV12" i="12" a="1"/>
  <c r="AW12" i="12" a="1"/>
  <c r="AW17" i="12" a="1"/>
  <c r="AV17" i="12" a="1"/>
  <c r="AW104" i="12" a="1"/>
  <c r="AV104" i="12" a="1"/>
  <c r="AV39" i="12" a="1"/>
  <c r="AW39" i="12" a="1"/>
  <c r="AW95" i="12" a="1"/>
  <c r="AV95" i="12" a="1"/>
  <c r="AW66" i="12" a="1"/>
  <c r="AV66" i="12" a="1"/>
  <c r="AV46" i="12" a="1"/>
  <c r="AW46" i="12" a="1"/>
  <c r="AW29" i="12" a="1"/>
  <c r="AV29" i="12" a="1"/>
  <c r="AW33" i="12" a="1"/>
  <c r="AV33" i="12" a="1"/>
  <c r="AV36" i="12" a="1"/>
  <c r="AW36" i="12" a="1"/>
  <c r="AW56" i="12" a="1"/>
  <c r="AV56" i="12" a="1"/>
  <c r="AW37" i="12" a="1"/>
  <c r="AV37" i="12" a="1"/>
  <c r="AW14" i="12" a="1"/>
  <c r="AV14" i="12" a="1"/>
  <c r="AQ21" i="12"/>
  <c r="AS21" i="12" a="1"/>
  <c r="AS26" i="12" a="1"/>
  <c r="AQ26" i="12"/>
  <c r="AQ10" i="12"/>
  <c r="AS10" i="12" a="1"/>
  <c r="AS13" i="12" a="1"/>
  <c r="AQ13" i="12"/>
  <c r="AQ18" i="12"/>
  <c r="AS18" i="12" a="1"/>
  <c r="AQ91" i="12"/>
  <c r="AS91" i="12" a="1"/>
  <c r="AS42" i="12" a="1"/>
  <c r="AQ42" i="12"/>
  <c r="AS76" i="12" a="1"/>
  <c r="AQ76" i="12"/>
  <c r="AS80" i="12" a="1"/>
  <c r="AQ80" i="12"/>
  <c r="AQ68" i="12"/>
  <c r="AS68" i="12" a="1"/>
  <c r="AS35" i="12" a="1"/>
  <c r="AQ35" i="12"/>
  <c r="AS40" i="12" a="1"/>
  <c r="AQ40" i="12"/>
  <c r="AS31" i="12" a="1"/>
  <c r="AQ31" i="12"/>
  <c r="AQ34" i="12"/>
  <c r="AS34" i="12" a="1"/>
  <c r="AS19" i="12" a="1"/>
  <c r="AQ19" i="12"/>
  <c r="AQ71" i="12"/>
  <c r="AS71" i="12" a="1"/>
  <c r="AS72" i="12" a="1"/>
  <c r="AQ72" i="12"/>
  <c r="AQ75" i="12"/>
  <c r="AS75" i="12" a="1"/>
  <c r="AQ78" i="12"/>
  <c r="AS78" i="12" a="1"/>
  <c r="AS79" i="12" a="1"/>
  <c r="AQ79" i="12"/>
  <c r="AQ41" i="12"/>
  <c r="AS41" i="12" a="1"/>
  <c r="AS50" i="12" a="1"/>
  <c r="AQ50" i="12"/>
  <c r="AS53" i="12" a="1"/>
  <c r="AQ53" i="12"/>
  <c r="AQ102" i="12"/>
  <c r="AS102" i="12" a="1"/>
  <c r="AS54" i="12" a="1"/>
  <c r="AQ54" i="12"/>
  <c r="AS87" i="12" a="1"/>
  <c r="AQ87" i="12"/>
  <c r="AS88" i="12" a="1"/>
  <c r="AQ88" i="12"/>
  <c r="AQ89" i="12"/>
  <c r="AS89" i="12" a="1"/>
  <c r="AS90" i="12" a="1"/>
  <c r="AQ90" i="12"/>
  <c r="AQ103" i="12"/>
  <c r="AS103" i="12" a="1"/>
  <c r="AS82" i="12" a="1"/>
  <c r="AQ82" i="12"/>
  <c r="AQ92" i="12"/>
  <c r="AS92" i="12" a="1"/>
  <c r="AS93" i="12" a="1"/>
  <c r="AQ93" i="12"/>
  <c r="AS63" i="12" a="1"/>
  <c r="AQ63" i="12"/>
  <c r="AQ59" i="12"/>
  <c r="AS59" i="12" a="1"/>
  <c r="AS12" i="12" a="1"/>
  <c r="AQ12" i="12"/>
  <c r="AQ17" i="12"/>
  <c r="AS17" i="12" a="1"/>
  <c r="AS104" i="12" a="1"/>
  <c r="AQ104" i="12"/>
  <c r="AQ39" i="12"/>
  <c r="AS39" i="12" a="1"/>
  <c r="AS95" i="12" a="1"/>
  <c r="AQ95" i="12"/>
  <c r="AQ66" i="12"/>
  <c r="AS66" i="12" a="1"/>
  <c r="AS46" i="12" a="1"/>
  <c r="AQ46" i="12"/>
  <c r="AQ29" i="12"/>
  <c r="AS29" i="12" a="1"/>
  <c r="AS33" i="12" a="1"/>
  <c r="AQ33" i="12"/>
  <c r="AS36" i="12" a="1"/>
  <c r="AQ36" i="12"/>
  <c r="AQ56" i="12"/>
  <c r="AS56" i="12" a="1"/>
  <c r="AQ37" i="12"/>
  <c r="AS37" i="12" a="1"/>
  <c r="AS14" i="12" a="1"/>
  <c r="AQ14" i="12"/>
  <c r="AZ9" i="12"/>
  <c r="AZ26" i="12"/>
  <c r="AZ57" i="12"/>
  <c r="AZ105" i="12"/>
  <c r="AZ42" i="12"/>
  <c r="AZ43" i="12"/>
  <c r="AZ78" i="12"/>
  <c r="AZ28" i="12"/>
  <c r="AZ70" i="12"/>
  <c r="AZ58" i="12"/>
  <c r="AZ12" i="12"/>
  <c r="AZ104" i="12"/>
  <c r="AZ91" i="12"/>
  <c r="AZ61" i="12"/>
  <c r="AZ74" i="12"/>
  <c r="AZ69" i="12"/>
  <c r="AZ79" i="12"/>
  <c r="AZ53" i="12"/>
  <c r="AZ22" i="12"/>
  <c r="AZ25" i="12"/>
  <c r="AZ59" i="12"/>
  <c r="AZ95" i="12"/>
  <c r="AZ76" i="12"/>
  <c r="AZ80" i="12"/>
  <c r="AZ52" i="12"/>
  <c r="AZ44" i="12"/>
  <c r="AZ68" i="12"/>
  <c r="AZ83" i="12"/>
  <c r="AZ19" i="12"/>
  <c r="AZ41" i="12"/>
  <c r="AZ40" i="12"/>
  <c r="AZ31" i="12"/>
  <c r="AZ101" i="12"/>
  <c r="AZ17" i="12"/>
  <c r="AZ102" i="12"/>
  <c r="AZ87" i="12"/>
  <c r="AZ92" i="12"/>
  <c r="AZ46" i="12"/>
  <c r="AZ29" i="12"/>
  <c r="AZ33" i="12"/>
  <c r="AZ56" i="12"/>
  <c r="AZ14" i="12"/>
  <c r="K79" i="28" a="1"/>
  <c r="AH81" i="28"/>
  <c r="AG80" i="28" a="1"/>
  <c r="L80" i="28" s="1" a="1"/>
  <c r="AO80" i="28" a="1"/>
  <c r="Z82" i="28"/>
  <c r="AD82" i="28"/>
  <c r="H83" i="28"/>
  <c r="AF80" i="28"/>
  <c r="F80" i="28" s="1" a="1"/>
  <c r="AE81" i="28"/>
  <c r="Y82" i="28"/>
  <c r="AA82" i="28"/>
  <c r="AC81" i="28"/>
  <c r="G83" i="28" a="1"/>
  <c r="AD83" i="28" s="1"/>
  <c r="AN84" i="28"/>
  <c r="K80" i="28" l="1" a="1"/>
  <c r="AH82" i="28"/>
  <c r="AG81" i="28" a="1"/>
  <c r="L81" i="28" s="1" a="1"/>
  <c r="AO81" i="28" a="1"/>
  <c r="AH83" i="28"/>
  <c r="H84" i="28"/>
  <c r="Z83" i="28"/>
  <c r="AF81" i="28"/>
  <c r="F81" i="28" s="1" a="1"/>
  <c r="AL81" i="28"/>
  <c r="AK81" i="28"/>
  <c r="AJ81" i="28"/>
  <c r="Y83" i="28"/>
  <c r="AA83" i="28"/>
  <c r="AE82" i="28"/>
  <c r="AN85" i="28"/>
  <c r="G84" i="28" a="1"/>
  <c r="AC82" i="28"/>
  <c r="K81" i="28" l="1" a="1"/>
  <c r="AG82" i="28" a="1"/>
  <c r="L82" i="28" s="1" a="1"/>
  <c r="AO82" i="28" a="1"/>
  <c r="H85" i="28"/>
  <c r="Z84" i="28"/>
  <c r="AD84" i="28"/>
  <c r="AE83" i="28"/>
  <c r="AK82" i="28"/>
  <c r="AL82" i="28"/>
  <c r="AJ82" i="28"/>
  <c r="Y84" i="28"/>
  <c r="AA84" i="28"/>
  <c r="AC83" i="28"/>
  <c r="AF82" i="28"/>
  <c r="F82" i="28" s="1" a="1"/>
  <c r="AK83" i="28"/>
  <c r="AL83" i="28"/>
  <c r="AJ83" i="28"/>
  <c r="AN86" i="28"/>
  <c r="G85" i="28" a="1"/>
  <c r="AD85" i="28" s="1"/>
  <c r="K82" i="28" l="1" a="1"/>
  <c r="AH84" i="28"/>
  <c r="AF83" i="28"/>
  <c r="F83" i="28" s="1" a="1"/>
  <c r="AG83" i="28" a="1"/>
  <c r="L83" i="28" s="1" a="1"/>
  <c r="AO83" i="28" a="1"/>
  <c r="AH85" i="28"/>
  <c r="H86" i="28"/>
  <c r="Z85" i="28"/>
  <c r="AE84" i="28"/>
  <c r="AC84" i="28"/>
  <c r="G86" i="28" a="1"/>
  <c r="AN87" i="28"/>
  <c r="Y85" i="28"/>
  <c r="AA85" i="28"/>
  <c r="K83" i="28" l="1" a="1"/>
  <c r="AG84" i="28" a="1"/>
  <c r="L84" i="28" s="1" a="1"/>
  <c r="AO84" i="28" a="1"/>
  <c r="Z86" i="28"/>
  <c r="AD86" i="28"/>
  <c r="H87" i="28"/>
  <c r="AE85" i="28"/>
  <c r="AF84" i="28"/>
  <c r="F84" i="28" s="1" a="1"/>
  <c r="Y86" i="28"/>
  <c r="AA86" i="28"/>
  <c r="AC85" i="28"/>
  <c r="AL84" i="28"/>
  <c r="AJ84" i="28"/>
  <c r="AK84" i="28"/>
  <c r="AN88" i="28"/>
  <c r="G87" i="28" a="1"/>
  <c r="AJ85" i="28"/>
  <c r="AK85" i="28"/>
  <c r="AL85" i="28"/>
  <c r="K84" i="28" l="1" a="1"/>
  <c r="AH86" i="28"/>
  <c r="AG85" i="28" a="1"/>
  <c r="L85" i="28" s="1" a="1"/>
  <c r="AO85" i="28" a="1"/>
  <c r="H88" i="28"/>
  <c r="Z87" i="28"/>
  <c r="AD87" i="28"/>
  <c r="AF85" i="28"/>
  <c r="F85" i="28" s="1" a="1"/>
  <c r="G88" i="28" a="1"/>
  <c r="AN89" i="28"/>
  <c r="AC86" i="28"/>
  <c r="AA87" i="28"/>
  <c r="Y87" i="28"/>
  <c r="AE86" i="28"/>
  <c r="AJ86" i="28" l="1"/>
  <c r="AL86" i="28"/>
  <c r="AK86" i="28"/>
  <c r="K85" i="28" a="1"/>
  <c r="AH87" i="28"/>
  <c r="AG86" i="28" a="1"/>
  <c r="L86" i="28" s="1" a="1"/>
  <c r="AO86" i="28" a="1"/>
  <c r="Z88" i="28"/>
  <c r="AD88" i="28"/>
  <c r="H89" i="28"/>
  <c r="AF86" i="28"/>
  <c r="F86" i="28" s="1" a="1"/>
  <c r="AN90" i="28"/>
  <c r="G89" i="28" a="1"/>
  <c r="AD89" i="28" s="1"/>
  <c r="Y88" i="28"/>
  <c r="AA88" i="28"/>
  <c r="AC87" i="28"/>
  <c r="AE87" i="28"/>
  <c r="K86" i="28" l="1" a="1"/>
  <c r="AH88" i="28"/>
  <c r="AH89" i="28"/>
  <c r="AG87" i="28" a="1"/>
  <c r="L87" i="28" s="1" a="1"/>
  <c r="AO87" i="28" a="1"/>
  <c r="H90" i="28"/>
  <c r="Z89" i="28"/>
  <c r="AE88" i="28"/>
  <c r="AC88" i="28"/>
  <c r="Y89" i="28"/>
  <c r="AA89" i="28"/>
  <c r="AF87" i="28"/>
  <c r="F87" i="28" s="1" a="1"/>
  <c r="AN91" i="28"/>
  <c r="G90" i="28" a="1"/>
  <c r="AD90" i="28" s="1"/>
  <c r="AK87" i="28"/>
  <c r="AJ87" i="28"/>
  <c r="AL87" i="28"/>
  <c r="K87" i="28" l="1" a="1"/>
  <c r="AG88" i="28" a="1"/>
  <c r="L88" i="28" s="1" a="1"/>
  <c r="AO88" i="28" a="1"/>
  <c r="AH90" i="28"/>
  <c r="AL90" i="28" s="1"/>
  <c r="H91" i="28"/>
  <c r="AE89" i="28"/>
  <c r="Z90" i="28"/>
  <c r="AF88" i="28"/>
  <c r="F88" i="28" s="1" a="1"/>
  <c r="G91" i="28" a="1"/>
  <c r="AD91" i="28" s="1"/>
  <c r="AN92" i="28"/>
  <c r="AC89" i="28"/>
  <c r="AK88" i="28"/>
  <c r="AL88" i="28"/>
  <c r="AJ88" i="28"/>
  <c r="AJ89" i="28"/>
  <c r="AK89" i="28"/>
  <c r="AL89" i="28"/>
  <c r="AA90" i="28"/>
  <c r="Y90" i="28"/>
  <c r="K88" i="28" l="1" a="1"/>
  <c r="AH91" i="28"/>
  <c r="AL91" i="28" s="1"/>
  <c r="AG89" i="28" a="1"/>
  <c r="L89" i="28" s="1" a="1"/>
  <c r="AO89" i="28" a="1"/>
  <c r="H92" i="28"/>
  <c r="AF89" i="28"/>
  <c r="F89" i="28" s="1" a="1"/>
  <c r="AE90" i="28"/>
  <c r="AK90" i="28"/>
  <c r="AJ90" i="28"/>
  <c r="Z91" i="28"/>
  <c r="AC90" i="28"/>
  <c r="AN93" i="28"/>
  <c r="G92" i="28" a="1"/>
  <c r="Y91" i="28"/>
  <c r="AA91" i="28"/>
  <c r="K89" i="28" l="1" a="1"/>
  <c r="AG90" i="28" a="1"/>
  <c r="L90" i="28" s="1" a="1"/>
  <c r="AO90" i="28" a="1"/>
  <c r="H93" i="28"/>
  <c r="Z92" i="28"/>
  <c r="AD92" i="28"/>
  <c r="AF90" i="28"/>
  <c r="F90" i="28" s="1" a="1"/>
  <c r="AE91" i="28"/>
  <c r="AJ91" i="28"/>
  <c r="AK91" i="28"/>
  <c r="AA92" i="28"/>
  <c r="Y92" i="28"/>
  <c r="G93" i="28" a="1"/>
  <c r="AN94" i="28"/>
  <c r="AC91" i="28"/>
  <c r="K90" i="28" l="1" a="1"/>
  <c r="AH92" i="28"/>
  <c r="AG91" i="28" a="1"/>
  <c r="L91" i="28" s="1" a="1"/>
  <c r="AO91" i="28" a="1"/>
  <c r="Z93" i="28"/>
  <c r="AD93" i="28"/>
  <c r="H94" i="28"/>
  <c r="AF91" i="28"/>
  <c r="F91" i="28" s="1" a="1"/>
  <c r="G94" i="28" a="1"/>
  <c r="AN95" i="28"/>
  <c r="AA93" i="28"/>
  <c r="Y93" i="28"/>
  <c r="AC92" i="28"/>
  <c r="AE92" i="28"/>
  <c r="AK92" i="28" l="1"/>
  <c r="AJ92" i="28"/>
  <c r="AL92" i="28"/>
  <c r="K91" i="28" a="1"/>
  <c r="AH93" i="28"/>
  <c r="AG92" i="28" a="1"/>
  <c r="L92" i="28" s="1" a="1"/>
  <c r="AO92" i="28" a="1"/>
  <c r="Z94" i="28"/>
  <c r="AD94" i="28"/>
  <c r="H95" i="28"/>
  <c r="AE93" i="28"/>
  <c r="AC93" i="28"/>
  <c r="Y94" i="28"/>
  <c r="AA94" i="28"/>
  <c r="AN96" i="28"/>
  <c r="G95" i="28" a="1"/>
  <c r="AF92" i="28"/>
  <c r="F92" i="28" s="1" a="1"/>
  <c r="K92" i="28" l="1" a="1"/>
  <c r="AH94" i="28"/>
  <c r="AG93" i="28" a="1"/>
  <c r="L93" i="28" s="1" a="1"/>
  <c r="AO93" i="28" a="1"/>
  <c r="H96" i="28"/>
  <c r="Z95" i="28"/>
  <c r="AD95" i="28"/>
  <c r="AF93" i="28"/>
  <c r="F93" i="28" s="1" a="1"/>
  <c r="AE94" i="28"/>
  <c r="AA95" i="28"/>
  <c r="Y95" i="28"/>
  <c r="G96" i="28" a="1"/>
  <c r="AN97" i="28"/>
  <c r="AL93" i="28"/>
  <c r="AK93" i="28"/>
  <c r="AJ93" i="28"/>
  <c r="AC94" i="28"/>
  <c r="K93" i="28" l="1" a="1"/>
  <c r="AH95" i="28"/>
  <c r="AG94" i="28" a="1"/>
  <c r="L94" i="28" s="1" a="1"/>
  <c r="AO94" i="28" a="1"/>
  <c r="Z96" i="28"/>
  <c r="AD96" i="28"/>
  <c r="H97" i="28"/>
  <c r="AF94" i="28"/>
  <c r="F94" i="28" s="1" a="1"/>
  <c r="AA96" i="28"/>
  <c r="Y96" i="28"/>
  <c r="G97" i="28" a="1"/>
  <c r="AN98" i="28"/>
  <c r="AJ94" i="28"/>
  <c r="AL94" i="28"/>
  <c r="AK94" i="28"/>
  <c r="AC95" i="28"/>
  <c r="AE95" i="28"/>
  <c r="K94" i="28" l="1" a="1"/>
  <c r="AH96" i="28"/>
  <c r="AG95" i="28" a="1"/>
  <c r="L95" i="28" s="1" a="1"/>
  <c r="AO95" i="28" a="1"/>
  <c r="Z97" i="28"/>
  <c r="AD97" i="28"/>
  <c r="H98" i="28"/>
  <c r="AF95" i="28"/>
  <c r="F95" i="28" s="1" a="1"/>
  <c r="AA97" i="28"/>
  <c r="Y97" i="28"/>
  <c r="AJ95" i="28"/>
  <c r="AL95" i="28"/>
  <c r="AK95" i="28"/>
  <c r="G98" i="28" a="1"/>
  <c r="AD98" i="28" s="1"/>
  <c r="AN99" i="28"/>
  <c r="AE96" i="28"/>
  <c r="AC96" i="28"/>
  <c r="K95" i="28" l="1" a="1"/>
  <c r="AH97" i="28"/>
  <c r="AH98" i="28"/>
  <c r="AK98" i="28" s="1"/>
  <c r="AG96" i="28" a="1"/>
  <c r="L96" i="28" s="1" a="1"/>
  <c r="AO96" i="28" a="1"/>
  <c r="H99" i="28"/>
  <c r="Z98" i="28"/>
  <c r="AF96" i="28"/>
  <c r="F96" i="28" s="1" a="1"/>
  <c r="AN100" i="28"/>
  <c r="G99" i="28" a="1"/>
  <c r="Y98" i="28"/>
  <c r="AA98" i="28"/>
  <c r="AC97" i="28"/>
  <c r="AK96" i="28"/>
  <c r="AJ96" i="28"/>
  <c r="AL96" i="28"/>
  <c r="AE97" i="28"/>
  <c r="K96" i="28" l="1" a="1"/>
  <c r="AG97" i="28" a="1"/>
  <c r="L97" i="28" s="1" a="1"/>
  <c r="AO97" i="28" a="1"/>
  <c r="H100" i="28"/>
  <c r="Z99" i="28"/>
  <c r="AD99" i="28"/>
  <c r="AL98" i="28"/>
  <c r="AJ98" i="28"/>
  <c r="AE98" i="28"/>
  <c r="AA99" i="28"/>
  <c r="Y99" i="28"/>
  <c r="AF97" i="28"/>
  <c r="F97" i="28" s="1" a="1"/>
  <c r="AC98" i="28"/>
  <c r="AN101" i="28"/>
  <c r="G100" i="28" a="1"/>
  <c r="AL97" i="28"/>
  <c r="AJ97" i="28"/>
  <c r="AK97" i="28"/>
  <c r="K97" i="28" l="1" a="1"/>
  <c r="AH99" i="28"/>
  <c r="AG98" i="28" a="1"/>
  <c r="L98" i="28" s="1" a="1"/>
  <c r="AO98" i="28" a="1"/>
  <c r="Z100" i="28"/>
  <c r="AD100" i="28"/>
  <c r="H101" i="28"/>
  <c r="AF98" i="28"/>
  <c r="F98" i="28" s="1" a="1"/>
  <c r="G101" i="28" a="1"/>
  <c r="AD101" i="28" s="1"/>
  <c r="AN102" i="28"/>
  <c r="AC99" i="28"/>
  <c r="AE99" i="28"/>
  <c r="AA100" i="28"/>
  <c r="Y100" i="28"/>
  <c r="K98" i="28" l="1" a="1"/>
  <c r="AH100" i="28"/>
  <c r="AH101" i="28"/>
  <c r="AG99" i="28" a="1"/>
  <c r="L99" i="28" s="1" a="1"/>
  <c r="AO99" i="28" a="1"/>
  <c r="H102" i="28"/>
  <c r="Z101" i="28"/>
  <c r="AE100" i="28"/>
  <c r="AF99" i="28"/>
  <c r="F99" i="28" s="1" a="1"/>
  <c r="AJ99" i="28"/>
  <c r="AK99" i="28"/>
  <c r="AL99" i="28"/>
  <c r="AN103" i="28"/>
  <c r="G102" i="28" a="1"/>
  <c r="AD102" i="28" s="1"/>
  <c r="AA101" i="28"/>
  <c r="Y101" i="28"/>
  <c r="AC100" i="28"/>
  <c r="K99" i="28" l="1" a="1"/>
  <c r="AH102" i="28"/>
  <c r="AG100" i="28" a="1"/>
  <c r="L100" i="28" s="1" a="1"/>
  <c r="AO100" i="28" a="1"/>
  <c r="H103" i="28"/>
  <c r="AE101" i="28"/>
  <c r="AF100" i="28"/>
  <c r="F100" i="28" s="1" a="1"/>
  <c r="Z102" i="28"/>
  <c r="Y102" i="28"/>
  <c r="AA102" i="28"/>
  <c r="G103" i="28" a="1"/>
  <c r="AN104" i="28"/>
  <c r="AC101" i="28"/>
  <c r="AK100" i="28"/>
  <c r="AL100" i="28"/>
  <c r="AJ100" i="28"/>
  <c r="AJ101" i="28"/>
  <c r="AL101" i="28"/>
  <c r="AK101" i="28"/>
  <c r="K100" i="28" l="1" a="1"/>
  <c r="AG101" i="28" a="1"/>
  <c r="L101" i="28" s="1" a="1"/>
  <c r="AO101" i="28" a="1"/>
  <c r="Z103" i="28"/>
  <c r="AD103" i="28"/>
  <c r="H104" i="28"/>
  <c r="AF101" i="28"/>
  <c r="F101" i="28" s="1" a="1"/>
  <c r="AE102" i="28"/>
  <c r="G104" i="28" a="1"/>
  <c r="AN105" i="28"/>
  <c r="Y103" i="28"/>
  <c r="AA103" i="28"/>
  <c r="AC102" i="28"/>
  <c r="AL102" i="28"/>
  <c r="AJ102" i="28"/>
  <c r="AK102" i="28"/>
  <c r="K101" i="28" l="1" a="1"/>
  <c r="AH103" i="28"/>
  <c r="AG102" i="28" a="1"/>
  <c r="L102" i="28" s="1" a="1"/>
  <c r="AO102" i="28" a="1"/>
  <c r="Z104" i="28"/>
  <c r="AD104" i="28"/>
  <c r="H105" i="28"/>
  <c r="AF102" i="28"/>
  <c r="F102" i="28" s="1" a="1"/>
  <c r="AE103" i="28"/>
  <c r="AC103" i="28"/>
  <c r="G105" i="28" a="1"/>
  <c r="AD105" i="28" s="1"/>
  <c r="AN106" i="28"/>
  <c r="AA104" i="28"/>
  <c r="Y104" i="28"/>
  <c r="AL103" i="28" l="1"/>
  <c r="AK103" i="28"/>
  <c r="AJ103" i="28"/>
  <c r="K102" i="28" a="1"/>
  <c r="AH104" i="28"/>
  <c r="AG103" i="28" a="1"/>
  <c r="L103" i="28" s="1" a="1"/>
  <c r="AO103" i="28" a="1"/>
  <c r="AH105" i="28"/>
  <c r="AL105" i="28" s="1"/>
  <c r="H106" i="28"/>
  <c r="Z105" i="28"/>
  <c r="AF103" i="28"/>
  <c r="F103" i="28" s="1" a="1"/>
  <c r="AE104" i="28"/>
  <c r="AN107" i="28"/>
  <c r="G106" i="28" a="1"/>
  <c r="AA105" i="28"/>
  <c r="Y105" i="28"/>
  <c r="AC104" i="28"/>
  <c r="K103" i="28" l="1" a="1"/>
  <c r="AG104" i="28" a="1"/>
  <c r="L104" i="28" s="1" a="1"/>
  <c r="AO104" i="28" a="1"/>
  <c r="Z106" i="28"/>
  <c r="AD106" i="28"/>
  <c r="H107" i="28"/>
  <c r="AK105" i="28"/>
  <c r="AJ105" i="28"/>
  <c r="AE105" i="28"/>
  <c r="AF104" i="28"/>
  <c r="F104" i="28" s="1" a="1"/>
  <c r="AA106" i="28"/>
  <c r="Y106" i="28"/>
  <c r="AC105" i="28"/>
  <c r="AJ104" i="28"/>
  <c r="AL104" i="28"/>
  <c r="AK104" i="28"/>
  <c r="AN108" i="28"/>
  <c r="G107" i="28" a="1"/>
  <c r="K104" i="28" l="1" a="1"/>
  <c r="AH106" i="28"/>
  <c r="AF105" i="28"/>
  <c r="F105" i="28" s="1" a="1"/>
  <c r="AG105" i="28" a="1"/>
  <c r="L105" i="28" s="1" a="1"/>
  <c r="AO105" i="28" a="1"/>
  <c r="H108" i="28"/>
  <c r="Z107" i="28"/>
  <c r="AD107" i="28"/>
  <c r="AN109" i="28"/>
  <c r="G108" i="28" a="1"/>
  <c r="AA107" i="28"/>
  <c r="Y107" i="28"/>
  <c r="AC106" i="28"/>
  <c r="AE106" i="28"/>
  <c r="AL106" i="28" l="1"/>
  <c r="AK106" i="28"/>
  <c r="AJ106" i="28"/>
  <c r="K105" i="28" a="1"/>
  <c r="AH107" i="28"/>
  <c r="AG106" i="28" a="1"/>
  <c r="L106" i="28" s="1" a="1"/>
  <c r="AO106" i="28" a="1"/>
  <c r="H109" i="28"/>
  <c r="Z108" i="28"/>
  <c r="AD108" i="28"/>
  <c r="AE107" i="28"/>
  <c r="AC107" i="28"/>
  <c r="AN110" i="28"/>
  <c r="G109" i="28" a="1"/>
  <c r="Y108" i="28"/>
  <c r="AA108" i="28"/>
  <c r="AF106" i="28"/>
  <c r="F106" i="28" s="1" a="1"/>
  <c r="Z109" i="28" l="1"/>
  <c r="AD109" i="28"/>
  <c r="AH109" i="28" s="1"/>
  <c r="AJ107" i="28"/>
  <c r="AL107" i="28"/>
  <c r="AK107" i="28"/>
  <c r="K106" i="28" a="1"/>
  <c r="AH108" i="28"/>
  <c r="AG107" i="28" a="1"/>
  <c r="L107" i="28" s="1" a="1"/>
  <c r="AO107" i="28" a="1"/>
  <c r="H110" i="28"/>
  <c r="AF107" i="28"/>
  <c r="F107" i="28" s="1" a="1"/>
  <c r="AE108" i="28"/>
  <c r="AC108" i="28"/>
  <c r="AA109" i="28"/>
  <c r="Y109" i="28"/>
  <c r="AN111" i="28"/>
  <c r="G110" i="28" a="1"/>
  <c r="K107" i="28" l="1" a="1"/>
  <c r="AG108" i="28" a="1"/>
  <c r="L108" i="28" s="1" a="1"/>
  <c r="AO108" i="28" a="1"/>
  <c r="H111" i="28"/>
  <c r="Z110" i="28"/>
  <c r="AD110" i="28"/>
  <c r="AF108" i="28"/>
  <c r="F108" i="28" s="1" a="1"/>
  <c r="AC109" i="28"/>
  <c r="Y110" i="28"/>
  <c r="AA110" i="28"/>
  <c r="G111" i="28" a="1"/>
  <c r="AD111" i="28" s="1"/>
  <c r="AN112" i="28"/>
  <c r="AE109" i="28"/>
  <c r="AK108" i="28"/>
  <c r="AL108" i="28"/>
  <c r="AJ108" i="28"/>
  <c r="K108" i="28" l="1" a="1"/>
  <c r="AH110" i="28"/>
  <c r="AH111" i="28"/>
  <c r="AG109" i="28" a="1"/>
  <c r="L109" i="28" s="1" a="1"/>
  <c r="AO109" i="28" a="1"/>
  <c r="H112" i="28"/>
  <c r="Z111" i="28"/>
  <c r="AE110" i="28"/>
  <c r="G112" i="28" a="1"/>
  <c r="AD112" i="28" s="1"/>
  <c r="AJ109" i="28"/>
  <c r="AL109" i="28"/>
  <c r="AK109" i="28"/>
  <c r="AF109" i="28"/>
  <c r="F109" i="28" s="1" a="1"/>
  <c r="Y111" i="28"/>
  <c r="AA111" i="28"/>
  <c r="AC110" i="28"/>
  <c r="AK110" i="28" l="1"/>
  <c r="AL110" i="28"/>
  <c r="AJ110" i="28"/>
  <c r="K109" i="28" a="1"/>
  <c r="AH112" i="28"/>
  <c r="AG110" i="28" a="1"/>
  <c r="L110" i="28" s="1" a="1"/>
  <c r="AO110" i="28" a="1"/>
  <c r="AE111" i="28"/>
  <c r="Z112" i="28"/>
  <c r="AF110" i="28"/>
  <c r="F110" i="28" s="1" a="1"/>
  <c r="Y112" i="28"/>
  <c r="AQ35" i="28" s="1"/>
  <c r="AA112" i="28"/>
  <c r="AC111" i="28"/>
  <c r="AL111" i="28"/>
  <c r="AK111" i="28"/>
  <c r="AJ111" i="28"/>
  <c r="K110" i="28" l="1" a="1"/>
  <c r="AF111" i="28"/>
  <c r="F111" i="28" s="1" a="1"/>
  <c r="AG111" i="28" a="1"/>
  <c r="L111" i="28" s="1" a="1"/>
  <c r="AO111" i="28" a="1"/>
  <c r="AE112" i="28"/>
  <c r="AC112" i="28"/>
  <c r="L8" i="28"/>
  <c r="L16" i="28" s="1"/>
  <c r="AJ112" i="28"/>
  <c r="H19" i="28" s="1"/>
  <c r="AL112" i="28"/>
  <c r="H21" i="28" s="1"/>
  <c r="AK112" i="28"/>
  <c r="H20" i="28" s="1"/>
  <c r="K111" i="28" l="1" a="1"/>
  <c r="AG112" i="28" a="1"/>
  <c r="L112" i="28" s="1" a="1"/>
  <c r="AO112" i="28" a="1"/>
  <c r="BE2" i="29"/>
  <c r="AF112" i="28"/>
  <c r="F112" i="28" s="1" a="1"/>
  <c r="H10" i="28"/>
  <c r="H22" i="28"/>
  <c r="K112" i="28" l="1" a="1"/>
  <c r="AQ23" i="28" s="1"/>
  <c r="D6" i="27" a="1"/>
  <c r="D6" i="28" a="1"/>
  <c r="D6" i="15" a="1"/>
  <c r="BI4" i="19" a="1"/>
  <c r="CI254" i="29"/>
  <c r="CF254" i="29"/>
  <c r="Q254" i="29" s="1"/>
  <c r="CG254" i="29"/>
  <c r="S254" i="29" s="1"/>
  <c r="CD254" i="29"/>
  <c r="O254" i="29" s="1"/>
  <c r="A254" i="29"/>
  <c r="V254" i="29"/>
  <c r="F254" i="29" a="1"/>
  <c r="E254" i="29" a="1"/>
  <c r="C254" i="29" a="1"/>
  <c r="G254" i="29" a="1"/>
  <c r="D254" i="29" a="1"/>
  <c r="BO254" i="29"/>
  <c r="BV254" i="29"/>
  <c r="BN254" i="29"/>
  <c r="CD211" i="29"/>
  <c r="O211" i="29" s="1"/>
  <c r="CI211" i="29"/>
  <c r="CG211" i="29"/>
  <c r="S211" i="29" s="1"/>
  <c r="CF211" i="29"/>
  <c r="Q211" i="29" s="1"/>
  <c r="A211" i="29"/>
  <c r="G211" i="29" a="1"/>
  <c r="F211" i="29" a="1"/>
  <c r="D211" i="29" a="1"/>
  <c r="E211" i="29" a="1"/>
  <c r="C211" i="29" a="1"/>
  <c r="V211" i="29"/>
  <c r="BV211" i="29"/>
  <c r="BN211" i="29"/>
  <c r="BO211" i="29"/>
  <c r="CG180" i="29"/>
  <c r="S180" i="29" s="1"/>
  <c r="CI180" i="29"/>
  <c r="CF180" i="29"/>
  <c r="Q180" i="29" s="1"/>
  <c r="CD180" i="29"/>
  <c r="O180" i="29" s="1"/>
  <c r="A180" i="29"/>
  <c r="C180" i="29" a="1"/>
  <c r="D180" i="29" a="1"/>
  <c r="G180" i="29" a="1"/>
  <c r="F180" i="29" a="1"/>
  <c r="E180" i="29" a="1"/>
  <c r="BV180" i="29"/>
  <c r="V180" i="29"/>
  <c r="BO180" i="29"/>
  <c r="BN180" i="29"/>
  <c r="CI134" i="29"/>
  <c r="CD134" i="29"/>
  <c r="O134" i="29" s="1"/>
  <c r="CG134" i="29"/>
  <c r="S134" i="29" s="1"/>
  <c r="CF134" i="29"/>
  <c r="Q134" i="29" s="1"/>
  <c r="A134" i="29"/>
  <c r="E134" i="29" a="1"/>
  <c r="G134" i="29" a="1"/>
  <c r="F134" i="29" a="1"/>
  <c r="D134" i="29" a="1"/>
  <c r="C134" i="29" a="1"/>
  <c r="V134" i="29"/>
  <c r="BV134" i="29"/>
  <c r="BO134" i="29"/>
  <c r="BN134" i="29"/>
  <c r="CI124" i="29"/>
  <c r="CD124" i="29"/>
  <c r="O124" i="29" s="1"/>
  <c r="CG124" i="29"/>
  <c r="S124" i="29" s="1"/>
  <c r="CF124" i="29"/>
  <c r="Q124" i="29" s="1"/>
  <c r="A124" i="29"/>
  <c r="G124" i="29" a="1"/>
  <c r="C124" i="29" a="1"/>
  <c r="F124" i="29" a="1"/>
  <c r="D124" i="29" a="1"/>
  <c r="E124" i="29" a="1"/>
  <c r="V124" i="29"/>
  <c r="BV124" i="29"/>
  <c r="BO124" i="29"/>
  <c r="BN124" i="29"/>
  <c r="E93" i="29" a="1"/>
  <c r="D93" i="29" a="1"/>
  <c r="C93" i="29" a="1"/>
  <c r="G93" i="29" a="1"/>
  <c r="F93" i="29" a="1"/>
  <c r="BV93" i="29"/>
  <c r="V93" i="29"/>
  <c r="CG93" i="29"/>
  <c r="S93" i="29" s="1"/>
  <c r="BN93" i="29"/>
  <c r="CI93" i="29"/>
  <c r="BO93" i="29"/>
  <c r="CD93" i="29"/>
  <c r="O93" i="29" s="1"/>
  <c r="A93" i="29"/>
  <c r="CF93" i="29"/>
  <c r="Q93" i="29" s="1"/>
  <c r="CI64" i="29"/>
  <c r="CG64" i="29"/>
  <c r="S64" i="29" s="1"/>
  <c r="CF64" i="29"/>
  <c r="Q64" i="29" s="1"/>
  <c r="CD64" i="29"/>
  <c r="O64" i="29" s="1"/>
  <c r="A64" i="29"/>
  <c r="E64" i="29" a="1"/>
  <c r="D64" i="29" a="1"/>
  <c r="C64" i="29" a="1"/>
  <c r="G64" i="29" a="1"/>
  <c r="F64" i="29" a="1"/>
  <c r="BV64" i="29"/>
  <c r="BO64" i="29"/>
  <c r="BN64" i="29"/>
  <c r="V64" i="29"/>
  <c r="CD32" i="29"/>
  <c r="O32" i="29" s="1"/>
  <c r="CG32" i="29"/>
  <c r="S32" i="29" s="1"/>
  <c r="CF32" i="29"/>
  <c r="Q32" i="29" s="1"/>
  <c r="A32" i="29"/>
  <c r="CI32" i="29"/>
  <c r="E32" i="29" a="1"/>
  <c r="F32" i="29" a="1"/>
  <c r="D32" i="29" a="1"/>
  <c r="C32" i="29" a="1"/>
  <c r="G32" i="29" a="1"/>
  <c r="V32" i="29"/>
  <c r="BV32" i="29"/>
  <c r="BO32" i="29"/>
  <c r="BN32" i="29"/>
  <c r="CI253" i="29"/>
  <c r="CG253" i="29"/>
  <c r="S253" i="29" s="1"/>
  <c r="CF253" i="29"/>
  <c r="Q253" i="29" s="1"/>
  <c r="CD253" i="29"/>
  <c r="O253" i="29" s="1"/>
  <c r="A253" i="29"/>
  <c r="V253" i="29"/>
  <c r="C253" i="29" a="1"/>
  <c r="D253" i="29" a="1"/>
  <c r="G253" i="29" a="1"/>
  <c r="F253" i="29" a="1"/>
  <c r="E253" i="29" a="1"/>
  <c r="BV253" i="29"/>
  <c r="BO253" i="29"/>
  <c r="BN253" i="29"/>
  <c r="CG226" i="29"/>
  <c r="S226" i="29" s="1"/>
  <c r="CF226" i="29"/>
  <c r="Q226" i="29" s="1"/>
  <c r="CD226" i="29"/>
  <c r="O226" i="29" s="1"/>
  <c r="A226" i="29"/>
  <c r="CI226" i="29"/>
  <c r="C226" i="29" a="1"/>
  <c r="D226" i="29" a="1"/>
  <c r="G226" i="29" a="1"/>
  <c r="F226" i="29" a="1"/>
  <c r="E226" i="29" a="1"/>
  <c r="BV226" i="29"/>
  <c r="BO226" i="29"/>
  <c r="BN226" i="29"/>
  <c r="V226" i="29"/>
  <c r="CD199" i="29"/>
  <c r="O199" i="29" s="1"/>
  <c r="CI199" i="29"/>
  <c r="CG199" i="29"/>
  <c r="S199" i="29" s="1"/>
  <c r="CF199" i="29"/>
  <c r="Q199" i="29" s="1"/>
  <c r="A199" i="29"/>
  <c r="D199" i="29" a="1"/>
  <c r="G199" i="29" a="1"/>
  <c r="C199" i="29" a="1"/>
  <c r="F199" i="29" a="1"/>
  <c r="E199" i="29" a="1"/>
  <c r="BV199" i="29"/>
  <c r="BO199" i="29"/>
  <c r="BN199" i="29"/>
  <c r="V199" i="29"/>
  <c r="CD146" i="29"/>
  <c r="O146" i="29" s="1"/>
  <c r="CI146" i="29"/>
  <c r="CG146" i="29"/>
  <c r="S146" i="29" s="1"/>
  <c r="CF146" i="29"/>
  <c r="Q146" i="29" s="1"/>
  <c r="A146" i="29"/>
  <c r="C146" i="29" a="1"/>
  <c r="E146" i="29" a="1"/>
  <c r="G146" i="29" a="1"/>
  <c r="F146" i="29" a="1"/>
  <c r="D146" i="29" a="1"/>
  <c r="BV146" i="29"/>
  <c r="BO146" i="29"/>
  <c r="BN146" i="29"/>
  <c r="V146" i="29"/>
  <c r="CG118" i="29"/>
  <c r="S118" i="29" s="1"/>
  <c r="CF118" i="29"/>
  <c r="Q118" i="29" s="1"/>
  <c r="CD118" i="29"/>
  <c r="O118" i="29" s="1"/>
  <c r="A118" i="29"/>
  <c r="CI118" i="29"/>
  <c r="F118" i="29" a="1"/>
  <c r="G118" i="29" a="1"/>
  <c r="C118" i="29" a="1"/>
  <c r="E118" i="29" a="1"/>
  <c r="D118" i="29" a="1"/>
  <c r="V118" i="29"/>
  <c r="BV118" i="29"/>
  <c r="BO118" i="29"/>
  <c r="BN118" i="29"/>
  <c r="CF67" i="29"/>
  <c r="Q67" i="29" s="1"/>
  <c r="CI67" i="29"/>
  <c r="CD67" i="29"/>
  <c r="O67" i="29" s="1"/>
  <c r="CG67" i="29"/>
  <c r="S67" i="29" s="1"/>
  <c r="A67" i="29"/>
  <c r="V67" i="29"/>
  <c r="D67" i="29" a="1"/>
  <c r="E67" i="29" a="1"/>
  <c r="C67" i="29" a="1"/>
  <c r="G67" i="29" a="1"/>
  <c r="F67" i="29" a="1"/>
  <c r="BV67" i="29"/>
  <c r="BO67" i="29"/>
  <c r="BN67" i="29"/>
  <c r="CI242" i="29"/>
  <c r="CG242" i="29"/>
  <c r="S242" i="29" s="1"/>
  <c r="CD242" i="29"/>
  <c r="O242" i="29" s="1"/>
  <c r="A242" i="29"/>
  <c r="CF242" i="29"/>
  <c r="Q242" i="29" s="1"/>
  <c r="G242" i="29" a="1"/>
  <c r="F242" i="29" a="1"/>
  <c r="E242" i="29" a="1"/>
  <c r="D242" i="29" a="1"/>
  <c r="C242" i="29" a="1"/>
  <c r="V242" i="29"/>
  <c r="BO242" i="29"/>
  <c r="BV242" i="29"/>
  <c r="BN242" i="29"/>
  <c r="CI187" i="29"/>
  <c r="CF187" i="29"/>
  <c r="Q187" i="29" s="1"/>
  <c r="CG187" i="29"/>
  <c r="S187" i="29" s="1"/>
  <c r="CD187" i="29"/>
  <c r="O187" i="29" s="1"/>
  <c r="A187" i="29"/>
  <c r="D187" i="29" a="1"/>
  <c r="G187" i="29" a="1"/>
  <c r="F187" i="29" a="1"/>
  <c r="E187" i="29" a="1"/>
  <c r="C187" i="29" a="1"/>
  <c r="V187" i="29"/>
  <c r="BV187" i="29"/>
  <c r="BO187" i="29"/>
  <c r="BN187" i="29"/>
  <c r="CG215" i="29"/>
  <c r="S215" i="29" s="1"/>
  <c r="CF215" i="29"/>
  <c r="Q215" i="29" s="1"/>
  <c r="CD215" i="29"/>
  <c r="O215" i="29" s="1"/>
  <c r="CI215" i="29"/>
  <c r="A215" i="29"/>
  <c r="V215" i="29"/>
  <c r="G215" i="29" a="1"/>
  <c r="F215" i="29" a="1"/>
  <c r="E215" i="29" a="1"/>
  <c r="D215" i="29" a="1"/>
  <c r="C215" i="29" a="1"/>
  <c r="BV215" i="29"/>
  <c r="BO215" i="29"/>
  <c r="BN215" i="29"/>
  <c r="CI149" i="29"/>
  <c r="CG149" i="29"/>
  <c r="S149" i="29" s="1"/>
  <c r="CF149" i="29"/>
  <c r="Q149" i="29" s="1"/>
  <c r="CD149" i="29"/>
  <c r="O149" i="29" s="1"/>
  <c r="A149" i="29"/>
  <c r="C149" i="29" a="1"/>
  <c r="D149" i="29" a="1"/>
  <c r="G149" i="29" a="1"/>
  <c r="E149" i="29" a="1"/>
  <c r="F149" i="29" a="1"/>
  <c r="BV149" i="29"/>
  <c r="BO149" i="29"/>
  <c r="BN149" i="29"/>
  <c r="V149" i="29"/>
  <c r="CF103" i="29"/>
  <c r="Q103" i="29" s="1"/>
  <c r="CD103" i="29"/>
  <c r="O103" i="29" s="1"/>
  <c r="CI103" i="29"/>
  <c r="CG103" i="29"/>
  <c r="S103" i="29" s="1"/>
  <c r="A103" i="29"/>
  <c r="G103" i="29" a="1"/>
  <c r="D103" i="29" a="1"/>
  <c r="C103" i="29" a="1"/>
  <c r="E103" i="29" a="1"/>
  <c r="F103" i="29" a="1"/>
  <c r="V103" i="29"/>
  <c r="BV103" i="29"/>
  <c r="BO103" i="29"/>
  <c r="BN103" i="29"/>
  <c r="CF63" i="29"/>
  <c r="Q63" i="29" s="1"/>
  <c r="CD63" i="29"/>
  <c r="O63" i="29" s="1"/>
  <c r="CI63" i="29"/>
  <c r="A63" i="29"/>
  <c r="CG63" i="29"/>
  <c r="S63" i="29" s="1"/>
  <c r="E63" i="29" a="1"/>
  <c r="D63" i="29" a="1"/>
  <c r="G63" i="29" a="1"/>
  <c r="F63" i="29" a="1"/>
  <c r="C63" i="29" a="1"/>
  <c r="BV63" i="29"/>
  <c r="BO63" i="29"/>
  <c r="BN63" i="29"/>
  <c r="V63" i="29"/>
  <c r="CD29" i="29"/>
  <c r="O29" i="29" s="1"/>
  <c r="CG29" i="29"/>
  <c r="S29" i="29" s="1"/>
  <c r="CF29" i="29"/>
  <c r="Q29" i="29" s="1"/>
  <c r="A29" i="29"/>
  <c r="CI29" i="29"/>
  <c r="C29" i="29" a="1"/>
  <c r="F29" i="29" a="1"/>
  <c r="G29" i="29" a="1"/>
  <c r="D29" i="29" a="1"/>
  <c r="E29" i="29" a="1"/>
  <c r="BV29" i="29"/>
  <c r="V29" i="29"/>
  <c r="BO29" i="29"/>
  <c r="BN29" i="29"/>
  <c r="CG231" i="29"/>
  <c r="S231" i="29" s="1"/>
  <c r="CF231" i="29"/>
  <c r="Q231" i="29" s="1"/>
  <c r="CD231" i="29"/>
  <c r="O231" i="29" s="1"/>
  <c r="CI231" i="29"/>
  <c r="A231" i="29"/>
  <c r="D231" i="29" a="1"/>
  <c r="C231" i="29" a="1"/>
  <c r="G231" i="29" a="1"/>
  <c r="F231" i="29" a="1"/>
  <c r="E231" i="29" a="1"/>
  <c r="BV231" i="29"/>
  <c r="BO231" i="29"/>
  <c r="BN231" i="29"/>
  <c r="V231" i="29"/>
  <c r="G169" i="29" a="1"/>
  <c r="C169" i="29" a="1"/>
  <c r="D169" i="29" a="1"/>
  <c r="E169" i="29" a="1"/>
  <c r="F169" i="29" a="1"/>
  <c r="V169" i="29"/>
  <c r="CD169" i="29"/>
  <c r="O169" i="29" s="1"/>
  <c r="CF169" i="29"/>
  <c r="Q169" i="29" s="1"/>
  <c r="BV169" i="29"/>
  <c r="BN169" i="29"/>
  <c r="BO169" i="29"/>
  <c r="CI169" i="29"/>
  <c r="CG169" i="29"/>
  <c r="S169" i="29" s="1"/>
  <c r="A169" i="29"/>
  <c r="CD244" i="29"/>
  <c r="O244" i="29" s="1"/>
  <c r="CG244" i="29"/>
  <c r="S244" i="29" s="1"/>
  <c r="CF244" i="29"/>
  <c r="Q244" i="29" s="1"/>
  <c r="CI244" i="29"/>
  <c r="A244" i="29"/>
  <c r="D244" i="29" a="1"/>
  <c r="G244" i="29" a="1"/>
  <c r="C244" i="29" a="1"/>
  <c r="F244" i="29" a="1"/>
  <c r="E244" i="29" a="1"/>
  <c r="BO244" i="29"/>
  <c r="BV244" i="29"/>
  <c r="BN244" i="29"/>
  <c r="V244" i="29"/>
  <c r="CG168" i="29"/>
  <c r="S168" i="29" s="1"/>
  <c r="CF168" i="29"/>
  <c r="Q168" i="29" s="1"/>
  <c r="CD168" i="29"/>
  <c r="O168" i="29" s="1"/>
  <c r="CI168" i="29"/>
  <c r="A168" i="29"/>
  <c r="BV168" i="29"/>
  <c r="C168" i="29" a="1"/>
  <c r="G168" i="29" a="1"/>
  <c r="F168" i="29" a="1"/>
  <c r="E168" i="29" a="1"/>
  <c r="D168" i="29" a="1"/>
  <c r="BN168" i="29"/>
  <c r="BO168" i="29"/>
  <c r="V168" i="29"/>
  <c r="E90" i="29" a="1"/>
  <c r="D90" i="29" a="1"/>
  <c r="G90" i="29" a="1"/>
  <c r="C90" i="29" a="1"/>
  <c r="F90" i="29" a="1"/>
  <c r="V90" i="29"/>
  <c r="CF90" i="29"/>
  <c r="Q90" i="29" s="1"/>
  <c r="CG90" i="29"/>
  <c r="S90" i="29" s="1"/>
  <c r="CI90" i="29"/>
  <c r="BV90" i="29"/>
  <c r="A90" i="29"/>
  <c r="BO90" i="29"/>
  <c r="BN90" i="29"/>
  <c r="CD90" i="29"/>
  <c r="O90" i="29" s="1"/>
  <c r="CG184" i="29"/>
  <c r="S184" i="29" s="1"/>
  <c r="CF184" i="29"/>
  <c r="Q184" i="29" s="1"/>
  <c r="CD184" i="29"/>
  <c r="O184" i="29" s="1"/>
  <c r="CI184" i="29"/>
  <c r="A184" i="29"/>
  <c r="D184" i="29" a="1"/>
  <c r="G184" i="29" a="1"/>
  <c r="F184" i="29" a="1"/>
  <c r="E184" i="29" a="1"/>
  <c r="C184" i="29" a="1"/>
  <c r="BV184" i="29"/>
  <c r="BO184" i="29"/>
  <c r="BN184" i="29"/>
  <c r="V184" i="29"/>
  <c r="CG167" i="29"/>
  <c r="S167" i="29" s="1"/>
  <c r="CF167" i="29"/>
  <c r="Q167" i="29" s="1"/>
  <c r="CD167" i="29"/>
  <c r="O167" i="29" s="1"/>
  <c r="CI167" i="29"/>
  <c r="A167" i="29"/>
  <c r="D167" i="29" a="1"/>
  <c r="G167" i="29" a="1"/>
  <c r="C167" i="29" a="1"/>
  <c r="E167" i="29" a="1"/>
  <c r="F167" i="29" a="1"/>
  <c r="BV167" i="29"/>
  <c r="BO167" i="29"/>
  <c r="BN167" i="29"/>
  <c r="V167" i="29"/>
  <c r="CD76" i="29"/>
  <c r="O76" i="29" s="1"/>
  <c r="CF76" i="29"/>
  <c r="Q76" i="29" s="1"/>
  <c r="A76" i="29"/>
  <c r="CG76" i="29"/>
  <c r="S76" i="29" s="1"/>
  <c r="CI76" i="29"/>
  <c r="C76" i="29" a="1"/>
  <c r="E76" i="29" a="1"/>
  <c r="D76" i="29" a="1"/>
  <c r="G76" i="29" a="1"/>
  <c r="F76" i="29" a="1"/>
  <c r="V76" i="29"/>
  <c r="BV76" i="29"/>
  <c r="BN76" i="29"/>
  <c r="BO76" i="29"/>
  <c r="CI10" i="29"/>
  <c r="D10" i="29" a="1"/>
  <c r="E10" i="29" a="1"/>
  <c r="F10" i="29" a="1"/>
  <c r="G10" i="29" a="1"/>
  <c r="C10" i="29" a="1"/>
  <c r="CD197" i="29"/>
  <c r="O197" i="29" s="1"/>
  <c r="CG197" i="29"/>
  <c r="S197" i="29" s="1"/>
  <c r="CF197" i="29"/>
  <c r="Q197" i="29" s="1"/>
  <c r="CI197" i="29"/>
  <c r="A197" i="29"/>
  <c r="V197" i="29"/>
  <c r="C197" i="29" a="1"/>
  <c r="G197" i="29" a="1"/>
  <c r="E197" i="29" a="1"/>
  <c r="D197" i="29" a="1"/>
  <c r="F197" i="29" a="1"/>
  <c r="BV197" i="29"/>
  <c r="BO197" i="29"/>
  <c r="BN197" i="29"/>
  <c r="CD233" i="29"/>
  <c r="O233" i="29" s="1"/>
  <c r="CI233" i="29"/>
  <c r="CG233" i="29"/>
  <c r="S233" i="29" s="1"/>
  <c r="CF233" i="29"/>
  <c r="Q233" i="29" s="1"/>
  <c r="A233" i="29"/>
  <c r="V233" i="29"/>
  <c r="F233" i="29" a="1"/>
  <c r="E233" i="29" a="1"/>
  <c r="C233" i="29" a="1"/>
  <c r="G233" i="29" a="1"/>
  <c r="D233" i="29" a="1"/>
  <c r="BV233" i="29"/>
  <c r="BN233" i="29"/>
  <c r="BO233" i="29"/>
  <c r="C163" i="29" a="1"/>
  <c r="F163" i="29" a="1"/>
  <c r="G163" i="29" a="1"/>
  <c r="E163" i="29" a="1"/>
  <c r="D163" i="29" a="1"/>
  <c r="V163" i="29"/>
  <c r="CF163" i="29"/>
  <c r="Q163" i="29" s="1"/>
  <c r="CG163" i="29"/>
  <c r="S163" i="29" s="1"/>
  <c r="BV163" i="29"/>
  <c r="A163" i="29"/>
  <c r="BO163" i="29"/>
  <c r="BN163" i="29"/>
  <c r="CD163" i="29"/>
  <c r="O163" i="29" s="1"/>
  <c r="CI163" i="29"/>
  <c r="C206" i="29" a="1"/>
  <c r="F206" i="29" a="1"/>
  <c r="E206" i="29" a="1"/>
  <c r="D206" i="29" a="1"/>
  <c r="G206" i="29" a="1"/>
  <c r="V206" i="29"/>
  <c r="A206" i="29"/>
  <c r="CI206" i="29"/>
  <c r="BV206" i="29"/>
  <c r="BO206" i="29"/>
  <c r="BN206" i="29"/>
  <c r="CF206" i="29"/>
  <c r="Q206" i="29" s="1"/>
  <c r="CG206" i="29"/>
  <c r="S206" i="29" s="1"/>
  <c r="CD206" i="29"/>
  <c r="O206" i="29" s="1"/>
  <c r="CI249" i="29"/>
  <c r="CD249" i="29"/>
  <c r="O249" i="29" s="1"/>
  <c r="CG249" i="29"/>
  <c r="S249" i="29" s="1"/>
  <c r="CF249" i="29"/>
  <c r="Q249" i="29" s="1"/>
  <c r="A249" i="29"/>
  <c r="C249" i="29" a="1"/>
  <c r="D249" i="29" a="1"/>
  <c r="F249" i="29" a="1"/>
  <c r="G249" i="29" a="1"/>
  <c r="E249" i="29" a="1"/>
  <c r="BV249" i="29"/>
  <c r="BO249" i="29"/>
  <c r="BN249" i="29"/>
  <c r="V249" i="29"/>
  <c r="CF213" i="29"/>
  <c r="Q213" i="29" s="1"/>
  <c r="CI213" i="29"/>
  <c r="CD213" i="29"/>
  <c r="O213" i="29" s="1"/>
  <c r="A213" i="29"/>
  <c r="CG213" i="29"/>
  <c r="S213" i="29" s="1"/>
  <c r="G213" i="29" a="1"/>
  <c r="E213" i="29" a="1"/>
  <c r="F213" i="29" a="1"/>
  <c r="C213" i="29" a="1"/>
  <c r="D213" i="29" a="1"/>
  <c r="V213" i="29"/>
  <c r="BN213" i="29"/>
  <c r="BV213" i="29"/>
  <c r="BO213" i="29"/>
  <c r="CF115" i="29"/>
  <c r="Q115" i="29" s="1"/>
  <c r="CD115" i="29"/>
  <c r="O115" i="29" s="1"/>
  <c r="CI115" i="29"/>
  <c r="CG115" i="29"/>
  <c r="S115" i="29" s="1"/>
  <c r="A115" i="29"/>
  <c r="G115" i="29" a="1"/>
  <c r="E115" i="29" a="1"/>
  <c r="D115" i="29" a="1"/>
  <c r="C115" i="29" a="1"/>
  <c r="F115" i="29" a="1"/>
  <c r="BV115" i="29"/>
  <c r="V115" i="29"/>
  <c r="BN115" i="29"/>
  <c r="BO115" i="29"/>
  <c r="CG39" i="29"/>
  <c r="S39" i="29" s="1"/>
  <c r="CF39" i="29"/>
  <c r="Q39" i="29" s="1"/>
  <c r="CD39" i="29"/>
  <c r="O39" i="29" s="1"/>
  <c r="CI39" i="29"/>
  <c r="A39" i="29"/>
  <c r="V39" i="29"/>
  <c r="C39" i="29" a="1"/>
  <c r="E39" i="29" a="1"/>
  <c r="D39" i="29" a="1"/>
  <c r="G39" i="29" a="1"/>
  <c r="F39" i="29" a="1"/>
  <c r="BV39" i="29"/>
  <c r="BN39" i="29"/>
  <c r="BO39" i="29"/>
  <c r="CI240" i="29"/>
  <c r="CG240" i="29"/>
  <c r="S240" i="29" s="1"/>
  <c r="A240" i="29"/>
  <c r="CF240" i="29"/>
  <c r="Q240" i="29" s="1"/>
  <c r="CD240" i="29"/>
  <c r="O240" i="29" s="1"/>
  <c r="G240" i="29" a="1"/>
  <c r="F240" i="29" a="1"/>
  <c r="E240" i="29" a="1"/>
  <c r="D240" i="29" a="1"/>
  <c r="C240" i="29" a="1"/>
  <c r="V240" i="29"/>
  <c r="BV240" i="29"/>
  <c r="BN240" i="29"/>
  <c r="BO240" i="29"/>
  <c r="CD222" i="29"/>
  <c r="O222" i="29" s="1"/>
  <c r="CI222" i="29"/>
  <c r="CF222" i="29"/>
  <c r="Q222" i="29" s="1"/>
  <c r="CG222" i="29"/>
  <c r="S222" i="29" s="1"/>
  <c r="A222" i="29"/>
  <c r="BV222" i="29"/>
  <c r="D222" i="29" a="1"/>
  <c r="C222" i="29" a="1"/>
  <c r="G222" i="29" a="1"/>
  <c r="F222" i="29" a="1"/>
  <c r="E222" i="29" a="1"/>
  <c r="V222" i="29"/>
  <c r="BO222" i="29"/>
  <c r="BN222" i="29"/>
  <c r="F138" i="29" a="1"/>
  <c r="C138" i="29" a="1"/>
  <c r="E138" i="29" a="1"/>
  <c r="D138" i="29" a="1"/>
  <c r="G138" i="29" a="1"/>
  <c r="CF138" i="29"/>
  <c r="Q138" i="29" s="1"/>
  <c r="CI138" i="29"/>
  <c r="CG138" i="29"/>
  <c r="S138" i="29" s="1"/>
  <c r="BN138" i="29"/>
  <c r="V138" i="29"/>
  <c r="BV138" i="29"/>
  <c r="BO138" i="29"/>
  <c r="CD138" i="29"/>
  <c r="O138" i="29" s="1"/>
  <c r="A138" i="29"/>
  <c r="CI100" i="29"/>
  <c r="CG100" i="29"/>
  <c r="S100" i="29" s="1"/>
  <c r="CF100" i="29"/>
  <c r="Q100" i="29" s="1"/>
  <c r="CD100" i="29"/>
  <c r="O100" i="29" s="1"/>
  <c r="A100" i="29"/>
  <c r="C100" i="29" a="1"/>
  <c r="E100" i="29" a="1"/>
  <c r="G100" i="29" a="1"/>
  <c r="F100" i="29" a="1"/>
  <c r="D100" i="29" a="1"/>
  <c r="BV100" i="29"/>
  <c r="BO100" i="29"/>
  <c r="BN100" i="29"/>
  <c r="V100" i="29"/>
  <c r="CF69" i="29"/>
  <c r="Q69" i="29" s="1"/>
  <c r="CG69" i="29"/>
  <c r="S69" i="29" s="1"/>
  <c r="CD69" i="29"/>
  <c r="O69" i="29" s="1"/>
  <c r="A69" i="29"/>
  <c r="CI69" i="29"/>
  <c r="E69" i="29" a="1"/>
  <c r="G69" i="29" a="1"/>
  <c r="C69" i="29" a="1"/>
  <c r="D69" i="29" a="1"/>
  <c r="F69" i="29" a="1"/>
  <c r="BV69" i="29"/>
  <c r="BO69" i="29"/>
  <c r="BN69" i="29"/>
  <c r="V69" i="29"/>
  <c r="CD24" i="29"/>
  <c r="O24" i="29" s="1"/>
  <c r="CG24" i="29"/>
  <c r="S24" i="29" s="1"/>
  <c r="CI24" i="29"/>
  <c r="CF24" i="29"/>
  <c r="Q24" i="29" s="1"/>
  <c r="A24" i="29"/>
  <c r="C24" i="29" a="1"/>
  <c r="G24" i="29" a="1"/>
  <c r="F24" i="29" a="1"/>
  <c r="D24" i="29" a="1"/>
  <c r="E24" i="29" a="1"/>
  <c r="V24" i="29"/>
  <c r="BV24" i="29"/>
  <c r="BO24" i="29"/>
  <c r="BN24" i="29"/>
  <c r="CG147" i="29"/>
  <c r="S147" i="29" s="1"/>
  <c r="CF147" i="29"/>
  <c r="Q147" i="29" s="1"/>
  <c r="CD147" i="29"/>
  <c r="O147" i="29" s="1"/>
  <c r="CI147" i="29"/>
  <c r="A147" i="29"/>
  <c r="C147" i="29" a="1"/>
  <c r="E147" i="29" a="1"/>
  <c r="D147" i="29" a="1"/>
  <c r="G147" i="29" a="1"/>
  <c r="F147" i="29" a="1"/>
  <c r="BV147" i="29"/>
  <c r="BO147" i="29"/>
  <c r="BN147" i="29"/>
  <c r="V147" i="29"/>
  <c r="CI88" i="29"/>
  <c r="CG88" i="29"/>
  <c r="S88" i="29" s="1"/>
  <c r="CF88" i="29"/>
  <c r="Q88" i="29" s="1"/>
  <c r="CD88" i="29"/>
  <c r="O88" i="29" s="1"/>
  <c r="A88" i="29"/>
  <c r="BV88" i="29"/>
  <c r="E88" i="29" a="1"/>
  <c r="C88" i="29" a="1"/>
  <c r="F88" i="29" a="1"/>
  <c r="D88" i="29" a="1"/>
  <c r="G88" i="29" a="1"/>
  <c r="BO88" i="29"/>
  <c r="BN88" i="29"/>
  <c r="V88" i="29"/>
  <c r="CI8" i="29"/>
  <c r="D8" i="29" a="1"/>
  <c r="G8" i="29" a="1"/>
  <c r="F8" i="29" a="1"/>
  <c r="E8" i="29" a="1"/>
  <c r="C8" i="29" a="1"/>
  <c r="CI212" i="29"/>
  <c r="CD212" i="29"/>
  <c r="O212" i="29" s="1"/>
  <c r="CF212" i="29"/>
  <c r="Q212" i="29" s="1"/>
  <c r="CG212" i="29"/>
  <c r="S212" i="29" s="1"/>
  <c r="A212" i="29"/>
  <c r="C212" i="29" a="1"/>
  <c r="G212" i="29" a="1"/>
  <c r="F212" i="29" a="1"/>
  <c r="E212" i="29" a="1"/>
  <c r="D212" i="29" a="1"/>
  <c r="BV212" i="29"/>
  <c r="BO212" i="29"/>
  <c r="BN212" i="29"/>
  <c r="V212" i="29"/>
  <c r="D172" i="29" a="1"/>
  <c r="G172" i="29" a="1"/>
  <c r="F172" i="29" a="1"/>
  <c r="E172" i="29" a="1"/>
  <c r="C172" i="29" a="1"/>
  <c r="BV172" i="29"/>
  <c r="V172" i="29"/>
  <c r="CG172" i="29"/>
  <c r="S172" i="29" s="1"/>
  <c r="CF172" i="29"/>
  <c r="Q172" i="29" s="1"/>
  <c r="CD172" i="29"/>
  <c r="O172" i="29" s="1"/>
  <c r="BO172" i="29"/>
  <c r="BN172" i="29"/>
  <c r="A172" i="29"/>
  <c r="CI172" i="29"/>
  <c r="CI156" i="29"/>
  <c r="CG156" i="29"/>
  <c r="S156" i="29" s="1"/>
  <c r="CF156" i="29"/>
  <c r="Q156" i="29" s="1"/>
  <c r="CD156" i="29"/>
  <c r="O156" i="29" s="1"/>
  <c r="A156" i="29"/>
  <c r="G156" i="29" a="1"/>
  <c r="F156" i="29" a="1"/>
  <c r="C156" i="29" a="1"/>
  <c r="E156" i="29" a="1"/>
  <c r="D156" i="29" a="1"/>
  <c r="BV156" i="29"/>
  <c r="BO156" i="29"/>
  <c r="BN156" i="29"/>
  <c r="V156" i="29"/>
  <c r="CG155" i="29"/>
  <c r="S155" i="29" s="1"/>
  <c r="CF155" i="29"/>
  <c r="Q155" i="29" s="1"/>
  <c r="CD155" i="29"/>
  <c r="O155" i="29" s="1"/>
  <c r="CI155" i="29"/>
  <c r="A155" i="29"/>
  <c r="E155" i="29" a="1"/>
  <c r="D155" i="29" a="1"/>
  <c r="G155" i="29" a="1"/>
  <c r="F155" i="29" a="1"/>
  <c r="C155" i="29" a="1"/>
  <c r="BV155" i="29"/>
  <c r="BO155" i="29"/>
  <c r="BN155" i="29"/>
  <c r="V155" i="29"/>
  <c r="D36" i="29" a="1"/>
  <c r="E36" i="29" a="1"/>
  <c r="G36" i="29" a="1"/>
  <c r="F36" i="29" a="1"/>
  <c r="C36" i="29" a="1"/>
  <c r="V36" i="29"/>
  <c r="CD36" i="29"/>
  <c r="O36" i="29" s="1"/>
  <c r="A36" i="29"/>
  <c r="CF36" i="29"/>
  <c r="Q36" i="29" s="1"/>
  <c r="BV36" i="29"/>
  <c r="CG36" i="29"/>
  <c r="S36" i="29" s="1"/>
  <c r="BO36" i="29"/>
  <c r="BN36" i="29"/>
  <c r="CI36" i="29"/>
  <c r="CI225" i="29"/>
  <c r="CD225" i="29"/>
  <c r="O225" i="29" s="1"/>
  <c r="A225" i="29"/>
  <c r="CG225" i="29"/>
  <c r="S225" i="29" s="1"/>
  <c r="CF225" i="29"/>
  <c r="Q225" i="29" s="1"/>
  <c r="D225" i="29" a="1"/>
  <c r="C225" i="29" a="1"/>
  <c r="G225" i="29" a="1"/>
  <c r="F225" i="29" a="1"/>
  <c r="E225" i="29" a="1"/>
  <c r="BV225" i="29"/>
  <c r="BO225" i="29"/>
  <c r="BN225" i="29"/>
  <c r="V225" i="29"/>
  <c r="CI185" i="29"/>
  <c r="CG185" i="29"/>
  <c r="S185" i="29" s="1"/>
  <c r="CF185" i="29"/>
  <c r="Q185" i="29" s="1"/>
  <c r="CD185" i="29"/>
  <c r="O185" i="29" s="1"/>
  <c r="A185" i="29"/>
  <c r="C185" i="29" a="1"/>
  <c r="F185" i="29" a="1"/>
  <c r="E185" i="29" a="1"/>
  <c r="G185" i="29" a="1"/>
  <c r="D185" i="29" a="1"/>
  <c r="V185" i="29"/>
  <c r="BV185" i="29"/>
  <c r="BO185" i="29"/>
  <c r="BN185" i="29"/>
  <c r="BV102" i="29"/>
  <c r="CG102" i="29"/>
  <c r="S102" i="29" s="1"/>
  <c r="CI102" i="29"/>
  <c r="CF102" i="29"/>
  <c r="Q102" i="29" s="1"/>
  <c r="CD102" i="29"/>
  <c r="O102" i="29" s="1"/>
  <c r="A102" i="29"/>
  <c r="G102" i="29" a="1"/>
  <c r="C102" i="29" a="1"/>
  <c r="E102" i="29" a="1"/>
  <c r="D102" i="29" a="1"/>
  <c r="F102" i="29" a="1"/>
  <c r="BO102" i="29"/>
  <c r="BN102" i="29"/>
  <c r="V102" i="29"/>
  <c r="E80" i="29" a="1"/>
  <c r="C80" i="29" a="1"/>
  <c r="F80" i="29" a="1"/>
  <c r="D80" i="29" a="1"/>
  <c r="G80" i="29" a="1"/>
  <c r="V80" i="29"/>
  <c r="A80" i="29"/>
  <c r="CF80" i="29"/>
  <c r="Q80" i="29" s="1"/>
  <c r="CI80" i="29"/>
  <c r="BV80" i="29"/>
  <c r="BO80" i="29"/>
  <c r="BN80" i="29"/>
  <c r="CG80" i="29"/>
  <c r="S80" i="29" s="1"/>
  <c r="CD80" i="29"/>
  <c r="O80" i="29" s="1"/>
  <c r="CI52" i="29"/>
  <c r="A52" i="29"/>
  <c r="CD52" i="29"/>
  <c r="O52" i="29" s="1"/>
  <c r="CG52" i="29"/>
  <c r="S52" i="29" s="1"/>
  <c r="CF52" i="29"/>
  <c r="Q52" i="29" s="1"/>
  <c r="V52" i="29"/>
  <c r="D52" i="29" a="1"/>
  <c r="E52" i="29" a="1"/>
  <c r="C52" i="29" a="1"/>
  <c r="F52" i="29" a="1"/>
  <c r="G52" i="29" a="1"/>
  <c r="BV52" i="29"/>
  <c r="BO52" i="29"/>
  <c r="BN52" i="29"/>
  <c r="CF237" i="29"/>
  <c r="Q237" i="29" s="1"/>
  <c r="CI237" i="29"/>
  <c r="CG237" i="29"/>
  <c r="S237" i="29" s="1"/>
  <c r="CD237" i="29"/>
  <c r="O237" i="29" s="1"/>
  <c r="A237" i="29"/>
  <c r="G237" i="29" a="1"/>
  <c r="F237" i="29" a="1"/>
  <c r="D237" i="29" a="1"/>
  <c r="C237" i="29" a="1"/>
  <c r="E237" i="29" a="1"/>
  <c r="BV237" i="29"/>
  <c r="BN237" i="29"/>
  <c r="V237" i="29"/>
  <c r="BO237" i="29"/>
  <c r="CI66" i="29"/>
  <c r="A66" i="29"/>
  <c r="CD66" i="29"/>
  <c r="O66" i="29" s="1"/>
  <c r="CF66" i="29"/>
  <c r="Q66" i="29" s="1"/>
  <c r="CG66" i="29"/>
  <c r="S66" i="29" s="1"/>
  <c r="E66" i="29" a="1"/>
  <c r="D66" i="29" a="1"/>
  <c r="G66" i="29" a="1"/>
  <c r="C66" i="29" a="1"/>
  <c r="F66" i="29" a="1"/>
  <c r="BV66" i="29"/>
  <c r="BO66" i="29"/>
  <c r="BN66" i="29"/>
  <c r="V66" i="29"/>
  <c r="CD18" i="29"/>
  <c r="O18" i="29" s="1"/>
  <c r="CG18" i="29"/>
  <c r="S18" i="29" s="1"/>
  <c r="CF18" i="29"/>
  <c r="Q18" i="29" s="1"/>
  <c r="CI18" i="29"/>
  <c r="A18" i="29"/>
  <c r="D18" i="29" a="1"/>
  <c r="F18" i="29" a="1"/>
  <c r="E18" i="29" a="1"/>
  <c r="C18" i="29" a="1"/>
  <c r="G18" i="29" a="1"/>
  <c r="BV18" i="29"/>
  <c r="BO18" i="29"/>
  <c r="BN18" i="29"/>
  <c r="V18" i="29"/>
  <c r="E78" i="29" a="1"/>
  <c r="D78" i="29" a="1"/>
  <c r="C78" i="29" a="1"/>
  <c r="G78" i="29" a="1"/>
  <c r="F78" i="29" a="1"/>
  <c r="V78" i="29"/>
  <c r="CI78" i="29"/>
  <c r="CF78" i="29"/>
  <c r="Q78" i="29" s="1"/>
  <c r="CD78" i="29"/>
  <c r="O78" i="29" s="1"/>
  <c r="BV78" i="29"/>
  <c r="BO78" i="29"/>
  <c r="BN78" i="29"/>
  <c r="CG78" i="29"/>
  <c r="S78" i="29" s="1"/>
  <c r="A78" i="29"/>
  <c r="CI141" i="29"/>
  <c r="CF141" i="29"/>
  <c r="Q141" i="29" s="1"/>
  <c r="CD141" i="29"/>
  <c r="O141" i="29" s="1"/>
  <c r="A141" i="29"/>
  <c r="CG141" i="29"/>
  <c r="S141" i="29" s="1"/>
  <c r="D141" i="29" a="1"/>
  <c r="F141" i="29" a="1"/>
  <c r="G141" i="29" a="1"/>
  <c r="C141" i="29" a="1"/>
  <c r="E141" i="29" a="1"/>
  <c r="BO141" i="29"/>
  <c r="BV141" i="29"/>
  <c r="BN141" i="29"/>
  <c r="V141" i="29"/>
  <c r="CI14" i="29"/>
  <c r="D14" i="29" a="1"/>
  <c r="G14" i="29" a="1"/>
  <c r="C14" i="29" a="1"/>
  <c r="F14" i="29" a="1"/>
  <c r="E14" i="29" a="1"/>
  <c r="BV14" i="29"/>
  <c r="BN14" i="29"/>
  <c r="BO14" i="29" s="1"/>
  <c r="CI158" i="29"/>
  <c r="CG158" i="29"/>
  <c r="S158" i="29" s="1"/>
  <c r="CD158" i="29"/>
  <c r="O158" i="29" s="1"/>
  <c r="A158" i="29"/>
  <c r="CF158" i="29"/>
  <c r="Q158" i="29" s="1"/>
  <c r="E158" i="29" a="1"/>
  <c r="G158" i="29" a="1"/>
  <c r="F158" i="29" a="1"/>
  <c r="D158" i="29" a="1"/>
  <c r="C158" i="29" a="1"/>
  <c r="BV158" i="29"/>
  <c r="V158" i="29"/>
  <c r="BO158" i="29"/>
  <c r="BN158" i="29"/>
  <c r="CI119" i="29"/>
  <c r="CG119" i="29"/>
  <c r="S119" i="29" s="1"/>
  <c r="CF119" i="29"/>
  <c r="Q119" i="29" s="1"/>
  <c r="CD119" i="29"/>
  <c r="O119" i="29" s="1"/>
  <c r="A119" i="29"/>
  <c r="BV119" i="29"/>
  <c r="E119" i="29" a="1"/>
  <c r="D119" i="29" a="1"/>
  <c r="G119" i="29" a="1"/>
  <c r="F119" i="29" a="1"/>
  <c r="C119" i="29" a="1"/>
  <c r="BN119" i="29"/>
  <c r="BO119" i="29"/>
  <c r="V119" i="29"/>
  <c r="CI133" i="29"/>
  <c r="CG133" i="29"/>
  <c r="S133" i="29" s="1"/>
  <c r="CF133" i="29"/>
  <c r="Q133" i="29" s="1"/>
  <c r="CD133" i="29"/>
  <c r="O133" i="29" s="1"/>
  <c r="A133" i="29"/>
  <c r="G133" i="29" a="1"/>
  <c r="F133" i="29" a="1"/>
  <c r="C133" i="29" a="1"/>
  <c r="D133" i="29" a="1"/>
  <c r="E133" i="29" a="1"/>
  <c r="BV133" i="29"/>
  <c r="BO133" i="29"/>
  <c r="BN133" i="29"/>
  <c r="V133" i="29"/>
  <c r="CG48" i="29"/>
  <c r="S48" i="29" s="1"/>
  <c r="CF48" i="29"/>
  <c r="Q48" i="29" s="1"/>
  <c r="CD48" i="29"/>
  <c r="O48" i="29" s="1"/>
  <c r="CI48" i="29"/>
  <c r="A48" i="29"/>
  <c r="E48" i="29" a="1"/>
  <c r="D48" i="29" a="1"/>
  <c r="G48" i="29" a="1"/>
  <c r="F48" i="29" a="1"/>
  <c r="C48" i="29" a="1"/>
  <c r="BV48" i="29"/>
  <c r="V48" i="29"/>
  <c r="BO48" i="29"/>
  <c r="BN48" i="29"/>
  <c r="CI137" i="29"/>
  <c r="CG137" i="29"/>
  <c r="S137" i="29" s="1"/>
  <c r="CF137" i="29"/>
  <c r="Q137" i="29" s="1"/>
  <c r="CD137" i="29"/>
  <c r="O137" i="29" s="1"/>
  <c r="A137" i="29"/>
  <c r="F137" i="29" a="1"/>
  <c r="C137" i="29" a="1"/>
  <c r="D137" i="29" a="1"/>
  <c r="E137" i="29" a="1"/>
  <c r="G137" i="29" a="1"/>
  <c r="V137" i="29"/>
  <c r="BV137" i="29"/>
  <c r="BN137" i="29"/>
  <c r="BO137" i="29"/>
  <c r="CG200" i="29"/>
  <c r="S200" i="29" s="1"/>
  <c r="A200" i="29"/>
  <c r="G200" i="29" a="1"/>
  <c r="F200" i="29" a="1"/>
  <c r="E200" i="29" a="1"/>
  <c r="D200" i="29" a="1"/>
  <c r="C200" i="29" a="1"/>
  <c r="BV200" i="29"/>
  <c r="V200" i="29"/>
  <c r="CI200" i="29"/>
  <c r="CD200" i="29"/>
  <c r="O200" i="29" s="1"/>
  <c r="BO200" i="29"/>
  <c r="BN200" i="29"/>
  <c r="CF200" i="29"/>
  <c r="Q200" i="29" s="1"/>
  <c r="CG129" i="29"/>
  <c r="S129" i="29" s="1"/>
  <c r="CF129" i="29"/>
  <c r="Q129" i="29" s="1"/>
  <c r="CI129" i="29"/>
  <c r="CD129" i="29"/>
  <c r="O129" i="29" s="1"/>
  <c r="A129" i="29"/>
  <c r="G129" i="29" a="1"/>
  <c r="F129" i="29" a="1"/>
  <c r="E129" i="29" a="1"/>
  <c r="D129" i="29" a="1"/>
  <c r="C129" i="29" a="1"/>
  <c r="BV129" i="29"/>
  <c r="BO129" i="29"/>
  <c r="BN129" i="29"/>
  <c r="V129" i="29"/>
  <c r="CI219" i="29"/>
  <c r="CF219" i="29"/>
  <c r="Q219" i="29" s="1"/>
  <c r="CG219" i="29"/>
  <c r="S219" i="29" s="1"/>
  <c r="CD219" i="29"/>
  <c r="O219" i="29" s="1"/>
  <c r="A219" i="29"/>
  <c r="D219" i="29" a="1"/>
  <c r="C219" i="29" a="1"/>
  <c r="F219" i="29" a="1"/>
  <c r="E219" i="29" a="1"/>
  <c r="G219" i="29" a="1"/>
  <c r="V219" i="29"/>
  <c r="BV219" i="29"/>
  <c r="BN219" i="29"/>
  <c r="BO219" i="29"/>
  <c r="CI144" i="29"/>
  <c r="CF144" i="29"/>
  <c r="Q144" i="29" s="1"/>
  <c r="A144" i="29"/>
  <c r="CD144" i="29"/>
  <c r="O144" i="29" s="1"/>
  <c r="F144" i="29" a="1"/>
  <c r="G144" i="29" a="1"/>
  <c r="E144" i="29" a="1"/>
  <c r="C144" i="29" a="1"/>
  <c r="D144" i="29" a="1"/>
  <c r="V144" i="29"/>
  <c r="BV144" i="29"/>
  <c r="BO144" i="29"/>
  <c r="BN144" i="29"/>
  <c r="CG144" i="29"/>
  <c r="S144" i="29" s="1"/>
  <c r="CI151" i="29"/>
  <c r="CG151" i="29"/>
  <c r="S151" i="29" s="1"/>
  <c r="A151" i="29"/>
  <c r="CF151" i="29"/>
  <c r="Q151" i="29" s="1"/>
  <c r="CD151" i="29"/>
  <c r="O151" i="29" s="1"/>
  <c r="V151" i="29"/>
  <c r="G151" i="29" a="1"/>
  <c r="F151" i="29" a="1"/>
  <c r="C151" i="29" a="1"/>
  <c r="D151" i="29" a="1"/>
  <c r="E151" i="29" a="1"/>
  <c r="BV151" i="29"/>
  <c r="BO151" i="29"/>
  <c r="BN151" i="29"/>
  <c r="CD114" i="29"/>
  <c r="O114" i="29" s="1"/>
  <c r="CG114" i="29"/>
  <c r="S114" i="29" s="1"/>
  <c r="CI114" i="29"/>
  <c r="CF114" i="29"/>
  <c r="Q114" i="29" s="1"/>
  <c r="A114" i="29"/>
  <c r="G114" i="29" a="1"/>
  <c r="E114" i="29" a="1"/>
  <c r="D114" i="29" a="1"/>
  <c r="C114" i="29" a="1"/>
  <c r="F114" i="29" a="1"/>
  <c r="BV114" i="29"/>
  <c r="BO114" i="29"/>
  <c r="BN114" i="29"/>
  <c r="V114" i="29"/>
  <c r="CF65" i="29"/>
  <c r="Q65" i="29" s="1"/>
  <c r="CG65" i="29"/>
  <c r="S65" i="29" s="1"/>
  <c r="CD65" i="29"/>
  <c r="O65" i="29" s="1"/>
  <c r="A65" i="29"/>
  <c r="CI65" i="29"/>
  <c r="C65" i="29" a="1"/>
  <c r="F65" i="29" a="1"/>
  <c r="G65" i="29" a="1"/>
  <c r="E65" i="29" a="1"/>
  <c r="D65" i="29" a="1"/>
  <c r="V65" i="29"/>
  <c r="BV65" i="29"/>
  <c r="BO65" i="29"/>
  <c r="BN65" i="29"/>
  <c r="CF140" i="29"/>
  <c r="Q140" i="29" s="1"/>
  <c r="CI140" i="29"/>
  <c r="A140" i="29"/>
  <c r="E140" i="29" a="1"/>
  <c r="F140" i="29" a="1"/>
  <c r="C140" i="29" a="1"/>
  <c r="D140" i="29" a="1"/>
  <c r="G140" i="29" a="1"/>
  <c r="BV140" i="29"/>
  <c r="BO140" i="29"/>
  <c r="BN140" i="29"/>
  <c r="V140" i="29"/>
  <c r="CG140" i="29"/>
  <c r="S140" i="29" s="1"/>
  <c r="CD140" i="29"/>
  <c r="O140" i="29" s="1"/>
  <c r="CG159" i="29"/>
  <c r="S159" i="29" s="1"/>
  <c r="CF159" i="29"/>
  <c r="Q159" i="29" s="1"/>
  <c r="CD159" i="29"/>
  <c r="O159" i="29" s="1"/>
  <c r="CI159" i="29"/>
  <c r="A159" i="29"/>
  <c r="G159" i="29" a="1"/>
  <c r="C159" i="29" a="1"/>
  <c r="F159" i="29" a="1"/>
  <c r="E159" i="29" a="1"/>
  <c r="D159" i="29" a="1"/>
  <c r="BV159" i="29"/>
  <c r="V159" i="29"/>
  <c r="BO159" i="29"/>
  <c r="BN159" i="29"/>
  <c r="CI171" i="29"/>
  <c r="CF171" i="29"/>
  <c r="Q171" i="29" s="1"/>
  <c r="CG171" i="29"/>
  <c r="S171" i="29" s="1"/>
  <c r="CD171" i="29"/>
  <c r="O171" i="29" s="1"/>
  <c r="A171" i="29"/>
  <c r="C171" i="29" a="1"/>
  <c r="G171" i="29" a="1"/>
  <c r="E171" i="29" a="1"/>
  <c r="F171" i="29" a="1"/>
  <c r="D171" i="29" a="1"/>
  <c r="V171" i="29"/>
  <c r="BV171" i="29"/>
  <c r="BN171" i="29"/>
  <c r="BO171" i="29"/>
  <c r="F37" i="29" a="1"/>
  <c r="E37" i="29" a="1"/>
  <c r="C37" i="29" a="1"/>
  <c r="G37" i="29" a="1"/>
  <c r="D37" i="29" a="1"/>
  <c r="V37" i="29"/>
  <c r="CI37" i="29"/>
  <c r="CG37" i="29"/>
  <c r="S37" i="29" s="1"/>
  <c r="CF37" i="29"/>
  <c r="Q37" i="29" s="1"/>
  <c r="A37" i="29"/>
  <c r="BV37" i="29"/>
  <c r="BN37" i="29"/>
  <c r="BO37" i="29"/>
  <c r="CD37" i="29"/>
  <c r="O37" i="29" s="1"/>
  <c r="CI243" i="29"/>
  <c r="CF243" i="29"/>
  <c r="Q243" i="29" s="1"/>
  <c r="CG243" i="29"/>
  <c r="S243" i="29" s="1"/>
  <c r="CD243" i="29"/>
  <c r="O243" i="29" s="1"/>
  <c r="A243" i="29"/>
  <c r="G243" i="29" a="1"/>
  <c r="F243" i="29" a="1"/>
  <c r="D243" i="29" a="1"/>
  <c r="C243" i="29" a="1"/>
  <c r="E243" i="29" a="1"/>
  <c r="BV243" i="29"/>
  <c r="V243" i="29"/>
  <c r="BO243" i="29"/>
  <c r="BN243" i="29"/>
  <c r="V116" i="29"/>
  <c r="CG116" i="29"/>
  <c r="S116" i="29" s="1"/>
  <c r="G116" i="29" a="1"/>
  <c r="E116" i="29" a="1"/>
  <c r="D116" i="29" a="1"/>
  <c r="C116" i="29" a="1"/>
  <c r="F116" i="29" a="1"/>
  <c r="BO116" i="29"/>
  <c r="CI116" i="29"/>
  <c r="BN116" i="29"/>
  <c r="BV116" i="29"/>
  <c r="CD116" i="29"/>
  <c r="O116" i="29" s="1"/>
  <c r="CF116" i="29"/>
  <c r="Q116" i="29" s="1"/>
  <c r="A116" i="29"/>
  <c r="CD56" i="29"/>
  <c r="O56" i="29" s="1"/>
  <c r="CI56" i="29"/>
  <c r="CG56" i="29"/>
  <c r="S56" i="29" s="1"/>
  <c r="CF56" i="29"/>
  <c r="Q56" i="29" s="1"/>
  <c r="A56" i="29"/>
  <c r="G56" i="29" a="1"/>
  <c r="F56" i="29" a="1"/>
  <c r="E56" i="29" a="1"/>
  <c r="D56" i="29" a="1"/>
  <c r="C56" i="29" a="1"/>
  <c r="BV56" i="29"/>
  <c r="BN56" i="29"/>
  <c r="V56" i="29"/>
  <c r="BO56" i="29"/>
  <c r="CD22" i="29"/>
  <c r="O22" i="29" s="1"/>
  <c r="A22" i="29"/>
  <c r="CG22" i="29"/>
  <c r="S22" i="29" s="1"/>
  <c r="CF22" i="29"/>
  <c r="Q22" i="29" s="1"/>
  <c r="CI22" i="29"/>
  <c r="V22" i="29"/>
  <c r="E22" i="29" a="1"/>
  <c r="C22" i="29" a="1"/>
  <c r="G22" i="29" a="1"/>
  <c r="F22" i="29" a="1"/>
  <c r="D22" i="29" a="1"/>
  <c r="BV22" i="29"/>
  <c r="BO22" i="29"/>
  <c r="BN22" i="29"/>
  <c r="CI236" i="29"/>
  <c r="CG236" i="29"/>
  <c r="S236" i="29" s="1"/>
  <c r="A236" i="29"/>
  <c r="CF236" i="29"/>
  <c r="Q236" i="29" s="1"/>
  <c r="CD236" i="29"/>
  <c r="O236" i="29" s="1"/>
  <c r="V236" i="29"/>
  <c r="D236" i="29" a="1"/>
  <c r="G236" i="29" a="1"/>
  <c r="F236" i="29" a="1"/>
  <c r="C236" i="29" a="1"/>
  <c r="E236" i="29" a="1"/>
  <c r="BO236" i="29"/>
  <c r="BN236" i="29"/>
  <c r="BV236" i="29"/>
  <c r="CI154" i="29"/>
  <c r="CG154" i="29"/>
  <c r="S154" i="29" s="1"/>
  <c r="CF154" i="29"/>
  <c r="Q154" i="29" s="1"/>
  <c r="CD154" i="29"/>
  <c r="O154" i="29" s="1"/>
  <c r="A154" i="29"/>
  <c r="C154" i="29" a="1"/>
  <c r="G154" i="29" a="1"/>
  <c r="F154" i="29" a="1"/>
  <c r="E154" i="29" a="1"/>
  <c r="D154" i="29" a="1"/>
  <c r="BV154" i="29"/>
  <c r="BN154" i="29"/>
  <c r="BO154" i="29"/>
  <c r="V154" i="29"/>
  <c r="CF77" i="29"/>
  <c r="Q77" i="29" s="1"/>
  <c r="CG77" i="29"/>
  <c r="S77" i="29" s="1"/>
  <c r="CD77" i="29"/>
  <c r="O77" i="29" s="1"/>
  <c r="A77" i="29"/>
  <c r="CI77" i="29"/>
  <c r="C77" i="29" a="1"/>
  <c r="E77" i="29" a="1"/>
  <c r="D77" i="29" a="1"/>
  <c r="F77" i="29" a="1"/>
  <c r="G77" i="29" a="1"/>
  <c r="BO77" i="29"/>
  <c r="BV77" i="29"/>
  <c r="BN77" i="29"/>
  <c r="V77" i="29"/>
  <c r="CD21" i="29"/>
  <c r="O21" i="29" s="1"/>
  <c r="CG21" i="29"/>
  <c r="S21" i="29" s="1"/>
  <c r="A21" i="29"/>
  <c r="CI21" i="29"/>
  <c r="CF21" i="29"/>
  <c r="Q21" i="29" s="1"/>
  <c r="C21" i="29" a="1"/>
  <c r="E21" i="29" a="1"/>
  <c r="G21" i="29" a="1"/>
  <c r="F21" i="29" a="1"/>
  <c r="D21" i="29" a="1"/>
  <c r="V21" i="29"/>
  <c r="BV21" i="29"/>
  <c r="BO21" i="29"/>
  <c r="BN21" i="29"/>
  <c r="CI179" i="29"/>
  <c r="CF179" i="29"/>
  <c r="Q179" i="29" s="1"/>
  <c r="CD179" i="29"/>
  <c r="O179" i="29" s="1"/>
  <c r="A179" i="29"/>
  <c r="CG179" i="29"/>
  <c r="S179" i="29" s="1"/>
  <c r="E179" i="29" a="1"/>
  <c r="D179" i="29" a="1"/>
  <c r="G179" i="29" a="1"/>
  <c r="F179" i="29" a="1"/>
  <c r="C179" i="29" a="1"/>
  <c r="BV179" i="29"/>
  <c r="V179" i="29"/>
  <c r="BO179" i="29"/>
  <c r="BN179" i="29"/>
  <c r="CG183" i="29"/>
  <c r="S183" i="29" s="1"/>
  <c r="CF183" i="29"/>
  <c r="Q183" i="29" s="1"/>
  <c r="CD183" i="29"/>
  <c r="O183" i="29" s="1"/>
  <c r="CI183" i="29"/>
  <c r="A183" i="29"/>
  <c r="BV183" i="29"/>
  <c r="C183" i="29" a="1"/>
  <c r="D183" i="29" a="1"/>
  <c r="E183" i="29" a="1"/>
  <c r="G183" i="29" a="1"/>
  <c r="F183" i="29" a="1"/>
  <c r="V183" i="29"/>
  <c r="BO183" i="29"/>
  <c r="BN183" i="29"/>
  <c r="CF127" i="29"/>
  <c r="Q127" i="29" s="1"/>
  <c r="CD127" i="29"/>
  <c r="O127" i="29" s="1"/>
  <c r="CI127" i="29"/>
  <c r="CG127" i="29"/>
  <c r="S127" i="29" s="1"/>
  <c r="A127" i="29"/>
  <c r="F127" i="29" a="1"/>
  <c r="C127" i="29" a="1"/>
  <c r="G127" i="29" a="1"/>
  <c r="E127" i="29" a="1"/>
  <c r="D127" i="29" a="1"/>
  <c r="V127" i="29"/>
  <c r="BV127" i="29"/>
  <c r="BN127" i="29"/>
  <c r="BO127" i="29"/>
  <c r="CI91" i="29"/>
  <c r="CD91" i="29"/>
  <c r="O91" i="29" s="1"/>
  <c r="CG91" i="29"/>
  <c r="S91" i="29" s="1"/>
  <c r="A91" i="29"/>
  <c r="CF91" i="29"/>
  <c r="Q91" i="29" s="1"/>
  <c r="D91" i="29" a="1"/>
  <c r="C91" i="29" a="1"/>
  <c r="E91" i="29" a="1"/>
  <c r="G91" i="29" a="1"/>
  <c r="F91" i="29" a="1"/>
  <c r="BV91" i="29"/>
  <c r="BO91" i="29"/>
  <c r="BN91" i="29"/>
  <c r="V91" i="29"/>
  <c r="CF59" i="29"/>
  <c r="Q59" i="29" s="1"/>
  <c r="CG59" i="29"/>
  <c r="S59" i="29" s="1"/>
  <c r="CD59" i="29"/>
  <c r="O59" i="29" s="1"/>
  <c r="CI59" i="29"/>
  <c r="A59" i="29"/>
  <c r="BV59" i="29"/>
  <c r="G59" i="29" a="1"/>
  <c r="F59" i="29" a="1"/>
  <c r="E59" i="29" a="1"/>
  <c r="D59" i="29" a="1"/>
  <c r="C59" i="29" a="1"/>
  <c r="BO59" i="29"/>
  <c r="BN59" i="29"/>
  <c r="V59" i="29"/>
  <c r="CG19" i="29"/>
  <c r="S19" i="29" s="1"/>
  <c r="CF19" i="29"/>
  <c r="Q19" i="29" s="1"/>
  <c r="CI19" i="29"/>
  <c r="CD19" i="29"/>
  <c r="O19" i="29" s="1"/>
  <c r="A19" i="29"/>
  <c r="D19" i="29" a="1"/>
  <c r="F19" i="29" a="1"/>
  <c r="G19" i="29" a="1"/>
  <c r="C19" i="29" a="1"/>
  <c r="E19" i="29" a="1"/>
  <c r="BV19" i="29"/>
  <c r="BO19" i="29"/>
  <c r="BN19" i="29"/>
  <c r="V19" i="29"/>
  <c r="CI195" i="29"/>
  <c r="CF195" i="29"/>
  <c r="Q195" i="29" s="1"/>
  <c r="CG195" i="29"/>
  <c r="S195" i="29" s="1"/>
  <c r="CD195" i="29"/>
  <c r="O195" i="29" s="1"/>
  <c r="A195" i="29"/>
  <c r="D195" i="29" a="1"/>
  <c r="C195" i="29" a="1"/>
  <c r="E195" i="29" a="1"/>
  <c r="G195" i="29" a="1"/>
  <c r="F195" i="29" a="1"/>
  <c r="BV195" i="29"/>
  <c r="V195" i="29"/>
  <c r="BO195" i="29"/>
  <c r="BN195" i="29"/>
  <c r="CF152" i="29"/>
  <c r="Q152" i="29" s="1"/>
  <c r="CD152" i="29"/>
  <c r="O152" i="29" s="1"/>
  <c r="CI152" i="29"/>
  <c r="CG152" i="29"/>
  <c r="S152" i="29" s="1"/>
  <c r="A152" i="29"/>
  <c r="E152" i="29" a="1"/>
  <c r="D152" i="29" a="1"/>
  <c r="G152" i="29" a="1"/>
  <c r="F152" i="29" a="1"/>
  <c r="C152" i="29" a="1"/>
  <c r="BO152" i="29"/>
  <c r="V152" i="29"/>
  <c r="BV152" i="29"/>
  <c r="BN152" i="29"/>
  <c r="CD207" i="29"/>
  <c r="O207" i="29" s="1"/>
  <c r="CI207" i="29"/>
  <c r="CF207" i="29"/>
  <c r="Q207" i="29" s="1"/>
  <c r="CG207" i="29"/>
  <c r="S207" i="29" s="1"/>
  <c r="A207" i="29"/>
  <c r="E207" i="29" a="1"/>
  <c r="D207" i="29" a="1"/>
  <c r="C207" i="29" a="1"/>
  <c r="G207" i="29" a="1"/>
  <c r="F207" i="29" a="1"/>
  <c r="BO207" i="29"/>
  <c r="V207" i="29"/>
  <c r="BV207" i="29"/>
  <c r="BN207" i="29"/>
  <c r="CG131" i="29"/>
  <c r="S131" i="29" s="1"/>
  <c r="CF131" i="29"/>
  <c r="Q131" i="29" s="1"/>
  <c r="CD131" i="29"/>
  <c r="O131" i="29" s="1"/>
  <c r="CI131" i="29"/>
  <c r="A131" i="29"/>
  <c r="E131" i="29" a="1"/>
  <c r="D131" i="29" a="1"/>
  <c r="G131" i="29" a="1"/>
  <c r="F131" i="29" a="1"/>
  <c r="C131" i="29" a="1"/>
  <c r="V131" i="29"/>
  <c r="BV131" i="29"/>
  <c r="BN131" i="29"/>
  <c r="BO131" i="29"/>
  <c r="CD46" i="29"/>
  <c r="O46" i="29" s="1"/>
  <c r="CG46" i="29"/>
  <c r="S46" i="29" s="1"/>
  <c r="A46" i="29"/>
  <c r="CI46" i="29"/>
  <c r="CF46" i="29"/>
  <c r="Q46" i="29" s="1"/>
  <c r="D46" i="29" a="1"/>
  <c r="C46" i="29" a="1"/>
  <c r="E46" i="29" a="1"/>
  <c r="G46" i="29" a="1"/>
  <c r="F46" i="29" a="1"/>
  <c r="BV46" i="29"/>
  <c r="BO46" i="29"/>
  <c r="BN46" i="29"/>
  <c r="V46" i="29"/>
  <c r="CI97" i="29"/>
  <c r="CF97" i="29"/>
  <c r="Q97" i="29" s="1"/>
  <c r="CG97" i="29"/>
  <c r="S97" i="29" s="1"/>
  <c r="CD97" i="29"/>
  <c r="O97" i="29" s="1"/>
  <c r="A97" i="29"/>
  <c r="E97" i="29" a="1"/>
  <c r="D97" i="29" a="1"/>
  <c r="C97" i="29" a="1"/>
  <c r="G97" i="29" a="1"/>
  <c r="F97" i="29" a="1"/>
  <c r="V97" i="29"/>
  <c r="BV97" i="29"/>
  <c r="BO97" i="29"/>
  <c r="BN97" i="29"/>
  <c r="G34" i="29" a="1"/>
  <c r="D34" i="29" a="1"/>
  <c r="F34" i="29" a="1"/>
  <c r="E34" i="29" a="1"/>
  <c r="C34" i="29" a="1"/>
  <c r="CG34" i="29"/>
  <c r="S34" i="29" s="1"/>
  <c r="CI34" i="29"/>
  <c r="BV34" i="29"/>
  <c r="BN34" i="29"/>
  <c r="BO34" i="29"/>
  <c r="V34" i="29"/>
  <c r="CD34" i="29"/>
  <c r="O34" i="29" s="1"/>
  <c r="CF34" i="29"/>
  <c r="Q34" i="29" s="1"/>
  <c r="A34" i="29"/>
  <c r="CD251" i="29"/>
  <c r="O251" i="29" s="1"/>
  <c r="CI251" i="29"/>
  <c r="CF251" i="29"/>
  <c r="Q251" i="29" s="1"/>
  <c r="CG251" i="29"/>
  <c r="S251" i="29" s="1"/>
  <c r="A251" i="29"/>
  <c r="D251" i="29" a="1"/>
  <c r="F251" i="29" a="1"/>
  <c r="E251" i="29" a="1"/>
  <c r="G251" i="29" a="1"/>
  <c r="C251" i="29" a="1"/>
  <c r="V251" i="29"/>
  <c r="BO251" i="29"/>
  <c r="BN251" i="29"/>
  <c r="BV251" i="29"/>
  <c r="CI241" i="29"/>
  <c r="CG241" i="29"/>
  <c r="S241" i="29" s="1"/>
  <c r="CD241" i="29"/>
  <c r="O241" i="29" s="1"/>
  <c r="CF241" i="29"/>
  <c r="Q241" i="29" s="1"/>
  <c r="A241" i="29"/>
  <c r="C241" i="29" a="1"/>
  <c r="D241" i="29" a="1"/>
  <c r="G241" i="29" a="1"/>
  <c r="F241" i="29" a="1"/>
  <c r="E241" i="29" a="1"/>
  <c r="V241" i="29"/>
  <c r="BV241" i="29"/>
  <c r="BN241" i="29"/>
  <c r="BO241" i="29"/>
  <c r="CD139" i="29"/>
  <c r="O139" i="29" s="1"/>
  <c r="CI139" i="29"/>
  <c r="CG139" i="29"/>
  <c r="S139" i="29" s="1"/>
  <c r="CF139" i="29"/>
  <c r="Q139" i="29" s="1"/>
  <c r="A139" i="29"/>
  <c r="V139" i="29"/>
  <c r="G139" i="29" a="1"/>
  <c r="C139" i="29" a="1"/>
  <c r="F139" i="29" a="1"/>
  <c r="E139" i="29" a="1"/>
  <c r="D139" i="29" a="1"/>
  <c r="BV139" i="29"/>
  <c r="BO139" i="29"/>
  <c r="BN139" i="29"/>
  <c r="F148" i="29" a="1"/>
  <c r="C148" i="29" a="1"/>
  <c r="G148" i="29" a="1"/>
  <c r="E148" i="29" a="1"/>
  <c r="D148" i="29" a="1"/>
  <c r="V148" i="29"/>
  <c r="CI148" i="29"/>
  <c r="CG148" i="29"/>
  <c r="S148" i="29" s="1"/>
  <c r="CD148" i="29"/>
  <c r="O148" i="29" s="1"/>
  <c r="BV148" i="29"/>
  <c r="BO148" i="29"/>
  <c r="BN148" i="29"/>
  <c r="A148" i="29"/>
  <c r="CF148" i="29"/>
  <c r="Q148" i="29" s="1"/>
  <c r="E54" i="29" a="1"/>
  <c r="D54" i="29" a="1"/>
  <c r="C54" i="29" a="1"/>
  <c r="G54" i="29" a="1"/>
  <c r="F54" i="29" a="1"/>
  <c r="V54" i="29"/>
  <c r="CF54" i="29"/>
  <c r="Q54" i="29" s="1"/>
  <c r="CG54" i="29"/>
  <c r="S54" i="29" s="1"/>
  <c r="A54" i="29"/>
  <c r="CD54" i="29"/>
  <c r="O54" i="29" s="1"/>
  <c r="BV54" i="29"/>
  <c r="BO54" i="29"/>
  <c r="BN54" i="29"/>
  <c r="CI54" i="29"/>
  <c r="CG17" i="29"/>
  <c r="S17" i="29" s="1"/>
  <c r="CI17" i="29"/>
  <c r="CD17" i="29"/>
  <c r="O17" i="29" s="1"/>
  <c r="CF17" i="29"/>
  <c r="Q17" i="29" s="1"/>
  <c r="A17" i="29"/>
  <c r="F17" i="29" a="1"/>
  <c r="D17" i="29" a="1"/>
  <c r="C17" i="29" a="1"/>
  <c r="E17" i="29" a="1"/>
  <c r="G17" i="29" a="1"/>
  <c r="BV17" i="29"/>
  <c r="BO17" i="29"/>
  <c r="BN17" i="29"/>
  <c r="V17" i="29"/>
  <c r="CG196" i="29"/>
  <c r="S196" i="29" s="1"/>
  <c r="CI196" i="29"/>
  <c r="CF196" i="29"/>
  <c r="Q196" i="29" s="1"/>
  <c r="CD196" i="29"/>
  <c r="O196" i="29" s="1"/>
  <c r="A196" i="29"/>
  <c r="G196" i="29" a="1"/>
  <c r="F196" i="29" a="1"/>
  <c r="C196" i="29" a="1"/>
  <c r="D196" i="29" a="1"/>
  <c r="E196" i="29" a="1"/>
  <c r="BV196" i="29"/>
  <c r="V196" i="29"/>
  <c r="BO196" i="29"/>
  <c r="BN196" i="29"/>
  <c r="CD130" i="29"/>
  <c r="O130" i="29" s="1"/>
  <c r="A130" i="29"/>
  <c r="CI130" i="29"/>
  <c r="CF130" i="29"/>
  <c r="Q130" i="29" s="1"/>
  <c r="CG130" i="29"/>
  <c r="S130" i="29" s="1"/>
  <c r="V130" i="29"/>
  <c r="F130" i="29" a="1"/>
  <c r="C130" i="29" a="1"/>
  <c r="G130" i="29" a="1"/>
  <c r="E130" i="29" a="1"/>
  <c r="D130" i="29" a="1"/>
  <c r="BV130" i="29"/>
  <c r="BO130" i="29"/>
  <c r="BN130" i="29"/>
  <c r="CG239" i="29"/>
  <c r="S239" i="29" s="1"/>
  <c r="CF239" i="29"/>
  <c r="Q239" i="29" s="1"/>
  <c r="CD239" i="29"/>
  <c r="O239" i="29" s="1"/>
  <c r="A239" i="29"/>
  <c r="CI239" i="29"/>
  <c r="BV239" i="29"/>
  <c r="F239" i="29" a="1"/>
  <c r="E239" i="29" a="1"/>
  <c r="D239" i="29" a="1"/>
  <c r="G239" i="29" a="1"/>
  <c r="C239" i="29" a="1"/>
  <c r="V239" i="29"/>
  <c r="BO239" i="29"/>
  <c r="BN239" i="29"/>
  <c r="E95" i="29" a="1"/>
  <c r="D95" i="29" a="1"/>
  <c r="G95" i="29" a="1"/>
  <c r="C95" i="29" a="1"/>
  <c r="F95" i="29" a="1"/>
  <c r="BV95" i="29"/>
  <c r="CF95" i="29"/>
  <c r="Q95" i="29" s="1"/>
  <c r="CD95" i="29"/>
  <c r="O95" i="29" s="1"/>
  <c r="BO95" i="29"/>
  <c r="BN95" i="29"/>
  <c r="A95" i="29"/>
  <c r="V95" i="29"/>
  <c r="CG95" i="29"/>
  <c r="S95" i="29" s="1"/>
  <c r="CI95" i="29"/>
  <c r="CD43" i="29"/>
  <c r="O43" i="29" s="1"/>
  <c r="CG43" i="29"/>
  <c r="S43" i="29" s="1"/>
  <c r="CF43" i="29"/>
  <c r="Q43" i="29" s="1"/>
  <c r="CI43" i="29"/>
  <c r="A43" i="29"/>
  <c r="G43" i="29" a="1"/>
  <c r="F43" i="29" a="1"/>
  <c r="E43" i="29" a="1"/>
  <c r="D43" i="29" a="1"/>
  <c r="C43" i="29" a="1"/>
  <c r="V43" i="29"/>
  <c r="BV43" i="29"/>
  <c r="BO43" i="29"/>
  <c r="BN43" i="29"/>
  <c r="CF229" i="29"/>
  <c r="Q229" i="29" s="1"/>
  <c r="CD229" i="29"/>
  <c r="O229" i="29" s="1"/>
  <c r="CG229" i="29"/>
  <c r="S229" i="29" s="1"/>
  <c r="CI229" i="29"/>
  <c r="A229" i="29"/>
  <c r="BV229" i="29"/>
  <c r="V229" i="29"/>
  <c r="C229" i="29" a="1"/>
  <c r="F229" i="29" a="1"/>
  <c r="E229" i="29" a="1"/>
  <c r="D229" i="29" a="1"/>
  <c r="G229" i="29" a="1"/>
  <c r="BO229" i="29"/>
  <c r="BN229" i="29"/>
  <c r="CG186" i="29"/>
  <c r="S186" i="29" s="1"/>
  <c r="CD186" i="29"/>
  <c r="O186" i="29" s="1"/>
  <c r="CI186" i="29"/>
  <c r="CF186" i="29"/>
  <c r="Q186" i="29" s="1"/>
  <c r="A186" i="29"/>
  <c r="V186" i="29"/>
  <c r="D186" i="29" a="1"/>
  <c r="C186" i="29" a="1"/>
  <c r="E186" i="29" a="1"/>
  <c r="G186" i="29" a="1"/>
  <c r="F186" i="29" a="1"/>
  <c r="BV186" i="29"/>
  <c r="BO186" i="29"/>
  <c r="BN186" i="29"/>
  <c r="CG85" i="29"/>
  <c r="S85" i="29" s="1"/>
  <c r="CD85" i="29"/>
  <c r="O85" i="29" s="1"/>
  <c r="CI85" i="29"/>
  <c r="A85" i="29"/>
  <c r="CF85" i="29"/>
  <c r="Q85" i="29" s="1"/>
  <c r="D85" i="29" a="1"/>
  <c r="C85" i="29" a="1"/>
  <c r="E85" i="29" a="1"/>
  <c r="G85" i="29" a="1"/>
  <c r="F85" i="29" a="1"/>
  <c r="BV85" i="29"/>
  <c r="BO85" i="29"/>
  <c r="BN85" i="29"/>
  <c r="V85" i="29"/>
  <c r="CD123" i="29"/>
  <c r="O123" i="29" s="1"/>
  <c r="CI123" i="29"/>
  <c r="CF123" i="29"/>
  <c r="Q123" i="29" s="1"/>
  <c r="CG123" i="29"/>
  <c r="S123" i="29" s="1"/>
  <c r="A123" i="29"/>
  <c r="G123" i="29" a="1"/>
  <c r="C123" i="29" a="1"/>
  <c r="F123" i="29" a="1"/>
  <c r="E123" i="29" a="1"/>
  <c r="D123" i="29" a="1"/>
  <c r="V123" i="29"/>
  <c r="BV123" i="29"/>
  <c r="BO123" i="29"/>
  <c r="BN123" i="29"/>
  <c r="V23" i="29"/>
  <c r="CG23" i="29"/>
  <c r="S23" i="29" s="1"/>
  <c r="CD23" i="29"/>
  <c r="O23" i="29" s="1"/>
  <c r="F23" i="29" a="1"/>
  <c r="D23" i="29" a="1"/>
  <c r="C23" i="29" a="1"/>
  <c r="E23" i="29" a="1"/>
  <c r="G23" i="29" a="1"/>
  <c r="BO23" i="29"/>
  <c r="CI23" i="29"/>
  <c r="BV23" i="29"/>
  <c r="BN23" i="29"/>
  <c r="CF23" i="29"/>
  <c r="Q23" i="29" s="1"/>
  <c r="A23" i="29"/>
  <c r="CD201" i="29"/>
  <c r="O201" i="29" s="1"/>
  <c r="CI201" i="29"/>
  <c r="CF201" i="29"/>
  <c r="Q201" i="29" s="1"/>
  <c r="CG201" i="29"/>
  <c r="S201" i="29" s="1"/>
  <c r="A201" i="29"/>
  <c r="G201" i="29" a="1"/>
  <c r="F201" i="29" a="1"/>
  <c r="D201" i="29" a="1"/>
  <c r="C201" i="29" a="1"/>
  <c r="E201" i="29" a="1"/>
  <c r="V201" i="29"/>
  <c r="BN201" i="29"/>
  <c r="BV201" i="29"/>
  <c r="BO201" i="29"/>
  <c r="CD92" i="29"/>
  <c r="O92" i="29" s="1"/>
  <c r="CI92" i="29"/>
  <c r="CG92" i="29"/>
  <c r="S92" i="29" s="1"/>
  <c r="CF92" i="29"/>
  <c r="Q92" i="29" s="1"/>
  <c r="A92" i="29"/>
  <c r="D92" i="29" a="1"/>
  <c r="F92" i="29" a="1"/>
  <c r="E92" i="29" a="1"/>
  <c r="C92" i="29" a="1"/>
  <c r="G92" i="29" a="1"/>
  <c r="BV92" i="29"/>
  <c r="V92" i="29"/>
  <c r="BO92" i="29"/>
  <c r="BN92" i="29"/>
  <c r="CG35" i="29"/>
  <c r="S35" i="29" s="1"/>
  <c r="CD35" i="29"/>
  <c r="O35" i="29" s="1"/>
  <c r="A35" i="29"/>
  <c r="CF35" i="29"/>
  <c r="Q35" i="29" s="1"/>
  <c r="CI35" i="29"/>
  <c r="E35" i="29" a="1"/>
  <c r="D35" i="29" a="1"/>
  <c r="G35" i="29" a="1"/>
  <c r="F35" i="29" a="1"/>
  <c r="C35" i="29" a="1"/>
  <c r="BV35" i="29"/>
  <c r="BN35" i="29"/>
  <c r="BO35" i="29"/>
  <c r="V35" i="29"/>
  <c r="CD40" i="29"/>
  <c r="O40" i="29" s="1"/>
  <c r="CI40" i="29"/>
  <c r="CG40" i="29"/>
  <c r="S40" i="29" s="1"/>
  <c r="A40" i="29"/>
  <c r="CF40" i="29"/>
  <c r="Q40" i="29" s="1"/>
  <c r="E40" i="29" a="1"/>
  <c r="C40" i="29" a="1"/>
  <c r="D40" i="29" a="1"/>
  <c r="G40" i="29" a="1"/>
  <c r="F40" i="29" a="1"/>
  <c r="BV40" i="29"/>
  <c r="BN40" i="29"/>
  <c r="BO40" i="29"/>
  <c r="V40" i="29"/>
  <c r="CI6" i="29"/>
  <c r="D6" i="29" a="1"/>
  <c r="F6" i="29" a="1"/>
  <c r="E6" i="29" a="1"/>
  <c r="C6" i="29" a="1"/>
  <c r="G6" i="29" a="1"/>
  <c r="CD209" i="29"/>
  <c r="O209" i="29" s="1"/>
  <c r="CI209" i="29"/>
  <c r="CG209" i="29"/>
  <c r="S209" i="29" s="1"/>
  <c r="CF209" i="29"/>
  <c r="Q209" i="29" s="1"/>
  <c r="A209" i="29"/>
  <c r="G209" i="29" a="1"/>
  <c r="F209" i="29" a="1"/>
  <c r="E209" i="29" a="1"/>
  <c r="D209" i="29" a="1"/>
  <c r="C209" i="29" a="1"/>
  <c r="V209" i="29"/>
  <c r="BV209" i="29"/>
  <c r="BO209" i="29"/>
  <c r="BN209" i="29"/>
  <c r="CI13" i="29"/>
  <c r="C13" i="29" a="1"/>
  <c r="G13" i="29" a="1"/>
  <c r="F13" i="29" a="1"/>
  <c r="E13" i="29" a="1"/>
  <c r="D13" i="29" a="1"/>
  <c r="BN13" i="29" s="1"/>
  <c r="BO13" i="29" s="1"/>
  <c r="BV13" i="29"/>
  <c r="G12" i="29" a="1"/>
  <c r="D12" i="29" a="1"/>
  <c r="BN12" i="29" s="1"/>
  <c r="BO12" i="29" s="1"/>
  <c r="F12" i="29" a="1"/>
  <c r="E12" i="29" a="1"/>
  <c r="C12" i="29" a="1"/>
  <c r="BV12" i="29"/>
  <c r="CI12" i="29"/>
  <c r="CI113" i="29"/>
  <c r="CG113" i="29"/>
  <c r="S113" i="29" s="1"/>
  <c r="CD113" i="29"/>
  <c r="O113" i="29" s="1"/>
  <c r="CF113" i="29"/>
  <c r="Q113" i="29" s="1"/>
  <c r="A113" i="29"/>
  <c r="G113" i="29" a="1"/>
  <c r="E113" i="29" a="1"/>
  <c r="D113" i="29" a="1"/>
  <c r="C113" i="29" a="1"/>
  <c r="F113" i="29" a="1"/>
  <c r="V113" i="29"/>
  <c r="BO113" i="29"/>
  <c r="BN113" i="29"/>
  <c r="BV113" i="29"/>
  <c r="D73" i="29" a="1"/>
  <c r="C73" i="29" a="1"/>
  <c r="E73" i="29" a="1"/>
  <c r="G73" i="29" a="1"/>
  <c r="F73" i="29" a="1"/>
  <c r="V73" i="29"/>
  <c r="CD73" i="29"/>
  <c r="O73" i="29" s="1"/>
  <c r="A73" i="29"/>
  <c r="BV73" i="29"/>
  <c r="CI73" i="29"/>
  <c r="BO73" i="29"/>
  <c r="BN73" i="29"/>
  <c r="CF73" i="29"/>
  <c r="Q73" i="29" s="1"/>
  <c r="CG73" i="29"/>
  <c r="S73" i="29" s="1"/>
  <c r="CG164" i="29"/>
  <c r="S164" i="29" s="1"/>
  <c r="CI164" i="29"/>
  <c r="CF164" i="29"/>
  <c r="Q164" i="29" s="1"/>
  <c r="CD164" i="29"/>
  <c r="O164" i="29" s="1"/>
  <c r="A164" i="29"/>
  <c r="V164" i="29"/>
  <c r="E164" i="29" a="1"/>
  <c r="D164" i="29" a="1"/>
  <c r="C164" i="29" a="1"/>
  <c r="G164" i="29" a="1"/>
  <c r="F164" i="29" a="1"/>
  <c r="BV164" i="29"/>
  <c r="BO164" i="29"/>
  <c r="BN164" i="29"/>
  <c r="CD42" i="29"/>
  <c r="O42" i="29" s="1"/>
  <c r="CG42" i="29"/>
  <c r="S42" i="29" s="1"/>
  <c r="CF42" i="29"/>
  <c r="Q42" i="29" s="1"/>
  <c r="CI42" i="29"/>
  <c r="A42" i="29"/>
  <c r="E42" i="29" a="1"/>
  <c r="G42" i="29" a="1"/>
  <c r="F42" i="29" a="1"/>
  <c r="D42" i="29" a="1"/>
  <c r="C42" i="29" a="1"/>
  <c r="V42" i="29"/>
  <c r="BV42" i="29"/>
  <c r="BO42" i="29"/>
  <c r="BN42" i="29"/>
  <c r="CD181" i="29"/>
  <c r="O181" i="29" s="1"/>
  <c r="CI181" i="29"/>
  <c r="CG181" i="29"/>
  <c r="S181" i="29" s="1"/>
  <c r="A181" i="29"/>
  <c r="CF181" i="29"/>
  <c r="Q181" i="29" s="1"/>
  <c r="D181" i="29" a="1"/>
  <c r="E181" i="29" a="1"/>
  <c r="C181" i="29" a="1"/>
  <c r="G181" i="29" a="1"/>
  <c r="F181" i="29" a="1"/>
  <c r="V181" i="29"/>
  <c r="BV181" i="29"/>
  <c r="BO181" i="29"/>
  <c r="BN181" i="29"/>
  <c r="CG218" i="29"/>
  <c r="S218" i="29" s="1"/>
  <c r="CF218" i="29"/>
  <c r="Q218" i="29" s="1"/>
  <c r="CD218" i="29"/>
  <c r="O218" i="29" s="1"/>
  <c r="CI218" i="29"/>
  <c r="A218" i="29"/>
  <c r="BV218" i="29"/>
  <c r="C218" i="29" a="1"/>
  <c r="G218" i="29" a="1"/>
  <c r="F218" i="29" a="1"/>
  <c r="E218" i="29" a="1"/>
  <c r="D218" i="29" a="1"/>
  <c r="BO218" i="29"/>
  <c r="BN218" i="29"/>
  <c r="V218" i="29"/>
  <c r="CI126" i="29"/>
  <c r="CG126" i="29"/>
  <c r="S126" i="29" s="1"/>
  <c r="CF126" i="29"/>
  <c r="Q126" i="29" s="1"/>
  <c r="CD126" i="29"/>
  <c r="O126" i="29" s="1"/>
  <c r="A126" i="29"/>
  <c r="E126" i="29" a="1"/>
  <c r="D126" i="29" a="1"/>
  <c r="G126" i="29" a="1"/>
  <c r="F126" i="29" a="1"/>
  <c r="C126" i="29" a="1"/>
  <c r="V126" i="29"/>
  <c r="BV126" i="29"/>
  <c r="BO126" i="29"/>
  <c r="BN126" i="29"/>
  <c r="CF75" i="29"/>
  <c r="Q75" i="29" s="1"/>
  <c r="CD75" i="29"/>
  <c r="O75" i="29" s="1"/>
  <c r="CI75" i="29"/>
  <c r="CG75" i="29"/>
  <c r="S75" i="29" s="1"/>
  <c r="A75" i="29"/>
  <c r="C75" i="29" a="1"/>
  <c r="G75" i="29" a="1"/>
  <c r="D75" i="29" a="1"/>
  <c r="F75" i="29" a="1"/>
  <c r="E75" i="29" a="1"/>
  <c r="V75" i="29"/>
  <c r="BO75" i="29"/>
  <c r="BN75" i="29"/>
  <c r="BV75" i="29"/>
  <c r="CI98" i="29"/>
  <c r="CG98" i="29"/>
  <c r="S98" i="29" s="1"/>
  <c r="CD98" i="29"/>
  <c r="O98" i="29" s="1"/>
  <c r="CF98" i="29"/>
  <c r="Q98" i="29" s="1"/>
  <c r="A98" i="29"/>
  <c r="C98" i="29" a="1"/>
  <c r="D98" i="29" a="1"/>
  <c r="E98" i="29" a="1"/>
  <c r="G98" i="29" a="1"/>
  <c r="F98" i="29" a="1"/>
  <c r="BV98" i="29"/>
  <c r="V98" i="29"/>
  <c r="BO98" i="29"/>
  <c r="BN98" i="29"/>
  <c r="CF55" i="29"/>
  <c r="Q55" i="29" s="1"/>
  <c r="CI55" i="29"/>
  <c r="CD55" i="29"/>
  <c r="O55" i="29" s="1"/>
  <c r="CG55" i="29"/>
  <c r="S55" i="29" s="1"/>
  <c r="A55" i="29"/>
  <c r="D55" i="29" a="1"/>
  <c r="E55" i="29" a="1"/>
  <c r="C55" i="29" a="1"/>
  <c r="G55" i="29" a="1"/>
  <c r="F55" i="29" a="1"/>
  <c r="BV55" i="29"/>
  <c r="BO55" i="29"/>
  <c r="BN55" i="29"/>
  <c r="V55" i="29"/>
  <c r="CI132" i="29"/>
  <c r="CG132" i="29"/>
  <c r="S132" i="29" s="1"/>
  <c r="CF132" i="29"/>
  <c r="Q132" i="29" s="1"/>
  <c r="CD132" i="29"/>
  <c r="O132" i="29" s="1"/>
  <c r="A132" i="29"/>
  <c r="D132" i="29" a="1"/>
  <c r="G132" i="29" a="1"/>
  <c r="E132" i="29" a="1"/>
  <c r="C132" i="29" a="1"/>
  <c r="F132" i="29" a="1"/>
  <c r="V132" i="29"/>
  <c r="BV132" i="29"/>
  <c r="BO132" i="29"/>
  <c r="BN132" i="29"/>
  <c r="CG221" i="29"/>
  <c r="S221" i="29" s="1"/>
  <c r="CF221" i="29"/>
  <c r="Q221" i="29" s="1"/>
  <c r="CI221" i="29"/>
  <c r="CD221" i="29"/>
  <c r="O221" i="29" s="1"/>
  <c r="A221" i="29"/>
  <c r="E221" i="29" a="1"/>
  <c r="C221" i="29" a="1"/>
  <c r="G221" i="29" a="1"/>
  <c r="F221" i="29" a="1"/>
  <c r="D221" i="29" a="1"/>
  <c r="V221" i="29"/>
  <c r="BV221" i="29"/>
  <c r="BO221" i="29"/>
  <c r="BN221" i="29"/>
  <c r="CD68" i="29"/>
  <c r="O68" i="29" s="1"/>
  <c r="CG68" i="29"/>
  <c r="S68" i="29" s="1"/>
  <c r="CI68" i="29"/>
  <c r="CF68" i="29"/>
  <c r="Q68" i="29" s="1"/>
  <c r="A68" i="29"/>
  <c r="D68" i="29" a="1"/>
  <c r="E68" i="29" a="1"/>
  <c r="F68" i="29" a="1"/>
  <c r="C68" i="29" a="1"/>
  <c r="G68" i="29" a="1"/>
  <c r="BV68" i="29"/>
  <c r="BN68" i="29"/>
  <c r="BO68" i="29"/>
  <c r="V68" i="29"/>
  <c r="CI27" i="29"/>
  <c r="CG27" i="29"/>
  <c r="S27" i="29" s="1"/>
  <c r="CF27" i="29"/>
  <c r="Q27" i="29" s="1"/>
  <c r="A27" i="29"/>
  <c r="CD27" i="29"/>
  <c r="O27" i="29" s="1"/>
  <c r="C27" i="29" a="1"/>
  <c r="G27" i="29" a="1"/>
  <c r="F27" i="29" a="1"/>
  <c r="E27" i="29" a="1"/>
  <c r="D27" i="29" a="1"/>
  <c r="V27" i="29"/>
  <c r="BV27" i="29"/>
  <c r="BO27" i="29"/>
  <c r="BN27" i="29"/>
  <c r="G220" i="29" a="1"/>
  <c r="F220" i="29" a="1"/>
  <c r="D220" i="29" a="1"/>
  <c r="E220" i="29" a="1"/>
  <c r="C220" i="29" a="1"/>
  <c r="V220" i="29"/>
  <c r="CI220" i="29"/>
  <c r="CF220" i="29"/>
  <c r="Q220" i="29" s="1"/>
  <c r="A220" i="29"/>
  <c r="BV220" i="29"/>
  <c r="BO220" i="29"/>
  <c r="BN220" i="29"/>
  <c r="CD220" i="29"/>
  <c r="O220" i="29" s="1"/>
  <c r="CG220" i="29"/>
  <c r="S220" i="29" s="1"/>
  <c r="CG191" i="29"/>
  <c r="S191" i="29" s="1"/>
  <c r="CF191" i="29"/>
  <c r="Q191" i="29" s="1"/>
  <c r="CD191" i="29"/>
  <c r="O191" i="29" s="1"/>
  <c r="CI191" i="29"/>
  <c r="A191" i="29"/>
  <c r="C191" i="29" a="1"/>
  <c r="D191" i="29" a="1"/>
  <c r="G191" i="29" a="1"/>
  <c r="F191" i="29" a="1"/>
  <c r="E191" i="29" a="1"/>
  <c r="BV191" i="29"/>
  <c r="BO191" i="29"/>
  <c r="BN191" i="29"/>
  <c r="V191" i="29"/>
  <c r="G107" i="29" a="1"/>
  <c r="C107" i="29" a="1"/>
  <c r="E107" i="29" a="1"/>
  <c r="D107" i="29" a="1"/>
  <c r="F107" i="29" a="1"/>
  <c r="CF107" i="29"/>
  <c r="Q107" i="29" s="1"/>
  <c r="CD107" i="29"/>
  <c r="O107" i="29" s="1"/>
  <c r="BV107" i="29"/>
  <c r="CI107" i="29"/>
  <c r="BO107" i="29"/>
  <c r="BN107" i="29"/>
  <c r="V107" i="29"/>
  <c r="CG107" i="29"/>
  <c r="S107" i="29" s="1"/>
  <c r="A107" i="29"/>
  <c r="CG31" i="29"/>
  <c r="S31" i="29" s="1"/>
  <c r="CF31" i="29"/>
  <c r="Q31" i="29" s="1"/>
  <c r="CD31" i="29"/>
  <c r="O31" i="29" s="1"/>
  <c r="CI31" i="29"/>
  <c r="A31" i="29"/>
  <c r="G31" i="29" a="1"/>
  <c r="E31" i="29" a="1"/>
  <c r="D31" i="29" a="1"/>
  <c r="C31" i="29" a="1"/>
  <c r="F31" i="29" a="1"/>
  <c r="BV31" i="29"/>
  <c r="V31" i="29"/>
  <c r="BO31" i="29"/>
  <c r="BN31" i="29"/>
  <c r="CF216" i="29"/>
  <c r="Q216" i="29" s="1"/>
  <c r="A216" i="29"/>
  <c r="CD216" i="29"/>
  <c r="O216" i="29" s="1"/>
  <c r="CI216" i="29"/>
  <c r="CG216" i="29"/>
  <c r="S216" i="29" s="1"/>
  <c r="D216" i="29" a="1"/>
  <c r="F216" i="29" a="1"/>
  <c r="E216" i="29" a="1"/>
  <c r="C216" i="29" a="1"/>
  <c r="G216" i="29" a="1"/>
  <c r="BV216" i="29"/>
  <c r="BN216" i="29"/>
  <c r="BO216" i="29"/>
  <c r="V216" i="29"/>
  <c r="C247" i="29" a="1"/>
  <c r="E247" i="29" a="1"/>
  <c r="D247" i="29" a="1"/>
  <c r="G247" i="29" a="1"/>
  <c r="F247" i="29" a="1"/>
  <c r="CI247" i="29"/>
  <c r="CF247" i="29"/>
  <c r="Q247" i="29" s="1"/>
  <c r="CD247" i="29"/>
  <c r="O247" i="29" s="1"/>
  <c r="BV247" i="29"/>
  <c r="A247" i="29"/>
  <c r="BO247" i="29"/>
  <c r="BN247" i="29"/>
  <c r="V247" i="29"/>
  <c r="CG247" i="29"/>
  <c r="S247" i="29" s="1"/>
  <c r="CF153" i="29"/>
  <c r="Q153" i="29" s="1"/>
  <c r="CD153" i="29"/>
  <c r="O153" i="29" s="1"/>
  <c r="CI153" i="29"/>
  <c r="CG153" i="29"/>
  <c r="S153" i="29" s="1"/>
  <c r="A153" i="29"/>
  <c r="D153" i="29" a="1"/>
  <c r="G153" i="29" a="1"/>
  <c r="F153" i="29" a="1"/>
  <c r="C153" i="29" a="1"/>
  <c r="E153" i="29" a="1"/>
  <c r="BV153" i="29"/>
  <c r="BN153" i="29"/>
  <c r="BO153" i="29"/>
  <c r="V153" i="29"/>
  <c r="CG105" i="29"/>
  <c r="S105" i="29" s="1"/>
  <c r="CF105" i="29"/>
  <c r="Q105" i="29" s="1"/>
  <c r="CI105" i="29"/>
  <c r="CD105" i="29"/>
  <c r="O105" i="29" s="1"/>
  <c r="A105" i="29"/>
  <c r="G105" i="29" a="1"/>
  <c r="C105" i="29" a="1"/>
  <c r="E105" i="29" a="1"/>
  <c r="D105" i="29" a="1"/>
  <c r="F105" i="29" a="1"/>
  <c r="BO105" i="29"/>
  <c r="BN105" i="29"/>
  <c r="BV105" i="29"/>
  <c r="V105" i="29"/>
  <c r="G72" i="29" a="1"/>
  <c r="F72" i="29" a="1"/>
  <c r="E72" i="29" a="1"/>
  <c r="D72" i="29" a="1"/>
  <c r="C72" i="29" a="1"/>
  <c r="V72" i="29"/>
  <c r="CG72" i="29"/>
  <c r="S72" i="29" s="1"/>
  <c r="CF72" i="29"/>
  <c r="Q72" i="29" s="1"/>
  <c r="CI72" i="29"/>
  <c r="BV72" i="29"/>
  <c r="BN72" i="29"/>
  <c r="BO72" i="29"/>
  <c r="CD72" i="29"/>
  <c r="O72" i="29" s="1"/>
  <c r="A72" i="29"/>
  <c r="CD38" i="29"/>
  <c r="O38" i="29" s="1"/>
  <c r="CG38" i="29"/>
  <c r="S38" i="29" s="1"/>
  <c r="CI38" i="29"/>
  <c r="CF38" i="29"/>
  <c r="Q38" i="29" s="1"/>
  <c r="A38" i="29"/>
  <c r="D38" i="29" a="1"/>
  <c r="E38" i="29" a="1"/>
  <c r="G38" i="29" a="1"/>
  <c r="F38" i="29" a="1"/>
  <c r="C38" i="29" a="1"/>
  <c r="BV38" i="29"/>
  <c r="V38" i="29"/>
  <c r="BO38" i="29"/>
  <c r="BN38" i="29"/>
  <c r="CG210" i="29"/>
  <c r="S210" i="29" s="1"/>
  <c r="CI210" i="29"/>
  <c r="CF210" i="29"/>
  <c r="Q210" i="29" s="1"/>
  <c r="CD210" i="29"/>
  <c r="O210" i="29" s="1"/>
  <c r="A210" i="29"/>
  <c r="C210" i="29" a="1"/>
  <c r="G210" i="29" a="1"/>
  <c r="F210" i="29" a="1"/>
  <c r="E210" i="29" a="1"/>
  <c r="D210" i="29" a="1"/>
  <c r="BV210" i="29"/>
  <c r="BO210" i="29"/>
  <c r="BN210" i="29"/>
  <c r="V210" i="29"/>
  <c r="F173" i="29" a="1"/>
  <c r="E173" i="29" a="1"/>
  <c r="D173" i="29" a="1"/>
  <c r="C173" i="29" a="1"/>
  <c r="G173" i="29" a="1"/>
  <c r="V173" i="29"/>
  <c r="CD173" i="29"/>
  <c r="O173" i="29" s="1"/>
  <c r="CF173" i="29"/>
  <c r="Q173" i="29" s="1"/>
  <c r="A173" i="29"/>
  <c r="BV173" i="29"/>
  <c r="CG173" i="29"/>
  <c r="S173" i="29" s="1"/>
  <c r="BO173" i="29"/>
  <c r="BN173" i="29"/>
  <c r="CI173" i="29"/>
  <c r="CG234" i="29"/>
  <c r="S234" i="29" s="1"/>
  <c r="CI234" i="29"/>
  <c r="CF234" i="29"/>
  <c r="Q234" i="29" s="1"/>
  <c r="CD234" i="29"/>
  <c r="O234" i="29" s="1"/>
  <c r="A234" i="29"/>
  <c r="D234" i="29" a="1"/>
  <c r="C234" i="29" a="1"/>
  <c r="G234" i="29" a="1"/>
  <c r="F234" i="29" a="1"/>
  <c r="E234" i="29" a="1"/>
  <c r="V234" i="29"/>
  <c r="BV234" i="29"/>
  <c r="BO234" i="29"/>
  <c r="BN234" i="29"/>
  <c r="CG190" i="29"/>
  <c r="S190" i="29" s="1"/>
  <c r="CI190" i="29"/>
  <c r="A190" i="29"/>
  <c r="CF190" i="29"/>
  <c r="Q190" i="29" s="1"/>
  <c r="CD190" i="29"/>
  <c r="O190" i="29" s="1"/>
  <c r="D190" i="29" a="1"/>
  <c r="C190" i="29" a="1"/>
  <c r="G190" i="29" a="1"/>
  <c r="F190" i="29" a="1"/>
  <c r="E190" i="29" a="1"/>
  <c r="BV190" i="29"/>
  <c r="V190" i="29"/>
  <c r="BO190" i="29"/>
  <c r="BN190" i="29"/>
  <c r="G110" i="29" a="1"/>
  <c r="E110" i="29" a="1"/>
  <c r="D110" i="29" a="1"/>
  <c r="C110" i="29" a="1"/>
  <c r="F110" i="29" a="1"/>
  <c r="CI110" i="29"/>
  <c r="CF110" i="29"/>
  <c r="Q110" i="29" s="1"/>
  <c r="A110" i="29"/>
  <c r="BV110" i="29"/>
  <c r="V110" i="29"/>
  <c r="CD110" i="29"/>
  <c r="O110" i="29" s="1"/>
  <c r="BO110" i="29"/>
  <c r="BN110" i="29"/>
  <c r="CG110" i="29"/>
  <c r="S110" i="29" s="1"/>
  <c r="CI11" i="29"/>
  <c r="D11" i="29" a="1"/>
  <c r="F11" i="29" a="1"/>
  <c r="E11" i="29" a="1"/>
  <c r="G11" i="29" a="1"/>
  <c r="C11" i="29" a="1"/>
  <c r="CI89" i="29"/>
  <c r="CF89" i="29"/>
  <c r="Q89" i="29" s="1"/>
  <c r="CD89" i="29"/>
  <c r="O89" i="29" s="1"/>
  <c r="CG89" i="29"/>
  <c r="S89" i="29" s="1"/>
  <c r="A89" i="29"/>
  <c r="C89" i="29" a="1"/>
  <c r="F89" i="29" a="1"/>
  <c r="E89" i="29" a="1"/>
  <c r="G89" i="29" a="1"/>
  <c r="D89" i="29" a="1"/>
  <c r="V89" i="29"/>
  <c r="BO89" i="29"/>
  <c r="BN89" i="29"/>
  <c r="BV89" i="29"/>
  <c r="D26" i="29" a="1"/>
  <c r="E26" i="29" a="1"/>
  <c r="C26" i="29" a="1"/>
  <c r="G26" i="29" a="1"/>
  <c r="F26" i="29" a="1"/>
  <c r="CD26" i="29"/>
  <c r="O26" i="29" s="1"/>
  <c r="CF26" i="29"/>
  <c r="Q26" i="29" s="1"/>
  <c r="CI26" i="29"/>
  <c r="BV26" i="29"/>
  <c r="BO26" i="29"/>
  <c r="BN26" i="29"/>
  <c r="V26" i="29"/>
  <c r="CG26" i="29"/>
  <c r="S26" i="29" s="1"/>
  <c r="A26" i="29"/>
  <c r="CG176" i="29"/>
  <c r="S176" i="29" s="1"/>
  <c r="CF176" i="29"/>
  <c r="Q176" i="29" s="1"/>
  <c r="CD176" i="29"/>
  <c r="O176" i="29" s="1"/>
  <c r="CI176" i="29"/>
  <c r="A176" i="29"/>
  <c r="E176" i="29" a="1"/>
  <c r="D176" i="29" a="1"/>
  <c r="C176" i="29" a="1"/>
  <c r="F176" i="29" a="1"/>
  <c r="G176" i="29" a="1"/>
  <c r="V176" i="29"/>
  <c r="BV176" i="29"/>
  <c r="BN176" i="29"/>
  <c r="BO176" i="29"/>
  <c r="CF71" i="29"/>
  <c r="Q71" i="29" s="1"/>
  <c r="CI71" i="29"/>
  <c r="CG71" i="29"/>
  <c r="S71" i="29" s="1"/>
  <c r="CD71" i="29"/>
  <c r="O71" i="29" s="1"/>
  <c r="A71" i="29"/>
  <c r="D71" i="29" a="1"/>
  <c r="E71" i="29" a="1"/>
  <c r="G71" i="29" a="1"/>
  <c r="F71" i="29" a="1"/>
  <c r="C71" i="29" a="1"/>
  <c r="BV71" i="29"/>
  <c r="V71" i="29"/>
  <c r="BN71" i="29"/>
  <c r="BO71" i="29"/>
  <c r="CI161" i="29"/>
  <c r="CG161" i="29"/>
  <c r="S161" i="29" s="1"/>
  <c r="CF161" i="29"/>
  <c r="Q161" i="29" s="1"/>
  <c r="CD161" i="29"/>
  <c r="O161" i="29" s="1"/>
  <c r="A161" i="29"/>
  <c r="C161" i="29" a="1"/>
  <c r="E161" i="29" a="1"/>
  <c r="D161" i="29" a="1"/>
  <c r="G161" i="29" a="1"/>
  <c r="F161" i="29" a="1"/>
  <c r="BV161" i="29"/>
  <c r="BO161" i="29"/>
  <c r="BN161" i="29"/>
  <c r="V161" i="29"/>
  <c r="CG204" i="29"/>
  <c r="S204" i="29" s="1"/>
  <c r="CI204" i="29"/>
  <c r="CF204" i="29"/>
  <c r="Q204" i="29" s="1"/>
  <c r="A204" i="29"/>
  <c r="CD204" i="29"/>
  <c r="O204" i="29" s="1"/>
  <c r="D204" i="29" a="1"/>
  <c r="E204" i="29" a="1"/>
  <c r="C204" i="29" a="1"/>
  <c r="F204" i="29" a="1"/>
  <c r="G204" i="29" a="1"/>
  <c r="BV204" i="29"/>
  <c r="BO204" i="29"/>
  <c r="BN204" i="29"/>
  <c r="V204" i="29"/>
  <c r="CD125" i="29"/>
  <c r="O125" i="29" s="1"/>
  <c r="CF125" i="29"/>
  <c r="Q125" i="29" s="1"/>
  <c r="CG125" i="29"/>
  <c r="S125" i="29" s="1"/>
  <c r="CI125" i="29"/>
  <c r="A125" i="29"/>
  <c r="G125" i="29" a="1"/>
  <c r="F125" i="29" a="1"/>
  <c r="C125" i="29" a="1"/>
  <c r="E125" i="29" a="1"/>
  <c r="D125" i="29" a="1"/>
  <c r="BV125" i="29"/>
  <c r="BO125" i="29"/>
  <c r="BN125" i="29"/>
  <c r="V125" i="29"/>
  <c r="CD30" i="29"/>
  <c r="O30" i="29" s="1"/>
  <c r="CI30" i="29"/>
  <c r="CG30" i="29"/>
  <c r="S30" i="29" s="1"/>
  <c r="A30" i="29"/>
  <c r="CF30" i="29"/>
  <c r="Q30" i="29" s="1"/>
  <c r="F30" i="29" a="1"/>
  <c r="D30" i="29" a="1"/>
  <c r="C30" i="29" a="1"/>
  <c r="G30" i="29" a="1"/>
  <c r="E30" i="29" a="1"/>
  <c r="BV30" i="29"/>
  <c r="BO30" i="29"/>
  <c r="BN30" i="29"/>
  <c r="V30" i="29"/>
  <c r="CI230" i="29"/>
  <c r="CF230" i="29"/>
  <c r="Q230" i="29" s="1"/>
  <c r="CG230" i="29"/>
  <c r="S230" i="29" s="1"/>
  <c r="CD230" i="29"/>
  <c r="O230" i="29" s="1"/>
  <c r="A230" i="29"/>
  <c r="G230" i="29" a="1"/>
  <c r="E230" i="29" a="1"/>
  <c r="F230" i="29" a="1"/>
  <c r="D230" i="29" a="1"/>
  <c r="C230" i="29" a="1"/>
  <c r="BV230" i="29"/>
  <c r="V230" i="29"/>
  <c r="BO230" i="29"/>
  <c r="BN230" i="29"/>
  <c r="CD189" i="29"/>
  <c r="O189" i="29" s="1"/>
  <c r="CI189" i="29"/>
  <c r="CF189" i="29"/>
  <c r="Q189" i="29" s="1"/>
  <c r="A189" i="29"/>
  <c r="CG189" i="29"/>
  <c r="S189" i="29" s="1"/>
  <c r="C189" i="29" a="1"/>
  <c r="E189" i="29" a="1"/>
  <c r="F189" i="29" a="1"/>
  <c r="D189" i="29" a="1"/>
  <c r="G189" i="29" a="1"/>
  <c r="V189" i="29"/>
  <c r="BO189" i="29"/>
  <c r="BV189" i="29"/>
  <c r="BN189" i="29"/>
  <c r="CD112" i="29"/>
  <c r="O112" i="29" s="1"/>
  <c r="CG112" i="29"/>
  <c r="S112" i="29" s="1"/>
  <c r="CF112" i="29"/>
  <c r="Q112" i="29" s="1"/>
  <c r="CI112" i="29"/>
  <c r="A112" i="29"/>
  <c r="G112" i="29" a="1"/>
  <c r="D112" i="29" a="1"/>
  <c r="C112" i="29" a="1"/>
  <c r="E112" i="29" a="1"/>
  <c r="F112" i="29" a="1"/>
  <c r="BV112" i="29"/>
  <c r="BO112" i="29"/>
  <c r="BN112" i="29"/>
  <c r="V112" i="29"/>
  <c r="CG188" i="29"/>
  <c r="S188" i="29" s="1"/>
  <c r="CI188" i="29"/>
  <c r="CF188" i="29"/>
  <c r="Q188" i="29" s="1"/>
  <c r="CD188" i="29"/>
  <c r="O188" i="29" s="1"/>
  <c r="A188" i="29"/>
  <c r="G188" i="29" a="1"/>
  <c r="F188" i="29" a="1"/>
  <c r="C188" i="29" a="1"/>
  <c r="E188" i="29" a="1"/>
  <c r="D188" i="29" a="1"/>
  <c r="BO188" i="29"/>
  <c r="BV188" i="29"/>
  <c r="BN188" i="29"/>
  <c r="V188" i="29"/>
  <c r="CI62" i="29"/>
  <c r="CF62" i="29"/>
  <c r="Q62" i="29" s="1"/>
  <c r="CD62" i="29"/>
  <c r="O62" i="29" s="1"/>
  <c r="A62" i="29"/>
  <c r="CG62" i="29"/>
  <c r="S62" i="29" s="1"/>
  <c r="V62" i="29"/>
  <c r="C62" i="29" a="1"/>
  <c r="D62" i="29" a="1"/>
  <c r="E62" i="29" a="1"/>
  <c r="G62" i="29" a="1"/>
  <c r="F62" i="29" a="1"/>
  <c r="BV62" i="29"/>
  <c r="BO62" i="29"/>
  <c r="BN62" i="29"/>
  <c r="CD28" i="29"/>
  <c r="O28" i="29" s="1"/>
  <c r="CI28" i="29"/>
  <c r="CG28" i="29"/>
  <c r="S28" i="29" s="1"/>
  <c r="CF28" i="29"/>
  <c r="Q28" i="29" s="1"/>
  <c r="A28" i="29"/>
  <c r="E28" i="29" a="1"/>
  <c r="F28" i="29" a="1"/>
  <c r="C28" i="29" a="1"/>
  <c r="D28" i="29" a="1"/>
  <c r="G28" i="29" a="1"/>
  <c r="V28" i="29"/>
  <c r="BV28" i="29"/>
  <c r="BN28" i="29"/>
  <c r="BO28" i="29"/>
  <c r="G194" i="29" a="1"/>
  <c r="F194" i="29" a="1"/>
  <c r="E194" i="29" a="1"/>
  <c r="C194" i="29" a="1"/>
  <c r="D194" i="29" a="1"/>
  <c r="V194" i="29"/>
  <c r="CF194" i="29"/>
  <c r="Q194" i="29" s="1"/>
  <c r="A194" i="29"/>
  <c r="CI194" i="29"/>
  <c r="BV194" i="29"/>
  <c r="BO194" i="29"/>
  <c r="BN194" i="29"/>
  <c r="CD194" i="29"/>
  <c r="O194" i="29" s="1"/>
  <c r="CG194" i="29"/>
  <c r="S194" i="29" s="1"/>
  <c r="CG170" i="29"/>
  <c r="S170" i="29" s="1"/>
  <c r="CD170" i="29"/>
  <c r="O170" i="29" s="1"/>
  <c r="CF170" i="29"/>
  <c r="Q170" i="29" s="1"/>
  <c r="CI170" i="29"/>
  <c r="A170" i="29"/>
  <c r="G170" i="29" a="1"/>
  <c r="F170" i="29" a="1"/>
  <c r="E170" i="29" a="1"/>
  <c r="D170" i="29" a="1"/>
  <c r="C170" i="29" a="1"/>
  <c r="BV170" i="29"/>
  <c r="V170" i="29"/>
  <c r="BO170" i="29"/>
  <c r="BN170" i="29"/>
  <c r="CI227" i="29"/>
  <c r="CG227" i="29"/>
  <c r="S227" i="29" s="1"/>
  <c r="CF227" i="29"/>
  <c r="Q227" i="29" s="1"/>
  <c r="A227" i="29"/>
  <c r="CD227" i="29"/>
  <c r="O227" i="29" s="1"/>
  <c r="G227" i="29" a="1"/>
  <c r="E227" i="29" a="1"/>
  <c r="D227" i="29" a="1"/>
  <c r="C227" i="29" a="1"/>
  <c r="F227" i="29" a="1"/>
  <c r="V227" i="29"/>
  <c r="BV227" i="29"/>
  <c r="BO227" i="29"/>
  <c r="BN227" i="29"/>
  <c r="E81" i="29" a="1"/>
  <c r="G81" i="29" a="1"/>
  <c r="F81" i="29" a="1"/>
  <c r="C81" i="29" a="1"/>
  <c r="D81" i="29" a="1"/>
  <c r="CF81" i="29"/>
  <c r="Q81" i="29" s="1"/>
  <c r="A81" i="29"/>
  <c r="CG81" i="29"/>
  <c r="S81" i="29" s="1"/>
  <c r="BV81" i="29"/>
  <c r="V81" i="29"/>
  <c r="BO81" i="29"/>
  <c r="BN81" i="29"/>
  <c r="CI81" i="29"/>
  <c r="CD81" i="29"/>
  <c r="O81" i="29" s="1"/>
  <c r="CD246" i="29"/>
  <c r="O246" i="29" s="1"/>
  <c r="CI246" i="29"/>
  <c r="CF246" i="29"/>
  <c r="Q246" i="29" s="1"/>
  <c r="CG246" i="29"/>
  <c r="S246" i="29" s="1"/>
  <c r="A246" i="29"/>
  <c r="D246" i="29" a="1"/>
  <c r="C246" i="29" a="1"/>
  <c r="G246" i="29" a="1"/>
  <c r="F246" i="29" a="1"/>
  <c r="E246" i="29" a="1"/>
  <c r="BV246" i="29"/>
  <c r="BO246" i="29"/>
  <c r="BN246" i="29"/>
  <c r="V246" i="29"/>
  <c r="CD165" i="29"/>
  <c r="O165" i="29" s="1"/>
  <c r="CI165" i="29"/>
  <c r="CF165" i="29"/>
  <c r="Q165" i="29" s="1"/>
  <c r="A165" i="29"/>
  <c r="CG165" i="29"/>
  <c r="S165" i="29" s="1"/>
  <c r="G165" i="29" a="1"/>
  <c r="F165" i="29" a="1"/>
  <c r="C165" i="29" a="1"/>
  <c r="E165" i="29" a="1"/>
  <c r="D165" i="29" a="1"/>
  <c r="BV165" i="29"/>
  <c r="V165" i="29"/>
  <c r="BO165" i="29"/>
  <c r="BN165" i="29"/>
  <c r="D61" i="29" a="1"/>
  <c r="C61" i="29" a="1"/>
  <c r="E61" i="29" a="1"/>
  <c r="G61" i="29" a="1"/>
  <c r="F61" i="29" a="1"/>
  <c r="V61" i="29"/>
  <c r="CF61" i="29"/>
  <c r="Q61" i="29" s="1"/>
  <c r="CD61" i="29"/>
  <c r="O61" i="29" s="1"/>
  <c r="A61" i="29"/>
  <c r="BV61" i="29"/>
  <c r="BO61" i="29"/>
  <c r="BN61" i="29"/>
  <c r="CG61" i="29"/>
  <c r="S61" i="29" s="1"/>
  <c r="CI61" i="29"/>
  <c r="CI120" i="29"/>
  <c r="CG120" i="29"/>
  <c r="S120" i="29" s="1"/>
  <c r="CF120" i="29"/>
  <c r="Q120" i="29" s="1"/>
  <c r="CD120" i="29"/>
  <c r="O120" i="29" s="1"/>
  <c r="A120" i="29"/>
  <c r="G120" i="29" a="1"/>
  <c r="C120" i="29" a="1"/>
  <c r="F120" i="29" a="1"/>
  <c r="E120" i="29" a="1"/>
  <c r="D120" i="29" a="1"/>
  <c r="BV120" i="29"/>
  <c r="BN120" i="29"/>
  <c r="BO120" i="29"/>
  <c r="V120" i="29"/>
  <c r="V87" i="29"/>
  <c r="CI87" i="29"/>
  <c r="A87" i="29"/>
  <c r="D87" i="29" a="1"/>
  <c r="C87" i="29" a="1"/>
  <c r="G87" i="29" a="1"/>
  <c r="F87" i="29" a="1"/>
  <c r="E87" i="29" a="1"/>
  <c r="BV87" i="29"/>
  <c r="BO87" i="29"/>
  <c r="BN87" i="29"/>
  <c r="CG87" i="29"/>
  <c r="S87" i="29" s="1"/>
  <c r="CF87" i="29"/>
  <c r="Q87" i="29" s="1"/>
  <c r="CD87" i="29"/>
  <c r="O87" i="29" s="1"/>
  <c r="CD150" i="29"/>
  <c r="O150" i="29" s="1"/>
  <c r="A150" i="29"/>
  <c r="CI150" i="29"/>
  <c r="CG150" i="29"/>
  <c r="S150" i="29" s="1"/>
  <c r="CF150" i="29"/>
  <c r="Q150" i="29" s="1"/>
  <c r="C150" i="29" a="1"/>
  <c r="G150" i="29" a="1"/>
  <c r="E150" i="29" a="1"/>
  <c r="D150" i="29" a="1"/>
  <c r="F150" i="29" a="1"/>
  <c r="V150" i="29"/>
  <c r="BV150" i="29"/>
  <c r="BN150" i="29"/>
  <c r="BO150" i="29"/>
  <c r="CG108" i="29"/>
  <c r="S108" i="29" s="1"/>
  <c r="A108" i="29"/>
  <c r="CD108" i="29"/>
  <c r="O108" i="29" s="1"/>
  <c r="CI108" i="29"/>
  <c r="CF108" i="29"/>
  <c r="Q108" i="29" s="1"/>
  <c r="G108" i="29" a="1"/>
  <c r="E108" i="29" a="1"/>
  <c r="D108" i="29" a="1"/>
  <c r="C108" i="29" a="1"/>
  <c r="F108" i="29" a="1"/>
  <c r="V108" i="29"/>
  <c r="BV108" i="29"/>
  <c r="BO108" i="29"/>
  <c r="BN108" i="29"/>
  <c r="CI193" i="29"/>
  <c r="CG193" i="29"/>
  <c r="S193" i="29" s="1"/>
  <c r="CF193" i="29"/>
  <c r="Q193" i="29" s="1"/>
  <c r="CD193" i="29"/>
  <c r="O193" i="29" s="1"/>
  <c r="A193" i="29"/>
  <c r="C193" i="29" a="1"/>
  <c r="G193" i="29" a="1"/>
  <c r="F193" i="29" a="1"/>
  <c r="D193" i="29" a="1"/>
  <c r="E193" i="29" a="1"/>
  <c r="BV193" i="29"/>
  <c r="BO193" i="29"/>
  <c r="BN193" i="29"/>
  <c r="V193" i="29"/>
  <c r="CG208" i="29"/>
  <c r="S208" i="29" s="1"/>
  <c r="CI208" i="29"/>
  <c r="CF208" i="29"/>
  <c r="Q208" i="29" s="1"/>
  <c r="CD208" i="29"/>
  <c r="O208" i="29" s="1"/>
  <c r="A208" i="29"/>
  <c r="G208" i="29" a="1"/>
  <c r="F208" i="29" a="1"/>
  <c r="D208" i="29" a="1"/>
  <c r="E208" i="29" a="1"/>
  <c r="C208" i="29" a="1"/>
  <c r="V208" i="29"/>
  <c r="BV208" i="29"/>
  <c r="BO208" i="29"/>
  <c r="BN208" i="29"/>
  <c r="CF79" i="29"/>
  <c r="Q79" i="29" s="1"/>
  <c r="CI79" i="29"/>
  <c r="CD79" i="29"/>
  <c r="O79" i="29" s="1"/>
  <c r="CG79" i="29"/>
  <c r="S79" i="29" s="1"/>
  <c r="A79" i="29"/>
  <c r="C79" i="29" a="1"/>
  <c r="G79" i="29" a="1"/>
  <c r="F79" i="29" a="1"/>
  <c r="D79" i="29" a="1"/>
  <c r="E79" i="29" a="1"/>
  <c r="V79" i="29"/>
  <c r="BV79" i="29"/>
  <c r="BN79" i="29"/>
  <c r="BO79" i="29"/>
  <c r="CG198" i="29"/>
  <c r="S198" i="29" s="1"/>
  <c r="CI198" i="29"/>
  <c r="CD198" i="29"/>
  <c r="O198" i="29" s="1"/>
  <c r="CF198" i="29"/>
  <c r="Q198" i="29" s="1"/>
  <c r="A198" i="29"/>
  <c r="BV198" i="29"/>
  <c r="D198" i="29" a="1"/>
  <c r="C198" i="29" a="1"/>
  <c r="G198" i="29" a="1"/>
  <c r="F198" i="29" a="1"/>
  <c r="E198" i="29" a="1"/>
  <c r="BO198" i="29"/>
  <c r="BN198" i="29"/>
  <c r="V198" i="29"/>
  <c r="D99" i="29" a="1"/>
  <c r="C99" i="29" a="1"/>
  <c r="G99" i="29" a="1"/>
  <c r="F99" i="29" a="1"/>
  <c r="E99" i="29" a="1"/>
  <c r="V99" i="29"/>
  <c r="A99" i="29"/>
  <c r="BO99" i="29"/>
  <c r="CI99" i="29"/>
  <c r="CD99" i="29"/>
  <c r="O99" i="29" s="1"/>
  <c r="BV99" i="29"/>
  <c r="BN99" i="29"/>
  <c r="CF99" i="29"/>
  <c r="Q99" i="29" s="1"/>
  <c r="CG99" i="29"/>
  <c r="S99" i="29" s="1"/>
  <c r="CI217" i="29"/>
  <c r="CG217" i="29"/>
  <c r="S217" i="29" s="1"/>
  <c r="CD217" i="29"/>
  <c r="O217" i="29" s="1"/>
  <c r="CF217" i="29"/>
  <c r="Q217" i="29" s="1"/>
  <c r="A217" i="29"/>
  <c r="E217" i="29" a="1"/>
  <c r="G217" i="29" a="1"/>
  <c r="C217" i="29" a="1"/>
  <c r="F217" i="29" a="1"/>
  <c r="D217" i="29" a="1"/>
  <c r="BV217" i="29"/>
  <c r="BN217" i="29"/>
  <c r="BO217" i="29"/>
  <c r="V217" i="29"/>
  <c r="CF57" i="29"/>
  <c r="Q57" i="29" s="1"/>
  <c r="CI57" i="29"/>
  <c r="CG57" i="29"/>
  <c r="S57" i="29" s="1"/>
  <c r="A57" i="29"/>
  <c r="CD57" i="29"/>
  <c r="O57" i="29" s="1"/>
  <c r="E57" i="29" a="1"/>
  <c r="D57" i="29" a="1"/>
  <c r="C57" i="29" a="1"/>
  <c r="G57" i="29" a="1"/>
  <c r="F57" i="29" a="1"/>
  <c r="BV57" i="29"/>
  <c r="BO57" i="29"/>
  <c r="BN57" i="29"/>
  <c r="V57" i="29"/>
  <c r="CI74" i="29"/>
  <c r="CF74" i="29"/>
  <c r="Q74" i="29" s="1"/>
  <c r="CD74" i="29"/>
  <c r="O74" i="29" s="1"/>
  <c r="CG74" i="29"/>
  <c r="S74" i="29" s="1"/>
  <c r="A74" i="29"/>
  <c r="E74" i="29" a="1"/>
  <c r="D74" i="29" a="1"/>
  <c r="C74" i="29" a="1"/>
  <c r="F74" i="29" a="1"/>
  <c r="G74" i="29" a="1"/>
  <c r="BN74" i="29"/>
  <c r="BV74" i="29"/>
  <c r="BO74" i="29"/>
  <c r="V74" i="29"/>
  <c r="CG96" i="29"/>
  <c r="S96" i="29" s="1"/>
  <c r="CF96" i="29"/>
  <c r="Q96" i="29" s="1"/>
  <c r="CD96" i="29"/>
  <c r="O96" i="29" s="1"/>
  <c r="A96" i="29"/>
  <c r="CI96" i="29"/>
  <c r="F96" i="29" a="1"/>
  <c r="E96" i="29" a="1"/>
  <c r="G96" i="29" a="1"/>
  <c r="D96" i="29" a="1"/>
  <c r="C96" i="29" a="1"/>
  <c r="BV96" i="29"/>
  <c r="BO96" i="29"/>
  <c r="BN96" i="29"/>
  <c r="V96" i="29"/>
  <c r="CF248" i="29"/>
  <c r="Q248" i="29" s="1"/>
  <c r="CD248" i="29"/>
  <c r="O248" i="29" s="1"/>
  <c r="CI248" i="29"/>
  <c r="CG248" i="29"/>
  <c r="S248" i="29" s="1"/>
  <c r="A248" i="29"/>
  <c r="V248" i="29"/>
  <c r="D248" i="29" a="1"/>
  <c r="C248" i="29" a="1"/>
  <c r="F248" i="29" a="1"/>
  <c r="E248" i="29" a="1"/>
  <c r="G248" i="29" a="1"/>
  <c r="BO248" i="29"/>
  <c r="BV248" i="29"/>
  <c r="BN248" i="29"/>
  <c r="CF157" i="29"/>
  <c r="Q157" i="29" s="1"/>
  <c r="CD157" i="29"/>
  <c r="O157" i="29" s="1"/>
  <c r="CI157" i="29"/>
  <c r="CG157" i="29"/>
  <c r="S157" i="29" s="1"/>
  <c r="A157" i="29"/>
  <c r="G157" i="29" a="1"/>
  <c r="F157" i="29" a="1"/>
  <c r="C157" i="29" a="1"/>
  <c r="E157" i="29" a="1"/>
  <c r="D157" i="29" a="1"/>
  <c r="V157" i="29"/>
  <c r="BV157" i="29"/>
  <c r="BO157" i="29"/>
  <c r="BN157" i="29"/>
  <c r="CF121" i="29"/>
  <c r="Q121" i="29" s="1"/>
  <c r="CD121" i="29"/>
  <c r="O121" i="29" s="1"/>
  <c r="CI121" i="29"/>
  <c r="CG121" i="29"/>
  <c r="S121" i="29" s="1"/>
  <c r="A121" i="29"/>
  <c r="G121" i="29" a="1"/>
  <c r="F121" i="29" a="1"/>
  <c r="C121" i="29" a="1"/>
  <c r="E121" i="29" a="1"/>
  <c r="D121" i="29" a="1"/>
  <c r="V121" i="29"/>
  <c r="BV121" i="29"/>
  <c r="BO121" i="29"/>
  <c r="BN121" i="29"/>
  <c r="CI84" i="29"/>
  <c r="CG84" i="29"/>
  <c r="S84" i="29" s="1"/>
  <c r="CD84" i="29"/>
  <c r="O84" i="29" s="1"/>
  <c r="CF84" i="29"/>
  <c r="Q84" i="29" s="1"/>
  <c r="A84" i="29"/>
  <c r="G84" i="29" a="1"/>
  <c r="F84" i="29" a="1"/>
  <c r="D84" i="29" a="1"/>
  <c r="C84" i="29" a="1"/>
  <c r="E84" i="29" a="1"/>
  <c r="BO84" i="29"/>
  <c r="BV84" i="29"/>
  <c r="BN84" i="29"/>
  <c r="V84" i="29"/>
  <c r="BV53" i="29"/>
  <c r="CF53" i="29"/>
  <c r="Q53" i="29" s="1"/>
  <c r="CG53" i="29"/>
  <c r="S53" i="29" s="1"/>
  <c r="CD53" i="29"/>
  <c r="O53" i="29" s="1"/>
  <c r="CI53" i="29"/>
  <c r="A53" i="29"/>
  <c r="C53" i="29" a="1"/>
  <c r="G53" i="29" a="1"/>
  <c r="F53" i="29" a="1"/>
  <c r="E53" i="29" a="1"/>
  <c r="D53" i="29" a="1"/>
  <c r="V53" i="29"/>
  <c r="BN53" i="29"/>
  <c r="BO53" i="29"/>
  <c r="CI5" i="29"/>
  <c r="G5" i="29" a="1"/>
  <c r="E5" i="29" a="1"/>
  <c r="D5" i="29" a="1"/>
  <c r="F5" i="29" a="1"/>
  <c r="C5" i="29" a="1"/>
  <c r="D175" i="29" a="1"/>
  <c r="G175" i="29" a="1"/>
  <c r="F175" i="29" a="1"/>
  <c r="C175" i="29" a="1"/>
  <c r="E175" i="29" a="1"/>
  <c r="CG175" i="29"/>
  <c r="S175" i="29" s="1"/>
  <c r="CI175" i="29"/>
  <c r="A175" i="29"/>
  <c r="BV175" i="29"/>
  <c r="BO175" i="29"/>
  <c r="BN175" i="29"/>
  <c r="CF175" i="29"/>
  <c r="Q175" i="29" s="1"/>
  <c r="V175" i="29"/>
  <c r="CD175" i="29"/>
  <c r="O175" i="29" s="1"/>
  <c r="CD205" i="29"/>
  <c r="O205" i="29" s="1"/>
  <c r="CI205" i="29"/>
  <c r="CG205" i="29"/>
  <c r="S205" i="29" s="1"/>
  <c r="CF205" i="29"/>
  <c r="Q205" i="29" s="1"/>
  <c r="A205" i="29"/>
  <c r="G205" i="29" a="1"/>
  <c r="F205" i="29" a="1"/>
  <c r="E205" i="29" a="1"/>
  <c r="C205" i="29" a="1"/>
  <c r="D205" i="29" a="1"/>
  <c r="BN205" i="29"/>
  <c r="BV205" i="29"/>
  <c r="BO205" i="29"/>
  <c r="V205" i="29"/>
  <c r="CG166" i="29"/>
  <c r="S166" i="29" s="1"/>
  <c r="CI166" i="29"/>
  <c r="A166" i="29"/>
  <c r="CF166" i="29"/>
  <c r="Q166" i="29" s="1"/>
  <c r="CD166" i="29"/>
  <c r="O166" i="29" s="1"/>
  <c r="G166" i="29" a="1"/>
  <c r="F166" i="29" a="1"/>
  <c r="C166" i="29" a="1"/>
  <c r="E166" i="29" a="1"/>
  <c r="D166" i="29" a="1"/>
  <c r="BV166" i="29"/>
  <c r="BO166" i="29"/>
  <c r="BN166" i="29"/>
  <c r="V166" i="29"/>
  <c r="CG143" i="29"/>
  <c r="S143" i="29" s="1"/>
  <c r="CD143" i="29"/>
  <c r="O143" i="29" s="1"/>
  <c r="CI143" i="29"/>
  <c r="CF143" i="29"/>
  <c r="Q143" i="29" s="1"/>
  <c r="A143" i="29"/>
  <c r="V143" i="29"/>
  <c r="F143" i="29" a="1"/>
  <c r="E143" i="29" a="1"/>
  <c r="D143" i="29" a="1"/>
  <c r="G143" i="29" a="1"/>
  <c r="C143" i="29" a="1"/>
  <c r="BV143" i="29"/>
  <c r="BO143" i="29"/>
  <c r="BN143" i="29"/>
  <c r="CD101" i="29"/>
  <c r="O101" i="29" s="1"/>
  <c r="CG101" i="29"/>
  <c r="S101" i="29" s="1"/>
  <c r="A101" i="29"/>
  <c r="G101" i="29" a="1"/>
  <c r="E101" i="29" a="1"/>
  <c r="D101" i="29" a="1"/>
  <c r="C101" i="29" a="1"/>
  <c r="F101" i="29" a="1"/>
  <c r="V101" i="29"/>
  <c r="BV101" i="29"/>
  <c r="BN101" i="29"/>
  <c r="BO101" i="29"/>
  <c r="CI101" i="29"/>
  <c r="CF101" i="29"/>
  <c r="Q101" i="29" s="1"/>
  <c r="CG41" i="29"/>
  <c r="S41" i="29" s="1"/>
  <c r="CI41" i="29"/>
  <c r="CD41" i="29"/>
  <c r="O41" i="29" s="1"/>
  <c r="CF41" i="29"/>
  <c r="Q41" i="29" s="1"/>
  <c r="A41" i="29"/>
  <c r="V41" i="29"/>
  <c r="F41" i="29" a="1"/>
  <c r="G41" i="29" a="1"/>
  <c r="E41" i="29" a="1"/>
  <c r="C41" i="29" a="1"/>
  <c r="D41" i="29" a="1"/>
  <c r="BV41" i="29"/>
  <c r="BO41" i="29"/>
  <c r="BN41" i="29"/>
  <c r="CD235" i="29"/>
  <c r="O235" i="29" s="1"/>
  <c r="CG235" i="29"/>
  <c r="S235" i="29" s="1"/>
  <c r="CF235" i="29"/>
  <c r="Q235" i="29" s="1"/>
  <c r="CI235" i="29"/>
  <c r="A235" i="29"/>
  <c r="F235" i="29" a="1"/>
  <c r="E235" i="29" a="1"/>
  <c r="C235" i="29" a="1"/>
  <c r="G235" i="29" a="1"/>
  <c r="D235" i="29" a="1"/>
  <c r="V235" i="29"/>
  <c r="BV235" i="29"/>
  <c r="BO235" i="29"/>
  <c r="BN235" i="29"/>
  <c r="G252" i="29" a="1"/>
  <c r="E252" i="29" a="1"/>
  <c r="D252" i="29" a="1"/>
  <c r="F252" i="29" a="1"/>
  <c r="C252" i="29" a="1"/>
  <c r="BV252" i="29"/>
  <c r="CI252" i="29"/>
  <c r="A252" i="29"/>
  <c r="BO252" i="29"/>
  <c r="V252" i="29"/>
  <c r="BN252" i="29"/>
  <c r="CF252" i="29"/>
  <c r="Q252" i="29" s="1"/>
  <c r="CG252" i="29"/>
  <c r="S252" i="29" s="1"/>
  <c r="CD252" i="29"/>
  <c r="O252" i="29" s="1"/>
  <c r="CG174" i="29"/>
  <c r="S174" i="29" s="1"/>
  <c r="CI174" i="29"/>
  <c r="CF174" i="29"/>
  <c r="Q174" i="29" s="1"/>
  <c r="CD174" i="29"/>
  <c r="O174" i="29" s="1"/>
  <c r="A174" i="29"/>
  <c r="V174" i="29"/>
  <c r="C174" i="29" a="1"/>
  <c r="G174" i="29" a="1"/>
  <c r="F174" i="29" a="1"/>
  <c r="E174" i="29" a="1"/>
  <c r="D174" i="29" a="1"/>
  <c r="BN174" i="29"/>
  <c r="BV174" i="29"/>
  <c r="BO174" i="29"/>
  <c r="CI109" i="29"/>
  <c r="CG109" i="29"/>
  <c r="S109" i="29" s="1"/>
  <c r="CF109" i="29"/>
  <c r="Q109" i="29" s="1"/>
  <c r="CD109" i="29"/>
  <c r="O109" i="29" s="1"/>
  <c r="A109" i="29"/>
  <c r="G109" i="29" a="1"/>
  <c r="D109" i="29" a="1"/>
  <c r="C109" i="29" a="1"/>
  <c r="E109" i="29" a="1"/>
  <c r="F109" i="29" a="1"/>
  <c r="BV109" i="29"/>
  <c r="BO109" i="29"/>
  <c r="BN109" i="29"/>
  <c r="V109" i="29"/>
  <c r="E83" i="29" a="1"/>
  <c r="D83" i="29" a="1"/>
  <c r="C83" i="29" a="1"/>
  <c r="G83" i="29" a="1"/>
  <c r="F83" i="29" a="1"/>
  <c r="V83" i="29"/>
  <c r="CG83" i="29"/>
  <c r="S83" i="29" s="1"/>
  <c r="BV83" i="29"/>
  <c r="CI83" i="29"/>
  <c r="BO83" i="29"/>
  <c r="BN83" i="29"/>
  <c r="CD83" i="29"/>
  <c r="O83" i="29" s="1"/>
  <c r="A83" i="29"/>
  <c r="CF83" i="29"/>
  <c r="Q83" i="29" s="1"/>
  <c r="CF49" i="29"/>
  <c r="Q49" i="29" s="1"/>
  <c r="CI49" i="29"/>
  <c r="A49" i="29"/>
  <c r="CG49" i="29"/>
  <c r="S49" i="29" s="1"/>
  <c r="CD49" i="29"/>
  <c r="O49" i="29" s="1"/>
  <c r="E49" i="29" a="1"/>
  <c r="D49" i="29" a="1"/>
  <c r="C49" i="29" a="1"/>
  <c r="G49" i="29" a="1"/>
  <c r="F49" i="29" a="1"/>
  <c r="V49" i="29"/>
  <c r="BV49" i="29"/>
  <c r="BN49" i="29"/>
  <c r="BO49" i="29"/>
  <c r="CD16" i="29"/>
  <c r="O16" i="29" s="1"/>
  <c r="CG16" i="29"/>
  <c r="S16" i="29" s="1"/>
  <c r="CF16" i="29"/>
  <c r="Q16" i="29" s="1"/>
  <c r="CI16" i="29"/>
  <c r="A16" i="29"/>
  <c r="D16" i="29" a="1"/>
  <c r="C16" i="29" a="1"/>
  <c r="G16" i="29" a="1"/>
  <c r="E16" i="29" a="1"/>
  <c r="F16" i="29" a="1"/>
  <c r="BV16" i="29"/>
  <c r="BN16" i="29"/>
  <c r="BO16" i="29"/>
  <c r="V16" i="29"/>
  <c r="CG162" i="29"/>
  <c r="S162" i="29" s="1"/>
  <c r="CD162" i="29"/>
  <c r="O162" i="29" s="1"/>
  <c r="CI162" i="29"/>
  <c r="CF162" i="29"/>
  <c r="Q162" i="29" s="1"/>
  <c r="A162" i="29"/>
  <c r="BV162" i="29"/>
  <c r="E162" i="29" a="1"/>
  <c r="D162" i="29" a="1"/>
  <c r="G162" i="29" a="1"/>
  <c r="F162" i="29" a="1"/>
  <c r="C162" i="29" a="1"/>
  <c r="V162" i="29"/>
  <c r="BO162" i="29"/>
  <c r="BN162" i="29"/>
  <c r="CF224" i="29"/>
  <c r="Q224" i="29" s="1"/>
  <c r="CI224" i="29"/>
  <c r="CG224" i="29"/>
  <c r="S224" i="29" s="1"/>
  <c r="CD224" i="29"/>
  <c r="O224" i="29" s="1"/>
  <c r="A224" i="29"/>
  <c r="G224" i="29" a="1"/>
  <c r="F224" i="29" a="1"/>
  <c r="E224" i="29" a="1"/>
  <c r="D224" i="29" a="1"/>
  <c r="C224" i="29" a="1"/>
  <c r="BV224" i="29"/>
  <c r="BO224" i="29"/>
  <c r="BN224" i="29"/>
  <c r="V224" i="29"/>
  <c r="CI122" i="29"/>
  <c r="CG122" i="29"/>
  <c r="S122" i="29" s="1"/>
  <c r="CF122" i="29"/>
  <c r="Q122" i="29" s="1"/>
  <c r="CD122" i="29"/>
  <c r="O122" i="29" s="1"/>
  <c r="A122" i="29"/>
  <c r="E122" i="29" a="1"/>
  <c r="F122" i="29" a="1"/>
  <c r="D122" i="29" a="1"/>
  <c r="G122" i="29" a="1"/>
  <c r="C122" i="29" a="1"/>
  <c r="V122" i="29"/>
  <c r="BV122" i="29"/>
  <c r="BO122" i="29"/>
  <c r="BN122" i="29"/>
  <c r="CG60" i="29"/>
  <c r="S60" i="29" s="1"/>
  <c r="CF60" i="29"/>
  <c r="Q60" i="29" s="1"/>
  <c r="CD60" i="29"/>
  <c r="O60" i="29" s="1"/>
  <c r="CI60" i="29"/>
  <c r="A60" i="29"/>
  <c r="D60" i="29" a="1"/>
  <c r="E60" i="29" a="1"/>
  <c r="F60" i="29" a="1"/>
  <c r="C60" i="29" a="1"/>
  <c r="G60" i="29" a="1"/>
  <c r="BV60" i="29"/>
  <c r="BO60" i="29"/>
  <c r="BN60" i="29"/>
  <c r="V60" i="29"/>
  <c r="CI177" i="29"/>
  <c r="CG177" i="29"/>
  <c r="S177" i="29" s="1"/>
  <c r="CF177" i="29"/>
  <c r="Q177" i="29" s="1"/>
  <c r="CD177" i="29"/>
  <c r="O177" i="29" s="1"/>
  <c r="A177" i="29"/>
  <c r="C177" i="29" a="1"/>
  <c r="G177" i="29" a="1"/>
  <c r="D177" i="29" a="1"/>
  <c r="E177" i="29" a="1"/>
  <c r="F177" i="29" a="1"/>
  <c r="BV177" i="29"/>
  <c r="V177" i="29"/>
  <c r="BO177" i="29"/>
  <c r="BN177" i="29"/>
  <c r="CI50" i="29"/>
  <c r="CF50" i="29"/>
  <c r="Q50" i="29" s="1"/>
  <c r="CG50" i="29"/>
  <c r="S50" i="29" s="1"/>
  <c r="A50" i="29"/>
  <c r="CD50" i="29"/>
  <c r="O50" i="29" s="1"/>
  <c r="C50" i="29" a="1"/>
  <c r="G50" i="29" a="1"/>
  <c r="F50" i="29" a="1"/>
  <c r="E50" i="29" a="1"/>
  <c r="D50" i="29" a="1"/>
  <c r="V50" i="29"/>
  <c r="BV50" i="29"/>
  <c r="BO50" i="29"/>
  <c r="BN50" i="29"/>
  <c r="CG250" i="29"/>
  <c r="S250" i="29" s="1"/>
  <c r="CF250" i="29"/>
  <c r="Q250" i="29" s="1"/>
  <c r="CD250" i="29"/>
  <c r="O250" i="29" s="1"/>
  <c r="CI250" i="29"/>
  <c r="A250" i="29"/>
  <c r="C250" i="29" a="1"/>
  <c r="E250" i="29" a="1"/>
  <c r="D250" i="29" a="1"/>
  <c r="F250" i="29" a="1"/>
  <c r="G250" i="29" a="1"/>
  <c r="BV250" i="29"/>
  <c r="V250" i="29"/>
  <c r="BO250" i="29"/>
  <c r="BN250" i="29"/>
  <c r="CI214" i="29"/>
  <c r="CG214" i="29"/>
  <c r="S214" i="29" s="1"/>
  <c r="CF214" i="29"/>
  <c r="Q214" i="29" s="1"/>
  <c r="CD214" i="29"/>
  <c r="O214" i="29" s="1"/>
  <c r="A214" i="29"/>
  <c r="F214" i="29" a="1"/>
  <c r="C214" i="29" a="1"/>
  <c r="G214" i="29" a="1"/>
  <c r="E214" i="29" a="1"/>
  <c r="D214" i="29" a="1"/>
  <c r="BV214" i="29"/>
  <c r="V214" i="29"/>
  <c r="BO214" i="29"/>
  <c r="BN214" i="29"/>
  <c r="G223" i="29" a="1"/>
  <c r="F223" i="29" a="1"/>
  <c r="C223" i="29" a="1"/>
  <c r="D223" i="29" a="1"/>
  <c r="E223" i="29" a="1"/>
  <c r="V223" i="29"/>
  <c r="CI223" i="29"/>
  <c r="BN223" i="29"/>
  <c r="BV223" i="29"/>
  <c r="BO223" i="29"/>
  <c r="CF223" i="29"/>
  <c r="Q223" i="29" s="1"/>
  <c r="A223" i="29"/>
  <c r="CG223" i="29"/>
  <c r="S223" i="29" s="1"/>
  <c r="CD223" i="29"/>
  <c r="O223" i="29" s="1"/>
  <c r="CI232" i="29"/>
  <c r="CG232" i="29"/>
  <c r="S232" i="29" s="1"/>
  <c r="CF232" i="29"/>
  <c r="Q232" i="29" s="1"/>
  <c r="CD232" i="29"/>
  <c r="O232" i="29" s="1"/>
  <c r="A232" i="29"/>
  <c r="G232" i="29" a="1"/>
  <c r="F232" i="29" a="1"/>
  <c r="C232" i="29" a="1"/>
  <c r="D232" i="29" a="1"/>
  <c r="E232" i="29" a="1"/>
  <c r="BV232" i="29"/>
  <c r="V232" i="29"/>
  <c r="BO232" i="29"/>
  <c r="BN232" i="29"/>
  <c r="CG182" i="29"/>
  <c r="S182" i="29" s="1"/>
  <c r="CI182" i="29"/>
  <c r="CF182" i="29"/>
  <c r="Q182" i="29" s="1"/>
  <c r="CD182" i="29"/>
  <c r="O182" i="29" s="1"/>
  <c r="A182" i="29"/>
  <c r="C182" i="29" a="1"/>
  <c r="G182" i="29" a="1"/>
  <c r="E182" i="29" a="1"/>
  <c r="D182" i="29" a="1"/>
  <c r="F182" i="29" a="1"/>
  <c r="BV182" i="29"/>
  <c r="BO182" i="29"/>
  <c r="BN182" i="29"/>
  <c r="V182" i="29"/>
  <c r="E45" i="29" a="1"/>
  <c r="D45" i="29" a="1"/>
  <c r="G45" i="29" a="1"/>
  <c r="C45" i="29" a="1"/>
  <c r="F45" i="29" a="1"/>
  <c r="V45" i="29"/>
  <c r="CD45" i="29"/>
  <c r="O45" i="29" s="1"/>
  <c r="BV45" i="29"/>
  <c r="A45" i="29"/>
  <c r="BO45" i="29"/>
  <c r="BN45" i="29"/>
  <c r="CI45" i="29"/>
  <c r="CF45" i="29"/>
  <c r="Q45" i="29" s="1"/>
  <c r="CG45" i="29"/>
  <c r="S45" i="29" s="1"/>
  <c r="CG25" i="29"/>
  <c r="S25" i="29" s="1"/>
  <c r="CD25" i="29"/>
  <c r="O25" i="29" s="1"/>
  <c r="A25" i="29"/>
  <c r="CI25" i="29"/>
  <c r="CF25" i="29"/>
  <c r="Q25" i="29" s="1"/>
  <c r="G25" i="29" a="1"/>
  <c r="F25" i="29" a="1"/>
  <c r="C25" i="29" a="1"/>
  <c r="D25" i="29" a="1"/>
  <c r="E25" i="29" a="1"/>
  <c r="V25" i="29"/>
  <c r="BV25" i="29"/>
  <c r="BO25" i="29"/>
  <c r="BN25" i="29"/>
  <c r="G203" i="29" a="1"/>
  <c r="F203" i="29" a="1"/>
  <c r="D203" i="29" a="1"/>
  <c r="C203" i="29" a="1"/>
  <c r="E203" i="29" a="1"/>
  <c r="CG203" i="29"/>
  <c r="S203" i="29" s="1"/>
  <c r="A203" i="29"/>
  <c r="BV203" i="29"/>
  <c r="V203" i="29"/>
  <c r="BO203" i="29"/>
  <c r="BN203" i="29"/>
  <c r="CI203" i="29"/>
  <c r="CF203" i="29"/>
  <c r="Q203" i="29" s="1"/>
  <c r="CD203" i="29"/>
  <c r="O203" i="29" s="1"/>
  <c r="F135" i="29" a="1"/>
  <c r="G135" i="29" a="1"/>
  <c r="C135" i="29" a="1"/>
  <c r="E135" i="29" a="1"/>
  <c r="I135" i="29" s="1"/>
  <c r="K135" i="29" s="1"/>
  <c r="D135" i="29" a="1"/>
  <c r="CG135" i="29"/>
  <c r="S135" i="29" s="1"/>
  <c r="CF135" i="29"/>
  <c r="Q135" i="29" s="1"/>
  <c r="BV135" i="29"/>
  <c r="BO135" i="29"/>
  <c r="BN135" i="29"/>
  <c r="CD135" i="29"/>
  <c r="O135" i="29" s="1"/>
  <c r="V135" i="29"/>
  <c r="CI135" i="29"/>
  <c r="A135" i="29"/>
  <c r="CF82" i="29"/>
  <c r="Q82" i="29" s="1"/>
  <c r="CD82" i="29"/>
  <c r="O82" i="29" s="1"/>
  <c r="CG82" i="29"/>
  <c r="S82" i="29" s="1"/>
  <c r="A82" i="29"/>
  <c r="CI82" i="29"/>
  <c r="C82" i="29" a="1"/>
  <c r="G82" i="29" a="1"/>
  <c r="F82" i="29" a="1"/>
  <c r="E82" i="29" a="1"/>
  <c r="D82" i="29" a="1"/>
  <c r="BO82" i="29"/>
  <c r="BV82" i="29"/>
  <c r="BN82" i="29"/>
  <c r="V82" i="29"/>
  <c r="CD44" i="29"/>
  <c r="O44" i="29" s="1"/>
  <c r="CI44" i="29"/>
  <c r="CG44" i="29"/>
  <c r="S44" i="29" s="1"/>
  <c r="CF44" i="29"/>
  <c r="Q44" i="29" s="1"/>
  <c r="A44" i="29"/>
  <c r="D44" i="29" a="1"/>
  <c r="C44" i="29" a="1"/>
  <c r="G44" i="29" a="1"/>
  <c r="F44" i="29" a="1"/>
  <c r="E44" i="29" a="1"/>
  <c r="BV44" i="29"/>
  <c r="BO44" i="29"/>
  <c r="BN44" i="29"/>
  <c r="V44" i="29"/>
  <c r="CG106" i="29"/>
  <c r="S106" i="29" s="1"/>
  <c r="CF106" i="29"/>
  <c r="Q106" i="29" s="1"/>
  <c r="A106" i="29"/>
  <c r="CD106" i="29"/>
  <c r="O106" i="29" s="1"/>
  <c r="G106" i="29" a="1"/>
  <c r="E106" i="29" a="1"/>
  <c r="C106" i="29" a="1"/>
  <c r="D106" i="29" a="1"/>
  <c r="F106" i="29" a="1"/>
  <c r="V106" i="29"/>
  <c r="CI106" i="29"/>
  <c r="BO106" i="29"/>
  <c r="BN106" i="29"/>
  <c r="BV106" i="29"/>
  <c r="CF58" i="29"/>
  <c r="Q58" i="29" s="1"/>
  <c r="CD58" i="29"/>
  <c r="O58" i="29" s="1"/>
  <c r="A58" i="29"/>
  <c r="CI58" i="29"/>
  <c r="CG58" i="29"/>
  <c r="S58" i="29" s="1"/>
  <c r="V58" i="29"/>
  <c r="D58" i="29" a="1"/>
  <c r="C58" i="29" a="1"/>
  <c r="E58" i="29" a="1"/>
  <c r="G58" i="29" a="1"/>
  <c r="F58" i="29" a="1"/>
  <c r="BV58" i="29"/>
  <c r="BO58" i="29"/>
  <c r="BN58" i="29"/>
  <c r="CI238" i="29"/>
  <c r="CD238" i="29"/>
  <c r="O238" i="29" s="1"/>
  <c r="CG238" i="29"/>
  <c r="S238" i="29" s="1"/>
  <c r="CF238" i="29"/>
  <c r="Q238" i="29" s="1"/>
  <c r="A238" i="29"/>
  <c r="G238" i="29" a="1"/>
  <c r="D238" i="29" a="1"/>
  <c r="C238" i="29" a="1"/>
  <c r="F238" i="29" a="1"/>
  <c r="E238" i="29" a="1"/>
  <c r="BV238" i="29"/>
  <c r="BO238" i="29"/>
  <c r="BN238" i="29"/>
  <c r="V238" i="29"/>
  <c r="A202" i="29"/>
  <c r="V202" i="29"/>
  <c r="CF202" i="29"/>
  <c r="Q202" i="29" s="1"/>
  <c r="D202" i="29" a="1"/>
  <c r="C202" i="29" a="1"/>
  <c r="F202" i="29" a="1"/>
  <c r="E202" i="29" a="1"/>
  <c r="G202" i="29" a="1"/>
  <c r="BO202" i="29"/>
  <c r="CG202" i="29"/>
  <c r="S202" i="29" s="1"/>
  <c r="CD202" i="29"/>
  <c r="O202" i="29" s="1"/>
  <c r="BV202" i="29"/>
  <c r="BN202" i="29"/>
  <c r="CI202" i="29"/>
  <c r="CI9" i="29"/>
  <c r="D9" i="29" a="1"/>
  <c r="F9" i="29" a="1"/>
  <c r="C9" i="29" a="1"/>
  <c r="E9" i="29" a="1"/>
  <c r="G9" i="29" a="1"/>
  <c r="CI111" i="29"/>
  <c r="CF111" i="29"/>
  <c r="Q111" i="29" s="1"/>
  <c r="CG111" i="29"/>
  <c r="S111" i="29" s="1"/>
  <c r="CD111" i="29"/>
  <c r="O111" i="29" s="1"/>
  <c r="A111" i="29"/>
  <c r="G111" i="29" a="1"/>
  <c r="D111" i="29" a="1"/>
  <c r="E111" i="29" a="1"/>
  <c r="C111" i="29" a="1"/>
  <c r="F111" i="29" a="1"/>
  <c r="V111" i="29"/>
  <c r="BV111" i="29"/>
  <c r="BO111" i="29"/>
  <c r="BN111" i="29"/>
  <c r="CI7" i="29"/>
  <c r="D7" i="29" a="1"/>
  <c r="C7" i="29" a="1"/>
  <c r="E7" i="29" a="1"/>
  <c r="G7" i="29" a="1"/>
  <c r="F7" i="29" a="1"/>
  <c r="CF145" i="29"/>
  <c r="Q145" i="29" s="1"/>
  <c r="CD145" i="29"/>
  <c r="O145" i="29" s="1"/>
  <c r="CI145" i="29"/>
  <c r="CG145" i="29"/>
  <c r="S145" i="29" s="1"/>
  <c r="A145" i="29"/>
  <c r="C145" i="29" a="1"/>
  <c r="G145" i="29" a="1"/>
  <c r="F145" i="29" a="1"/>
  <c r="E145" i="29" a="1"/>
  <c r="D145" i="29" a="1"/>
  <c r="V145" i="29"/>
  <c r="BO145" i="29"/>
  <c r="BN145" i="29"/>
  <c r="BV145" i="29"/>
  <c r="D70" i="29" a="1"/>
  <c r="G70" i="29" a="1"/>
  <c r="C70" i="29" a="1"/>
  <c r="F70" i="29" a="1"/>
  <c r="E70" i="29" a="1"/>
  <c r="A70" i="29"/>
  <c r="BV70" i="29"/>
  <c r="V70" i="29"/>
  <c r="CF70" i="29"/>
  <c r="Q70" i="29" s="1"/>
  <c r="BO70" i="29"/>
  <c r="BN70" i="29"/>
  <c r="CI70" i="29"/>
  <c r="CD70" i="29"/>
  <c r="O70" i="29" s="1"/>
  <c r="CG70" i="29"/>
  <c r="S70" i="29" s="1"/>
  <c r="CD20" i="29"/>
  <c r="O20" i="29" s="1"/>
  <c r="CI20" i="29"/>
  <c r="CG20" i="29"/>
  <c r="S20" i="29" s="1"/>
  <c r="A20" i="29"/>
  <c r="CF20" i="29"/>
  <c r="Q20" i="29" s="1"/>
  <c r="D20" i="29" a="1"/>
  <c r="F20" i="29" a="1"/>
  <c r="C20" i="29" a="1"/>
  <c r="G20" i="29" a="1"/>
  <c r="E20" i="29" a="1"/>
  <c r="V20" i="29"/>
  <c r="BV20" i="29"/>
  <c r="BO20" i="29"/>
  <c r="BN20" i="29"/>
  <c r="CF51" i="29"/>
  <c r="Q51" i="29" s="1"/>
  <c r="CG51" i="29"/>
  <c r="S51" i="29" s="1"/>
  <c r="CD51" i="29"/>
  <c r="O51" i="29" s="1"/>
  <c r="A51" i="29"/>
  <c r="CI51" i="29"/>
  <c r="E51" i="29" a="1"/>
  <c r="D51" i="29" a="1"/>
  <c r="F51" i="29" a="1"/>
  <c r="G51" i="29" a="1"/>
  <c r="C51" i="29" a="1"/>
  <c r="V51" i="29"/>
  <c r="BV51" i="29"/>
  <c r="BO51" i="29"/>
  <c r="BN51" i="29"/>
  <c r="D178" i="29" a="1"/>
  <c r="E178" i="29" a="1"/>
  <c r="C178" i="29" a="1"/>
  <c r="G178" i="29" a="1"/>
  <c r="F178" i="29" a="1"/>
  <c r="V178" i="29"/>
  <c r="CG178" i="29"/>
  <c r="S178" i="29" s="1"/>
  <c r="A178" i="29"/>
  <c r="BN178" i="29"/>
  <c r="BO178" i="29"/>
  <c r="CI178" i="29"/>
  <c r="BV178" i="29"/>
  <c r="CD178" i="29"/>
  <c r="O178" i="29" s="1"/>
  <c r="CF178" i="29"/>
  <c r="Q178" i="29" s="1"/>
  <c r="CG15" i="29"/>
  <c r="S15" i="29" s="1"/>
  <c r="CF15" i="29"/>
  <c r="Q15" i="29" s="1"/>
  <c r="CD15" i="29"/>
  <c r="O15" i="29" s="1"/>
  <c r="CI15" i="29"/>
  <c r="A15" i="29"/>
  <c r="D15" i="29" a="1"/>
  <c r="E15" i="29" a="1"/>
  <c r="C15" i="29" a="1"/>
  <c r="F15" i="29" a="1"/>
  <c r="G15" i="29" a="1"/>
  <c r="V15" i="29"/>
  <c r="BV15" i="29"/>
  <c r="BO15" i="29"/>
  <c r="BN15" i="29"/>
  <c r="CI86" i="29"/>
  <c r="CG86" i="29"/>
  <c r="S86" i="29" s="1"/>
  <c r="CF86" i="29"/>
  <c r="Q86" i="29" s="1"/>
  <c r="CD86" i="29"/>
  <c r="O86" i="29" s="1"/>
  <c r="A86" i="29"/>
  <c r="V86" i="29"/>
  <c r="E86" i="29" a="1"/>
  <c r="C86" i="29" a="1"/>
  <c r="D86" i="29" a="1"/>
  <c r="G86" i="29" a="1"/>
  <c r="F86" i="29" a="1"/>
  <c r="BV86" i="29"/>
  <c r="BO86" i="29"/>
  <c r="BN86" i="29"/>
  <c r="C94" i="29" a="1"/>
  <c r="F94" i="29" a="1"/>
  <c r="G94" i="29" a="1"/>
  <c r="E94" i="29" a="1"/>
  <c r="D94" i="29" a="1"/>
  <c r="CG94" i="29"/>
  <c r="S94" i="29" s="1"/>
  <c r="A94" i="29"/>
  <c r="BV94" i="29"/>
  <c r="V94" i="29"/>
  <c r="BO94" i="29"/>
  <c r="BN94" i="29"/>
  <c r="CF94" i="29"/>
  <c r="Q94" i="29" s="1"/>
  <c r="CI94" i="29"/>
  <c r="CD94" i="29"/>
  <c r="O94" i="29" s="1"/>
  <c r="CG160" i="29"/>
  <c r="S160" i="29" s="1"/>
  <c r="CF160" i="29"/>
  <c r="Q160" i="29" s="1"/>
  <c r="CD160" i="29"/>
  <c r="O160" i="29" s="1"/>
  <c r="CI160" i="29"/>
  <c r="A160" i="29"/>
  <c r="G160" i="29" a="1"/>
  <c r="F160" i="29" a="1"/>
  <c r="C160" i="29" a="1"/>
  <c r="E160" i="29" a="1"/>
  <c r="D160" i="29" a="1"/>
  <c r="V160" i="29"/>
  <c r="BV160" i="29"/>
  <c r="BN160" i="29"/>
  <c r="BO160" i="29"/>
  <c r="CF47" i="29"/>
  <c r="Q47" i="29" s="1"/>
  <c r="CI47" i="29"/>
  <c r="CD47" i="29"/>
  <c r="O47" i="29" s="1"/>
  <c r="CG47" i="29"/>
  <c r="S47" i="29" s="1"/>
  <c r="A47" i="29"/>
  <c r="G47" i="29" a="1"/>
  <c r="E47" i="29" a="1"/>
  <c r="D47" i="29" a="1"/>
  <c r="F47" i="29" a="1"/>
  <c r="C47" i="29" a="1"/>
  <c r="V47" i="29"/>
  <c r="BN47" i="29"/>
  <c r="BO47" i="29"/>
  <c r="BV47" i="29"/>
  <c r="E245" i="29" a="1"/>
  <c r="D245" i="29" a="1"/>
  <c r="G245" i="29" a="1"/>
  <c r="F245" i="29" a="1"/>
  <c r="C245" i="29" a="1"/>
  <c r="V245" i="29"/>
  <c r="CG245" i="29"/>
  <c r="S245" i="29" s="1"/>
  <c r="CI245" i="29"/>
  <c r="CD245" i="29"/>
  <c r="O245" i="29" s="1"/>
  <c r="A245" i="29"/>
  <c r="BV245" i="29"/>
  <c r="BO245" i="29"/>
  <c r="BN245" i="29"/>
  <c r="CF245" i="29"/>
  <c r="Q245" i="29" s="1"/>
  <c r="CD136" i="29"/>
  <c r="O136" i="29" s="1"/>
  <c r="A136" i="29"/>
  <c r="CI136" i="29"/>
  <c r="CG136" i="29"/>
  <c r="S136" i="29" s="1"/>
  <c r="CF136" i="29"/>
  <c r="Q136" i="29" s="1"/>
  <c r="F136" i="29" a="1"/>
  <c r="G136" i="29" a="1"/>
  <c r="C136" i="29" a="1"/>
  <c r="E136" i="29" a="1"/>
  <c r="D136" i="29" a="1"/>
  <c r="BV136" i="29"/>
  <c r="BO136" i="29"/>
  <c r="BN136" i="29"/>
  <c r="V136" i="29"/>
  <c r="CG33" i="29"/>
  <c r="S33" i="29" s="1"/>
  <c r="A33" i="29"/>
  <c r="CI33" i="29"/>
  <c r="CF33" i="29"/>
  <c r="Q33" i="29" s="1"/>
  <c r="CD33" i="29"/>
  <c r="O33" i="29" s="1"/>
  <c r="G33" i="29" a="1"/>
  <c r="D33" i="29" a="1"/>
  <c r="E33" i="29" a="1"/>
  <c r="F33" i="29" a="1"/>
  <c r="C33" i="29" a="1"/>
  <c r="V33" i="29"/>
  <c r="BO33" i="29"/>
  <c r="BV33" i="29"/>
  <c r="BN33" i="29"/>
  <c r="E128" i="29" a="1"/>
  <c r="D128" i="29" a="1"/>
  <c r="G128" i="29" a="1"/>
  <c r="F128" i="29" a="1"/>
  <c r="C128" i="29" a="1"/>
  <c r="V128" i="29"/>
  <c r="CG128" i="29"/>
  <c r="S128" i="29" s="1"/>
  <c r="CD128" i="29"/>
  <c r="O128" i="29" s="1"/>
  <c r="A128" i="29"/>
  <c r="BV128" i="29"/>
  <c r="BO128" i="29"/>
  <c r="BN128" i="29"/>
  <c r="CI128" i="29"/>
  <c r="CF128" i="29"/>
  <c r="Q128" i="29" s="1"/>
  <c r="CI142" i="29"/>
  <c r="CG142" i="29"/>
  <c r="S142" i="29" s="1"/>
  <c r="CF142" i="29"/>
  <c r="Q142" i="29" s="1"/>
  <c r="CD142" i="29"/>
  <c r="O142" i="29" s="1"/>
  <c r="A142" i="29"/>
  <c r="V142" i="29"/>
  <c r="G142" i="29" a="1"/>
  <c r="F142" i="29" a="1"/>
  <c r="C142" i="29" a="1"/>
  <c r="E142" i="29" a="1"/>
  <c r="D142" i="29" a="1"/>
  <c r="BV142" i="29"/>
  <c r="BO142" i="29"/>
  <c r="BN142" i="29"/>
  <c r="G104" i="29" a="1"/>
  <c r="C104" i="29" a="1"/>
  <c r="E104" i="29" a="1"/>
  <c r="D104" i="29" a="1"/>
  <c r="F104" i="29" a="1"/>
  <c r="CI104" i="29"/>
  <c r="CF104" i="29"/>
  <c r="Q104" i="29" s="1"/>
  <c r="CD104" i="29"/>
  <c r="O104" i="29" s="1"/>
  <c r="BV104" i="29"/>
  <c r="V104" i="29"/>
  <c r="BN104" i="29"/>
  <c r="BO104" i="29"/>
  <c r="CG104" i="29"/>
  <c r="S104" i="29" s="1"/>
  <c r="A104" i="29"/>
  <c r="CG192" i="29"/>
  <c r="S192" i="29" s="1"/>
  <c r="CF192" i="29"/>
  <c r="Q192" i="29" s="1"/>
  <c r="CD192" i="29"/>
  <c r="O192" i="29" s="1"/>
  <c r="CI192" i="29"/>
  <c r="A192" i="29"/>
  <c r="V192" i="29"/>
  <c r="C192" i="29" a="1"/>
  <c r="D192" i="29" a="1"/>
  <c r="F192" i="29" a="1"/>
  <c r="G192" i="29" a="1"/>
  <c r="E192" i="29" a="1"/>
  <c r="BV192" i="29"/>
  <c r="BN192" i="29"/>
  <c r="BO192" i="29"/>
  <c r="BV228" i="29"/>
  <c r="CG228" i="29"/>
  <c r="S228" i="29" s="1"/>
  <c r="CD228" i="29"/>
  <c r="O228" i="29" s="1"/>
  <c r="CF228" i="29"/>
  <c r="Q228" i="29" s="1"/>
  <c r="A228" i="29"/>
  <c r="CI228" i="29"/>
  <c r="C228" i="29" a="1"/>
  <c r="G228" i="29" a="1"/>
  <c r="D228" i="29" a="1"/>
  <c r="F228" i="29" a="1"/>
  <c r="E228" i="29" a="1"/>
  <c r="BO228" i="29"/>
  <c r="BN228" i="29"/>
  <c r="V228" i="29"/>
  <c r="CI117" i="29"/>
  <c r="CF117" i="29"/>
  <c r="Q117" i="29" s="1"/>
  <c r="CD117" i="29"/>
  <c r="O117" i="29" s="1"/>
  <c r="A117" i="29"/>
  <c r="CG117" i="29"/>
  <c r="S117" i="29" s="1"/>
  <c r="E117" i="29" a="1"/>
  <c r="F117" i="29" a="1"/>
  <c r="G117" i="29" a="1"/>
  <c r="D117" i="29" a="1"/>
  <c r="C117" i="29" a="1"/>
  <c r="V117" i="29"/>
  <c r="BV117" i="29"/>
  <c r="BO117" i="29"/>
  <c r="BN117" i="29"/>
  <c r="B34" i="31"/>
  <c r="AQ33" i="28" a="1"/>
  <c r="H6" i="28" s="1" a="1"/>
  <c r="BN10" i="29" l="1"/>
  <c r="BO10" i="29" s="1"/>
  <c r="CJ10" i="29" a="1"/>
  <c r="BN8" i="29"/>
  <c r="BO8" i="29" s="1"/>
  <c r="CJ8" i="29" a="1"/>
  <c r="BN6" i="29"/>
  <c r="BO6" i="29" s="1"/>
  <c r="CJ6" i="29" a="1"/>
  <c r="BN11" i="29"/>
  <c r="BO11" i="29" s="1"/>
  <c r="CJ11" i="29" a="1"/>
  <c r="BN5" i="29"/>
  <c r="BO5" i="29" s="1"/>
  <c r="CJ5" i="29" a="1"/>
  <c r="BN9" i="29"/>
  <c r="BO9" i="29" s="1"/>
  <c r="CJ9" i="29" a="1"/>
  <c r="BN7" i="29"/>
  <c r="BO7" i="29" s="1"/>
  <c r="CJ7" i="29" a="1"/>
  <c r="I65" i="29"/>
  <c r="K65" i="29" s="1"/>
  <c r="R65" i="29" s="1" a="1"/>
  <c r="BP65" i="29" s="1" a="1"/>
  <c r="I203" i="29"/>
  <c r="K203" i="29" s="1"/>
  <c r="R203" i="29" s="1" a="1"/>
  <c r="BP203" i="29" s="1" a="1"/>
  <c r="I25" i="29"/>
  <c r="K25" i="29" s="1"/>
  <c r="R25" i="29" s="1" a="1"/>
  <c r="BP25" i="29" s="1" a="1"/>
  <c r="I23" i="29"/>
  <c r="K23" i="29" s="1"/>
  <c r="R23" i="29" s="1" a="1"/>
  <c r="BP23" i="29" s="1" a="1"/>
  <c r="I121" i="29"/>
  <c r="K121" i="29" s="1"/>
  <c r="R121" i="29" s="1" a="1"/>
  <c r="BP121" i="29" s="1" a="1"/>
  <c r="I118" i="29"/>
  <c r="K118" i="29" s="1"/>
  <c r="R118" i="29" s="1" a="1"/>
  <c r="BP118" i="29" s="1" a="1"/>
  <c r="I214" i="29"/>
  <c r="K214" i="29" s="1"/>
  <c r="R214" i="29" s="1" a="1"/>
  <c r="BP214" i="29" s="1" a="1"/>
  <c r="I137" i="29"/>
  <c r="K137" i="29" s="1"/>
  <c r="R137" i="29" s="1" a="1"/>
  <c r="BP137" i="29" s="1" a="1"/>
  <c r="I144" i="29"/>
  <c r="K144" i="29" s="1"/>
  <c r="R144" i="29" s="1" a="1"/>
  <c r="BP144" i="29" s="1" a="1"/>
  <c r="I237" i="29"/>
  <c r="K237" i="29" s="1"/>
  <c r="R237" i="29" s="1" a="1"/>
  <c r="BP237" i="29" s="1" a="1"/>
  <c r="I9" i="29"/>
  <c r="K9" i="29" s="1"/>
  <c r="R9" i="29" s="1" a="1"/>
  <c r="I20" i="29"/>
  <c r="K20" i="29" s="1"/>
  <c r="R20" i="29" s="1" a="1"/>
  <c r="BP20" i="29" s="1" a="1"/>
  <c r="I142" i="29"/>
  <c r="K142" i="29" s="1"/>
  <c r="R142" i="29" s="1" a="1"/>
  <c r="BP142" i="29" s="1" a="1"/>
  <c r="I153" i="29"/>
  <c r="K153" i="29" s="1"/>
  <c r="R153" i="29" s="1" a="1"/>
  <c r="BP153" i="29" s="1" a="1"/>
  <c r="I226" i="29"/>
  <c r="K226" i="29" s="1"/>
  <c r="R226" i="29" s="1" a="1"/>
  <c r="BP226" i="29" s="1" a="1"/>
  <c r="I130" i="29"/>
  <c r="K130" i="29" s="1"/>
  <c r="R130" i="29" s="1" a="1"/>
  <c r="BP130" i="29" s="1" a="1"/>
  <c r="I211" i="29"/>
  <c r="K211" i="29" s="1"/>
  <c r="R211" i="29" s="1" a="1"/>
  <c r="BP211" i="29" s="1" a="1"/>
  <c r="I201" i="29"/>
  <c r="K201" i="29" s="1"/>
  <c r="R201" i="29" s="1" a="1"/>
  <c r="BP201" i="29" s="1" a="1"/>
  <c r="I166" i="29"/>
  <c r="K166" i="29" s="1"/>
  <c r="R166" i="29" s="1" a="1"/>
  <c r="BP166" i="29" s="1" a="1"/>
  <c r="I17" i="29"/>
  <c r="K17" i="29" s="1"/>
  <c r="R17" i="29" s="1" a="1"/>
  <c r="BP17" i="29" s="1" a="1"/>
  <c r="I160" i="29"/>
  <c r="K160" i="29" s="1"/>
  <c r="R160" i="29" s="1" a="1"/>
  <c r="BP160" i="29" s="1" a="1"/>
  <c r="I84" i="29"/>
  <c r="K84" i="29" s="1"/>
  <c r="R84" i="29" s="1" a="1"/>
  <c r="BP84" i="29" s="1" a="1"/>
  <c r="I196" i="29"/>
  <c r="K196" i="29" s="1"/>
  <c r="R196" i="29" s="1" a="1"/>
  <c r="BP196" i="29" s="1" a="1"/>
  <c r="I157" i="29"/>
  <c r="K157" i="29" s="1"/>
  <c r="R157" i="29" s="1" a="1"/>
  <c r="BP157" i="29" s="1" a="1"/>
  <c r="I235" i="29"/>
  <c r="K235" i="29" s="1"/>
  <c r="R235" i="29" s="1" a="1"/>
  <c r="BP235" i="29" s="1" a="1"/>
  <c r="I136" i="29"/>
  <c r="K136" i="29" s="1"/>
  <c r="R136" i="29" s="1" a="1"/>
  <c r="BP136" i="29" s="1" a="1"/>
  <c r="I243" i="29"/>
  <c r="K243" i="29" s="1"/>
  <c r="R243" i="29" s="1" a="1"/>
  <c r="BP243" i="29" s="1" a="1"/>
  <c r="I141" i="29"/>
  <c r="K141" i="29" s="1"/>
  <c r="R141" i="29" s="1" a="1"/>
  <c r="BP141" i="29" s="1" a="1"/>
  <c r="I249" i="29"/>
  <c r="K249" i="29" s="1"/>
  <c r="R249" i="29" s="1" a="1"/>
  <c r="BP249" i="29" s="1" a="1"/>
  <c r="I41" i="29"/>
  <c r="K41" i="29" s="1"/>
  <c r="R41" i="29" s="1" a="1"/>
  <c r="BP41" i="29" s="1" a="1"/>
  <c r="I209" i="29"/>
  <c r="K209" i="29" s="1"/>
  <c r="R209" i="29" s="1" a="1"/>
  <c r="BP209" i="29" s="1" a="1"/>
  <c r="I208" i="29"/>
  <c r="K208" i="29" s="1"/>
  <c r="R208" i="29" s="1" a="1"/>
  <c r="BP208" i="29" s="1" a="1"/>
  <c r="I43" i="29"/>
  <c r="K43" i="29" s="1"/>
  <c r="R43" i="29" s="1" a="1"/>
  <c r="BP43" i="29" s="1" a="1"/>
  <c r="I123" i="29"/>
  <c r="K123" i="29" s="1"/>
  <c r="R123" i="29" s="1" a="1"/>
  <c r="BP123" i="29" s="1" a="1"/>
  <c r="I125" i="29"/>
  <c r="K125" i="29" s="1"/>
  <c r="R125" i="29" s="1" a="1"/>
  <c r="BP125" i="29" s="1" a="1"/>
  <c r="I6" i="29"/>
  <c r="K6" i="29" s="1"/>
  <c r="R6" i="29" s="1" a="1"/>
  <c r="I220" i="29"/>
  <c r="K220" i="29" s="1"/>
  <c r="R220" i="29" s="1" a="1"/>
  <c r="BP220" i="29" s="1" a="1"/>
  <c r="I151" i="29"/>
  <c r="K151" i="29" s="1"/>
  <c r="R151" i="29" s="1" a="1"/>
  <c r="BP151" i="29" s="1" a="1"/>
  <c r="I180" i="29"/>
  <c r="K180" i="29" s="1"/>
  <c r="I34" i="29"/>
  <c r="K34" i="29" s="1"/>
  <c r="R34" i="29" s="1" a="1"/>
  <c r="BP34" i="29" s="1" a="1"/>
  <c r="I19" i="29"/>
  <c r="K19" i="29" s="1"/>
  <c r="R19" i="29" s="1" a="1"/>
  <c r="BP19" i="29" s="1" a="1"/>
  <c r="I94" i="29"/>
  <c r="K94" i="29" s="1"/>
  <c r="R94" i="29" s="1" a="1"/>
  <c r="BP94" i="29" s="1" a="1"/>
  <c r="I232" i="29"/>
  <c r="K232" i="29" s="1"/>
  <c r="I225" i="29"/>
  <c r="K225" i="29" s="1"/>
  <c r="R225" i="29" s="1" a="1"/>
  <c r="BP225" i="29" s="1" a="1"/>
  <c r="I96" i="29"/>
  <c r="K96" i="29" s="1"/>
  <c r="R96" i="29" s="1" a="1"/>
  <c r="BP96" i="29" s="1" a="1"/>
  <c r="BK4" i="19" a="1"/>
  <c r="I248" i="29"/>
  <c r="K248" i="29" s="1"/>
  <c r="R248" i="29" s="1" a="1"/>
  <c r="BP248" i="29" s="1" a="1"/>
  <c r="I205" i="29"/>
  <c r="K205" i="29" s="1"/>
  <c r="R205" i="29" s="1" a="1"/>
  <c r="BP205" i="29" s="1" a="1"/>
  <c r="I50" i="29"/>
  <c r="K50" i="29" s="1"/>
  <c r="R50" i="29" s="1" a="1"/>
  <c r="BP50" i="29" s="1" a="1"/>
  <c r="I242" i="29"/>
  <c r="K242" i="29" s="1"/>
  <c r="R242" i="29" s="1" a="1"/>
  <c r="BP242" i="29" s="1" a="1"/>
  <c r="I139" i="29"/>
  <c r="K139" i="29" s="1"/>
  <c r="R139" i="29" s="1" a="1"/>
  <c r="BP139" i="29" s="1" a="1"/>
  <c r="I190" i="29"/>
  <c r="K190" i="29" s="1"/>
  <c r="R190" i="29" s="1" a="1"/>
  <c r="BP190" i="29" s="1" a="1"/>
  <c r="I174" i="29"/>
  <c r="K174" i="29" s="1"/>
  <c r="R174" i="29" s="1" a="1"/>
  <c r="BP174" i="29" s="1" a="1"/>
  <c r="I236" i="29"/>
  <c r="K236" i="29" s="1"/>
  <c r="R236" i="29" s="1" a="1"/>
  <c r="BP236" i="29" s="1" a="1"/>
  <c r="I200" i="29"/>
  <c r="K200" i="29" s="1"/>
  <c r="R200" i="29" s="1" a="1"/>
  <c r="BP200" i="29" s="1" a="1"/>
  <c r="I241" i="29"/>
  <c r="K241" i="29" s="1"/>
  <c r="R241" i="29" s="1" a="1"/>
  <c r="BP241" i="29" s="1" a="1"/>
  <c r="I229" i="29"/>
  <c r="K229" i="29" s="1"/>
  <c r="I156" i="29"/>
  <c r="K156" i="29" s="1"/>
  <c r="R156" i="29" s="1" a="1"/>
  <c r="BP156" i="29" s="1" a="1"/>
  <c r="I187" i="29"/>
  <c r="K187" i="29" s="1"/>
  <c r="R187" i="29" s="1" a="1"/>
  <c r="BP187" i="29" s="1" a="1"/>
  <c r="I29" i="29"/>
  <c r="K29" i="29" s="1"/>
  <c r="R29" i="29" s="1" a="1"/>
  <c r="BP29" i="29" s="1" a="1"/>
  <c r="I79" i="29"/>
  <c r="K79" i="29" s="1"/>
  <c r="I12" i="29"/>
  <c r="K12" i="29" s="1"/>
  <c r="R12" i="29" s="1" a="1"/>
  <c r="BP12" i="29" s="1" a="1"/>
  <c r="I8" i="29"/>
  <c r="K8" i="29" s="1"/>
  <c r="R8" i="29" s="1" a="1"/>
  <c r="I172" i="29"/>
  <c r="K172" i="29" s="1"/>
  <c r="R172" i="29" s="1" a="1"/>
  <c r="BP172" i="29" s="1" a="1"/>
  <c r="I133" i="29"/>
  <c r="K133" i="29" s="1"/>
  <c r="R133" i="29" s="1" a="1"/>
  <c r="BP133" i="29" s="1" a="1"/>
  <c r="I188" i="29"/>
  <c r="K188" i="29" s="1"/>
  <c r="R188" i="29" s="1" a="1"/>
  <c r="BP188" i="29" s="1" a="1"/>
  <c r="I56" i="29"/>
  <c r="K56" i="29" s="1"/>
  <c r="R56" i="29" s="1" a="1"/>
  <c r="BP56" i="29" s="1" a="1"/>
  <c r="I127" i="29"/>
  <c r="K127" i="29" s="1"/>
  <c r="R127" i="29" s="1" a="1"/>
  <c r="BP127" i="29" s="1" a="1"/>
  <c r="I148" i="29"/>
  <c r="K148" i="29" s="1"/>
  <c r="R148" i="29" s="1" a="1"/>
  <c r="BP148" i="29" s="1" a="1"/>
  <c r="I219" i="29"/>
  <c r="K219" i="29" s="1"/>
  <c r="R219" i="29" s="1" a="1"/>
  <c r="BP219" i="29" s="1" a="1"/>
  <c r="I59" i="29"/>
  <c r="K59" i="29" s="1"/>
  <c r="R59" i="29" s="1" a="1"/>
  <c r="BP59" i="29" s="1" a="1"/>
  <c r="I92" i="29"/>
  <c r="K92" i="29" s="1"/>
  <c r="R92" i="29" s="1" a="1"/>
  <c r="BP92" i="29" s="1" a="1"/>
  <c r="I216" i="29"/>
  <c r="K216" i="29" s="1"/>
  <c r="R216" i="29" s="1" a="1"/>
  <c r="BP216" i="29" s="1" a="1"/>
  <c r="I72" i="29"/>
  <c r="K72" i="29" s="1"/>
  <c r="R72" i="29" s="1" a="1"/>
  <c r="BP72" i="29" s="1" a="1"/>
  <c r="I210" i="29"/>
  <c r="K210" i="29" s="1"/>
  <c r="R210" i="29" s="1" a="1"/>
  <c r="BP210" i="29" s="1" a="1"/>
  <c r="I89" i="29"/>
  <c r="K89" i="29" s="1"/>
  <c r="R89" i="29" s="1" a="1"/>
  <c r="BP89" i="29" s="1" a="1"/>
  <c r="I233" i="29"/>
  <c r="K233" i="29" s="1"/>
  <c r="R233" i="29" s="1" a="1"/>
  <c r="BP233" i="29" s="1" a="1"/>
  <c r="I206" i="29"/>
  <c r="K206" i="29" s="1"/>
  <c r="R206" i="29" s="1" a="1"/>
  <c r="BP206" i="29" s="1" a="1"/>
  <c r="I185" i="29"/>
  <c r="K185" i="29" s="1"/>
  <c r="I37" i="29"/>
  <c r="K37" i="29" s="1"/>
  <c r="R37" i="29" s="1" a="1"/>
  <c r="BP37" i="29" s="1" a="1"/>
  <c r="I198" i="29"/>
  <c r="K198" i="29" s="1"/>
  <c r="I143" i="29"/>
  <c r="K143" i="29" s="1"/>
  <c r="I194" i="29"/>
  <c r="K194" i="29" s="1"/>
  <c r="R194" i="29" s="1" a="1"/>
  <c r="BP194" i="29" s="1" a="1"/>
  <c r="I165" i="29"/>
  <c r="K165" i="29" s="1"/>
  <c r="R165" i="29" s="1" a="1"/>
  <c r="BP165" i="29" s="1" a="1"/>
  <c r="I246" i="29"/>
  <c r="K246" i="29" s="1"/>
  <c r="R246" i="29" s="1" a="1"/>
  <c r="BP246" i="29" s="1" a="1"/>
  <c r="I53" i="29"/>
  <c r="K53" i="29" s="1"/>
  <c r="I175" i="29"/>
  <c r="K175" i="29" s="1"/>
  <c r="R175" i="29" s="1" a="1"/>
  <c r="BP175" i="29" s="1" a="1"/>
  <c r="I224" i="29"/>
  <c r="K224" i="29" s="1"/>
  <c r="I44" i="29"/>
  <c r="K44" i="29" s="1"/>
  <c r="I75" i="29"/>
  <c r="K75" i="29" s="1"/>
  <c r="I184" i="29"/>
  <c r="K184" i="29" s="1"/>
  <c r="R184" i="29" s="1" a="1"/>
  <c r="BP184" i="29" s="1" a="1"/>
  <c r="I30" i="29"/>
  <c r="K30" i="29" s="1"/>
  <c r="R30" i="29" s="1" a="1"/>
  <c r="BP30" i="29" s="1" a="1"/>
  <c r="I199" i="29"/>
  <c r="K199" i="29" s="1"/>
  <c r="R199" i="29" s="1" a="1"/>
  <c r="BP199" i="29" s="1" a="1"/>
  <c r="I244" i="29"/>
  <c r="K244" i="29" s="1"/>
  <c r="R244" i="29" s="1" a="1"/>
  <c r="BP244" i="29" s="1" a="1"/>
  <c r="I154" i="29"/>
  <c r="K154" i="29" s="1"/>
  <c r="R154" i="29" s="1" a="1"/>
  <c r="BP154" i="29" s="1" a="1"/>
  <c r="I251" i="29"/>
  <c r="K251" i="29" s="1"/>
  <c r="R251" i="29" s="1" a="1"/>
  <c r="BP251" i="29" s="1" a="1"/>
  <c r="I240" i="29"/>
  <c r="K240" i="29" s="1"/>
  <c r="R240" i="29" s="1" a="1"/>
  <c r="BP240" i="29" s="1" a="1"/>
  <c r="I193" i="29"/>
  <c r="K193" i="29" s="1"/>
  <c r="I82" i="29"/>
  <c r="K82" i="29" s="1"/>
  <c r="I124" i="29"/>
  <c r="K124" i="29" s="1"/>
  <c r="R124" i="29" s="1" a="1"/>
  <c r="BP124" i="29" s="1" a="1"/>
  <c r="I27" i="29"/>
  <c r="K27" i="29" s="1"/>
  <c r="I112" i="29"/>
  <c r="K112" i="29" s="1"/>
  <c r="R112" i="29" s="1" a="1"/>
  <c r="BP112" i="29" s="1" a="1"/>
  <c r="I81" i="29"/>
  <c r="K81" i="29" s="1"/>
  <c r="R81" i="29" s="1" a="1"/>
  <c r="BP81" i="29" s="1" a="1"/>
  <c r="I99" i="29"/>
  <c r="K99" i="29" s="1"/>
  <c r="R99" i="29" s="1" a="1"/>
  <c r="BP99" i="29" s="1" a="1"/>
  <c r="I215" i="29"/>
  <c r="K215" i="29" s="1"/>
  <c r="R215" i="29" s="1" a="1"/>
  <c r="BP215" i="29" s="1" a="1"/>
  <c r="I231" i="29"/>
  <c r="K231" i="29" s="1"/>
  <c r="R231" i="29" s="1" a="1"/>
  <c r="BP231" i="29" s="1" a="1"/>
  <c r="I163" i="29"/>
  <c r="K163" i="29" s="1"/>
  <c r="R163" i="29" s="1" a="1"/>
  <c r="BP163" i="29" s="1" a="1"/>
  <c r="I138" i="29"/>
  <c r="K138" i="29" s="1"/>
  <c r="R138" i="29" s="1" a="1"/>
  <c r="BP138" i="29" s="1" a="1"/>
  <c r="I24" i="29"/>
  <c r="K24" i="29" s="1"/>
  <c r="I212" i="29"/>
  <c r="K212" i="29" s="1"/>
  <c r="I159" i="29"/>
  <c r="K159" i="29" s="1"/>
  <c r="I254" i="29"/>
  <c r="K254" i="29" s="1"/>
  <c r="I18" i="29"/>
  <c r="K18" i="29" s="1"/>
  <c r="I14" i="29"/>
  <c r="K14" i="29" s="1"/>
  <c r="I129" i="29"/>
  <c r="K129" i="29" s="1"/>
  <c r="I223" i="29"/>
  <c r="K223" i="29" s="1"/>
  <c r="R223" i="29" s="1" a="1"/>
  <c r="BP223" i="29" s="1" a="1"/>
  <c r="I15" i="29"/>
  <c r="K15" i="29" s="1"/>
  <c r="R15" i="29" s="1" a="1"/>
  <c r="BP15" i="29" s="1" a="1"/>
  <c r="I117" i="29"/>
  <c r="K117" i="29" s="1"/>
  <c r="R117" i="29" s="1" a="1"/>
  <c r="BP117" i="29" s="1" a="1"/>
  <c r="I213" i="29"/>
  <c r="K213" i="29" s="1"/>
  <c r="I120" i="29"/>
  <c r="K120" i="29" s="1"/>
  <c r="I70" i="29"/>
  <c r="K70" i="29" s="1"/>
  <c r="R70" i="29" s="1" a="1"/>
  <c r="BP70" i="29" s="1" a="1"/>
  <c r="I228" i="29"/>
  <c r="K228" i="29" s="1"/>
  <c r="I80" i="29"/>
  <c r="K80" i="29" s="1"/>
  <c r="R80" i="29" s="1" a="1"/>
  <c r="BP80" i="29" s="1" a="1"/>
  <c r="I52" i="29"/>
  <c r="K52" i="29" s="1"/>
  <c r="R52" i="29" s="1" a="1"/>
  <c r="BP52" i="29" s="1" a="1"/>
  <c r="I158" i="29"/>
  <c r="K158" i="29" s="1"/>
  <c r="R158" i="29" s="1" a="1"/>
  <c r="BP158" i="29" s="1" a="1"/>
  <c r="I140" i="29"/>
  <c r="K140" i="29" s="1"/>
  <c r="R140" i="29" s="1" a="1"/>
  <c r="BP140" i="29" s="1" a="1"/>
  <c r="I47" i="29"/>
  <c r="K47" i="29" s="1"/>
  <c r="R47" i="29" s="1" a="1"/>
  <c r="BP47" i="29" s="1" a="1"/>
  <c r="I179" i="29"/>
  <c r="K179" i="29" s="1"/>
  <c r="R179" i="29" s="1" a="1"/>
  <c r="BP179" i="29" s="1" a="1"/>
  <c r="I42" i="29"/>
  <c r="K42" i="29" s="1"/>
  <c r="I218" i="29"/>
  <c r="K218" i="29" s="1"/>
  <c r="I191" i="29"/>
  <c r="K191" i="29" s="1"/>
  <c r="I107" i="29"/>
  <c r="K107" i="29" s="1"/>
  <c r="R107" i="29" s="1" a="1"/>
  <c r="BP107" i="29" s="1" a="1"/>
  <c r="I173" i="29"/>
  <c r="K173" i="29" s="1"/>
  <c r="R173" i="29" s="1" a="1"/>
  <c r="BP173" i="29" s="1" a="1"/>
  <c r="I28" i="29"/>
  <c r="K28" i="29" s="1"/>
  <c r="R28" i="29" s="1" a="1"/>
  <c r="BP28" i="29" s="1" a="1"/>
  <c r="I192" i="29"/>
  <c r="K192" i="29" s="1"/>
  <c r="I253" i="29"/>
  <c r="K253" i="29" s="1"/>
  <c r="I168" i="29"/>
  <c r="K168" i="29" s="1"/>
  <c r="I104" i="29"/>
  <c r="K104" i="29" s="1"/>
  <c r="R104" i="29" s="1" a="1"/>
  <c r="BP104" i="29" s="1" a="1"/>
  <c r="I109" i="29"/>
  <c r="K109" i="29" s="1"/>
  <c r="R109" i="29" s="1" a="1"/>
  <c r="BP109" i="29" s="1" a="1"/>
  <c r="I16" i="29"/>
  <c r="K16" i="29" s="1"/>
  <c r="R16" i="29" s="1" a="1"/>
  <c r="BP16" i="29" s="1" a="1"/>
  <c r="I60" i="29"/>
  <c r="K60" i="29" s="1"/>
  <c r="R60" i="29" s="1" a="1"/>
  <c r="BP60" i="29" s="1" a="1"/>
  <c r="I178" i="29"/>
  <c r="K178" i="29" s="1"/>
  <c r="R178" i="29" s="1" a="1"/>
  <c r="BP178" i="29" s="1" a="1"/>
  <c r="P254" i="29"/>
  <c r="CH254" i="29"/>
  <c r="CH211" i="29"/>
  <c r="P211" i="29"/>
  <c r="P180" i="29"/>
  <c r="CH180" i="29"/>
  <c r="P134" i="29"/>
  <c r="CH134" i="29"/>
  <c r="P124" i="29"/>
  <c r="CH124" i="29"/>
  <c r="P93" i="29"/>
  <c r="CH93" i="29"/>
  <c r="P64" i="29"/>
  <c r="CH64" i="29"/>
  <c r="CH32" i="29"/>
  <c r="P32" i="29"/>
  <c r="CH253" i="29"/>
  <c r="P253" i="29"/>
  <c r="CH226" i="29"/>
  <c r="P226" i="29"/>
  <c r="P199" i="29"/>
  <c r="CH199" i="29"/>
  <c r="CH146" i="29"/>
  <c r="P146" i="29"/>
  <c r="CH118" i="29"/>
  <c r="P118" i="29"/>
  <c r="P67" i="29"/>
  <c r="CH67" i="29"/>
  <c r="P242" i="29"/>
  <c r="CH242" i="29"/>
  <c r="P187" i="29"/>
  <c r="CH187" i="29"/>
  <c r="P215" i="29"/>
  <c r="CH215" i="29"/>
  <c r="CH149" i="29"/>
  <c r="P149" i="29"/>
  <c r="CH103" i="29"/>
  <c r="P103" i="29"/>
  <c r="P63" i="29"/>
  <c r="CH63" i="29"/>
  <c r="P29" i="29"/>
  <c r="CH29" i="29"/>
  <c r="P231" i="29"/>
  <c r="CH231" i="29"/>
  <c r="CH169" i="29"/>
  <c r="P169" i="29"/>
  <c r="CH244" i="29"/>
  <c r="P244" i="29"/>
  <c r="CH168" i="29"/>
  <c r="P168" i="29"/>
  <c r="P90" i="29"/>
  <c r="CH90" i="29"/>
  <c r="P184" i="29"/>
  <c r="CH184" i="29"/>
  <c r="P167" i="29"/>
  <c r="CH167" i="29"/>
  <c r="P76" i="29"/>
  <c r="CH76" i="29"/>
  <c r="P197" i="29"/>
  <c r="CH197" i="29"/>
  <c r="P233" i="29"/>
  <c r="CH233" i="29"/>
  <c r="P163" i="29"/>
  <c r="CH163" i="29"/>
  <c r="CH206" i="29"/>
  <c r="P206" i="29"/>
  <c r="CH249" i="29"/>
  <c r="P249" i="29"/>
  <c r="P213" i="29"/>
  <c r="CH213" i="29"/>
  <c r="CH115" i="29"/>
  <c r="P115" i="29"/>
  <c r="CH39" i="29"/>
  <c r="P39" i="29"/>
  <c r="CH240" i="29"/>
  <c r="P240" i="29"/>
  <c r="CH222" i="29"/>
  <c r="P222" i="29"/>
  <c r="CH138" i="29"/>
  <c r="P138" i="29"/>
  <c r="CH100" i="29"/>
  <c r="P100" i="29"/>
  <c r="CH69" i="29"/>
  <c r="P69" i="29"/>
  <c r="CH24" i="29"/>
  <c r="P24" i="29"/>
  <c r="CH147" i="29"/>
  <c r="P147" i="29"/>
  <c r="CH88" i="29"/>
  <c r="P88" i="29"/>
  <c r="P212" i="29"/>
  <c r="CH212" i="29"/>
  <c r="CH172" i="29"/>
  <c r="P172" i="29"/>
  <c r="P156" i="29"/>
  <c r="CH156" i="29"/>
  <c r="CH155" i="29"/>
  <c r="P155" i="29"/>
  <c r="P36" i="29"/>
  <c r="CH36" i="29"/>
  <c r="CH225" i="29"/>
  <c r="P225" i="29"/>
  <c r="P185" i="29"/>
  <c r="CH185" i="29"/>
  <c r="P102" i="29"/>
  <c r="CH102" i="29"/>
  <c r="CH80" i="29"/>
  <c r="P80" i="29"/>
  <c r="CH52" i="29"/>
  <c r="P52" i="29"/>
  <c r="P237" i="29"/>
  <c r="CH237" i="29"/>
  <c r="CH66" i="29"/>
  <c r="P66" i="29"/>
  <c r="P18" i="29"/>
  <c r="CH18" i="29"/>
  <c r="CH78" i="29"/>
  <c r="P78" i="29"/>
  <c r="P141" i="29"/>
  <c r="CH141" i="29"/>
  <c r="CH158" i="29"/>
  <c r="P158" i="29"/>
  <c r="P119" i="29"/>
  <c r="CH119" i="29"/>
  <c r="P133" i="29"/>
  <c r="CH133" i="29"/>
  <c r="P48" i="29"/>
  <c r="CH48" i="29"/>
  <c r="CH137" i="29"/>
  <c r="P137" i="29"/>
  <c r="P200" i="29"/>
  <c r="CH200" i="29"/>
  <c r="CH129" i="29"/>
  <c r="P129" i="29"/>
  <c r="P219" i="29"/>
  <c r="CH219" i="29"/>
  <c r="CH144" i="29"/>
  <c r="P144" i="29"/>
  <c r="CH151" i="29"/>
  <c r="P151" i="29"/>
  <c r="P114" i="29"/>
  <c r="CH114" i="29"/>
  <c r="P65" i="29"/>
  <c r="CH65" i="29"/>
  <c r="P140" i="29"/>
  <c r="CH140" i="29"/>
  <c r="CH159" i="29"/>
  <c r="P159" i="29"/>
  <c r="P171" i="29"/>
  <c r="CH171" i="29"/>
  <c r="P37" i="29"/>
  <c r="CH37" i="29"/>
  <c r="P243" i="29"/>
  <c r="CH243" i="29"/>
  <c r="CH116" i="29"/>
  <c r="P116" i="29"/>
  <c r="P56" i="29"/>
  <c r="CH56" i="29"/>
  <c r="CH22" i="29"/>
  <c r="P22" i="29"/>
  <c r="CH236" i="29"/>
  <c r="P236" i="29"/>
  <c r="P154" i="29"/>
  <c r="CH154" i="29"/>
  <c r="P77" i="29"/>
  <c r="CH77" i="29"/>
  <c r="P21" i="29"/>
  <c r="CH21" i="29"/>
  <c r="CH179" i="29"/>
  <c r="P179" i="29"/>
  <c r="CH183" i="29"/>
  <c r="P183" i="29"/>
  <c r="P127" i="29"/>
  <c r="CH127" i="29"/>
  <c r="CH91" i="29"/>
  <c r="P91" i="29"/>
  <c r="P59" i="29"/>
  <c r="CH59" i="29"/>
  <c r="P19" i="29"/>
  <c r="CH19" i="29"/>
  <c r="CH195" i="29"/>
  <c r="P195" i="29"/>
  <c r="P152" i="29"/>
  <c r="CH152" i="29"/>
  <c r="P207" i="29"/>
  <c r="CH207" i="29"/>
  <c r="P131" i="29"/>
  <c r="CH131" i="29"/>
  <c r="P46" i="29"/>
  <c r="CH46" i="29"/>
  <c r="P97" i="29"/>
  <c r="CH97" i="29"/>
  <c r="CH34" i="29"/>
  <c r="P34" i="29"/>
  <c r="P251" i="29"/>
  <c r="CH251" i="29"/>
  <c r="CH241" i="29"/>
  <c r="P241" i="29"/>
  <c r="CH139" i="29"/>
  <c r="P139" i="29"/>
  <c r="P148" i="29"/>
  <c r="CH148" i="29"/>
  <c r="CH54" i="29"/>
  <c r="P54" i="29"/>
  <c r="P17" i="29"/>
  <c r="CH17" i="29"/>
  <c r="CH196" i="29"/>
  <c r="P196" i="29"/>
  <c r="CH130" i="29"/>
  <c r="P130" i="29"/>
  <c r="CH239" i="29"/>
  <c r="P239" i="29"/>
  <c r="CH95" i="29"/>
  <c r="P95" i="29"/>
  <c r="P43" i="29"/>
  <c r="CH43" i="29"/>
  <c r="CH229" i="29"/>
  <c r="P229" i="29"/>
  <c r="P186" i="29"/>
  <c r="CH186" i="29"/>
  <c r="CH85" i="29"/>
  <c r="P85" i="29"/>
  <c r="P123" i="29"/>
  <c r="CH123" i="29"/>
  <c r="P23" i="29"/>
  <c r="CH23" i="29"/>
  <c r="P201" i="29"/>
  <c r="CH201" i="29"/>
  <c r="CH92" i="29"/>
  <c r="P92" i="29"/>
  <c r="P35" i="29"/>
  <c r="CH35" i="29"/>
  <c r="CH40" i="29"/>
  <c r="P40" i="29"/>
  <c r="CH209" i="29"/>
  <c r="P209" i="29"/>
  <c r="CH113" i="29"/>
  <c r="P113" i="29"/>
  <c r="CH73" i="29"/>
  <c r="P73" i="29"/>
  <c r="P164" i="29"/>
  <c r="CH164" i="29"/>
  <c r="P42" i="29"/>
  <c r="CH42" i="29"/>
  <c r="P181" i="29"/>
  <c r="CH181" i="29"/>
  <c r="CH218" i="29"/>
  <c r="P218" i="29"/>
  <c r="P126" i="29"/>
  <c r="CH126" i="29"/>
  <c r="P75" i="29"/>
  <c r="CH75" i="29"/>
  <c r="CH98" i="29"/>
  <c r="P98" i="29"/>
  <c r="CH55" i="29"/>
  <c r="P55" i="29"/>
  <c r="P132" i="29"/>
  <c r="CH132" i="29"/>
  <c r="P221" i="29"/>
  <c r="CH221" i="29"/>
  <c r="P68" i="29"/>
  <c r="CH68" i="29"/>
  <c r="CH27" i="29"/>
  <c r="P27" i="29"/>
  <c r="P220" i="29"/>
  <c r="CH220" i="29"/>
  <c r="CH191" i="29"/>
  <c r="P191" i="29"/>
  <c r="CH107" i="29"/>
  <c r="P107" i="29"/>
  <c r="P31" i="29"/>
  <c r="CH31" i="29"/>
  <c r="P216" i="29"/>
  <c r="CH216" i="29"/>
  <c r="CH247" i="29"/>
  <c r="P247" i="29"/>
  <c r="P153" i="29"/>
  <c r="CH153" i="29"/>
  <c r="P105" i="29"/>
  <c r="CH105" i="29"/>
  <c r="CH72" i="29"/>
  <c r="P72" i="29"/>
  <c r="P38" i="29"/>
  <c r="CH38" i="29"/>
  <c r="CH210" i="29"/>
  <c r="P210" i="29"/>
  <c r="P173" i="29"/>
  <c r="CH173" i="29"/>
  <c r="CH234" i="29"/>
  <c r="P234" i="29"/>
  <c r="P190" i="29"/>
  <c r="CH190" i="29"/>
  <c r="CH110" i="29"/>
  <c r="P110" i="29"/>
  <c r="CH89" i="29"/>
  <c r="P89" i="29"/>
  <c r="CH26" i="29"/>
  <c r="P26" i="29"/>
  <c r="P176" i="29"/>
  <c r="CH176" i="29"/>
  <c r="P71" i="29"/>
  <c r="CH71" i="29"/>
  <c r="CH161" i="29"/>
  <c r="P161" i="29"/>
  <c r="CH204" i="29"/>
  <c r="P204" i="29"/>
  <c r="P125" i="29"/>
  <c r="CH125" i="29"/>
  <c r="CH30" i="29"/>
  <c r="P30" i="29"/>
  <c r="CH230" i="29"/>
  <c r="P230" i="29"/>
  <c r="CH189" i="29"/>
  <c r="P189" i="29"/>
  <c r="P112" i="29"/>
  <c r="CH112" i="29"/>
  <c r="P188" i="29"/>
  <c r="CH188" i="29"/>
  <c r="CH62" i="29"/>
  <c r="P62" i="29"/>
  <c r="P28" i="29"/>
  <c r="CH28" i="29"/>
  <c r="CH194" i="29"/>
  <c r="P194" i="29"/>
  <c r="CH170" i="29"/>
  <c r="P170" i="29"/>
  <c r="P227" i="29"/>
  <c r="CH227" i="29"/>
  <c r="CH81" i="29"/>
  <c r="P81" i="29"/>
  <c r="P246" i="29"/>
  <c r="CH246" i="29"/>
  <c r="P165" i="29"/>
  <c r="CH165" i="29"/>
  <c r="CH61" i="29"/>
  <c r="P61" i="29"/>
  <c r="CH120" i="29"/>
  <c r="P120" i="29"/>
  <c r="P87" i="29"/>
  <c r="CH87" i="29"/>
  <c r="CH150" i="29"/>
  <c r="P150" i="29"/>
  <c r="P108" i="29"/>
  <c r="CH108" i="29"/>
  <c r="CH193" i="29"/>
  <c r="P193" i="29"/>
  <c r="P208" i="29"/>
  <c r="CH208" i="29"/>
  <c r="P79" i="29"/>
  <c r="CH79" i="29"/>
  <c r="P198" i="29"/>
  <c r="CH198" i="29"/>
  <c r="CH99" i="29"/>
  <c r="P99" i="29"/>
  <c r="CH217" i="29"/>
  <c r="P217" i="29"/>
  <c r="CH57" i="29"/>
  <c r="P57" i="29"/>
  <c r="CH74" i="29"/>
  <c r="P74" i="29"/>
  <c r="P96" i="29"/>
  <c r="CH96" i="29"/>
  <c r="P248" i="29"/>
  <c r="CH248" i="29"/>
  <c r="CH157" i="29"/>
  <c r="P157" i="29"/>
  <c r="P121" i="29"/>
  <c r="CH121" i="29"/>
  <c r="P84" i="29"/>
  <c r="CH84" i="29"/>
  <c r="CH53" i="29"/>
  <c r="P53" i="29"/>
  <c r="CH175" i="29"/>
  <c r="P175" i="29"/>
  <c r="CH205" i="29"/>
  <c r="P205" i="29"/>
  <c r="CH166" i="29"/>
  <c r="P166" i="29"/>
  <c r="P143" i="29"/>
  <c r="CH143" i="29"/>
  <c r="CH101" i="29"/>
  <c r="P101" i="29"/>
  <c r="CH41" i="29"/>
  <c r="P41" i="29"/>
  <c r="P235" i="29"/>
  <c r="CH235" i="29"/>
  <c r="CH252" i="29"/>
  <c r="P252" i="29"/>
  <c r="P174" i="29"/>
  <c r="CH174" i="29"/>
  <c r="CH109" i="29"/>
  <c r="P109" i="29"/>
  <c r="P83" i="29"/>
  <c r="CH83" i="29"/>
  <c r="P49" i="29"/>
  <c r="CH49" i="29"/>
  <c r="P16" i="29"/>
  <c r="CH16" i="29"/>
  <c r="P162" i="29"/>
  <c r="CH162" i="29"/>
  <c r="CH224" i="29"/>
  <c r="P224" i="29"/>
  <c r="CH122" i="29"/>
  <c r="P122" i="29"/>
  <c r="CH60" i="29"/>
  <c r="P60" i="29"/>
  <c r="P177" i="29"/>
  <c r="CH177" i="29"/>
  <c r="P50" i="29"/>
  <c r="CH50" i="29"/>
  <c r="P250" i="29"/>
  <c r="CH250" i="29"/>
  <c r="CH214" i="29"/>
  <c r="P214" i="29"/>
  <c r="P223" i="29"/>
  <c r="CH223" i="29"/>
  <c r="CH232" i="29"/>
  <c r="P232" i="29"/>
  <c r="P182" i="29"/>
  <c r="CH182" i="29"/>
  <c r="CH45" i="29"/>
  <c r="P45" i="29"/>
  <c r="P25" i="29"/>
  <c r="CH25" i="29"/>
  <c r="P203" i="29"/>
  <c r="CH203" i="29"/>
  <c r="R135" i="29" a="1"/>
  <c r="BP135" i="29" s="1" a="1"/>
  <c r="CH135" i="29"/>
  <c r="P135" i="29"/>
  <c r="CH82" i="29"/>
  <c r="P82" i="29"/>
  <c r="CH44" i="29"/>
  <c r="P44" i="29"/>
  <c r="P106" i="29"/>
  <c r="CH106" i="29"/>
  <c r="CH58" i="29"/>
  <c r="P58" i="29"/>
  <c r="P238" i="29"/>
  <c r="CH238" i="29"/>
  <c r="P202" i="29"/>
  <c r="CH202" i="29"/>
  <c r="CH111" i="29"/>
  <c r="P111" i="29"/>
  <c r="CH145" i="29"/>
  <c r="P145" i="29"/>
  <c r="CH70" i="29"/>
  <c r="P70" i="29"/>
  <c r="CH20" i="29"/>
  <c r="P20" i="29"/>
  <c r="CH51" i="29"/>
  <c r="P51" i="29"/>
  <c r="CH178" i="29"/>
  <c r="P178" i="29"/>
  <c r="P15" i="29"/>
  <c r="CH15" i="29"/>
  <c r="P86" i="29"/>
  <c r="CH86" i="29"/>
  <c r="CH94" i="29"/>
  <c r="P94" i="29"/>
  <c r="CH160" i="29"/>
  <c r="P160" i="29"/>
  <c r="CH47" i="29"/>
  <c r="P47" i="29"/>
  <c r="CH245" i="29"/>
  <c r="P245" i="29"/>
  <c r="CH136" i="29"/>
  <c r="P136" i="29"/>
  <c r="CH33" i="29"/>
  <c r="P33" i="29"/>
  <c r="CH128" i="29"/>
  <c r="P128" i="29"/>
  <c r="CH142" i="29"/>
  <c r="P142" i="29"/>
  <c r="P104" i="29"/>
  <c r="CH104" i="29"/>
  <c r="CH192" i="29"/>
  <c r="P192" i="29"/>
  <c r="P228" i="29"/>
  <c r="CH228" i="29"/>
  <c r="P117" i="29"/>
  <c r="CH117" i="29"/>
  <c r="B35" i="31"/>
  <c r="I134" i="29"/>
  <c r="K134" i="29" s="1"/>
  <c r="I93" i="29"/>
  <c r="K93" i="29" s="1"/>
  <c r="I64" i="29"/>
  <c r="K64" i="29" s="1"/>
  <c r="I32" i="29"/>
  <c r="K32" i="29" s="1"/>
  <c r="I146" i="29"/>
  <c r="K146" i="29" s="1"/>
  <c r="I67" i="29"/>
  <c r="K67" i="29" s="1"/>
  <c r="I149" i="29"/>
  <c r="K149" i="29" s="1"/>
  <c r="I103" i="29"/>
  <c r="K103" i="29" s="1"/>
  <c r="I63" i="29"/>
  <c r="K63" i="29" s="1"/>
  <c r="I169" i="29"/>
  <c r="K169" i="29" s="1"/>
  <c r="I90" i="29"/>
  <c r="K90" i="29" s="1"/>
  <c r="I167" i="29"/>
  <c r="K167" i="29" s="1"/>
  <c r="I76" i="29"/>
  <c r="K76" i="29" s="1"/>
  <c r="I10" i="29"/>
  <c r="K10" i="29" s="1"/>
  <c r="I197" i="29"/>
  <c r="K197" i="29" s="1"/>
  <c r="I222" i="29"/>
  <c r="K222" i="29" s="1"/>
  <c r="I69" i="29"/>
  <c r="K69" i="29" s="1"/>
  <c r="I147" i="29"/>
  <c r="K147" i="29" s="1"/>
  <c r="I88" i="29"/>
  <c r="K88" i="29" s="1"/>
  <c r="I155" i="29"/>
  <c r="K155" i="29" s="1"/>
  <c r="I36" i="29"/>
  <c r="K36" i="29" s="1"/>
  <c r="I102" i="29"/>
  <c r="K102" i="29" s="1"/>
  <c r="I66" i="29"/>
  <c r="K66" i="29" s="1"/>
  <c r="I78" i="29"/>
  <c r="K78" i="29" s="1"/>
  <c r="I171" i="29"/>
  <c r="K171" i="29" s="1"/>
  <c r="I116" i="29"/>
  <c r="K116" i="29" s="1"/>
  <c r="I22" i="29"/>
  <c r="K22" i="29" s="1"/>
  <c r="I77" i="29"/>
  <c r="K77" i="29" s="1"/>
  <c r="I21" i="29"/>
  <c r="K21" i="29" s="1"/>
  <c r="I183" i="29"/>
  <c r="K183" i="29" s="1"/>
  <c r="I91" i="29"/>
  <c r="K91" i="29" s="1"/>
  <c r="I195" i="29"/>
  <c r="K195" i="29" s="1"/>
  <c r="I207" i="29"/>
  <c r="K207" i="29" s="1"/>
  <c r="I131" i="29"/>
  <c r="K131" i="29" s="1"/>
  <c r="I46" i="29"/>
  <c r="K46" i="29" s="1"/>
  <c r="I97" i="29"/>
  <c r="K97" i="29" s="1"/>
  <c r="I54" i="29"/>
  <c r="K54" i="29" s="1"/>
  <c r="I239" i="29"/>
  <c r="K239" i="29" s="1"/>
  <c r="I95" i="29"/>
  <c r="K95" i="29" s="1"/>
  <c r="I186" i="29"/>
  <c r="K186" i="29" s="1"/>
  <c r="I35" i="29"/>
  <c r="K35" i="29" s="1"/>
  <c r="I13" i="29"/>
  <c r="K13" i="29" s="1"/>
  <c r="I73" i="29"/>
  <c r="K73" i="29" s="1"/>
  <c r="I164" i="29"/>
  <c r="K164" i="29" s="1"/>
  <c r="I181" i="29"/>
  <c r="K181" i="29" s="1"/>
  <c r="I126" i="29"/>
  <c r="K126" i="29" s="1"/>
  <c r="I132" i="29"/>
  <c r="K132" i="29" s="1"/>
  <c r="I221" i="29"/>
  <c r="K221" i="29" s="1"/>
  <c r="I68" i="29"/>
  <c r="K68" i="29" s="1"/>
  <c r="I31" i="29"/>
  <c r="K31" i="29" s="1"/>
  <c r="I247" i="29"/>
  <c r="K247" i="29" s="1"/>
  <c r="I234" i="29"/>
  <c r="K234" i="29" s="1"/>
  <c r="I11" i="29"/>
  <c r="K11" i="29" s="1"/>
  <c r="I176" i="29"/>
  <c r="K176" i="29" s="1"/>
  <c r="I161" i="29"/>
  <c r="K161" i="29" s="1"/>
  <c r="I230" i="29"/>
  <c r="K230" i="29" s="1"/>
  <c r="I189" i="29"/>
  <c r="K189" i="29" s="1"/>
  <c r="I62" i="29"/>
  <c r="K62" i="29" s="1"/>
  <c r="I170" i="29"/>
  <c r="K170" i="29" s="1"/>
  <c r="I227" i="29"/>
  <c r="K227" i="29" s="1"/>
  <c r="I61" i="29"/>
  <c r="K61" i="29" s="1"/>
  <c r="I87" i="29"/>
  <c r="K87" i="29" s="1"/>
  <c r="I150" i="29"/>
  <c r="K150" i="29" s="1"/>
  <c r="I108" i="29"/>
  <c r="K108" i="29" s="1"/>
  <c r="I217" i="29"/>
  <c r="K217" i="29" s="1"/>
  <c r="I74" i="29"/>
  <c r="K74" i="29" s="1"/>
  <c r="I5" i="29"/>
  <c r="K5" i="29" s="1"/>
  <c r="I101" i="29"/>
  <c r="K101" i="29" s="1"/>
  <c r="I252" i="29"/>
  <c r="K252" i="29" s="1"/>
  <c r="I83" i="29"/>
  <c r="K83" i="29" s="1"/>
  <c r="I49" i="29"/>
  <c r="K49" i="29" s="1"/>
  <c r="I122" i="29"/>
  <c r="K122" i="29" s="1"/>
  <c r="I177" i="29"/>
  <c r="K177" i="29" s="1"/>
  <c r="I182" i="29"/>
  <c r="K182" i="29" s="1"/>
  <c r="I45" i="29"/>
  <c r="K45" i="29" s="1"/>
  <c r="I106" i="29"/>
  <c r="K106" i="29" s="1"/>
  <c r="I58" i="29"/>
  <c r="K58" i="29" s="1"/>
  <c r="I238" i="29"/>
  <c r="K238" i="29" s="1"/>
  <c r="I202" i="29"/>
  <c r="K202" i="29" s="1"/>
  <c r="I111" i="29"/>
  <c r="K111" i="29" s="1"/>
  <c r="I145" i="29"/>
  <c r="K145" i="29" s="1"/>
  <c r="I51" i="29"/>
  <c r="K51" i="29" s="1"/>
  <c r="I86" i="29"/>
  <c r="K86" i="29" s="1"/>
  <c r="I33" i="29"/>
  <c r="K33" i="29" s="1"/>
  <c r="I128" i="29"/>
  <c r="K128" i="29" s="1"/>
  <c r="I115" i="29"/>
  <c r="K115" i="29" s="1"/>
  <c r="I39" i="29"/>
  <c r="K39" i="29" s="1"/>
  <c r="I100" i="29"/>
  <c r="K100" i="29" s="1"/>
  <c r="I119" i="29"/>
  <c r="K119" i="29" s="1"/>
  <c r="I48" i="29"/>
  <c r="K48" i="29" s="1"/>
  <c r="I114" i="29"/>
  <c r="K114" i="29" s="1"/>
  <c r="I152" i="29"/>
  <c r="K152" i="29" s="1"/>
  <c r="I85" i="29"/>
  <c r="K85" i="29" s="1"/>
  <c r="I40" i="29"/>
  <c r="K40" i="29" s="1"/>
  <c r="I113" i="29"/>
  <c r="K113" i="29" s="1"/>
  <c r="I98" i="29"/>
  <c r="K98" i="29" s="1"/>
  <c r="I55" i="29"/>
  <c r="K55" i="29" s="1"/>
  <c r="I105" i="29"/>
  <c r="K105" i="29" s="1"/>
  <c r="I38" i="29"/>
  <c r="K38" i="29" s="1"/>
  <c r="I110" i="29"/>
  <c r="K110" i="29" s="1"/>
  <c r="I26" i="29"/>
  <c r="K26" i="29" s="1"/>
  <c r="I71" i="29"/>
  <c r="K71" i="29" s="1"/>
  <c r="I204" i="29"/>
  <c r="K204" i="29" s="1"/>
  <c r="I57" i="29"/>
  <c r="K57" i="29" s="1"/>
  <c r="I162" i="29"/>
  <c r="K162" i="29" s="1"/>
  <c r="I250" i="29"/>
  <c r="K250" i="29" s="1"/>
  <c r="I7" i="29"/>
  <c r="K7" i="29" s="1"/>
  <c r="I245" i="29"/>
  <c r="K245" i="29" s="1"/>
  <c r="L10" i="29" l="1"/>
  <c r="BV10" i="29" s="1"/>
  <c r="CK10" i="29" a="1"/>
  <c r="H10" i="29" s="1" a="1"/>
  <c r="M10" i="29"/>
  <c r="N10" i="29"/>
  <c r="CK8" i="29" a="1"/>
  <c r="N8" i="29"/>
  <c r="CE8" i="29" s="1"/>
  <c r="L8" i="29"/>
  <c r="BV8" i="29" s="1"/>
  <c r="M8" i="29"/>
  <c r="H8" i="29" a="1"/>
  <c r="CK6" i="29" a="1"/>
  <c r="H6" i="29" s="1" a="1"/>
  <c r="N6" i="29"/>
  <c r="M6" i="29"/>
  <c r="L6" i="29"/>
  <c r="BV6" i="29" s="1"/>
  <c r="N11" i="29"/>
  <c r="L11" i="29"/>
  <c r="BV11" i="29" s="1"/>
  <c r="M11" i="29"/>
  <c r="CK11" i="29" a="1"/>
  <c r="H11" i="29" s="1" a="1"/>
  <c r="M5" i="29"/>
  <c r="L5" i="29"/>
  <c r="BV5" i="29" s="1"/>
  <c r="CK5" i="29" a="1"/>
  <c r="H5" i="29" s="1" a="1"/>
  <c r="N5" i="29"/>
  <c r="N9" i="29"/>
  <c r="M9" i="29"/>
  <c r="L9" i="29"/>
  <c r="BV9" i="29" s="1"/>
  <c r="BP9" i="29" s="1" a="1"/>
  <c r="A9" i="29" s="1"/>
  <c r="CK9" i="29" a="1"/>
  <c r="H9" i="29" s="1" a="1"/>
  <c r="N7" i="29"/>
  <c r="L7" i="29"/>
  <c r="BV7" i="29" s="1"/>
  <c r="CK7" i="29" a="1"/>
  <c r="H7" i="29" s="1" a="1"/>
  <c r="M7" i="29"/>
  <c r="A12" i="29"/>
  <c r="BP8" i="29" a="1"/>
  <c r="BP6" i="29" a="1"/>
  <c r="R5" i="29" a="1"/>
  <c r="U65" i="29"/>
  <c r="U203" i="29"/>
  <c r="U135" i="29"/>
  <c r="U25" i="29"/>
  <c r="U23" i="29"/>
  <c r="U121" i="29"/>
  <c r="U118" i="29"/>
  <c r="U137" i="29"/>
  <c r="U214" i="29"/>
  <c r="U237" i="29"/>
  <c r="U144" i="29"/>
  <c r="U153" i="29"/>
  <c r="U20" i="29"/>
  <c r="U142" i="29"/>
  <c r="U226" i="29"/>
  <c r="U211" i="29"/>
  <c r="U130" i="29"/>
  <c r="U201" i="29"/>
  <c r="U166" i="29"/>
  <c r="U160" i="29"/>
  <c r="U17" i="29"/>
  <c r="U84" i="29"/>
  <c r="U196" i="29"/>
  <c r="U157" i="29"/>
  <c r="U235" i="29"/>
  <c r="U136" i="29"/>
  <c r="U243" i="29"/>
  <c r="U141" i="29"/>
  <c r="U249" i="29"/>
  <c r="U209" i="29"/>
  <c r="U41" i="29"/>
  <c r="U43" i="29"/>
  <c r="U125" i="29"/>
  <c r="U208" i="29"/>
  <c r="U123" i="29"/>
  <c r="U151" i="29"/>
  <c r="U220" i="29"/>
  <c r="U19" i="29"/>
  <c r="U34" i="29"/>
  <c r="U180" i="29"/>
  <c r="R180" i="29" a="1"/>
  <c r="BP180" i="29" s="1" a="1"/>
  <c r="U94" i="29"/>
  <c r="U232" i="29"/>
  <c r="R232" i="29" a="1"/>
  <c r="BP232" i="29" s="1" a="1"/>
  <c r="U242" i="29"/>
  <c r="U225" i="29"/>
  <c r="U139" i="29"/>
  <c r="U190" i="29"/>
  <c r="U96" i="29"/>
  <c r="U248" i="29"/>
  <c r="U205" i="29"/>
  <c r="U174" i="29"/>
  <c r="U50" i="29"/>
  <c r="A221" i="19" a="1"/>
  <c r="T221" i="19" s="1"/>
  <c r="A69" i="19" a="1"/>
  <c r="T69" i="19" s="1"/>
  <c r="A133" i="19" a="1"/>
  <c r="T133" i="19" s="1"/>
  <c r="A239" i="18" a="1"/>
  <c r="A229" i="18" a="1"/>
  <c r="A219" i="18" a="1"/>
  <c r="A210" i="18" a="1"/>
  <c r="A186" i="18" a="1"/>
  <c r="A169" i="18" a="1"/>
  <c r="A163" i="18" a="1"/>
  <c r="A153" i="18" a="1"/>
  <c r="A139" i="18" a="1"/>
  <c r="K139" i="18" s="1"/>
  <c r="A120" i="18" a="1"/>
  <c r="A102" i="18" a="1"/>
  <c r="A78" i="18" a="1"/>
  <c r="A73" i="18" a="1"/>
  <c r="A60" i="18" a="1"/>
  <c r="A55" i="18" a="1"/>
  <c r="A37" i="18" a="1"/>
  <c r="A36" i="18" a="1"/>
  <c r="A255" i="18" a="1"/>
  <c r="A250" i="18" a="1"/>
  <c r="A218" i="18" a="1"/>
  <c r="A213" i="18" a="1"/>
  <c r="A203" i="18" a="1"/>
  <c r="A189" i="18" a="1"/>
  <c r="A152" i="18" a="1"/>
  <c r="A148" i="18" a="1"/>
  <c r="A144" i="18" a="1"/>
  <c r="A142" i="18" a="1"/>
  <c r="A141" i="18" a="1"/>
  <c r="A117" i="18" a="1"/>
  <c r="A97" i="18" a="1"/>
  <c r="A90" i="18" a="1"/>
  <c r="A87" i="18" a="1"/>
  <c r="A69" i="18" a="1"/>
  <c r="A64" i="18" a="1"/>
  <c r="A51" i="18" a="1"/>
  <c r="A241" i="18" a="1"/>
  <c r="A235" i="18" a="1"/>
  <c r="A231" i="18" a="1"/>
  <c r="A228" i="18" a="1"/>
  <c r="A224" i="18" a="1"/>
  <c r="A217" i="18" a="1"/>
  <c r="A196" i="18" a="1"/>
  <c r="A165" i="18" a="1"/>
  <c r="A161" i="18" a="1"/>
  <c r="A156" i="18" a="1"/>
  <c r="A254" i="18" a="1"/>
  <c r="A238" i="18" a="1"/>
  <c r="A223" i="18" a="1"/>
  <c r="A220" i="18" a="1"/>
  <c r="A216" i="18" a="1"/>
  <c r="A195" i="18" a="1"/>
  <c r="A185" i="18" a="1"/>
  <c r="A182" i="18" a="1"/>
  <c r="A167" i="18" a="1"/>
  <c r="A147" i="18" a="1"/>
  <c r="A138" i="18" a="1"/>
  <c r="A132" i="18" a="1"/>
  <c r="A128" i="18" a="1"/>
  <c r="A126" i="18" a="1"/>
  <c r="A123" i="18" a="1"/>
  <c r="A74" i="18" a="1"/>
  <c r="A66" i="18" a="1"/>
  <c r="A56" i="18" a="1"/>
  <c r="A48" i="18" a="1"/>
  <c r="A32" i="18" a="1"/>
  <c r="A30" i="18" a="1"/>
  <c r="A242" i="18" a="1"/>
  <c r="A179" i="18" a="1"/>
  <c r="A164" i="18" a="1"/>
  <c r="A245" i="18" a="1"/>
  <c r="A226" i="18" a="1"/>
  <c r="A199" i="18" a="1"/>
  <c r="A194" i="18" a="1"/>
  <c r="A176" i="18" a="1"/>
  <c r="A170" i="18" a="1"/>
  <c r="A155" i="18" a="1"/>
  <c r="A136" i="18" a="1"/>
  <c r="A121" i="18" a="1"/>
  <c r="A95" i="18" a="1"/>
  <c r="A88" i="18" a="1"/>
  <c r="A61" i="18" a="1"/>
  <c r="A42" i="18" a="1"/>
  <c r="A19" i="18" a="1"/>
  <c r="A18" i="18" a="1"/>
  <c r="A248" i="18" a="1"/>
  <c r="A244" i="18" a="1"/>
  <c r="A214" i="18" a="1"/>
  <c r="A209" i="18" a="1"/>
  <c r="A205" i="18" a="1"/>
  <c r="A184" i="18" a="1"/>
  <c r="A175" i="18" a="1"/>
  <c r="A159" i="18" a="1"/>
  <c r="A116" i="18" a="1"/>
  <c r="A99" i="18" a="1"/>
  <c r="A81" i="18" a="1"/>
  <c r="A75" i="18" a="1"/>
  <c r="A54" i="18" a="1"/>
  <c r="A45" i="18" a="1"/>
  <c r="A9" i="18" a="1"/>
  <c r="A247" i="18" a="1"/>
  <c r="A240" i="18" a="1"/>
  <c r="A230" i="18" a="1"/>
  <c r="A187" i="18" a="1"/>
  <c r="A181" i="18" a="1"/>
  <c r="A140" i="18" a="1"/>
  <c r="A104" i="18" a="1"/>
  <c r="A93" i="18" a="1"/>
  <c r="A84" i="18" a="1"/>
  <c r="A72" i="18" a="1"/>
  <c r="A50" i="18" a="1"/>
  <c r="A47" i="18" a="1"/>
  <c r="A41" i="18" a="1"/>
  <c r="A33" i="18" a="1"/>
  <c r="A14" i="18" a="1"/>
  <c r="A253" i="18" a="1"/>
  <c r="A208" i="18" a="1"/>
  <c r="A193" i="18" a="1"/>
  <c r="A252" i="18" a="1"/>
  <c r="A249" i="18" a="1"/>
  <c r="A233" i="18" a="1"/>
  <c r="A211" i="18" a="1"/>
  <c r="A172" i="18" a="1"/>
  <c r="A168" i="18" a="1"/>
  <c r="A150" i="18" a="1"/>
  <c r="A143" i="18" a="1"/>
  <c r="A133" i="18" a="1"/>
  <c r="A130" i="18" a="1"/>
  <c r="A115" i="18" a="1"/>
  <c r="A101" i="18" a="1"/>
  <c r="A68" i="18" a="1"/>
  <c r="A62" i="18" a="1"/>
  <c r="A35" i="18" a="1"/>
  <c r="A26" i="18" a="1"/>
  <c r="A198" i="18" a="1"/>
  <c r="A137" i="18" a="1"/>
  <c r="A112" i="18" a="1"/>
  <c r="A229" i="19" a="1"/>
  <c r="T229" i="19" s="1"/>
  <c r="A104" i="19" a="1"/>
  <c r="T104" i="19" s="1"/>
  <c r="A17" i="19" a="1"/>
  <c r="T17" i="19" s="1"/>
  <c r="A182" i="19" a="1"/>
  <c r="T182" i="19" s="1"/>
  <c r="A15" i="19" a="1"/>
  <c r="A31" i="19" a="1"/>
  <c r="T31" i="19" s="1"/>
  <c r="A124" i="19" a="1"/>
  <c r="T124" i="19" s="1"/>
  <c r="A131" i="19" a="1"/>
  <c r="T131" i="19" s="1"/>
  <c r="A207" i="19" a="1"/>
  <c r="T207" i="19" s="1"/>
  <c r="A212" i="19" a="1"/>
  <c r="T212" i="19" s="1"/>
  <c r="A231" i="19" a="1"/>
  <c r="T231" i="19" s="1"/>
  <c r="A230" i="19" a="1"/>
  <c r="T230" i="19" s="1"/>
  <c r="A36" i="19" a="1"/>
  <c r="T36" i="19" s="1"/>
  <c r="A46" i="19" a="1"/>
  <c r="T46" i="19" s="1"/>
  <c r="A120" i="19" a="1"/>
  <c r="T120" i="19" s="1"/>
  <c r="A97" i="19" a="1"/>
  <c r="T97" i="19" s="1"/>
  <c r="A158" i="19" a="1"/>
  <c r="T158" i="19" s="1"/>
  <c r="A168" i="19" a="1"/>
  <c r="T168" i="19" s="1"/>
  <c r="A211" i="19" a="1"/>
  <c r="T211" i="19" s="1"/>
  <c r="A234" i="19" a="1"/>
  <c r="T234" i="19" s="1"/>
  <c r="A247" i="19" a="1"/>
  <c r="T247" i="19" s="1"/>
  <c r="A25" i="19" a="1"/>
  <c r="T25" i="19" s="1"/>
  <c r="A81" i="19" a="1"/>
  <c r="T81" i="19" s="1"/>
  <c r="A23" i="19" a="1"/>
  <c r="T23" i="19" s="1"/>
  <c r="A39" i="19" a="1"/>
  <c r="T39" i="19" s="1"/>
  <c r="A86" i="19" a="1"/>
  <c r="T86" i="19" s="1"/>
  <c r="A236" i="19" a="1"/>
  <c r="T236" i="19" s="1"/>
  <c r="A79" i="19" a="1"/>
  <c r="T79" i="19" s="1"/>
  <c r="A94" i="19" a="1"/>
  <c r="T94" i="19" s="1"/>
  <c r="A58" i="19" a="1"/>
  <c r="T58" i="19" s="1"/>
  <c r="A127" i="19" a="1"/>
  <c r="T127" i="19" s="1"/>
  <c r="A89" i="18" a="1"/>
  <c r="A65" i="18" a="1"/>
  <c r="A31" i="18" a="1"/>
  <c r="A197" i="18" a="1"/>
  <c r="A188" i="18" a="1"/>
  <c r="A171" i="18" a="1"/>
  <c r="A106" i="18" a="1"/>
  <c r="A83" i="18" a="1"/>
  <c r="A77" i="18" a="1"/>
  <c r="A70" i="18" a="1"/>
  <c r="A44" i="18" a="1"/>
  <c r="A27" i="18" a="1"/>
  <c r="A24" i="18" a="1"/>
  <c r="A15" i="18" a="1"/>
  <c r="A11" i="18" a="1"/>
  <c r="A207" i="18" a="1"/>
  <c r="A251" i="18" a="1"/>
  <c r="A246" i="18" a="1"/>
  <c r="A145" i="18" a="1"/>
  <c r="A135" i="18" a="1"/>
  <c r="A127" i="18" a="1"/>
  <c r="A111" i="18" a="1"/>
  <c r="A96" i="18" a="1"/>
  <c r="A57" i="18" a="1"/>
  <c r="A53" i="18" a="1"/>
  <c r="A43" i="18" a="1"/>
  <c r="A237" i="18" a="1"/>
  <c r="A227" i="18" a="1"/>
  <c r="A215" i="18" a="1"/>
  <c r="A178" i="18" a="1"/>
  <c r="A134" i="18" a="1"/>
  <c r="A122" i="18" a="1"/>
  <c r="A110" i="18" a="1"/>
  <c r="A103" i="18" a="1"/>
  <c r="A49" i="18" a="1"/>
  <c r="A13" i="18" a="1"/>
  <c r="A204" i="18" a="1"/>
  <c r="A190" i="18" a="1"/>
  <c r="A157" i="18" a="1"/>
  <c r="A118" i="18" a="1"/>
  <c r="A98" i="18" a="1"/>
  <c r="A67" i="18" a="1"/>
  <c r="A34" i="18" a="1"/>
  <c r="A23" i="18" a="1"/>
  <c r="A8" i="18" a="1"/>
  <c r="A212" i="18" a="1"/>
  <c r="A100" i="18" a="1"/>
  <c r="A38" i="18" a="1"/>
  <c r="A206" i="18" a="1"/>
  <c r="A222" i="18" a="1"/>
  <c r="A174" i="18" a="1"/>
  <c r="A109" i="18" a="1"/>
  <c r="A22" i="18" a="1"/>
  <c r="A234" i="18" a="1"/>
  <c r="A232" i="18" a="1"/>
  <c r="A166" i="18" a="1"/>
  <c r="A80" i="18" a="1"/>
  <c r="A225" i="18" a="1"/>
  <c r="A202" i="18" a="1"/>
  <c r="A86" i="18" a="1"/>
  <c r="A40" i="18" a="1"/>
  <c r="A7" i="18" a="1"/>
  <c r="A236" i="18" a="1"/>
  <c r="A200" i="18" a="1"/>
  <c r="A221" i="18" a="1"/>
  <c r="A201" i="18" a="1"/>
  <c r="A183" i="18" a="1"/>
  <c r="A173" i="18" a="1"/>
  <c r="A154" i="18" a="1"/>
  <c r="A125" i="18" a="1"/>
  <c r="A85" i="18" a="1"/>
  <c r="A59" i="18" a="1"/>
  <c r="A151" i="18" a="1"/>
  <c r="A124" i="18" a="1"/>
  <c r="A114" i="18" a="1"/>
  <c r="A76" i="18" a="1"/>
  <c r="A71" i="18" a="1"/>
  <c r="A39" i="18" a="1"/>
  <c r="A25" i="18" a="1"/>
  <c r="A17" i="18" a="1"/>
  <c r="A180" i="18" a="1"/>
  <c r="A149" i="18" a="1"/>
  <c r="A108" i="18" a="1"/>
  <c r="A94" i="18" a="1"/>
  <c r="A46" i="18" a="1"/>
  <c r="A16" i="18" a="1"/>
  <c r="A162" i="18" a="1"/>
  <c r="A107" i="18" a="1"/>
  <c r="A92" i="18" a="1"/>
  <c r="A58" i="18" a="1"/>
  <c r="A12" i="18" a="1"/>
  <c r="A113" i="18" a="1"/>
  <c r="A105" i="18" a="1"/>
  <c r="A91" i="18" a="1"/>
  <c r="A82" i="18" a="1"/>
  <c r="A63" i="18" a="1"/>
  <c r="A52" i="18" a="1"/>
  <c r="A21" i="18" a="1"/>
  <c r="A10" i="18" a="1"/>
  <c r="A192" i="18" a="1"/>
  <c r="A160" i="18" a="1"/>
  <c r="A119" i="18" a="1"/>
  <c r="A79" i="18" a="1"/>
  <c r="A243" i="18" a="1"/>
  <c r="A146" i="18" a="1"/>
  <c r="A131" i="18" a="1"/>
  <c r="A29" i="18" a="1"/>
  <c r="A20" i="18" a="1"/>
  <c r="A191" i="18" a="1"/>
  <c r="A177" i="18" a="1"/>
  <c r="A158" i="18" a="1"/>
  <c r="A129" i="18" a="1"/>
  <c r="A28" i="18" a="1"/>
  <c r="A154" i="19" a="1"/>
  <c r="T154" i="19" s="1"/>
  <c r="A9" i="19" a="1"/>
  <c r="A151" i="19" a="1"/>
  <c r="T151" i="19" s="1"/>
  <c r="A123" i="19" a="1"/>
  <c r="T123" i="19" s="1"/>
  <c r="A103" i="19" a="1"/>
  <c r="T103" i="19" s="1"/>
  <c r="A246" i="19" a="1"/>
  <c r="T246" i="19" s="1"/>
  <c r="A42" i="19" a="1"/>
  <c r="T42" i="19" s="1"/>
  <c r="A146" i="19" a="1"/>
  <c r="T146" i="19" s="1"/>
  <c r="A12" i="19" a="1"/>
  <c r="A202" i="19" a="1"/>
  <c r="T202" i="19" s="1"/>
  <c r="A91" i="19" a="1"/>
  <c r="T91" i="19" s="1"/>
  <c r="A216" i="19" a="1"/>
  <c r="T216" i="19" s="1"/>
  <c r="A136" i="19" a="1"/>
  <c r="T136" i="19" s="1"/>
  <c r="A174" i="19" a="1"/>
  <c r="T174" i="19" s="1"/>
  <c r="A126" i="19" a="1"/>
  <c r="T126" i="19" s="1"/>
  <c r="A63" i="19" a="1"/>
  <c r="T63" i="19" s="1"/>
  <c r="A90" i="19" a="1"/>
  <c r="T90" i="19" s="1"/>
  <c r="A74" i="19" a="1"/>
  <c r="T74" i="19" s="1"/>
  <c r="A193" i="19" a="1"/>
  <c r="T193" i="19" s="1"/>
  <c r="A48" i="19" a="1"/>
  <c r="T48" i="19" s="1"/>
  <c r="A53" i="19" a="1"/>
  <c r="T53" i="19" s="1"/>
  <c r="A235" i="19" a="1"/>
  <c r="T235" i="19" s="1"/>
  <c r="A71" i="19" a="1"/>
  <c r="T71" i="19" s="1"/>
  <c r="A251" i="19" a="1"/>
  <c r="T251" i="19" s="1"/>
  <c r="A241" i="19" a="1"/>
  <c r="T241" i="19" s="1"/>
  <c r="A254" i="19" a="1"/>
  <c r="T254" i="19" s="1"/>
  <c r="A252" i="19" a="1"/>
  <c r="T252" i="19" s="1"/>
  <c r="A145" i="19" a="1"/>
  <c r="T145" i="19" s="1"/>
  <c r="A220" i="19" a="1"/>
  <c r="T220" i="19" s="1"/>
  <c r="A205" i="19" a="1"/>
  <c r="T205" i="19" s="1"/>
  <c r="A150" i="19" a="1"/>
  <c r="T150" i="19" s="1"/>
  <c r="A169" i="19" a="1"/>
  <c r="T169" i="19" s="1"/>
  <c r="A135" i="19" a="1"/>
  <c r="T135" i="19" s="1"/>
  <c r="A59" i="19" a="1"/>
  <c r="T59" i="19" s="1"/>
  <c r="A102" i="19" a="1"/>
  <c r="T102" i="19" s="1"/>
  <c r="A28" i="19" a="1"/>
  <c r="T28" i="19" s="1"/>
  <c r="A56" i="19" a="1"/>
  <c r="T56" i="19" s="1"/>
  <c r="A85" i="19" a="1"/>
  <c r="T85" i="19" s="1"/>
  <c r="A152" i="19" a="1"/>
  <c r="T152" i="19" s="1"/>
  <c r="A155" i="19" a="1"/>
  <c r="T155" i="19" s="1"/>
  <c r="A61" i="19" a="1"/>
  <c r="T61" i="19" s="1"/>
  <c r="A134" i="19" a="1"/>
  <c r="T134" i="19" s="1"/>
  <c r="A121" i="19" a="1"/>
  <c r="T121" i="19" s="1"/>
  <c r="A98" i="19" a="1"/>
  <c r="T98" i="19" s="1"/>
  <c r="A13" i="19" a="1"/>
  <c r="A21" i="19" a="1"/>
  <c r="T21" i="19" s="1"/>
  <c r="A237" i="19" a="1"/>
  <c r="T237" i="19" s="1"/>
  <c r="A222" i="19" a="1"/>
  <c r="T222" i="19" s="1"/>
  <c r="A125" i="19" a="1"/>
  <c r="T125" i="19" s="1"/>
  <c r="A24" i="19" a="1"/>
  <c r="T24" i="19" s="1"/>
  <c r="A64" i="19" a="1"/>
  <c r="T64" i="19" s="1"/>
  <c r="A208" i="19" a="1"/>
  <c r="T208" i="19" s="1"/>
  <c r="A84" i="19" a="1"/>
  <c r="T84" i="19" s="1"/>
  <c r="A49" i="19" a="1"/>
  <c r="T49" i="19" s="1"/>
  <c r="A179" i="19" a="1"/>
  <c r="T179" i="19" s="1"/>
  <c r="A67" i="19" a="1"/>
  <c r="T67" i="19" s="1"/>
  <c r="A137" i="19" a="1"/>
  <c r="T137" i="19" s="1"/>
  <c r="A157" i="19" a="1"/>
  <c r="T157" i="19" s="1"/>
  <c r="A164" i="19" a="1"/>
  <c r="T164" i="19" s="1"/>
  <c r="A219" i="19" a="1"/>
  <c r="T219" i="19" s="1"/>
  <c r="A167" i="19" a="1"/>
  <c r="T167" i="19" s="1"/>
  <c r="A147" i="19" a="1"/>
  <c r="T147" i="19" s="1"/>
  <c r="A224" i="19" a="1"/>
  <c r="T224" i="19" s="1"/>
  <c r="A227" i="19" a="1"/>
  <c r="T227" i="19" s="1"/>
  <c r="A20" i="19" a="1"/>
  <c r="T20" i="19" s="1"/>
  <c r="A33" i="19" a="1"/>
  <c r="T33" i="19" s="1"/>
  <c r="A66" i="19" a="1"/>
  <c r="T66" i="19" s="1"/>
  <c r="A7" i="19" a="1"/>
  <c r="A110" i="19" a="1"/>
  <c r="T110" i="19" s="1"/>
  <c r="A50" i="19" a="1"/>
  <c r="T50" i="19" s="1"/>
  <c r="A180" i="19" a="1"/>
  <c r="T180" i="19" s="1"/>
  <c r="A117" i="19" a="1"/>
  <c r="T117" i="19" s="1"/>
  <c r="A138" i="19" a="1"/>
  <c r="T138" i="19" s="1"/>
  <c r="A194" i="19" a="1"/>
  <c r="T194" i="19" s="1"/>
  <c r="A175" i="19" a="1"/>
  <c r="T175" i="19" s="1"/>
  <c r="A141" i="19" a="1"/>
  <c r="T141" i="19" s="1"/>
  <c r="A178" i="19" a="1"/>
  <c r="T178" i="19" s="1"/>
  <c r="A181" i="19" a="1"/>
  <c r="T181" i="19" s="1"/>
  <c r="A253" i="19" a="1"/>
  <c r="T253" i="19" s="1"/>
  <c r="A228" i="19" a="1"/>
  <c r="T228" i="19" s="1"/>
  <c r="A100" i="19" a="1"/>
  <c r="T100" i="19" s="1"/>
  <c r="A29" i="19" a="1"/>
  <c r="T29" i="19" s="1"/>
  <c r="A109" i="19" a="1"/>
  <c r="T109" i="19" s="1"/>
  <c r="A10" i="19" a="1"/>
  <c r="A44" i="19" a="1"/>
  <c r="T44" i="19" s="1"/>
  <c r="A93" i="19" a="1"/>
  <c r="T93" i="19" s="1"/>
  <c r="A11" i="19" a="1"/>
  <c r="A159" i="19" a="1"/>
  <c r="T159" i="19" s="1"/>
  <c r="A65" i="19" a="1"/>
  <c r="T65" i="19" s="1"/>
  <c r="A190" i="19" a="1"/>
  <c r="T190" i="19" s="1"/>
  <c r="A119" i="19" a="1"/>
  <c r="T119" i="19" s="1"/>
  <c r="A163" i="19" a="1"/>
  <c r="T163" i="19" s="1"/>
  <c r="A96" i="19" a="1"/>
  <c r="T96" i="19" s="1"/>
  <c r="A176" i="19" a="1"/>
  <c r="T176" i="19" s="1"/>
  <c r="A156" i="19" a="1"/>
  <c r="T156" i="19" s="1"/>
  <c r="A183" i="19" a="1"/>
  <c r="T183" i="19" s="1"/>
  <c r="A196" i="19" a="1"/>
  <c r="T196" i="19" s="1"/>
  <c r="A184" i="19" a="1"/>
  <c r="T184" i="19" s="1"/>
  <c r="A161" i="19" a="1"/>
  <c r="T161" i="19" s="1"/>
  <c r="A209" i="19" a="1"/>
  <c r="T209" i="19" s="1"/>
  <c r="A40" i="19" a="1"/>
  <c r="T40" i="19" s="1"/>
  <c r="A101" i="19" a="1"/>
  <c r="T101" i="19" s="1"/>
  <c r="A139" i="19" a="1"/>
  <c r="T139" i="19" s="1"/>
  <c r="A75" i="19" a="1"/>
  <c r="T75" i="19" s="1"/>
  <c r="A203" i="19" a="1"/>
  <c r="T203" i="19" s="1"/>
  <c r="A191" i="19" a="1"/>
  <c r="T191" i="19" s="1"/>
  <c r="A185" i="19" a="1"/>
  <c r="T185" i="19" s="1"/>
  <c r="A83" i="19" a="1"/>
  <c r="T83" i="19" s="1"/>
  <c r="A73" i="19" a="1"/>
  <c r="T73" i="19" s="1"/>
  <c r="A18" i="19" a="1"/>
  <c r="T18" i="19" s="1"/>
  <c r="A19" i="19" a="1"/>
  <c r="T19" i="19" s="1"/>
  <c r="A77" i="19" a="1"/>
  <c r="T77" i="19" s="1"/>
  <c r="A35" i="19" a="1"/>
  <c r="T35" i="19" s="1"/>
  <c r="A113" i="19" a="1"/>
  <c r="T113" i="19" s="1"/>
  <c r="A218" i="19" a="1"/>
  <c r="T218" i="19" s="1"/>
  <c r="A199" i="19" a="1"/>
  <c r="T199" i="19" s="1"/>
  <c r="A186" i="19" a="1"/>
  <c r="T186" i="19" s="1"/>
  <c r="A37" i="19" a="1"/>
  <c r="T37" i="19" s="1"/>
  <c r="A170" i="19" a="1"/>
  <c r="T170" i="19" s="1"/>
  <c r="A76" i="19" a="1"/>
  <c r="T76" i="19" s="1"/>
  <c r="A38" i="19" a="1"/>
  <c r="T38" i="19" s="1"/>
  <c r="A111" i="19" a="1"/>
  <c r="T111" i="19" s="1"/>
  <c r="A114" i="19" a="1"/>
  <c r="T114" i="19" s="1"/>
  <c r="A201" i="19" a="1"/>
  <c r="T201" i="19" s="1"/>
  <c r="A187" i="19" a="1"/>
  <c r="T187" i="19" s="1"/>
  <c r="A52" i="19" a="1"/>
  <c r="T52" i="19" s="1"/>
  <c r="A43" i="19" a="1"/>
  <c r="T43" i="19" s="1"/>
  <c r="A87" i="19" a="1"/>
  <c r="T87" i="19" s="1"/>
  <c r="A115" i="19" a="1"/>
  <c r="T115" i="19" s="1"/>
  <c r="A226" i="19" a="1"/>
  <c r="T226" i="19" s="1"/>
  <c r="A160" i="19" a="1"/>
  <c r="T160" i="19" s="1"/>
  <c r="A250" i="19" a="1"/>
  <c r="T250" i="19" s="1"/>
  <c r="A217" i="19" a="1"/>
  <c r="T217" i="19" s="1"/>
  <c r="A238" i="19" a="1"/>
  <c r="T238" i="19" s="1"/>
  <c r="A204" i="19" a="1"/>
  <c r="T204" i="19" s="1"/>
  <c r="A243" i="19" a="1"/>
  <c r="T243" i="19" s="1"/>
  <c r="A149" i="19" a="1"/>
  <c r="T149" i="19" s="1"/>
  <c r="A128" i="19" a="1"/>
  <c r="T128" i="19" s="1"/>
  <c r="A72" i="19" a="1"/>
  <c r="T72" i="19" s="1"/>
  <c r="A16" i="19" a="1"/>
  <c r="T16" i="19" s="1"/>
  <c r="A112" i="19" a="1"/>
  <c r="T112" i="19" s="1"/>
  <c r="A140" i="19" a="1"/>
  <c r="T140" i="19" s="1"/>
  <c r="A197" i="19" a="1"/>
  <c r="T197" i="19" s="1"/>
  <c r="A60" i="19" a="1"/>
  <c r="T60" i="19" s="1"/>
  <c r="A34" i="19" a="1"/>
  <c r="T34" i="19" s="1"/>
  <c r="A148" i="19" a="1"/>
  <c r="T148" i="19" s="1"/>
  <c r="A214" i="19" a="1"/>
  <c r="T214" i="19" s="1"/>
  <c r="A47" i="19" a="1"/>
  <c r="T47" i="19" s="1"/>
  <c r="A88" i="19" a="1"/>
  <c r="T88" i="19" s="1"/>
  <c r="A116" i="19" a="1"/>
  <c r="T116" i="19" s="1"/>
  <c r="A171" i="19" a="1"/>
  <c r="T171" i="19" s="1"/>
  <c r="A165" i="19" a="1"/>
  <c r="T165" i="19" s="1"/>
  <c r="A162" i="19" a="1"/>
  <c r="T162" i="19" s="1"/>
  <c r="A223" i="19" a="1"/>
  <c r="T223" i="19" s="1"/>
  <c r="A242" i="19" a="1"/>
  <c r="T242" i="19" s="1"/>
  <c r="A215" i="19" a="1"/>
  <c r="T215" i="19" s="1"/>
  <c r="A245" i="19" a="1"/>
  <c r="T245" i="19" s="1"/>
  <c r="A198" i="19" a="1"/>
  <c r="T198" i="19" s="1"/>
  <c r="A30" i="19" a="1"/>
  <c r="T30" i="19" s="1"/>
  <c r="A32" i="19" a="1"/>
  <c r="T32" i="19" s="1"/>
  <c r="A41" i="19" a="1"/>
  <c r="T41" i="19" s="1"/>
  <c r="A14" i="19" a="1"/>
  <c r="A213" i="19" a="1"/>
  <c r="T213" i="19" s="1"/>
  <c r="A92" i="19" a="1"/>
  <c r="T92" i="19" s="1"/>
  <c r="A106" i="19" a="1"/>
  <c r="T106" i="19" s="1"/>
  <c r="A132" i="19" a="1"/>
  <c r="T132" i="19" s="1"/>
  <c r="A57" i="19" a="1"/>
  <c r="T57" i="19" s="1"/>
  <c r="A200" i="19" a="1"/>
  <c r="T200" i="19" s="1"/>
  <c r="A62" i="19" a="1"/>
  <c r="T62" i="19" s="1"/>
  <c r="A45" i="19" a="1"/>
  <c r="T45" i="19" s="1"/>
  <c r="A173" i="19" a="1"/>
  <c r="T173" i="19" s="1"/>
  <c r="A78" i="19" a="1"/>
  <c r="T78" i="19" s="1"/>
  <c r="A51" i="19" a="1"/>
  <c r="T51" i="19" s="1"/>
  <c r="A89" i="19" a="1"/>
  <c r="T89" i="19" s="1"/>
  <c r="A129" i="19" a="1"/>
  <c r="T129" i="19" s="1"/>
  <c r="A172" i="19" a="1"/>
  <c r="T172" i="19" s="1"/>
  <c r="A177" i="19" a="1"/>
  <c r="T177" i="19" s="1"/>
  <c r="A189" i="19" a="1"/>
  <c r="T189" i="19" s="1"/>
  <c r="A255" i="19" a="1"/>
  <c r="T255" i="19" s="1"/>
  <c r="A244" i="19" a="1"/>
  <c r="T244" i="19" s="1"/>
  <c r="A225" i="19" a="1"/>
  <c r="T225" i="19" s="1"/>
  <c r="A233" i="19" a="1"/>
  <c r="T233" i="19" s="1"/>
  <c r="A22" i="19" a="1"/>
  <c r="T22" i="19" s="1"/>
  <c r="A26" i="19" a="1"/>
  <c r="T26" i="19" s="1"/>
  <c r="A143" i="19" a="1"/>
  <c r="T143" i="19" s="1"/>
  <c r="A82" i="19" a="1"/>
  <c r="T82" i="19" s="1"/>
  <c r="A99" i="19" a="1"/>
  <c r="T99" i="19" s="1"/>
  <c r="A8" i="19" a="1"/>
  <c r="A105" i="19" a="1"/>
  <c r="T105" i="19" s="1"/>
  <c r="A107" i="19" a="1"/>
  <c r="T107" i="19" s="1"/>
  <c r="A153" i="19" a="1"/>
  <c r="T153" i="19" s="1"/>
  <c r="A68" i="19" a="1"/>
  <c r="T68" i="19" s="1"/>
  <c r="A118" i="19" a="1"/>
  <c r="T118" i="19" s="1"/>
  <c r="A70" i="19" a="1"/>
  <c r="T70" i="19" s="1"/>
  <c r="A54" i="19" a="1"/>
  <c r="T54" i="19" s="1"/>
  <c r="A166" i="19" a="1"/>
  <c r="T166" i="19" s="1"/>
  <c r="A80" i="19" a="1"/>
  <c r="T80" i="19" s="1"/>
  <c r="A55" i="19" a="1"/>
  <c r="T55" i="19" s="1"/>
  <c r="A122" i="19" a="1"/>
  <c r="T122" i="19" s="1"/>
  <c r="A142" i="19" a="1"/>
  <c r="T142" i="19" s="1"/>
  <c r="A188" i="19" a="1"/>
  <c r="T188" i="19" s="1"/>
  <c r="A195" i="19" a="1"/>
  <c r="T195" i="19" s="1"/>
  <c r="A210" i="19" a="1"/>
  <c r="T210" i="19" s="1"/>
  <c r="A144" i="19" a="1"/>
  <c r="T144" i="19" s="1"/>
  <c r="A248" i="19" a="1"/>
  <c r="T248" i="19" s="1"/>
  <c r="A240" i="19" a="1"/>
  <c r="T240" i="19" s="1"/>
  <c r="A239" i="19" a="1"/>
  <c r="T239" i="19" s="1"/>
  <c r="BR3" i="19" a="1"/>
  <c r="A192" i="19" a="1"/>
  <c r="T192" i="19" s="1"/>
  <c r="A27" i="19" a="1"/>
  <c r="T27" i="19" s="1"/>
  <c r="A108" i="19" a="1"/>
  <c r="T108" i="19" s="1"/>
  <c r="A232" i="19" a="1"/>
  <c r="T232" i="19" s="1"/>
  <c r="A249" i="19" a="1"/>
  <c r="T249" i="19" s="1"/>
  <c r="A206" i="19" a="1"/>
  <c r="T206" i="19" s="1"/>
  <c r="A95" i="19" a="1"/>
  <c r="T95" i="19" s="1"/>
  <c r="A130" i="19" a="1"/>
  <c r="T130" i="19" s="1"/>
  <c r="A6" i="19" a="1"/>
  <c r="A6" i="18" a="1"/>
  <c r="BC2" i="19"/>
  <c r="U241" i="29"/>
  <c r="U229" i="29"/>
  <c r="R229" i="29" a="1"/>
  <c r="BP229" i="29" s="1" a="1"/>
  <c r="U187" i="29"/>
  <c r="U29" i="29"/>
  <c r="U200" i="29"/>
  <c r="U236" i="29"/>
  <c r="U233" i="29"/>
  <c r="U206" i="29"/>
  <c r="U172" i="29"/>
  <c r="U156" i="29"/>
  <c r="U133" i="29"/>
  <c r="U219" i="29"/>
  <c r="U56" i="29"/>
  <c r="U127" i="29"/>
  <c r="U59" i="29"/>
  <c r="U92" i="29"/>
  <c r="U216" i="29"/>
  <c r="U72" i="29"/>
  <c r="U210" i="29"/>
  <c r="U79" i="29"/>
  <c r="R79" i="29" a="1"/>
  <c r="BP79" i="29" s="1" a="1"/>
  <c r="U89" i="29"/>
  <c r="U188" i="29"/>
  <c r="U240" i="29"/>
  <c r="U148" i="29"/>
  <c r="U124" i="29"/>
  <c r="U199" i="29"/>
  <c r="U244" i="29"/>
  <c r="U184" i="29"/>
  <c r="U37" i="29"/>
  <c r="U154" i="29"/>
  <c r="U251" i="29"/>
  <c r="U30" i="29"/>
  <c r="U194" i="29"/>
  <c r="U246" i="29"/>
  <c r="U165" i="29"/>
  <c r="U175" i="29"/>
  <c r="U185" i="29"/>
  <c r="R185" i="29" a="1"/>
  <c r="BP185" i="29" s="1" a="1"/>
  <c r="U198" i="29"/>
  <c r="R198" i="29" a="1"/>
  <c r="BP198" i="29" s="1" a="1"/>
  <c r="U143" i="29"/>
  <c r="R143" i="29" a="1"/>
  <c r="BP143" i="29" s="1" a="1"/>
  <c r="U53" i="29"/>
  <c r="R53" i="29" a="1"/>
  <c r="BP53" i="29" s="1" a="1"/>
  <c r="U224" i="29"/>
  <c r="R224" i="29" a="1"/>
  <c r="BP224" i="29" s="1" a="1"/>
  <c r="U75" i="29"/>
  <c r="R75" i="29" a="1"/>
  <c r="BP75" i="29" s="1" a="1"/>
  <c r="U44" i="29"/>
  <c r="R44" i="29" a="1"/>
  <c r="BP44" i="29" s="1" a="1"/>
  <c r="U64" i="29"/>
  <c r="U32" i="29"/>
  <c r="U146" i="29"/>
  <c r="U254" i="29"/>
  <c r="R254" i="29" a="1"/>
  <c r="BP254" i="29" s="1" a="1"/>
  <c r="U253" i="29"/>
  <c r="R253" i="29" a="1"/>
  <c r="BP253" i="29" s="1" a="1"/>
  <c r="U193" i="29"/>
  <c r="R193" i="29" a="1"/>
  <c r="BP193" i="29" s="1" a="1"/>
  <c r="U82" i="29"/>
  <c r="R82" i="29" a="1"/>
  <c r="BP82" i="29" s="1" a="1"/>
  <c r="U67" i="29"/>
  <c r="U215" i="29"/>
  <c r="U103" i="29"/>
  <c r="U63" i="29"/>
  <c r="U231" i="29"/>
  <c r="U90" i="29"/>
  <c r="U76" i="29"/>
  <c r="U163" i="29"/>
  <c r="U138" i="29"/>
  <c r="U140" i="29"/>
  <c r="U179" i="29"/>
  <c r="U35" i="29"/>
  <c r="U28" i="29"/>
  <c r="U81" i="29"/>
  <c r="U109" i="29"/>
  <c r="U83" i="29"/>
  <c r="U49" i="29"/>
  <c r="U16" i="29"/>
  <c r="U162" i="29"/>
  <c r="U60" i="29"/>
  <c r="U173" i="29"/>
  <c r="U112" i="29"/>
  <c r="U99" i="29"/>
  <c r="U101" i="29"/>
  <c r="U252" i="29"/>
  <c r="U250" i="29"/>
  <c r="U223" i="29"/>
  <c r="U182" i="29"/>
  <c r="U45" i="29"/>
  <c r="U15" i="29"/>
  <c r="U117" i="29"/>
  <c r="R27" i="29" a="1"/>
  <c r="BP27" i="29" s="1" a="1"/>
  <c r="U27" i="29"/>
  <c r="U24" i="29"/>
  <c r="R24" i="29" a="1"/>
  <c r="BP24" i="29" s="1" a="1"/>
  <c r="U212" i="29"/>
  <c r="R212" i="29" a="1"/>
  <c r="BP212" i="29" s="1" a="1"/>
  <c r="U159" i="29"/>
  <c r="R159" i="29" a="1"/>
  <c r="BP159" i="29" s="1" a="1"/>
  <c r="U18" i="29"/>
  <c r="R18" i="29" a="1"/>
  <c r="BP18" i="29" s="1" a="1"/>
  <c r="R14" i="29" a="1"/>
  <c r="BP14" i="29" s="1" a="1"/>
  <c r="U129" i="29"/>
  <c r="R129" i="29" a="1"/>
  <c r="BP129" i="29" s="1" a="1"/>
  <c r="U120" i="29"/>
  <c r="R120" i="29" a="1"/>
  <c r="BP120" i="29" s="1" a="1"/>
  <c r="R168" i="29" a="1"/>
  <c r="BP168" i="29" s="1" a="1"/>
  <c r="U168" i="29"/>
  <c r="U197" i="29"/>
  <c r="U115" i="29"/>
  <c r="U39" i="29"/>
  <c r="U100" i="29"/>
  <c r="U69" i="29"/>
  <c r="U147" i="29"/>
  <c r="U88" i="29"/>
  <c r="U155" i="29"/>
  <c r="U36" i="29"/>
  <c r="U102" i="29"/>
  <c r="U80" i="29"/>
  <c r="U52" i="29"/>
  <c r="U66" i="29"/>
  <c r="U78" i="29"/>
  <c r="U158" i="29"/>
  <c r="U119" i="29"/>
  <c r="U114" i="29"/>
  <c r="U171" i="29"/>
  <c r="U116" i="29"/>
  <c r="U77" i="29"/>
  <c r="U21" i="29"/>
  <c r="U183" i="29"/>
  <c r="U91" i="29"/>
  <c r="U195" i="29"/>
  <c r="U152" i="29"/>
  <c r="U207" i="29"/>
  <c r="U46" i="29"/>
  <c r="U97" i="29"/>
  <c r="U54" i="29"/>
  <c r="U95" i="29"/>
  <c r="U186" i="29"/>
  <c r="U85" i="29"/>
  <c r="U40" i="29"/>
  <c r="U73" i="29"/>
  <c r="U164" i="29"/>
  <c r="U181" i="29"/>
  <c r="U126" i="29"/>
  <c r="U98" i="29"/>
  <c r="U55" i="29"/>
  <c r="U132" i="29"/>
  <c r="U221" i="29"/>
  <c r="U68" i="29"/>
  <c r="U107" i="29"/>
  <c r="U31" i="29"/>
  <c r="U247" i="29"/>
  <c r="U38" i="29"/>
  <c r="U110" i="29"/>
  <c r="U26" i="29"/>
  <c r="U176" i="29"/>
  <c r="U71" i="29"/>
  <c r="U161" i="29"/>
  <c r="U204" i="29"/>
  <c r="U230" i="29"/>
  <c r="U189" i="29"/>
  <c r="U62" i="29"/>
  <c r="U227" i="29"/>
  <c r="U61" i="29"/>
  <c r="U150" i="29"/>
  <c r="U108" i="29"/>
  <c r="U217" i="29"/>
  <c r="U57" i="29"/>
  <c r="U106" i="29"/>
  <c r="U70" i="29"/>
  <c r="U51" i="29"/>
  <c r="U178" i="29"/>
  <c r="U47" i="29"/>
  <c r="U245" i="29"/>
  <c r="U128" i="29"/>
  <c r="U104" i="29"/>
  <c r="U213" i="29"/>
  <c r="R213" i="29" a="1"/>
  <c r="BP213" i="29" s="1" a="1"/>
  <c r="U228" i="29"/>
  <c r="R228" i="29" a="1"/>
  <c r="BP228" i="29" s="1" a="1"/>
  <c r="U42" i="29"/>
  <c r="R42" i="29" a="1"/>
  <c r="BP42" i="29" s="1" a="1"/>
  <c r="U218" i="29"/>
  <c r="R218" i="29" a="1"/>
  <c r="BP218" i="29" s="1" a="1"/>
  <c r="U191" i="29"/>
  <c r="R191" i="29" a="1"/>
  <c r="BP191" i="29" s="1" a="1"/>
  <c r="U192" i="29"/>
  <c r="R192" i="29" a="1"/>
  <c r="BP192" i="29" s="1" a="1"/>
  <c r="CA211" i="29" a="1"/>
  <c r="BU211" i="29" a="1"/>
  <c r="BR211" i="29" a="1"/>
  <c r="BW211" i="29" s="1"/>
  <c r="BY211" i="29" a="1"/>
  <c r="BQ211" i="29" a="1"/>
  <c r="BS211" i="29" a="1"/>
  <c r="BZ211" i="29" a="1"/>
  <c r="CC211" i="29" s="1"/>
  <c r="BT211" i="29" s="1"/>
  <c r="CB211" i="29" a="1"/>
  <c r="BS124" i="29" a="1"/>
  <c r="CA124" i="29" a="1"/>
  <c r="BZ124" i="29" a="1"/>
  <c r="CC124" i="29" s="1"/>
  <c r="BU124" i="29" a="1"/>
  <c r="BR124" i="29" a="1"/>
  <c r="BW124" i="29" s="1"/>
  <c r="CB124" i="29" a="1"/>
  <c r="BY124" i="29" a="1"/>
  <c r="BQ124" i="29" a="1"/>
  <c r="CB226" i="29" a="1"/>
  <c r="BU226" i="29" a="1"/>
  <c r="BQ226" i="29" a="1"/>
  <c r="BY226" i="29" a="1"/>
  <c r="CA226" i="29" a="1"/>
  <c r="BR226" i="29" a="1"/>
  <c r="BW226" i="29" s="1"/>
  <c r="BZ226" i="29" a="1"/>
  <c r="CC226" i="29" s="1"/>
  <c r="BS226" i="29" a="1"/>
  <c r="BY199" i="29" a="1"/>
  <c r="BR199" i="29" a="1"/>
  <c r="BW199" i="29" s="1"/>
  <c r="BX199" i="29" s="1" a="1"/>
  <c r="BU199" i="29" a="1"/>
  <c r="BZ199" i="29" a="1"/>
  <c r="CC199" i="29" s="1"/>
  <c r="BQ199" i="29" a="1"/>
  <c r="CB199" i="29" a="1"/>
  <c r="CA199" i="29" a="1"/>
  <c r="BS199" i="29" a="1"/>
  <c r="BU118" i="29" a="1"/>
  <c r="BS118" i="29" a="1"/>
  <c r="BZ118" i="29" a="1"/>
  <c r="CC118" i="29" s="1"/>
  <c r="BY118" i="29" a="1"/>
  <c r="CA118" i="29" a="1"/>
  <c r="BR118" i="29" a="1"/>
  <c r="BW118" i="29" s="1"/>
  <c r="CB118" i="29" a="1"/>
  <c r="BQ118" i="29" a="1"/>
  <c r="BZ242" i="29" a="1"/>
  <c r="CC242" i="29" s="1"/>
  <c r="BY242" i="29" a="1"/>
  <c r="CB242" i="29" a="1"/>
  <c r="CA242" i="29" a="1"/>
  <c r="BQ242" i="29" a="1"/>
  <c r="BU242" i="29" a="1"/>
  <c r="BS242" i="29" a="1"/>
  <c r="BR242" i="29" a="1"/>
  <c r="BW242" i="29" s="1"/>
  <c r="CA187" i="29" a="1"/>
  <c r="CB187" i="29" a="1"/>
  <c r="BQ187" i="29" a="1"/>
  <c r="BS187" i="29" a="1"/>
  <c r="BU187" i="29" a="1"/>
  <c r="BR187" i="29" a="1"/>
  <c r="BW187" i="29" s="1"/>
  <c r="BZ187" i="29" a="1"/>
  <c r="CC187" i="29" s="1"/>
  <c r="BY187" i="29" a="1"/>
  <c r="BQ215" i="29" a="1"/>
  <c r="CB215" i="29" a="1"/>
  <c r="BR215" i="29" a="1"/>
  <c r="BW215" i="29" s="1"/>
  <c r="BX215" i="29" s="1" a="1"/>
  <c r="BZ215" i="29" a="1"/>
  <c r="CC215" i="29" s="1"/>
  <c r="BY215" i="29" a="1"/>
  <c r="BS215" i="29" a="1"/>
  <c r="BU215" i="29" a="1"/>
  <c r="CA215" i="29" a="1"/>
  <c r="BY29" i="29" a="1"/>
  <c r="BS29" i="29" a="1"/>
  <c r="BU29" i="29" a="1"/>
  <c r="BQ29" i="29" a="1"/>
  <c r="CB29" i="29" a="1"/>
  <c r="CA29" i="29" a="1"/>
  <c r="BR29" i="29" a="1"/>
  <c r="BW29" i="29" s="1"/>
  <c r="BZ29" i="29" a="1"/>
  <c r="CC29" i="29" s="1"/>
  <c r="CB231" i="29" a="1"/>
  <c r="BZ231" i="29" a="1"/>
  <c r="CC231" i="29" s="1"/>
  <c r="BY231" i="29" a="1"/>
  <c r="BS231" i="29" a="1"/>
  <c r="BR231" i="29" a="1"/>
  <c r="BW231" i="29" s="1"/>
  <c r="BX231" i="29" s="1" a="1"/>
  <c r="CA231" i="29" a="1"/>
  <c r="BU231" i="29" a="1"/>
  <c r="BQ231" i="29" a="1"/>
  <c r="CA244" i="29" a="1"/>
  <c r="BQ244" i="29" a="1"/>
  <c r="BY244" i="29" a="1"/>
  <c r="CB244" i="29" a="1"/>
  <c r="BU244" i="29" a="1"/>
  <c r="BS244" i="29" a="1"/>
  <c r="BZ244" i="29" a="1"/>
  <c r="CC244" i="29" s="1"/>
  <c r="BR244" i="29" a="1"/>
  <c r="BW244" i="29" s="1"/>
  <c r="BS184" i="29" a="1"/>
  <c r="BQ184" i="29" a="1"/>
  <c r="BR184" i="29" a="1"/>
  <c r="BW184" i="29" s="1"/>
  <c r="BX184" i="29" s="1" a="1"/>
  <c r="BZ184" i="29" a="1"/>
  <c r="CC184" i="29" s="1"/>
  <c r="BU184" i="29" a="1"/>
  <c r="CB184" i="29" a="1"/>
  <c r="BY184" i="29" a="1"/>
  <c r="CA184" i="29" a="1"/>
  <c r="BS233" i="29" a="1"/>
  <c r="BR233" i="29" a="1"/>
  <c r="BW233" i="29" s="1"/>
  <c r="BX233" i="29" s="1" a="1"/>
  <c r="BU233" i="29" a="1"/>
  <c r="BQ233" i="29" a="1"/>
  <c r="CA233" i="29" a="1"/>
  <c r="BZ233" i="29" a="1"/>
  <c r="CC233" i="29" s="1"/>
  <c r="BY233" i="29" a="1"/>
  <c r="CB233" i="29" a="1"/>
  <c r="BZ163" i="29" a="1"/>
  <c r="CC163" i="29" s="1"/>
  <c r="CA163" i="29" a="1"/>
  <c r="CB163" i="29" a="1"/>
  <c r="BU163" i="29" a="1"/>
  <c r="BR163" i="29" a="1"/>
  <c r="BW163" i="29" s="1"/>
  <c r="BY163" i="29" a="1"/>
  <c r="BQ163" i="29" a="1"/>
  <c r="BS163" i="29" a="1"/>
  <c r="CB206" i="29" a="1"/>
  <c r="BR206" i="29" a="1"/>
  <c r="BW206" i="29" s="1"/>
  <c r="BX206" i="29" s="1" a="1"/>
  <c r="CA206" i="29" a="1"/>
  <c r="BZ206" i="29" a="1"/>
  <c r="CC206" i="29" s="1"/>
  <c r="BY206" i="29" a="1"/>
  <c r="BS206" i="29" a="1"/>
  <c r="BU206" i="29" a="1"/>
  <c r="BQ206" i="29" a="1"/>
  <c r="BS249" i="29" a="1"/>
  <c r="BU249" i="29" a="1"/>
  <c r="CA249" i="29" a="1"/>
  <c r="BZ249" i="29" a="1"/>
  <c r="CC249" i="29" s="1"/>
  <c r="BY249" i="29" a="1"/>
  <c r="CB249" i="29" a="1"/>
  <c r="BR249" i="29" a="1"/>
  <c r="BW249" i="29" s="1"/>
  <c r="BQ249" i="29" a="1"/>
  <c r="BY240" i="29" a="1"/>
  <c r="BS240" i="29" a="1"/>
  <c r="BR240" i="29" a="1"/>
  <c r="BW240" i="29" s="1"/>
  <c r="BX240" i="29" s="1" a="1"/>
  <c r="BQ240" i="29" a="1"/>
  <c r="CB240" i="29" a="1"/>
  <c r="CA240" i="29" a="1"/>
  <c r="BZ240" i="29" a="1"/>
  <c r="CC240" i="29" s="1"/>
  <c r="BU240" i="29" a="1"/>
  <c r="CB138" i="29" a="1"/>
  <c r="BZ138" i="29" a="1"/>
  <c r="CC138" i="29" s="1"/>
  <c r="BQ138" i="29" a="1"/>
  <c r="CA138" i="29" a="1"/>
  <c r="BR138" i="29" a="1"/>
  <c r="BW138" i="29" s="1"/>
  <c r="BX138" i="29" s="1" a="1"/>
  <c r="BU138" i="29" a="1"/>
  <c r="BS138" i="29" a="1"/>
  <c r="BY138" i="29" a="1"/>
  <c r="BS172" i="29" a="1"/>
  <c r="BU172" i="29" a="1"/>
  <c r="BY172" i="29" a="1"/>
  <c r="CA172" i="29" a="1"/>
  <c r="BZ172" i="29" a="1"/>
  <c r="CC172" i="29" s="1"/>
  <c r="BQ172" i="29" a="1"/>
  <c r="CB172" i="29" a="1"/>
  <c r="BR172" i="29" a="1"/>
  <c r="BW172" i="29" s="1"/>
  <c r="BS156" i="29" a="1"/>
  <c r="CB156" i="29" a="1"/>
  <c r="CA156" i="29" a="1"/>
  <c r="BY156" i="29" a="1"/>
  <c r="BU156" i="29" a="1"/>
  <c r="BZ156" i="29" a="1"/>
  <c r="CC156" i="29" s="1"/>
  <c r="BR156" i="29" a="1"/>
  <c r="BW156" i="29" s="1"/>
  <c r="BQ156" i="29" a="1"/>
  <c r="CB225" i="29" a="1"/>
  <c r="BY225" i="29" a="1"/>
  <c r="CA225" i="29" a="1"/>
  <c r="BZ225" i="29" a="1"/>
  <c r="CC225" i="29" s="1"/>
  <c r="BU225" i="29" a="1"/>
  <c r="BS225" i="29" a="1"/>
  <c r="BR225" i="29" a="1"/>
  <c r="BW225" i="29" s="1"/>
  <c r="BQ225" i="29" a="1"/>
  <c r="BQ80" i="29" a="1"/>
  <c r="BS80" i="29" a="1"/>
  <c r="BR80" i="29" a="1"/>
  <c r="BW80" i="29" s="1"/>
  <c r="BX80" i="29" s="1" a="1"/>
  <c r="BU80" i="29" a="1"/>
  <c r="BZ80" i="29" a="1"/>
  <c r="CC80" i="29" s="1"/>
  <c r="BY80" i="29" a="1"/>
  <c r="CA80" i="29" a="1"/>
  <c r="CB80" i="29" a="1"/>
  <c r="BQ52" i="29" a="1"/>
  <c r="BR52" i="29" a="1"/>
  <c r="BW52" i="29" s="1"/>
  <c r="BX52" i="29" s="1" a="1"/>
  <c r="BY52" i="29" a="1"/>
  <c r="CB52" i="29" a="1"/>
  <c r="BU52" i="29" a="1"/>
  <c r="BS52" i="29" a="1"/>
  <c r="CA52" i="29" a="1"/>
  <c r="BZ52" i="29" a="1"/>
  <c r="CC52" i="29" s="1"/>
  <c r="BU237" i="29" a="1"/>
  <c r="BQ237" i="29" a="1"/>
  <c r="CB237" i="29" a="1"/>
  <c r="CA237" i="29" a="1"/>
  <c r="BY237" i="29" a="1"/>
  <c r="BS237" i="29" a="1"/>
  <c r="BR237" i="29" a="1"/>
  <c r="BW237" i="29" s="1"/>
  <c r="BZ237" i="29" a="1"/>
  <c r="CC237" i="29" s="1"/>
  <c r="BT237" i="29" s="1"/>
  <c r="BR141" i="29" a="1"/>
  <c r="BW141" i="29" s="1"/>
  <c r="BX141" i="29" s="1" a="1"/>
  <c r="BQ141" i="29" a="1"/>
  <c r="CA141" i="29" a="1"/>
  <c r="BY141" i="29" a="1"/>
  <c r="BU141" i="29" a="1"/>
  <c r="CB141" i="29" a="1"/>
  <c r="BS141" i="29" a="1"/>
  <c r="BZ141" i="29" a="1"/>
  <c r="CC141" i="29" s="1"/>
  <c r="BT141" i="29" s="1"/>
  <c r="BY158" i="29" a="1"/>
  <c r="BS158" i="29" a="1"/>
  <c r="BR158" i="29" a="1"/>
  <c r="BW158" i="29" s="1"/>
  <c r="BX158" i="29" s="1" a="1"/>
  <c r="BQ158" i="29" a="1"/>
  <c r="BZ158" i="29" a="1"/>
  <c r="CC158" i="29" s="1"/>
  <c r="CB158" i="29" a="1"/>
  <c r="CA158" i="29" a="1"/>
  <c r="BU158" i="29" a="1"/>
  <c r="BS133" i="29" a="1"/>
  <c r="BQ133" i="29" a="1"/>
  <c r="BR133" i="29" a="1"/>
  <c r="BW133" i="29" s="1"/>
  <c r="BX133" i="29" s="1" a="1"/>
  <c r="CB133" i="29" a="1"/>
  <c r="BU133" i="29" a="1"/>
  <c r="CA133" i="29" a="1"/>
  <c r="BZ133" i="29" a="1"/>
  <c r="CC133" i="29" s="1"/>
  <c r="BY133" i="29" a="1"/>
  <c r="BY137" i="29" a="1"/>
  <c r="BU137" i="29" a="1"/>
  <c r="CA137" i="29" a="1"/>
  <c r="BR137" i="29" a="1"/>
  <c r="BW137" i="29" s="1"/>
  <c r="CB137" i="29" a="1"/>
  <c r="BS137" i="29" a="1"/>
  <c r="BZ137" i="29" a="1"/>
  <c r="CC137" i="29" s="1"/>
  <c r="BT137" i="29" s="1"/>
  <c r="BQ137" i="29" a="1"/>
  <c r="BU200" i="29" a="1"/>
  <c r="BZ200" i="29" a="1"/>
  <c r="CC200" i="29" s="1"/>
  <c r="BY200" i="29" a="1"/>
  <c r="BR200" i="29" a="1"/>
  <c r="BW200" i="29" s="1"/>
  <c r="CB200" i="29" a="1"/>
  <c r="CA200" i="29" a="1"/>
  <c r="BQ200" i="29" a="1"/>
  <c r="BS200" i="29" a="1"/>
  <c r="BZ219" i="29" a="1"/>
  <c r="CC219" i="29" s="1"/>
  <c r="BQ219" i="29" a="1"/>
  <c r="BS219" i="29" a="1"/>
  <c r="BU219" i="29" a="1"/>
  <c r="CA219" i="29" a="1"/>
  <c r="BR219" i="29" a="1"/>
  <c r="BW219" i="29" s="1"/>
  <c r="BY219" i="29" a="1"/>
  <c r="CB219" i="29" a="1"/>
  <c r="BY144" i="29" a="1"/>
  <c r="BQ144" i="29" a="1"/>
  <c r="BZ144" i="29" a="1"/>
  <c r="CC144" i="29" s="1"/>
  <c r="BT144" i="29" s="1"/>
  <c r="BS144" i="29" a="1"/>
  <c r="CB144" i="29" a="1"/>
  <c r="CA144" i="29" a="1"/>
  <c r="BU144" i="29" a="1"/>
  <c r="BR144" i="29" a="1"/>
  <c r="BW144" i="29" s="1"/>
  <c r="CA151" i="29" a="1"/>
  <c r="BZ151" i="29" a="1"/>
  <c r="CC151" i="29" s="1"/>
  <c r="CB151" i="29" a="1"/>
  <c r="BQ151" i="29" a="1"/>
  <c r="BR151" i="29" a="1"/>
  <c r="BW151" i="29" s="1"/>
  <c r="BX151" i="29" s="1" a="1"/>
  <c r="BY151" i="29" a="1"/>
  <c r="BS151" i="29" a="1"/>
  <c r="BU151" i="29" a="1"/>
  <c r="BY65" i="29" a="1"/>
  <c r="BS65" i="29" a="1"/>
  <c r="CB65" i="29" a="1"/>
  <c r="BZ65" i="29" a="1"/>
  <c r="CC65" i="29" s="1"/>
  <c r="BT65" i="29" s="1"/>
  <c r="BU65" i="29" a="1"/>
  <c r="BQ65" i="29" a="1"/>
  <c r="BR65" i="29" a="1"/>
  <c r="BW65" i="29" s="1"/>
  <c r="CA65" i="29" a="1"/>
  <c r="CB140" i="29" a="1"/>
  <c r="BQ140" i="29" a="1"/>
  <c r="CA140" i="29" a="1"/>
  <c r="BS140" i="29" a="1"/>
  <c r="BY140" i="29" a="1"/>
  <c r="BR140" i="29" a="1"/>
  <c r="BW140" i="29" s="1"/>
  <c r="BX140" i="29" s="1" a="1"/>
  <c r="BU140" i="29" a="1"/>
  <c r="BZ140" i="29" a="1"/>
  <c r="CC140" i="29" s="1"/>
  <c r="BR37" i="29" a="1"/>
  <c r="BW37" i="29" s="1"/>
  <c r="BX37" i="29" s="1" a="1"/>
  <c r="CA37" i="29" a="1"/>
  <c r="BZ37" i="29" a="1"/>
  <c r="CC37" i="29" s="1"/>
  <c r="BQ37" i="29" a="1"/>
  <c r="CB37" i="29" a="1"/>
  <c r="BY37" i="29" a="1"/>
  <c r="BU37" i="29" a="1"/>
  <c r="BS37" i="29" a="1"/>
  <c r="BQ243" i="29" a="1"/>
  <c r="CB243" i="29" a="1"/>
  <c r="BU243" i="29" a="1"/>
  <c r="BS243" i="29" a="1"/>
  <c r="BZ243" i="29" a="1"/>
  <c r="CC243" i="29" s="1"/>
  <c r="BR243" i="29" a="1"/>
  <c r="BW243" i="29" s="1"/>
  <c r="CA243" i="29" a="1"/>
  <c r="BY243" i="29" a="1"/>
  <c r="BU56" i="29" a="1"/>
  <c r="BR56" i="29" a="1"/>
  <c r="BW56" i="29" s="1"/>
  <c r="BS56" i="29" a="1"/>
  <c r="CB56" i="29" a="1"/>
  <c r="BZ56" i="29" a="1"/>
  <c r="CC56" i="29" s="1"/>
  <c r="BY56" i="29" a="1"/>
  <c r="BQ56" i="29" a="1"/>
  <c r="CA56" i="29" a="1"/>
  <c r="CA236" i="29" a="1"/>
  <c r="BS236" i="29" a="1"/>
  <c r="CB236" i="29" a="1"/>
  <c r="BZ236" i="29" a="1"/>
  <c r="CC236" i="29" s="1"/>
  <c r="BR236" i="29" a="1"/>
  <c r="BW236" i="29" s="1"/>
  <c r="BX236" i="29" s="1" a="1"/>
  <c r="BQ236" i="29" a="1"/>
  <c r="BY236" i="29" a="1"/>
  <c r="BU236" i="29" a="1"/>
  <c r="BZ154" i="29" a="1"/>
  <c r="CC154" i="29" s="1"/>
  <c r="BS154" i="29" a="1"/>
  <c r="CA154" i="29" a="1"/>
  <c r="BY154" i="29" a="1"/>
  <c r="CB154" i="29" a="1"/>
  <c r="BU154" i="29" a="1"/>
  <c r="BR154" i="29" a="1"/>
  <c r="BW154" i="29" s="1"/>
  <c r="BQ154" i="29" a="1"/>
  <c r="BU179" i="29" a="1"/>
  <c r="BZ179" i="29" a="1"/>
  <c r="CC179" i="29" s="1"/>
  <c r="BQ179" i="29" a="1"/>
  <c r="BS179" i="29" a="1"/>
  <c r="CB179" i="29" a="1"/>
  <c r="BR179" i="29" a="1"/>
  <c r="BW179" i="29" s="1"/>
  <c r="CA179" i="29" a="1"/>
  <c r="BY179" i="29" a="1"/>
  <c r="BR127" i="29" a="1"/>
  <c r="BW127" i="29" s="1"/>
  <c r="BX127" i="29" s="1" a="1"/>
  <c r="CA127" i="29" a="1"/>
  <c r="BZ127" i="29" a="1"/>
  <c r="CC127" i="29" s="1"/>
  <c r="BS127" i="29" a="1"/>
  <c r="BU127" i="29" a="1"/>
  <c r="BQ127" i="29" a="1"/>
  <c r="CB127" i="29" a="1"/>
  <c r="BY127" i="29" a="1"/>
  <c r="CB59" i="29" a="1"/>
  <c r="BQ59" i="29" a="1"/>
  <c r="CA59" i="29" a="1"/>
  <c r="BR59" i="29" a="1"/>
  <c r="BW59" i="29" s="1"/>
  <c r="BX59" i="29" s="1" a="1"/>
  <c r="BS59" i="29" a="1"/>
  <c r="BZ59" i="29" a="1"/>
  <c r="CC59" i="29" s="1"/>
  <c r="BY59" i="29" a="1"/>
  <c r="BU59" i="29" a="1"/>
  <c r="CB19" i="29" a="1"/>
  <c r="CA19" i="29" a="1"/>
  <c r="BU19" i="29" a="1"/>
  <c r="BS19" i="29" a="1"/>
  <c r="BR19" i="29" a="1"/>
  <c r="BW19" i="29" s="1"/>
  <c r="BQ19" i="29" a="1"/>
  <c r="BZ19" i="29" a="1"/>
  <c r="CC19" i="29" s="1"/>
  <c r="BY19" i="29" a="1"/>
  <c r="BZ34" i="29" a="1"/>
  <c r="CC34" i="29" s="1"/>
  <c r="BR34" i="29" a="1"/>
  <c r="BW34" i="29" s="1"/>
  <c r="BX34" i="29" s="1" a="1"/>
  <c r="BQ34" i="29" a="1"/>
  <c r="CB34" i="29" a="1"/>
  <c r="CA34" i="29" a="1"/>
  <c r="BU34" i="29" a="1"/>
  <c r="BS34" i="29" a="1"/>
  <c r="BY34" i="29" a="1"/>
  <c r="CA251" i="29" a="1"/>
  <c r="BU251" i="29" a="1"/>
  <c r="BZ251" i="29" a="1"/>
  <c r="CC251" i="29" s="1"/>
  <c r="BS251" i="29" a="1"/>
  <c r="BR251" i="29" a="1"/>
  <c r="BW251" i="29" s="1"/>
  <c r="BQ251" i="29" a="1"/>
  <c r="CB251" i="29" a="1"/>
  <c r="BY251" i="29" a="1"/>
  <c r="BS241" i="29" a="1"/>
  <c r="BU241" i="29" a="1"/>
  <c r="BZ241" i="29" a="1"/>
  <c r="CC241" i="29" s="1"/>
  <c r="BY241" i="29" a="1"/>
  <c r="CA241" i="29" a="1"/>
  <c r="CB241" i="29" a="1"/>
  <c r="BR241" i="29" a="1"/>
  <c r="BW241" i="29" s="1"/>
  <c r="BQ241" i="29" a="1"/>
  <c r="BQ139" i="29" a="1"/>
  <c r="BZ139" i="29" a="1"/>
  <c r="CC139" i="29" s="1"/>
  <c r="BU139" i="29" a="1"/>
  <c r="BR139" i="29" a="1"/>
  <c r="BW139" i="29" s="1"/>
  <c r="BS139" i="29" a="1"/>
  <c r="CB139" i="29" a="1"/>
  <c r="BY139" i="29" a="1"/>
  <c r="CA139" i="29" a="1"/>
  <c r="BQ148" i="29" a="1"/>
  <c r="CB148" i="29" a="1"/>
  <c r="CA148" i="29" a="1"/>
  <c r="BZ148" i="29" a="1"/>
  <c r="CC148" i="29" s="1"/>
  <c r="BY148" i="29" a="1"/>
  <c r="BS148" i="29" a="1"/>
  <c r="BR148" i="29" a="1"/>
  <c r="BW148" i="29" s="1"/>
  <c r="BX148" i="29" s="1" a="1"/>
  <c r="BU148" i="29" a="1"/>
  <c r="BS17" i="29" a="1"/>
  <c r="CB17" i="29" a="1"/>
  <c r="BR17" i="29" a="1"/>
  <c r="BW17" i="29" s="1"/>
  <c r="BX17" i="29" s="1" a="1"/>
  <c r="CA17" i="29" a="1"/>
  <c r="BQ17" i="29" a="1"/>
  <c r="BZ17" i="29" a="1"/>
  <c r="CC17" i="29" s="1"/>
  <c r="BU17" i="29" a="1"/>
  <c r="BY17" i="29" a="1"/>
  <c r="BR196" i="29" a="1"/>
  <c r="BW196" i="29" s="1"/>
  <c r="BX196" i="29" s="1" a="1"/>
  <c r="CA196" i="29" a="1"/>
  <c r="BS196" i="29" a="1"/>
  <c r="BQ196" i="29" a="1"/>
  <c r="BY196" i="29" a="1"/>
  <c r="BU196" i="29" a="1"/>
  <c r="CB196" i="29" a="1"/>
  <c r="BZ196" i="29" a="1"/>
  <c r="CC196" i="29" s="1"/>
  <c r="BY130" i="29" a="1"/>
  <c r="CA130" i="29" a="1"/>
  <c r="BR130" i="29" a="1"/>
  <c r="BW130" i="29" s="1"/>
  <c r="BX130" i="29" s="1" a="1"/>
  <c r="BZ130" i="29" a="1"/>
  <c r="CC130" i="29" s="1"/>
  <c r="BT130" i="29" s="1"/>
  <c r="BS130" i="29" a="1"/>
  <c r="BQ130" i="29" a="1"/>
  <c r="CB130" i="29" a="1"/>
  <c r="BU130" i="29" a="1"/>
  <c r="BS43" i="29" a="1"/>
  <c r="BR43" i="29" a="1"/>
  <c r="BW43" i="29" s="1"/>
  <c r="BX43" i="29" s="1" a="1"/>
  <c r="BQ43" i="29" a="1"/>
  <c r="CB43" i="29" a="1"/>
  <c r="CA43" i="29" a="1"/>
  <c r="BZ43" i="29" a="1"/>
  <c r="CC43" i="29" s="1"/>
  <c r="BY43" i="29" a="1"/>
  <c r="BU43" i="29" a="1"/>
  <c r="BZ123" i="29" a="1"/>
  <c r="CC123" i="29" s="1"/>
  <c r="BY123" i="29" a="1"/>
  <c r="CB123" i="29" a="1"/>
  <c r="CA123" i="29" a="1"/>
  <c r="BU123" i="29" a="1"/>
  <c r="BS123" i="29" a="1"/>
  <c r="BR123" i="29" a="1"/>
  <c r="BW123" i="29" s="1"/>
  <c r="BQ123" i="29" a="1"/>
  <c r="BZ23" i="29" a="1"/>
  <c r="CC23" i="29" s="1"/>
  <c r="BS23" i="29" a="1"/>
  <c r="BR23" i="29" a="1"/>
  <c r="BW23" i="29" s="1"/>
  <c r="BX23" i="29" s="1" a="1"/>
  <c r="BQ23" i="29" a="1"/>
  <c r="CB23" i="29" a="1"/>
  <c r="CA23" i="29" a="1"/>
  <c r="BU23" i="29" a="1"/>
  <c r="BY23" i="29" a="1"/>
  <c r="BQ201" i="29" a="1"/>
  <c r="BS201" i="29" a="1"/>
  <c r="CB201" i="29" a="1"/>
  <c r="BR201" i="29" a="1"/>
  <c r="BW201" i="29" s="1"/>
  <c r="BX201" i="29" s="1" a="1"/>
  <c r="BY201" i="29" a="1"/>
  <c r="BU201" i="29" a="1"/>
  <c r="CA201" i="29" a="1"/>
  <c r="BZ201" i="29" a="1"/>
  <c r="CC201" i="29" s="1"/>
  <c r="BT201" i="29" s="1"/>
  <c r="BZ92" i="29" a="1"/>
  <c r="CC92" i="29" s="1"/>
  <c r="BS92" i="29" a="1"/>
  <c r="BQ92" i="29" a="1"/>
  <c r="CB92" i="29" a="1"/>
  <c r="BU92" i="29" a="1"/>
  <c r="BR92" i="29" a="1"/>
  <c r="BW92" i="29" s="1"/>
  <c r="BY92" i="29" a="1"/>
  <c r="CA92" i="29" a="1"/>
  <c r="BS209" i="29" a="1"/>
  <c r="BR209" i="29" a="1"/>
  <c r="BW209" i="29" s="1"/>
  <c r="BX209" i="29" s="1" a="1"/>
  <c r="CB209" i="29" a="1"/>
  <c r="BZ209" i="29" a="1"/>
  <c r="CC209" i="29" s="1"/>
  <c r="BU209" i="29" a="1"/>
  <c r="BY209" i="29" a="1"/>
  <c r="BQ209" i="29" a="1"/>
  <c r="CA209" i="29" a="1"/>
  <c r="BU12" i="29" a="1"/>
  <c r="BR12" i="29" a="1"/>
  <c r="BW12" i="29" s="1"/>
  <c r="BQ12" i="29" a="1"/>
  <c r="BS12" i="29" a="1"/>
  <c r="BS220" i="29" a="1"/>
  <c r="CA220" i="29" a="1"/>
  <c r="CB220" i="29" a="1"/>
  <c r="BQ220" i="29" a="1"/>
  <c r="BY220" i="29" a="1"/>
  <c r="BZ220" i="29" a="1"/>
  <c r="CC220" i="29" s="1"/>
  <c r="BT220" i="29" s="1"/>
  <c r="BU220" i="29" a="1"/>
  <c r="BR220" i="29" a="1"/>
  <c r="BW220" i="29" s="1"/>
  <c r="BQ107" i="29" a="1"/>
  <c r="BR107" i="29" a="1"/>
  <c r="BW107" i="29" s="1"/>
  <c r="BX107" i="29" s="1" a="1"/>
  <c r="CB107" i="29" a="1"/>
  <c r="BY107" i="29" a="1"/>
  <c r="BZ107" i="29" a="1"/>
  <c r="CC107" i="29" s="1"/>
  <c r="BS107" i="29" a="1"/>
  <c r="BU107" i="29" a="1"/>
  <c r="CA107" i="29" a="1"/>
  <c r="BQ216" i="29" a="1"/>
  <c r="BS216" i="29" a="1"/>
  <c r="BU216" i="29" a="1"/>
  <c r="BR216" i="29" a="1"/>
  <c r="BW216" i="29" s="1"/>
  <c r="BY216" i="29" a="1"/>
  <c r="CA216" i="29" a="1"/>
  <c r="CB216" i="29" a="1"/>
  <c r="BZ216" i="29" a="1"/>
  <c r="CC216" i="29" s="1"/>
  <c r="BT216" i="29" s="1"/>
  <c r="CA153" i="29" a="1"/>
  <c r="CB153" i="29" a="1"/>
  <c r="BZ153" i="29" a="1"/>
  <c r="CC153" i="29" s="1"/>
  <c r="BS153" i="29" a="1"/>
  <c r="BR153" i="29" a="1"/>
  <c r="BW153" i="29" s="1"/>
  <c r="BX153" i="29" s="1" a="1"/>
  <c r="BU153" i="29" a="1"/>
  <c r="BQ153" i="29" a="1"/>
  <c r="BY153" i="29" a="1"/>
  <c r="BY72" i="29" a="1"/>
  <c r="CB72" i="29" a="1"/>
  <c r="BR72" i="29" a="1"/>
  <c r="BW72" i="29" s="1"/>
  <c r="BX72" i="29" s="1" a="1"/>
  <c r="CA72" i="29" a="1"/>
  <c r="BS72" i="29" a="1"/>
  <c r="BQ72" i="29" a="1"/>
  <c r="BZ72" i="29" a="1"/>
  <c r="CC72" i="29" s="1"/>
  <c r="BU72" i="29" a="1"/>
  <c r="BZ210" i="29" a="1"/>
  <c r="CC210" i="29" s="1"/>
  <c r="CB210" i="29" a="1"/>
  <c r="BS210" i="29" a="1"/>
  <c r="BU210" i="29" a="1"/>
  <c r="BQ210" i="29" a="1"/>
  <c r="BR210" i="29" a="1"/>
  <c r="BW210" i="29" s="1"/>
  <c r="BY210" i="29" a="1"/>
  <c r="CA210" i="29" a="1"/>
  <c r="CB173" i="29" a="1"/>
  <c r="BR173" i="29" a="1"/>
  <c r="BW173" i="29" s="1"/>
  <c r="BX173" i="29" s="1" a="1"/>
  <c r="BY173" i="29" a="1"/>
  <c r="BU173" i="29" a="1"/>
  <c r="BZ173" i="29" a="1"/>
  <c r="CC173" i="29" s="1"/>
  <c r="BT173" i="29" s="1"/>
  <c r="BS173" i="29" a="1"/>
  <c r="BQ173" i="29" a="1"/>
  <c r="CA173" i="29" a="1"/>
  <c r="BY190" i="29" a="1"/>
  <c r="BU190" i="29" a="1"/>
  <c r="BQ190" i="29" a="1"/>
  <c r="CB190" i="29" a="1"/>
  <c r="CA190" i="29" a="1"/>
  <c r="BS190" i="29" a="1"/>
  <c r="BZ190" i="29" a="1"/>
  <c r="CC190" i="29" s="1"/>
  <c r="BR190" i="29" a="1"/>
  <c r="BW190" i="29" s="1"/>
  <c r="CB89" i="29" a="1"/>
  <c r="BU89" i="29" a="1"/>
  <c r="CA89" i="29" a="1"/>
  <c r="BY89" i="29" a="1"/>
  <c r="BR89" i="29" a="1"/>
  <c r="BW89" i="29" s="1"/>
  <c r="BQ89" i="29" a="1"/>
  <c r="BZ89" i="29" a="1"/>
  <c r="CC89" i="29" s="1"/>
  <c r="BT89" i="29" s="1"/>
  <c r="BS89" i="29" a="1"/>
  <c r="BY125" i="29" a="1"/>
  <c r="BQ125" i="29" a="1"/>
  <c r="BU125" i="29" a="1"/>
  <c r="BS125" i="29" a="1"/>
  <c r="CB125" i="29" a="1"/>
  <c r="BZ125" i="29" a="1"/>
  <c r="CC125" i="29" s="1"/>
  <c r="BT125" i="29" s="1"/>
  <c r="CA125" i="29" a="1"/>
  <c r="BR125" i="29" a="1"/>
  <c r="BW125" i="29" s="1"/>
  <c r="BS30" i="29" a="1"/>
  <c r="BU30" i="29" a="1"/>
  <c r="CB30" i="29" a="1"/>
  <c r="BZ30" i="29" a="1"/>
  <c r="CC30" i="29" s="1"/>
  <c r="BY30" i="29" a="1"/>
  <c r="BQ30" i="29" a="1"/>
  <c r="BR30" i="29" a="1"/>
  <c r="BW30" i="29" s="1"/>
  <c r="CA30" i="29" a="1"/>
  <c r="BU112" i="29" a="1"/>
  <c r="BS112" i="29" a="1"/>
  <c r="BY112" i="29" a="1"/>
  <c r="BQ112" i="29" a="1"/>
  <c r="CB112" i="29" a="1"/>
  <c r="CA112" i="29" a="1"/>
  <c r="BZ112" i="29" a="1"/>
  <c r="CC112" i="29" s="1"/>
  <c r="BR112" i="29" a="1"/>
  <c r="BW112" i="29" s="1"/>
  <c r="CB188" i="29" a="1"/>
  <c r="BZ188" i="29" a="1"/>
  <c r="CC188" i="29" s="1"/>
  <c r="BR188" i="29" a="1"/>
  <c r="BW188" i="29" s="1"/>
  <c r="BX188" i="29" s="1" a="1"/>
  <c r="CA188" i="29" a="1"/>
  <c r="BQ188" i="29" a="1"/>
  <c r="BS188" i="29" a="1"/>
  <c r="BU188" i="29" a="1"/>
  <c r="BY188" i="29" a="1"/>
  <c r="BS28" i="29" a="1"/>
  <c r="BU28" i="29" a="1"/>
  <c r="BR28" i="29" a="1"/>
  <c r="BW28" i="29" s="1"/>
  <c r="CB28" i="29" a="1"/>
  <c r="CA28" i="29" a="1"/>
  <c r="BZ28" i="29" a="1"/>
  <c r="CC28" i="29" s="1"/>
  <c r="BY28" i="29" a="1"/>
  <c r="BQ28" i="29" a="1"/>
  <c r="BR194" i="29" a="1"/>
  <c r="BW194" i="29" s="1"/>
  <c r="BX194" i="29" s="1" a="1"/>
  <c r="CB194" i="29" a="1"/>
  <c r="CA194" i="29" a="1"/>
  <c r="BS194" i="29" a="1"/>
  <c r="BY194" i="29" a="1"/>
  <c r="BU194" i="29" a="1"/>
  <c r="BQ194" i="29" a="1"/>
  <c r="BZ194" i="29" a="1"/>
  <c r="CC194" i="29" s="1"/>
  <c r="BU81" i="29" a="1"/>
  <c r="BZ81" i="29" a="1"/>
  <c r="CC81" i="29" s="1"/>
  <c r="BY81" i="29" a="1"/>
  <c r="BS81" i="29" a="1"/>
  <c r="CB81" i="29" a="1"/>
  <c r="BR81" i="29" a="1"/>
  <c r="BW81" i="29" s="1"/>
  <c r="BQ81" i="29" a="1"/>
  <c r="CA81" i="29" a="1"/>
  <c r="BY246" i="29" a="1"/>
  <c r="CB246" i="29" a="1"/>
  <c r="BS246" i="29" a="1"/>
  <c r="BR246" i="29" a="1"/>
  <c r="BW246" i="29" s="1"/>
  <c r="BX246" i="29" s="1" a="1"/>
  <c r="BU246" i="29" a="1"/>
  <c r="BQ246" i="29" a="1"/>
  <c r="BZ246" i="29" a="1"/>
  <c r="CC246" i="29" s="1"/>
  <c r="CA246" i="29" a="1"/>
  <c r="CB165" i="29" a="1"/>
  <c r="BU165" i="29" a="1"/>
  <c r="BR165" i="29" a="1"/>
  <c r="BW165" i="29" s="1"/>
  <c r="BQ165" i="29" a="1"/>
  <c r="BS165" i="29" a="1"/>
  <c r="BZ165" i="29" a="1"/>
  <c r="CC165" i="29" s="1"/>
  <c r="CA165" i="29" a="1"/>
  <c r="BY165" i="29" a="1"/>
  <c r="BZ208" i="29" a="1"/>
  <c r="CC208" i="29" s="1"/>
  <c r="CA208" i="29" a="1"/>
  <c r="CB208" i="29" a="1"/>
  <c r="BR208" i="29" a="1"/>
  <c r="BW208" i="29" s="1"/>
  <c r="BX208" i="29" s="1" a="1"/>
  <c r="BU208" i="29" a="1"/>
  <c r="BQ208" i="29" a="1"/>
  <c r="BS208" i="29" a="1"/>
  <c r="BY208" i="29" a="1"/>
  <c r="BQ99" i="29" a="1"/>
  <c r="BR99" i="29" a="1"/>
  <c r="BW99" i="29" s="1"/>
  <c r="BX99" i="29" s="1" a="1"/>
  <c r="CA99" i="29" a="1"/>
  <c r="BZ99" i="29" a="1"/>
  <c r="CC99" i="29" s="1"/>
  <c r="BU99" i="29" a="1"/>
  <c r="BS99" i="29" a="1"/>
  <c r="CB99" i="29" a="1"/>
  <c r="BY99" i="29" a="1"/>
  <c r="BS96" i="29" a="1"/>
  <c r="BR96" i="29" a="1"/>
  <c r="BW96" i="29" s="1"/>
  <c r="BX96" i="29" s="1" a="1"/>
  <c r="CA96" i="29" a="1"/>
  <c r="BQ96" i="29" a="1"/>
  <c r="CB96" i="29" a="1"/>
  <c r="BZ96" i="29" a="1"/>
  <c r="CC96" i="29" s="1"/>
  <c r="BY96" i="29" a="1"/>
  <c r="BU96" i="29" a="1"/>
  <c r="CB248" i="29" a="1"/>
  <c r="BS248" i="29" a="1"/>
  <c r="BR248" i="29" a="1"/>
  <c r="BW248" i="29" s="1"/>
  <c r="BX248" i="29" s="1" a="1"/>
  <c r="BQ248" i="29" a="1"/>
  <c r="BZ248" i="29" a="1"/>
  <c r="CC248" i="29" s="1"/>
  <c r="BY248" i="29" a="1"/>
  <c r="BU248" i="29" a="1"/>
  <c r="CA248" i="29" a="1"/>
  <c r="BS157" i="29" a="1"/>
  <c r="BQ157" i="29" a="1"/>
  <c r="CA157" i="29" a="1"/>
  <c r="BR157" i="29" a="1"/>
  <c r="BW157" i="29" s="1"/>
  <c r="BX157" i="29" s="1" a="1"/>
  <c r="CB157" i="29" a="1"/>
  <c r="BZ157" i="29" a="1"/>
  <c r="CC157" i="29" s="1"/>
  <c r="BY157" i="29" a="1"/>
  <c r="BU157" i="29" a="1"/>
  <c r="CB121" i="29" a="1"/>
  <c r="BY121" i="29" a="1"/>
  <c r="BU121" i="29" a="1"/>
  <c r="BZ121" i="29" a="1"/>
  <c r="CC121" i="29" s="1"/>
  <c r="CA121" i="29" a="1"/>
  <c r="BS121" i="29" a="1"/>
  <c r="BQ121" i="29" a="1"/>
  <c r="BR121" i="29" a="1"/>
  <c r="BW121" i="29" s="1"/>
  <c r="BR84" i="29" a="1"/>
  <c r="BW84" i="29" s="1"/>
  <c r="BX84" i="29" s="1" a="1"/>
  <c r="BZ84" i="29" a="1"/>
  <c r="CC84" i="29" s="1"/>
  <c r="BQ84" i="29" a="1"/>
  <c r="BS84" i="29" a="1"/>
  <c r="CA84" i="29" a="1"/>
  <c r="CB84" i="29" a="1"/>
  <c r="BY84" i="29" a="1"/>
  <c r="BU84" i="29" a="1"/>
  <c r="BS175" i="29" a="1"/>
  <c r="BZ175" i="29" a="1"/>
  <c r="CC175" i="29" s="1"/>
  <c r="BQ175" i="29" a="1"/>
  <c r="CA175" i="29" a="1"/>
  <c r="BR175" i="29" a="1"/>
  <c r="BW175" i="29" s="1"/>
  <c r="BX175" i="29" s="1" a="1"/>
  <c r="BU175" i="29" a="1"/>
  <c r="BY175" i="29" a="1"/>
  <c r="CB175" i="29" a="1"/>
  <c r="BS205" i="29" a="1"/>
  <c r="CB205" i="29" a="1"/>
  <c r="BZ205" i="29" a="1"/>
  <c r="CC205" i="29" s="1"/>
  <c r="BY205" i="29" a="1"/>
  <c r="BR205" i="29" a="1"/>
  <c r="BW205" i="29" s="1"/>
  <c r="BX205" i="29" s="1" a="1"/>
  <c r="CA205" i="29" a="1"/>
  <c r="BU205" i="29" a="1"/>
  <c r="BQ205" i="29" a="1"/>
  <c r="BS166" i="29" a="1"/>
  <c r="BZ166" i="29" a="1"/>
  <c r="CC166" i="29" s="1"/>
  <c r="BU166" i="29" a="1"/>
  <c r="CB166" i="29" a="1"/>
  <c r="CA166" i="29" a="1"/>
  <c r="BY166" i="29" a="1"/>
  <c r="BR166" i="29" a="1"/>
  <c r="BW166" i="29" s="1"/>
  <c r="BQ166" i="29" a="1"/>
  <c r="BY41" i="29" a="1"/>
  <c r="CB41" i="29" a="1"/>
  <c r="CA41" i="29" a="1"/>
  <c r="BZ41" i="29" a="1"/>
  <c r="CC41" i="29" s="1"/>
  <c r="BT41" i="29" s="1"/>
  <c r="BU41" i="29" a="1"/>
  <c r="BS41" i="29" a="1"/>
  <c r="BR41" i="29" a="1"/>
  <c r="BW41" i="29" s="1"/>
  <c r="BQ41" i="29" a="1"/>
  <c r="CB235" i="29" a="1"/>
  <c r="BR235" i="29" a="1"/>
  <c r="BW235" i="29" s="1"/>
  <c r="BX235" i="29" s="1" a="1"/>
  <c r="CA235" i="29" a="1"/>
  <c r="BU235" i="29" a="1"/>
  <c r="BZ235" i="29" a="1"/>
  <c r="CC235" i="29" s="1"/>
  <c r="BY235" i="29" a="1"/>
  <c r="BS235" i="29" a="1"/>
  <c r="BQ235" i="29" a="1"/>
  <c r="BQ174" i="29" a="1"/>
  <c r="BU174" i="29" a="1"/>
  <c r="CA174" i="29" a="1"/>
  <c r="BZ174" i="29" a="1"/>
  <c r="CC174" i="29" s="1"/>
  <c r="BY174" i="29" a="1"/>
  <c r="CB174" i="29" a="1"/>
  <c r="BS174" i="29" a="1"/>
  <c r="BR174" i="29" a="1"/>
  <c r="BW174" i="29" s="1"/>
  <c r="BS109" i="29" a="1"/>
  <c r="BR109" i="29" a="1"/>
  <c r="BW109" i="29" s="1"/>
  <c r="BX109" i="29" s="1" a="1"/>
  <c r="BU109" i="29" a="1"/>
  <c r="BQ109" i="29" a="1"/>
  <c r="BY109" i="29" a="1"/>
  <c r="CB109" i="29" a="1"/>
  <c r="BZ109" i="29" a="1"/>
  <c r="CC109" i="29" s="1"/>
  <c r="BT109" i="29" s="1"/>
  <c r="CA109" i="29" a="1"/>
  <c r="BU16" i="29" a="1"/>
  <c r="BR16" i="29" a="1"/>
  <c r="BW16" i="29" s="1"/>
  <c r="CA16" i="29" a="1"/>
  <c r="CB16" i="29" a="1"/>
  <c r="BQ16" i="29" a="1"/>
  <c r="BZ16" i="29" a="1"/>
  <c r="CC16" i="29" s="1"/>
  <c r="BY16" i="29" a="1"/>
  <c r="BS16" i="29" a="1"/>
  <c r="CB60" i="29" a="1"/>
  <c r="BQ60" i="29" a="1"/>
  <c r="BZ60" i="29" a="1"/>
  <c r="CC60" i="29" s="1"/>
  <c r="BY60" i="29" a="1"/>
  <c r="BU60" i="29" a="1"/>
  <c r="BS60" i="29" a="1"/>
  <c r="BR60" i="29" a="1"/>
  <c r="BW60" i="29" s="1"/>
  <c r="CA60" i="29" a="1"/>
  <c r="BS50" i="29" a="1"/>
  <c r="CB50" i="29" a="1"/>
  <c r="BZ50" i="29" a="1"/>
  <c r="CC50" i="29" s="1"/>
  <c r="BR50" i="29" a="1"/>
  <c r="BW50" i="29" s="1"/>
  <c r="BX50" i="29" s="1" a="1"/>
  <c r="CA50" i="29" a="1"/>
  <c r="BU50" i="29" a="1"/>
  <c r="BY50" i="29" a="1"/>
  <c r="BQ50" i="29" a="1"/>
  <c r="CA214" i="29" a="1"/>
  <c r="BY214" i="29" a="1"/>
  <c r="BQ214" i="29" a="1"/>
  <c r="CB214" i="29" a="1"/>
  <c r="BZ214" i="29" a="1"/>
  <c r="CC214" i="29" s="1"/>
  <c r="BU214" i="29" a="1"/>
  <c r="BS214" i="29" a="1"/>
  <c r="BR214" i="29" a="1"/>
  <c r="BW214" i="29" s="1"/>
  <c r="BZ223" i="29" a="1"/>
  <c r="CC223" i="29" s="1"/>
  <c r="BU223" i="29" a="1"/>
  <c r="CB223" i="29" a="1"/>
  <c r="BR223" i="29" a="1"/>
  <c r="BW223" i="29" s="1"/>
  <c r="BS223" i="29" a="1"/>
  <c r="CA223" i="29" a="1"/>
  <c r="BY223" i="29" a="1"/>
  <c r="BQ223" i="29" a="1"/>
  <c r="BY25" i="29" a="1"/>
  <c r="BR25" i="29" a="1"/>
  <c r="BW25" i="29" s="1"/>
  <c r="BX25" i="29" s="1" a="1"/>
  <c r="BQ25" i="29" a="1"/>
  <c r="BU25" i="29" a="1"/>
  <c r="BZ25" i="29" a="1"/>
  <c r="CC25" i="29" s="1"/>
  <c r="BT25" i="29" s="1"/>
  <c r="BS25" i="29" a="1"/>
  <c r="CB25" i="29" a="1"/>
  <c r="CA25" i="29" a="1"/>
  <c r="CA203" i="29" a="1"/>
  <c r="BR203" i="29" a="1"/>
  <c r="BW203" i="29" s="1"/>
  <c r="BX203" i="29" s="1" a="1"/>
  <c r="BS203" i="29" a="1"/>
  <c r="CB203" i="29" a="1"/>
  <c r="BU203" i="29" a="1"/>
  <c r="BQ203" i="29" a="1"/>
  <c r="BZ203" i="29" a="1"/>
  <c r="CC203" i="29" s="1"/>
  <c r="BY203" i="29" a="1"/>
  <c r="BZ135" i="29" a="1"/>
  <c r="CC135" i="29" s="1"/>
  <c r="BQ135" i="29" a="1"/>
  <c r="CB135" i="29" a="1"/>
  <c r="CA135" i="29" a="1"/>
  <c r="BY135" i="29" a="1"/>
  <c r="BU135" i="29" a="1"/>
  <c r="BS135" i="29" a="1"/>
  <c r="BR135" i="29" a="1"/>
  <c r="BW135" i="29" s="1"/>
  <c r="BZ70" i="29" a="1"/>
  <c r="CC70" i="29" s="1"/>
  <c r="BY70" i="29" a="1"/>
  <c r="CB70" i="29" a="1"/>
  <c r="BS70" i="29" a="1"/>
  <c r="BU70" i="29" a="1"/>
  <c r="CA70" i="29" a="1"/>
  <c r="BQ70" i="29" a="1"/>
  <c r="BR70" i="29" a="1"/>
  <c r="BW70" i="29" s="1"/>
  <c r="BY20" i="29" a="1"/>
  <c r="BQ20" i="29" a="1"/>
  <c r="BZ20" i="29" a="1"/>
  <c r="CC20" i="29" s="1"/>
  <c r="BS20" i="29" a="1"/>
  <c r="CA20" i="29" a="1"/>
  <c r="CB20" i="29" a="1"/>
  <c r="BU20" i="29" a="1"/>
  <c r="BR20" i="29" a="1"/>
  <c r="BW20" i="29" s="1"/>
  <c r="BY178" i="29" a="1"/>
  <c r="BZ178" i="29" a="1"/>
  <c r="CC178" i="29" s="1"/>
  <c r="BT178" i="29" s="1"/>
  <c r="BQ178" i="29" a="1"/>
  <c r="BU178" i="29" a="1"/>
  <c r="CB178" i="29" a="1"/>
  <c r="CA178" i="29" a="1"/>
  <c r="BS178" i="29" a="1"/>
  <c r="BR178" i="29" a="1"/>
  <c r="BW178" i="29" s="1"/>
  <c r="CB15" i="29" a="1"/>
  <c r="BU15" i="29" a="1"/>
  <c r="CA15" i="29" a="1"/>
  <c r="BZ15" i="29" a="1"/>
  <c r="CC15" i="29" s="1"/>
  <c r="BS15" i="29" a="1"/>
  <c r="BY15" i="29" a="1"/>
  <c r="BR15" i="29" a="1"/>
  <c r="BW15" i="29" s="1"/>
  <c r="BQ15" i="29" a="1"/>
  <c r="BY94" i="29" a="1"/>
  <c r="CB94" i="29" a="1"/>
  <c r="BS94" i="29" a="1"/>
  <c r="BR94" i="29" a="1"/>
  <c r="BW94" i="29" s="1"/>
  <c r="BX94" i="29" s="1" a="1"/>
  <c r="CA94" i="29" a="1"/>
  <c r="BZ94" i="29" a="1"/>
  <c r="CC94" i="29" s="1"/>
  <c r="BT94" i="29" s="1"/>
  <c r="BU94" i="29" a="1"/>
  <c r="BQ94" i="29" a="1"/>
  <c r="BQ160" i="29" a="1"/>
  <c r="BU160" i="29" a="1"/>
  <c r="BY160" i="29" a="1"/>
  <c r="BS160" i="29" a="1"/>
  <c r="CB160" i="29" a="1"/>
  <c r="BZ160" i="29" a="1"/>
  <c r="CC160" i="29" s="1"/>
  <c r="BT160" i="29" s="1"/>
  <c r="CA160" i="29" a="1"/>
  <c r="BR160" i="29" a="1"/>
  <c r="BW160" i="29" s="1"/>
  <c r="BR47" i="29" a="1"/>
  <c r="BW47" i="29" s="1"/>
  <c r="BX47" i="29" s="1" a="1"/>
  <c r="CB47" i="29" a="1"/>
  <c r="CA47" i="29" a="1"/>
  <c r="BQ47" i="29" a="1"/>
  <c r="BZ47" i="29" a="1"/>
  <c r="CC47" i="29" s="1"/>
  <c r="BY47" i="29" a="1"/>
  <c r="BU47" i="29" a="1"/>
  <c r="BS47" i="29" a="1"/>
  <c r="BZ136" i="29" a="1"/>
  <c r="CC136" i="29" s="1"/>
  <c r="BU136" i="29" a="1"/>
  <c r="BS136" i="29" a="1"/>
  <c r="CA136" i="29" a="1"/>
  <c r="BQ136" i="29" a="1"/>
  <c r="BR136" i="29" a="1"/>
  <c r="BW136" i="29" s="1"/>
  <c r="CB136" i="29" a="1"/>
  <c r="BY136" i="29" a="1"/>
  <c r="CB142" i="29" a="1"/>
  <c r="BS142" i="29" a="1"/>
  <c r="BZ142" i="29" a="1"/>
  <c r="CC142" i="29" s="1"/>
  <c r="BR142" i="29" a="1"/>
  <c r="BW142" i="29" s="1"/>
  <c r="BX142" i="29" s="1" a="1"/>
  <c r="CA142" i="29" a="1"/>
  <c r="BY142" i="29" a="1"/>
  <c r="BU142" i="29" a="1"/>
  <c r="BQ142" i="29" a="1"/>
  <c r="BS104" i="29" a="1"/>
  <c r="BR104" i="29" a="1"/>
  <c r="BW104" i="29" s="1"/>
  <c r="BX104" i="29" s="1" a="1"/>
  <c r="CB104" i="29" a="1"/>
  <c r="BQ104" i="29" a="1"/>
  <c r="BU104" i="29" a="1"/>
  <c r="CA104" i="29" a="1"/>
  <c r="BZ104" i="29" a="1"/>
  <c r="CC104" i="29" s="1"/>
  <c r="BY104" i="29" a="1"/>
  <c r="CA117" i="29" a="1"/>
  <c r="BQ117" i="29" a="1"/>
  <c r="CB117" i="29" a="1"/>
  <c r="BR117" i="29" a="1"/>
  <c r="BW117" i="29" s="1"/>
  <c r="BX117" i="29" s="1" a="1"/>
  <c r="BZ117" i="29" a="1"/>
  <c r="CC117" i="29" s="1"/>
  <c r="BY117" i="29" a="1"/>
  <c r="BU117" i="29" a="1"/>
  <c r="BS117" i="29" a="1"/>
  <c r="R134" i="29" a="1"/>
  <c r="BP134" i="29" s="1" a="1"/>
  <c r="U134" i="29"/>
  <c r="R93" i="29" a="1"/>
  <c r="BP93" i="29" s="1" a="1"/>
  <c r="U93" i="29"/>
  <c r="R64" i="29" a="1"/>
  <c r="BP64" i="29" s="1" a="1"/>
  <c r="R32" i="29" a="1"/>
  <c r="BP32" i="29" s="1" a="1"/>
  <c r="R146" i="29" a="1"/>
  <c r="BP146" i="29" s="1" a="1"/>
  <c r="R67" i="29" a="1"/>
  <c r="BP67" i="29" s="1" a="1"/>
  <c r="R149" i="29" a="1"/>
  <c r="BP149" i="29" s="1" a="1"/>
  <c r="U149" i="29"/>
  <c r="R103" i="29" a="1"/>
  <c r="BP103" i="29" s="1" a="1"/>
  <c r="R63" i="29" a="1"/>
  <c r="BP63" i="29" s="1" a="1"/>
  <c r="R169" i="29" a="1"/>
  <c r="BP169" i="29" s="1" a="1"/>
  <c r="U169" i="29"/>
  <c r="R90" i="29" a="1"/>
  <c r="BP90" i="29" s="1" a="1"/>
  <c r="R167" i="29" a="1"/>
  <c r="BP167" i="29" s="1" a="1"/>
  <c r="U167" i="29"/>
  <c r="R76" i="29" a="1"/>
  <c r="BP76" i="29" s="1" a="1"/>
  <c r="R10" i="29" a="1"/>
  <c r="R197" i="29" a="1"/>
  <c r="BP197" i="29" s="1" a="1"/>
  <c r="R222" i="29" a="1"/>
  <c r="BP222" i="29" s="1" a="1"/>
  <c r="U222" i="29"/>
  <c r="R69" i="29" a="1"/>
  <c r="BP69" i="29" s="1" a="1"/>
  <c r="R147" i="29" a="1"/>
  <c r="BP147" i="29" s="1" a="1"/>
  <c r="R88" i="29" a="1"/>
  <c r="BP88" i="29" s="1" a="1"/>
  <c r="R155" i="29" a="1"/>
  <c r="BP155" i="29" s="1" a="1"/>
  <c r="R36" i="29" a="1"/>
  <c r="BP36" i="29" s="1" a="1"/>
  <c r="R102" i="29" a="1"/>
  <c r="BP102" i="29" s="1" a="1"/>
  <c r="R66" i="29" a="1"/>
  <c r="BP66" i="29" s="1" a="1"/>
  <c r="R78" i="29" a="1"/>
  <c r="BP78" i="29" s="1" a="1"/>
  <c r="R171" i="29" a="1"/>
  <c r="BP171" i="29" s="1" a="1"/>
  <c r="R116" i="29" a="1"/>
  <c r="BP116" i="29" s="1" a="1"/>
  <c r="R22" i="29" a="1"/>
  <c r="BP22" i="29" s="1" a="1"/>
  <c r="U22" i="29"/>
  <c r="R77" i="29" a="1"/>
  <c r="BP77" i="29" s="1" a="1"/>
  <c r="R21" i="29" a="1"/>
  <c r="BP21" i="29" s="1" a="1"/>
  <c r="R183" i="29" a="1"/>
  <c r="BP183" i="29" s="1" a="1"/>
  <c r="R91" i="29" a="1"/>
  <c r="BP91" i="29" s="1" a="1"/>
  <c r="R195" i="29" a="1"/>
  <c r="BP195" i="29" s="1" a="1"/>
  <c r="R207" i="29" a="1"/>
  <c r="BP207" i="29" s="1" a="1"/>
  <c r="R131" i="29" a="1"/>
  <c r="BP131" i="29" s="1" a="1"/>
  <c r="U131" i="29"/>
  <c r="R46" i="29" a="1"/>
  <c r="BP46" i="29" s="1" a="1"/>
  <c r="R97" i="29" a="1"/>
  <c r="BP97" i="29" s="1" a="1"/>
  <c r="R54" i="29" a="1"/>
  <c r="BP54" i="29" s="1" a="1"/>
  <c r="R239" i="29" a="1"/>
  <c r="BP239" i="29" s="1" a="1"/>
  <c r="U239" i="29"/>
  <c r="R95" i="29" a="1"/>
  <c r="BP95" i="29" s="1" a="1"/>
  <c r="R186" i="29" a="1"/>
  <c r="BP186" i="29" s="1" a="1"/>
  <c r="R35" i="29" a="1"/>
  <c r="BP35" i="29" s="1" a="1"/>
  <c r="R13" i="29" a="1"/>
  <c r="BP13" i="29" s="1" a="1"/>
  <c r="R73" i="29" a="1"/>
  <c r="BP73" i="29" s="1" a="1"/>
  <c r="R164" i="29" a="1"/>
  <c r="BP164" i="29" s="1" a="1"/>
  <c r="R181" i="29" a="1"/>
  <c r="BP181" i="29" s="1" a="1"/>
  <c r="R126" i="29" a="1"/>
  <c r="BP126" i="29" s="1" a="1"/>
  <c r="R132" i="29" a="1"/>
  <c r="BP132" i="29" s="1" a="1"/>
  <c r="R221" i="29" a="1"/>
  <c r="BP221" i="29" s="1" a="1"/>
  <c r="R68" i="29" a="1"/>
  <c r="BP68" i="29" s="1" a="1"/>
  <c r="R31" i="29" a="1"/>
  <c r="BP31" i="29" s="1" a="1"/>
  <c r="R247" i="29" a="1"/>
  <c r="BP247" i="29" s="1" a="1"/>
  <c r="R234" i="29" a="1"/>
  <c r="BP234" i="29" s="1" a="1"/>
  <c r="U234" i="29"/>
  <c r="R11" i="29" a="1"/>
  <c r="R176" i="29" a="1"/>
  <c r="BP176" i="29" s="1" a="1"/>
  <c r="R161" i="29" a="1"/>
  <c r="BP161" i="29" s="1" a="1"/>
  <c r="R230" i="29" a="1"/>
  <c r="BP230" i="29" s="1" a="1"/>
  <c r="R189" i="29" a="1"/>
  <c r="BP189" i="29" s="1" a="1"/>
  <c r="R62" i="29" a="1"/>
  <c r="BP62" i="29" s="1" a="1"/>
  <c r="R170" i="29" a="1"/>
  <c r="BP170" i="29" s="1" a="1"/>
  <c r="U170" i="29"/>
  <c r="R227" i="29" a="1"/>
  <c r="BP227" i="29" s="1" a="1"/>
  <c r="R61" i="29" a="1"/>
  <c r="BP61" i="29" s="1" a="1"/>
  <c r="R87" i="29" a="1"/>
  <c r="BP87" i="29" s="1" a="1"/>
  <c r="U87" i="29"/>
  <c r="R150" i="29" a="1"/>
  <c r="BP150" i="29" s="1" a="1"/>
  <c r="R108" i="29" a="1"/>
  <c r="BP108" i="29" s="1" a="1"/>
  <c r="R217" i="29" a="1"/>
  <c r="BP217" i="29" s="1" a="1"/>
  <c r="R74" i="29" a="1"/>
  <c r="BP74" i="29" s="1" a="1"/>
  <c r="U74" i="29"/>
  <c r="R101" i="29" a="1"/>
  <c r="BP101" i="29" s="1" a="1"/>
  <c r="R252" i="29" a="1"/>
  <c r="BP252" i="29" s="1" a="1"/>
  <c r="R83" i="29" a="1"/>
  <c r="BP83" i="29" s="1" a="1"/>
  <c r="R49" i="29" a="1"/>
  <c r="BP49" i="29" s="1" a="1"/>
  <c r="R122" i="29" a="1"/>
  <c r="BP122" i="29" s="1" a="1"/>
  <c r="U122" i="29"/>
  <c r="R177" i="29" a="1"/>
  <c r="BP177" i="29" s="1" a="1"/>
  <c r="U177" i="29"/>
  <c r="R182" i="29" a="1"/>
  <c r="BP182" i="29" s="1" a="1"/>
  <c r="R45" i="29" a="1"/>
  <c r="BP45" i="29" s="1" a="1"/>
  <c r="R106" i="29" a="1"/>
  <c r="BP106" i="29" s="1" a="1"/>
  <c r="R58" i="29" a="1"/>
  <c r="BP58" i="29" s="1" a="1"/>
  <c r="U58" i="29"/>
  <c r="R238" i="29" a="1"/>
  <c r="BP238" i="29" s="1" a="1"/>
  <c r="U238" i="29"/>
  <c r="R202" i="29" a="1"/>
  <c r="BP202" i="29" s="1" a="1"/>
  <c r="U202" i="29"/>
  <c r="R111" i="29" a="1"/>
  <c r="BP111" i="29" s="1" a="1"/>
  <c r="U111" i="29"/>
  <c r="R145" i="29" a="1"/>
  <c r="BP145" i="29" s="1" a="1"/>
  <c r="U145" i="29"/>
  <c r="R51" i="29" a="1"/>
  <c r="BP51" i="29" s="1" a="1"/>
  <c r="R86" i="29" a="1"/>
  <c r="BP86" i="29" s="1" a="1"/>
  <c r="U86" i="29"/>
  <c r="R33" i="29" a="1"/>
  <c r="BP33" i="29" s="1" a="1"/>
  <c r="U33" i="29"/>
  <c r="R128" i="29" a="1"/>
  <c r="BP128" i="29" s="1" a="1"/>
  <c r="R115" i="29" a="1"/>
  <c r="BP115" i="29" s="1" a="1"/>
  <c r="R39" i="29" a="1"/>
  <c r="BP39" i="29" s="1" a="1"/>
  <c r="R100" i="29" a="1"/>
  <c r="BP100" i="29" s="1" a="1"/>
  <c r="R119" i="29" a="1"/>
  <c r="BP119" i="29" s="1" a="1"/>
  <c r="R48" i="29" a="1"/>
  <c r="BP48" i="29" s="1" a="1"/>
  <c r="U48" i="29"/>
  <c r="R114" i="29" a="1"/>
  <c r="BP114" i="29" s="1" a="1"/>
  <c r="R152" i="29" a="1"/>
  <c r="BP152" i="29" s="1" a="1"/>
  <c r="R85" i="29" a="1"/>
  <c r="BP85" i="29" s="1" a="1"/>
  <c r="R40" i="29" a="1"/>
  <c r="BP40" i="29" s="1" a="1"/>
  <c r="R113" i="29" a="1"/>
  <c r="BP113" i="29" s="1" a="1"/>
  <c r="U113" i="29"/>
  <c r="R98" i="29" a="1"/>
  <c r="BP98" i="29" s="1" a="1"/>
  <c r="R55" i="29" a="1"/>
  <c r="BP55" i="29" s="1" a="1"/>
  <c r="R105" i="29" a="1"/>
  <c r="BP105" i="29" s="1" a="1"/>
  <c r="U105" i="29"/>
  <c r="R38" i="29" a="1"/>
  <c r="BP38" i="29" s="1" a="1"/>
  <c r="R110" i="29" a="1"/>
  <c r="BP110" i="29" s="1" a="1"/>
  <c r="R26" i="29" a="1"/>
  <c r="BP26" i="29" s="1" a="1"/>
  <c r="R71" i="29" a="1"/>
  <c r="BP71" i="29" s="1" a="1"/>
  <c r="R204" i="29" a="1"/>
  <c r="BP204" i="29" s="1" a="1"/>
  <c r="R57" i="29" a="1"/>
  <c r="BP57" i="29" s="1" a="1"/>
  <c r="R162" i="29" a="1"/>
  <c r="BP162" i="29" s="1" a="1"/>
  <c r="R250" i="29" a="1"/>
  <c r="BP250" i="29" s="1" a="1"/>
  <c r="R7" i="29" a="1"/>
  <c r="R245" i="29" a="1"/>
  <c r="BP245" i="29" s="1" a="1"/>
  <c r="BT140" i="29" l="1"/>
  <c r="BT246" i="29"/>
  <c r="BT214" i="29"/>
  <c r="BP11" i="29" a="1"/>
  <c r="A11" i="29" s="1"/>
  <c r="BQ9" i="29" a="1"/>
  <c r="BS9" i="29" a="1"/>
  <c r="BR9" i="29" a="1"/>
  <c r="BW9" i="29" s="1"/>
  <c r="BU9" i="29" a="1"/>
  <c r="BT112" i="29"/>
  <c r="A14" i="29"/>
  <c r="A13" i="29"/>
  <c r="BP10" i="29" a="1"/>
  <c r="A10" i="29" s="1"/>
  <c r="BT172" i="29"/>
  <c r="A8" i="29"/>
  <c r="BR8" i="29" a="1"/>
  <c r="BW8" i="29" s="1"/>
  <c r="BU8" i="29" a="1"/>
  <c r="BS8" i="29" a="1"/>
  <c r="BQ8" i="29" a="1"/>
  <c r="BP7" i="29" a="1"/>
  <c r="BP5" i="29" a="1"/>
  <c r="BT29" i="29"/>
  <c r="BT199" i="29"/>
  <c r="BT156" i="29"/>
  <c r="BT244" i="29"/>
  <c r="BT158" i="29"/>
  <c r="BT52" i="29"/>
  <c r="BT107" i="29"/>
  <c r="BT121" i="29"/>
  <c r="BT196" i="29"/>
  <c r="BT225" i="29"/>
  <c r="BT20" i="29"/>
  <c r="BT240" i="29"/>
  <c r="R221" i="19"/>
  <c r="R69" i="19"/>
  <c r="R133" i="19"/>
  <c r="R229" i="19"/>
  <c r="R104" i="19"/>
  <c r="R17" i="19"/>
  <c r="R182" i="19"/>
  <c r="R31" i="19"/>
  <c r="R124" i="19"/>
  <c r="R131" i="19"/>
  <c r="R207" i="19"/>
  <c r="R212" i="19"/>
  <c r="R231" i="19"/>
  <c r="R230" i="19"/>
  <c r="R36" i="19"/>
  <c r="R46" i="19"/>
  <c r="R120" i="19"/>
  <c r="R97" i="19"/>
  <c r="R158" i="19"/>
  <c r="R168" i="19"/>
  <c r="R211" i="19"/>
  <c r="R234" i="19"/>
  <c r="R247" i="19"/>
  <c r="R25" i="19"/>
  <c r="R81" i="19"/>
  <c r="R23" i="19"/>
  <c r="R39" i="19"/>
  <c r="R86" i="19"/>
  <c r="R236" i="19"/>
  <c r="R79" i="19"/>
  <c r="R94" i="19"/>
  <c r="R58" i="19"/>
  <c r="R127" i="19"/>
  <c r="R154" i="19"/>
  <c r="R151" i="19"/>
  <c r="R123" i="19"/>
  <c r="R103" i="19"/>
  <c r="R246" i="19"/>
  <c r="R42" i="19"/>
  <c r="R146" i="19"/>
  <c r="R202" i="19"/>
  <c r="R91" i="19"/>
  <c r="R216" i="19"/>
  <c r="R136" i="19"/>
  <c r="R174" i="19"/>
  <c r="R126" i="19"/>
  <c r="R63" i="19"/>
  <c r="R90" i="19"/>
  <c r="R74" i="19"/>
  <c r="R193" i="19"/>
  <c r="R48" i="19"/>
  <c r="R53" i="19"/>
  <c r="R235" i="19"/>
  <c r="R71" i="19"/>
  <c r="R251" i="19"/>
  <c r="R241" i="19"/>
  <c r="R254" i="19"/>
  <c r="R252" i="19"/>
  <c r="R145" i="19"/>
  <c r="R220" i="19"/>
  <c r="R205" i="19"/>
  <c r="R150" i="19"/>
  <c r="R169" i="19"/>
  <c r="R135" i="19"/>
  <c r="R59" i="19"/>
  <c r="R102" i="19"/>
  <c r="R28" i="19"/>
  <c r="R56" i="19"/>
  <c r="R85" i="19"/>
  <c r="R152" i="19"/>
  <c r="R155" i="19"/>
  <c r="R61" i="19"/>
  <c r="R134" i="19"/>
  <c r="R121" i="19"/>
  <c r="R98" i="19"/>
  <c r="R21" i="19"/>
  <c r="R237" i="19"/>
  <c r="R222" i="19"/>
  <c r="R125" i="19"/>
  <c r="R24" i="19"/>
  <c r="R64" i="19"/>
  <c r="R208" i="19"/>
  <c r="R84" i="19"/>
  <c r="R49" i="19"/>
  <c r="R179" i="19"/>
  <c r="R67" i="19"/>
  <c r="R137" i="19"/>
  <c r="R157" i="19"/>
  <c r="R164" i="19"/>
  <c r="R219" i="19"/>
  <c r="R167" i="19"/>
  <c r="R147" i="19"/>
  <c r="R224" i="19"/>
  <c r="R227" i="19"/>
  <c r="R20" i="19"/>
  <c r="R33" i="19"/>
  <c r="R66" i="19"/>
  <c r="R110" i="19"/>
  <c r="R50" i="19"/>
  <c r="R180" i="19"/>
  <c r="R117" i="19"/>
  <c r="R138" i="19"/>
  <c r="R194" i="19"/>
  <c r="R175" i="19"/>
  <c r="R141" i="19"/>
  <c r="R178" i="19"/>
  <c r="R181" i="19"/>
  <c r="R253" i="19"/>
  <c r="R228" i="19"/>
  <c r="R100" i="19"/>
  <c r="R29" i="19"/>
  <c r="R109" i="19"/>
  <c r="R44" i="19"/>
  <c r="R93" i="19"/>
  <c r="R159" i="19"/>
  <c r="R65" i="19"/>
  <c r="R190" i="19"/>
  <c r="R119" i="19"/>
  <c r="R163" i="19"/>
  <c r="R96" i="19"/>
  <c r="R176" i="19"/>
  <c r="R156" i="19"/>
  <c r="R183" i="19"/>
  <c r="R196" i="19"/>
  <c r="R184" i="19"/>
  <c r="R161" i="19"/>
  <c r="R209" i="19"/>
  <c r="R40" i="19"/>
  <c r="R101" i="19"/>
  <c r="R139" i="19"/>
  <c r="R75" i="19"/>
  <c r="R203" i="19"/>
  <c r="R191" i="19"/>
  <c r="R185" i="19"/>
  <c r="R83" i="19"/>
  <c r="R73" i="19"/>
  <c r="R18" i="19"/>
  <c r="R19" i="19"/>
  <c r="R77" i="19"/>
  <c r="R35" i="19"/>
  <c r="R113" i="19"/>
  <c r="R218" i="19"/>
  <c r="R199" i="19"/>
  <c r="R186" i="19"/>
  <c r="R37" i="19"/>
  <c r="R170" i="19"/>
  <c r="R76" i="19"/>
  <c r="R38" i="19"/>
  <c r="R111" i="19"/>
  <c r="R114" i="19"/>
  <c r="R201" i="19"/>
  <c r="R187" i="19"/>
  <c r="R52" i="19"/>
  <c r="R43" i="19"/>
  <c r="R87" i="19"/>
  <c r="R115" i="19"/>
  <c r="R226" i="19"/>
  <c r="R160" i="19"/>
  <c r="R250" i="19"/>
  <c r="R217" i="19"/>
  <c r="R238" i="19"/>
  <c r="R204" i="19"/>
  <c r="R243" i="19"/>
  <c r="R149" i="19"/>
  <c r="R128" i="19"/>
  <c r="R72" i="19"/>
  <c r="R16" i="19"/>
  <c r="R112" i="19"/>
  <c r="R140" i="19"/>
  <c r="R197" i="19"/>
  <c r="R60" i="19"/>
  <c r="R34" i="19"/>
  <c r="R148" i="19"/>
  <c r="R214" i="19"/>
  <c r="R47" i="19"/>
  <c r="R88" i="19"/>
  <c r="R116" i="19"/>
  <c r="R171" i="19"/>
  <c r="R165" i="19"/>
  <c r="R162" i="19"/>
  <c r="R223" i="19"/>
  <c r="R242" i="19"/>
  <c r="R215" i="19"/>
  <c r="R245" i="19"/>
  <c r="R198" i="19"/>
  <c r="R30" i="19"/>
  <c r="R32" i="19"/>
  <c r="R41" i="19"/>
  <c r="R213" i="19"/>
  <c r="R92" i="19"/>
  <c r="R106" i="19"/>
  <c r="R132" i="19"/>
  <c r="R57" i="19"/>
  <c r="R200" i="19"/>
  <c r="R62" i="19"/>
  <c r="R45" i="19"/>
  <c r="R173" i="19"/>
  <c r="R78" i="19"/>
  <c r="R51" i="19"/>
  <c r="R89" i="19"/>
  <c r="R129" i="19"/>
  <c r="R172" i="19"/>
  <c r="R177" i="19"/>
  <c r="R189" i="19"/>
  <c r="R255" i="19"/>
  <c r="R244" i="19"/>
  <c r="R225" i="19"/>
  <c r="R233" i="19"/>
  <c r="R22" i="19"/>
  <c r="R26" i="19"/>
  <c r="R143" i="19"/>
  <c r="R82" i="19"/>
  <c r="R99" i="19"/>
  <c r="R105" i="19"/>
  <c r="R107" i="19"/>
  <c r="R153" i="19"/>
  <c r="R68" i="19"/>
  <c r="R118" i="19"/>
  <c r="R70" i="19"/>
  <c r="R54" i="19"/>
  <c r="R166" i="19"/>
  <c r="R80" i="19"/>
  <c r="R55" i="19"/>
  <c r="R122" i="19"/>
  <c r="R142" i="19"/>
  <c r="R188" i="19"/>
  <c r="R195" i="19"/>
  <c r="R210" i="19"/>
  <c r="R144" i="19"/>
  <c r="R248" i="19"/>
  <c r="R240" i="19"/>
  <c r="R239" i="19"/>
  <c r="R192" i="19"/>
  <c r="R27" i="19"/>
  <c r="R108" i="19"/>
  <c r="R232" i="19"/>
  <c r="R249" i="19"/>
  <c r="R206" i="19"/>
  <c r="R95" i="19"/>
  <c r="R130" i="19"/>
  <c r="BT72" i="29"/>
  <c r="BT190" i="29"/>
  <c r="BT194" i="29"/>
  <c r="A6" i="29"/>
  <c r="BR6" i="29" a="1"/>
  <c r="BW6" i="29" s="1"/>
  <c r="BU6" i="29" a="1"/>
  <c r="BS6" i="29" a="1"/>
  <c r="BQ6" i="29" a="1"/>
  <c r="BT96" i="29"/>
  <c r="BT248" i="29"/>
  <c r="BT157" i="29"/>
  <c r="BT205" i="29"/>
  <c r="BT235" i="29"/>
  <c r="BT174" i="29"/>
  <c r="BT16" i="29"/>
  <c r="BT60" i="29"/>
  <c r="BT203" i="29"/>
  <c r="BT135" i="29"/>
  <c r="BT226" i="29"/>
  <c r="BT148" i="29"/>
  <c r="BT165" i="29"/>
  <c r="BT99" i="29"/>
  <c r="BT84" i="29"/>
  <c r="BT175" i="29"/>
  <c r="BT166" i="29"/>
  <c r="BT50" i="29"/>
  <c r="BT223" i="29"/>
  <c r="BT43" i="29"/>
  <c r="BT153" i="29"/>
  <c r="BT210" i="29"/>
  <c r="BT30" i="29"/>
  <c r="BT188" i="29"/>
  <c r="BT28" i="29"/>
  <c r="BT81" i="29"/>
  <c r="BT70" i="29"/>
  <c r="BT15" i="29"/>
  <c r="BT47" i="29"/>
  <c r="BT136" i="29"/>
  <c r="BT142" i="29"/>
  <c r="BT104" i="29"/>
  <c r="BT117" i="29"/>
  <c r="BT124" i="29"/>
  <c r="BT118" i="29"/>
  <c r="BT242" i="29"/>
  <c r="BT187" i="29"/>
  <c r="BT215" i="29"/>
  <c r="BT231" i="29"/>
  <c r="BT184" i="29"/>
  <c r="BT233" i="29"/>
  <c r="BT163" i="29"/>
  <c r="BT206" i="29"/>
  <c r="BT249" i="29"/>
  <c r="BT138" i="29"/>
  <c r="BT80" i="29"/>
  <c r="BT133" i="29"/>
  <c r="BT200" i="29"/>
  <c r="BT219" i="29"/>
  <c r="BT151" i="29"/>
  <c r="BT37" i="29"/>
  <c r="BT243" i="29"/>
  <c r="BT56" i="29"/>
  <c r="BT236" i="29"/>
  <c r="BT154" i="29"/>
  <c r="BT179" i="29"/>
  <c r="BT127" i="29"/>
  <c r="BT59" i="29"/>
  <c r="BT19" i="29"/>
  <c r="BT34" i="29"/>
  <c r="BT251" i="29"/>
  <c r="BT241" i="29"/>
  <c r="BT139" i="29"/>
  <c r="BT17" i="29"/>
  <c r="BT123" i="29"/>
  <c r="BT23" i="29"/>
  <c r="BT209" i="29"/>
  <c r="BT208" i="29"/>
  <c r="BT92" i="29"/>
  <c r="AQ41" i="15" a="1"/>
  <c r="D13" i="15" s="1"/>
  <c r="H7" i="15" s="1"/>
  <c r="AQ41" i="28" a="1"/>
  <c r="D13" i="28" s="1"/>
  <c r="H7" i="28" s="1"/>
  <c r="BH45" i="27" a="1"/>
  <c r="D13" i="27" s="1"/>
  <c r="H7" i="27" s="1"/>
  <c r="BH40" i="27" a="1"/>
  <c r="D19" i="27" s="1"/>
  <c r="AQ36" i="15" a="1"/>
  <c r="D19" i="15" s="1"/>
  <c r="AQ36" i="28" a="1"/>
  <c r="D19" i="28" s="1"/>
  <c r="BZ180" i="29" a="1"/>
  <c r="CC180" i="29" s="1"/>
  <c r="BU180" i="29" a="1"/>
  <c r="CB180" i="29" a="1"/>
  <c r="BQ180" i="29" a="1"/>
  <c r="CA180" i="29" a="1"/>
  <c r="BR180" i="29" a="1"/>
  <c r="BW180" i="29" s="1"/>
  <c r="BS180" i="29" a="1"/>
  <c r="BY180" i="29" a="1"/>
  <c r="C120" i="18" a="1"/>
  <c r="D120" i="18" a="1"/>
  <c r="J120" i="18"/>
  <c r="B120" i="18" a="1"/>
  <c r="E120" i="18" a="1"/>
  <c r="I120" i="18"/>
  <c r="H120" i="18"/>
  <c r="F120" i="18"/>
  <c r="K102" i="18"/>
  <c r="H102" i="18"/>
  <c r="D102" i="18" a="1"/>
  <c r="E102" i="18" a="1"/>
  <c r="I102" i="18"/>
  <c r="F102" i="18"/>
  <c r="G102" i="18"/>
  <c r="B102" i="18" a="1"/>
  <c r="J102" i="18"/>
  <c r="C102" i="18" a="1"/>
  <c r="J78" i="18"/>
  <c r="E78" i="18" a="1"/>
  <c r="D78" i="18" a="1"/>
  <c r="B78" i="18" a="1"/>
  <c r="BS232" i="29" a="1"/>
  <c r="CB232" i="29" a="1"/>
  <c r="BQ232" i="29" a="1"/>
  <c r="BU232" i="29" a="1"/>
  <c r="BR232" i="29" a="1"/>
  <c r="BW232" i="29" s="1"/>
  <c r="CA232" i="29" a="1"/>
  <c r="BZ232" i="29" a="1"/>
  <c r="CC232" i="29" s="1"/>
  <c r="BY232" i="29" a="1"/>
  <c r="F221" i="19"/>
  <c r="N221" i="19"/>
  <c r="P221" i="19"/>
  <c r="G221" i="19"/>
  <c r="L221" i="19"/>
  <c r="I221" i="19"/>
  <c r="CO221" i="19"/>
  <c r="BX221" i="19"/>
  <c r="CI221" i="19" s="1"/>
  <c r="BA221" i="60"/>
  <c r="B221" i="19" a="1"/>
  <c r="CE221" i="19"/>
  <c r="CB221" i="19"/>
  <c r="D221" i="19" a="1"/>
  <c r="E221" i="19" a="1"/>
  <c r="BY221" i="19"/>
  <c r="BZ221" i="19"/>
  <c r="CD221" i="19" a="1"/>
  <c r="C221" i="19" a="1"/>
  <c r="CJ221" i="19"/>
  <c r="CA221" i="19"/>
  <c r="BV221" i="19"/>
  <c r="CP221" i="19"/>
  <c r="BW221" i="19"/>
  <c r="F69" i="19"/>
  <c r="N69" i="19"/>
  <c r="P69" i="19"/>
  <c r="G69" i="19"/>
  <c r="CP69" i="19"/>
  <c r="BX69" i="19"/>
  <c r="CI69" i="19" s="1"/>
  <c r="L69" i="19"/>
  <c r="I69" i="19"/>
  <c r="CO69" i="19"/>
  <c r="BW69" i="19"/>
  <c r="BA69" i="60"/>
  <c r="B69" i="19" a="1"/>
  <c r="BY69" i="19"/>
  <c r="BV69" i="19"/>
  <c r="CB69" i="19"/>
  <c r="D69" i="19" a="1"/>
  <c r="BZ69" i="19"/>
  <c r="CJ69" i="19"/>
  <c r="CE69" i="19"/>
  <c r="CD69" i="19" a="1"/>
  <c r="E69" i="19" a="1"/>
  <c r="CA69" i="19"/>
  <c r="C69" i="19" a="1"/>
  <c r="F133" i="19"/>
  <c r="N133" i="19"/>
  <c r="L133" i="19"/>
  <c r="I133" i="19"/>
  <c r="CP133" i="19"/>
  <c r="P133" i="19"/>
  <c r="G133" i="19"/>
  <c r="CO133" i="19"/>
  <c r="BW133" i="19"/>
  <c r="BA133" i="60"/>
  <c r="CJ133" i="19"/>
  <c r="B133" i="19" a="1"/>
  <c r="CA133" i="19"/>
  <c r="BZ133" i="19"/>
  <c r="CE133" i="19"/>
  <c r="C133" i="19" a="1"/>
  <c r="CB133" i="19"/>
  <c r="CD133" i="19" a="1"/>
  <c r="BV133" i="19"/>
  <c r="D133" i="19" a="1"/>
  <c r="BY133" i="19"/>
  <c r="E133" i="19" a="1"/>
  <c r="BX133" i="19"/>
  <c r="CI133" i="19" s="1"/>
  <c r="K239" i="18"/>
  <c r="F239" i="18"/>
  <c r="D239" i="18" a="1"/>
  <c r="B239" i="18" a="1"/>
  <c r="C239" i="18" a="1"/>
  <c r="H239" i="18"/>
  <c r="I239" i="18"/>
  <c r="E239" i="18" a="1"/>
  <c r="J239" i="18"/>
  <c r="G239" i="18"/>
  <c r="B229" i="18" a="1"/>
  <c r="G229" i="18"/>
  <c r="D229" i="18" a="1"/>
  <c r="J229" i="18"/>
  <c r="I229" i="18"/>
  <c r="E229" i="18" a="1"/>
  <c r="K229" i="18"/>
  <c r="F229" i="18"/>
  <c r="C229" i="18" a="1"/>
  <c r="H229" i="18"/>
  <c r="G219" i="18"/>
  <c r="D219" i="18" a="1"/>
  <c r="E219" i="18" a="1"/>
  <c r="B219" i="18" a="1"/>
  <c r="H219" i="18"/>
  <c r="F219" i="18"/>
  <c r="C219" i="18" a="1"/>
  <c r="J219" i="18"/>
  <c r="I219" i="18"/>
  <c r="K219" i="18"/>
  <c r="F210" i="18"/>
  <c r="I210" i="18"/>
  <c r="C210" i="18" a="1"/>
  <c r="K210" i="18"/>
  <c r="G210" i="18"/>
  <c r="J210" i="18"/>
  <c r="B210" i="18" a="1"/>
  <c r="E210" i="18" a="1"/>
  <c r="D210" i="18" a="1"/>
  <c r="H210" i="18"/>
  <c r="K186" i="18"/>
  <c r="G186" i="18"/>
  <c r="C186" i="18" a="1"/>
  <c r="E186" i="18" a="1"/>
  <c r="D186" i="18" a="1"/>
  <c r="I186" i="18"/>
  <c r="B186" i="18" a="1"/>
  <c r="J186" i="18"/>
  <c r="F186" i="18"/>
  <c r="H186" i="18"/>
  <c r="C169" i="18" a="1"/>
  <c r="E169" i="18" a="1"/>
  <c r="B169" i="18" a="1"/>
  <c r="D169" i="18" a="1"/>
  <c r="J169" i="18"/>
  <c r="H169" i="18"/>
  <c r="G169" i="18"/>
  <c r="F169" i="18"/>
  <c r="I169" i="18"/>
  <c r="K169" i="18"/>
  <c r="J163" i="18"/>
  <c r="I163" i="18"/>
  <c r="G163" i="18"/>
  <c r="E163" i="18" a="1"/>
  <c r="D163" i="18" a="1"/>
  <c r="C163" i="18" a="1"/>
  <c r="F163" i="18"/>
  <c r="B163" i="18" a="1"/>
  <c r="H163" i="18"/>
  <c r="K163" i="18"/>
  <c r="I153" i="18"/>
  <c r="C153" i="18" a="1"/>
  <c r="D153" i="18" a="1"/>
  <c r="G153" i="18"/>
  <c r="J153" i="18"/>
  <c r="B153" i="18" a="1"/>
  <c r="E153" i="18" a="1"/>
  <c r="F153" i="18"/>
  <c r="H153" i="18"/>
  <c r="K153" i="18"/>
  <c r="H139" i="18"/>
  <c r="I139" i="18"/>
  <c r="G139" i="18"/>
  <c r="F139" i="18"/>
  <c r="E139" i="18" a="1"/>
  <c r="C139" i="18" a="1"/>
  <c r="D139" i="18" a="1"/>
  <c r="J139" i="18"/>
  <c r="B139" i="18" a="1"/>
  <c r="K120" i="18"/>
  <c r="G120" i="18"/>
  <c r="B124" i="19" a="1"/>
  <c r="CA124" i="19"/>
  <c r="BA124" i="60"/>
  <c r="D124" i="19" a="1"/>
  <c r="CD124" i="19" a="1"/>
  <c r="CE124" i="19"/>
  <c r="CB124" i="19"/>
  <c r="C124" i="19" a="1"/>
  <c r="CJ124" i="19"/>
  <c r="BV124" i="19"/>
  <c r="BY124" i="19"/>
  <c r="E124" i="19" a="1"/>
  <c r="CO124" i="19"/>
  <c r="BX124" i="19"/>
  <c r="CI124" i="19" s="1"/>
  <c r="BZ124" i="19"/>
  <c r="N131" i="19"/>
  <c r="F131" i="19"/>
  <c r="CP131" i="19"/>
  <c r="BW131" i="19"/>
  <c r="P131" i="19"/>
  <c r="L131" i="19"/>
  <c r="I131" i="19"/>
  <c r="G131" i="19"/>
  <c r="B131" i="19" a="1"/>
  <c r="CA131" i="19"/>
  <c r="CB131" i="19"/>
  <c r="CJ131" i="19"/>
  <c r="CE131" i="19"/>
  <c r="BY131" i="19"/>
  <c r="E131" i="19" a="1"/>
  <c r="BA131" i="60"/>
  <c r="BV131" i="19"/>
  <c r="D131" i="19" a="1"/>
  <c r="CD131" i="19" a="1"/>
  <c r="C131" i="19" a="1"/>
  <c r="CO131" i="19"/>
  <c r="BX131" i="19"/>
  <c r="CI131" i="19" s="1"/>
  <c r="BZ131" i="19"/>
  <c r="N207" i="19"/>
  <c r="F207" i="19"/>
  <c r="CP207" i="19"/>
  <c r="BW207" i="19"/>
  <c r="BX207" i="19"/>
  <c r="CI207" i="19" s="1"/>
  <c r="L207" i="19"/>
  <c r="P207" i="19"/>
  <c r="I207" i="19"/>
  <c r="G207" i="19"/>
  <c r="CE207" i="19"/>
  <c r="BZ207" i="19"/>
  <c r="BA207" i="60"/>
  <c r="CJ207" i="19"/>
  <c r="B207" i="19" a="1"/>
  <c r="CD207" i="19" a="1"/>
  <c r="D207" i="19" a="1"/>
  <c r="BV207" i="19"/>
  <c r="C207" i="19" a="1"/>
  <c r="CB207" i="19"/>
  <c r="BY207" i="19"/>
  <c r="E207" i="19" a="1"/>
  <c r="CO207" i="19"/>
  <c r="CA207" i="19"/>
  <c r="N212" i="19"/>
  <c r="F212" i="19"/>
  <c r="P212" i="19"/>
  <c r="G212" i="19"/>
  <c r="L212" i="19"/>
  <c r="I212" i="19"/>
  <c r="CO212" i="19"/>
  <c r="BW212" i="19"/>
  <c r="BZ212" i="19"/>
  <c r="BV212" i="19"/>
  <c r="C212" i="19" a="1"/>
  <c r="BY212" i="19"/>
  <c r="CB212" i="19"/>
  <c r="CA212" i="19"/>
  <c r="D212" i="19" a="1"/>
  <c r="E212" i="19" a="1"/>
  <c r="CJ212" i="19"/>
  <c r="CE212" i="19"/>
  <c r="B212" i="19" a="1"/>
  <c r="J212" i="19" s="1"/>
  <c r="M212" i="19" s="1"/>
  <c r="CD212" i="19" a="1"/>
  <c r="CP212" i="19"/>
  <c r="BX212" i="19"/>
  <c r="CI212" i="19" s="1"/>
  <c r="BA212" i="60"/>
  <c r="N231" i="19"/>
  <c r="F231" i="19"/>
  <c r="CO231" i="19"/>
  <c r="BX231" i="19"/>
  <c r="CI231" i="19" s="1"/>
  <c r="G231" i="19"/>
  <c r="I231" i="19"/>
  <c r="L231" i="19"/>
  <c r="P231" i="19"/>
  <c r="BA231" i="60"/>
  <c r="BV231" i="19"/>
  <c r="CA231" i="19"/>
  <c r="BY231" i="19"/>
  <c r="BZ231" i="19"/>
  <c r="D231" i="19" a="1"/>
  <c r="CE231" i="19"/>
  <c r="C231" i="19" a="1"/>
  <c r="CB231" i="19"/>
  <c r="CD231" i="19" a="1"/>
  <c r="B231" i="19" a="1"/>
  <c r="J231" i="19" s="1"/>
  <c r="M231" i="19" s="1"/>
  <c r="E231" i="19" a="1"/>
  <c r="CJ231" i="19"/>
  <c r="CP231" i="19"/>
  <c r="BW231" i="19"/>
  <c r="N230" i="19"/>
  <c r="F230" i="19"/>
  <c r="CO230" i="19"/>
  <c r="G230" i="19"/>
  <c r="I230" i="19"/>
  <c r="P230" i="19"/>
  <c r="L230" i="19"/>
  <c r="CP230" i="19"/>
  <c r="BW230" i="19"/>
  <c r="CJ230" i="19"/>
  <c r="CE230" i="19"/>
  <c r="BA230" i="60"/>
  <c r="D230" i="19" a="1"/>
  <c r="CA230" i="19"/>
  <c r="C230" i="19" a="1"/>
  <c r="CD230" i="19" a="1"/>
  <c r="B230" i="19" a="1"/>
  <c r="J230" i="19" s="1"/>
  <c r="M230" i="19" s="1"/>
  <c r="E230" i="19" a="1"/>
  <c r="BY230" i="19"/>
  <c r="BV230" i="19"/>
  <c r="CB230" i="19"/>
  <c r="BX230" i="19"/>
  <c r="CI230" i="19" s="1"/>
  <c r="BZ230" i="19"/>
  <c r="N36" i="19"/>
  <c r="F36" i="19"/>
  <c r="BW36" i="19"/>
  <c r="P36" i="19"/>
  <c r="G36" i="19"/>
  <c r="L36" i="19"/>
  <c r="I36" i="19"/>
  <c r="CP36" i="19"/>
  <c r="CB36" i="19"/>
  <c r="BX36" i="19"/>
  <c r="CI36" i="19" s="1"/>
  <c r="BZ36" i="19"/>
  <c r="BA36" i="60"/>
  <c r="CD36" i="19" a="1"/>
  <c r="E36" i="19" a="1"/>
  <c r="D36" i="19" a="1"/>
  <c r="CE36" i="19"/>
  <c r="B36" i="19" a="1"/>
  <c r="C36" i="19" a="1"/>
  <c r="BY36" i="19"/>
  <c r="CJ36" i="19"/>
  <c r="BV36" i="19"/>
  <c r="CA36" i="19"/>
  <c r="CO36" i="19"/>
  <c r="F46" i="19"/>
  <c r="N46" i="19"/>
  <c r="CP46" i="19"/>
  <c r="BX46" i="19"/>
  <c r="CI46" i="19" s="1"/>
  <c r="BA46" i="60"/>
  <c r="P46" i="19"/>
  <c r="I46" i="19"/>
  <c r="L46" i="19"/>
  <c r="G46" i="19"/>
  <c r="BZ46" i="19"/>
  <c r="CB46" i="19"/>
  <c r="BY46" i="19"/>
  <c r="D46" i="19" a="1"/>
  <c r="C46" i="19" a="1"/>
  <c r="BV46" i="19"/>
  <c r="B46" i="19" a="1"/>
  <c r="CE46" i="19"/>
  <c r="CA46" i="19"/>
  <c r="E46" i="19" a="1"/>
  <c r="CJ46" i="19"/>
  <c r="CD46" i="19" a="1"/>
  <c r="CO46" i="19"/>
  <c r="BW46" i="19"/>
  <c r="N120" i="19"/>
  <c r="F120" i="19"/>
  <c r="CP120" i="19"/>
  <c r="P120" i="19"/>
  <c r="I120" i="19"/>
  <c r="G120" i="19"/>
  <c r="L120" i="19"/>
  <c r="CO120" i="19"/>
  <c r="BX120" i="19"/>
  <c r="CI120" i="19" s="1"/>
  <c r="BV120" i="19"/>
  <c r="CB120" i="19"/>
  <c r="D120" i="19" a="1"/>
  <c r="CE120" i="19"/>
  <c r="E120" i="19" a="1"/>
  <c r="C120" i="19" a="1"/>
  <c r="B120" i="19" a="1"/>
  <c r="BY120" i="19"/>
  <c r="CA120" i="19"/>
  <c r="CD120" i="19" a="1"/>
  <c r="BZ120" i="19"/>
  <c r="CJ120" i="19"/>
  <c r="BA120" i="60"/>
  <c r="BW120" i="19"/>
  <c r="N97" i="19"/>
  <c r="F97" i="19"/>
  <c r="BW97" i="19"/>
  <c r="I97" i="19"/>
  <c r="L97" i="19"/>
  <c r="P97" i="19"/>
  <c r="G97" i="19"/>
  <c r="CP97" i="19"/>
  <c r="C97" i="19" a="1"/>
  <c r="BZ97" i="19"/>
  <c r="D97" i="19" a="1"/>
  <c r="BV97" i="19"/>
  <c r="CB97" i="19"/>
  <c r="CD97" i="19" a="1"/>
  <c r="E97" i="19" a="1"/>
  <c r="CA97" i="19"/>
  <c r="B97" i="19" a="1"/>
  <c r="J97" i="19" s="1"/>
  <c r="M97" i="19" s="1"/>
  <c r="BY97" i="19"/>
  <c r="CJ97" i="19"/>
  <c r="CE97" i="19"/>
  <c r="CO97" i="19"/>
  <c r="BX97" i="19"/>
  <c r="CI97" i="19" s="1"/>
  <c r="BA97" i="60"/>
  <c r="N158" i="19"/>
  <c r="F158" i="19"/>
  <c r="I158" i="19"/>
  <c r="G158" i="19"/>
  <c r="P158" i="19"/>
  <c r="L158" i="19"/>
  <c r="CP158" i="19"/>
  <c r="BW158" i="19"/>
  <c r="BZ158" i="19"/>
  <c r="BA158" i="60"/>
  <c r="CD158" i="19" a="1"/>
  <c r="B158" i="19" a="1"/>
  <c r="CE158" i="19"/>
  <c r="BY158" i="19"/>
  <c r="CB158" i="19"/>
  <c r="C158" i="19" a="1"/>
  <c r="E158" i="19" a="1"/>
  <c r="D158" i="19" a="1"/>
  <c r="CA158" i="19"/>
  <c r="BV158" i="19"/>
  <c r="CO158" i="19"/>
  <c r="BX158" i="19"/>
  <c r="CI158" i="19" s="1"/>
  <c r="CJ158" i="19"/>
  <c r="N168" i="19"/>
  <c r="F168" i="19"/>
  <c r="CP168" i="19"/>
  <c r="BW168" i="19"/>
  <c r="P168" i="19"/>
  <c r="G168" i="19"/>
  <c r="I168" i="19"/>
  <c r="L168" i="19"/>
  <c r="CE168" i="19"/>
  <c r="C168" i="19" a="1"/>
  <c r="BY168" i="19"/>
  <c r="CD168" i="19" a="1"/>
  <c r="BA168" i="60"/>
  <c r="BZ168" i="19"/>
  <c r="CB168" i="19"/>
  <c r="CJ168" i="19"/>
  <c r="BV168" i="19"/>
  <c r="E168" i="19" a="1"/>
  <c r="CA168" i="19"/>
  <c r="B168" i="19" a="1"/>
  <c r="D168" i="19" a="1"/>
  <c r="CO168" i="19"/>
  <c r="BX168" i="19"/>
  <c r="CI168" i="19" s="1"/>
  <c r="N211" i="19"/>
  <c r="F211" i="19"/>
  <c r="CP211" i="19"/>
  <c r="BX211" i="19"/>
  <c r="CI211" i="19" s="1"/>
  <c r="G211" i="19"/>
  <c r="I211" i="19"/>
  <c r="L211" i="19"/>
  <c r="P211" i="19"/>
  <c r="BV211" i="19"/>
  <c r="CA211" i="19"/>
  <c r="CE211" i="19"/>
  <c r="D211" i="19" a="1"/>
  <c r="CJ211" i="19"/>
  <c r="B211" i="19" a="1"/>
  <c r="C211" i="19" a="1"/>
  <c r="BA211" i="60"/>
  <c r="CD211" i="19" a="1"/>
  <c r="BY211" i="19"/>
  <c r="E211" i="19" a="1"/>
  <c r="CB211" i="19"/>
  <c r="CO211" i="19"/>
  <c r="BW211" i="19"/>
  <c r="BZ211" i="19"/>
  <c r="N234" i="19"/>
  <c r="F234" i="19"/>
  <c r="BW234" i="19"/>
  <c r="I234" i="19"/>
  <c r="P234" i="19"/>
  <c r="L234" i="19"/>
  <c r="G234" i="19"/>
  <c r="CA234" i="19"/>
  <c r="E234" i="19" a="1"/>
  <c r="D234" i="19" a="1"/>
  <c r="B234" i="19" a="1"/>
  <c r="J234" i="19" s="1"/>
  <c r="M234" i="19" s="1"/>
  <c r="CE234" i="19"/>
  <c r="CB234" i="19"/>
  <c r="CD234" i="19" a="1"/>
  <c r="BA234" i="60"/>
  <c r="C234" i="19" a="1"/>
  <c r="BV234" i="19"/>
  <c r="BY234" i="19"/>
  <c r="CJ234" i="19"/>
  <c r="CP234" i="19"/>
  <c r="CO234" i="19"/>
  <c r="BX234" i="19"/>
  <c r="CI234" i="19" s="1"/>
  <c r="BZ234" i="19"/>
  <c r="N247" i="19"/>
  <c r="F247" i="19"/>
  <c r="CP247" i="19"/>
  <c r="G247" i="19"/>
  <c r="I247" i="19"/>
  <c r="P247" i="19"/>
  <c r="L247" i="19"/>
  <c r="BW247" i="19"/>
  <c r="E247" i="19" a="1"/>
  <c r="BZ247" i="19"/>
  <c r="BV247" i="19"/>
  <c r="CD247" i="19" a="1"/>
  <c r="CE247" i="19"/>
  <c r="BY247" i="19"/>
  <c r="CJ247" i="19"/>
  <c r="CB247" i="19"/>
  <c r="D247" i="19" a="1"/>
  <c r="CA247" i="19"/>
  <c r="C247" i="19" a="1"/>
  <c r="B247" i="19" a="1"/>
  <c r="J247" i="19" s="1"/>
  <c r="M247" i="19" s="1"/>
  <c r="CO247" i="19"/>
  <c r="BX247" i="19"/>
  <c r="CI247" i="19" s="1"/>
  <c r="BA247" i="60"/>
  <c r="F25" i="19"/>
  <c r="N25" i="19"/>
  <c r="CP25" i="19"/>
  <c r="BA25" i="60"/>
  <c r="I25" i="19"/>
  <c r="P25" i="19"/>
  <c r="L25" i="19"/>
  <c r="G25" i="19"/>
  <c r="BX25" i="19"/>
  <c r="CI25" i="19" s="1"/>
  <c r="BZ25" i="19"/>
  <c r="D25" i="19" a="1"/>
  <c r="BY25" i="19"/>
  <c r="CB25" i="19"/>
  <c r="B25" i="19" a="1"/>
  <c r="J25" i="19" s="1"/>
  <c r="M25" i="19" s="1"/>
  <c r="CE25" i="19"/>
  <c r="CA25" i="19"/>
  <c r="E25" i="19" a="1"/>
  <c r="CJ25" i="19"/>
  <c r="CD25" i="19" a="1"/>
  <c r="BV25" i="19"/>
  <c r="C25" i="19" a="1"/>
  <c r="CO25" i="19"/>
  <c r="BW25" i="19"/>
  <c r="F81" i="19"/>
  <c r="N81" i="19"/>
  <c r="CP81" i="19"/>
  <c r="L81" i="19"/>
  <c r="G81" i="19"/>
  <c r="I81" i="19"/>
  <c r="P81" i="19"/>
  <c r="BX81" i="19"/>
  <c r="CI81" i="19" s="1"/>
  <c r="BA81" i="60"/>
  <c r="CA81" i="19"/>
  <c r="B81" i="19" a="1"/>
  <c r="CB81" i="19"/>
  <c r="CE81" i="19"/>
  <c r="CJ81" i="19"/>
  <c r="BY81" i="19"/>
  <c r="E81" i="19" a="1"/>
  <c r="C81" i="19" a="1"/>
  <c r="BV81" i="19"/>
  <c r="CD81" i="19" a="1"/>
  <c r="D81" i="19" a="1"/>
  <c r="CO81" i="19"/>
  <c r="BW81" i="19"/>
  <c r="BZ81" i="19"/>
  <c r="F23" i="19"/>
  <c r="N23" i="19"/>
  <c r="CP23" i="19"/>
  <c r="G23" i="19"/>
  <c r="P23" i="19"/>
  <c r="L23" i="19"/>
  <c r="I23" i="19"/>
  <c r="CO23" i="19"/>
  <c r="BZ23" i="19"/>
  <c r="BA23" i="60"/>
  <c r="D23" i="19" a="1"/>
  <c r="BX23" i="19"/>
  <c r="CI23" i="19" s="1"/>
  <c r="C23" i="19" a="1"/>
  <c r="B23" i="19" a="1"/>
  <c r="J23" i="19" s="1"/>
  <c r="M23" i="19" s="1"/>
  <c r="CJ23" i="19"/>
  <c r="CE23" i="19"/>
  <c r="CB23" i="19"/>
  <c r="BY23" i="19"/>
  <c r="CD23" i="19" a="1"/>
  <c r="CA23" i="19"/>
  <c r="BV23" i="19"/>
  <c r="E23" i="19" a="1"/>
  <c r="BW23" i="19"/>
  <c r="F39" i="19"/>
  <c r="N39" i="19"/>
  <c r="CP39" i="19"/>
  <c r="BW39" i="19"/>
  <c r="L39" i="19"/>
  <c r="I39" i="19"/>
  <c r="P39" i="19"/>
  <c r="G39" i="19"/>
  <c r="CD39" i="19" a="1"/>
  <c r="E39" i="19" a="1"/>
  <c r="CE39" i="19"/>
  <c r="BZ39" i="19"/>
  <c r="BV39" i="19"/>
  <c r="CJ39" i="19"/>
  <c r="BY39" i="19"/>
  <c r="C39" i="19" a="1"/>
  <c r="CB39" i="19"/>
  <c r="D39" i="19" a="1"/>
  <c r="CA39" i="19"/>
  <c r="B39" i="19" a="1"/>
  <c r="J39" i="19" s="1"/>
  <c r="M39" i="19" s="1"/>
  <c r="CO39" i="19"/>
  <c r="BX39" i="19"/>
  <c r="CI39" i="19" s="1"/>
  <c r="BA39" i="60"/>
  <c r="F86" i="19"/>
  <c r="N86" i="19"/>
  <c r="I86" i="19"/>
  <c r="P86" i="19"/>
  <c r="CP86" i="19"/>
  <c r="BW86" i="19"/>
  <c r="BZ86" i="19"/>
  <c r="G86" i="19"/>
  <c r="L86" i="19"/>
  <c r="D86" i="19" a="1"/>
  <c r="CJ86" i="19"/>
  <c r="CB86" i="19"/>
  <c r="CD86" i="19" a="1"/>
  <c r="E86" i="19" a="1"/>
  <c r="CA86" i="19"/>
  <c r="B86" i="19" a="1"/>
  <c r="J86" i="19" s="1"/>
  <c r="M86" i="19" s="1"/>
  <c r="CE86" i="19"/>
  <c r="BY86" i="19"/>
  <c r="BA86" i="60"/>
  <c r="C86" i="19" a="1"/>
  <c r="BV86" i="19"/>
  <c r="CO86" i="19"/>
  <c r="BX86" i="19"/>
  <c r="CI86" i="19" s="1"/>
  <c r="N236" i="19"/>
  <c r="F236" i="19"/>
  <c r="G236" i="19"/>
  <c r="BX236" i="19"/>
  <c r="CI236" i="19" s="1"/>
  <c r="I236" i="19"/>
  <c r="L236" i="19"/>
  <c r="P236" i="19"/>
  <c r="CP236" i="19"/>
  <c r="BW236" i="19"/>
  <c r="CB236" i="19"/>
  <c r="CA236" i="19"/>
  <c r="CJ236" i="19"/>
  <c r="BV236" i="19"/>
  <c r="C236" i="19" a="1"/>
  <c r="BY236" i="19"/>
  <c r="BA236" i="60"/>
  <c r="CE236" i="19"/>
  <c r="B236" i="19" a="1"/>
  <c r="E236" i="19" a="1"/>
  <c r="CD236" i="19" a="1"/>
  <c r="D236" i="19" a="1"/>
  <c r="CO236" i="19"/>
  <c r="BZ236" i="19"/>
  <c r="N79" i="19"/>
  <c r="F79" i="19"/>
  <c r="G79" i="19"/>
  <c r="L79" i="19"/>
  <c r="CP79" i="19"/>
  <c r="BW79" i="19"/>
  <c r="I79" i="19"/>
  <c r="P79" i="19"/>
  <c r="CO79" i="19"/>
  <c r="BX79" i="19"/>
  <c r="CI79" i="19" s="1"/>
  <c r="D79" i="19" a="1"/>
  <c r="CB79" i="19"/>
  <c r="B79" i="19" a="1"/>
  <c r="BY79" i="19"/>
  <c r="CA79" i="19"/>
  <c r="CJ79" i="19"/>
  <c r="BV79" i="19"/>
  <c r="C79" i="19" a="1"/>
  <c r="CE79" i="19"/>
  <c r="BZ79" i="19"/>
  <c r="E79" i="19" a="1"/>
  <c r="BA79" i="60"/>
  <c r="CD79" i="19" a="1"/>
  <c r="F94" i="19"/>
  <c r="N94" i="19"/>
  <c r="G94" i="19"/>
  <c r="L94" i="19"/>
  <c r="CO94" i="19"/>
  <c r="I94" i="19"/>
  <c r="P94" i="19"/>
  <c r="CP94" i="19"/>
  <c r="BX94" i="19"/>
  <c r="CI94" i="19" s="1"/>
  <c r="CD94" i="19" a="1"/>
  <c r="BV94" i="19"/>
  <c r="E94" i="19" a="1"/>
  <c r="BA94" i="60"/>
  <c r="CE94" i="19"/>
  <c r="CB94" i="19"/>
  <c r="BY94" i="19"/>
  <c r="D94" i="19" a="1"/>
  <c r="B94" i="19" a="1"/>
  <c r="CJ94" i="19"/>
  <c r="C94" i="19" a="1"/>
  <c r="CA94" i="19"/>
  <c r="BW94" i="19"/>
  <c r="BZ94" i="19"/>
  <c r="F58" i="19"/>
  <c r="N58" i="19"/>
  <c r="I58" i="19"/>
  <c r="L58" i="19"/>
  <c r="G58" i="19"/>
  <c r="P58" i="19"/>
  <c r="CO58" i="19"/>
  <c r="BX58" i="19"/>
  <c r="CI58" i="19" s="1"/>
  <c r="CB58" i="19"/>
  <c r="BY58" i="19"/>
  <c r="CD58" i="19" a="1"/>
  <c r="C58" i="19" a="1"/>
  <c r="B58" i="19" a="1"/>
  <c r="CE58" i="19"/>
  <c r="BV58" i="19"/>
  <c r="E58" i="19" a="1"/>
  <c r="CJ58" i="19"/>
  <c r="D58" i="19" a="1"/>
  <c r="BA58" i="60"/>
  <c r="BZ58" i="19"/>
  <c r="CA58" i="19"/>
  <c r="CP58" i="19"/>
  <c r="BW58" i="19"/>
  <c r="N127" i="19"/>
  <c r="F127" i="19"/>
  <c r="L127" i="19"/>
  <c r="CP127" i="19"/>
  <c r="BA127" i="60"/>
  <c r="G127" i="19"/>
  <c r="I127" i="19"/>
  <c r="P127" i="19"/>
  <c r="CO127" i="19"/>
  <c r="BW127" i="19"/>
  <c r="BZ127" i="19"/>
  <c r="CB127" i="19"/>
  <c r="CJ127" i="19"/>
  <c r="C127" i="19" a="1"/>
  <c r="CD127" i="19" a="1"/>
  <c r="B127" i="19" a="1"/>
  <c r="BV127" i="19"/>
  <c r="BY127" i="19"/>
  <c r="CE127" i="19"/>
  <c r="CA127" i="19"/>
  <c r="E127" i="19" a="1"/>
  <c r="D127" i="19" a="1"/>
  <c r="BX127" i="19"/>
  <c r="CI127" i="19" s="1"/>
  <c r="K89" i="18"/>
  <c r="H89" i="18"/>
  <c r="G89" i="18"/>
  <c r="B89" i="18" a="1"/>
  <c r="F89" i="18"/>
  <c r="E89" i="18" a="1"/>
  <c r="D89" i="18" a="1"/>
  <c r="C89" i="18" a="1"/>
  <c r="J89" i="18"/>
  <c r="I89" i="18"/>
  <c r="H65" i="18"/>
  <c r="J65" i="18"/>
  <c r="E65" i="18" a="1"/>
  <c r="F65" i="18"/>
  <c r="D65" i="18" a="1"/>
  <c r="B65" i="18" a="1"/>
  <c r="C65" i="18" a="1"/>
  <c r="G65" i="18"/>
  <c r="I65" i="18"/>
  <c r="K65" i="18"/>
  <c r="K31" i="18"/>
  <c r="J31" i="18"/>
  <c r="D31" i="18" a="1"/>
  <c r="C31" i="18" a="1"/>
  <c r="E31" i="18" a="1"/>
  <c r="I31" i="18"/>
  <c r="F31" i="18"/>
  <c r="B31" i="18" a="1"/>
  <c r="G31" i="18"/>
  <c r="H31" i="18"/>
  <c r="H197" i="18"/>
  <c r="B197" i="18" a="1"/>
  <c r="E197" i="18" a="1"/>
  <c r="C197" i="18" a="1"/>
  <c r="G197" i="18"/>
  <c r="D197" i="18" a="1"/>
  <c r="J197" i="18"/>
  <c r="I197" i="18"/>
  <c r="F197" i="18"/>
  <c r="K197" i="18"/>
  <c r="H188" i="18"/>
  <c r="K188" i="18"/>
  <c r="G188" i="18"/>
  <c r="F188" i="18"/>
  <c r="E188" i="18" a="1"/>
  <c r="D188" i="18" a="1"/>
  <c r="I188" i="18"/>
  <c r="J188" i="18"/>
  <c r="C188" i="18" a="1"/>
  <c r="B188" i="18" a="1"/>
  <c r="F171" i="18"/>
  <c r="G171" i="18"/>
  <c r="D171" i="18" a="1"/>
  <c r="J171" i="18"/>
  <c r="E171" i="18" a="1"/>
  <c r="B171" i="18" a="1"/>
  <c r="I171" i="18"/>
  <c r="C171" i="18" a="1"/>
  <c r="K171" i="18"/>
  <c r="H171" i="18"/>
  <c r="C106" i="18" a="1"/>
  <c r="B106" i="18" a="1"/>
  <c r="F106" i="18"/>
  <c r="J106" i="18"/>
  <c r="I106" i="18"/>
  <c r="D106" i="18" a="1"/>
  <c r="E106" i="18" a="1"/>
  <c r="G106" i="18"/>
  <c r="K106" i="18"/>
  <c r="H106" i="18"/>
  <c r="F83" i="18"/>
  <c r="D83" i="18" a="1"/>
  <c r="E83" i="18" a="1"/>
  <c r="G83" i="18"/>
  <c r="J83" i="18"/>
  <c r="B83" i="18" a="1"/>
  <c r="C83" i="18" a="1"/>
  <c r="I83" i="18"/>
  <c r="K83" i="18"/>
  <c r="H83" i="18"/>
  <c r="D77" i="18" a="1"/>
  <c r="B77" i="18" a="1"/>
  <c r="K77" i="18"/>
  <c r="E77" i="18" a="1"/>
  <c r="F77" i="18"/>
  <c r="J77" i="18"/>
  <c r="C77" i="18" a="1"/>
  <c r="H77" i="18"/>
  <c r="I77" i="18"/>
  <c r="G77" i="18"/>
  <c r="K70" i="18"/>
  <c r="D70" i="18" a="1"/>
  <c r="C70" i="18" a="1"/>
  <c r="J70" i="18"/>
  <c r="I70" i="18"/>
  <c r="B70" i="18" a="1"/>
  <c r="G70" i="18"/>
  <c r="E70" i="18" a="1"/>
  <c r="F70" i="18"/>
  <c r="H70" i="18"/>
  <c r="H44" i="18"/>
  <c r="K44" i="18"/>
  <c r="I44" i="18"/>
  <c r="E44" i="18" a="1"/>
  <c r="F44" i="18"/>
  <c r="J44" i="18"/>
  <c r="C44" i="18" a="1"/>
  <c r="G44" i="18"/>
  <c r="D44" i="18" a="1"/>
  <c r="B44" i="18" a="1"/>
  <c r="I27" i="18"/>
  <c r="C27" i="18" a="1"/>
  <c r="D27" i="18" a="1"/>
  <c r="E27" i="18" a="1"/>
  <c r="H27" i="18"/>
  <c r="F27" i="18"/>
  <c r="B27" i="18" a="1"/>
  <c r="J27" i="18"/>
  <c r="G27" i="18"/>
  <c r="K27" i="18"/>
  <c r="K24" i="18"/>
  <c r="H24" i="18"/>
  <c r="I24" i="18"/>
  <c r="F24" i="18"/>
  <c r="D24" i="18" a="1"/>
  <c r="B24" i="18" a="1"/>
  <c r="E24" i="18" a="1"/>
  <c r="J24" i="18"/>
  <c r="G24" i="18"/>
  <c r="C24" i="18" a="1"/>
  <c r="I15" i="18"/>
  <c r="B15" i="18" a="1"/>
  <c r="C15" i="18" a="1"/>
  <c r="J15" i="18"/>
  <c r="E15" i="18" a="1"/>
  <c r="D15" i="18" a="1"/>
  <c r="D11" i="18" a="1"/>
  <c r="I11" i="18"/>
  <c r="E11" i="18" a="1"/>
  <c r="C11" i="18" a="1"/>
  <c r="J11" i="18"/>
  <c r="B11" i="18" a="1"/>
  <c r="H207" i="18"/>
  <c r="C207" i="18" a="1"/>
  <c r="I207" i="18"/>
  <c r="G207" i="18"/>
  <c r="F207" i="18"/>
  <c r="E207" i="18" a="1"/>
  <c r="J207" i="18"/>
  <c r="B207" i="18" a="1"/>
  <c r="D207" i="18" a="1"/>
  <c r="K207" i="18"/>
  <c r="K251" i="18"/>
  <c r="G251" i="18"/>
  <c r="J251" i="18"/>
  <c r="I251" i="18"/>
  <c r="F251" i="18"/>
  <c r="D251" i="18" a="1"/>
  <c r="C251" i="18" a="1"/>
  <c r="E251" i="18" a="1"/>
  <c r="B251" i="18" a="1"/>
  <c r="H251" i="18"/>
  <c r="K246" i="18"/>
  <c r="H246" i="18"/>
  <c r="F246" i="18"/>
  <c r="E246" i="18" a="1"/>
  <c r="C246" i="18" a="1"/>
  <c r="I246" i="18"/>
  <c r="D246" i="18" a="1"/>
  <c r="G246" i="18"/>
  <c r="J246" i="18"/>
  <c r="B246" i="18" a="1"/>
  <c r="H145" i="18"/>
  <c r="K145" i="18"/>
  <c r="G145" i="18"/>
  <c r="F145" i="18"/>
  <c r="I145" i="18"/>
  <c r="D145" i="18" a="1"/>
  <c r="C145" i="18" a="1"/>
  <c r="B145" i="18" a="1"/>
  <c r="J145" i="18"/>
  <c r="E145" i="18" a="1"/>
  <c r="H135" i="18"/>
  <c r="D135" i="18" a="1"/>
  <c r="B135" i="18" a="1"/>
  <c r="J135" i="18"/>
  <c r="E135" i="18" a="1"/>
  <c r="F135" i="18"/>
  <c r="I135" i="18"/>
  <c r="C135" i="18" a="1"/>
  <c r="G135" i="18"/>
  <c r="K135" i="18"/>
  <c r="F127" i="18"/>
  <c r="J127" i="18"/>
  <c r="D127" i="18" a="1"/>
  <c r="E127" i="18" a="1"/>
  <c r="G127" i="18"/>
  <c r="B127" i="18" a="1"/>
  <c r="I127" i="18"/>
  <c r="C127" i="18" a="1"/>
  <c r="K127" i="18"/>
  <c r="H127" i="18"/>
  <c r="K111" i="18"/>
  <c r="H111" i="18"/>
  <c r="J111" i="18"/>
  <c r="I111" i="18"/>
  <c r="C111" i="18" a="1"/>
  <c r="F111" i="18"/>
  <c r="B111" i="18" a="1"/>
  <c r="D111" i="18" a="1"/>
  <c r="G111" i="18"/>
  <c r="E111" i="18" a="1"/>
  <c r="H96" i="18"/>
  <c r="E96" i="18" a="1"/>
  <c r="J96" i="18"/>
  <c r="G96" i="18"/>
  <c r="F96" i="18"/>
  <c r="D96" i="18" a="1"/>
  <c r="C96" i="18" a="1"/>
  <c r="I96" i="18"/>
  <c r="B96" i="18" a="1"/>
  <c r="K96" i="18"/>
  <c r="H57" i="18"/>
  <c r="J57" i="18"/>
  <c r="D57" i="18" a="1"/>
  <c r="I57" i="18"/>
  <c r="C57" i="18" a="1"/>
  <c r="E57" i="18" a="1"/>
  <c r="B57" i="18" a="1"/>
  <c r="F57" i="18"/>
  <c r="G57" i="18"/>
  <c r="K57" i="18"/>
  <c r="K53" i="18"/>
  <c r="D53" i="18" a="1"/>
  <c r="I53" i="18"/>
  <c r="G53" i="18"/>
  <c r="J53" i="18"/>
  <c r="B53" i="18" a="1"/>
  <c r="C53" i="18" a="1"/>
  <c r="E53" i="18" a="1"/>
  <c r="F53" i="18"/>
  <c r="H53" i="18"/>
  <c r="K43" i="18"/>
  <c r="J43" i="18"/>
  <c r="D43" i="18" a="1"/>
  <c r="E43" i="18" a="1"/>
  <c r="B43" i="18" a="1"/>
  <c r="C43" i="18" a="1"/>
  <c r="G43" i="18"/>
  <c r="I43" i="18"/>
  <c r="F43" i="18"/>
  <c r="H43" i="18"/>
  <c r="H237" i="18"/>
  <c r="D237" i="18" a="1"/>
  <c r="C237" i="18" a="1"/>
  <c r="F237" i="18"/>
  <c r="I237" i="18"/>
  <c r="G237" i="18"/>
  <c r="E237" i="18" a="1"/>
  <c r="B237" i="18" a="1"/>
  <c r="J237" i="18"/>
  <c r="K237" i="18"/>
  <c r="H227" i="18"/>
  <c r="B227" i="18" a="1"/>
  <c r="G227" i="18"/>
  <c r="C227" i="18" a="1"/>
  <c r="F227" i="18"/>
  <c r="J227" i="18"/>
  <c r="E227" i="18" a="1"/>
  <c r="I227" i="18"/>
  <c r="D227" i="18" a="1"/>
  <c r="K227" i="18"/>
  <c r="H215" i="18"/>
  <c r="K215" i="18"/>
  <c r="G215" i="18"/>
  <c r="J215" i="18"/>
  <c r="I215" i="18"/>
  <c r="F215" i="18"/>
  <c r="B215" i="18" a="1"/>
  <c r="C215" i="18" a="1"/>
  <c r="D215" i="18" a="1"/>
  <c r="E215" i="18" a="1"/>
  <c r="I178" i="18"/>
  <c r="G178" i="18"/>
  <c r="C178" i="18" a="1"/>
  <c r="E178" i="18" a="1"/>
  <c r="D178" i="18" a="1"/>
  <c r="J178" i="18"/>
  <c r="B178" i="18" a="1"/>
  <c r="F178" i="18"/>
  <c r="H178" i="18"/>
  <c r="K178" i="18"/>
  <c r="B134" i="18" a="1"/>
  <c r="C134" i="18" a="1"/>
  <c r="E134" i="18" a="1"/>
  <c r="D134" i="18" a="1"/>
  <c r="G134" i="18"/>
  <c r="F134" i="18"/>
  <c r="J134" i="18"/>
  <c r="I134" i="18"/>
  <c r="K134" i="18"/>
  <c r="H134" i="18"/>
  <c r="I122" i="18"/>
  <c r="J122" i="18"/>
  <c r="G122" i="18"/>
  <c r="B122" i="18" a="1"/>
  <c r="D122" i="18" a="1"/>
  <c r="F122" i="18"/>
  <c r="C122" i="18" a="1"/>
  <c r="E122" i="18" a="1"/>
  <c r="H122" i="18"/>
  <c r="K122" i="18"/>
  <c r="G110" i="18"/>
  <c r="J110" i="18"/>
  <c r="H110" i="18"/>
  <c r="F110" i="18"/>
  <c r="C110" i="18" a="1"/>
  <c r="D110" i="18" a="1"/>
  <c r="K110" i="18"/>
  <c r="I110" i="18"/>
  <c r="B110" i="18" a="1"/>
  <c r="E110" i="18" a="1"/>
  <c r="K103" i="18"/>
  <c r="B103" i="18" a="1"/>
  <c r="F103" i="18"/>
  <c r="I103" i="18"/>
  <c r="E103" i="18" a="1"/>
  <c r="G103" i="18"/>
  <c r="C103" i="18" a="1"/>
  <c r="J103" i="18"/>
  <c r="D103" i="18" a="1"/>
  <c r="H103" i="18"/>
  <c r="H49" i="18"/>
  <c r="F49" i="18"/>
  <c r="J49" i="18"/>
  <c r="C49" i="18" a="1"/>
  <c r="D49" i="18" a="1"/>
  <c r="G49" i="18"/>
  <c r="E49" i="18" a="1"/>
  <c r="I49" i="18"/>
  <c r="B49" i="18" a="1"/>
  <c r="K49" i="18"/>
  <c r="J13" i="18"/>
  <c r="I13" i="18"/>
  <c r="D13" i="18" a="1"/>
  <c r="B13" i="18" a="1"/>
  <c r="C13" i="18" a="1"/>
  <c r="E13" i="18" a="1"/>
  <c r="H204" i="18"/>
  <c r="K204" i="18"/>
  <c r="B204" i="18" a="1"/>
  <c r="F204" i="18"/>
  <c r="E204" i="18" a="1"/>
  <c r="J204" i="18"/>
  <c r="C204" i="18" a="1"/>
  <c r="G204" i="18"/>
  <c r="I204" i="18"/>
  <c r="D204" i="18" a="1"/>
  <c r="CO10" i="19"/>
  <c r="K190" i="18"/>
  <c r="H190" i="18"/>
  <c r="I190" i="18"/>
  <c r="B190" i="18" a="1"/>
  <c r="J190" i="18"/>
  <c r="F190" i="18"/>
  <c r="G190" i="18"/>
  <c r="D190" i="18" a="1"/>
  <c r="E190" i="18" a="1"/>
  <c r="C190" i="18" a="1"/>
  <c r="K157" i="18"/>
  <c r="F157" i="18"/>
  <c r="C157" i="18" a="1"/>
  <c r="B157" i="18" a="1"/>
  <c r="E157" i="18" a="1"/>
  <c r="D157" i="18" a="1"/>
  <c r="J157" i="18"/>
  <c r="G157" i="18"/>
  <c r="I157" i="18"/>
  <c r="H157" i="18"/>
  <c r="H118" i="18"/>
  <c r="I118" i="18"/>
  <c r="C118" i="18" a="1"/>
  <c r="G118" i="18"/>
  <c r="J118" i="18"/>
  <c r="F118" i="18"/>
  <c r="E118" i="18" a="1"/>
  <c r="D118" i="18" a="1"/>
  <c r="B118" i="18" a="1"/>
  <c r="K118" i="18"/>
  <c r="C98" i="18" a="1"/>
  <c r="J98" i="18"/>
  <c r="B98" i="18" a="1"/>
  <c r="D98" i="18" a="1"/>
  <c r="E98" i="18" a="1"/>
  <c r="G98" i="18"/>
  <c r="F98" i="18"/>
  <c r="I98" i="18"/>
  <c r="H98" i="18"/>
  <c r="K98" i="18"/>
  <c r="D67" i="18" a="1"/>
  <c r="C67" i="18" a="1"/>
  <c r="J67" i="18"/>
  <c r="G67" i="18"/>
  <c r="F67" i="18"/>
  <c r="E67" i="18" a="1"/>
  <c r="I67" i="18"/>
  <c r="B67" i="18" a="1"/>
  <c r="K67" i="18"/>
  <c r="H67" i="18"/>
  <c r="K34" i="18"/>
  <c r="H34" i="18"/>
  <c r="J34" i="18"/>
  <c r="B34" i="18" a="1"/>
  <c r="I34" i="18"/>
  <c r="G34" i="18"/>
  <c r="F34" i="18"/>
  <c r="C34" i="18" a="1"/>
  <c r="E34" i="18" a="1"/>
  <c r="D34" i="18" a="1"/>
  <c r="E23" i="18" a="1"/>
  <c r="G23" i="18"/>
  <c r="F23" i="18"/>
  <c r="I23" i="18"/>
  <c r="B23" i="18" a="1"/>
  <c r="C23" i="18" a="1"/>
  <c r="J23" i="18"/>
  <c r="D23" i="18" a="1"/>
  <c r="K23" i="18"/>
  <c r="H23" i="18"/>
  <c r="I8" i="18"/>
  <c r="J8" i="18"/>
  <c r="E8" i="18" a="1"/>
  <c r="C8" i="18" a="1"/>
  <c r="D8" i="18" a="1"/>
  <c r="B8" i="18" a="1"/>
  <c r="K212" i="18"/>
  <c r="I212" i="18"/>
  <c r="B212" i="18" a="1"/>
  <c r="D212" i="18" a="1"/>
  <c r="J212" i="18"/>
  <c r="E212" i="18" a="1"/>
  <c r="H212" i="18"/>
  <c r="C212" i="18" a="1"/>
  <c r="G212" i="18"/>
  <c r="F212" i="18"/>
  <c r="H100" i="18"/>
  <c r="K100" i="18"/>
  <c r="E100" i="18" a="1"/>
  <c r="D100" i="18" a="1"/>
  <c r="F100" i="18"/>
  <c r="B100" i="18" a="1"/>
  <c r="C100" i="18" a="1"/>
  <c r="J100" i="18"/>
  <c r="G100" i="18"/>
  <c r="I100" i="18"/>
  <c r="H38" i="18"/>
  <c r="I38" i="18"/>
  <c r="G38" i="18"/>
  <c r="B38" i="18" a="1"/>
  <c r="K38" i="18"/>
  <c r="F38" i="18"/>
  <c r="E38" i="18" a="1"/>
  <c r="D38" i="18" a="1"/>
  <c r="C38" i="18" a="1"/>
  <c r="J38" i="18"/>
  <c r="K206" i="18"/>
  <c r="H206" i="18"/>
  <c r="J206" i="18"/>
  <c r="I206" i="18"/>
  <c r="G206" i="18"/>
  <c r="F206" i="18"/>
  <c r="B206" i="18" a="1"/>
  <c r="D206" i="18" a="1"/>
  <c r="E206" i="18" a="1"/>
  <c r="C206" i="18" a="1"/>
  <c r="H222" i="18"/>
  <c r="K222" i="18"/>
  <c r="I222" i="18"/>
  <c r="E222" i="18" a="1"/>
  <c r="C222" i="18" a="1"/>
  <c r="F222" i="18"/>
  <c r="D222" i="18" a="1"/>
  <c r="G222" i="18"/>
  <c r="J222" i="18"/>
  <c r="B222" i="18" a="1"/>
  <c r="H174" i="18"/>
  <c r="D174" i="18" a="1"/>
  <c r="C174" i="18" a="1"/>
  <c r="E174" i="18" a="1"/>
  <c r="J174" i="18"/>
  <c r="F174" i="18"/>
  <c r="B174" i="18" a="1"/>
  <c r="I174" i="18"/>
  <c r="G174" i="18"/>
  <c r="K174" i="18"/>
  <c r="J109" i="18"/>
  <c r="I109" i="18"/>
  <c r="D109" i="18" a="1"/>
  <c r="F109" i="18"/>
  <c r="G109" i="18"/>
  <c r="C109" i="18" a="1"/>
  <c r="E109" i="18" a="1"/>
  <c r="B109" i="18" a="1"/>
  <c r="H109" i="18"/>
  <c r="K109" i="18"/>
  <c r="K22" i="18"/>
  <c r="I22" i="18"/>
  <c r="G22" i="18"/>
  <c r="F22" i="18"/>
  <c r="J22" i="18"/>
  <c r="B22" i="18" a="1"/>
  <c r="E22" i="18" a="1"/>
  <c r="D22" i="18" a="1"/>
  <c r="C22" i="18" a="1"/>
  <c r="H22" i="18"/>
  <c r="H234" i="18"/>
  <c r="K234" i="18"/>
  <c r="F234" i="18"/>
  <c r="E234" i="18" a="1"/>
  <c r="C234" i="18" a="1"/>
  <c r="B234" i="18" a="1"/>
  <c r="D234" i="18" a="1"/>
  <c r="I234" i="18"/>
  <c r="G234" i="18"/>
  <c r="J234" i="18"/>
  <c r="H232" i="18"/>
  <c r="I232" i="18"/>
  <c r="J232" i="18"/>
  <c r="G232" i="18"/>
  <c r="E232" i="18" a="1"/>
  <c r="D232" i="18" a="1"/>
  <c r="F232" i="18"/>
  <c r="B232" i="18" a="1"/>
  <c r="C232" i="18" a="1"/>
  <c r="K232" i="18"/>
  <c r="K166" i="18"/>
  <c r="I166" i="18"/>
  <c r="G166" i="18"/>
  <c r="J166" i="18"/>
  <c r="D166" i="18" a="1"/>
  <c r="F166" i="18"/>
  <c r="E166" i="18" a="1"/>
  <c r="C166" i="18" a="1"/>
  <c r="B166" i="18" a="1"/>
  <c r="H166" i="18"/>
  <c r="J80" i="18"/>
  <c r="G80" i="18"/>
  <c r="E80" i="18" a="1"/>
  <c r="I80" i="18"/>
  <c r="D80" i="18" a="1"/>
  <c r="H80" i="18"/>
  <c r="B80" i="18" a="1"/>
  <c r="C80" i="18" a="1"/>
  <c r="F80" i="18"/>
  <c r="K80" i="18"/>
  <c r="D225" i="18" a="1"/>
  <c r="G225" i="18"/>
  <c r="B225" i="18" a="1"/>
  <c r="C225" i="18" a="1"/>
  <c r="F225" i="18"/>
  <c r="I225" i="18"/>
  <c r="J225" i="18"/>
  <c r="E225" i="18" a="1"/>
  <c r="H225" i="18"/>
  <c r="K225" i="18"/>
  <c r="E202" i="18" a="1"/>
  <c r="C202" i="18" a="1"/>
  <c r="G202" i="18"/>
  <c r="J202" i="18"/>
  <c r="I202" i="18"/>
  <c r="K202" i="18"/>
  <c r="D202" i="18" a="1"/>
  <c r="F202" i="18"/>
  <c r="B202" i="18" a="1"/>
  <c r="H202" i="18"/>
  <c r="I86" i="18"/>
  <c r="F86" i="18"/>
  <c r="J86" i="18"/>
  <c r="D86" i="18" a="1"/>
  <c r="G86" i="18"/>
  <c r="C86" i="18" a="1"/>
  <c r="B86" i="18" a="1"/>
  <c r="E86" i="18" a="1"/>
  <c r="K86" i="18"/>
  <c r="H86" i="18"/>
  <c r="H40" i="18"/>
  <c r="D40" i="18" a="1"/>
  <c r="C40" i="18" a="1"/>
  <c r="B40" i="18" a="1"/>
  <c r="G40" i="18"/>
  <c r="F40" i="18"/>
  <c r="I40" i="18"/>
  <c r="J40" i="18"/>
  <c r="E40" i="18" a="1"/>
  <c r="K40" i="18"/>
  <c r="E7" i="18" a="1"/>
  <c r="D7" i="18" a="1"/>
  <c r="C7" i="18" a="1"/>
  <c r="I7" i="18"/>
  <c r="J7" i="18"/>
  <c r="B7" i="18" a="1"/>
  <c r="H236" i="18"/>
  <c r="B236" i="18" a="1"/>
  <c r="I236" i="18"/>
  <c r="G236" i="18"/>
  <c r="J236" i="18"/>
  <c r="F236" i="18"/>
  <c r="E236" i="18" a="1"/>
  <c r="D236" i="18" a="1"/>
  <c r="C236" i="18" a="1"/>
  <c r="K236" i="18"/>
  <c r="K200" i="18"/>
  <c r="H200" i="18"/>
  <c r="C200" i="18" a="1"/>
  <c r="J200" i="18"/>
  <c r="G200" i="18"/>
  <c r="D200" i="18" a="1"/>
  <c r="I200" i="18"/>
  <c r="E200" i="18" a="1"/>
  <c r="B200" i="18" a="1"/>
  <c r="F200" i="18"/>
  <c r="K221" i="18"/>
  <c r="H221" i="18"/>
  <c r="C221" i="18" a="1"/>
  <c r="I221" i="18"/>
  <c r="G221" i="18"/>
  <c r="E221" i="18" a="1"/>
  <c r="F221" i="18"/>
  <c r="J221" i="18"/>
  <c r="B221" i="18" a="1"/>
  <c r="D221" i="18" a="1"/>
  <c r="K201" i="18"/>
  <c r="G201" i="18"/>
  <c r="B201" i="18" a="1"/>
  <c r="I201" i="18"/>
  <c r="C201" i="18" a="1"/>
  <c r="J201" i="18"/>
  <c r="F201" i="18"/>
  <c r="E201" i="18" a="1"/>
  <c r="D201" i="18" a="1"/>
  <c r="H201" i="18"/>
  <c r="J183" i="18"/>
  <c r="B183" i="18" a="1"/>
  <c r="E183" i="18" a="1"/>
  <c r="C183" i="18" a="1"/>
  <c r="I183" i="18"/>
  <c r="F183" i="18"/>
  <c r="D183" i="18" a="1"/>
  <c r="G183" i="18"/>
  <c r="H183" i="18"/>
  <c r="K183" i="18"/>
  <c r="H173" i="18"/>
  <c r="E173" i="18" a="1"/>
  <c r="C173" i="18" a="1"/>
  <c r="F173" i="18"/>
  <c r="I173" i="18"/>
  <c r="B173" i="18" a="1"/>
  <c r="J173" i="18"/>
  <c r="G173" i="18"/>
  <c r="D173" i="18" a="1"/>
  <c r="K173" i="18"/>
  <c r="C154" i="18" a="1"/>
  <c r="I154" i="18"/>
  <c r="B154" i="18" a="1"/>
  <c r="H154" i="18"/>
  <c r="D154" i="18" a="1"/>
  <c r="E154" i="18" a="1"/>
  <c r="F154" i="18"/>
  <c r="J154" i="18"/>
  <c r="G154" i="18"/>
  <c r="K154" i="18"/>
  <c r="H125" i="18"/>
  <c r="C125" i="18" a="1"/>
  <c r="B125" i="18" a="1"/>
  <c r="J125" i="18"/>
  <c r="E125" i="18" a="1"/>
  <c r="I125" i="18"/>
  <c r="K125" i="18"/>
  <c r="D125" i="18" a="1"/>
  <c r="F125" i="18"/>
  <c r="G125" i="18"/>
  <c r="H85" i="18"/>
  <c r="G85" i="18"/>
  <c r="D85" i="18" a="1"/>
  <c r="J85" i="18"/>
  <c r="C85" i="18" a="1"/>
  <c r="E85" i="18" a="1"/>
  <c r="I85" i="18"/>
  <c r="B85" i="18" a="1"/>
  <c r="F85" i="18"/>
  <c r="K85" i="18"/>
  <c r="H59" i="18"/>
  <c r="E59" i="18" a="1"/>
  <c r="F59" i="18"/>
  <c r="B59" i="18" a="1"/>
  <c r="I59" i="18"/>
  <c r="G59" i="18"/>
  <c r="D59" i="18" a="1"/>
  <c r="J59" i="18"/>
  <c r="C59" i="18" a="1"/>
  <c r="K59" i="18"/>
  <c r="K151" i="18"/>
  <c r="J151" i="18"/>
  <c r="I151" i="18"/>
  <c r="G151" i="18"/>
  <c r="C151" i="18" a="1"/>
  <c r="F151" i="18"/>
  <c r="B151" i="18" a="1"/>
  <c r="E151" i="18" a="1"/>
  <c r="D151" i="18" a="1"/>
  <c r="H151" i="18"/>
  <c r="K124" i="18"/>
  <c r="I124" i="18"/>
  <c r="E124" i="18" a="1"/>
  <c r="D124" i="18" a="1"/>
  <c r="G124" i="18"/>
  <c r="C124" i="18" a="1"/>
  <c r="B124" i="18" a="1"/>
  <c r="F124" i="18"/>
  <c r="J124" i="18"/>
  <c r="H124" i="18"/>
  <c r="B114" i="18" a="1"/>
  <c r="I114" i="18"/>
  <c r="J114" i="18"/>
  <c r="C114" i="18" a="1"/>
  <c r="F114" i="18"/>
  <c r="G114" i="18"/>
  <c r="E114" i="18" a="1"/>
  <c r="D114" i="18" a="1"/>
  <c r="H114" i="18"/>
  <c r="K114" i="18"/>
  <c r="D76" i="18" a="1"/>
  <c r="E76" i="18" a="1"/>
  <c r="C76" i="18" a="1"/>
  <c r="G76" i="18"/>
  <c r="F76" i="18"/>
  <c r="J76" i="18"/>
  <c r="I76" i="18"/>
  <c r="B76" i="18" a="1"/>
  <c r="H76" i="18"/>
  <c r="K76" i="18"/>
  <c r="K71" i="18"/>
  <c r="D71" i="18" a="1"/>
  <c r="I71" i="18"/>
  <c r="G71" i="18"/>
  <c r="F71" i="18"/>
  <c r="J71" i="18"/>
  <c r="B71" i="18" a="1"/>
  <c r="C71" i="18" a="1"/>
  <c r="E71" i="18" a="1"/>
  <c r="H71" i="18"/>
  <c r="H39" i="18"/>
  <c r="I39" i="18"/>
  <c r="C39" i="18" a="1"/>
  <c r="B39" i="18" a="1"/>
  <c r="G39" i="18"/>
  <c r="J39" i="18"/>
  <c r="F39" i="18"/>
  <c r="E39" i="18" a="1"/>
  <c r="D39" i="18" a="1"/>
  <c r="K39" i="18"/>
  <c r="K25" i="18"/>
  <c r="J25" i="18"/>
  <c r="I25" i="18"/>
  <c r="B25" i="18" a="1"/>
  <c r="E25" i="18" a="1"/>
  <c r="D25" i="18" a="1"/>
  <c r="C25" i="18" a="1"/>
  <c r="G25" i="18"/>
  <c r="F25" i="18"/>
  <c r="H25" i="18"/>
  <c r="H17" i="18"/>
  <c r="J17" i="18"/>
  <c r="B17" i="18" a="1"/>
  <c r="G17" i="18"/>
  <c r="C17" i="18" a="1"/>
  <c r="I17" i="18"/>
  <c r="D17" i="18" a="1"/>
  <c r="E17" i="18" a="1"/>
  <c r="F17" i="18"/>
  <c r="K17" i="18"/>
  <c r="I180" i="18"/>
  <c r="G180" i="18"/>
  <c r="F180" i="18"/>
  <c r="H180" i="18"/>
  <c r="K180" i="18"/>
  <c r="B180" i="18" a="1"/>
  <c r="C180" i="18" a="1"/>
  <c r="E180" i="18" a="1"/>
  <c r="D180" i="18" a="1"/>
  <c r="J180" i="18"/>
  <c r="K149" i="18"/>
  <c r="J149" i="18"/>
  <c r="C149" i="18" a="1"/>
  <c r="E149" i="18" a="1"/>
  <c r="I149" i="18"/>
  <c r="F149" i="18"/>
  <c r="G149" i="18"/>
  <c r="B149" i="18" a="1"/>
  <c r="D149" i="18" a="1"/>
  <c r="H149" i="18"/>
  <c r="H108" i="18"/>
  <c r="K108" i="18"/>
  <c r="F108" i="18"/>
  <c r="D108" i="18" a="1"/>
  <c r="B108" i="18" a="1"/>
  <c r="G108" i="18"/>
  <c r="I108" i="18"/>
  <c r="E108" i="18" a="1"/>
  <c r="C108" i="18" a="1"/>
  <c r="J108" i="18"/>
  <c r="K94" i="18"/>
  <c r="H94" i="18"/>
  <c r="C94" i="18" a="1"/>
  <c r="E94" i="18" a="1"/>
  <c r="D94" i="18" a="1"/>
  <c r="G94" i="18"/>
  <c r="I94" i="18"/>
  <c r="F94" i="18"/>
  <c r="B94" i="18" a="1"/>
  <c r="J94" i="18"/>
  <c r="H46" i="18"/>
  <c r="I46" i="18"/>
  <c r="J46" i="18"/>
  <c r="C46" i="18" a="1"/>
  <c r="B46" i="18" a="1"/>
  <c r="F46" i="18"/>
  <c r="E46" i="18" a="1"/>
  <c r="D46" i="18" a="1"/>
  <c r="G46" i="18"/>
  <c r="K46" i="18"/>
  <c r="H16" i="18"/>
  <c r="C16" i="18" a="1"/>
  <c r="J16" i="18"/>
  <c r="G16" i="18"/>
  <c r="E16" i="18" a="1"/>
  <c r="D16" i="18" a="1"/>
  <c r="I16" i="18"/>
  <c r="B16" i="18" a="1"/>
  <c r="F16" i="18"/>
  <c r="K16" i="18"/>
  <c r="H162" i="18"/>
  <c r="G162" i="18"/>
  <c r="F162" i="18"/>
  <c r="E162" i="18" a="1"/>
  <c r="D162" i="18" a="1"/>
  <c r="I162" i="18"/>
  <c r="C162" i="18" a="1"/>
  <c r="J162" i="18"/>
  <c r="B162" i="18" a="1"/>
  <c r="K162" i="18"/>
  <c r="K107" i="18"/>
  <c r="D107" i="18" a="1"/>
  <c r="J107" i="18"/>
  <c r="B107" i="18" a="1"/>
  <c r="I107" i="18"/>
  <c r="G107" i="18"/>
  <c r="F107" i="18"/>
  <c r="E107" i="18" a="1"/>
  <c r="C107" i="18" a="1"/>
  <c r="H107" i="18"/>
  <c r="H92" i="18"/>
  <c r="C92" i="18" a="1"/>
  <c r="J92" i="18"/>
  <c r="B92" i="18" a="1"/>
  <c r="I92" i="18"/>
  <c r="G92" i="18"/>
  <c r="F92" i="18"/>
  <c r="D92" i="18" a="1"/>
  <c r="E92" i="18" a="1"/>
  <c r="K92" i="18"/>
  <c r="H58" i="18"/>
  <c r="K58" i="18"/>
  <c r="D58" i="18" a="1"/>
  <c r="E58" i="18" a="1"/>
  <c r="C58" i="18" a="1"/>
  <c r="J58" i="18"/>
  <c r="G58" i="18"/>
  <c r="F58" i="18"/>
  <c r="B58" i="18" a="1"/>
  <c r="I58" i="18"/>
  <c r="I12" i="18"/>
  <c r="E12" i="18" a="1"/>
  <c r="D12" i="18" a="1"/>
  <c r="J12" i="18"/>
  <c r="C12" i="18" a="1"/>
  <c r="B12" i="18" a="1"/>
  <c r="C113" i="18" a="1"/>
  <c r="J113" i="18"/>
  <c r="F113" i="18"/>
  <c r="H113" i="18"/>
  <c r="B113" i="18" a="1"/>
  <c r="I113" i="18"/>
  <c r="D113" i="18" a="1"/>
  <c r="G113" i="18"/>
  <c r="E113" i="18" a="1"/>
  <c r="K113" i="18"/>
  <c r="F105" i="18"/>
  <c r="I105" i="18"/>
  <c r="G105" i="18"/>
  <c r="K105" i="18"/>
  <c r="D105" i="18" a="1"/>
  <c r="J105" i="18"/>
  <c r="E105" i="18" a="1"/>
  <c r="C105" i="18" a="1"/>
  <c r="B105" i="18" a="1"/>
  <c r="H105" i="18"/>
  <c r="B91" i="18" a="1"/>
  <c r="E91" i="18" a="1"/>
  <c r="G91" i="18"/>
  <c r="H91" i="18"/>
  <c r="J91" i="18"/>
  <c r="D91" i="18" a="1"/>
  <c r="I91" i="18"/>
  <c r="F91" i="18"/>
  <c r="C91" i="18" a="1"/>
  <c r="K91" i="18"/>
  <c r="K82" i="18"/>
  <c r="H82" i="18"/>
  <c r="G82" i="18"/>
  <c r="D82" i="18" a="1"/>
  <c r="J82" i="18"/>
  <c r="I82" i="18"/>
  <c r="E82" i="18" a="1"/>
  <c r="F82" i="18"/>
  <c r="C82" i="18" a="1"/>
  <c r="B82" i="18" a="1"/>
  <c r="K63" i="18"/>
  <c r="J63" i="18"/>
  <c r="E63" i="18" a="1"/>
  <c r="D63" i="18" a="1"/>
  <c r="B63" i="18" a="1"/>
  <c r="F63" i="18"/>
  <c r="C63" i="18" a="1"/>
  <c r="G63" i="18"/>
  <c r="I63" i="18"/>
  <c r="H63" i="18"/>
  <c r="H52" i="18"/>
  <c r="K52" i="18"/>
  <c r="D52" i="18" a="1"/>
  <c r="G52" i="18"/>
  <c r="F52" i="18"/>
  <c r="J52" i="18"/>
  <c r="E52" i="18" a="1"/>
  <c r="C52" i="18" a="1"/>
  <c r="I52" i="18"/>
  <c r="B52" i="18" a="1"/>
  <c r="H21" i="18"/>
  <c r="K21" i="18"/>
  <c r="I21" i="18"/>
  <c r="C21" i="18" a="1"/>
  <c r="B21" i="18" a="1"/>
  <c r="F21" i="18"/>
  <c r="J21" i="18"/>
  <c r="G21" i="18"/>
  <c r="E21" i="18" a="1"/>
  <c r="D21" i="18" a="1"/>
  <c r="B10" i="18" a="1"/>
  <c r="J10" i="18"/>
  <c r="I10" i="18"/>
  <c r="E10" i="18" a="1"/>
  <c r="D10" i="18" a="1"/>
  <c r="C10" i="18" a="1"/>
  <c r="H192" i="18"/>
  <c r="J192" i="18"/>
  <c r="B192" i="18" a="1"/>
  <c r="D192" i="18" a="1"/>
  <c r="G192" i="18"/>
  <c r="F192" i="18"/>
  <c r="C192" i="18" a="1"/>
  <c r="E192" i="18" a="1"/>
  <c r="I192" i="18"/>
  <c r="K192" i="18"/>
  <c r="J160" i="18"/>
  <c r="I160" i="18"/>
  <c r="E160" i="18" a="1"/>
  <c r="G160" i="18"/>
  <c r="C160" i="18" a="1"/>
  <c r="F160" i="18"/>
  <c r="D160" i="18" a="1"/>
  <c r="B160" i="18" a="1"/>
  <c r="H160" i="18"/>
  <c r="K160" i="18"/>
  <c r="J119" i="18"/>
  <c r="I119" i="18"/>
  <c r="G119" i="18"/>
  <c r="C78" i="18" a="1"/>
  <c r="F78" i="18"/>
  <c r="G78" i="18"/>
  <c r="I78" i="18"/>
  <c r="K78" i="18"/>
  <c r="H78" i="18"/>
  <c r="D73" i="18" a="1"/>
  <c r="J73" i="18"/>
  <c r="E73" i="18" a="1"/>
  <c r="F73" i="18"/>
  <c r="B73" i="18" a="1"/>
  <c r="H73" i="18"/>
  <c r="C73" i="18" a="1"/>
  <c r="I73" i="18"/>
  <c r="G73" i="18"/>
  <c r="K73" i="18"/>
  <c r="K60" i="18"/>
  <c r="D60" i="18" a="1"/>
  <c r="C60" i="18" a="1"/>
  <c r="E60" i="18" a="1"/>
  <c r="B60" i="18" a="1"/>
  <c r="G60" i="18"/>
  <c r="F60" i="18"/>
  <c r="H60" i="18"/>
  <c r="J60" i="18"/>
  <c r="I60" i="18"/>
  <c r="K55" i="18"/>
  <c r="H55" i="18"/>
  <c r="E55" i="18" a="1"/>
  <c r="J55" i="18"/>
  <c r="G55" i="18"/>
  <c r="I55" i="18"/>
  <c r="D55" i="18" a="1"/>
  <c r="C55" i="18" a="1"/>
  <c r="F55" i="18"/>
  <c r="B55" i="18" a="1"/>
  <c r="H37" i="18"/>
  <c r="I37" i="18"/>
  <c r="G37" i="18"/>
  <c r="C37" i="18" a="1"/>
  <c r="E37" i="18" a="1"/>
  <c r="J37" i="18"/>
  <c r="B37" i="18" a="1"/>
  <c r="D37" i="18" a="1"/>
  <c r="F37" i="18"/>
  <c r="K37" i="18"/>
  <c r="K36" i="18"/>
  <c r="I36" i="18"/>
  <c r="F36" i="18"/>
  <c r="E36" i="18" a="1"/>
  <c r="G36" i="18"/>
  <c r="D36" i="18" a="1"/>
  <c r="B36" i="18" a="1"/>
  <c r="J36" i="18"/>
  <c r="C36" i="18" a="1"/>
  <c r="H36" i="18"/>
  <c r="J255" i="18"/>
  <c r="C255" i="18" a="1"/>
  <c r="E255" i="18" a="1"/>
  <c r="H255" i="18"/>
  <c r="B255" i="18" a="1"/>
  <c r="G255" i="18"/>
  <c r="D255" i="18" a="1"/>
  <c r="I255" i="18"/>
  <c r="F255" i="18"/>
  <c r="K255" i="18"/>
  <c r="K250" i="18"/>
  <c r="D250" i="18" a="1"/>
  <c r="C250" i="18" a="1"/>
  <c r="I250" i="18"/>
  <c r="B250" i="18" a="1"/>
  <c r="G250" i="18"/>
  <c r="F250" i="18"/>
  <c r="J250" i="18"/>
  <c r="E250" i="18" a="1"/>
  <c r="H250" i="18"/>
  <c r="K218" i="18"/>
  <c r="F218" i="18"/>
  <c r="G218" i="18"/>
  <c r="I218" i="18"/>
  <c r="B218" i="18" a="1"/>
  <c r="D218" i="18" a="1"/>
  <c r="J218" i="18"/>
  <c r="E218" i="18" a="1"/>
  <c r="C218" i="18" a="1"/>
  <c r="H218" i="18"/>
  <c r="K213" i="18"/>
  <c r="G213" i="18"/>
  <c r="E213" i="18" a="1"/>
  <c r="I213" i="18"/>
  <c r="C213" i="18" a="1"/>
  <c r="J213" i="18"/>
  <c r="D213" i="18" a="1"/>
  <c r="B213" i="18" a="1"/>
  <c r="F213" i="18"/>
  <c r="H213" i="18"/>
  <c r="K203" i="18"/>
  <c r="I203" i="18"/>
  <c r="C203" i="18" a="1"/>
  <c r="J203" i="18"/>
  <c r="E203" i="18" a="1"/>
  <c r="F203" i="18"/>
  <c r="D203" i="18" a="1"/>
  <c r="G203" i="18"/>
  <c r="B203" i="18" a="1"/>
  <c r="H203" i="18"/>
  <c r="H189" i="18"/>
  <c r="K189" i="18"/>
  <c r="J189" i="18"/>
  <c r="B189" i="18" a="1"/>
  <c r="I189" i="18"/>
  <c r="E189" i="18" a="1"/>
  <c r="C189" i="18" a="1"/>
  <c r="D189" i="18" a="1"/>
  <c r="G189" i="18"/>
  <c r="F189" i="18"/>
  <c r="D152" i="18" a="1"/>
  <c r="C152" i="18" a="1"/>
  <c r="E152" i="18" a="1"/>
  <c r="G152" i="18"/>
  <c r="F152" i="18"/>
  <c r="J152" i="18"/>
  <c r="B152" i="18" a="1"/>
  <c r="I152" i="18"/>
  <c r="K152" i="18"/>
  <c r="H152" i="18"/>
  <c r="J148" i="18"/>
  <c r="G148" i="18"/>
  <c r="B148" i="18" a="1"/>
  <c r="I148" i="18"/>
  <c r="F148" i="18"/>
  <c r="K148" i="18"/>
  <c r="E148" i="18" a="1"/>
  <c r="D148" i="18" a="1"/>
  <c r="C148" i="18" a="1"/>
  <c r="H148" i="18"/>
  <c r="G144" i="18"/>
  <c r="E144" i="18" a="1"/>
  <c r="I144" i="18"/>
  <c r="C144" i="18" a="1"/>
  <c r="H144" i="18"/>
  <c r="J144" i="18"/>
  <c r="B144" i="18" a="1"/>
  <c r="D144" i="18" a="1"/>
  <c r="F144" i="18"/>
  <c r="K144" i="18"/>
  <c r="H142" i="18"/>
  <c r="K142" i="18"/>
  <c r="D142" i="18" a="1"/>
  <c r="F142" i="18"/>
  <c r="B142" i="18" a="1"/>
  <c r="J142" i="18"/>
  <c r="C142" i="18" a="1"/>
  <c r="I142" i="18"/>
  <c r="E142" i="18" a="1"/>
  <c r="G142" i="18"/>
  <c r="K141" i="18"/>
  <c r="D141" i="18" a="1"/>
  <c r="E141" i="18" a="1"/>
  <c r="J141" i="18"/>
  <c r="H141" i="18"/>
  <c r="I141" i="18"/>
  <c r="B141" i="18" a="1"/>
  <c r="G141" i="18"/>
  <c r="F141" i="18"/>
  <c r="C141" i="18" a="1"/>
  <c r="H117" i="18"/>
  <c r="B117" i="18" a="1"/>
  <c r="J117" i="18"/>
  <c r="G117" i="18"/>
  <c r="D117" i="18" a="1"/>
  <c r="C117" i="18" a="1"/>
  <c r="F117" i="18"/>
  <c r="E117" i="18" a="1"/>
  <c r="I117" i="18"/>
  <c r="K117" i="18"/>
  <c r="H97" i="18"/>
  <c r="I97" i="18"/>
  <c r="B97" i="18" a="1"/>
  <c r="E97" i="18" a="1"/>
  <c r="G97" i="18"/>
  <c r="C97" i="18" a="1"/>
  <c r="D97" i="18" a="1"/>
  <c r="F97" i="18"/>
  <c r="J97" i="18"/>
  <c r="K97" i="18"/>
  <c r="K90" i="18"/>
  <c r="H90" i="18"/>
  <c r="B90" i="18" a="1"/>
  <c r="J90" i="18"/>
  <c r="F90" i="18"/>
  <c r="E90" i="18" a="1"/>
  <c r="D90" i="18" a="1"/>
  <c r="C90" i="18" a="1"/>
  <c r="I90" i="18"/>
  <c r="G90" i="18"/>
  <c r="H87" i="18"/>
  <c r="B87" i="18" a="1"/>
  <c r="E87" i="18" a="1"/>
  <c r="J87" i="18"/>
  <c r="D87" i="18" a="1"/>
  <c r="I87" i="18"/>
  <c r="F87" i="18"/>
  <c r="C87" i="18" a="1"/>
  <c r="G87" i="18"/>
  <c r="K87" i="18"/>
  <c r="K69" i="18"/>
  <c r="J69" i="18"/>
  <c r="B69" i="18" a="1"/>
  <c r="E69" i="18" a="1"/>
  <c r="D69" i="18" a="1"/>
  <c r="C69" i="18" a="1"/>
  <c r="F69" i="18"/>
  <c r="I69" i="18"/>
  <c r="G69" i="18"/>
  <c r="H69" i="18"/>
  <c r="H64" i="18"/>
  <c r="D64" i="18" a="1"/>
  <c r="C64" i="18" a="1"/>
  <c r="J64" i="18"/>
  <c r="F64" i="18"/>
  <c r="E64" i="18" a="1"/>
  <c r="G64" i="18"/>
  <c r="B64" i="18" a="1"/>
  <c r="I64" i="18"/>
  <c r="K64" i="18"/>
  <c r="J51" i="18"/>
  <c r="B51" i="18" a="1"/>
  <c r="E51" i="18" a="1"/>
  <c r="D51" i="18" a="1"/>
  <c r="F51" i="18"/>
  <c r="I51" i="18"/>
  <c r="C51" i="18" a="1"/>
  <c r="G51" i="18"/>
  <c r="H51" i="18"/>
  <c r="K51" i="18"/>
  <c r="H241" i="18"/>
  <c r="G241" i="18"/>
  <c r="F241" i="18"/>
  <c r="E241" i="18" a="1"/>
  <c r="J241" i="18"/>
  <c r="D241" i="18" a="1"/>
  <c r="C241" i="18" a="1"/>
  <c r="I241" i="18"/>
  <c r="B241" i="18" a="1"/>
  <c r="K241" i="18"/>
  <c r="K235" i="18"/>
  <c r="G235" i="18"/>
  <c r="D235" i="18" a="1"/>
  <c r="J235" i="18"/>
  <c r="F235" i="18"/>
  <c r="C235" i="18" a="1"/>
  <c r="I235" i="18"/>
  <c r="H235" i="18"/>
  <c r="E235" i="18" a="1"/>
  <c r="B235" i="18" a="1"/>
  <c r="I231" i="18"/>
  <c r="B231" i="18" a="1"/>
  <c r="E231" i="18" a="1"/>
  <c r="K231" i="18"/>
  <c r="F231" i="18"/>
  <c r="D231" i="18" a="1"/>
  <c r="C231" i="18" a="1"/>
  <c r="G231" i="18"/>
  <c r="J231" i="18"/>
  <c r="H231" i="18"/>
  <c r="K228" i="18"/>
  <c r="I228" i="18"/>
  <c r="J228" i="18"/>
  <c r="G228" i="18"/>
  <c r="F228" i="18"/>
  <c r="B228" i="18" a="1"/>
  <c r="D228" i="18" a="1"/>
  <c r="E228" i="18" a="1"/>
  <c r="C228" i="18" a="1"/>
  <c r="H228" i="18"/>
  <c r="H224" i="18"/>
  <c r="J224" i="18"/>
  <c r="C224" i="18" a="1"/>
  <c r="F224" i="18"/>
  <c r="D224" i="18" a="1"/>
  <c r="K224" i="18"/>
  <c r="B224" i="18" a="1"/>
  <c r="I224" i="18"/>
  <c r="G224" i="18"/>
  <c r="E224" i="18" a="1"/>
  <c r="K217" i="18"/>
  <c r="G217" i="18"/>
  <c r="F217" i="18"/>
  <c r="C217" i="18" a="1"/>
  <c r="B217" i="18" a="1"/>
  <c r="I217" i="18"/>
  <c r="J217" i="18"/>
  <c r="D217" i="18" a="1"/>
  <c r="E217" i="18" a="1"/>
  <c r="H217" i="18"/>
  <c r="K196" i="18"/>
  <c r="B196" i="18" a="1"/>
  <c r="I196" i="18"/>
  <c r="E196" i="18" a="1"/>
  <c r="D196" i="18" a="1"/>
  <c r="G196" i="18"/>
  <c r="C196" i="18" a="1"/>
  <c r="J196" i="18"/>
  <c r="F196" i="18"/>
  <c r="H196" i="18"/>
  <c r="H165" i="18"/>
  <c r="D165" i="18" a="1"/>
  <c r="G165" i="18"/>
  <c r="F165" i="18"/>
  <c r="E165" i="18" a="1"/>
  <c r="C165" i="18" a="1"/>
  <c r="J165" i="18"/>
  <c r="B165" i="18" a="1"/>
  <c r="I165" i="18"/>
  <c r="K165" i="18"/>
  <c r="K161" i="18"/>
  <c r="F161" i="18"/>
  <c r="E161" i="18" a="1"/>
  <c r="J161" i="18"/>
  <c r="I161" i="18"/>
  <c r="G161" i="18"/>
  <c r="C161" i="18" a="1"/>
  <c r="D161" i="18" a="1"/>
  <c r="B161" i="18" a="1"/>
  <c r="H161" i="18"/>
  <c r="K156" i="18"/>
  <c r="G156" i="18"/>
  <c r="F156" i="18"/>
  <c r="E156" i="18" a="1"/>
  <c r="J156" i="18"/>
  <c r="B156" i="18" a="1"/>
  <c r="I156" i="18"/>
  <c r="C156" i="18" a="1"/>
  <c r="D156" i="18" a="1"/>
  <c r="H156" i="18"/>
  <c r="H254" i="18"/>
  <c r="E254" i="18" a="1"/>
  <c r="B254" i="18" a="1"/>
  <c r="G254" i="18"/>
  <c r="J254" i="18"/>
  <c r="I254" i="18"/>
  <c r="F254" i="18"/>
  <c r="C254" i="18" a="1"/>
  <c r="D254" i="18" a="1"/>
  <c r="K254" i="18"/>
  <c r="K238" i="18"/>
  <c r="D238" i="18" a="1"/>
  <c r="B238" i="18" a="1"/>
  <c r="F238" i="18"/>
  <c r="E238" i="18" a="1"/>
  <c r="C238" i="18" a="1"/>
  <c r="G238" i="18"/>
  <c r="I238" i="18"/>
  <c r="J238" i="18"/>
  <c r="H238" i="18"/>
  <c r="K223" i="18"/>
  <c r="H223" i="18"/>
  <c r="G223" i="18"/>
  <c r="F223" i="18"/>
  <c r="B223" i="18" a="1"/>
  <c r="C223" i="18" a="1"/>
  <c r="J223" i="18"/>
  <c r="E223" i="18" a="1"/>
  <c r="I223" i="18"/>
  <c r="D223" i="18" a="1"/>
  <c r="D220" i="18" a="1"/>
  <c r="F220" i="18"/>
  <c r="I220" i="18"/>
  <c r="H220" i="18"/>
  <c r="B220" i="18" a="1"/>
  <c r="C220" i="18" a="1"/>
  <c r="J220" i="18"/>
  <c r="E220" i="18" a="1"/>
  <c r="K220" i="18"/>
  <c r="G220" i="18"/>
  <c r="K216" i="18"/>
  <c r="E216" i="18" a="1"/>
  <c r="B216" i="18" a="1"/>
  <c r="H216" i="18"/>
  <c r="F216" i="18"/>
  <c r="G216" i="18"/>
  <c r="D216" i="18" a="1"/>
  <c r="I216" i="18"/>
  <c r="J216" i="18"/>
  <c r="C216" i="18" a="1"/>
  <c r="H195" i="18"/>
  <c r="J195" i="18"/>
  <c r="F195" i="18"/>
  <c r="E195" i="18" a="1"/>
  <c r="I195" i="18"/>
  <c r="B195" i="18" a="1"/>
  <c r="G195" i="18"/>
  <c r="C195" i="18" a="1"/>
  <c r="D195" i="18" a="1"/>
  <c r="K195" i="18"/>
  <c r="C185" i="18" a="1"/>
  <c r="F185" i="18"/>
  <c r="B185" i="18" a="1"/>
  <c r="K185" i="18"/>
  <c r="E185" i="18" a="1"/>
  <c r="D185" i="18" a="1"/>
  <c r="G185" i="18"/>
  <c r="J185" i="18"/>
  <c r="I185" i="18"/>
  <c r="H185" i="18"/>
  <c r="K182" i="18"/>
  <c r="H182" i="18"/>
  <c r="F182" i="18"/>
  <c r="G182" i="18"/>
  <c r="D182" i="18" a="1"/>
  <c r="I182" i="18"/>
  <c r="J182" i="18"/>
  <c r="E182" i="18" a="1"/>
  <c r="B182" i="18" a="1"/>
  <c r="C182" i="18" a="1"/>
  <c r="K167" i="18"/>
  <c r="B167" i="18" a="1"/>
  <c r="J167" i="18"/>
  <c r="G167" i="18"/>
  <c r="E167" i="18" a="1"/>
  <c r="C167" i="18" a="1"/>
  <c r="H167" i="18"/>
  <c r="D167" i="18" a="1"/>
  <c r="F167" i="18"/>
  <c r="I167" i="18"/>
  <c r="K147" i="18"/>
  <c r="B147" i="18" a="1"/>
  <c r="E147" i="18" a="1"/>
  <c r="I147" i="18"/>
  <c r="F147" i="18"/>
  <c r="J147" i="18"/>
  <c r="D147" i="18" a="1"/>
  <c r="G147" i="18"/>
  <c r="C147" i="18" a="1"/>
  <c r="H147" i="18"/>
  <c r="K138" i="18"/>
  <c r="H138" i="18"/>
  <c r="G138" i="18"/>
  <c r="F138" i="18"/>
  <c r="D138" i="18" a="1"/>
  <c r="I138" i="18"/>
  <c r="C138" i="18" a="1"/>
  <c r="E138" i="18" a="1"/>
  <c r="B138" i="18" a="1"/>
  <c r="J138" i="18"/>
  <c r="I132" i="18"/>
  <c r="E132" i="18" a="1"/>
  <c r="D132" i="18" a="1"/>
  <c r="F132" i="18"/>
  <c r="C132" i="18" a="1"/>
  <c r="G132" i="18"/>
  <c r="B132" i="18" a="1"/>
  <c r="J132" i="18"/>
  <c r="K132" i="18"/>
  <c r="H132" i="18"/>
  <c r="H128" i="18"/>
  <c r="K128" i="18"/>
  <c r="J128" i="18"/>
  <c r="I128" i="18"/>
  <c r="E128" i="18" a="1"/>
  <c r="B128" i="18" a="1"/>
  <c r="F128" i="18"/>
  <c r="D128" i="18" a="1"/>
  <c r="C128" i="18" a="1"/>
  <c r="G128" i="18"/>
  <c r="F126" i="18"/>
  <c r="E126" i="18" a="1"/>
  <c r="J126" i="18"/>
  <c r="D126" i="18" a="1"/>
  <c r="G126" i="18"/>
  <c r="B126" i="18" a="1"/>
  <c r="C126" i="18" a="1"/>
  <c r="I126" i="18"/>
  <c r="H126" i="18"/>
  <c r="K126" i="18"/>
  <c r="H123" i="18"/>
  <c r="I123" i="18"/>
  <c r="D123" i="18" a="1"/>
  <c r="G123" i="18"/>
  <c r="C123" i="18" a="1"/>
  <c r="B123" i="18" a="1"/>
  <c r="F123" i="18"/>
  <c r="E123" i="18" a="1"/>
  <c r="J123" i="18"/>
  <c r="K123" i="18"/>
  <c r="I74" i="18"/>
  <c r="D74" i="18" a="1"/>
  <c r="B74" i="18" a="1"/>
  <c r="K74" i="18"/>
  <c r="H74" i="18"/>
  <c r="F74" i="18"/>
  <c r="G74" i="18"/>
  <c r="J74" i="18"/>
  <c r="E74" i="18" a="1"/>
  <c r="C74" i="18" a="1"/>
  <c r="E66" i="18" a="1"/>
  <c r="B66" i="18" a="1"/>
  <c r="C66" i="18" a="1"/>
  <c r="G66" i="18"/>
  <c r="K66" i="18"/>
  <c r="D66" i="18" a="1"/>
  <c r="F66" i="18"/>
  <c r="J66" i="18"/>
  <c r="I66" i="18"/>
  <c r="H66" i="18"/>
  <c r="K56" i="18"/>
  <c r="H56" i="18"/>
  <c r="F56" i="18"/>
  <c r="E56" i="18" a="1"/>
  <c r="D56" i="18" a="1"/>
  <c r="B56" i="18" a="1"/>
  <c r="G56" i="18"/>
  <c r="I56" i="18"/>
  <c r="J56" i="18"/>
  <c r="C56" i="18" a="1"/>
  <c r="H48" i="18"/>
  <c r="F48" i="18"/>
  <c r="G48" i="18"/>
  <c r="E48" i="18" a="1"/>
  <c r="D48" i="18" a="1"/>
  <c r="I48" i="18"/>
  <c r="J48" i="18"/>
  <c r="B48" i="18" a="1"/>
  <c r="C48" i="18" a="1"/>
  <c r="K48" i="18"/>
  <c r="H32" i="18"/>
  <c r="G32" i="18"/>
  <c r="F32" i="18"/>
  <c r="C32" i="18" a="1"/>
  <c r="J32" i="18"/>
  <c r="B32" i="18" a="1"/>
  <c r="I32" i="18"/>
  <c r="E32" i="18" a="1"/>
  <c r="D32" i="18" a="1"/>
  <c r="K32" i="18"/>
  <c r="K30" i="18"/>
  <c r="I30" i="18"/>
  <c r="D30" i="18" a="1"/>
  <c r="C30" i="18" a="1"/>
  <c r="E30" i="18" a="1"/>
  <c r="B30" i="18" a="1"/>
  <c r="J30" i="18"/>
  <c r="F30" i="18"/>
  <c r="G30" i="18"/>
  <c r="H30" i="18"/>
  <c r="K242" i="18"/>
  <c r="E242" i="18" a="1"/>
  <c r="G242" i="18"/>
  <c r="F242" i="18"/>
  <c r="D242" i="18" a="1"/>
  <c r="C242" i="18" a="1"/>
  <c r="B242" i="18" a="1"/>
  <c r="I242" i="18"/>
  <c r="J242" i="18"/>
  <c r="H242" i="18"/>
  <c r="H179" i="18"/>
  <c r="C179" i="18" a="1"/>
  <c r="B179" i="18" a="1"/>
  <c r="E179" i="18" a="1"/>
  <c r="F179" i="18"/>
  <c r="G179" i="18"/>
  <c r="J179" i="18"/>
  <c r="D179" i="18" a="1"/>
  <c r="I179" i="18"/>
  <c r="K179" i="18"/>
  <c r="K164" i="18"/>
  <c r="B164" i="18" a="1"/>
  <c r="I164" i="18"/>
  <c r="F164" i="18"/>
  <c r="G164" i="18"/>
  <c r="E164" i="18" a="1"/>
  <c r="C164" i="18" a="1"/>
  <c r="J164" i="18"/>
  <c r="D164" i="18" a="1"/>
  <c r="H164" i="18"/>
  <c r="K245" i="18"/>
  <c r="H245" i="18"/>
  <c r="G245" i="18"/>
  <c r="J245" i="18"/>
  <c r="I245" i="18"/>
  <c r="E245" i="18" a="1"/>
  <c r="B245" i="18" a="1"/>
  <c r="F245" i="18"/>
  <c r="D245" i="18" a="1"/>
  <c r="C245" i="18" a="1"/>
  <c r="H226" i="18"/>
  <c r="K226" i="18"/>
  <c r="D226" i="18" a="1"/>
  <c r="I226" i="18"/>
  <c r="G226" i="18"/>
  <c r="F226" i="18"/>
  <c r="B226" i="18" a="1"/>
  <c r="C226" i="18" a="1"/>
  <c r="J226" i="18"/>
  <c r="E226" i="18" a="1"/>
  <c r="H199" i="18"/>
  <c r="J199" i="18"/>
  <c r="D199" i="18" a="1"/>
  <c r="E199" i="18" a="1"/>
  <c r="F199" i="18"/>
  <c r="G199" i="18"/>
  <c r="C199" i="18" a="1"/>
  <c r="B199" i="18" a="1"/>
  <c r="I199" i="18"/>
  <c r="K199" i="18"/>
  <c r="I194" i="18"/>
  <c r="E194" i="18" a="1"/>
  <c r="C194" i="18" a="1"/>
  <c r="B194" i="18" a="1"/>
  <c r="K194" i="18"/>
  <c r="J194" i="18"/>
  <c r="F194" i="18"/>
  <c r="G194" i="18"/>
  <c r="D194" i="18" a="1"/>
  <c r="H194" i="18"/>
  <c r="H176" i="18"/>
  <c r="C176" i="18" a="1"/>
  <c r="I176" i="18"/>
  <c r="D176" i="18" a="1"/>
  <c r="G176" i="18"/>
  <c r="K176" i="18"/>
  <c r="B176" i="18" a="1"/>
  <c r="J176" i="18"/>
  <c r="E176" i="18" a="1"/>
  <c r="F176" i="18"/>
  <c r="K170" i="18"/>
  <c r="G170" i="18"/>
  <c r="B170" i="18" a="1"/>
  <c r="J170" i="18"/>
  <c r="F170" i="18"/>
  <c r="E170" i="18" a="1"/>
  <c r="C170" i="18" a="1"/>
  <c r="D170" i="18" a="1"/>
  <c r="I170" i="18"/>
  <c r="H170" i="18"/>
  <c r="K155" i="18"/>
  <c r="F155" i="18"/>
  <c r="D155" i="18" a="1"/>
  <c r="B155" i="18" a="1"/>
  <c r="E155" i="18" a="1"/>
  <c r="G155" i="18"/>
  <c r="J155" i="18"/>
  <c r="I155" i="18"/>
  <c r="C155" i="18" a="1"/>
  <c r="H155" i="18"/>
  <c r="K136" i="18"/>
  <c r="H136" i="18"/>
  <c r="C136" i="18" a="1"/>
  <c r="J136" i="18"/>
  <c r="I136" i="18"/>
  <c r="F136" i="18"/>
  <c r="E136" i="18" a="1"/>
  <c r="D136" i="18" a="1"/>
  <c r="G136" i="18"/>
  <c r="B136" i="18" a="1"/>
  <c r="K121" i="18"/>
  <c r="D121" i="18" a="1"/>
  <c r="F121" i="18"/>
  <c r="E121" i="18" a="1"/>
  <c r="C121" i="18" a="1"/>
  <c r="J121" i="18"/>
  <c r="B121" i="18" a="1"/>
  <c r="G121" i="18"/>
  <c r="I121" i="18"/>
  <c r="H121" i="18"/>
  <c r="E95" i="18" a="1"/>
  <c r="I95" i="18"/>
  <c r="F95" i="18"/>
  <c r="G95" i="18"/>
  <c r="D95" i="18" a="1"/>
  <c r="B95" i="18" a="1"/>
  <c r="J95" i="18"/>
  <c r="C95" i="18" a="1"/>
  <c r="K95" i="18"/>
  <c r="H95" i="18"/>
  <c r="K88" i="18"/>
  <c r="G88" i="18"/>
  <c r="I88" i="18"/>
  <c r="C88" i="18" a="1"/>
  <c r="B88" i="18" a="1"/>
  <c r="J88" i="18"/>
  <c r="D88" i="18" a="1"/>
  <c r="E88" i="18" a="1"/>
  <c r="F88" i="18"/>
  <c r="H88" i="18"/>
  <c r="K61" i="18"/>
  <c r="D61" i="18" a="1"/>
  <c r="G61" i="18"/>
  <c r="F61" i="18"/>
  <c r="C61" i="18" a="1"/>
  <c r="J61" i="18"/>
  <c r="E61" i="18" a="1"/>
  <c r="B61" i="18" a="1"/>
  <c r="I61" i="18"/>
  <c r="H61" i="18"/>
  <c r="K42" i="18"/>
  <c r="J42" i="18"/>
  <c r="F42" i="18"/>
  <c r="D42" i="18" a="1"/>
  <c r="E42" i="18" a="1"/>
  <c r="C42" i="18" a="1"/>
  <c r="B42" i="18" a="1"/>
  <c r="I42" i="18"/>
  <c r="G42" i="18"/>
  <c r="H42" i="18"/>
  <c r="K19" i="18"/>
  <c r="E19" i="18" a="1"/>
  <c r="D19" i="18" a="1"/>
  <c r="C19" i="18" a="1"/>
  <c r="I19" i="18"/>
  <c r="B19" i="18" a="1"/>
  <c r="J19" i="18"/>
  <c r="F19" i="18"/>
  <c r="G19" i="18"/>
  <c r="H19" i="18"/>
  <c r="H18" i="18"/>
  <c r="I18" i="18"/>
  <c r="F18" i="18"/>
  <c r="D18" i="18" a="1"/>
  <c r="E18" i="18" a="1"/>
  <c r="C18" i="18" a="1"/>
  <c r="B18" i="18" a="1"/>
  <c r="J18" i="18"/>
  <c r="G18" i="18"/>
  <c r="K18" i="18"/>
  <c r="G248" i="18"/>
  <c r="B248" i="18" a="1"/>
  <c r="J248" i="18"/>
  <c r="D248" i="18" a="1"/>
  <c r="H248" i="18"/>
  <c r="E248" i="18" a="1"/>
  <c r="C248" i="18" a="1"/>
  <c r="K248" i="18"/>
  <c r="F248" i="18"/>
  <c r="I248" i="18"/>
  <c r="K244" i="18"/>
  <c r="G244" i="18"/>
  <c r="E244" i="18" a="1"/>
  <c r="B244" i="18" a="1"/>
  <c r="I244" i="18"/>
  <c r="D244" i="18" a="1"/>
  <c r="F244" i="18"/>
  <c r="C244" i="18" a="1"/>
  <c r="J244" i="18"/>
  <c r="H244" i="18"/>
  <c r="H214" i="18"/>
  <c r="J214" i="18"/>
  <c r="B214" i="18" a="1"/>
  <c r="F214" i="18"/>
  <c r="E214" i="18" a="1"/>
  <c r="D214" i="18" a="1"/>
  <c r="K214" i="18"/>
  <c r="I214" i="18"/>
  <c r="C214" i="18" a="1"/>
  <c r="G214" i="18"/>
  <c r="K209" i="18"/>
  <c r="I209" i="18"/>
  <c r="E209" i="18" a="1"/>
  <c r="C209" i="18" a="1"/>
  <c r="J209" i="18"/>
  <c r="G209" i="18"/>
  <c r="H209" i="18"/>
  <c r="F209" i="18"/>
  <c r="D209" i="18" a="1"/>
  <c r="B209" i="18" a="1"/>
  <c r="H205" i="18"/>
  <c r="J205" i="18"/>
  <c r="G205" i="18"/>
  <c r="F205" i="18"/>
  <c r="E205" i="18" a="1"/>
  <c r="B205" i="18" a="1"/>
  <c r="I205" i="18"/>
  <c r="C205" i="18" a="1"/>
  <c r="D205" i="18" a="1"/>
  <c r="K205" i="18"/>
  <c r="K184" i="18"/>
  <c r="H184" i="18"/>
  <c r="B184" i="18" a="1"/>
  <c r="D184" i="18" a="1"/>
  <c r="C184" i="18" a="1"/>
  <c r="F184" i="18"/>
  <c r="J184" i="18"/>
  <c r="G184" i="18"/>
  <c r="I184" i="18"/>
  <c r="E184" i="18" a="1"/>
  <c r="K175" i="18"/>
  <c r="E175" i="18" a="1"/>
  <c r="C175" i="18" a="1"/>
  <c r="F175" i="18"/>
  <c r="J175" i="18"/>
  <c r="B175" i="18" a="1"/>
  <c r="D175" i="18" a="1"/>
  <c r="I175" i="18"/>
  <c r="G175" i="18"/>
  <c r="H175" i="18"/>
  <c r="K159" i="18"/>
  <c r="F159" i="18"/>
  <c r="G159" i="18"/>
  <c r="D159" i="18" a="1"/>
  <c r="B159" i="18" a="1"/>
  <c r="J159" i="18"/>
  <c r="C159" i="18" a="1"/>
  <c r="I159" i="18"/>
  <c r="E159" i="18" a="1"/>
  <c r="H159" i="18"/>
  <c r="K116" i="18"/>
  <c r="I116" i="18"/>
  <c r="J116" i="18"/>
  <c r="C116" i="18" a="1"/>
  <c r="B116" i="18" a="1"/>
  <c r="G116" i="18"/>
  <c r="E116" i="18" a="1"/>
  <c r="F116" i="18"/>
  <c r="D116" i="18" a="1"/>
  <c r="H116" i="18"/>
  <c r="K99" i="18"/>
  <c r="B99" i="18" a="1"/>
  <c r="J99" i="18"/>
  <c r="E99" i="18" a="1"/>
  <c r="I99" i="18"/>
  <c r="D99" i="18" a="1"/>
  <c r="G99" i="18"/>
  <c r="F99" i="18"/>
  <c r="C99" i="18" a="1"/>
  <c r="H99" i="18"/>
  <c r="H81" i="18"/>
  <c r="J81" i="18"/>
  <c r="D81" i="18" a="1"/>
  <c r="E81" i="18" a="1"/>
  <c r="B81" i="18" a="1"/>
  <c r="C81" i="18" a="1"/>
  <c r="I81" i="18"/>
  <c r="G81" i="18"/>
  <c r="F81" i="18"/>
  <c r="K81" i="18"/>
  <c r="K75" i="18"/>
  <c r="H75" i="18"/>
  <c r="J75" i="18"/>
  <c r="B75" i="18" a="1"/>
  <c r="E75" i="18" a="1"/>
  <c r="D75" i="18" a="1"/>
  <c r="I75" i="18"/>
  <c r="F75" i="18"/>
  <c r="C75" i="18" a="1"/>
  <c r="G75" i="18"/>
  <c r="D54" i="18" a="1"/>
  <c r="E54" i="18" a="1"/>
  <c r="C54" i="18" a="1"/>
  <c r="H54" i="18"/>
  <c r="J54" i="18"/>
  <c r="F54" i="18"/>
  <c r="G54" i="18"/>
  <c r="B54" i="18" a="1"/>
  <c r="I54" i="18"/>
  <c r="K54" i="18"/>
  <c r="J45" i="18"/>
  <c r="F45" i="18"/>
  <c r="E45" i="18" a="1"/>
  <c r="C45" i="18" a="1"/>
  <c r="K45" i="18"/>
  <c r="B45" i="18" a="1"/>
  <c r="G45" i="18"/>
  <c r="D45" i="18" a="1"/>
  <c r="I45" i="18"/>
  <c r="H45" i="18"/>
  <c r="B9" i="18" a="1"/>
  <c r="J9" i="18"/>
  <c r="E9" i="18" a="1"/>
  <c r="D9" i="18" a="1"/>
  <c r="C9" i="18" a="1"/>
  <c r="I9" i="18"/>
  <c r="D247" i="18" a="1"/>
  <c r="I247" i="18"/>
  <c r="E247" i="18" a="1"/>
  <c r="B247" i="18" a="1"/>
  <c r="C247" i="18" a="1"/>
  <c r="G247" i="18"/>
  <c r="F247" i="18"/>
  <c r="J247" i="18"/>
  <c r="K247" i="18"/>
  <c r="H247" i="18"/>
  <c r="H240" i="18"/>
  <c r="I240" i="18"/>
  <c r="G240" i="18"/>
  <c r="F240" i="18"/>
  <c r="E240" i="18" a="1"/>
  <c r="D240" i="18" a="1"/>
  <c r="J240" i="18"/>
  <c r="B240" i="18" a="1"/>
  <c r="C240" i="18" a="1"/>
  <c r="K240" i="18"/>
  <c r="H230" i="18"/>
  <c r="J230" i="18"/>
  <c r="G230" i="18"/>
  <c r="E230" i="18" a="1"/>
  <c r="B230" i="18" a="1"/>
  <c r="I230" i="18"/>
  <c r="F230" i="18"/>
  <c r="C230" i="18" a="1"/>
  <c r="D230" i="18" a="1"/>
  <c r="K230" i="18"/>
  <c r="K187" i="18"/>
  <c r="C187" i="18" a="1"/>
  <c r="F187" i="18"/>
  <c r="B187" i="18" a="1"/>
  <c r="J187" i="18"/>
  <c r="I187" i="18"/>
  <c r="G187" i="18"/>
  <c r="D187" i="18" a="1"/>
  <c r="E187" i="18" a="1"/>
  <c r="H187" i="18"/>
  <c r="H181" i="18"/>
  <c r="G181" i="18"/>
  <c r="E181" i="18" a="1"/>
  <c r="B181" i="18" a="1"/>
  <c r="D181" i="18" a="1"/>
  <c r="C181" i="18" a="1"/>
  <c r="I181" i="18"/>
  <c r="F181" i="18"/>
  <c r="J181" i="18"/>
  <c r="K181" i="18"/>
  <c r="K140" i="18"/>
  <c r="H140" i="18"/>
  <c r="I140" i="18"/>
  <c r="F140" i="18"/>
  <c r="G140" i="18"/>
  <c r="E140" i="18" a="1"/>
  <c r="D140" i="18" a="1"/>
  <c r="C140" i="18" a="1"/>
  <c r="B140" i="18" a="1"/>
  <c r="J140" i="18"/>
  <c r="K104" i="18"/>
  <c r="C104" i="18" a="1"/>
  <c r="J104" i="18"/>
  <c r="B104" i="18" a="1"/>
  <c r="I104" i="18"/>
  <c r="F104" i="18"/>
  <c r="G104" i="18"/>
  <c r="D104" i="18" a="1"/>
  <c r="E104" i="18" a="1"/>
  <c r="H104" i="18"/>
  <c r="H93" i="18"/>
  <c r="I93" i="18"/>
  <c r="F93" i="18"/>
  <c r="G93" i="18"/>
  <c r="J93" i="18"/>
  <c r="D93" i="18" a="1"/>
  <c r="E93" i="18" a="1"/>
  <c r="C93" i="18" a="1"/>
  <c r="B93" i="18" a="1"/>
  <c r="K93" i="18"/>
  <c r="H84" i="18"/>
  <c r="J84" i="18"/>
  <c r="D84" i="18" a="1"/>
  <c r="E84" i="18" a="1"/>
  <c r="I84" i="18"/>
  <c r="G84" i="18"/>
  <c r="F84" i="18"/>
  <c r="B84" i="18" a="1"/>
  <c r="C84" i="18" a="1"/>
  <c r="K84" i="18"/>
  <c r="D72" i="18" a="1"/>
  <c r="G72" i="18"/>
  <c r="J72" i="18"/>
  <c r="B72" i="18" a="1"/>
  <c r="I72" i="18"/>
  <c r="H72" i="18"/>
  <c r="E72" i="18" a="1"/>
  <c r="F72" i="18"/>
  <c r="C72" i="18" a="1"/>
  <c r="K72" i="18"/>
  <c r="H50" i="18"/>
  <c r="D50" i="18" a="1"/>
  <c r="J50" i="18"/>
  <c r="B50" i="18" a="1"/>
  <c r="E50" i="18" a="1"/>
  <c r="I50" i="18"/>
  <c r="K50" i="18"/>
  <c r="F50" i="18"/>
  <c r="C50" i="18" a="1"/>
  <c r="G50" i="18"/>
  <c r="H47" i="18"/>
  <c r="G47" i="18"/>
  <c r="E47" i="18" a="1"/>
  <c r="F47" i="18"/>
  <c r="I47" i="18"/>
  <c r="D47" i="18" a="1"/>
  <c r="B47" i="18" a="1"/>
  <c r="J47" i="18"/>
  <c r="C47" i="18" a="1"/>
  <c r="K47" i="18"/>
  <c r="K41" i="18"/>
  <c r="H41" i="18"/>
  <c r="E41" i="18" a="1"/>
  <c r="F41" i="18"/>
  <c r="B41" i="18" a="1"/>
  <c r="I41" i="18"/>
  <c r="G41" i="18"/>
  <c r="C41" i="18" a="1"/>
  <c r="D41" i="18" a="1"/>
  <c r="J41" i="18"/>
  <c r="K33" i="18"/>
  <c r="I33" i="18"/>
  <c r="B33" i="18" a="1"/>
  <c r="E33" i="18" a="1"/>
  <c r="J33" i="18"/>
  <c r="G33" i="18"/>
  <c r="F33" i="18"/>
  <c r="D33" i="18" a="1"/>
  <c r="C33" i="18" a="1"/>
  <c r="H33" i="18"/>
  <c r="E14" i="18" a="1"/>
  <c r="C14" i="18" a="1"/>
  <c r="D14" i="18" a="1"/>
  <c r="B14" i="18" a="1"/>
  <c r="J14" i="18"/>
  <c r="I14" i="18"/>
  <c r="C253" i="18" a="1"/>
  <c r="B253" i="18" a="1"/>
  <c r="J253" i="18"/>
  <c r="I253" i="18"/>
  <c r="D253" i="18" a="1"/>
  <c r="E253" i="18" a="1"/>
  <c r="G253" i="18"/>
  <c r="F253" i="18"/>
  <c r="K253" i="18"/>
  <c r="H253" i="18"/>
  <c r="H208" i="18"/>
  <c r="E208" i="18" a="1"/>
  <c r="I208" i="18"/>
  <c r="D208" i="18" a="1"/>
  <c r="J208" i="18"/>
  <c r="F208" i="18"/>
  <c r="B208" i="18" a="1"/>
  <c r="G208" i="18"/>
  <c r="C208" i="18" a="1"/>
  <c r="K208" i="18"/>
  <c r="H193" i="18"/>
  <c r="D193" i="18" a="1"/>
  <c r="B193" i="18" a="1"/>
  <c r="E193" i="18" a="1"/>
  <c r="C193" i="18" a="1"/>
  <c r="G193" i="18"/>
  <c r="F193" i="18"/>
  <c r="J193" i="18"/>
  <c r="I193" i="18"/>
  <c r="K193" i="18"/>
  <c r="K252" i="18"/>
  <c r="C252" i="18" a="1"/>
  <c r="D252" i="18" a="1"/>
  <c r="J252" i="18"/>
  <c r="B252" i="18" a="1"/>
  <c r="E252" i="18" a="1"/>
  <c r="I252" i="18"/>
  <c r="G252" i="18"/>
  <c r="F252" i="18"/>
  <c r="H252" i="18"/>
  <c r="K249" i="18"/>
  <c r="F249" i="18"/>
  <c r="E249" i="18" a="1"/>
  <c r="D249" i="18" a="1"/>
  <c r="C249" i="18" a="1"/>
  <c r="G249" i="18"/>
  <c r="I249" i="18"/>
  <c r="B249" i="18" a="1"/>
  <c r="J249" i="18"/>
  <c r="H249" i="18"/>
  <c r="I233" i="18"/>
  <c r="J233" i="18"/>
  <c r="C233" i="18" a="1"/>
  <c r="D233" i="18" a="1"/>
  <c r="B233" i="18" a="1"/>
  <c r="E233" i="18" a="1"/>
  <c r="G233" i="18"/>
  <c r="F233" i="18"/>
  <c r="H233" i="18"/>
  <c r="K233" i="18"/>
  <c r="G211" i="18"/>
  <c r="F211" i="18"/>
  <c r="B211" i="18" a="1"/>
  <c r="K211" i="18"/>
  <c r="C211" i="18" a="1"/>
  <c r="I211" i="18"/>
  <c r="D211" i="18" a="1"/>
  <c r="E211" i="18" a="1"/>
  <c r="J211" i="18"/>
  <c r="H211" i="18"/>
  <c r="K172" i="18"/>
  <c r="E172" i="18" a="1"/>
  <c r="C172" i="18" a="1"/>
  <c r="G172" i="18"/>
  <c r="B172" i="18" a="1"/>
  <c r="J172" i="18"/>
  <c r="D172" i="18" a="1"/>
  <c r="I172" i="18"/>
  <c r="F172" i="18"/>
  <c r="H172" i="18"/>
  <c r="K168" i="18"/>
  <c r="H168" i="18"/>
  <c r="D168" i="18" a="1"/>
  <c r="E168" i="18" a="1"/>
  <c r="J168" i="18"/>
  <c r="G168" i="18"/>
  <c r="B168" i="18" a="1"/>
  <c r="I168" i="18"/>
  <c r="C168" i="18" a="1"/>
  <c r="F168" i="18"/>
  <c r="C150" i="18" a="1"/>
  <c r="F150" i="18"/>
  <c r="I150" i="18"/>
  <c r="B150" i="18" a="1"/>
  <c r="H150" i="18"/>
  <c r="G150" i="18"/>
  <c r="J150" i="18"/>
  <c r="E150" i="18" a="1"/>
  <c r="D150" i="18" a="1"/>
  <c r="K150" i="18"/>
  <c r="H143" i="18"/>
  <c r="K143" i="18"/>
  <c r="G143" i="18"/>
  <c r="I143" i="18"/>
  <c r="F143" i="18"/>
  <c r="B143" i="18" a="1"/>
  <c r="D143" i="18" a="1"/>
  <c r="J143" i="18"/>
  <c r="C143" i="18" a="1"/>
  <c r="E143" i="18" a="1"/>
  <c r="K133" i="18"/>
  <c r="D133" i="18" a="1"/>
  <c r="C133" i="18" a="1"/>
  <c r="B133" i="18" a="1"/>
  <c r="I133" i="18"/>
  <c r="F133" i="18"/>
  <c r="E133" i="18" a="1"/>
  <c r="G133" i="18"/>
  <c r="J133" i="18"/>
  <c r="H133" i="18"/>
  <c r="I130" i="18"/>
  <c r="B130" i="18" a="1"/>
  <c r="G130" i="18"/>
  <c r="F130" i="18"/>
  <c r="E130" i="18" a="1"/>
  <c r="J130" i="18"/>
  <c r="D130" i="18" a="1"/>
  <c r="C130" i="18" a="1"/>
  <c r="K130" i="18"/>
  <c r="H130" i="18"/>
  <c r="H115" i="18"/>
  <c r="K115" i="18"/>
  <c r="B115" i="18" a="1"/>
  <c r="I115" i="18"/>
  <c r="C115" i="18" a="1"/>
  <c r="J115" i="18"/>
  <c r="E115" i="18" a="1"/>
  <c r="D115" i="18" a="1"/>
  <c r="G115" i="18"/>
  <c r="F115" i="18"/>
  <c r="H101" i="18"/>
  <c r="K101" i="18"/>
  <c r="I101" i="18"/>
  <c r="B101" i="18" a="1"/>
  <c r="F101" i="18"/>
  <c r="E101" i="18" a="1"/>
  <c r="D101" i="18" a="1"/>
  <c r="C101" i="18" a="1"/>
  <c r="J101" i="18"/>
  <c r="G101" i="18"/>
  <c r="H68" i="18"/>
  <c r="K68" i="18"/>
  <c r="G68" i="18"/>
  <c r="D68" i="18" a="1"/>
  <c r="J68" i="18"/>
  <c r="E68" i="18" a="1"/>
  <c r="C68" i="18" a="1"/>
  <c r="B68" i="18" a="1"/>
  <c r="F68" i="18"/>
  <c r="I68" i="18"/>
  <c r="G62" i="18"/>
  <c r="E62" i="18" a="1"/>
  <c r="I62" i="18"/>
  <c r="F62" i="18"/>
  <c r="D62" i="18" a="1"/>
  <c r="J62" i="18"/>
  <c r="B62" i="18" a="1"/>
  <c r="C62" i="18" a="1"/>
  <c r="K62" i="18"/>
  <c r="H62" i="18"/>
  <c r="H35" i="18"/>
  <c r="C35" i="18" a="1"/>
  <c r="J35" i="18"/>
  <c r="G35" i="18"/>
  <c r="B35" i="18" a="1"/>
  <c r="D35" i="18" a="1"/>
  <c r="E35" i="18" a="1"/>
  <c r="I35" i="18"/>
  <c r="F35" i="18"/>
  <c r="K35" i="18"/>
  <c r="D26" i="18" a="1"/>
  <c r="F26" i="18"/>
  <c r="C26" i="18" a="1"/>
  <c r="K26" i="18"/>
  <c r="G26" i="18"/>
  <c r="J26" i="18"/>
  <c r="E26" i="18" a="1"/>
  <c r="H26" i="18"/>
  <c r="I26" i="18"/>
  <c r="B26" i="18" a="1"/>
  <c r="K198" i="18"/>
  <c r="B198" i="18" a="1"/>
  <c r="C198" i="18" a="1"/>
  <c r="F198" i="18"/>
  <c r="I198" i="18"/>
  <c r="D198" i="18" a="1"/>
  <c r="G198" i="18"/>
  <c r="J198" i="18"/>
  <c r="E198" i="18" a="1"/>
  <c r="H198" i="18"/>
  <c r="F137" i="18"/>
  <c r="C137" i="18" a="1"/>
  <c r="K137" i="18"/>
  <c r="D137" i="18" a="1"/>
  <c r="B137" i="18" a="1"/>
  <c r="G137" i="18"/>
  <c r="J137" i="18"/>
  <c r="I137" i="18"/>
  <c r="E137" i="18" a="1"/>
  <c r="H137" i="18"/>
  <c r="K112" i="18"/>
  <c r="H112" i="18"/>
  <c r="J112" i="18"/>
  <c r="D112" i="18" a="1"/>
  <c r="C112" i="18" a="1"/>
  <c r="F112" i="18"/>
  <c r="B112" i="18" a="1"/>
  <c r="I112" i="18"/>
  <c r="E112" i="18" a="1"/>
  <c r="G112" i="18"/>
  <c r="N229" i="19"/>
  <c r="F229" i="19"/>
  <c r="BX229" i="19"/>
  <c r="CI229" i="19" s="1"/>
  <c r="I229" i="19"/>
  <c r="G229" i="19"/>
  <c r="P229" i="19"/>
  <c r="L229" i="19"/>
  <c r="CP229" i="19"/>
  <c r="CO229" i="19"/>
  <c r="BA229" i="60"/>
  <c r="BZ229" i="19"/>
  <c r="CB229" i="19"/>
  <c r="CA229" i="19"/>
  <c r="C229" i="19" a="1"/>
  <c r="CE229" i="19"/>
  <c r="B229" i="19" a="1"/>
  <c r="D229" i="19" a="1"/>
  <c r="CJ229" i="19"/>
  <c r="CD229" i="19" a="1"/>
  <c r="BY229" i="19"/>
  <c r="BV229" i="19"/>
  <c r="BW229" i="19"/>
  <c r="E229" i="19" a="1"/>
  <c r="N104" i="19"/>
  <c r="F104" i="19"/>
  <c r="BX104" i="19"/>
  <c r="CI104" i="19" s="1"/>
  <c r="I104" i="19"/>
  <c r="L104" i="19"/>
  <c r="P104" i="19"/>
  <c r="G104" i="19"/>
  <c r="CP104" i="19"/>
  <c r="CO104" i="19"/>
  <c r="C104" i="19" a="1"/>
  <c r="BY104" i="19"/>
  <c r="E104" i="19" a="1"/>
  <c r="BV104" i="19"/>
  <c r="CA104" i="19"/>
  <c r="B104" i="19" a="1"/>
  <c r="CJ104" i="19"/>
  <c r="D104" i="19" a="1"/>
  <c r="CD104" i="19" a="1"/>
  <c r="CE104" i="19"/>
  <c r="CB104" i="19"/>
  <c r="BA104" i="60"/>
  <c r="BW104" i="19"/>
  <c r="BZ104" i="19"/>
  <c r="F17" i="19"/>
  <c r="N17" i="19"/>
  <c r="CP17" i="19"/>
  <c r="L17" i="19"/>
  <c r="I17" i="19"/>
  <c r="P17" i="19"/>
  <c r="G17" i="19"/>
  <c r="CO17" i="19"/>
  <c r="BX17" i="19"/>
  <c r="CI17" i="19" s="1"/>
  <c r="E17" i="19" a="1"/>
  <c r="BY17" i="19"/>
  <c r="B17" i="19" a="1"/>
  <c r="D17" i="19" a="1"/>
  <c r="CD17" i="19" a="1"/>
  <c r="CB17" i="19"/>
  <c r="C17" i="19" a="1"/>
  <c r="CA17" i="19"/>
  <c r="BV17" i="19"/>
  <c r="CE17" i="19"/>
  <c r="CJ17" i="19"/>
  <c r="BA17" i="60"/>
  <c r="BW17" i="19"/>
  <c r="BZ17" i="19"/>
  <c r="N182" i="19"/>
  <c r="F182" i="19"/>
  <c r="BA182" i="60"/>
  <c r="G182" i="19"/>
  <c r="L182" i="19"/>
  <c r="P182" i="19"/>
  <c r="I182" i="19"/>
  <c r="CO182" i="19"/>
  <c r="BW182" i="19"/>
  <c r="BX182" i="19"/>
  <c r="CI182" i="19" s="1"/>
  <c r="BV182" i="19"/>
  <c r="CJ182" i="19"/>
  <c r="B182" i="19" a="1"/>
  <c r="D182" i="19" a="1"/>
  <c r="E182" i="19" a="1"/>
  <c r="CE182" i="19"/>
  <c r="BY182" i="19"/>
  <c r="C182" i="19" a="1"/>
  <c r="CD182" i="19" a="1"/>
  <c r="CA182" i="19"/>
  <c r="CB182" i="19"/>
  <c r="CP182" i="19"/>
  <c r="BZ182" i="19"/>
  <c r="L15" i="19"/>
  <c r="CO15" i="19"/>
  <c r="BW15" i="19"/>
  <c r="BX15" i="19"/>
  <c r="CI15" i="19" s="1"/>
  <c r="BV15" i="19"/>
  <c r="C15" i="19" a="1"/>
  <c r="CJ15" i="19"/>
  <c r="CA15" i="19"/>
  <c r="CB15" i="19"/>
  <c r="E15" i="19" a="1"/>
  <c r="D15" i="19" a="1"/>
  <c r="CD15" i="19" a="1"/>
  <c r="B15" i="19" a="1"/>
  <c r="BA15" i="60"/>
  <c r="F31" i="19"/>
  <c r="N31" i="19"/>
  <c r="I31" i="19"/>
  <c r="P31" i="19"/>
  <c r="G31" i="19"/>
  <c r="L31" i="19"/>
  <c r="CO31" i="19"/>
  <c r="BX31" i="19"/>
  <c r="CI31" i="19" s="1"/>
  <c r="BA31" i="60"/>
  <c r="CE31" i="19"/>
  <c r="BZ31" i="19"/>
  <c r="CD31" i="19" a="1"/>
  <c r="C31" i="19" a="1"/>
  <c r="CA31" i="19"/>
  <c r="CJ31" i="19"/>
  <c r="D31" i="19" a="1"/>
  <c r="BY31" i="19"/>
  <c r="BV31" i="19"/>
  <c r="CB31" i="19"/>
  <c r="E31" i="19" a="1"/>
  <c r="B31" i="19" a="1"/>
  <c r="CP31" i="19"/>
  <c r="BW31" i="19"/>
  <c r="F124" i="19"/>
  <c r="N124" i="19"/>
  <c r="CP124" i="19"/>
  <c r="P124" i="19"/>
  <c r="G124" i="19"/>
  <c r="I124" i="19"/>
  <c r="L124" i="19"/>
  <c r="BW124" i="19"/>
  <c r="E119" i="18" a="1"/>
  <c r="D119" i="18" a="1"/>
  <c r="B119" i="18" a="1"/>
  <c r="F119" i="18"/>
  <c r="C119" i="18" a="1"/>
  <c r="H119" i="18"/>
  <c r="K119" i="18"/>
  <c r="H79" i="18"/>
  <c r="B79" i="18" a="1"/>
  <c r="E79" i="18" a="1"/>
  <c r="G79" i="18"/>
  <c r="F79" i="18"/>
  <c r="I79" i="18"/>
  <c r="J79" i="18"/>
  <c r="C79" i="18" a="1"/>
  <c r="D79" i="18" a="1"/>
  <c r="K79" i="18"/>
  <c r="K243" i="18"/>
  <c r="F243" i="18"/>
  <c r="I243" i="18"/>
  <c r="B243" i="18" a="1"/>
  <c r="H243" i="18"/>
  <c r="G243" i="18"/>
  <c r="D243" i="18" a="1"/>
  <c r="C243" i="18" a="1"/>
  <c r="E243" i="18" a="1"/>
  <c r="J243" i="18"/>
  <c r="H146" i="18"/>
  <c r="G146" i="18"/>
  <c r="E146" i="18" a="1"/>
  <c r="B146" i="18" a="1"/>
  <c r="D146" i="18" a="1"/>
  <c r="F146" i="18"/>
  <c r="J146" i="18"/>
  <c r="I146" i="18"/>
  <c r="C146" i="18" a="1"/>
  <c r="K146" i="18"/>
  <c r="K131" i="18"/>
  <c r="D131" i="18" a="1"/>
  <c r="B131" i="18" a="1"/>
  <c r="J131" i="18"/>
  <c r="F131" i="18"/>
  <c r="C131" i="18" a="1"/>
  <c r="E131" i="18" a="1"/>
  <c r="I131" i="18"/>
  <c r="G131" i="18"/>
  <c r="H131" i="18"/>
  <c r="K29" i="18"/>
  <c r="H29" i="18"/>
  <c r="I29" i="18"/>
  <c r="J29" i="18"/>
  <c r="F29" i="18"/>
  <c r="E29" i="18" a="1"/>
  <c r="C29" i="18" a="1"/>
  <c r="D29" i="18" a="1"/>
  <c r="B29" i="18" a="1"/>
  <c r="G29" i="18"/>
  <c r="K20" i="18"/>
  <c r="H20" i="18"/>
  <c r="I20" i="18"/>
  <c r="E20" i="18" a="1"/>
  <c r="G20" i="18"/>
  <c r="F20" i="18"/>
  <c r="D20" i="18" a="1"/>
  <c r="J20" i="18"/>
  <c r="B20" i="18" a="1"/>
  <c r="C20" i="18" a="1"/>
  <c r="H191" i="18"/>
  <c r="K191" i="18"/>
  <c r="E191" i="18" a="1"/>
  <c r="D191" i="18" a="1"/>
  <c r="I191" i="18"/>
  <c r="C191" i="18" a="1"/>
  <c r="B191" i="18" a="1"/>
  <c r="J191" i="18"/>
  <c r="G191" i="18"/>
  <c r="F191" i="18"/>
  <c r="G177" i="18"/>
  <c r="E177" i="18" a="1"/>
  <c r="D177" i="18" a="1"/>
  <c r="F177" i="18"/>
  <c r="C177" i="18" a="1"/>
  <c r="J177" i="18"/>
  <c r="B177" i="18" a="1"/>
  <c r="I177" i="18"/>
  <c r="H177" i="18"/>
  <c r="K177" i="18"/>
  <c r="H158" i="18"/>
  <c r="K158" i="18"/>
  <c r="G158" i="18"/>
  <c r="C158" i="18" a="1"/>
  <c r="J158" i="18"/>
  <c r="D158" i="18" a="1"/>
  <c r="F158" i="18"/>
  <c r="B158" i="18" a="1"/>
  <c r="I158" i="18"/>
  <c r="E158" i="18" a="1"/>
  <c r="K129" i="18"/>
  <c r="G129" i="18"/>
  <c r="J129" i="18"/>
  <c r="I129" i="18"/>
  <c r="C129" i="18" a="1"/>
  <c r="B129" i="18" a="1"/>
  <c r="D129" i="18" a="1"/>
  <c r="E129" i="18" a="1"/>
  <c r="F129" i="18"/>
  <c r="H129" i="18"/>
  <c r="H28" i="18"/>
  <c r="K28" i="18"/>
  <c r="I28" i="18"/>
  <c r="C28" i="18" a="1"/>
  <c r="G28" i="18"/>
  <c r="F28" i="18"/>
  <c r="E28" i="18" a="1"/>
  <c r="D28" i="18" a="1"/>
  <c r="B28" i="18" a="1"/>
  <c r="J28" i="18"/>
  <c r="N154" i="19"/>
  <c r="F154" i="19"/>
  <c r="CP154" i="19"/>
  <c r="G154" i="19"/>
  <c r="L154" i="19"/>
  <c r="I154" i="19"/>
  <c r="P154" i="19"/>
  <c r="CO154" i="19"/>
  <c r="BW154" i="19"/>
  <c r="BA154" i="60"/>
  <c r="CE154" i="19"/>
  <c r="E154" i="19" a="1"/>
  <c r="CJ154" i="19"/>
  <c r="CD154" i="19" a="1"/>
  <c r="CB154" i="19"/>
  <c r="BZ154" i="19"/>
  <c r="BV154" i="19"/>
  <c r="D154" i="19" a="1"/>
  <c r="B154" i="19" a="1"/>
  <c r="J154" i="19" s="1"/>
  <c r="M154" i="19" s="1"/>
  <c r="CA154" i="19"/>
  <c r="BY154" i="19"/>
  <c r="C154" i="19" a="1"/>
  <c r="BX154" i="19"/>
  <c r="CI154" i="19" s="1"/>
  <c r="L9" i="19"/>
  <c r="BX9" i="19"/>
  <c r="CI9" i="19" s="1"/>
  <c r="BA9" i="60"/>
  <c r="D9" i="19" a="1"/>
  <c r="CD9" i="19" a="1"/>
  <c r="C9" i="19" a="1"/>
  <c r="CB9" i="19"/>
  <c r="CA9" i="19"/>
  <c r="B9" i="19" a="1"/>
  <c r="E9" i="19" a="1"/>
  <c r="BV9" i="19"/>
  <c r="BW9" i="19"/>
  <c r="CJ9" i="19"/>
  <c r="F151" i="19"/>
  <c r="N151" i="19"/>
  <c r="CO151" i="19"/>
  <c r="G151" i="19"/>
  <c r="P151" i="19"/>
  <c r="I151" i="19"/>
  <c r="L151" i="19"/>
  <c r="B151" i="19" a="1"/>
  <c r="CJ151" i="19"/>
  <c r="CB151" i="19"/>
  <c r="BY151" i="19"/>
  <c r="E151" i="19" a="1"/>
  <c r="C151" i="19" a="1"/>
  <c r="CA151" i="19"/>
  <c r="D151" i="19" a="1"/>
  <c r="CE151" i="19"/>
  <c r="BV151" i="19"/>
  <c r="BW151" i="19"/>
  <c r="BZ151" i="19"/>
  <c r="CP151" i="19"/>
  <c r="BX151" i="19"/>
  <c r="CI151" i="19" s="1"/>
  <c r="BA151" i="60"/>
  <c r="CD151" i="19" a="1"/>
  <c r="N123" i="19"/>
  <c r="F123" i="19"/>
  <c r="CP123" i="19"/>
  <c r="P123" i="19"/>
  <c r="G123" i="19"/>
  <c r="L123" i="19"/>
  <c r="I123" i="19"/>
  <c r="CO123" i="19"/>
  <c r="D123" i="19" a="1"/>
  <c r="B123" i="19" a="1"/>
  <c r="E123" i="19" a="1"/>
  <c r="CA123" i="19"/>
  <c r="CE123" i="19"/>
  <c r="CJ123" i="19"/>
  <c r="CD123" i="19" a="1"/>
  <c r="CB123" i="19"/>
  <c r="BY123" i="19"/>
  <c r="BV123" i="19"/>
  <c r="BX123" i="19"/>
  <c r="CI123" i="19" s="1"/>
  <c r="BZ123" i="19"/>
  <c r="BA123" i="60"/>
  <c r="C123" i="19" a="1"/>
  <c r="BW123" i="19"/>
  <c r="N103" i="19"/>
  <c r="F103" i="19"/>
  <c r="CP103" i="19"/>
  <c r="I103" i="19"/>
  <c r="G103" i="19"/>
  <c r="P103" i="19"/>
  <c r="L103" i="19"/>
  <c r="BX103" i="19"/>
  <c r="CI103" i="19" s="1"/>
  <c r="BA103" i="60"/>
  <c r="B103" i="19" a="1"/>
  <c r="CE103" i="19"/>
  <c r="CJ103" i="19"/>
  <c r="E103" i="19" a="1"/>
  <c r="D103" i="19" a="1"/>
  <c r="CB103" i="19"/>
  <c r="CA103" i="19"/>
  <c r="C103" i="19" a="1"/>
  <c r="BV103" i="19"/>
  <c r="CD103" i="19" a="1"/>
  <c r="BY103" i="19"/>
  <c r="CO103" i="19"/>
  <c r="BW103" i="19"/>
  <c r="BZ103" i="19"/>
  <c r="F246" i="19"/>
  <c r="N246" i="19"/>
  <c r="G246" i="19"/>
  <c r="I246" i="19"/>
  <c r="L246" i="19"/>
  <c r="P246" i="19"/>
  <c r="CP246" i="19"/>
  <c r="CD246" i="19" a="1"/>
  <c r="BY246" i="19"/>
  <c r="CA246" i="19"/>
  <c r="E246" i="19" a="1"/>
  <c r="CE246" i="19"/>
  <c r="BV246" i="19"/>
  <c r="CJ246" i="19"/>
  <c r="C246" i="19" a="1"/>
  <c r="B246" i="19" a="1"/>
  <c r="CB246" i="19"/>
  <c r="D246" i="19" a="1"/>
  <c r="BA246" i="60"/>
  <c r="BZ246" i="19"/>
  <c r="CO246" i="19"/>
  <c r="BW246" i="19"/>
  <c r="BX246" i="19"/>
  <c r="CI246" i="19" s="1"/>
  <c r="N42" i="19"/>
  <c r="F42" i="19"/>
  <c r="CP42" i="19"/>
  <c r="CO42" i="19"/>
  <c r="BW42" i="19"/>
  <c r="L42" i="19"/>
  <c r="I42" i="19"/>
  <c r="P42" i="19"/>
  <c r="G42" i="19"/>
  <c r="BX42" i="19"/>
  <c r="CI42" i="19" s="1"/>
  <c r="BZ42" i="19"/>
  <c r="BY42" i="19"/>
  <c r="CB42" i="19"/>
  <c r="D42" i="19" a="1"/>
  <c r="CA42" i="19"/>
  <c r="C42" i="19" a="1"/>
  <c r="BA42" i="60"/>
  <c r="CD42" i="19" a="1"/>
  <c r="CE42" i="19"/>
  <c r="BV42" i="19"/>
  <c r="CJ42" i="19"/>
  <c r="E42" i="19" a="1"/>
  <c r="B42" i="19" a="1"/>
  <c r="J42" i="19" s="1"/>
  <c r="M42" i="19" s="1"/>
  <c r="F146" i="19"/>
  <c r="N146" i="19"/>
  <c r="BX146" i="19"/>
  <c r="CI146" i="19" s="1"/>
  <c r="G146" i="19"/>
  <c r="I146" i="19"/>
  <c r="P146" i="19"/>
  <c r="L146" i="19"/>
  <c r="CO146" i="19"/>
  <c r="BW146" i="19"/>
  <c r="BY146" i="19"/>
  <c r="C146" i="19" a="1"/>
  <c r="E146" i="19" a="1"/>
  <c r="D146" i="19" a="1"/>
  <c r="CB146" i="19"/>
  <c r="B146" i="19" a="1"/>
  <c r="J146" i="19" s="1"/>
  <c r="M146" i="19" s="1"/>
  <c r="CJ146" i="19"/>
  <c r="CA146" i="19"/>
  <c r="CD146" i="19" a="1"/>
  <c r="BV146" i="19"/>
  <c r="CE146" i="19"/>
  <c r="BA146" i="60"/>
  <c r="CP146" i="19"/>
  <c r="BZ146" i="19"/>
  <c r="CH146" i="19" s="1" a="1"/>
  <c r="BW12" i="19"/>
  <c r="L12" i="19"/>
  <c r="BA12" i="60"/>
  <c r="BV12" i="19"/>
  <c r="CD12" i="19" a="1"/>
  <c r="D12" i="19" a="1"/>
  <c r="C12" i="19" a="1"/>
  <c r="B12" i="19" a="1"/>
  <c r="CA12" i="19"/>
  <c r="CJ12" i="19"/>
  <c r="E12" i="19" a="1"/>
  <c r="CO12" i="19"/>
  <c r="BX12" i="19"/>
  <c r="CI12" i="19" s="1"/>
  <c r="CB12" i="19"/>
  <c r="N202" i="19"/>
  <c r="F202" i="19"/>
  <c r="BA202" i="60"/>
  <c r="P202" i="19"/>
  <c r="L202" i="19"/>
  <c r="G202" i="19"/>
  <c r="I202" i="19"/>
  <c r="CO202" i="19"/>
  <c r="CA202" i="19"/>
  <c r="CD202" i="19" a="1"/>
  <c r="CE202" i="19"/>
  <c r="C202" i="19" a="1"/>
  <c r="B202" i="19" a="1"/>
  <c r="D202" i="19" a="1"/>
  <c r="CB202" i="19"/>
  <c r="BV202" i="19"/>
  <c r="E202" i="19" a="1"/>
  <c r="CJ202" i="19"/>
  <c r="BY202" i="19"/>
  <c r="BZ202" i="19"/>
  <c r="CP202" i="19"/>
  <c r="BW202" i="19"/>
  <c r="BX202" i="19"/>
  <c r="CI202" i="19" s="1"/>
  <c r="F91" i="19"/>
  <c r="N91" i="19"/>
  <c r="CO91" i="19"/>
  <c r="G91" i="19"/>
  <c r="P91" i="19"/>
  <c r="L91" i="19"/>
  <c r="I91" i="19"/>
  <c r="CP91" i="19"/>
  <c r="CA91" i="19"/>
  <c r="BW91" i="19"/>
  <c r="CD91" i="19" a="1"/>
  <c r="CE91" i="19"/>
  <c r="D91" i="19" a="1"/>
  <c r="CB91" i="19"/>
  <c r="BV91" i="19"/>
  <c r="B91" i="19" a="1"/>
  <c r="J91" i="19" s="1"/>
  <c r="M91" i="19" s="1"/>
  <c r="C91" i="19" a="1"/>
  <c r="BY91" i="19"/>
  <c r="CJ91" i="19"/>
  <c r="E91" i="19" a="1"/>
  <c r="BA91" i="60"/>
  <c r="BX91" i="19"/>
  <c r="CI91" i="19" s="1"/>
  <c r="BZ91" i="19"/>
  <c r="N216" i="19"/>
  <c r="F216" i="19"/>
  <c r="CP216" i="19"/>
  <c r="BW216" i="19"/>
  <c r="BZ216" i="19"/>
  <c r="L216" i="19"/>
  <c r="P216" i="19"/>
  <c r="G216" i="19"/>
  <c r="I216" i="19"/>
  <c r="CO216" i="19"/>
  <c r="BX216" i="19"/>
  <c r="CI216" i="19" s="1"/>
  <c r="BA216" i="60"/>
  <c r="CE216" i="19"/>
  <c r="B216" i="19" a="1"/>
  <c r="D216" i="19" a="1"/>
  <c r="C216" i="19" a="1"/>
  <c r="CD216" i="19" a="1"/>
  <c r="E216" i="19" a="1"/>
  <c r="CB216" i="19"/>
  <c r="CJ216" i="19"/>
  <c r="CA216" i="19"/>
  <c r="BV216" i="19"/>
  <c r="BY216" i="19"/>
  <c r="N136" i="19"/>
  <c r="F136" i="19"/>
  <c r="CP136" i="19"/>
  <c r="BX136" i="19"/>
  <c r="CI136" i="19" s="1"/>
  <c r="L136" i="19"/>
  <c r="P136" i="19"/>
  <c r="G136" i="19"/>
  <c r="I136" i="19"/>
  <c r="BW136" i="19"/>
  <c r="BZ136" i="19"/>
  <c r="C136" i="19" a="1"/>
  <c r="BA136" i="60"/>
  <c r="CA136" i="19"/>
  <c r="CD136" i="19" a="1"/>
  <c r="BV136" i="19"/>
  <c r="CJ136" i="19"/>
  <c r="CE136" i="19"/>
  <c r="E136" i="19" a="1"/>
  <c r="D136" i="19" a="1"/>
  <c r="CB136" i="19"/>
  <c r="B136" i="19" a="1"/>
  <c r="J136" i="19" s="1"/>
  <c r="M136" i="19" s="1"/>
  <c r="BY136" i="19"/>
  <c r="CO136" i="19"/>
  <c r="N174" i="19"/>
  <c r="F174" i="19"/>
  <c r="CP174" i="19"/>
  <c r="BW174" i="19"/>
  <c r="L174" i="19"/>
  <c r="P174" i="19"/>
  <c r="I174" i="19"/>
  <c r="G174" i="19"/>
  <c r="CO174" i="19"/>
  <c r="BV174" i="19"/>
  <c r="BZ174" i="19"/>
  <c r="CJ174" i="19"/>
  <c r="C174" i="19" a="1"/>
  <c r="CB174" i="19"/>
  <c r="CA174" i="19"/>
  <c r="CD174" i="19" a="1"/>
  <c r="BY174" i="19"/>
  <c r="D174" i="19" a="1"/>
  <c r="B174" i="19" a="1"/>
  <c r="J174" i="19" s="1"/>
  <c r="M174" i="19" s="1"/>
  <c r="BA174" i="60"/>
  <c r="CE174" i="19"/>
  <c r="E174" i="19" a="1"/>
  <c r="BX174" i="19"/>
  <c r="CI174" i="19" s="1"/>
  <c r="F126" i="19"/>
  <c r="N126" i="19"/>
  <c r="BW126" i="19"/>
  <c r="P126" i="19"/>
  <c r="I126" i="19"/>
  <c r="G126" i="19"/>
  <c r="L126" i="19"/>
  <c r="CO126" i="19"/>
  <c r="CJ126" i="19"/>
  <c r="D126" i="19" a="1"/>
  <c r="CE126" i="19"/>
  <c r="BY126" i="19"/>
  <c r="C126" i="19" a="1"/>
  <c r="CA126" i="19"/>
  <c r="CD126" i="19" a="1"/>
  <c r="BV126" i="19"/>
  <c r="B126" i="19" a="1"/>
  <c r="CB126" i="19"/>
  <c r="E126" i="19" a="1"/>
  <c r="BA126" i="60"/>
  <c r="CP126" i="19"/>
  <c r="BX126" i="19"/>
  <c r="CI126" i="19" s="1"/>
  <c r="BZ126" i="19"/>
  <c r="F63" i="19"/>
  <c r="N63" i="19"/>
  <c r="L63" i="19"/>
  <c r="G63" i="19"/>
  <c r="I63" i="19"/>
  <c r="P63" i="19"/>
  <c r="CP63" i="19"/>
  <c r="BY63" i="19"/>
  <c r="B63" i="19" a="1"/>
  <c r="D63" i="19" a="1"/>
  <c r="CB63" i="19"/>
  <c r="CA63" i="19"/>
  <c r="BV63" i="19"/>
  <c r="E63" i="19" a="1"/>
  <c r="CE63" i="19"/>
  <c r="C63" i="19" a="1"/>
  <c r="CD63" i="19" a="1"/>
  <c r="BA63" i="60"/>
  <c r="BZ63" i="19"/>
  <c r="CO63" i="19"/>
  <c r="BW63" i="19"/>
  <c r="BX63" i="19"/>
  <c r="CI63" i="19" s="1"/>
  <c r="CJ63" i="19"/>
  <c r="N90" i="19"/>
  <c r="F90" i="19"/>
  <c r="BW90" i="19"/>
  <c r="G90" i="19"/>
  <c r="P90" i="19"/>
  <c r="I90" i="19"/>
  <c r="L90" i="19"/>
  <c r="CO90" i="19"/>
  <c r="BX90" i="19"/>
  <c r="CI90" i="19" s="1"/>
  <c r="BZ90" i="19"/>
  <c r="E90" i="19" a="1"/>
  <c r="B90" i="19" a="1"/>
  <c r="CD90" i="19" a="1"/>
  <c r="CJ90" i="19"/>
  <c r="D90" i="19" a="1"/>
  <c r="C90" i="19" a="1"/>
  <c r="CB90" i="19"/>
  <c r="BY90" i="19"/>
  <c r="BV90" i="19"/>
  <c r="CE90" i="19"/>
  <c r="CA90" i="19"/>
  <c r="BA90" i="60"/>
  <c r="CP90" i="19"/>
  <c r="N74" i="19"/>
  <c r="F74" i="19"/>
  <c r="I74" i="19"/>
  <c r="L74" i="19"/>
  <c r="P74" i="19"/>
  <c r="G74" i="19"/>
  <c r="CO74" i="19"/>
  <c r="BW74" i="19"/>
  <c r="CD74" i="19" a="1"/>
  <c r="CA74" i="19"/>
  <c r="CJ74" i="19"/>
  <c r="D74" i="19" a="1"/>
  <c r="CB74" i="19"/>
  <c r="BY74" i="19"/>
  <c r="B74" i="19" a="1"/>
  <c r="J74" i="19" s="1"/>
  <c r="M74" i="19" s="1"/>
  <c r="CE74" i="19"/>
  <c r="C74" i="19" a="1"/>
  <c r="BV74" i="19"/>
  <c r="E74" i="19" a="1"/>
  <c r="BA74" i="60"/>
  <c r="BZ74" i="19"/>
  <c r="CP74" i="19"/>
  <c r="BX74" i="19"/>
  <c r="CI74" i="19" s="1"/>
  <c r="F193" i="19"/>
  <c r="N193" i="19"/>
  <c r="BX193" i="19"/>
  <c r="CI193" i="19" s="1"/>
  <c r="L193" i="19"/>
  <c r="I193" i="19"/>
  <c r="P193" i="19"/>
  <c r="G193" i="19"/>
  <c r="CP193" i="19"/>
  <c r="D193" i="19" a="1"/>
  <c r="BV193" i="19"/>
  <c r="CA193" i="19"/>
  <c r="C193" i="19" a="1"/>
  <c r="B193" i="19" a="1"/>
  <c r="J193" i="19" s="1"/>
  <c r="M193" i="19" s="1"/>
  <c r="BZ193" i="19"/>
  <c r="CD193" i="19" a="1"/>
  <c r="BY193" i="19"/>
  <c r="E193" i="19" a="1"/>
  <c r="CJ193" i="19"/>
  <c r="CB193" i="19"/>
  <c r="CE193" i="19"/>
  <c r="CO193" i="19"/>
  <c r="BW193" i="19"/>
  <c r="BA193" i="60"/>
  <c r="N48" i="19"/>
  <c r="F48" i="19"/>
  <c r="CO48" i="19"/>
  <c r="G48" i="19"/>
  <c r="I48" i="19"/>
  <c r="L48" i="19"/>
  <c r="P48" i="19"/>
  <c r="BZ48" i="19"/>
  <c r="D48" i="19" a="1"/>
  <c r="CA48" i="19"/>
  <c r="BY48" i="19"/>
  <c r="CB48" i="19"/>
  <c r="C48" i="19" a="1"/>
  <c r="CD48" i="19" a="1"/>
  <c r="CE48" i="19"/>
  <c r="CJ48" i="19"/>
  <c r="E48" i="19" a="1"/>
  <c r="BV48" i="19"/>
  <c r="B48" i="19" a="1"/>
  <c r="J48" i="19" s="1"/>
  <c r="M48" i="19" s="1"/>
  <c r="BA48" i="60"/>
  <c r="CP48" i="19"/>
  <c r="BX48" i="19"/>
  <c r="CI48" i="19" s="1"/>
  <c r="BW48" i="19"/>
  <c r="F53" i="19"/>
  <c r="N53" i="19"/>
  <c r="BA53" i="60"/>
  <c r="I53" i="19"/>
  <c r="G53" i="19"/>
  <c r="P53" i="19"/>
  <c r="L53" i="19"/>
  <c r="CO53" i="19"/>
  <c r="BW53" i="19"/>
  <c r="BY53" i="19"/>
  <c r="BV53" i="19"/>
  <c r="CJ53" i="19"/>
  <c r="D53" i="19" a="1"/>
  <c r="E53" i="19" a="1"/>
  <c r="CA53" i="19"/>
  <c r="B53" i="19" a="1"/>
  <c r="J53" i="19" s="1"/>
  <c r="M53" i="19" s="1"/>
  <c r="C53" i="19" a="1"/>
  <c r="CD53" i="19" a="1"/>
  <c r="BZ53" i="19"/>
  <c r="CB53" i="19"/>
  <c r="CP53" i="19"/>
  <c r="BX53" i="19"/>
  <c r="CI53" i="19" s="1"/>
  <c r="CE53" i="19"/>
  <c r="F235" i="19"/>
  <c r="N235" i="19"/>
  <c r="CO235" i="19"/>
  <c r="BX235" i="19"/>
  <c r="CI235" i="19" s="1"/>
  <c r="BZ235" i="19"/>
  <c r="I235" i="19"/>
  <c r="P235" i="19"/>
  <c r="L235" i="19"/>
  <c r="G235" i="19"/>
  <c r="CP235" i="19"/>
  <c r="BW235" i="19"/>
  <c r="BV235" i="19"/>
  <c r="C235" i="19" a="1"/>
  <c r="D235" i="19" a="1"/>
  <c r="CA235" i="19"/>
  <c r="CJ235" i="19"/>
  <c r="BY235" i="19"/>
  <c r="E235" i="19" a="1"/>
  <c r="B235" i="19" a="1"/>
  <c r="J235" i="19" s="1"/>
  <c r="M235" i="19" s="1"/>
  <c r="CD235" i="19" a="1"/>
  <c r="CE235" i="19"/>
  <c r="BA235" i="60"/>
  <c r="CB235" i="19"/>
  <c r="N71" i="19"/>
  <c r="F71" i="19"/>
  <c r="CO71" i="19"/>
  <c r="BA71" i="60"/>
  <c r="G71" i="19"/>
  <c r="P71" i="19"/>
  <c r="L71" i="19"/>
  <c r="I71" i="19"/>
  <c r="CP71" i="19"/>
  <c r="BY71" i="19"/>
  <c r="BW71" i="19"/>
  <c r="CD71" i="19" a="1"/>
  <c r="BV71" i="19"/>
  <c r="CE71" i="19"/>
  <c r="E71" i="19" a="1"/>
  <c r="CJ71" i="19"/>
  <c r="CB71" i="19"/>
  <c r="C71" i="19" a="1"/>
  <c r="D71" i="19" a="1"/>
  <c r="B71" i="19" a="1"/>
  <c r="CA71" i="19"/>
  <c r="BX71" i="19"/>
  <c r="CI71" i="19" s="1"/>
  <c r="BZ71" i="19"/>
  <c r="N251" i="19"/>
  <c r="F251" i="19"/>
  <c r="BW251" i="19"/>
  <c r="P251" i="19"/>
  <c r="G251" i="19"/>
  <c r="I251" i="19"/>
  <c r="L251" i="19"/>
  <c r="CO251" i="19"/>
  <c r="BV251" i="19"/>
  <c r="BY251" i="19"/>
  <c r="C251" i="19" a="1"/>
  <c r="CJ251" i="19"/>
  <c r="BZ251" i="19"/>
  <c r="CD251" i="19" a="1"/>
  <c r="B251" i="19" a="1"/>
  <c r="CA251" i="19"/>
  <c r="E251" i="19" a="1"/>
  <c r="CB251" i="19"/>
  <c r="D251" i="19" a="1"/>
  <c r="CE251" i="19"/>
  <c r="CP251" i="19"/>
  <c r="BX251" i="19"/>
  <c r="CI251" i="19" s="1"/>
  <c r="BA251" i="60"/>
  <c r="N241" i="19"/>
  <c r="F241" i="19"/>
  <c r="BW241" i="19"/>
  <c r="G241" i="19"/>
  <c r="L241" i="19"/>
  <c r="P241" i="19"/>
  <c r="I241" i="19"/>
  <c r="CP241" i="19"/>
  <c r="BX241" i="19"/>
  <c r="CI241" i="19" s="1"/>
  <c r="C241" i="19" a="1"/>
  <c r="BV241" i="19"/>
  <c r="CJ241" i="19"/>
  <c r="D241" i="19" a="1"/>
  <c r="CE241" i="19"/>
  <c r="CD241" i="19" a="1"/>
  <c r="BA241" i="60"/>
  <c r="BZ241" i="19"/>
  <c r="CB241" i="19"/>
  <c r="BY241" i="19"/>
  <c r="E241" i="19" a="1"/>
  <c r="B241" i="19" a="1"/>
  <c r="J241" i="19" s="1"/>
  <c r="M241" i="19" s="1"/>
  <c r="CA241" i="19"/>
  <c r="CO241" i="19"/>
  <c r="N254" i="19"/>
  <c r="F254" i="19"/>
  <c r="BX254" i="19"/>
  <c r="CI254" i="19" s="1"/>
  <c r="G254" i="19"/>
  <c r="I254" i="19"/>
  <c r="L254" i="19"/>
  <c r="P254" i="19"/>
  <c r="CP254" i="19"/>
  <c r="BW254" i="19"/>
  <c r="BV254" i="19"/>
  <c r="C254" i="19" a="1"/>
  <c r="E254" i="19" a="1"/>
  <c r="CB254" i="19"/>
  <c r="CJ254" i="19"/>
  <c r="CA254" i="19"/>
  <c r="D254" i="19" a="1"/>
  <c r="B254" i="19" a="1"/>
  <c r="J254" i="19" s="1"/>
  <c r="M254" i="19" s="1"/>
  <c r="CE254" i="19"/>
  <c r="CD254" i="19" a="1"/>
  <c r="BY254" i="19"/>
  <c r="CO254" i="19"/>
  <c r="BZ254" i="19"/>
  <c r="BA254" i="60"/>
  <c r="N252" i="19"/>
  <c r="F252" i="19"/>
  <c r="BX252" i="19"/>
  <c r="CI252" i="19" s="1"/>
  <c r="D252" i="19" a="1"/>
  <c r="L252" i="19"/>
  <c r="I252" i="19"/>
  <c r="G252" i="19"/>
  <c r="P252" i="19"/>
  <c r="CO252" i="19"/>
  <c r="CA252" i="19"/>
  <c r="CB252" i="19"/>
  <c r="CE252" i="19"/>
  <c r="E252" i="19" a="1"/>
  <c r="C252" i="19" a="1"/>
  <c r="BY252" i="19"/>
  <c r="B252" i="19" a="1"/>
  <c r="CJ252" i="19"/>
  <c r="BV252" i="19"/>
  <c r="CD252" i="19" a="1"/>
  <c r="BZ252" i="19"/>
  <c r="CP252" i="19"/>
  <c r="BW252" i="19"/>
  <c r="BA252" i="60"/>
  <c r="F145" i="19"/>
  <c r="N145" i="19"/>
  <c r="CO145" i="19"/>
  <c r="G145" i="19"/>
  <c r="I145" i="19"/>
  <c r="L145" i="19"/>
  <c r="P145" i="19"/>
  <c r="CA145" i="19"/>
  <c r="BW145" i="19"/>
  <c r="BA145" i="60"/>
  <c r="CE145" i="19"/>
  <c r="CD145" i="19" a="1"/>
  <c r="BV145" i="19"/>
  <c r="CJ145" i="19"/>
  <c r="BX145" i="19"/>
  <c r="CI145" i="19" s="1"/>
  <c r="BY145" i="19"/>
  <c r="C145" i="19" a="1"/>
  <c r="D145" i="19" a="1"/>
  <c r="CB145" i="19"/>
  <c r="B145" i="19" a="1"/>
  <c r="CP145" i="19"/>
  <c r="BZ145" i="19"/>
  <c r="E145" i="19" a="1"/>
  <c r="F220" i="19"/>
  <c r="N220" i="19"/>
  <c r="BX220" i="19"/>
  <c r="CI220" i="19" s="1"/>
  <c r="L220" i="19"/>
  <c r="G220" i="19"/>
  <c r="P220" i="19"/>
  <c r="I220" i="19"/>
  <c r="CP220" i="19"/>
  <c r="BW220" i="19"/>
  <c r="BZ220" i="19"/>
  <c r="BA220" i="60"/>
  <c r="CA220" i="19"/>
  <c r="BY220" i="19"/>
  <c r="CJ220" i="19"/>
  <c r="CE220" i="19"/>
  <c r="C220" i="19" a="1"/>
  <c r="BV220" i="19"/>
  <c r="B220" i="19" a="1"/>
  <c r="E220" i="19" a="1"/>
  <c r="D220" i="19" a="1"/>
  <c r="CB220" i="19"/>
  <c r="CO220" i="19"/>
  <c r="CD220" i="19" a="1"/>
  <c r="N205" i="19"/>
  <c r="F205" i="19"/>
  <c r="CP205" i="19"/>
  <c r="BX205" i="19"/>
  <c r="CI205" i="19" s="1"/>
  <c r="P205" i="19"/>
  <c r="L205" i="19"/>
  <c r="G205" i="19"/>
  <c r="I205" i="19"/>
  <c r="CO205" i="19"/>
  <c r="B205" i="19" a="1"/>
  <c r="E205" i="19" a="1"/>
  <c r="BV205" i="19"/>
  <c r="CA205" i="19"/>
  <c r="CE205" i="19"/>
  <c r="D205" i="19" a="1"/>
  <c r="CD205" i="19" a="1"/>
  <c r="C205" i="19" a="1"/>
  <c r="BY205" i="19"/>
  <c r="CB205" i="19"/>
  <c r="CJ205" i="19"/>
  <c r="BZ205" i="19"/>
  <c r="BW205" i="19"/>
  <c r="BA205" i="60"/>
  <c r="N150" i="19"/>
  <c r="F150" i="19"/>
  <c r="BW150" i="19"/>
  <c r="L150" i="19"/>
  <c r="I150" i="19"/>
  <c r="P150" i="19"/>
  <c r="G150" i="19"/>
  <c r="CP150" i="19"/>
  <c r="BY150" i="19"/>
  <c r="CA150" i="19"/>
  <c r="BV150" i="19"/>
  <c r="CD150" i="19" a="1"/>
  <c r="CB150" i="19"/>
  <c r="E150" i="19" a="1"/>
  <c r="CJ150" i="19"/>
  <c r="CE150" i="19"/>
  <c r="D150" i="19" a="1"/>
  <c r="C150" i="19" a="1"/>
  <c r="B150" i="19" a="1"/>
  <c r="CO150" i="19"/>
  <c r="BX150" i="19"/>
  <c r="CI150" i="19" s="1"/>
  <c r="BZ150" i="19"/>
  <c r="BA150" i="60"/>
  <c r="N169" i="19"/>
  <c r="F169" i="19"/>
  <c r="CO169" i="19"/>
  <c r="L169" i="19"/>
  <c r="G169" i="19"/>
  <c r="I169" i="19"/>
  <c r="P169" i="19"/>
  <c r="CP169" i="19"/>
  <c r="CE169" i="19"/>
  <c r="CD169" i="19" a="1"/>
  <c r="BZ169" i="19"/>
  <c r="BV169" i="19"/>
  <c r="BW169" i="19"/>
  <c r="BA169" i="60"/>
  <c r="E169" i="19" a="1"/>
  <c r="D169" i="19" a="1"/>
  <c r="CB169" i="19"/>
  <c r="CJ169" i="19"/>
  <c r="BY169" i="19"/>
  <c r="C169" i="19" a="1"/>
  <c r="B169" i="19" a="1"/>
  <c r="CA169" i="19"/>
  <c r="BX169" i="19"/>
  <c r="CI169" i="19" s="1"/>
  <c r="F135" i="19"/>
  <c r="N135" i="19"/>
  <c r="BX135" i="19"/>
  <c r="CI135" i="19" s="1"/>
  <c r="P135" i="19"/>
  <c r="L135" i="19"/>
  <c r="I135" i="19"/>
  <c r="G135" i="19"/>
  <c r="CP135" i="19"/>
  <c r="BA135" i="60"/>
  <c r="CE135" i="19"/>
  <c r="CA135" i="19"/>
  <c r="CJ135" i="19"/>
  <c r="BZ135" i="19"/>
  <c r="D135" i="19" a="1"/>
  <c r="CD135" i="19" a="1"/>
  <c r="BY135" i="19"/>
  <c r="BV135" i="19"/>
  <c r="B135" i="19" a="1"/>
  <c r="J135" i="19" s="1"/>
  <c r="CB135" i="19"/>
  <c r="E135" i="19" a="1"/>
  <c r="CO135" i="19"/>
  <c r="BW135" i="19"/>
  <c r="C135" i="19" a="1"/>
  <c r="N59" i="19"/>
  <c r="F59" i="19"/>
  <c r="CP59" i="19"/>
  <c r="BZ59" i="19"/>
  <c r="G59" i="19"/>
  <c r="L59" i="19"/>
  <c r="P59" i="19"/>
  <c r="I59" i="19"/>
  <c r="BW59" i="19"/>
  <c r="BY59" i="19"/>
  <c r="CD59" i="19" a="1"/>
  <c r="B59" i="19" a="1"/>
  <c r="C59" i="19" a="1"/>
  <c r="CA59" i="19"/>
  <c r="E59" i="19" a="1"/>
  <c r="CB59" i="19"/>
  <c r="CJ59" i="19"/>
  <c r="CE59" i="19"/>
  <c r="D59" i="19" a="1"/>
  <c r="BV59" i="19"/>
  <c r="BA59" i="60"/>
  <c r="CO59" i="19"/>
  <c r="BX59" i="19"/>
  <c r="CI59" i="19" s="1"/>
  <c r="N102" i="19"/>
  <c r="F102" i="19"/>
  <c r="CP102" i="19"/>
  <c r="P102" i="19"/>
  <c r="L102" i="19"/>
  <c r="I102" i="19"/>
  <c r="G102" i="19"/>
  <c r="BX102" i="19"/>
  <c r="CI102" i="19" s="1"/>
  <c r="BA102" i="60"/>
  <c r="D102" i="19" a="1"/>
  <c r="BV102" i="19"/>
  <c r="CA102" i="19"/>
  <c r="CJ102" i="19"/>
  <c r="CB102" i="19"/>
  <c r="C102" i="19" a="1"/>
  <c r="CE102" i="19"/>
  <c r="CD102" i="19" a="1"/>
  <c r="E102" i="19" a="1"/>
  <c r="BY102" i="19"/>
  <c r="B102" i="19" a="1"/>
  <c r="CO102" i="19"/>
  <c r="BW102" i="19"/>
  <c r="BZ102" i="19"/>
  <c r="N28" i="19"/>
  <c r="F28" i="19"/>
  <c r="CP28" i="19"/>
  <c r="BA28" i="60"/>
  <c r="CA28" i="19"/>
  <c r="L28" i="19"/>
  <c r="P28" i="19"/>
  <c r="I28" i="19"/>
  <c r="G28" i="19"/>
  <c r="BZ28" i="19"/>
  <c r="CE28" i="19"/>
  <c r="BV28" i="19"/>
  <c r="E28" i="19" a="1"/>
  <c r="CD28" i="19" a="1"/>
  <c r="D28" i="19" a="1"/>
  <c r="CJ28" i="19"/>
  <c r="BY28" i="19"/>
  <c r="C28" i="19" a="1"/>
  <c r="B28" i="19" a="1"/>
  <c r="J28" i="19" s="1"/>
  <c r="M28" i="19" s="1"/>
  <c r="CB28" i="19"/>
  <c r="CO28" i="19"/>
  <c r="BX28" i="19"/>
  <c r="CI28" i="19" s="1"/>
  <c r="BW28" i="19"/>
  <c r="N56" i="19"/>
  <c r="F56" i="19"/>
  <c r="BW56" i="19"/>
  <c r="D56" i="19" a="1"/>
  <c r="L56" i="19"/>
  <c r="G56" i="19"/>
  <c r="I56" i="19"/>
  <c r="P56" i="19"/>
  <c r="CE56" i="19"/>
  <c r="CA56" i="19"/>
  <c r="BA56" i="60"/>
  <c r="C56" i="19" a="1"/>
  <c r="B56" i="19" a="1"/>
  <c r="J56" i="19" s="1"/>
  <c r="M56" i="19" s="1"/>
  <c r="BZ56" i="19"/>
  <c r="CJ56" i="19"/>
  <c r="CB56" i="19"/>
  <c r="CD56" i="19" a="1"/>
  <c r="BV56" i="19"/>
  <c r="BY56" i="19"/>
  <c r="E56" i="19" a="1"/>
  <c r="CP56" i="19"/>
  <c r="CO56" i="19"/>
  <c r="BX56" i="19"/>
  <c r="CI56" i="19" s="1"/>
  <c r="F85" i="19"/>
  <c r="N85" i="19"/>
  <c r="CO85" i="19"/>
  <c r="BW85" i="19"/>
  <c r="BZ85" i="19"/>
  <c r="L85" i="19"/>
  <c r="I85" i="19"/>
  <c r="G85" i="19"/>
  <c r="P85" i="19"/>
  <c r="BA85" i="60"/>
  <c r="BV85" i="19"/>
  <c r="CE85" i="19"/>
  <c r="CA85" i="19"/>
  <c r="BY85" i="19"/>
  <c r="CD85" i="19" a="1"/>
  <c r="B85" i="19" a="1"/>
  <c r="CJ85" i="19"/>
  <c r="CB85" i="19"/>
  <c r="D85" i="19" a="1"/>
  <c r="C85" i="19" a="1"/>
  <c r="CP85" i="19"/>
  <c r="BX85" i="19"/>
  <c r="CI85" i="19" s="1"/>
  <c r="E85" i="19" a="1"/>
  <c r="N152" i="19"/>
  <c r="F152" i="19"/>
  <c r="I152" i="19"/>
  <c r="L152" i="19"/>
  <c r="G152" i="19"/>
  <c r="P152" i="19"/>
  <c r="CO152" i="19"/>
  <c r="BX152" i="19"/>
  <c r="CI152" i="19" s="1"/>
  <c r="CE152" i="19"/>
  <c r="BA152" i="60"/>
  <c r="CD152" i="19" a="1"/>
  <c r="C152" i="19" a="1"/>
  <c r="BV152" i="19"/>
  <c r="B152" i="19" a="1"/>
  <c r="E152" i="19" a="1"/>
  <c r="CB152" i="19"/>
  <c r="CJ152" i="19"/>
  <c r="D152" i="19" a="1"/>
  <c r="CA152" i="19"/>
  <c r="BY152" i="19"/>
  <c r="CP152" i="19"/>
  <c r="BW152" i="19"/>
  <c r="BZ152" i="19"/>
  <c r="F155" i="19"/>
  <c r="N155" i="19"/>
  <c r="CP155" i="19"/>
  <c r="I155" i="19"/>
  <c r="G155" i="19"/>
  <c r="L155" i="19"/>
  <c r="P155" i="19"/>
  <c r="BY155" i="19"/>
  <c r="CD155" i="19" a="1"/>
  <c r="CE155" i="19"/>
  <c r="CJ155" i="19"/>
  <c r="BV155" i="19"/>
  <c r="C155" i="19" a="1"/>
  <c r="B155" i="19" a="1"/>
  <c r="BA155" i="60"/>
  <c r="CB155" i="19"/>
  <c r="CA155" i="19"/>
  <c r="E155" i="19" a="1"/>
  <c r="D155" i="19" a="1"/>
  <c r="CO155" i="19"/>
  <c r="BX155" i="19"/>
  <c r="CI155" i="19" s="1"/>
  <c r="BW155" i="19"/>
  <c r="BZ155" i="19"/>
  <c r="N61" i="19"/>
  <c r="F61" i="19"/>
  <c r="CO61" i="19"/>
  <c r="BW61" i="19"/>
  <c r="L61" i="19"/>
  <c r="G61" i="19"/>
  <c r="I61" i="19"/>
  <c r="P61" i="19"/>
  <c r="BZ61" i="19"/>
  <c r="BA61" i="60"/>
  <c r="E61" i="19" a="1"/>
  <c r="CJ61" i="19"/>
  <c r="CE61" i="19"/>
  <c r="BV61" i="19"/>
  <c r="B61" i="19" a="1"/>
  <c r="C61" i="19" a="1"/>
  <c r="CD61" i="19" a="1"/>
  <c r="D61" i="19" a="1"/>
  <c r="CA61" i="19"/>
  <c r="BY61" i="19"/>
  <c r="CB61" i="19"/>
  <c r="CP61" i="19"/>
  <c r="BX61" i="19"/>
  <c r="CI61" i="19" s="1"/>
  <c r="F134" i="19"/>
  <c r="N134" i="19"/>
  <c r="BW134" i="19"/>
  <c r="G134" i="19"/>
  <c r="L134" i="19"/>
  <c r="P134" i="19"/>
  <c r="I134" i="19"/>
  <c r="CP134" i="19"/>
  <c r="BX134" i="19"/>
  <c r="CI134" i="19" s="1"/>
  <c r="BZ134" i="19"/>
  <c r="CA134" i="19"/>
  <c r="D134" i="19" a="1"/>
  <c r="E134" i="19" a="1"/>
  <c r="CJ134" i="19"/>
  <c r="B134" i="19" a="1"/>
  <c r="CD134" i="19" a="1"/>
  <c r="CE134" i="19"/>
  <c r="CB134" i="19"/>
  <c r="BV134" i="19"/>
  <c r="C134" i="19" a="1"/>
  <c r="BA134" i="60"/>
  <c r="BY134" i="19"/>
  <c r="CO134" i="19"/>
  <c r="F121" i="19"/>
  <c r="N121" i="19"/>
  <c r="CP121" i="19"/>
  <c r="G121" i="19"/>
  <c r="I121" i="19"/>
  <c r="L121" i="19"/>
  <c r="P121" i="19"/>
  <c r="BW121" i="19"/>
  <c r="BA121" i="60"/>
  <c r="CD121" i="19" a="1"/>
  <c r="CJ121" i="19"/>
  <c r="C121" i="19" a="1"/>
  <c r="BY121" i="19"/>
  <c r="CE121" i="19"/>
  <c r="E121" i="19" a="1"/>
  <c r="CB121" i="19"/>
  <c r="CA121" i="19"/>
  <c r="BV121" i="19"/>
  <c r="D121" i="19" a="1"/>
  <c r="B121" i="19" a="1"/>
  <c r="J121" i="19" s="1"/>
  <c r="M121" i="19" s="1"/>
  <c r="CO121" i="19"/>
  <c r="BX121" i="19"/>
  <c r="CI121" i="19" s="1"/>
  <c r="BZ121" i="19"/>
  <c r="N98" i="19"/>
  <c r="F98" i="19"/>
  <c r="BW98" i="19"/>
  <c r="P98" i="19"/>
  <c r="L98" i="19"/>
  <c r="I98" i="19"/>
  <c r="G98" i="19"/>
  <c r="BX98" i="19"/>
  <c r="CI98" i="19" s="1"/>
  <c r="D98" i="19" a="1"/>
  <c r="CE98" i="19"/>
  <c r="C98" i="19" a="1"/>
  <c r="CB98" i="19"/>
  <c r="E98" i="19" a="1"/>
  <c r="BY98" i="19"/>
  <c r="B98" i="19" a="1"/>
  <c r="BZ98" i="19"/>
  <c r="CA98" i="19"/>
  <c r="CJ98" i="19"/>
  <c r="CD98" i="19" a="1"/>
  <c r="BA98" i="60"/>
  <c r="BV98" i="19"/>
  <c r="CP98" i="19"/>
  <c r="CO98" i="19"/>
  <c r="CO13" i="19"/>
  <c r="BW13" i="19"/>
  <c r="BA13" i="60"/>
  <c r="L13" i="19"/>
  <c r="BV13" i="19"/>
  <c r="CB13" i="19"/>
  <c r="E13" i="19" a="1"/>
  <c r="CA13" i="19"/>
  <c r="D13" i="19" a="1"/>
  <c r="B13" i="19" a="1"/>
  <c r="CD13" i="19" a="1"/>
  <c r="CJ13" i="19"/>
  <c r="C13" i="19" a="1"/>
  <c r="BX13" i="19"/>
  <c r="CI13" i="19" s="1"/>
  <c r="F21" i="19"/>
  <c r="N21" i="19"/>
  <c r="CP21" i="19"/>
  <c r="BW21" i="19"/>
  <c r="BZ21" i="19"/>
  <c r="L21" i="19"/>
  <c r="P21" i="19"/>
  <c r="G21" i="19"/>
  <c r="I21" i="19"/>
  <c r="CO21" i="19"/>
  <c r="BV21" i="19"/>
  <c r="D21" i="19" a="1"/>
  <c r="CJ21" i="19"/>
  <c r="C21" i="19" a="1"/>
  <c r="B21" i="19" a="1"/>
  <c r="J21" i="19" s="1"/>
  <c r="M21" i="19" s="1"/>
  <c r="CD21" i="19" a="1"/>
  <c r="E21" i="19" a="1"/>
  <c r="CE21" i="19"/>
  <c r="BY21" i="19"/>
  <c r="CA21" i="19"/>
  <c r="CB21" i="19"/>
  <c r="BA21" i="60"/>
  <c r="BX21" i="19"/>
  <c r="CI21" i="19" s="1"/>
  <c r="N237" i="19"/>
  <c r="F237" i="19"/>
  <c r="I237" i="19"/>
  <c r="P237" i="19"/>
  <c r="G237" i="19"/>
  <c r="L237" i="19"/>
  <c r="CP237" i="19"/>
  <c r="BX237" i="19"/>
  <c r="CI237" i="19" s="1"/>
  <c r="CD237" i="19" a="1"/>
  <c r="D237" i="19" a="1"/>
  <c r="BY237" i="19"/>
  <c r="CB237" i="19"/>
  <c r="BV237" i="19"/>
  <c r="E237" i="19" a="1"/>
  <c r="BA237" i="60"/>
  <c r="CJ237" i="19"/>
  <c r="CA237" i="19"/>
  <c r="C237" i="19" a="1"/>
  <c r="BZ237" i="19"/>
  <c r="CE237" i="19"/>
  <c r="B237" i="19" a="1"/>
  <c r="J237" i="19" s="1"/>
  <c r="M237" i="19" s="1"/>
  <c r="CO237" i="19"/>
  <c r="BW237" i="19"/>
  <c r="N222" i="19"/>
  <c r="F222" i="19"/>
  <c r="CP222" i="19"/>
  <c r="L222" i="19"/>
  <c r="P222" i="19"/>
  <c r="I222" i="19"/>
  <c r="G222" i="19"/>
  <c r="BZ222" i="19"/>
  <c r="BX222" i="19"/>
  <c r="CI222" i="19" s="1"/>
  <c r="CD222" i="19" a="1"/>
  <c r="BV222" i="19"/>
  <c r="CA222" i="19"/>
  <c r="BA222" i="60"/>
  <c r="CJ222" i="19"/>
  <c r="BY222" i="19"/>
  <c r="D222" i="19" a="1"/>
  <c r="CE222" i="19"/>
  <c r="CB222" i="19"/>
  <c r="C222" i="19" a="1"/>
  <c r="B222" i="19" a="1"/>
  <c r="E222" i="19" a="1"/>
  <c r="CO222" i="19"/>
  <c r="BW222" i="19"/>
  <c r="F125" i="19"/>
  <c r="N125" i="19"/>
  <c r="CP125" i="19"/>
  <c r="P125" i="19"/>
  <c r="I125" i="19"/>
  <c r="L125" i="19"/>
  <c r="G125" i="19"/>
  <c r="CO125" i="19"/>
  <c r="BW125" i="19"/>
  <c r="CJ125" i="19"/>
  <c r="CB125" i="19"/>
  <c r="C125" i="19" a="1"/>
  <c r="CD125" i="19" a="1"/>
  <c r="B125" i="19" a="1"/>
  <c r="D125" i="19" a="1"/>
  <c r="CA125" i="19"/>
  <c r="BY125" i="19"/>
  <c r="E125" i="19" a="1"/>
  <c r="CE125" i="19"/>
  <c r="BV125" i="19"/>
  <c r="BX125" i="19"/>
  <c r="CI125" i="19" s="1"/>
  <c r="BZ125" i="19"/>
  <c r="BA125" i="60"/>
  <c r="F24" i="19"/>
  <c r="N24" i="19"/>
  <c r="BX24" i="19"/>
  <c r="CI24" i="19" s="1"/>
  <c r="G24" i="19"/>
  <c r="P24" i="19"/>
  <c r="L24" i="19"/>
  <c r="I24" i="19"/>
  <c r="CO24" i="19"/>
  <c r="BW24" i="19"/>
  <c r="CB24" i="19"/>
  <c r="BV24" i="19"/>
  <c r="CA24" i="19"/>
  <c r="E24" i="19" a="1"/>
  <c r="CD24" i="19" a="1"/>
  <c r="C24" i="19" a="1"/>
  <c r="D24" i="19" a="1"/>
  <c r="CJ24" i="19"/>
  <c r="CE24" i="19"/>
  <c r="BY24" i="19"/>
  <c r="BZ24" i="19"/>
  <c r="CH24" i="19" s="1" a="1"/>
  <c r="CP24" i="19"/>
  <c r="BA24" i="60"/>
  <c r="B24" i="19" a="1"/>
  <c r="J24" i="19" s="1"/>
  <c r="M24" i="19" s="1"/>
  <c r="F64" i="19"/>
  <c r="N64" i="19"/>
  <c r="G64" i="19"/>
  <c r="L64" i="19"/>
  <c r="P64" i="19"/>
  <c r="I64" i="19"/>
  <c r="CP64" i="19"/>
  <c r="BW64" i="19"/>
  <c r="C64" i="19" a="1"/>
  <c r="E64" i="19" a="1"/>
  <c r="CB64" i="19"/>
  <c r="B64" i="19" a="1"/>
  <c r="BY64" i="19"/>
  <c r="BA64" i="60"/>
  <c r="CA64" i="19"/>
  <c r="CD64" i="19" a="1"/>
  <c r="CE64" i="19"/>
  <c r="CJ64" i="19"/>
  <c r="BV64" i="19"/>
  <c r="D64" i="19" a="1"/>
  <c r="CO64" i="19"/>
  <c r="BX64" i="19"/>
  <c r="CI64" i="19" s="1"/>
  <c r="BZ64" i="19"/>
  <c r="N208" i="19"/>
  <c r="F208" i="19"/>
  <c r="CO208" i="19"/>
  <c r="CP208" i="19"/>
  <c r="BW208" i="19"/>
  <c r="BA208" i="60"/>
  <c r="G208" i="19"/>
  <c r="P208" i="19"/>
  <c r="L208" i="19"/>
  <c r="I208" i="19"/>
  <c r="BZ208" i="19"/>
  <c r="B208" i="19" a="1"/>
  <c r="CA208" i="19"/>
  <c r="CE208" i="19"/>
  <c r="CJ208" i="19"/>
  <c r="C208" i="19" a="1"/>
  <c r="BV208" i="19"/>
  <c r="BY208" i="19"/>
  <c r="E208" i="19" a="1"/>
  <c r="CB208" i="19"/>
  <c r="CD208" i="19" a="1"/>
  <c r="D208" i="19" a="1"/>
  <c r="BX208" i="19"/>
  <c r="CI208" i="19" s="1"/>
  <c r="N84" i="19"/>
  <c r="F84" i="19"/>
  <c r="CO84" i="19"/>
  <c r="BX84" i="19"/>
  <c r="CI84" i="19" s="1"/>
  <c r="I84" i="19"/>
  <c r="L84" i="19"/>
  <c r="G84" i="19"/>
  <c r="P84" i="19"/>
  <c r="CP84" i="19"/>
  <c r="BW84" i="19"/>
  <c r="BA84" i="60"/>
  <c r="C84" i="19" a="1"/>
  <c r="CJ84" i="19"/>
  <c r="BZ84" i="19"/>
  <c r="CB84" i="19"/>
  <c r="CE84" i="19"/>
  <c r="CA84" i="19"/>
  <c r="B84" i="19" a="1"/>
  <c r="BV84" i="19"/>
  <c r="E84" i="19" a="1"/>
  <c r="CD84" i="19" a="1"/>
  <c r="BY84" i="19"/>
  <c r="D84" i="19" a="1"/>
  <c r="F49" i="19"/>
  <c r="N49" i="19"/>
  <c r="CO49" i="19"/>
  <c r="BW49" i="19"/>
  <c r="L49" i="19"/>
  <c r="G49" i="19"/>
  <c r="P49" i="19"/>
  <c r="I49" i="19"/>
  <c r="BX49" i="19"/>
  <c r="CI49" i="19" s="1"/>
  <c r="BY49" i="19"/>
  <c r="E49" i="19" a="1"/>
  <c r="B49" i="19" a="1"/>
  <c r="CB49" i="19"/>
  <c r="BV49" i="19"/>
  <c r="C49" i="19" a="1"/>
  <c r="CD49" i="19" a="1"/>
  <c r="CA49" i="19"/>
  <c r="D49" i="19" a="1"/>
  <c r="CE49" i="19"/>
  <c r="CJ49" i="19"/>
  <c r="BA49" i="60"/>
  <c r="CP49" i="19"/>
  <c r="BZ49" i="19"/>
  <c r="N179" i="19"/>
  <c r="F179" i="19"/>
  <c r="BW179" i="19"/>
  <c r="BX179" i="19"/>
  <c r="CI179" i="19" s="1"/>
  <c r="P179" i="19"/>
  <c r="I179" i="19"/>
  <c r="L179" i="19"/>
  <c r="G179" i="19"/>
  <c r="CO179" i="19"/>
  <c r="BV179" i="19"/>
  <c r="CA179" i="19"/>
  <c r="BY179" i="19"/>
  <c r="CD179" i="19" a="1"/>
  <c r="BZ179" i="19"/>
  <c r="CJ179" i="19"/>
  <c r="E179" i="19" a="1"/>
  <c r="CB179" i="19"/>
  <c r="CE179" i="19"/>
  <c r="B179" i="19" a="1"/>
  <c r="C179" i="19" a="1"/>
  <c r="D179" i="19" a="1"/>
  <c r="BA179" i="60"/>
  <c r="CP179" i="19"/>
  <c r="F67" i="19"/>
  <c r="N67" i="19"/>
  <c r="CO67" i="19"/>
  <c r="G67" i="19"/>
  <c r="L67" i="19"/>
  <c r="I67" i="19"/>
  <c r="P67" i="19"/>
  <c r="BW67" i="19"/>
  <c r="C67" i="19" a="1"/>
  <c r="D67" i="19" a="1"/>
  <c r="CD67" i="19" a="1"/>
  <c r="BY67" i="19"/>
  <c r="CJ67" i="19"/>
  <c r="CE67" i="19"/>
  <c r="CB67" i="19"/>
  <c r="CA67" i="19"/>
  <c r="E67" i="19" a="1"/>
  <c r="B67" i="19" a="1"/>
  <c r="J67" i="19" s="1"/>
  <c r="M67" i="19" s="1"/>
  <c r="BV67" i="19"/>
  <c r="BA67" i="60"/>
  <c r="CP67" i="19"/>
  <c r="BX67" i="19"/>
  <c r="CI67" i="19" s="1"/>
  <c r="BZ67" i="19"/>
  <c r="N137" i="19"/>
  <c r="F137" i="19"/>
  <c r="CP137" i="19"/>
  <c r="G137" i="19"/>
  <c r="P137" i="19"/>
  <c r="L137" i="19"/>
  <c r="I137" i="19"/>
  <c r="BX137" i="19"/>
  <c r="CI137" i="19" s="1"/>
  <c r="E137" i="19" a="1"/>
  <c r="CD137" i="19" a="1"/>
  <c r="BV137" i="19"/>
  <c r="D137" i="19" a="1"/>
  <c r="BZ137" i="19"/>
  <c r="BY137" i="19"/>
  <c r="CE137" i="19"/>
  <c r="B137" i="19" a="1"/>
  <c r="J137" i="19" s="1"/>
  <c r="M137" i="19" s="1"/>
  <c r="CB137" i="19"/>
  <c r="CA137" i="19"/>
  <c r="CJ137" i="19"/>
  <c r="C137" i="19" a="1"/>
  <c r="CO137" i="19"/>
  <c r="BW137" i="19"/>
  <c r="BA137" i="60"/>
  <c r="N157" i="19"/>
  <c r="F157" i="19"/>
  <c r="CP157" i="19"/>
  <c r="BX157" i="19"/>
  <c r="CI157" i="19" s="1"/>
  <c r="G157" i="19"/>
  <c r="I157" i="19"/>
  <c r="P157" i="19"/>
  <c r="L157" i="19"/>
  <c r="BW157" i="19"/>
  <c r="CA157" i="19"/>
  <c r="BV157" i="19"/>
  <c r="BZ157" i="19"/>
  <c r="CB157" i="19"/>
  <c r="C157" i="19" a="1"/>
  <c r="E157" i="19" a="1"/>
  <c r="CD157" i="19" a="1"/>
  <c r="BY157" i="19"/>
  <c r="CJ157" i="19"/>
  <c r="B157" i="19" a="1"/>
  <c r="D157" i="19" a="1"/>
  <c r="CE157" i="19"/>
  <c r="CO157" i="19"/>
  <c r="BA157" i="60"/>
  <c r="N164" i="19"/>
  <c r="F164" i="19"/>
  <c r="CP164" i="19"/>
  <c r="L164" i="19"/>
  <c r="I164" i="19"/>
  <c r="P164" i="19"/>
  <c r="G164" i="19"/>
  <c r="CB164" i="19"/>
  <c r="BZ164" i="19"/>
  <c r="CA164" i="19"/>
  <c r="D164" i="19" a="1"/>
  <c r="CJ164" i="19"/>
  <c r="CE164" i="19"/>
  <c r="BY164" i="19"/>
  <c r="CD164" i="19" a="1"/>
  <c r="C164" i="19" a="1"/>
  <c r="B164" i="19" a="1"/>
  <c r="E164" i="19" a="1"/>
  <c r="BV164" i="19"/>
  <c r="BA164" i="60"/>
  <c r="CO164" i="19"/>
  <c r="BW164" i="19"/>
  <c r="BX164" i="19"/>
  <c r="CI164" i="19" s="1"/>
  <c r="N219" i="19"/>
  <c r="F219" i="19"/>
  <c r="G219" i="19"/>
  <c r="P219" i="19"/>
  <c r="I219" i="19"/>
  <c r="L219" i="19"/>
  <c r="CO219" i="19"/>
  <c r="D219" i="19" a="1"/>
  <c r="BY219" i="19"/>
  <c r="B219" i="19" a="1"/>
  <c r="J219" i="19" s="1"/>
  <c r="M219" i="19" s="1"/>
  <c r="BW219" i="19"/>
  <c r="BA219" i="60"/>
  <c r="CA219" i="19"/>
  <c r="CB219" i="19"/>
  <c r="E219" i="19" a="1"/>
  <c r="CE219" i="19"/>
  <c r="BZ219" i="19"/>
  <c r="CJ219" i="19"/>
  <c r="C219" i="19" a="1"/>
  <c r="BV219" i="19"/>
  <c r="CD219" i="19" a="1"/>
  <c r="CP219" i="19"/>
  <c r="BX219" i="19"/>
  <c r="CI219" i="19" s="1"/>
  <c r="N167" i="19"/>
  <c r="F167" i="19"/>
  <c r="G167" i="19"/>
  <c r="I167" i="19"/>
  <c r="L167" i="19"/>
  <c r="P167" i="19"/>
  <c r="CP167" i="19"/>
  <c r="BX167" i="19"/>
  <c r="CI167" i="19" s="1"/>
  <c r="C167" i="19" a="1"/>
  <c r="BY167" i="19"/>
  <c r="BA167" i="60"/>
  <c r="CD167" i="19" a="1"/>
  <c r="E167" i="19" a="1"/>
  <c r="CA167" i="19"/>
  <c r="CB167" i="19"/>
  <c r="CE167" i="19"/>
  <c r="D167" i="19" a="1"/>
  <c r="B167" i="19" a="1"/>
  <c r="J167" i="19" s="1"/>
  <c r="M167" i="19" s="1"/>
  <c r="CJ167" i="19"/>
  <c r="BV167" i="19"/>
  <c r="CO167" i="19"/>
  <c r="BW167" i="19"/>
  <c r="BZ167" i="19"/>
  <c r="F147" i="19"/>
  <c r="N147" i="19"/>
  <c r="CO147" i="19"/>
  <c r="P147" i="19"/>
  <c r="I147" i="19"/>
  <c r="L147" i="19"/>
  <c r="G147" i="19"/>
  <c r="BW147" i="19"/>
  <c r="BY147" i="19"/>
  <c r="CD147" i="19" a="1"/>
  <c r="B147" i="19" a="1"/>
  <c r="D147" i="19" a="1"/>
  <c r="CB147" i="19"/>
  <c r="BV147" i="19"/>
  <c r="CJ147" i="19"/>
  <c r="CE147" i="19"/>
  <c r="C147" i="19" a="1"/>
  <c r="CA147" i="19"/>
  <c r="E147" i="19" a="1"/>
  <c r="BA147" i="60"/>
  <c r="CP147" i="19"/>
  <c r="BX147" i="19"/>
  <c r="CI147" i="19" s="1"/>
  <c r="BZ147" i="19"/>
  <c r="F224" i="19"/>
  <c r="N224" i="19"/>
  <c r="CO224" i="19"/>
  <c r="L224" i="19"/>
  <c r="G224" i="19"/>
  <c r="I224" i="19"/>
  <c r="P224" i="19"/>
  <c r="CJ224" i="19"/>
  <c r="CB224" i="19"/>
  <c r="BW224" i="19"/>
  <c r="BX224" i="19"/>
  <c r="CI224" i="19" s="1"/>
  <c r="BZ224" i="19"/>
  <c r="BA224" i="60"/>
  <c r="CD224" i="19" a="1"/>
  <c r="CA224" i="19"/>
  <c r="BY224" i="19"/>
  <c r="B224" i="19" a="1"/>
  <c r="D224" i="19" a="1"/>
  <c r="E224" i="19" a="1"/>
  <c r="BV224" i="19"/>
  <c r="C224" i="19" a="1"/>
  <c r="CE224" i="19"/>
  <c r="CP224" i="19"/>
  <c r="F227" i="19"/>
  <c r="N227" i="19"/>
  <c r="G227" i="19"/>
  <c r="L227" i="19"/>
  <c r="P227" i="19"/>
  <c r="I227" i="19"/>
  <c r="CP227" i="19"/>
  <c r="BX227" i="19"/>
  <c r="CI227" i="19" s="1"/>
  <c r="CE227" i="19"/>
  <c r="B227" i="19" a="1"/>
  <c r="C227" i="19" a="1"/>
  <c r="CJ227" i="19"/>
  <c r="D227" i="19" a="1"/>
  <c r="CD227" i="19" a="1"/>
  <c r="BV227" i="19"/>
  <c r="E227" i="19" a="1"/>
  <c r="BY227" i="19"/>
  <c r="CA227" i="19"/>
  <c r="CB227" i="19"/>
  <c r="CO227" i="19"/>
  <c r="BW227" i="19"/>
  <c r="BZ227" i="19"/>
  <c r="BA227" i="60"/>
  <c r="N20" i="19"/>
  <c r="F20" i="19"/>
  <c r="CO20" i="19"/>
  <c r="BW20" i="19"/>
  <c r="I20" i="19"/>
  <c r="P20" i="19"/>
  <c r="G20" i="19"/>
  <c r="L20" i="19"/>
  <c r="CP20" i="19"/>
  <c r="CE20" i="19"/>
  <c r="CA20" i="19"/>
  <c r="BV20" i="19"/>
  <c r="BX20" i="19"/>
  <c r="CI20" i="19" s="1"/>
  <c r="BZ20" i="19"/>
  <c r="CB20" i="19"/>
  <c r="CJ20" i="19"/>
  <c r="BA20" i="60"/>
  <c r="D20" i="19" a="1"/>
  <c r="BY20" i="19"/>
  <c r="CD20" i="19" a="1"/>
  <c r="B20" i="19" a="1"/>
  <c r="C20" i="19" a="1"/>
  <c r="E20" i="19" a="1"/>
  <c r="N33" i="19"/>
  <c r="F33" i="19"/>
  <c r="CP33" i="19"/>
  <c r="BW33" i="19"/>
  <c r="P33" i="19"/>
  <c r="G33" i="19"/>
  <c r="I33" i="19"/>
  <c r="L33" i="19"/>
  <c r="CO33" i="19"/>
  <c r="BX33" i="19"/>
  <c r="CI33" i="19" s="1"/>
  <c r="BV33" i="19"/>
  <c r="C33" i="19" a="1"/>
  <c r="D33" i="19" a="1"/>
  <c r="CJ33" i="19"/>
  <c r="CE33" i="19"/>
  <c r="E33" i="19" a="1"/>
  <c r="CB33" i="19"/>
  <c r="B33" i="19" a="1"/>
  <c r="CD33" i="19" a="1"/>
  <c r="BY33" i="19"/>
  <c r="CA33" i="19"/>
  <c r="BZ33" i="19"/>
  <c r="BA33" i="60"/>
  <c r="F66" i="19"/>
  <c r="N66" i="19"/>
  <c r="BA66" i="60"/>
  <c r="P66" i="19"/>
  <c r="L66" i="19"/>
  <c r="I66" i="19"/>
  <c r="G66" i="19"/>
  <c r="CP66" i="19"/>
  <c r="BW66" i="19"/>
  <c r="CB66" i="19"/>
  <c r="E66" i="19" a="1"/>
  <c r="BV66" i="19"/>
  <c r="BY66" i="19"/>
  <c r="CE66" i="19"/>
  <c r="CA66" i="19"/>
  <c r="B66" i="19" a="1"/>
  <c r="D66" i="19" a="1"/>
  <c r="CD66" i="19" a="1"/>
  <c r="CJ66" i="19"/>
  <c r="C66" i="19" a="1"/>
  <c r="CO66" i="19"/>
  <c r="BX66" i="19"/>
  <c r="CI66" i="19" s="1"/>
  <c r="BZ66" i="19"/>
  <c r="CO7" i="19"/>
  <c r="BX7" i="19"/>
  <c r="CI7" i="19" s="1"/>
  <c r="L7" i="19"/>
  <c r="CA7" i="19"/>
  <c r="E7" i="19" a="1"/>
  <c r="CB7" i="19"/>
  <c r="CJ7" i="19"/>
  <c r="C7" i="19" a="1"/>
  <c r="BV7" i="19"/>
  <c r="B7" i="19" a="1"/>
  <c r="D7" i="19" a="1"/>
  <c r="BA7" i="60"/>
  <c r="CD7" i="19" a="1"/>
  <c r="CE7" i="19" s="1"/>
  <c r="BW7" i="19"/>
  <c r="F110" i="19"/>
  <c r="N110" i="19"/>
  <c r="CO110" i="19"/>
  <c r="BX110" i="19"/>
  <c r="CI110" i="19" s="1"/>
  <c r="BA110" i="60"/>
  <c r="CB110" i="19"/>
  <c r="L110" i="19"/>
  <c r="P110" i="19"/>
  <c r="I110" i="19"/>
  <c r="G110" i="19"/>
  <c r="CP110" i="19"/>
  <c r="C110" i="19" a="1"/>
  <c r="CD110" i="19" a="1"/>
  <c r="BZ110" i="19"/>
  <c r="E110" i="19" a="1"/>
  <c r="CA110" i="19"/>
  <c r="CJ110" i="19"/>
  <c r="D110" i="19" a="1"/>
  <c r="B110" i="19" a="1"/>
  <c r="J110" i="19" s="1"/>
  <c r="M110" i="19" s="1"/>
  <c r="BV110" i="19"/>
  <c r="CE110" i="19"/>
  <c r="BY110" i="19"/>
  <c r="BW110" i="19"/>
  <c r="F50" i="19"/>
  <c r="N50" i="19"/>
  <c r="I50" i="19"/>
  <c r="P50" i="19"/>
  <c r="G50" i="19"/>
  <c r="L50" i="19"/>
  <c r="CO50" i="19"/>
  <c r="C50" i="19" a="1"/>
  <c r="BV50" i="19"/>
  <c r="CB50" i="19"/>
  <c r="E50" i="19" a="1"/>
  <c r="BZ50" i="19"/>
  <c r="CA50" i="19"/>
  <c r="D50" i="19" a="1"/>
  <c r="BA50" i="60"/>
  <c r="B50" i="19" a="1"/>
  <c r="CD50" i="19" a="1"/>
  <c r="BY50" i="19"/>
  <c r="CE50" i="19"/>
  <c r="CJ50" i="19"/>
  <c r="CP50" i="19"/>
  <c r="BW50" i="19"/>
  <c r="BX50" i="19"/>
  <c r="CI50" i="19" s="1"/>
  <c r="F180" i="19"/>
  <c r="N180" i="19"/>
  <c r="BW180" i="19"/>
  <c r="I180" i="19"/>
  <c r="L180" i="19"/>
  <c r="G180" i="19"/>
  <c r="P180" i="19"/>
  <c r="CP180" i="19"/>
  <c r="BX180" i="19"/>
  <c r="CI180" i="19" s="1"/>
  <c r="C180" i="19" a="1"/>
  <c r="E180" i="19" a="1"/>
  <c r="CE180" i="19"/>
  <c r="B180" i="19" a="1"/>
  <c r="BV180" i="19"/>
  <c r="CA180" i="19"/>
  <c r="CJ180" i="19"/>
  <c r="BA180" i="60"/>
  <c r="D180" i="19" a="1"/>
  <c r="BY180" i="19"/>
  <c r="CD180" i="19" a="1"/>
  <c r="CO180" i="19"/>
  <c r="BZ180" i="19"/>
  <c r="CB180" i="19"/>
  <c r="N117" i="19"/>
  <c r="F117" i="19"/>
  <c r="CP117" i="19"/>
  <c r="BA117" i="60"/>
  <c r="P117" i="19"/>
  <c r="G117" i="19"/>
  <c r="L117" i="19"/>
  <c r="I117" i="19"/>
  <c r="BZ117" i="19"/>
  <c r="E117" i="19" a="1"/>
  <c r="BX117" i="19"/>
  <c r="CI117" i="19" s="1"/>
  <c r="D117" i="19" a="1"/>
  <c r="CJ117" i="19"/>
  <c r="CB117" i="19"/>
  <c r="CD117" i="19" a="1"/>
  <c r="B117" i="19" a="1"/>
  <c r="CE117" i="19"/>
  <c r="BW117" i="19"/>
  <c r="BV117" i="19"/>
  <c r="C117" i="19" a="1"/>
  <c r="BY117" i="19"/>
  <c r="CO117" i="19"/>
  <c r="CA117" i="19"/>
  <c r="N138" i="19"/>
  <c r="F138" i="19"/>
  <c r="BX138" i="19"/>
  <c r="CI138" i="19" s="1"/>
  <c r="L138" i="19"/>
  <c r="I138" i="19"/>
  <c r="G138" i="19"/>
  <c r="P138" i="19"/>
  <c r="BW138" i="19"/>
  <c r="BA138" i="60"/>
  <c r="E138" i="19" a="1"/>
  <c r="CE138" i="19"/>
  <c r="D138" i="19" a="1"/>
  <c r="BY138" i="19"/>
  <c r="C138" i="19" a="1"/>
  <c r="CB138" i="19"/>
  <c r="CA138" i="19"/>
  <c r="CD138" i="19" a="1"/>
  <c r="BV138" i="19"/>
  <c r="CJ138" i="19"/>
  <c r="B138" i="19" a="1"/>
  <c r="J138" i="19" s="1"/>
  <c r="M138" i="19" s="1"/>
  <c r="CP138" i="19"/>
  <c r="CO138" i="19"/>
  <c r="BZ138" i="19"/>
  <c r="N194" i="19"/>
  <c r="F194" i="19"/>
  <c r="CP194" i="19"/>
  <c r="BX194" i="19"/>
  <c r="CI194" i="19" s="1"/>
  <c r="BA194" i="60"/>
  <c r="G194" i="19"/>
  <c r="L194" i="19"/>
  <c r="I194" i="19"/>
  <c r="P194" i="19"/>
  <c r="CO194" i="19"/>
  <c r="CA194" i="19"/>
  <c r="D194" i="19" a="1"/>
  <c r="CJ194" i="19"/>
  <c r="CD194" i="19" a="1"/>
  <c r="BY194" i="19"/>
  <c r="C194" i="19" a="1"/>
  <c r="CE194" i="19"/>
  <c r="B194" i="19" a="1"/>
  <c r="J194" i="19" s="1"/>
  <c r="M194" i="19" s="1"/>
  <c r="BV194" i="19"/>
  <c r="E194" i="19" a="1"/>
  <c r="CB194" i="19"/>
  <c r="BZ194" i="19"/>
  <c r="BW194" i="19"/>
  <c r="N175" i="19"/>
  <c r="F175" i="19"/>
  <c r="CP175" i="19"/>
  <c r="BX175" i="19"/>
  <c r="CI175" i="19" s="1"/>
  <c r="G175" i="19"/>
  <c r="I175" i="19"/>
  <c r="P175" i="19"/>
  <c r="L175" i="19"/>
  <c r="BW175" i="19"/>
  <c r="BV175" i="19"/>
  <c r="E175" i="19" a="1"/>
  <c r="CE175" i="19"/>
  <c r="D175" i="19" a="1"/>
  <c r="CB175" i="19"/>
  <c r="BZ175" i="19"/>
  <c r="C175" i="19" a="1"/>
  <c r="CD175" i="19" a="1"/>
  <c r="BY175" i="19"/>
  <c r="CA175" i="19"/>
  <c r="B175" i="19" a="1"/>
  <c r="J175" i="19" s="1"/>
  <c r="M175" i="19" s="1"/>
  <c r="CJ175" i="19"/>
  <c r="CO175" i="19"/>
  <c r="BA175" i="60"/>
  <c r="F141" i="19"/>
  <c r="N141" i="19"/>
  <c r="CO141" i="19"/>
  <c r="BX141" i="19"/>
  <c r="CI141" i="19" s="1"/>
  <c r="I141" i="19"/>
  <c r="P141" i="19"/>
  <c r="G141" i="19"/>
  <c r="L141" i="19"/>
  <c r="CP141" i="19"/>
  <c r="B141" i="19" a="1"/>
  <c r="CA141" i="19"/>
  <c r="D141" i="19" a="1"/>
  <c r="CD141" i="19" a="1"/>
  <c r="BA141" i="60"/>
  <c r="BY141" i="19"/>
  <c r="CE141" i="19"/>
  <c r="E141" i="19" a="1"/>
  <c r="CB141" i="19"/>
  <c r="CJ141" i="19"/>
  <c r="C141" i="19" a="1"/>
  <c r="BV141" i="19"/>
  <c r="BW141" i="19"/>
  <c r="BZ141" i="19"/>
  <c r="F178" i="19"/>
  <c r="N178" i="19"/>
  <c r="BW178" i="19"/>
  <c r="L178" i="19"/>
  <c r="I178" i="19"/>
  <c r="G178" i="19"/>
  <c r="P178" i="19"/>
  <c r="CP178" i="19"/>
  <c r="BX178" i="19"/>
  <c r="CI178" i="19" s="1"/>
  <c r="BY178" i="19"/>
  <c r="CE178" i="19"/>
  <c r="BV178" i="19"/>
  <c r="B178" i="19" a="1"/>
  <c r="CD178" i="19" a="1"/>
  <c r="BA178" i="60"/>
  <c r="CJ178" i="19"/>
  <c r="C178" i="19" a="1"/>
  <c r="CB178" i="19"/>
  <c r="E178" i="19" a="1"/>
  <c r="D178" i="19" a="1"/>
  <c r="CA178" i="19"/>
  <c r="CO178" i="19"/>
  <c r="BZ178" i="19"/>
  <c r="F181" i="19"/>
  <c r="N181" i="19"/>
  <c r="BX181" i="19"/>
  <c r="CI181" i="19" s="1"/>
  <c r="L181" i="19"/>
  <c r="P181" i="19"/>
  <c r="I181" i="19"/>
  <c r="G181" i="19"/>
  <c r="CP181" i="19"/>
  <c r="BW181" i="19"/>
  <c r="B181" i="19" a="1"/>
  <c r="BV181" i="19"/>
  <c r="CE181" i="19"/>
  <c r="D181" i="19" a="1"/>
  <c r="C181" i="19" a="1"/>
  <c r="CD181" i="19" a="1"/>
  <c r="E181" i="19" a="1"/>
  <c r="CB181" i="19"/>
  <c r="CA181" i="19"/>
  <c r="CJ181" i="19"/>
  <c r="BY181" i="19"/>
  <c r="BA181" i="60"/>
  <c r="CO181" i="19"/>
  <c r="BZ181" i="19"/>
  <c r="CH181" i="19" s="1" a="1"/>
  <c r="N253" i="19"/>
  <c r="F253" i="19"/>
  <c r="CP253" i="19"/>
  <c r="CO253" i="19"/>
  <c r="BX253" i="19"/>
  <c r="CI253" i="19" s="1"/>
  <c r="P253" i="19"/>
  <c r="L253" i="19"/>
  <c r="I253" i="19"/>
  <c r="G253" i="19"/>
  <c r="BA253" i="60"/>
  <c r="BV253" i="19"/>
  <c r="CA253" i="19"/>
  <c r="BY253" i="19"/>
  <c r="CB253" i="19"/>
  <c r="BZ253" i="19"/>
  <c r="CD253" i="19" a="1"/>
  <c r="CE253" i="19"/>
  <c r="CJ253" i="19"/>
  <c r="D253" i="19" a="1"/>
  <c r="C253" i="19" a="1"/>
  <c r="B253" i="19" a="1"/>
  <c r="E253" i="19" a="1"/>
  <c r="BW253" i="19"/>
  <c r="F228" i="19"/>
  <c r="N228" i="19"/>
  <c r="CE228" i="19"/>
  <c r="L228" i="19"/>
  <c r="P228" i="19"/>
  <c r="I228" i="19"/>
  <c r="G228" i="19"/>
  <c r="CO228" i="19"/>
  <c r="BW228" i="19"/>
  <c r="C228" i="19" a="1"/>
  <c r="BV228" i="19"/>
  <c r="BY228" i="19"/>
  <c r="D228" i="19" a="1"/>
  <c r="BA228" i="60"/>
  <c r="CD228" i="19" a="1"/>
  <c r="BZ228" i="19"/>
  <c r="E228" i="19" a="1"/>
  <c r="CB228" i="19"/>
  <c r="B228" i="19" a="1"/>
  <c r="CA228" i="19"/>
  <c r="CJ228" i="19"/>
  <c r="CP228" i="19"/>
  <c r="BX228" i="19"/>
  <c r="CI228" i="19" s="1"/>
  <c r="N100" i="19"/>
  <c r="F100" i="19"/>
  <c r="BW100" i="19"/>
  <c r="L100" i="19"/>
  <c r="I100" i="19"/>
  <c r="G100" i="19"/>
  <c r="P100" i="19"/>
  <c r="CP100" i="19"/>
  <c r="BX100" i="19"/>
  <c r="CI100" i="19" s="1"/>
  <c r="BA100" i="60"/>
  <c r="BZ100" i="19"/>
  <c r="BV100" i="19"/>
  <c r="BY100" i="19"/>
  <c r="B100" i="19" a="1"/>
  <c r="D100" i="19" a="1"/>
  <c r="CA100" i="19"/>
  <c r="CE100" i="19"/>
  <c r="C100" i="19" a="1"/>
  <c r="E100" i="19" a="1"/>
  <c r="CB100" i="19"/>
  <c r="CJ100" i="19"/>
  <c r="CD100" i="19" a="1"/>
  <c r="CO100" i="19"/>
  <c r="N29" i="19"/>
  <c r="F29" i="19"/>
  <c r="CP29" i="19"/>
  <c r="BX29" i="19"/>
  <c r="CI29" i="19" s="1"/>
  <c r="P29" i="19"/>
  <c r="I29" i="19"/>
  <c r="G29" i="19"/>
  <c r="L29" i="19"/>
  <c r="BW29" i="19"/>
  <c r="CJ29" i="19"/>
  <c r="E29" i="19" a="1"/>
  <c r="CB29" i="19"/>
  <c r="CD29" i="19" a="1"/>
  <c r="D29" i="19" a="1"/>
  <c r="BZ29" i="19"/>
  <c r="BA29" i="60"/>
  <c r="BY29" i="19"/>
  <c r="BV29" i="19"/>
  <c r="CA29" i="19"/>
  <c r="B29" i="19" a="1"/>
  <c r="CE29" i="19"/>
  <c r="C29" i="19" a="1"/>
  <c r="CO29" i="19"/>
  <c r="F109" i="19"/>
  <c r="N109" i="19"/>
  <c r="CP109" i="19"/>
  <c r="CO109" i="19"/>
  <c r="G109" i="19"/>
  <c r="L109" i="19"/>
  <c r="I109" i="19"/>
  <c r="P109" i="19"/>
  <c r="C109" i="19" a="1"/>
  <c r="CJ109" i="19"/>
  <c r="CB109" i="19"/>
  <c r="BW109" i="19"/>
  <c r="BZ109" i="19"/>
  <c r="D109" i="19" a="1"/>
  <c r="CA109" i="19"/>
  <c r="CE109" i="19"/>
  <c r="E109" i="19" a="1"/>
  <c r="BV109" i="19"/>
  <c r="BY109" i="19"/>
  <c r="B109" i="19" a="1"/>
  <c r="CD109" i="19" a="1"/>
  <c r="BX109" i="19"/>
  <c r="CI109" i="19" s="1"/>
  <c r="BA109" i="60"/>
  <c r="BW10" i="19"/>
  <c r="L10" i="19"/>
  <c r="BX10" i="19"/>
  <c r="CI10" i="19" s="1"/>
  <c r="BA10" i="60"/>
  <c r="E10" i="19" a="1"/>
  <c r="CA10" i="19"/>
  <c r="B10" i="19" a="1"/>
  <c r="CB10" i="19"/>
  <c r="D10" i="19" a="1"/>
  <c r="CJ10" i="19"/>
  <c r="C10" i="19" a="1"/>
  <c r="BV10" i="19"/>
  <c r="CD10" i="19" a="1"/>
  <c r="N44" i="19"/>
  <c r="F44" i="19"/>
  <c r="BX44" i="19"/>
  <c r="CI44" i="19" s="1"/>
  <c r="I44" i="19"/>
  <c r="P44" i="19"/>
  <c r="G44" i="19"/>
  <c r="L44" i="19"/>
  <c r="BW44" i="19"/>
  <c r="D44" i="19" a="1"/>
  <c r="CA44" i="19"/>
  <c r="B44" i="19" a="1"/>
  <c r="J44" i="19" s="1"/>
  <c r="M44" i="19" s="1"/>
  <c r="E44" i="19" a="1"/>
  <c r="CJ44" i="19"/>
  <c r="CE44" i="19"/>
  <c r="BV44" i="19"/>
  <c r="BY44" i="19"/>
  <c r="CD44" i="19" a="1"/>
  <c r="BZ44" i="19"/>
  <c r="CB44" i="19"/>
  <c r="C44" i="19" a="1"/>
  <c r="CP44" i="19"/>
  <c r="CO44" i="19"/>
  <c r="BA44" i="60"/>
  <c r="N93" i="19"/>
  <c r="F93" i="19"/>
  <c r="CO93" i="19"/>
  <c r="L93" i="19"/>
  <c r="P93" i="19"/>
  <c r="G93" i="19"/>
  <c r="I93" i="19"/>
  <c r="CP93" i="19"/>
  <c r="BZ93" i="19"/>
  <c r="BA93" i="60"/>
  <c r="BY93" i="19"/>
  <c r="CE93" i="19"/>
  <c r="D93" i="19" a="1"/>
  <c r="E93" i="19" a="1"/>
  <c r="B93" i="19" a="1"/>
  <c r="CJ93" i="19"/>
  <c r="BV93" i="19"/>
  <c r="CB93" i="19"/>
  <c r="CA93" i="19"/>
  <c r="CD93" i="19" a="1"/>
  <c r="C93" i="19" a="1"/>
  <c r="BW93" i="19"/>
  <c r="BX93" i="19"/>
  <c r="CI93" i="19" s="1"/>
  <c r="BW11" i="19"/>
  <c r="L11" i="19"/>
  <c r="BV11" i="19"/>
  <c r="CD11" i="19" a="1"/>
  <c r="CE15" i="19" s="1"/>
  <c r="D11" i="19" a="1"/>
  <c r="B11" i="19" a="1"/>
  <c r="C11" i="19" a="1"/>
  <c r="CA11" i="19"/>
  <c r="CB11" i="19"/>
  <c r="BA11" i="60"/>
  <c r="CJ11" i="19"/>
  <c r="E11" i="19" a="1"/>
  <c r="CO11" i="19"/>
  <c r="BX11" i="19"/>
  <c r="CI11" i="19" s="1"/>
  <c r="N159" i="19"/>
  <c r="F159" i="19"/>
  <c r="CP159" i="19"/>
  <c r="I159" i="19"/>
  <c r="G159" i="19"/>
  <c r="L159" i="19"/>
  <c r="P159" i="19"/>
  <c r="BW159" i="19"/>
  <c r="C159" i="19" a="1"/>
  <c r="CE159" i="19"/>
  <c r="E159" i="19" a="1"/>
  <c r="D159" i="19" a="1"/>
  <c r="BV159" i="19"/>
  <c r="CA159" i="19"/>
  <c r="CJ159" i="19"/>
  <c r="B159" i="19" a="1"/>
  <c r="CD159" i="19" a="1"/>
  <c r="BY159" i="19"/>
  <c r="BZ159" i="19"/>
  <c r="CB159" i="19"/>
  <c r="CO159" i="19"/>
  <c r="BX159" i="19"/>
  <c r="CI159" i="19" s="1"/>
  <c r="BA159" i="60"/>
  <c r="F65" i="19"/>
  <c r="N65" i="19"/>
  <c r="CO65" i="19"/>
  <c r="BX65" i="19"/>
  <c r="CI65" i="19" s="1"/>
  <c r="L65" i="19"/>
  <c r="G65" i="19"/>
  <c r="I65" i="19"/>
  <c r="P65" i="19"/>
  <c r="CP65" i="19"/>
  <c r="CD65" i="19" a="1"/>
  <c r="D65" i="19" a="1"/>
  <c r="C65" i="19" a="1"/>
  <c r="E65" i="19" a="1"/>
  <c r="CE65" i="19"/>
  <c r="BV65" i="19"/>
  <c r="CJ65" i="19"/>
  <c r="B65" i="19" a="1"/>
  <c r="J65" i="19" s="1"/>
  <c r="M65" i="19" s="1"/>
  <c r="CA65" i="19"/>
  <c r="BA65" i="60"/>
  <c r="BY65" i="19"/>
  <c r="CB65" i="19"/>
  <c r="BW65" i="19"/>
  <c r="BZ65" i="19"/>
  <c r="N190" i="19"/>
  <c r="F190" i="19"/>
  <c r="CP190" i="19"/>
  <c r="CO190" i="19"/>
  <c r="BZ190" i="19"/>
  <c r="G190" i="19"/>
  <c r="P190" i="19"/>
  <c r="I190" i="19"/>
  <c r="L190" i="19"/>
  <c r="BW190" i="19"/>
  <c r="CJ190" i="19"/>
  <c r="B190" i="19" a="1"/>
  <c r="C190" i="19" a="1"/>
  <c r="BV190" i="19"/>
  <c r="CB190" i="19"/>
  <c r="CA190" i="19"/>
  <c r="D190" i="19" a="1"/>
  <c r="E190" i="19" a="1"/>
  <c r="BY190" i="19"/>
  <c r="CD190" i="19" a="1"/>
  <c r="BA190" i="60"/>
  <c r="CE190" i="19"/>
  <c r="BX190" i="19"/>
  <c r="CI190" i="19" s="1"/>
  <c r="N119" i="19"/>
  <c r="F119" i="19"/>
  <c r="CO119" i="19"/>
  <c r="BX119" i="19"/>
  <c r="CI119" i="19" s="1"/>
  <c r="P119" i="19"/>
  <c r="L119" i="19"/>
  <c r="I119" i="19"/>
  <c r="G119" i="19"/>
  <c r="BW119" i="19"/>
  <c r="BA119" i="60"/>
  <c r="E119" i="19" a="1"/>
  <c r="CJ119" i="19"/>
  <c r="CE119" i="19"/>
  <c r="D119" i="19" a="1"/>
  <c r="BY119" i="19"/>
  <c r="B119" i="19" a="1"/>
  <c r="J119" i="19" s="1"/>
  <c r="M119" i="19" s="1"/>
  <c r="CD119" i="19" a="1"/>
  <c r="C119" i="19" a="1"/>
  <c r="BV119" i="19"/>
  <c r="CB119" i="19"/>
  <c r="CA119" i="19"/>
  <c r="CP119" i="19"/>
  <c r="BZ119" i="19"/>
  <c r="CH119" i="19" s="1" a="1"/>
  <c r="F163" i="19"/>
  <c r="N163" i="19"/>
  <c r="CO163" i="19"/>
  <c r="BW163" i="19"/>
  <c r="P163" i="19"/>
  <c r="I163" i="19"/>
  <c r="L163" i="19"/>
  <c r="G163" i="19"/>
  <c r="BX163" i="19"/>
  <c r="CI163" i="19" s="1"/>
  <c r="CE163" i="19"/>
  <c r="BA163" i="60"/>
  <c r="B163" i="19" a="1"/>
  <c r="BV163" i="19"/>
  <c r="D163" i="19" a="1"/>
  <c r="CJ163" i="19"/>
  <c r="CD163" i="19" a="1"/>
  <c r="BZ163" i="19"/>
  <c r="CA163" i="19"/>
  <c r="E163" i="19" a="1"/>
  <c r="BY163" i="19"/>
  <c r="C163" i="19" a="1"/>
  <c r="CP163" i="19"/>
  <c r="CB163" i="19"/>
  <c r="F96" i="19"/>
  <c r="N96" i="19"/>
  <c r="CO96" i="19"/>
  <c r="BW96" i="19"/>
  <c r="I96" i="19"/>
  <c r="L96" i="19"/>
  <c r="P96" i="19"/>
  <c r="G96" i="19"/>
  <c r="CP96" i="19"/>
  <c r="BZ96" i="19"/>
  <c r="BV96" i="19"/>
  <c r="CJ96" i="19"/>
  <c r="CD96" i="19" a="1"/>
  <c r="D96" i="19" a="1"/>
  <c r="C96" i="19" a="1"/>
  <c r="CA96" i="19"/>
  <c r="B96" i="19" a="1"/>
  <c r="BY96" i="19"/>
  <c r="CE96" i="19"/>
  <c r="E96" i="19" a="1"/>
  <c r="CB96" i="19"/>
  <c r="BX96" i="19"/>
  <c r="CI96" i="19" s="1"/>
  <c r="BA96" i="60"/>
  <c r="N176" i="19"/>
  <c r="F176" i="19"/>
  <c r="CP176" i="19"/>
  <c r="BW176" i="19"/>
  <c r="P176" i="19"/>
  <c r="L176" i="19"/>
  <c r="G176" i="19"/>
  <c r="I176" i="19"/>
  <c r="B176" i="19" a="1"/>
  <c r="BV176" i="19"/>
  <c r="E176" i="19" a="1"/>
  <c r="CJ176" i="19"/>
  <c r="CB176" i="19"/>
  <c r="BY176" i="19"/>
  <c r="CA176" i="19"/>
  <c r="CD176" i="19" a="1"/>
  <c r="BZ176" i="19"/>
  <c r="C176" i="19" a="1"/>
  <c r="D176" i="19" a="1"/>
  <c r="CE176" i="19"/>
  <c r="CO176" i="19"/>
  <c r="BX176" i="19"/>
  <c r="CI176" i="19" s="1"/>
  <c r="BA176" i="60"/>
  <c r="N156" i="19"/>
  <c r="F156" i="19"/>
  <c r="I156" i="19"/>
  <c r="P156" i="19"/>
  <c r="L156" i="19"/>
  <c r="G156" i="19"/>
  <c r="CO156" i="19"/>
  <c r="BZ156" i="19"/>
  <c r="CB156" i="19"/>
  <c r="BX156" i="19"/>
  <c r="CI156" i="19" s="1"/>
  <c r="BA156" i="60"/>
  <c r="E156" i="19" a="1"/>
  <c r="CA156" i="19"/>
  <c r="CE156" i="19"/>
  <c r="C156" i="19" a="1"/>
  <c r="BV156" i="19"/>
  <c r="D156" i="19" a="1"/>
  <c r="BY156" i="19"/>
  <c r="CD156" i="19" a="1"/>
  <c r="CJ156" i="19"/>
  <c r="B156" i="19" a="1"/>
  <c r="CP156" i="19"/>
  <c r="BW156" i="19"/>
  <c r="F183" i="19"/>
  <c r="N183" i="19"/>
  <c r="BX183" i="19"/>
  <c r="CI183" i="19" s="1"/>
  <c r="P183" i="19"/>
  <c r="G183" i="19"/>
  <c r="I183" i="19"/>
  <c r="L183" i="19"/>
  <c r="CO183" i="19"/>
  <c r="BA183" i="60"/>
  <c r="CD183" i="19" a="1"/>
  <c r="BY183" i="19"/>
  <c r="CJ183" i="19"/>
  <c r="D183" i="19" a="1"/>
  <c r="CE183" i="19"/>
  <c r="CB183" i="19"/>
  <c r="C183" i="19" a="1"/>
  <c r="CA183" i="19"/>
  <c r="BV183" i="19"/>
  <c r="B183" i="19" a="1"/>
  <c r="E183" i="19" a="1"/>
  <c r="CP183" i="19"/>
  <c r="BW183" i="19"/>
  <c r="BZ183" i="19"/>
  <c r="F196" i="19"/>
  <c r="N196" i="19"/>
  <c r="CO196" i="19"/>
  <c r="BW196" i="19"/>
  <c r="G196" i="19"/>
  <c r="I196" i="19"/>
  <c r="P196" i="19"/>
  <c r="L196" i="19"/>
  <c r="CP196" i="19"/>
  <c r="BX196" i="19"/>
  <c r="CI196" i="19" s="1"/>
  <c r="BV196" i="19"/>
  <c r="D196" i="19" a="1"/>
  <c r="CB196" i="19"/>
  <c r="BY196" i="19"/>
  <c r="C196" i="19" a="1"/>
  <c r="CJ196" i="19"/>
  <c r="CD196" i="19" a="1"/>
  <c r="E196" i="19" a="1"/>
  <c r="BZ196" i="19"/>
  <c r="BA196" i="60"/>
  <c r="CA196" i="19"/>
  <c r="B196" i="19" a="1"/>
  <c r="CE196" i="19"/>
  <c r="N184" i="19"/>
  <c r="F184" i="19"/>
  <c r="CP184" i="19"/>
  <c r="BX184" i="19"/>
  <c r="CI184" i="19" s="1"/>
  <c r="BA184" i="60"/>
  <c r="G184" i="19"/>
  <c r="L184" i="19"/>
  <c r="P184" i="19"/>
  <c r="I184" i="19"/>
  <c r="D184" i="19" a="1"/>
  <c r="BV184" i="19"/>
  <c r="CB184" i="19"/>
  <c r="E184" i="19" a="1"/>
  <c r="CD184" i="19" a="1"/>
  <c r="C184" i="19" a="1"/>
  <c r="CA184" i="19"/>
  <c r="CJ184" i="19"/>
  <c r="B184" i="19" a="1"/>
  <c r="J184" i="19" s="1"/>
  <c r="M184" i="19" s="1"/>
  <c r="CE184" i="19"/>
  <c r="CO184" i="19"/>
  <c r="BW184" i="19"/>
  <c r="BZ184" i="19"/>
  <c r="BY184" i="19"/>
  <c r="N161" i="19"/>
  <c r="F161" i="19"/>
  <c r="CO161" i="19"/>
  <c r="I161" i="19"/>
  <c r="G161" i="19"/>
  <c r="L161" i="19"/>
  <c r="P161" i="19"/>
  <c r="BW161" i="19"/>
  <c r="E161" i="19" a="1"/>
  <c r="CE161" i="19"/>
  <c r="CJ161" i="19"/>
  <c r="B161" i="19" a="1"/>
  <c r="CA161" i="19"/>
  <c r="BZ161" i="19"/>
  <c r="C161" i="19" a="1"/>
  <c r="BY161" i="19"/>
  <c r="BV161" i="19"/>
  <c r="D161" i="19" a="1"/>
  <c r="CB161" i="19"/>
  <c r="CD161" i="19" a="1"/>
  <c r="BA161" i="60"/>
  <c r="CP161" i="19"/>
  <c r="BX161" i="19"/>
  <c r="CI161" i="19" s="1"/>
  <c r="F209" i="19"/>
  <c r="N209" i="19"/>
  <c r="CO209" i="19"/>
  <c r="BX209" i="19"/>
  <c r="CI209" i="19" s="1"/>
  <c r="P209" i="19"/>
  <c r="L209" i="19"/>
  <c r="I209" i="19"/>
  <c r="G209" i="19"/>
  <c r="CP209" i="19"/>
  <c r="BW209" i="19"/>
  <c r="CE209" i="19"/>
  <c r="CA209" i="19"/>
  <c r="B209" i="19" a="1"/>
  <c r="D209" i="19" a="1"/>
  <c r="BY209" i="19"/>
  <c r="CB209" i="19"/>
  <c r="E209" i="19" a="1"/>
  <c r="BV209" i="19"/>
  <c r="C209" i="19" a="1"/>
  <c r="CJ209" i="19"/>
  <c r="CD209" i="19" a="1"/>
  <c r="BZ209" i="19"/>
  <c r="BA209" i="60"/>
  <c r="N40" i="19"/>
  <c r="F40" i="19"/>
  <c r="CO40" i="19"/>
  <c r="I40" i="19"/>
  <c r="P40" i="19"/>
  <c r="L40" i="19"/>
  <c r="G40" i="19"/>
  <c r="BW40" i="19"/>
  <c r="BZ40" i="19"/>
  <c r="CA40" i="19"/>
  <c r="E40" i="19" a="1"/>
  <c r="CB40" i="19"/>
  <c r="B40" i="19" a="1"/>
  <c r="D40" i="19" a="1"/>
  <c r="CE40" i="19"/>
  <c r="CD40" i="19" a="1"/>
  <c r="BV40" i="19"/>
  <c r="BY40" i="19"/>
  <c r="CJ40" i="19"/>
  <c r="C40" i="19" a="1"/>
  <c r="CP40" i="19"/>
  <c r="BX40" i="19"/>
  <c r="CI40" i="19" s="1"/>
  <c r="BA40" i="60"/>
  <c r="F101" i="19"/>
  <c r="N101" i="19"/>
  <c r="CO101" i="19"/>
  <c r="BW101" i="19"/>
  <c r="BA101" i="60"/>
  <c r="G101" i="19"/>
  <c r="I101" i="19"/>
  <c r="L101" i="19"/>
  <c r="P101" i="19"/>
  <c r="CP101" i="19"/>
  <c r="CJ101" i="19"/>
  <c r="CB101" i="19"/>
  <c r="E101" i="19" a="1"/>
  <c r="C101" i="19" a="1"/>
  <c r="CA101" i="19"/>
  <c r="BY101" i="19"/>
  <c r="BV101" i="19"/>
  <c r="D101" i="19" a="1"/>
  <c r="CE101" i="19"/>
  <c r="B101" i="19" a="1"/>
  <c r="CD101" i="19" a="1"/>
  <c r="BX101" i="19"/>
  <c r="CI101" i="19" s="1"/>
  <c r="BZ101" i="19"/>
  <c r="N139" i="19"/>
  <c r="F139" i="19"/>
  <c r="BX139" i="19"/>
  <c r="CI139" i="19" s="1"/>
  <c r="P139" i="19"/>
  <c r="I139" i="19"/>
  <c r="G139" i="19"/>
  <c r="L139" i="19"/>
  <c r="CO139" i="19"/>
  <c r="BA139" i="60"/>
  <c r="BZ139" i="19"/>
  <c r="BY139" i="19"/>
  <c r="CE139" i="19"/>
  <c r="CD139" i="19" a="1"/>
  <c r="D139" i="19" a="1"/>
  <c r="CB139" i="19"/>
  <c r="CA139" i="19"/>
  <c r="B139" i="19" a="1"/>
  <c r="CJ139" i="19"/>
  <c r="E139" i="19" a="1"/>
  <c r="C139" i="19" a="1"/>
  <c r="BV139" i="19"/>
  <c r="CP139" i="19"/>
  <c r="BW139" i="19"/>
  <c r="N75" i="19"/>
  <c r="F75" i="19"/>
  <c r="BW75" i="19"/>
  <c r="BZ75" i="19"/>
  <c r="G75" i="19"/>
  <c r="I75" i="19"/>
  <c r="L75" i="19"/>
  <c r="P75" i="19"/>
  <c r="CP75" i="19"/>
  <c r="CJ75" i="19"/>
  <c r="BV75" i="19"/>
  <c r="E75" i="19" a="1"/>
  <c r="CE75" i="19"/>
  <c r="CB75" i="19"/>
  <c r="CA75" i="19"/>
  <c r="D75" i="19" a="1"/>
  <c r="CD75" i="19" a="1"/>
  <c r="B75" i="19" a="1"/>
  <c r="J75" i="19" s="1"/>
  <c r="M75" i="19" s="1"/>
  <c r="BY75" i="19"/>
  <c r="C75" i="19" a="1"/>
  <c r="CO75" i="19"/>
  <c r="BX75" i="19"/>
  <c r="CI75" i="19" s="1"/>
  <c r="BA75" i="60"/>
  <c r="F203" i="19"/>
  <c r="N203" i="19"/>
  <c r="I203" i="19"/>
  <c r="P203" i="19"/>
  <c r="L203" i="19"/>
  <c r="G203" i="19"/>
  <c r="CP203" i="19"/>
  <c r="CO203" i="19"/>
  <c r="BX203" i="19"/>
  <c r="CI203" i="19" s="1"/>
  <c r="BZ203" i="19"/>
  <c r="BY203" i="19"/>
  <c r="BA203" i="60"/>
  <c r="C203" i="19" a="1"/>
  <c r="D203" i="19" a="1"/>
  <c r="CB203" i="19"/>
  <c r="CD203" i="19" a="1"/>
  <c r="CE203" i="19"/>
  <c r="BV203" i="19"/>
  <c r="B203" i="19" a="1"/>
  <c r="CJ203" i="19"/>
  <c r="E203" i="19" a="1"/>
  <c r="CA203" i="19"/>
  <c r="BW203" i="19"/>
  <c r="F191" i="19"/>
  <c r="N191" i="19"/>
  <c r="CO191" i="19"/>
  <c r="BX191" i="19"/>
  <c r="CI191" i="19" s="1"/>
  <c r="BZ191" i="19"/>
  <c r="I191" i="19"/>
  <c r="G191" i="19"/>
  <c r="L191" i="19"/>
  <c r="P191" i="19"/>
  <c r="BW191" i="19"/>
  <c r="E191" i="19" a="1"/>
  <c r="CA191" i="19"/>
  <c r="CJ191" i="19"/>
  <c r="BA191" i="60"/>
  <c r="D191" i="19" a="1"/>
  <c r="BV191" i="19"/>
  <c r="BY191" i="19"/>
  <c r="CD191" i="19" a="1"/>
  <c r="C191" i="19" a="1"/>
  <c r="CE191" i="19"/>
  <c r="B191" i="19" a="1"/>
  <c r="J191" i="19" s="1"/>
  <c r="M191" i="19" s="1"/>
  <c r="CB191" i="19"/>
  <c r="CP191" i="19"/>
  <c r="N185" i="19"/>
  <c r="F185" i="19"/>
  <c r="BX185" i="19"/>
  <c r="CI185" i="19" s="1"/>
  <c r="I185" i="19"/>
  <c r="P185" i="19"/>
  <c r="L185" i="19"/>
  <c r="G185" i="19"/>
  <c r="C185" i="19" a="1"/>
  <c r="BA185" i="60"/>
  <c r="CJ185" i="19"/>
  <c r="CD185" i="19" a="1"/>
  <c r="E185" i="19" a="1"/>
  <c r="CA185" i="19"/>
  <c r="B185" i="19" a="1"/>
  <c r="BY185" i="19"/>
  <c r="BV185" i="19"/>
  <c r="CB185" i="19"/>
  <c r="D185" i="19" a="1"/>
  <c r="CE185" i="19"/>
  <c r="CP185" i="19"/>
  <c r="CO185" i="19"/>
  <c r="BW185" i="19"/>
  <c r="BZ185" i="19"/>
  <c r="F83" i="19"/>
  <c r="N83" i="19"/>
  <c r="CO83" i="19"/>
  <c r="BZ83" i="19"/>
  <c r="L83" i="19"/>
  <c r="I83" i="19"/>
  <c r="P83" i="19"/>
  <c r="G83" i="19"/>
  <c r="CP83" i="19"/>
  <c r="BX83" i="19"/>
  <c r="CI83" i="19" s="1"/>
  <c r="BA83" i="60"/>
  <c r="BV83" i="19"/>
  <c r="CE83" i="19"/>
  <c r="CA83" i="19"/>
  <c r="D83" i="19" a="1"/>
  <c r="BY83" i="19"/>
  <c r="C83" i="19" a="1"/>
  <c r="B83" i="19" a="1"/>
  <c r="J83" i="19" s="1"/>
  <c r="M83" i="19" s="1"/>
  <c r="CJ83" i="19"/>
  <c r="CB83" i="19"/>
  <c r="E83" i="19" a="1"/>
  <c r="CD83" i="19" a="1"/>
  <c r="BW83" i="19"/>
  <c r="F73" i="19"/>
  <c r="N73" i="19"/>
  <c r="CP73" i="19"/>
  <c r="P73" i="19"/>
  <c r="G73" i="19"/>
  <c r="L73" i="19"/>
  <c r="I73" i="19"/>
  <c r="CO73" i="19"/>
  <c r="BW73" i="19"/>
  <c r="BZ73" i="19"/>
  <c r="CJ73" i="19"/>
  <c r="BA73" i="60"/>
  <c r="CE73" i="19"/>
  <c r="C73" i="19" a="1"/>
  <c r="CA73" i="19"/>
  <c r="BV73" i="19"/>
  <c r="D73" i="19" a="1"/>
  <c r="CD73" i="19" a="1"/>
  <c r="E73" i="19" a="1"/>
  <c r="CB73" i="19"/>
  <c r="BY73" i="19"/>
  <c r="B73" i="19" a="1"/>
  <c r="J73" i="19" s="1"/>
  <c r="BX73" i="19"/>
  <c r="CI73" i="19" s="1"/>
  <c r="F18" i="19"/>
  <c r="N18" i="19"/>
  <c r="CP18" i="19"/>
  <c r="G18" i="19"/>
  <c r="L18" i="19"/>
  <c r="I18" i="19"/>
  <c r="P18" i="19"/>
  <c r="BW18" i="19"/>
  <c r="CD18" i="19" a="1"/>
  <c r="CE18" i="19"/>
  <c r="CJ18" i="19"/>
  <c r="E18" i="19" a="1"/>
  <c r="BY18" i="19"/>
  <c r="CA18" i="19"/>
  <c r="CB18" i="19"/>
  <c r="B18" i="19" a="1"/>
  <c r="C18" i="19" a="1"/>
  <c r="D18" i="19" a="1"/>
  <c r="BV18" i="19"/>
  <c r="CO18" i="19"/>
  <c r="BX18" i="19"/>
  <c r="CI18" i="19" s="1"/>
  <c r="BZ18" i="19"/>
  <c r="BA18" i="60"/>
  <c r="N19" i="19"/>
  <c r="F19" i="19"/>
  <c r="CO19" i="19"/>
  <c r="BW19" i="19"/>
  <c r="I19" i="19"/>
  <c r="G19" i="19"/>
  <c r="P19" i="19"/>
  <c r="L19" i="19"/>
  <c r="BA19" i="60"/>
  <c r="C19" i="19" a="1"/>
  <c r="BY19" i="19"/>
  <c r="BV19" i="19"/>
  <c r="CB19" i="19"/>
  <c r="CA19" i="19"/>
  <c r="D19" i="19" a="1"/>
  <c r="BZ19" i="19"/>
  <c r="B19" i="19" a="1"/>
  <c r="CD19" i="19" a="1"/>
  <c r="CE19" i="19"/>
  <c r="CJ19" i="19"/>
  <c r="E19" i="19" a="1"/>
  <c r="CP19" i="19"/>
  <c r="BX19" i="19"/>
  <c r="CI19" i="19" s="1"/>
  <c r="N77" i="19"/>
  <c r="F77" i="19"/>
  <c r="CO77" i="19"/>
  <c r="BW77" i="19"/>
  <c r="G77" i="19"/>
  <c r="I77" i="19"/>
  <c r="L77" i="19"/>
  <c r="P77" i="19"/>
  <c r="CP77" i="19"/>
  <c r="BX77" i="19"/>
  <c r="CI77" i="19" s="1"/>
  <c r="CB77" i="19"/>
  <c r="CD77" i="19" a="1"/>
  <c r="BV77" i="19"/>
  <c r="D77" i="19" a="1"/>
  <c r="E77" i="19" a="1"/>
  <c r="CA77" i="19"/>
  <c r="C77" i="19" a="1"/>
  <c r="B77" i="19" a="1"/>
  <c r="J77" i="19" s="1"/>
  <c r="M77" i="19" s="1"/>
  <c r="BA77" i="60"/>
  <c r="CJ77" i="19"/>
  <c r="CE77" i="19"/>
  <c r="BY77" i="19"/>
  <c r="BZ77" i="19"/>
  <c r="F35" i="19"/>
  <c r="N35" i="19"/>
  <c r="BW35" i="19"/>
  <c r="L35" i="19"/>
  <c r="G35" i="19"/>
  <c r="P35" i="19"/>
  <c r="I35" i="19"/>
  <c r="CP35" i="19"/>
  <c r="CO35" i="19"/>
  <c r="BV35" i="19"/>
  <c r="D35" i="19" a="1"/>
  <c r="CD35" i="19" a="1"/>
  <c r="CA35" i="19"/>
  <c r="CJ35" i="19"/>
  <c r="BZ35" i="19"/>
  <c r="CB35" i="19"/>
  <c r="BA35" i="60"/>
  <c r="CE35" i="19"/>
  <c r="B35" i="19" a="1"/>
  <c r="J35" i="19" s="1"/>
  <c r="M35" i="19" s="1"/>
  <c r="E35" i="19" a="1"/>
  <c r="C35" i="19" a="1"/>
  <c r="BY35" i="19"/>
  <c r="BX35" i="19"/>
  <c r="CI35" i="19" s="1"/>
  <c r="F113" i="19"/>
  <c r="N113" i="19"/>
  <c r="CO113" i="19"/>
  <c r="P113" i="19"/>
  <c r="G113" i="19"/>
  <c r="I113" i="19"/>
  <c r="L113" i="19"/>
  <c r="CP113" i="19"/>
  <c r="BX113" i="19"/>
  <c r="CI113" i="19" s="1"/>
  <c r="BZ113" i="19"/>
  <c r="C113" i="19" a="1"/>
  <c r="B113" i="19" a="1"/>
  <c r="CA113" i="19"/>
  <c r="D113" i="19" a="1"/>
  <c r="E113" i="19" a="1"/>
  <c r="CE113" i="19"/>
  <c r="BY113" i="19"/>
  <c r="CJ113" i="19"/>
  <c r="CD113" i="19" a="1"/>
  <c r="CB113" i="19"/>
  <c r="BW113" i="19"/>
  <c r="BA113" i="60"/>
  <c r="BV113" i="19"/>
  <c r="F218" i="19"/>
  <c r="N218" i="19"/>
  <c r="CP218" i="19"/>
  <c r="CO218" i="19"/>
  <c r="BX218" i="19"/>
  <c r="CI218" i="19" s="1"/>
  <c r="L218" i="19"/>
  <c r="I218" i="19"/>
  <c r="P218" i="19"/>
  <c r="G218" i="19"/>
  <c r="CA218" i="19"/>
  <c r="BA218" i="60"/>
  <c r="BZ218" i="19"/>
  <c r="CD218" i="19" a="1"/>
  <c r="E218" i="19" a="1"/>
  <c r="B218" i="19" a="1"/>
  <c r="CJ218" i="19"/>
  <c r="BY218" i="19"/>
  <c r="C218" i="19" a="1"/>
  <c r="CE218" i="19"/>
  <c r="CB218" i="19"/>
  <c r="D218" i="19" a="1"/>
  <c r="BV218" i="19"/>
  <c r="BW218" i="19"/>
  <c r="N199" i="19"/>
  <c r="F199" i="19"/>
  <c r="CO199" i="19"/>
  <c r="BW199" i="19"/>
  <c r="BA199" i="60"/>
  <c r="I199" i="19"/>
  <c r="G199" i="19"/>
  <c r="L199" i="19"/>
  <c r="P199" i="19"/>
  <c r="CP199" i="19"/>
  <c r="BY199" i="19"/>
  <c r="CB199" i="19"/>
  <c r="BV199" i="19"/>
  <c r="CD199" i="19" a="1"/>
  <c r="BZ199" i="19"/>
  <c r="E199" i="19" a="1"/>
  <c r="C199" i="19" a="1"/>
  <c r="CA199" i="19"/>
  <c r="D199" i="19" a="1"/>
  <c r="CJ199" i="19"/>
  <c r="CE199" i="19"/>
  <c r="B199" i="19" a="1"/>
  <c r="J199" i="19" s="1"/>
  <c r="M199" i="19" s="1"/>
  <c r="BX199" i="19"/>
  <c r="CI199" i="19" s="1"/>
  <c r="N186" i="19"/>
  <c r="F186" i="19"/>
  <c r="CO186" i="19"/>
  <c r="BW186" i="19"/>
  <c r="BA186" i="60"/>
  <c r="I186" i="19"/>
  <c r="P186" i="19"/>
  <c r="G186" i="19"/>
  <c r="L186" i="19"/>
  <c r="CP186" i="19"/>
  <c r="BV186" i="19"/>
  <c r="B186" i="19" a="1"/>
  <c r="CE186" i="19"/>
  <c r="BZ186" i="19"/>
  <c r="CJ186" i="19"/>
  <c r="CD186" i="19" a="1"/>
  <c r="C186" i="19" a="1"/>
  <c r="CA186" i="19"/>
  <c r="D186" i="19" a="1"/>
  <c r="CB186" i="19"/>
  <c r="E186" i="19" a="1"/>
  <c r="BY186" i="19"/>
  <c r="BX186" i="19"/>
  <c r="CI186" i="19" s="1"/>
  <c r="N37" i="19"/>
  <c r="F37" i="19"/>
  <c r="CO37" i="19"/>
  <c r="BA37" i="60"/>
  <c r="P37" i="19"/>
  <c r="I37" i="19"/>
  <c r="G37" i="19"/>
  <c r="L37" i="19"/>
  <c r="BX37" i="19"/>
  <c r="CI37" i="19" s="1"/>
  <c r="C37" i="19" a="1"/>
  <c r="CE37" i="19"/>
  <c r="D37" i="19" a="1"/>
  <c r="CJ37" i="19"/>
  <c r="B37" i="19" a="1"/>
  <c r="CB37" i="19"/>
  <c r="CA37" i="19"/>
  <c r="BV37" i="19"/>
  <c r="E37" i="19" a="1"/>
  <c r="BY37" i="19"/>
  <c r="CP37" i="19"/>
  <c r="BW37" i="19"/>
  <c r="BZ37" i="19"/>
  <c r="CD37" i="19" a="1"/>
  <c r="N170" i="19"/>
  <c r="F170" i="19"/>
  <c r="CP170" i="19"/>
  <c r="L170" i="19"/>
  <c r="P170" i="19"/>
  <c r="G170" i="19"/>
  <c r="I170" i="19"/>
  <c r="BZ170" i="19"/>
  <c r="CJ170" i="19"/>
  <c r="C170" i="19" a="1"/>
  <c r="CD170" i="19" a="1"/>
  <c r="BW170" i="19"/>
  <c r="CA170" i="19"/>
  <c r="CB170" i="19"/>
  <c r="BV170" i="19"/>
  <c r="D170" i="19" a="1"/>
  <c r="E170" i="19" a="1"/>
  <c r="B170" i="19" a="1"/>
  <c r="J170" i="19" s="1"/>
  <c r="M170" i="19" s="1"/>
  <c r="BY170" i="19"/>
  <c r="CE170" i="19"/>
  <c r="CO170" i="19"/>
  <c r="BX170" i="19"/>
  <c r="CI170" i="19" s="1"/>
  <c r="BA170" i="60"/>
  <c r="N76" i="19"/>
  <c r="F76" i="19"/>
  <c r="L76" i="19"/>
  <c r="P76" i="19"/>
  <c r="I76" i="19"/>
  <c r="G76" i="19"/>
  <c r="CO76" i="19"/>
  <c r="BW76" i="19"/>
  <c r="CB76" i="19"/>
  <c r="BY76" i="19"/>
  <c r="D76" i="19" a="1"/>
  <c r="B76" i="19" a="1"/>
  <c r="J76" i="19" s="1"/>
  <c r="M76" i="19" s="1"/>
  <c r="BZ76" i="19"/>
  <c r="CD76" i="19" a="1"/>
  <c r="C76" i="19" a="1"/>
  <c r="CA76" i="19"/>
  <c r="CJ76" i="19"/>
  <c r="CE76" i="19"/>
  <c r="E76" i="19" a="1"/>
  <c r="BV76" i="19"/>
  <c r="CP76" i="19"/>
  <c r="BX76" i="19"/>
  <c r="CI76" i="19" s="1"/>
  <c r="BA76" i="60"/>
  <c r="N38" i="19"/>
  <c r="F38" i="19"/>
  <c r="G38" i="19"/>
  <c r="P38" i="19"/>
  <c r="L38" i="19"/>
  <c r="I38" i="19"/>
  <c r="CP38" i="19"/>
  <c r="BZ38" i="19"/>
  <c r="D38" i="19" a="1"/>
  <c r="CE38" i="19"/>
  <c r="CD38" i="19" a="1"/>
  <c r="BY38" i="19"/>
  <c r="CJ38" i="19"/>
  <c r="BV38" i="19"/>
  <c r="CB38" i="19"/>
  <c r="C38" i="19" a="1"/>
  <c r="CA38" i="19"/>
  <c r="B38" i="19" a="1"/>
  <c r="J38" i="19" s="1"/>
  <c r="M38" i="19" s="1"/>
  <c r="E38" i="19" a="1"/>
  <c r="CO38" i="19"/>
  <c r="BW38" i="19"/>
  <c r="BX38" i="19"/>
  <c r="CI38" i="19" s="1"/>
  <c r="BA38" i="60"/>
  <c r="F111" i="19"/>
  <c r="N111" i="19"/>
  <c r="CO111" i="19"/>
  <c r="P111" i="19"/>
  <c r="G111" i="19"/>
  <c r="I111" i="19"/>
  <c r="L111" i="19"/>
  <c r="BW111" i="19"/>
  <c r="D111" i="19" a="1"/>
  <c r="CJ111" i="19"/>
  <c r="B111" i="19" a="1"/>
  <c r="C111" i="19" a="1"/>
  <c r="CB111" i="19"/>
  <c r="BY111" i="19"/>
  <c r="CE111" i="19"/>
  <c r="BV111" i="19"/>
  <c r="CD111" i="19" a="1"/>
  <c r="BA111" i="60"/>
  <c r="E111" i="19" a="1"/>
  <c r="CA111" i="19"/>
  <c r="CP111" i="19"/>
  <c r="BX111" i="19"/>
  <c r="CI111" i="19" s="1"/>
  <c r="BZ111" i="19"/>
  <c r="F114" i="19"/>
  <c r="N114" i="19"/>
  <c r="I114" i="19"/>
  <c r="CP114" i="19"/>
  <c r="P114" i="19"/>
  <c r="G114" i="19"/>
  <c r="L114" i="19"/>
  <c r="CO114" i="19"/>
  <c r="BW114" i="19"/>
  <c r="CB114" i="19"/>
  <c r="BA114" i="60"/>
  <c r="BZ114" i="19"/>
  <c r="CD114" i="19" a="1"/>
  <c r="E114" i="19" a="1"/>
  <c r="BY114" i="19"/>
  <c r="BV114" i="19"/>
  <c r="CJ114" i="19"/>
  <c r="C114" i="19" a="1"/>
  <c r="CA114" i="19"/>
  <c r="B114" i="19" a="1"/>
  <c r="CE114" i="19"/>
  <c r="D114" i="19" a="1"/>
  <c r="BX114" i="19"/>
  <c r="CI114" i="19" s="1"/>
  <c r="N201" i="19"/>
  <c r="F201" i="19"/>
  <c r="I201" i="19"/>
  <c r="P201" i="19"/>
  <c r="BX201" i="19"/>
  <c r="CI201" i="19" s="1"/>
  <c r="BA201" i="60"/>
  <c r="L201" i="19"/>
  <c r="G201" i="19"/>
  <c r="CP201" i="19"/>
  <c r="BZ201" i="19"/>
  <c r="D201" i="19" a="1"/>
  <c r="BV201" i="19"/>
  <c r="CD201" i="19" a="1"/>
  <c r="CB201" i="19"/>
  <c r="BY201" i="19"/>
  <c r="C201" i="19" a="1"/>
  <c r="B201" i="19" a="1"/>
  <c r="J201" i="19" s="1"/>
  <c r="M201" i="19" s="1"/>
  <c r="CE201" i="19"/>
  <c r="E201" i="19" a="1"/>
  <c r="CJ201" i="19"/>
  <c r="CA201" i="19"/>
  <c r="CO201" i="19"/>
  <c r="BW201" i="19"/>
  <c r="F187" i="19"/>
  <c r="N187" i="19"/>
  <c r="P187" i="19"/>
  <c r="G187" i="19"/>
  <c r="CP187" i="19"/>
  <c r="I187" i="19"/>
  <c r="L187" i="19"/>
  <c r="BA187" i="60"/>
  <c r="BX187" i="19"/>
  <c r="CI187" i="19" s="1"/>
  <c r="BW187" i="19"/>
  <c r="BZ187" i="19"/>
  <c r="CB187" i="19"/>
  <c r="CE187" i="19"/>
  <c r="B187" i="19" a="1"/>
  <c r="CJ187" i="19"/>
  <c r="CD187" i="19" a="1"/>
  <c r="BY187" i="19"/>
  <c r="D187" i="19" a="1"/>
  <c r="BV187" i="19"/>
  <c r="E187" i="19" a="1"/>
  <c r="CA187" i="19"/>
  <c r="CO187" i="19"/>
  <c r="C187" i="19" a="1"/>
  <c r="F52" i="19"/>
  <c r="N52" i="19"/>
  <c r="I52" i="19"/>
  <c r="G52" i="19"/>
  <c r="L52" i="19"/>
  <c r="P52" i="19"/>
  <c r="CO52" i="19"/>
  <c r="BX52" i="19"/>
  <c r="CI52" i="19" s="1"/>
  <c r="CE52" i="19"/>
  <c r="C52" i="19" a="1"/>
  <c r="E52" i="19" a="1"/>
  <c r="BZ52" i="19"/>
  <c r="CA52" i="19"/>
  <c r="CJ52" i="19"/>
  <c r="B52" i="19" a="1"/>
  <c r="CD52" i="19" a="1"/>
  <c r="BY52" i="19"/>
  <c r="CB52" i="19"/>
  <c r="D52" i="19" a="1"/>
  <c r="BV52" i="19"/>
  <c r="CP52" i="19"/>
  <c r="BW52" i="19"/>
  <c r="BA52" i="60"/>
  <c r="F43" i="19"/>
  <c r="N43" i="19"/>
  <c r="I43" i="19"/>
  <c r="P43" i="19"/>
  <c r="CP43" i="19"/>
  <c r="BX43" i="19"/>
  <c r="CI43" i="19" s="1"/>
  <c r="L43" i="19"/>
  <c r="G43" i="19"/>
  <c r="CA43" i="19"/>
  <c r="CE43" i="19"/>
  <c r="D43" i="19" a="1"/>
  <c r="E43" i="19" a="1"/>
  <c r="C43" i="19" a="1"/>
  <c r="BY43" i="19"/>
  <c r="BV43" i="19"/>
  <c r="CJ43" i="19"/>
  <c r="CB43" i="19"/>
  <c r="CD43" i="19" a="1"/>
  <c r="B43" i="19" a="1"/>
  <c r="J43" i="19" s="1"/>
  <c r="M43" i="19" s="1"/>
  <c r="CO43" i="19"/>
  <c r="BW43" i="19"/>
  <c r="BZ43" i="19"/>
  <c r="BA43" i="60"/>
  <c r="N87" i="19"/>
  <c r="F87" i="19"/>
  <c r="G87" i="19"/>
  <c r="L87" i="19"/>
  <c r="I87" i="19"/>
  <c r="BW87" i="19"/>
  <c r="P87" i="19"/>
  <c r="CP87" i="19"/>
  <c r="BX87" i="19"/>
  <c r="CI87" i="19" s="1"/>
  <c r="C87" i="19" a="1"/>
  <c r="E87" i="19" a="1"/>
  <c r="BV87" i="19"/>
  <c r="CB87" i="19"/>
  <c r="CJ87" i="19"/>
  <c r="D87" i="19" a="1"/>
  <c r="CE87" i="19"/>
  <c r="CD87" i="19" a="1"/>
  <c r="BY87" i="19"/>
  <c r="CA87" i="19"/>
  <c r="B87" i="19" a="1"/>
  <c r="BA87" i="60"/>
  <c r="CO87" i="19"/>
  <c r="BZ87" i="19"/>
  <c r="F115" i="19"/>
  <c r="N115" i="19"/>
  <c r="G115" i="19"/>
  <c r="CP115" i="19"/>
  <c r="BX115" i="19"/>
  <c r="CI115" i="19" s="1"/>
  <c r="BZ115" i="19"/>
  <c r="I115" i="19"/>
  <c r="P115" i="19"/>
  <c r="L115" i="19"/>
  <c r="BW115" i="19"/>
  <c r="E115" i="19" a="1"/>
  <c r="CD115" i="19" a="1"/>
  <c r="B115" i="19" a="1"/>
  <c r="CB115" i="19"/>
  <c r="BY115" i="19"/>
  <c r="BV115" i="19"/>
  <c r="C115" i="19" a="1"/>
  <c r="D115" i="19" a="1"/>
  <c r="CA115" i="19"/>
  <c r="CE115" i="19"/>
  <c r="CJ115" i="19"/>
  <c r="CO115" i="19"/>
  <c r="BA115" i="60"/>
  <c r="N226" i="19"/>
  <c r="F226" i="19"/>
  <c r="G226" i="19"/>
  <c r="L226" i="19"/>
  <c r="I226" i="19"/>
  <c r="CO226" i="19"/>
  <c r="BW226" i="19"/>
  <c r="P226" i="19"/>
  <c r="CP226" i="19"/>
  <c r="BX226" i="19"/>
  <c r="CI226" i="19" s="1"/>
  <c r="BA226" i="60"/>
  <c r="C226" i="19" a="1"/>
  <c r="CE226" i="19"/>
  <c r="CD226" i="19" a="1"/>
  <c r="BY226" i="19"/>
  <c r="E226" i="19" a="1"/>
  <c r="CA226" i="19"/>
  <c r="BZ226" i="19"/>
  <c r="B226" i="19" a="1"/>
  <c r="D226" i="19" a="1"/>
  <c r="BV226" i="19"/>
  <c r="CJ226" i="19"/>
  <c r="CB226" i="19"/>
  <c r="F160" i="19"/>
  <c r="N160" i="19"/>
  <c r="P160" i="19"/>
  <c r="BW160" i="19"/>
  <c r="L160" i="19"/>
  <c r="G160" i="19"/>
  <c r="I160" i="19"/>
  <c r="CP160" i="19"/>
  <c r="CO160" i="19"/>
  <c r="BX160" i="19"/>
  <c r="CI160" i="19" s="1"/>
  <c r="BV160" i="19"/>
  <c r="CJ160" i="19"/>
  <c r="C160" i="19" a="1"/>
  <c r="D160" i="19" a="1"/>
  <c r="BA160" i="60"/>
  <c r="B160" i="19" a="1"/>
  <c r="J160" i="19" s="1"/>
  <c r="M160" i="19" s="1"/>
  <c r="CB160" i="19"/>
  <c r="BY160" i="19"/>
  <c r="E160" i="19" a="1"/>
  <c r="CD160" i="19" a="1"/>
  <c r="CA160" i="19"/>
  <c r="CE160" i="19"/>
  <c r="BZ160" i="19"/>
  <c r="CH160" i="19" s="1" a="1"/>
  <c r="N250" i="19"/>
  <c r="F250" i="19"/>
  <c r="L250" i="19"/>
  <c r="I250" i="19"/>
  <c r="CO250" i="19"/>
  <c r="BX250" i="19"/>
  <c r="CI250" i="19" s="1"/>
  <c r="G250" i="19"/>
  <c r="P250" i="19"/>
  <c r="BZ250" i="19"/>
  <c r="BV250" i="19"/>
  <c r="B250" i="19" a="1"/>
  <c r="CB250" i="19"/>
  <c r="CE250" i="19"/>
  <c r="BY250" i="19"/>
  <c r="C250" i="19" a="1"/>
  <c r="CA250" i="19"/>
  <c r="E250" i="19" a="1"/>
  <c r="BA250" i="60"/>
  <c r="D250" i="19" a="1"/>
  <c r="CD250" i="19" a="1"/>
  <c r="CJ250" i="19"/>
  <c r="CP250" i="19"/>
  <c r="BW250" i="19"/>
  <c r="F217" i="19"/>
  <c r="N217" i="19"/>
  <c r="L217" i="19"/>
  <c r="I217" i="19"/>
  <c r="CP217" i="19"/>
  <c r="BX217" i="19"/>
  <c r="CI217" i="19" s="1"/>
  <c r="G217" i="19"/>
  <c r="P217" i="19"/>
  <c r="D217" i="19" a="1"/>
  <c r="B217" i="19" a="1"/>
  <c r="CE217" i="19"/>
  <c r="BA217" i="60"/>
  <c r="BY217" i="19"/>
  <c r="BZ217" i="19"/>
  <c r="C217" i="19" a="1"/>
  <c r="CA217" i="19"/>
  <c r="CD217" i="19" a="1"/>
  <c r="E217" i="19" a="1"/>
  <c r="CB217" i="19"/>
  <c r="BV217" i="19"/>
  <c r="CJ217" i="19"/>
  <c r="CO217" i="19"/>
  <c r="BW217" i="19"/>
  <c r="N238" i="19"/>
  <c r="F238" i="19"/>
  <c r="P238" i="19"/>
  <c r="G238" i="19"/>
  <c r="BZ238" i="19"/>
  <c r="L238" i="19"/>
  <c r="I238" i="19"/>
  <c r="CP238" i="19"/>
  <c r="BW238" i="19"/>
  <c r="BA238" i="60"/>
  <c r="B238" i="19" a="1"/>
  <c r="C238" i="19" a="1"/>
  <c r="BY238" i="19"/>
  <c r="D238" i="19" a="1"/>
  <c r="E238" i="19" a="1"/>
  <c r="CA238" i="19"/>
  <c r="BV238" i="19"/>
  <c r="CJ238" i="19"/>
  <c r="CE238" i="19"/>
  <c r="CD238" i="19" a="1"/>
  <c r="CB238" i="19"/>
  <c r="CO238" i="19"/>
  <c r="BX238" i="19"/>
  <c r="CI238" i="19" s="1"/>
  <c r="F204" i="19"/>
  <c r="N204" i="19"/>
  <c r="P204" i="19"/>
  <c r="G204" i="19"/>
  <c r="CO204" i="19"/>
  <c r="BX204" i="19"/>
  <c r="CI204" i="19" s="1"/>
  <c r="L204" i="19"/>
  <c r="I204" i="19"/>
  <c r="CP204" i="19"/>
  <c r="CD204" i="19" a="1"/>
  <c r="BV204" i="19"/>
  <c r="BY204" i="19"/>
  <c r="B204" i="19" a="1"/>
  <c r="CJ204" i="19"/>
  <c r="CA204" i="19"/>
  <c r="C204" i="19" a="1"/>
  <c r="CB204" i="19"/>
  <c r="CE204" i="19"/>
  <c r="E204" i="19" a="1"/>
  <c r="BA204" i="60"/>
  <c r="D204" i="19" a="1"/>
  <c r="BZ204" i="19"/>
  <c r="BW204" i="19"/>
  <c r="N243" i="19"/>
  <c r="F243" i="19"/>
  <c r="G243" i="19"/>
  <c r="P243" i="19"/>
  <c r="CP243" i="19"/>
  <c r="BW243" i="19"/>
  <c r="L243" i="19"/>
  <c r="I243" i="19"/>
  <c r="BX243" i="19"/>
  <c r="CI243" i="19" s="1"/>
  <c r="CA243" i="19"/>
  <c r="CJ243" i="19"/>
  <c r="C243" i="19" a="1"/>
  <c r="BA243" i="60"/>
  <c r="CB243" i="19"/>
  <c r="BZ243" i="19"/>
  <c r="BV243" i="19"/>
  <c r="B243" i="19" a="1"/>
  <c r="CD243" i="19" a="1"/>
  <c r="CE243" i="19"/>
  <c r="E243" i="19" a="1"/>
  <c r="BY243" i="19"/>
  <c r="D243" i="19" a="1"/>
  <c r="CO243" i="19"/>
  <c r="N149" i="19"/>
  <c r="F149" i="19"/>
  <c r="I149" i="19"/>
  <c r="G149" i="19"/>
  <c r="BX149" i="19"/>
  <c r="CI149" i="19" s="1"/>
  <c r="P149" i="19"/>
  <c r="L149" i="19"/>
  <c r="CP149" i="19"/>
  <c r="CE149" i="19"/>
  <c r="BY149" i="19"/>
  <c r="E149" i="19" a="1"/>
  <c r="CB149" i="19"/>
  <c r="CD149" i="19" a="1"/>
  <c r="CA149" i="19"/>
  <c r="B149" i="19" a="1"/>
  <c r="D149" i="19" a="1"/>
  <c r="CJ149" i="19"/>
  <c r="BV149" i="19"/>
  <c r="BA149" i="60"/>
  <c r="C149" i="19" a="1"/>
  <c r="BZ149" i="19"/>
  <c r="CO149" i="19"/>
  <c r="BW149" i="19"/>
  <c r="F128" i="19"/>
  <c r="N128" i="19"/>
  <c r="P128" i="19"/>
  <c r="CP128" i="19"/>
  <c r="BX128" i="19"/>
  <c r="CI128" i="19" s="1"/>
  <c r="BA128" i="60"/>
  <c r="L128" i="19"/>
  <c r="G128" i="19"/>
  <c r="I128" i="19"/>
  <c r="CO128" i="19"/>
  <c r="CE128" i="19"/>
  <c r="E128" i="19" a="1"/>
  <c r="CJ128" i="19"/>
  <c r="C128" i="19" a="1"/>
  <c r="CA128" i="19"/>
  <c r="CB128" i="19"/>
  <c r="BY128" i="19"/>
  <c r="BV128" i="19"/>
  <c r="CD128" i="19" a="1"/>
  <c r="B128" i="19" a="1"/>
  <c r="D128" i="19" a="1"/>
  <c r="BW128" i="19"/>
  <c r="BZ128" i="19"/>
  <c r="N72" i="19"/>
  <c r="F72" i="19"/>
  <c r="P72" i="19"/>
  <c r="G72" i="19"/>
  <c r="CO72" i="19"/>
  <c r="BX72" i="19"/>
  <c r="CI72" i="19" s="1"/>
  <c r="L72" i="19"/>
  <c r="I72" i="19"/>
  <c r="BA72" i="60"/>
  <c r="CA72" i="19"/>
  <c r="B72" i="19" a="1"/>
  <c r="D72" i="19" a="1"/>
  <c r="E72" i="19" a="1"/>
  <c r="CB72" i="19"/>
  <c r="CJ72" i="19"/>
  <c r="BV72" i="19"/>
  <c r="BZ72" i="19"/>
  <c r="BY72" i="19"/>
  <c r="CD72" i="19" a="1"/>
  <c r="C72" i="19" a="1"/>
  <c r="CE72" i="19"/>
  <c r="CP72" i="19"/>
  <c r="BW72" i="19"/>
  <c r="F16" i="19"/>
  <c r="N16" i="19"/>
  <c r="P16" i="19"/>
  <c r="I16" i="19"/>
  <c r="BZ16" i="19"/>
  <c r="G16" i="19"/>
  <c r="L16" i="19"/>
  <c r="BW16" i="19"/>
  <c r="BA16" i="60"/>
  <c r="BY16" i="19"/>
  <c r="D16" i="19" a="1"/>
  <c r="CD16" i="19" a="1"/>
  <c r="CE16" i="19"/>
  <c r="CA16" i="19"/>
  <c r="CB16" i="19"/>
  <c r="CJ16" i="19"/>
  <c r="BV16" i="19"/>
  <c r="E16" i="19" a="1"/>
  <c r="C16" i="19" a="1"/>
  <c r="B16" i="19" a="1"/>
  <c r="J16" i="19" s="1"/>
  <c r="M16" i="19" s="1"/>
  <c r="CP16" i="19"/>
  <c r="CO16" i="19"/>
  <c r="BX16" i="19"/>
  <c r="CI16" i="19" s="1"/>
  <c r="I112" i="19"/>
  <c r="L112" i="19"/>
  <c r="BX112" i="19"/>
  <c r="CI112" i="19" s="1"/>
  <c r="F112" i="19"/>
  <c r="N112" i="19"/>
  <c r="P112" i="19"/>
  <c r="G112" i="19"/>
  <c r="CO112" i="19"/>
  <c r="BA112" i="60"/>
  <c r="CJ112" i="19"/>
  <c r="B112" i="19" a="1"/>
  <c r="E112" i="19" a="1"/>
  <c r="CA112" i="19"/>
  <c r="CD112" i="19" a="1"/>
  <c r="BY112" i="19"/>
  <c r="D112" i="19" a="1"/>
  <c r="C112" i="19" a="1"/>
  <c r="CE112" i="19"/>
  <c r="BV112" i="19"/>
  <c r="CP112" i="19"/>
  <c r="BW112" i="19"/>
  <c r="BZ112" i="19"/>
  <c r="CB112" i="19"/>
  <c r="P140" i="19"/>
  <c r="I140" i="19"/>
  <c r="CO140" i="19"/>
  <c r="BW140" i="19"/>
  <c r="N140" i="19"/>
  <c r="F140" i="19"/>
  <c r="L140" i="19"/>
  <c r="G140" i="19"/>
  <c r="CA140" i="19"/>
  <c r="BZ140" i="19"/>
  <c r="BA140" i="60"/>
  <c r="CE140" i="19"/>
  <c r="BY140" i="19"/>
  <c r="C140" i="19" a="1"/>
  <c r="CJ140" i="19"/>
  <c r="D140" i="19" a="1"/>
  <c r="B140" i="19" a="1"/>
  <c r="J140" i="19" s="1"/>
  <c r="M140" i="19" s="1"/>
  <c r="E140" i="19" a="1"/>
  <c r="CB140" i="19"/>
  <c r="CD140" i="19" a="1"/>
  <c r="BV140" i="19"/>
  <c r="CP140" i="19"/>
  <c r="BX140" i="19"/>
  <c r="CI140" i="19" s="1"/>
  <c r="I197" i="19"/>
  <c r="CO197" i="19"/>
  <c r="BW197" i="19"/>
  <c r="F197" i="19"/>
  <c r="N197" i="19"/>
  <c r="G197" i="19"/>
  <c r="L197" i="19"/>
  <c r="P197" i="19"/>
  <c r="CP197" i="19"/>
  <c r="BX197" i="19"/>
  <c r="CI197" i="19" s="1"/>
  <c r="BZ197" i="19"/>
  <c r="CD197" i="19" a="1"/>
  <c r="C197" i="19" a="1"/>
  <c r="CE197" i="19"/>
  <c r="D197" i="19" a="1"/>
  <c r="CB197" i="19"/>
  <c r="CA197" i="19"/>
  <c r="BY197" i="19"/>
  <c r="B197" i="19" a="1"/>
  <c r="J197" i="19" s="1"/>
  <c r="M197" i="19" s="1"/>
  <c r="BV197" i="19"/>
  <c r="E197" i="19" a="1"/>
  <c r="BA197" i="60"/>
  <c r="CJ197" i="19"/>
  <c r="I60" i="19"/>
  <c r="P60" i="19"/>
  <c r="CP60" i="19"/>
  <c r="N60" i="19"/>
  <c r="F60" i="19"/>
  <c r="G60" i="19"/>
  <c r="L60" i="19"/>
  <c r="CE60" i="19"/>
  <c r="BZ60" i="19"/>
  <c r="B60" i="19" a="1"/>
  <c r="BV60" i="19"/>
  <c r="D60" i="19" a="1"/>
  <c r="CD60" i="19" a="1"/>
  <c r="CJ60" i="19"/>
  <c r="E60" i="19" a="1"/>
  <c r="CB60" i="19"/>
  <c r="C60" i="19" a="1"/>
  <c r="BY60" i="19"/>
  <c r="CA60" i="19"/>
  <c r="CO60" i="19"/>
  <c r="BX60" i="19"/>
  <c r="CI60" i="19" s="1"/>
  <c r="BW60" i="19"/>
  <c r="BA60" i="60"/>
  <c r="P34" i="19"/>
  <c r="I34" i="19"/>
  <c r="CO34" i="19"/>
  <c r="BX34" i="19"/>
  <c r="CI34" i="19" s="1"/>
  <c r="F34" i="19"/>
  <c r="N34" i="19"/>
  <c r="L34" i="19"/>
  <c r="G34" i="19"/>
  <c r="BZ34" i="19"/>
  <c r="E34" i="19" a="1"/>
  <c r="CD34" i="19" a="1"/>
  <c r="BW34" i="19"/>
  <c r="CA34" i="19"/>
  <c r="D34" i="19" a="1"/>
  <c r="CE34" i="19"/>
  <c r="BY34" i="19"/>
  <c r="CJ34" i="19"/>
  <c r="BV34" i="19"/>
  <c r="B34" i="19" a="1"/>
  <c r="J34" i="19" s="1"/>
  <c r="M34" i="19" s="1"/>
  <c r="CB34" i="19"/>
  <c r="C34" i="19" a="1"/>
  <c r="CP34" i="19"/>
  <c r="BA34" i="60"/>
  <c r="I148" i="19"/>
  <c r="BW148" i="19"/>
  <c r="N148" i="19"/>
  <c r="F148" i="19"/>
  <c r="L148" i="19"/>
  <c r="G148" i="19"/>
  <c r="P148" i="19"/>
  <c r="CD148" i="19" a="1"/>
  <c r="CA148" i="19"/>
  <c r="B148" i="19" a="1"/>
  <c r="CE148" i="19"/>
  <c r="E148" i="19" a="1"/>
  <c r="BV148" i="19"/>
  <c r="C148" i="19" a="1"/>
  <c r="CB148" i="19"/>
  <c r="BY148" i="19"/>
  <c r="BZ148" i="19"/>
  <c r="CJ148" i="19"/>
  <c r="D148" i="19" a="1"/>
  <c r="CP148" i="19"/>
  <c r="CO148" i="19"/>
  <c r="BX148" i="19"/>
  <c r="CI148" i="19" s="1"/>
  <c r="BA148" i="60"/>
  <c r="L214" i="19"/>
  <c r="G214" i="19"/>
  <c r="P214" i="19"/>
  <c r="CP214" i="19"/>
  <c r="N214" i="19"/>
  <c r="F214" i="19"/>
  <c r="I214" i="19"/>
  <c r="CO214" i="19"/>
  <c r="BW214" i="19"/>
  <c r="B214" i="19" a="1"/>
  <c r="CD214" i="19" a="1"/>
  <c r="C214" i="19" a="1"/>
  <c r="BA214" i="60"/>
  <c r="CA214" i="19"/>
  <c r="D214" i="19" a="1"/>
  <c r="CJ214" i="19"/>
  <c r="BV214" i="19"/>
  <c r="CB214" i="19"/>
  <c r="E214" i="19" a="1"/>
  <c r="BY214" i="19"/>
  <c r="CE214" i="19"/>
  <c r="BX214" i="19"/>
  <c r="CI214" i="19" s="1"/>
  <c r="BZ214" i="19"/>
  <c r="P47" i="19"/>
  <c r="BX47" i="19"/>
  <c r="CI47" i="19" s="1"/>
  <c r="F47" i="19"/>
  <c r="N47" i="19"/>
  <c r="L47" i="19"/>
  <c r="G47" i="19"/>
  <c r="I47" i="19"/>
  <c r="CP47" i="19"/>
  <c r="BV47" i="19"/>
  <c r="C47" i="19" a="1"/>
  <c r="BY47" i="19"/>
  <c r="CA47" i="19"/>
  <c r="CE47" i="19"/>
  <c r="E47" i="19" a="1"/>
  <c r="CJ47" i="19"/>
  <c r="BA47" i="60"/>
  <c r="D47" i="19" a="1"/>
  <c r="CD47" i="19" a="1"/>
  <c r="CB47" i="19"/>
  <c r="B47" i="19" a="1"/>
  <c r="J47" i="19" s="1"/>
  <c r="M47" i="19" s="1"/>
  <c r="BZ47" i="19"/>
  <c r="CO47" i="19"/>
  <c r="BW47" i="19"/>
  <c r="G88" i="19"/>
  <c r="L88" i="19"/>
  <c r="CO88" i="19"/>
  <c r="BX88" i="19"/>
  <c r="CI88" i="19" s="1"/>
  <c r="F88" i="19"/>
  <c r="N88" i="19"/>
  <c r="P88" i="19"/>
  <c r="I88" i="19"/>
  <c r="BV88" i="19"/>
  <c r="CA88" i="19"/>
  <c r="E88" i="19" a="1"/>
  <c r="C88" i="19" a="1"/>
  <c r="BW88" i="19"/>
  <c r="BA88" i="60"/>
  <c r="BZ88" i="19"/>
  <c r="CB88" i="19"/>
  <c r="BY88" i="19"/>
  <c r="D88" i="19" a="1"/>
  <c r="CD88" i="19" a="1"/>
  <c r="CE88" i="19"/>
  <c r="CJ88" i="19"/>
  <c r="B88" i="19" a="1"/>
  <c r="J88" i="19" s="1"/>
  <c r="M88" i="19" s="1"/>
  <c r="CP88" i="19"/>
  <c r="I116" i="19"/>
  <c r="G116" i="19"/>
  <c r="P116" i="19"/>
  <c r="BZ116" i="19"/>
  <c r="F116" i="19"/>
  <c r="N116" i="19"/>
  <c r="L116" i="19"/>
  <c r="BX116" i="19"/>
  <c r="CI116" i="19" s="1"/>
  <c r="C116" i="19" a="1"/>
  <c r="CB116" i="19"/>
  <c r="CE116" i="19"/>
  <c r="BY116" i="19"/>
  <c r="B116" i="19" a="1"/>
  <c r="E116" i="19" a="1"/>
  <c r="BV116" i="19"/>
  <c r="CA116" i="19"/>
  <c r="CJ116" i="19"/>
  <c r="CD116" i="19" a="1"/>
  <c r="D116" i="19" a="1"/>
  <c r="CP116" i="19"/>
  <c r="CO116" i="19"/>
  <c r="BW116" i="19"/>
  <c r="BA116" i="60"/>
  <c r="I171" i="19"/>
  <c r="CP171" i="19"/>
  <c r="BW171" i="19"/>
  <c r="N171" i="19"/>
  <c r="F171" i="19"/>
  <c r="P171" i="19"/>
  <c r="L171" i="19"/>
  <c r="G171" i="19"/>
  <c r="CO171" i="19"/>
  <c r="BX171" i="19"/>
  <c r="CI171" i="19" s="1"/>
  <c r="BA171" i="60"/>
  <c r="CE171" i="19"/>
  <c r="BY171" i="19"/>
  <c r="C171" i="19" a="1"/>
  <c r="CD171" i="19" a="1"/>
  <c r="CB171" i="19"/>
  <c r="E171" i="19" a="1"/>
  <c r="CJ171" i="19"/>
  <c r="BV171" i="19"/>
  <c r="D171" i="19" a="1"/>
  <c r="CA171" i="19"/>
  <c r="B171" i="19" a="1"/>
  <c r="J171" i="19" s="1"/>
  <c r="M171" i="19" s="1"/>
  <c r="BZ171" i="19"/>
  <c r="G165" i="19"/>
  <c r="L165" i="19"/>
  <c r="N165" i="19"/>
  <c r="F165" i="19"/>
  <c r="I165" i="19"/>
  <c r="P165" i="19"/>
  <c r="CO165" i="19"/>
  <c r="BW165" i="19"/>
  <c r="BV165" i="19"/>
  <c r="BA165" i="60"/>
  <c r="CD165" i="19" a="1"/>
  <c r="B165" i="19" a="1"/>
  <c r="C165" i="19" a="1"/>
  <c r="CE165" i="19"/>
  <c r="BY165" i="19"/>
  <c r="D165" i="19" a="1"/>
  <c r="CA165" i="19"/>
  <c r="CJ165" i="19"/>
  <c r="CB165" i="19"/>
  <c r="E165" i="19" a="1"/>
  <c r="BZ165" i="19"/>
  <c r="CP165" i="19"/>
  <c r="BX165" i="19"/>
  <c r="CI165" i="19" s="1"/>
  <c r="P162" i="19"/>
  <c r="BW162" i="19"/>
  <c r="F162" i="19"/>
  <c r="N162" i="19"/>
  <c r="L162" i="19"/>
  <c r="G162" i="19"/>
  <c r="CO162" i="19"/>
  <c r="BZ162" i="19"/>
  <c r="D162" i="19" a="1"/>
  <c r="BA162" i="60"/>
  <c r="BY162" i="19"/>
  <c r="CA162" i="19"/>
  <c r="C162" i="19" a="1"/>
  <c r="B162" i="19" a="1"/>
  <c r="CB162" i="19"/>
  <c r="CJ162" i="19"/>
  <c r="BV162" i="19"/>
  <c r="CE162" i="19"/>
  <c r="CD162" i="19" a="1"/>
  <c r="E162" i="19" a="1"/>
  <c r="I162" i="19"/>
  <c r="CP162" i="19"/>
  <c r="BX162" i="19"/>
  <c r="CI162" i="19" s="1"/>
  <c r="I223" i="19"/>
  <c r="N223" i="19"/>
  <c r="F223" i="19"/>
  <c r="L223" i="19"/>
  <c r="G223" i="19"/>
  <c r="CP223" i="19"/>
  <c r="BX223" i="19"/>
  <c r="CI223" i="19" s="1"/>
  <c r="BZ223" i="19"/>
  <c r="C223" i="19" a="1"/>
  <c r="CA223" i="19"/>
  <c r="CE223" i="19"/>
  <c r="E223" i="19" a="1"/>
  <c r="B223" i="19" a="1"/>
  <c r="CB223" i="19"/>
  <c r="BV223" i="19"/>
  <c r="CJ223" i="19"/>
  <c r="BY223" i="19"/>
  <c r="D223" i="19" a="1"/>
  <c r="CD223" i="19" a="1"/>
  <c r="P223" i="19"/>
  <c r="CO223" i="19"/>
  <c r="BW223" i="19"/>
  <c r="BA223" i="60"/>
  <c r="I242" i="19"/>
  <c r="L242" i="19"/>
  <c r="BW242" i="19"/>
  <c r="BA242" i="60"/>
  <c r="N242" i="19"/>
  <c r="F242" i="19"/>
  <c r="P242" i="19"/>
  <c r="D242" i="19" a="1"/>
  <c r="CD242" i="19" a="1"/>
  <c r="BY242" i="19"/>
  <c r="CE242" i="19"/>
  <c r="CA242" i="19"/>
  <c r="B242" i="19" a="1"/>
  <c r="J242" i="19" s="1"/>
  <c r="M242" i="19" s="1"/>
  <c r="BV242" i="19"/>
  <c r="E242" i="19" a="1"/>
  <c r="C242" i="19" a="1"/>
  <c r="CB242" i="19"/>
  <c r="BZ242" i="19"/>
  <c r="CJ242" i="19"/>
  <c r="G242" i="19"/>
  <c r="CP242" i="19"/>
  <c r="CO242" i="19"/>
  <c r="BX242" i="19"/>
  <c r="CI242" i="19" s="1"/>
  <c r="I215" i="19"/>
  <c r="CP215" i="19"/>
  <c r="BX215" i="19"/>
  <c r="CI215" i="19" s="1"/>
  <c r="BA215" i="60"/>
  <c r="N215" i="19"/>
  <c r="F215" i="19"/>
  <c r="P215" i="19"/>
  <c r="CO215" i="19"/>
  <c r="CJ215" i="19"/>
  <c r="CD215" i="19" a="1"/>
  <c r="BV215" i="19"/>
  <c r="C215" i="19" a="1"/>
  <c r="D215" i="19" a="1"/>
  <c r="BY215" i="19"/>
  <c r="CA215" i="19"/>
  <c r="CE215" i="19"/>
  <c r="E215" i="19" a="1"/>
  <c r="CB215" i="19"/>
  <c r="B215" i="19" a="1"/>
  <c r="J215" i="19" s="1"/>
  <c r="M215" i="19" s="1"/>
  <c r="L215" i="19"/>
  <c r="G215" i="19"/>
  <c r="BW215" i="19"/>
  <c r="BZ215" i="19"/>
  <c r="L245" i="19"/>
  <c r="F245" i="19"/>
  <c r="N245" i="19"/>
  <c r="G245" i="19"/>
  <c r="I245" i="19"/>
  <c r="CO245" i="19"/>
  <c r="C245" i="19" a="1"/>
  <c r="BX245" i="19"/>
  <c r="CI245" i="19" s="1"/>
  <c r="BA245" i="60"/>
  <c r="BV245" i="19"/>
  <c r="CJ245" i="19"/>
  <c r="BY245" i="19"/>
  <c r="CE245" i="19"/>
  <c r="E245" i="19" a="1"/>
  <c r="CD245" i="19" a="1"/>
  <c r="CA245" i="19"/>
  <c r="D245" i="19" a="1"/>
  <c r="B245" i="19" a="1"/>
  <c r="J245" i="19" s="1"/>
  <c r="M245" i="19" s="1"/>
  <c r="CB245" i="19"/>
  <c r="P245" i="19"/>
  <c r="CP245" i="19"/>
  <c r="BW245" i="19"/>
  <c r="BZ245" i="19"/>
  <c r="L198" i="19"/>
  <c r="CO198" i="19"/>
  <c r="F198" i="19"/>
  <c r="N198" i="19"/>
  <c r="P198" i="19"/>
  <c r="CP198" i="19"/>
  <c r="BW198" i="19"/>
  <c r="CD198" i="19" a="1"/>
  <c r="CB198" i="19"/>
  <c r="C198" i="19" a="1"/>
  <c r="CA198" i="19"/>
  <c r="CE198" i="19"/>
  <c r="B198" i="19" a="1"/>
  <c r="CJ198" i="19"/>
  <c r="BY198" i="19"/>
  <c r="D198" i="19" a="1"/>
  <c r="BV198" i="19"/>
  <c r="E198" i="19" a="1"/>
  <c r="BA198" i="60"/>
  <c r="BZ198" i="19"/>
  <c r="G198" i="19"/>
  <c r="I198" i="19"/>
  <c r="BX198" i="19"/>
  <c r="CI198" i="19" s="1"/>
  <c r="BA30" i="60"/>
  <c r="CB30" i="19"/>
  <c r="C30" i="19" a="1"/>
  <c r="BV30" i="19"/>
  <c r="BY30" i="19"/>
  <c r="CD30" i="19" a="1"/>
  <c r="CA30" i="19"/>
  <c r="E30" i="19" a="1"/>
  <c r="D30" i="19" a="1"/>
  <c r="CE30" i="19"/>
  <c r="B30" i="19" a="1"/>
  <c r="J30" i="19" s="1"/>
  <c r="M30" i="19" s="1"/>
  <c r="CJ30" i="19"/>
  <c r="P30" i="19"/>
  <c r="I30" i="19"/>
  <c r="L30" i="19"/>
  <c r="CO30" i="19"/>
  <c r="BW30" i="19"/>
  <c r="N30" i="19"/>
  <c r="F30" i="19"/>
  <c r="G30" i="19"/>
  <c r="CP30" i="19"/>
  <c r="BX30" i="19"/>
  <c r="CI30" i="19" s="1"/>
  <c r="BZ30" i="19"/>
  <c r="I32" i="19"/>
  <c r="P32" i="19"/>
  <c r="N32" i="19"/>
  <c r="F32" i="19"/>
  <c r="L32" i="19"/>
  <c r="G32" i="19"/>
  <c r="CO32" i="19"/>
  <c r="BX32" i="19"/>
  <c r="CI32" i="19" s="1"/>
  <c r="E32" i="19" a="1"/>
  <c r="CA32" i="19"/>
  <c r="CJ32" i="19"/>
  <c r="B32" i="19" a="1"/>
  <c r="BZ32" i="19"/>
  <c r="BV32" i="19"/>
  <c r="D32" i="19" a="1"/>
  <c r="BY32" i="19"/>
  <c r="C32" i="19" a="1"/>
  <c r="CD32" i="19" a="1"/>
  <c r="CB32" i="19"/>
  <c r="CE32" i="19"/>
  <c r="CP32" i="19"/>
  <c r="BW32" i="19"/>
  <c r="BA32" i="60"/>
  <c r="G41" i="19"/>
  <c r="CO41" i="19"/>
  <c r="BX41" i="19"/>
  <c r="CI41" i="19" s="1"/>
  <c r="F41" i="19"/>
  <c r="N41" i="19"/>
  <c r="I41" i="19"/>
  <c r="L41" i="19"/>
  <c r="CP41" i="19"/>
  <c r="CD41" i="19" a="1"/>
  <c r="C41" i="19" a="1"/>
  <c r="E41" i="19" a="1"/>
  <c r="CA41" i="19"/>
  <c r="BV41" i="19"/>
  <c r="CE41" i="19"/>
  <c r="CJ41" i="19"/>
  <c r="D41" i="19" a="1"/>
  <c r="BA41" i="60"/>
  <c r="CB41" i="19"/>
  <c r="B41" i="19" a="1"/>
  <c r="J41" i="19" s="1"/>
  <c r="M41" i="19" s="1"/>
  <c r="BY41" i="19"/>
  <c r="P41" i="19"/>
  <c r="BW41" i="19"/>
  <c r="BZ41" i="19"/>
  <c r="L14" i="19"/>
  <c r="BW14" i="19"/>
  <c r="CD14" i="19" a="1"/>
  <c r="CA14" i="19"/>
  <c r="CB14" i="19"/>
  <c r="BA14" i="60"/>
  <c r="D14" i="19" a="1"/>
  <c r="B14" i="19" a="1"/>
  <c r="BV14" i="19"/>
  <c r="C14" i="19" a="1"/>
  <c r="CJ14" i="19"/>
  <c r="E14" i="19" a="1"/>
  <c r="CO14" i="19"/>
  <c r="BX14" i="19"/>
  <c r="CI14" i="19" s="1"/>
  <c r="G213" i="19"/>
  <c r="I213" i="19"/>
  <c r="CO213" i="19"/>
  <c r="BX213" i="19"/>
  <c r="CI213" i="19" s="1"/>
  <c r="BA213" i="60"/>
  <c r="N213" i="19"/>
  <c r="F213" i="19"/>
  <c r="P213" i="19"/>
  <c r="CJ213" i="19"/>
  <c r="D213" i="19" a="1"/>
  <c r="CD213" i="19" a="1"/>
  <c r="E213" i="19" a="1"/>
  <c r="BY213" i="19"/>
  <c r="CA213" i="19"/>
  <c r="BV213" i="19"/>
  <c r="BZ213" i="19"/>
  <c r="CB213" i="19"/>
  <c r="C213" i="19" a="1"/>
  <c r="B213" i="19" a="1"/>
  <c r="J213" i="19" s="1"/>
  <c r="M213" i="19" s="1"/>
  <c r="CE213" i="19"/>
  <c r="L213" i="19"/>
  <c r="CP213" i="19"/>
  <c r="BW213" i="19"/>
  <c r="G92" i="19"/>
  <c r="I92" i="19"/>
  <c r="BW92" i="19"/>
  <c r="CD92" i="19" a="1"/>
  <c r="F92" i="19"/>
  <c r="N92" i="19"/>
  <c r="L92" i="19"/>
  <c r="CO92" i="19"/>
  <c r="BX92" i="19"/>
  <c r="CI92" i="19" s="1"/>
  <c r="BZ92" i="19"/>
  <c r="CJ92" i="19"/>
  <c r="CA92" i="19"/>
  <c r="BV92" i="19"/>
  <c r="BY92" i="19"/>
  <c r="BA92" i="60"/>
  <c r="E92" i="19" a="1"/>
  <c r="CB92" i="19"/>
  <c r="B92" i="19" a="1"/>
  <c r="D92" i="19" a="1"/>
  <c r="C92" i="19" a="1"/>
  <c r="CE92" i="19"/>
  <c r="P92" i="19"/>
  <c r="CP92" i="19"/>
  <c r="P106" i="19"/>
  <c r="CP106" i="19"/>
  <c r="F106" i="19"/>
  <c r="N106" i="19"/>
  <c r="L106" i="19"/>
  <c r="I106" i="19"/>
  <c r="CE106" i="19"/>
  <c r="BZ106" i="19"/>
  <c r="BA106" i="60"/>
  <c r="CD106" i="19" a="1"/>
  <c r="C106" i="19" a="1"/>
  <c r="CB106" i="19"/>
  <c r="CJ106" i="19"/>
  <c r="BV106" i="19"/>
  <c r="CA106" i="19"/>
  <c r="D106" i="19" a="1"/>
  <c r="BY106" i="19"/>
  <c r="E106" i="19" a="1"/>
  <c r="B106" i="19" a="1"/>
  <c r="J106" i="19" s="1"/>
  <c r="M106" i="19" s="1"/>
  <c r="G106" i="19"/>
  <c r="CO106" i="19"/>
  <c r="BW106" i="19"/>
  <c r="BX106" i="19"/>
  <c r="CI106" i="19" s="1"/>
  <c r="G132" i="19"/>
  <c r="BW132" i="19"/>
  <c r="N132" i="19"/>
  <c r="F132" i="19"/>
  <c r="I132" i="19"/>
  <c r="P132" i="19"/>
  <c r="CP132" i="19"/>
  <c r="E132" i="19" a="1"/>
  <c r="C132" i="19" a="1"/>
  <c r="B132" i="19" a="1"/>
  <c r="CA132" i="19"/>
  <c r="BA132" i="60"/>
  <c r="CB132" i="19"/>
  <c r="BZ132" i="19"/>
  <c r="BY132" i="19"/>
  <c r="CE132" i="19"/>
  <c r="CD132" i="19" a="1"/>
  <c r="D132" i="19" a="1"/>
  <c r="BV132" i="19"/>
  <c r="CJ132" i="19"/>
  <c r="L132" i="19"/>
  <c r="CO132" i="19"/>
  <c r="BX132" i="19"/>
  <c r="CI132" i="19" s="1"/>
  <c r="I57" i="19"/>
  <c r="CP57" i="19"/>
  <c r="N57" i="19"/>
  <c r="F57" i="19"/>
  <c r="L57" i="19"/>
  <c r="G57" i="19"/>
  <c r="CO57" i="19"/>
  <c r="BA57" i="60"/>
  <c r="C57" i="19" a="1"/>
  <c r="D57" i="19" a="1"/>
  <c r="CE57" i="19"/>
  <c r="BY57" i="19"/>
  <c r="CJ57" i="19"/>
  <c r="BV57" i="19"/>
  <c r="E57" i="19" a="1"/>
  <c r="B57" i="19" a="1"/>
  <c r="J57" i="19" s="1"/>
  <c r="M57" i="19" s="1"/>
  <c r="CA57" i="19"/>
  <c r="CB57" i="19"/>
  <c r="CD57" i="19" a="1"/>
  <c r="P57" i="19"/>
  <c r="BW57" i="19"/>
  <c r="BX57" i="19"/>
  <c r="CI57" i="19" s="1"/>
  <c r="BZ57" i="19"/>
  <c r="G200" i="19"/>
  <c r="BX200" i="19"/>
  <c r="CI200" i="19" s="1"/>
  <c r="F200" i="19"/>
  <c r="N200" i="19"/>
  <c r="L200" i="19"/>
  <c r="CP200" i="19"/>
  <c r="BW200" i="19"/>
  <c r="BA200" i="60"/>
  <c r="CB200" i="19"/>
  <c r="D200" i="19" a="1"/>
  <c r="BV200" i="19"/>
  <c r="CE200" i="19"/>
  <c r="C200" i="19" a="1"/>
  <c r="CD200" i="19" a="1"/>
  <c r="CJ200" i="19"/>
  <c r="BY200" i="19"/>
  <c r="E200" i="19" a="1"/>
  <c r="B200" i="19" a="1"/>
  <c r="J200" i="19" s="1"/>
  <c r="M200" i="19" s="1"/>
  <c r="BZ200" i="19"/>
  <c r="CA200" i="19"/>
  <c r="I200" i="19"/>
  <c r="P200" i="19"/>
  <c r="CO200" i="19"/>
  <c r="G62" i="19"/>
  <c r="CP62" i="19"/>
  <c r="BX62" i="19"/>
  <c r="CI62" i="19" s="1"/>
  <c r="BA62" i="60"/>
  <c r="F62" i="19"/>
  <c r="N62" i="19"/>
  <c r="I62" i="19"/>
  <c r="BV62" i="19"/>
  <c r="E62" i="19" a="1"/>
  <c r="CJ62" i="19"/>
  <c r="CA62" i="19"/>
  <c r="D62" i="19" a="1"/>
  <c r="CE62" i="19"/>
  <c r="B62" i="19" a="1"/>
  <c r="J62" i="19" s="1"/>
  <c r="M62" i="19" s="1"/>
  <c r="BY62" i="19"/>
  <c r="C62" i="19" a="1"/>
  <c r="CD62" i="19" a="1"/>
  <c r="CB62" i="19"/>
  <c r="P62" i="19"/>
  <c r="L62" i="19"/>
  <c r="CO62" i="19"/>
  <c r="BW62" i="19"/>
  <c r="BZ62" i="19"/>
  <c r="G45" i="19"/>
  <c r="L45" i="19"/>
  <c r="P45" i="19"/>
  <c r="F45" i="19"/>
  <c r="N45" i="19"/>
  <c r="CP45" i="19"/>
  <c r="BX45" i="19"/>
  <c r="CI45" i="19" s="1"/>
  <c r="CA45" i="19"/>
  <c r="CJ45" i="19"/>
  <c r="BZ45" i="19"/>
  <c r="E45" i="19" a="1"/>
  <c r="CD45" i="19" a="1"/>
  <c r="BV45" i="19"/>
  <c r="BY45" i="19"/>
  <c r="C45" i="19" a="1"/>
  <c r="CE45" i="19"/>
  <c r="D45" i="19" a="1"/>
  <c r="CB45" i="19"/>
  <c r="B45" i="19" a="1"/>
  <c r="I45" i="19"/>
  <c r="CO45" i="19"/>
  <c r="BW45" i="19"/>
  <c r="BA45" i="60"/>
  <c r="G173" i="19"/>
  <c r="CO173" i="19"/>
  <c r="BX173" i="19"/>
  <c r="CI173" i="19" s="1"/>
  <c r="BA173" i="60"/>
  <c r="F173" i="19"/>
  <c r="N173" i="19"/>
  <c r="L173" i="19"/>
  <c r="I173" i="19"/>
  <c r="BW173" i="19"/>
  <c r="CE173" i="19"/>
  <c r="D173" i="19" a="1"/>
  <c r="CD173" i="19" a="1"/>
  <c r="BY173" i="19"/>
  <c r="C173" i="19" a="1"/>
  <c r="CJ173" i="19"/>
  <c r="B173" i="19" a="1"/>
  <c r="J173" i="19" s="1"/>
  <c r="M173" i="19" s="1"/>
  <c r="E173" i="19" a="1"/>
  <c r="CB173" i="19"/>
  <c r="BZ173" i="19"/>
  <c r="CA173" i="19"/>
  <c r="BV173" i="19"/>
  <c r="P173" i="19"/>
  <c r="CP173" i="19"/>
  <c r="I78" i="19"/>
  <c r="BX78" i="19"/>
  <c r="CI78" i="19" s="1"/>
  <c r="BZ78" i="19"/>
  <c r="F78" i="19"/>
  <c r="N78" i="19"/>
  <c r="L78" i="19"/>
  <c r="G78" i="19"/>
  <c r="CO78" i="19"/>
  <c r="CA78" i="19"/>
  <c r="C78" i="19" a="1"/>
  <c r="CB78" i="19"/>
  <c r="E78" i="19" a="1"/>
  <c r="BY78" i="19"/>
  <c r="BV78" i="19"/>
  <c r="B78" i="19" a="1"/>
  <c r="D78" i="19" a="1"/>
  <c r="CD78" i="19" a="1"/>
  <c r="CJ78" i="19"/>
  <c r="CE78" i="19"/>
  <c r="BA78" i="60"/>
  <c r="P78" i="19"/>
  <c r="CP78" i="19"/>
  <c r="BW78" i="19"/>
  <c r="I51" i="19"/>
  <c r="BW51" i="19"/>
  <c r="F51" i="19"/>
  <c r="N51" i="19"/>
  <c r="G51" i="19"/>
  <c r="CP51" i="19"/>
  <c r="BX51" i="19"/>
  <c r="CI51" i="19" s="1"/>
  <c r="CB51" i="19"/>
  <c r="BY51" i="19"/>
  <c r="CJ51" i="19"/>
  <c r="D51" i="19" a="1"/>
  <c r="BZ51" i="19"/>
  <c r="B51" i="19" a="1"/>
  <c r="E51" i="19" a="1"/>
  <c r="BV51" i="19"/>
  <c r="CE51" i="19"/>
  <c r="CA51" i="19"/>
  <c r="C51" i="19" a="1"/>
  <c r="P51" i="19"/>
  <c r="L51" i="19"/>
  <c r="CO51" i="19"/>
  <c r="BA51" i="60"/>
  <c r="CD51" i="19" a="1"/>
  <c r="CP89" i="19"/>
  <c r="BW89" i="19"/>
  <c r="BA89" i="60"/>
  <c r="N89" i="19"/>
  <c r="F89" i="19"/>
  <c r="I89" i="19"/>
  <c r="P89" i="19"/>
  <c r="CO89" i="19"/>
  <c r="E89" i="19" a="1"/>
  <c r="BV89" i="19"/>
  <c r="CB89" i="19"/>
  <c r="CA89" i="19"/>
  <c r="BY89" i="19"/>
  <c r="C89" i="19" a="1"/>
  <c r="CE89" i="19"/>
  <c r="B89" i="19" a="1"/>
  <c r="CJ89" i="19"/>
  <c r="D89" i="19" a="1"/>
  <c r="CD89" i="19" a="1"/>
  <c r="BZ89" i="19"/>
  <c r="G89" i="19"/>
  <c r="L89" i="19"/>
  <c r="BX89" i="19"/>
  <c r="CI89" i="19" s="1"/>
  <c r="P129" i="19"/>
  <c r="BW129" i="19"/>
  <c r="F129" i="19"/>
  <c r="N129" i="19"/>
  <c r="L129" i="19"/>
  <c r="CP129" i="19"/>
  <c r="E129" i="19" a="1"/>
  <c r="BA129" i="60"/>
  <c r="CE129" i="19"/>
  <c r="BZ129" i="19"/>
  <c r="D129" i="19" a="1"/>
  <c r="B129" i="19" a="1"/>
  <c r="J129" i="19" s="1"/>
  <c r="M129" i="19" s="1"/>
  <c r="CB129" i="19"/>
  <c r="CD129" i="19" a="1"/>
  <c r="CJ129" i="19"/>
  <c r="BV129" i="19"/>
  <c r="CA129" i="19"/>
  <c r="BY129" i="19"/>
  <c r="C129" i="19" a="1"/>
  <c r="I129" i="19"/>
  <c r="G129" i="19"/>
  <c r="CO129" i="19"/>
  <c r="BX129" i="19"/>
  <c r="CI129" i="19" s="1"/>
  <c r="L172" i="19"/>
  <c r="I172" i="19"/>
  <c r="BX172" i="19"/>
  <c r="CI172" i="19" s="1"/>
  <c r="BA172" i="60"/>
  <c r="F172" i="19"/>
  <c r="N172" i="19"/>
  <c r="P172" i="19"/>
  <c r="CP172" i="19"/>
  <c r="BW172" i="19"/>
  <c r="CD172" i="19" a="1"/>
  <c r="CE172" i="19"/>
  <c r="CJ172" i="19"/>
  <c r="CB172" i="19"/>
  <c r="BY172" i="19"/>
  <c r="BV172" i="19"/>
  <c r="C172" i="19" a="1"/>
  <c r="B172" i="19" a="1"/>
  <c r="E172" i="19" a="1"/>
  <c r="CA172" i="19"/>
  <c r="D172" i="19" a="1"/>
  <c r="G172" i="19"/>
  <c r="CO172" i="19"/>
  <c r="BZ172" i="19"/>
  <c r="I177" i="19"/>
  <c r="F177" i="19"/>
  <c r="N177" i="19"/>
  <c r="G177" i="19"/>
  <c r="CP177" i="19"/>
  <c r="BX177" i="19"/>
  <c r="CI177" i="19" s="1"/>
  <c r="CE177" i="19"/>
  <c r="CA177" i="19"/>
  <c r="C177" i="19" a="1"/>
  <c r="D177" i="19" a="1"/>
  <c r="CJ177" i="19"/>
  <c r="BV177" i="19"/>
  <c r="BY177" i="19"/>
  <c r="CD177" i="19" a="1"/>
  <c r="CB177" i="19"/>
  <c r="B177" i="19" a="1"/>
  <c r="E177" i="19" a="1"/>
  <c r="P177" i="19"/>
  <c r="L177" i="19"/>
  <c r="CO177" i="19"/>
  <c r="BW177" i="19"/>
  <c r="BZ177" i="19"/>
  <c r="BA177" i="60"/>
  <c r="I189" i="19"/>
  <c r="CP189" i="19"/>
  <c r="N189" i="19"/>
  <c r="F189" i="19"/>
  <c r="L189" i="19"/>
  <c r="P189" i="19"/>
  <c r="BW189" i="19"/>
  <c r="CJ189" i="19"/>
  <c r="C189" i="19" a="1"/>
  <c r="BA189" i="60"/>
  <c r="CD189" i="19" a="1"/>
  <c r="CA189" i="19"/>
  <c r="BY189" i="19"/>
  <c r="E189" i="19" a="1"/>
  <c r="D189" i="19" a="1"/>
  <c r="CB189" i="19"/>
  <c r="B189" i="19" a="1"/>
  <c r="CE189" i="19"/>
  <c r="BV189" i="19"/>
  <c r="G189" i="19"/>
  <c r="CO189" i="19"/>
  <c r="BX189" i="19"/>
  <c r="CI189" i="19" s="1"/>
  <c r="BZ189" i="19"/>
  <c r="G255" i="19"/>
  <c r="P255" i="19"/>
  <c r="CP255" i="19"/>
  <c r="CO255" i="19"/>
  <c r="BW255" i="19"/>
  <c r="BA255" i="60"/>
  <c r="F255" i="19"/>
  <c r="N255" i="19"/>
  <c r="CA255" i="19"/>
  <c r="BX255" i="19"/>
  <c r="CI255" i="19" s="1"/>
  <c r="B255" i="19" a="1"/>
  <c r="D255" i="19" a="1"/>
  <c r="CJ255" i="19"/>
  <c r="C255" i="19" a="1"/>
  <c r="CD255" i="19" a="1"/>
  <c r="BY255" i="19"/>
  <c r="BV255" i="19"/>
  <c r="CB255" i="19"/>
  <c r="CE255" i="19"/>
  <c r="E255" i="19" a="1"/>
  <c r="I255" i="19"/>
  <c r="L255" i="19"/>
  <c r="BZ255" i="19"/>
  <c r="L244" i="19"/>
  <c r="CP244" i="19"/>
  <c r="CO244" i="19"/>
  <c r="N244" i="19"/>
  <c r="F244" i="19"/>
  <c r="P244" i="19"/>
  <c r="BX244" i="19"/>
  <c r="CI244" i="19" s="1"/>
  <c r="CA244" i="19"/>
  <c r="CJ244" i="19"/>
  <c r="CE244" i="19"/>
  <c r="BY244" i="19"/>
  <c r="C244" i="19" a="1"/>
  <c r="D244" i="19" a="1"/>
  <c r="B244" i="19" a="1"/>
  <c r="J244" i="19" s="1"/>
  <c r="M244" i="19" s="1"/>
  <c r="CD244" i="19" a="1"/>
  <c r="CB244" i="19"/>
  <c r="BV244" i="19"/>
  <c r="E244" i="19" a="1"/>
  <c r="BZ244" i="19"/>
  <c r="I244" i="19"/>
  <c r="G244" i="19"/>
  <c r="BW244" i="19"/>
  <c r="BA244" i="60"/>
  <c r="L225" i="19"/>
  <c r="N225" i="19"/>
  <c r="F225" i="19"/>
  <c r="G225" i="19"/>
  <c r="I225" i="19"/>
  <c r="CP225" i="19"/>
  <c r="BW225" i="19"/>
  <c r="BZ225" i="19"/>
  <c r="BA225" i="60"/>
  <c r="CB225" i="19"/>
  <c r="B225" i="19" a="1"/>
  <c r="CJ225" i="19"/>
  <c r="CE225" i="19"/>
  <c r="CA225" i="19"/>
  <c r="CD225" i="19" a="1"/>
  <c r="C225" i="19" a="1"/>
  <c r="BY225" i="19"/>
  <c r="E225" i="19" a="1"/>
  <c r="D225" i="19" a="1"/>
  <c r="P225" i="19"/>
  <c r="CO225" i="19"/>
  <c r="BX225" i="19"/>
  <c r="CI225" i="19" s="1"/>
  <c r="BV225" i="19"/>
  <c r="I233" i="19"/>
  <c r="CO233" i="19"/>
  <c r="N233" i="19"/>
  <c r="F233" i="19"/>
  <c r="G233" i="19"/>
  <c r="CP233" i="19"/>
  <c r="E233" i="19" a="1"/>
  <c r="C233" i="19" a="1"/>
  <c r="CB233" i="19"/>
  <c r="D233" i="19" a="1"/>
  <c r="BX233" i="19"/>
  <c r="CI233" i="19" s="1"/>
  <c r="BZ233" i="19"/>
  <c r="CJ233" i="19"/>
  <c r="BV233" i="19"/>
  <c r="BA233" i="60"/>
  <c r="CD233" i="19" a="1"/>
  <c r="B233" i="19" a="1"/>
  <c r="CE233" i="19"/>
  <c r="BY233" i="19"/>
  <c r="CA233" i="19"/>
  <c r="P233" i="19"/>
  <c r="L233" i="19"/>
  <c r="BW233" i="19"/>
  <c r="G22" i="19"/>
  <c r="I22" i="19"/>
  <c r="CP22" i="19"/>
  <c r="BX22" i="19"/>
  <c r="CI22" i="19" s="1"/>
  <c r="N22" i="19"/>
  <c r="F22" i="19"/>
  <c r="L22" i="19"/>
  <c r="C22" i="19" a="1"/>
  <c r="D22" i="19" a="1"/>
  <c r="BV22" i="19"/>
  <c r="B22" i="19" a="1"/>
  <c r="J22" i="19" s="1"/>
  <c r="M22" i="19" s="1"/>
  <c r="E22" i="19" a="1"/>
  <c r="CA22" i="19"/>
  <c r="CE22" i="19"/>
  <c r="CB22" i="19"/>
  <c r="CD22" i="19" a="1"/>
  <c r="CJ22" i="19"/>
  <c r="BY22" i="19"/>
  <c r="BZ22" i="19"/>
  <c r="P22" i="19"/>
  <c r="CO22" i="19"/>
  <c r="BW22" i="19"/>
  <c r="BA22" i="60"/>
  <c r="G26" i="19"/>
  <c r="I26" i="19"/>
  <c r="F26" i="19"/>
  <c r="N26" i="19"/>
  <c r="CP26" i="19"/>
  <c r="BW26" i="19"/>
  <c r="CE26" i="19"/>
  <c r="C26" i="19" a="1"/>
  <c r="BV26" i="19"/>
  <c r="E26" i="19" a="1"/>
  <c r="B26" i="19" a="1"/>
  <c r="CB26" i="19"/>
  <c r="CD26" i="19" a="1"/>
  <c r="CJ26" i="19"/>
  <c r="CA26" i="19"/>
  <c r="D26" i="19" a="1"/>
  <c r="BY26" i="19"/>
  <c r="BA26" i="60"/>
  <c r="P26" i="19"/>
  <c r="L26" i="19"/>
  <c r="CO26" i="19"/>
  <c r="BX26" i="19"/>
  <c r="CI26" i="19" s="1"/>
  <c r="BZ26" i="19"/>
  <c r="P143" i="19"/>
  <c r="CO143" i="19"/>
  <c r="BZ143" i="19"/>
  <c r="F143" i="19"/>
  <c r="N143" i="19"/>
  <c r="I143" i="19"/>
  <c r="BX143" i="19"/>
  <c r="CI143" i="19" s="1"/>
  <c r="D143" i="19" a="1"/>
  <c r="CJ143" i="19"/>
  <c r="CA143" i="19"/>
  <c r="B143" i="19" a="1"/>
  <c r="J143" i="19" s="1"/>
  <c r="M143" i="19" s="1"/>
  <c r="CD143" i="19" a="1"/>
  <c r="CB143" i="19"/>
  <c r="C143" i="19" a="1"/>
  <c r="BY143" i="19"/>
  <c r="BA143" i="60"/>
  <c r="BV143" i="19"/>
  <c r="CE143" i="19"/>
  <c r="E143" i="19" a="1"/>
  <c r="G143" i="19"/>
  <c r="L143" i="19"/>
  <c r="CP143" i="19"/>
  <c r="BW143" i="19"/>
  <c r="CO82" i="19"/>
  <c r="BZ82" i="19"/>
  <c r="N82" i="19"/>
  <c r="F82" i="19"/>
  <c r="I82" i="19"/>
  <c r="BW82" i="19"/>
  <c r="CB82" i="19"/>
  <c r="C82" i="19" a="1"/>
  <c r="CA82" i="19"/>
  <c r="BY82" i="19"/>
  <c r="BV82" i="19"/>
  <c r="E82" i="19" a="1"/>
  <c r="B82" i="19" a="1"/>
  <c r="D82" i="19" a="1"/>
  <c r="CD82" i="19" a="1"/>
  <c r="CE82" i="19"/>
  <c r="CJ82" i="19"/>
  <c r="L82" i="19"/>
  <c r="G82" i="19"/>
  <c r="P82" i="19"/>
  <c r="CP82" i="19"/>
  <c r="BX82" i="19"/>
  <c r="CI82" i="19" s="1"/>
  <c r="BA82" i="60"/>
  <c r="L99" i="19"/>
  <c r="G99" i="19"/>
  <c r="P99" i="19"/>
  <c r="CP99" i="19"/>
  <c r="N99" i="19"/>
  <c r="F99" i="19"/>
  <c r="BW99" i="19"/>
  <c r="CJ99" i="19"/>
  <c r="E99" i="19" a="1"/>
  <c r="CD99" i="19" a="1"/>
  <c r="CE99" i="19"/>
  <c r="C99" i="19" a="1"/>
  <c r="D99" i="19" a="1"/>
  <c r="BY99" i="19"/>
  <c r="BV99" i="19"/>
  <c r="B99" i="19" a="1"/>
  <c r="BZ99" i="19"/>
  <c r="BA99" i="60"/>
  <c r="CB99" i="19"/>
  <c r="CA99" i="19"/>
  <c r="I99" i="19"/>
  <c r="CO99" i="19"/>
  <c r="BX99" i="19"/>
  <c r="CI99" i="19" s="1"/>
  <c r="BX8" i="19"/>
  <c r="CI8" i="19" s="1"/>
  <c r="L8" i="19"/>
  <c r="CA8" i="19"/>
  <c r="CD8" i="19" a="1"/>
  <c r="CE8" i="19" s="1"/>
  <c r="C8" i="19" a="1"/>
  <c r="B8" i="19" a="1"/>
  <c r="E8" i="19" a="1"/>
  <c r="CJ8" i="19"/>
  <c r="CB8" i="19"/>
  <c r="D8" i="19" a="1"/>
  <c r="CO8" i="19"/>
  <c r="BW8" i="19"/>
  <c r="BA8" i="60"/>
  <c r="BV8" i="19"/>
  <c r="L105" i="19"/>
  <c r="G105" i="19"/>
  <c r="CP105" i="19"/>
  <c r="BA105" i="60"/>
  <c r="F105" i="19"/>
  <c r="N105" i="19"/>
  <c r="P105" i="19"/>
  <c r="BW105" i="19"/>
  <c r="BY105" i="19"/>
  <c r="E105" i="19" a="1"/>
  <c r="CA105" i="19"/>
  <c r="CB105" i="19"/>
  <c r="BV105" i="19"/>
  <c r="D105" i="19" a="1"/>
  <c r="B105" i="19" a="1"/>
  <c r="J105" i="19" s="1"/>
  <c r="M105" i="19" s="1"/>
  <c r="CJ105" i="19"/>
  <c r="CE105" i="19"/>
  <c r="C105" i="19" a="1"/>
  <c r="CD105" i="19" a="1"/>
  <c r="I105" i="19"/>
  <c r="CO105" i="19"/>
  <c r="BX105" i="19"/>
  <c r="CI105" i="19" s="1"/>
  <c r="BZ105" i="19"/>
  <c r="L107" i="19"/>
  <c r="CO107" i="19"/>
  <c r="CP107" i="19"/>
  <c r="F107" i="19"/>
  <c r="N107" i="19"/>
  <c r="I107" i="19"/>
  <c r="D107" i="19" a="1"/>
  <c r="B107" i="19" a="1"/>
  <c r="C107" i="19" a="1"/>
  <c r="E107" i="19" a="1"/>
  <c r="CD107" i="19" a="1"/>
  <c r="CE107" i="19"/>
  <c r="CJ107" i="19"/>
  <c r="BY107" i="19"/>
  <c r="CA107" i="19"/>
  <c r="CB107" i="19"/>
  <c r="BV107" i="19"/>
  <c r="BZ107" i="19"/>
  <c r="BA107" i="60"/>
  <c r="P107" i="19"/>
  <c r="G107" i="19"/>
  <c r="BW107" i="19"/>
  <c r="BX107" i="19"/>
  <c r="CI107" i="19" s="1"/>
  <c r="G153" i="19"/>
  <c r="BA153" i="60"/>
  <c r="F153" i="19"/>
  <c r="N153" i="19"/>
  <c r="I153" i="19"/>
  <c r="BW153" i="19"/>
  <c r="E153" i="19" a="1"/>
  <c r="BY153" i="19"/>
  <c r="D153" i="19" a="1"/>
  <c r="BV153" i="19"/>
  <c r="B153" i="19" a="1"/>
  <c r="J153" i="19" s="1"/>
  <c r="M153" i="19" s="1"/>
  <c r="CA153" i="19"/>
  <c r="C153" i="19" a="1"/>
  <c r="CE153" i="19"/>
  <c r="CJ153" i="19"/>
  <c r="CD153" i="19" a="1"/>
  <c r="CB153" i="19"/>
  <c r="P153" i="19"/>
  <c r="L153" i="19"/>
  <c r="CP153" i="19"/>
  <c r="CO153" i="19"/>
  <c r="BX153" i="19"/>
  <c r="CI153" i="19" s="1"/>
  <c r="BZ153" i="19"/>
  <c r="I68" i="19"/>
  <c r="CO68" i="19"/>
  <c r="BW68" i="19"/>
  <c r="BA68" i="60"/>
  <c r="N68" i="19"/>
  <c r="F68" i="19"/>
  <c r="P68" i="19"/>
  <c r="BX68" i="19"/>
  <c r="CI68" i="19" s="1"/>
  <c r="CD68" i="19" a="1"/>
  <c r="D68" i="19" a="1"/>
  <c r="B68" i="19" a="1"/>
  <c r="J68" i="19" s="1"/>
  <c r="M68" i="19" s="1"/>
  <c r="BZ68" i="19"/>
  <c r="E68" i="19" a="1"/>
  <c r="BY68" i="19"/>
  <c r="CE68" i="19"/>
  <c r="CA68" i="19"/>
  <c r="CJ68" i="19"/>
  <c r="BV68" i="19"/>
  <c r="CB68" i="19"/>
  <c r="C68" i="19" a="1"/>
  <c r="L68" i="19"/>
  <c r="G68" i="19"/>
  <c r="CP68" i="19"/>
  <c r="G118" i="19"/>
  <c r="I118" i="19"/>
  <c r="CP118" i="19"/>
  <c r="N118" i="19"/>
  <c r="F118" i="19"/>
  <c r="L118" i="19"/>
  <c r="BX118" i="19"/>
  <c r="CI118" i="19" s="1"/>
  <c r="E118" i="19" a="1"/>
  <c r="C118" i="19" a="1"/>
  <c r="CD118" i="19" a="1"/>
  <c r="BZ118" i="19"/>
  <c r="CE118" i="19"/>
  <c r="BV118" i="19"/>
  <c r="BY118" i="19"/>
  <c r="B118" i="19" a="1"/>
  <c r="CJ118" i="19"/>
  <c r="D118" i="19" a="1"/>
  <c r="CB118" i="19"/>
  <c r="CA118" i="19"/>
  <c r="P118" i="19"/>
  <c r="CO118" i="19"/>
  <c r="BW118" i="19"/>
  <c r="BA118" i="60"/>
  <c r="CP70" i="19"/>
  <c r="BX70" i="19"/>
  <c r="CI70" i="19" s="1"/>
  <c r="F70" i="19"/>
  <c r="N70" i="19"/>
  <c r="P70" i="19"/>
  <c r="CO70" i="19"/>
  <c r="BY70" i="19"/>
  <c r="CB70" i="19"/>
  <c r="B70" i="19" a="1"/>
  <c r="D70" i="19" a="1"/>
  <c r="CD70" i="19" a="1"/>
  <c r="CE70" i="19"/>
  <c r="BV70" i="19"/>
  <c r="C70" i="19" a="1"/>
  <c r="E70" i="19" a="1"/>
  <c r="CA70" i="19"/>
  <c r="CJ70" i="19"/>
  <c r="BW70" i="19"/>
  <c r="BA70" i="60"/>
  <c r="G70" i="19"/>
  <c r="I70" i="19"/>
  <c r="L70" i="19"/>
  <c r="BZ70" i="19"/>
  <c r="L54" i="19"/>
  <c r="P54" i="19"/>
  <c r="CO54" i="19"/>
  <c r="BX54" i="19"/>
  <c r="CI54" i="19" s="1"/>
  <c r="N54" i="19"/>
  <c r="F54" i="19"/>
  <c r="G54" i="19"/>
  <c r="CP54" i="19"/>
  <c r="CE54" i="19"/>
  <c r="D54" i="19" a="1"/>
  <c r="BA54" i="60"/>
  <c r="CJ54" i="19"/>
  <c r="BZ54" i="19"/>
  <c r="CA54" i="19"/>
  <c r="E54" i="19" a="1"/>
  <c r="C54" i="19" a="1"/>
  <c r="CB54" i="19"/>
  <c r="BV54" i="19"/>
  <c r="B54" i="19" a="1"/>
  <c r="J54" i="19" s="1"/>
  <c r="M54" i="19" s="1"/>
  <c r="BY54" i="19"/>
  <c r="CD54" i="19" a="1"/>
  <c r="I54" i="19"/>
  <c r="BW54" i="19"/>
  <c r="CP166" i="19"/>
  <c r="BW166" i="19"/>
  <c r="N166" i="19"/>
  <c r="F166" i="19"/>
  <c r="I166" i="19"/>
  <c r="L166" i="19"/>
  <c r="CO166" i="19"/>
  <c r="BX166" i="19"/>
  <c r="CI166" i="19" s="1"/>
  <c r="CD166" i="19" a="1"/>
  <c r="BV166" i="19"/>
  <c r="BA166" i="60"/>
  <c r="CE166" i="19"/>
  <c r="CB166" i="19"/>
  <c r="E166" i="19" a="1"/>
  <c r="CJ166" i="19"/>
  <c r="C166" i="19" a="1"/>
  <c r="CA166" i="19"/>
  <c r="B166" i="19" a="1"/>
  <c r="BY166" i="19"/>
  <c r="D166" i="19" a="1"/>
  <c r="G166" i="19"/>
  <c r="P166" i="19"/>
  <c r="BZ166" i="19"/>
  <c r="G80" i="19"/>
  <c r="L80" i="19"/>
  <c r="BX80" i="19"/>
  <c r="CI80" i="19" s="1"/>
  <c r="N80" i="19"/>
  <c r="F80" i="19"/>
  <c r="I80" i="19"/>
  <c r="CP80" i="19"/>
  <c r="BW80" i="19"/>
  <c r="BZ80" i="19"/>
  <c r="C80" i="19" a="1"/>
  <c r="BA80" i="60"/>
  <c r="CE80" i="19"/>
  <c r="E80" i="19" a="1"/>
  <c r="CJ80" i="19"/>
  <c r="BY80" i="19"/>
  <c r="D80" i="19" a="1"/>
  <c r="CB80" i="19"/>
  <c r="BV80" i="19"/>
  <c r="CA80" i="19"/>
  <c r="CD80" i="19" a="1"/>
  <c r="B80" i="19" a="1"/>
  <c r="P80" i="19"/>
  <c r="CO80" i="19"/>
  <c r="L55" i="19"/>
  <c r="CP55" i="19"/>
  <c r="N55" i="19"/>
  <c r="F55" i="19"/>
  <c r="I55" i="19"/>
  <c r="P55" i="19"/>
  <c r="CO55" i="19"/>
  <c r="BX55" i="19"/>
  <c r="CI55" i="19" s="1"/>
  <c r="BW55" i="19"/>
  <c r="CA55" i="19"/>
  <c r="B55" i="19" a="1"/>
  <c r="CJ55" i="19"/>
  <c r="CD55" i="19" a="1"/>
  <c r="CE55" i="19"/>
  <c r="E55" i="19" a="1"/>
  <c r="BA55" i="60"/>
  <c r="C55" i="19" a="1"/>
  <c r="BY55" i="19"/>
  <c r="CB55" i="19"/>
  <c r="D55" i="19" a="1"/>
  <c r="BV55" i="19"/>
  <c r="BZ55" i="19"/>
  <c r="CH55" i="19" s="1" a="1"/>
  <c r="G55" i="19"/>
  <c r="I122" i="19"/>
  <c r="P122" i="19"/>
  <c r="CO122" i="19"/>
  <c r="CA122" i="19"/>
  <c r="N122" i="19"/>
  <c r="F122" i="19"/>
  <c r="L122" i="19"/>
  <c r="BW122" i="19"/>
  <c r="CD122" i="19" a="1"/>
  <c r="BV122" i="19"/>
  <c r="BZ122" i="19"/>
  <c r="C122" i="19" a="1"/>
  <c r="BY122" i="19"/>
  <c r="CJ122" i="19"/>
  <c r="E122" i="19" a="1"/>
  <c r="CE122" i="19"/>
  <c r="D122" i="19" a="1"/>
  <c r="B122" i="19" a="1"/>
  <c r="CB122" i="19"/>
  <c r="BA122" i="60"/>
  <c r="G122" i="19"/>
  <c r="CP122" i="19"/>
  <c r="BX122" i="19"/>
  <c r="CI122" i="19" s="1"/>
  <c r="G142" i="19"/>
  <c r="I142" i="19"/>
  <c r="CP142" i="19"/>
  <c r="CO142" i="19"/>
  <c r="BW142" i="19"/>
  <c r="N142" i="19"/>
  <c r="F142" i="19"/>
  <c r="L142" i="19"/>
  <c r="BZ142" i="19"/>
  <c r="BV142" i="19"/>
  <c r="BY142" i="19"/>
  <c r="CA142" i="19"/>
  <c r="B142" i="19" a="1"/>
  <c r="BA142" i="60"/>
  <c r="CB142" i="19"/>
  <c r="D142" i="19" a="1"/>
  <c r="CD142" i="19" a="1"/>
  <c r="C142" i="19" a="1"/>
  <c r="E142" i="19" a="1"/>
  <c r="CE142" i="19"/>
  <c r="CJ142" i="19"/>
  <c r="P142" i="19"/>
  <c r="BX142" i="19"/>
  <c r="CI142" i="19" s="1"/>
  <c r="I188" i="19"/>
  <c r="CP188" i="19"/>
  <c r="BZ188" i="19"/>
  <c r="N188" i="19"/>
  <c r="F188" i="19"/>
  <c r="G188" i="19"/>
  <c r="L188" i="19"/>
  <c r="CO188" i="19"/>
  <c r="BW188" i="19"/>
  <c r="CA188" i="19"/>
  <c r="BA188" i="60"/>
  <c r="C188" i="19" a="1"/>
  <c r="CD188" i="19" a="1"/>
  <c r="D188" i="19" a="1"/>
  <c r="B188" i="19" a="1"/>
  <c r="J188" i="19" s="1"/>
  <c r="M188" i="19" s="1"/>
  <c r="BV188" i="19"/>
  <c r="CJ188" i="19"/>
  <c r="E188" i="19" a="1"/>
  <c r="CE188" i="19"/>
  <c r="CB188" i="19"/>
  <c r="BY188" i="19"/>
  <c r="P188" i="19"/>
  <c r="BX188" i="19"/>
  <c r="CI188" i="19" s="1"/>
  <c r="I195" i="19"/>
  <c r="CP195" i="19"/>
  <c r="F195" i="19"/>
  <c r="N195" i="19"/>
  <c r="G195" i="19"/>
  <c r="CO195" i="19"/>
  <c r="BA195" i="60"/>
  <c r="CE195" i="19"/>
  <c r="CA195" i="19"/>
  <c r="D195" i="19" a="1"/>
  <c r="CJ195" i="19"/>
  <c r="BY195" i="19"/>
  <c r="CB195" i="19"/>
  <c r="E195" i="19" a="1"/>
  <c r="CD195" i="19" a="1"/>
  <c r="C195" i="19" a="1"/>
  <c r="B195" i="19" a="1"/>
  <c r="J195" i="19" s="1"/>
  <c r="M195" i="19" s="1"/>
  <c r="BV195" i="19"/>
  <c r="BX195" i="19"/>
  <c r="CI195" i="19" s="1"/>
  <c r="L195" i="19"/>
  <c r="P195" i="19"/>
  <c r="BW195" i="19"/>
  <c r="BZ195" i="19"/>
  <c r="G210" i="19"/>
  <c r="CP210" i="19"/>
  <c r="BX210" i="19"/>
  <c r="CI210" i="19" s="1"/>
  <c r="N210" i="19"/>
  <c r="F210" i="19"/>
  <c r="P210" i="19"/>
  <c r="L210" i="19"/>
  <c r="CO210" i="19"/>
  <c r="BW210" i="19"/>
  <c r="C210" i="19" a="1"/>
  <c r="E210" i="19" a="1"/>
  <c r="B210" i="19" a="1"/>
  <c r="CD210" i="19" a="1"/>
  <c r="CB210" i="19"/>
  <c r="CE210" i="19"/>
  <c r="BY210" i="19"/>
  <c r="D210" i="19" a="1"/>
  <c r="BA210" i="60"/>
  <c r="CA210" i="19"/>
  <c r="BV210" i="19"/>
  <c r="CJ210" i="19"/>
  <c r="I210" i="19"/>
  <c r="BZ210" i="19"/>
  <c r="CH210" i="19" s="1" a="1"/>
  <c r="L144" i="19"/>
  <c r="CP144" i="19"/>
  <c r="BX144" i="19"/>
  <c r="CI144" i="19" s="1"/>
  <c r="N144" i="19"/>
  <c r="F144" i="19"/>
  <c r="I144" i="19"/>
  <c r="CJ144" i="19"/>
  <c r="CD144" i="19" a="1"/>
  <c r="BY144" i="19"/>
  <c r="E144" i="19" a="1"/>
  <c r="CE144" i="19"/>
  <c r="BZ144" i="19"/>
  <c r="B144" i="19" a="1"/>
  <c r="BV144" i="19"/>
  <c r="BA144" i="60"/>
  <c r="CB144" i="19"/>
  <c r="D144" i="19" a="1"/>
  <c r="CA144" i="19"/>
  <c r="C144" i="19" a="1"/>
  <c r="G144" i="19"/>
  <c r="P144" i="19"/>
  <c r="CO144" i="19"/>
  <c r="BW144" i="19"/>
  <c r="I248" i="19"/>
  <c r="G248" i="19"/>
  <c r="F248" i="19"/>
  <c r="N248" i="19"/>
  <c r="L248" i="19"/>
  <c r="CP248" i="19"/>
  <c r="BW248" i="19"/>
  <c r="CD248" i="19" a="1"/>
  <c r="CJ248" i="19"/>
  <c r="E248" i="19" a="1"/>
  <c r="BV248" i="19"/>
  <c r="CE248" i="19"/>
  <c r="D248" i="19" a="1"/>
  <c r="CB248" i="19"/>
  <c r="C248" i="19" a="1"/>
  <c r="CA248" i="19"/>
  <c r="BY248" i="19"/>
  <c r="BA248" i="60"/>
  <c r="P248" i="19"/>
  <c r="CO248" i="19"/>
  <c r="BX248" i="19"/>
  <c r="CI248" i="19" s="1"/>
  <c r="BZ248" i="19"/>
  <c r="B248" i="19" a="1"/>
  <c r="J248" i="19" s="1"/>
  <c r="M248" i="19" s="1"/>
  <c r="I240" i="19"/>
  <c r="BW240" i="19"/>
  <c r="BA240" i="60"/>
  <c r="N240" i="19"/>
  <c r="F240" i="19"/>
  <c r="G240" i="19"/>
  <c r="P240" i="19"/>
  <c r="CP240" i="19"/>
  <c r="BX240" i="19"/>
  <c r="CI240" i="19" s="1"/>
  <c r="E240" i="19" a="1"/>
  <c r="CJ240" i="19"/>
  <c r="CD240" i="19" a="1"/>
  <c r="BY240" i="19"/>
  <c r="B240" i="19" a="1"/>
  <c r="CA240" i="19"/>
  <c r="C240" i="19" a="1"/>
  <c r="BV240" i="19"/>
  <c r="D240" i="19" a="1"/>
  <c r="CB240" i="19"/>
  <c r="CE240" i="19"/>
  <c r="L240" i="19"/>
  <c r="CO240" i="19"/>
  <c r="BZ240" i="19"/>
  <c r="L239" i="19"/>
  <c r="CO239" i="19"/>
  <c r="BX239" i="19"/>
  <c r="CI239" i="19" s="1"/>
  <c r="N239" i="19"/>
  <c r="F239" i="19"/>
  <c r="G239" i="19"/>
  <c r="CP239" i="19"/>
  <c r="C239" i="19" a="1"/>
  <c r="CD239" i="19" a="1"/>
  <c r="CE239" i="19"/>
  <c r="BA239" i="60"/>
  <c r="CA239" i="19"/>
  <c r="BY239" i="19"/>
  <c r="D239" i="19" a="1"/>
  <c r="CB239" i="19"/>
  <c r="B239" i="19" a="1"/>
  <c r="J239" i="19" s="1"/>
  <c r="M239" i="19" s="1"/>
  <c r="E239" i="19" a="1"/>
  <c r="BV239" i="19"/>
  <c r="P239" i="19"/>
  <c r="I239" i="19"/>
  <c r="BW239" i="19"/>
  <c r="BZ239" i="19"/>
  <c r="CJ239" i="19"/>
  <c r="N192" i="19"/>
  <c r="F192" i="19"/>
  <c r="I192" i="19"/>
  <c r="L192" i="19"/>
  <c r="P192" i="19"/>
  <c r="BW192" i="19"/>
  <c r="G192" i="19"/>
  <c r="CP192" i="19"/>
  <c r="CO192" i="19"/>
  <c r="BZ192" i="19"/>
  <c r="BV192" i="19"/>
  <c r="CA192" i="19"/>
  <c r="E192" i="19" a="1"/>
  <c r="D192" i="19" a="1"/>
  <c r="CD192" i="19" a="1"/>
  <c r="BY192" i="19"/>
  <c r="CB192" i="19"/>
  <c r="CJ192" i="19"/>
  <c r="CE192" i="19"/>
  <c r="C192" i="19" a="1"/>
  <c r="B192" i="19" a="1"/>
  <c r="BX192" i="19"/>
  <c r="CI192" i="19" s="1"/>
  <c r="BA192" i="60"/>
  <c r="F27" i="19"/>
  <c r="N27" i="19"/>
  <c r="G27" i="19"/>
  <c r="L27" i="19"/>
  <c r="I27" i="19"/>
  <c r="CO27" i="19"/>
  <c r="BW27" i="19"/>
  <c r="BZ27" i="19"/>
  <c r="P27" i="19"/>
  <c r="CP27" i="19"/>
  <c r="BY27" i="19"/>
  <c r="E27" i="19" a="1"/>
  <c r="BA27" i="60"/>
  <c r="CD27" i="19" a="1"/>
  <c r="BV27" i="19"/>
  <c r="CB27" i="19"/>
  <c r="CE27" i="19"/>
  <c r="C27" i="19" a="1"/>
  <c r="B27" i="19" a="1"/>
  <c r="CJ27" i="19"/>
  <c r="CA27" i="19"/>
  <c r="D27" i="19" a="1"/>
  <c r="BX27" i="19"/>
  <c r="CI27" i="19" s="1"/>
  <c r="N108" i="19"/>
  <c r="F108" i="19"/>
  <c r="BX108" i="19"/>
  <c r="CI108" i="19" s="1"/>
  <c r="P108" i="19"/>
  <c r="L108" i="19"/>
  <c r="G108" i="19"/>
  <c r="I108" i="19"/>
  <c r="CO108" i="19"/>
  <c r="BV108" i="19"/>
  <c r="B108" i="19" a="1"/>
  <c r="C108" i="19" a="1"/>
  <c r="CA108" i="19"/>
  <c r="BY108" i="19"/>
  <c r="E108" i="19" a="1"/>
  <c r="CJ108" i="19"/>
  <c r="CD108" i="19" a="1"/>
  <c r="CB108" i="19"/>
  <c r="CE108" i="19"/>
  <c r="BZ108" i="19"/>
  <c r="D108" i="19" a="1"/>
  <c r="CP108" i="19"/>
  <c r="BW108" i="19"/>
  <c r="BA108" i="60"/>
  <c r="N232" i="19"/>
  <c r="F232" i="19"/>
  <c r="L232" i="19"/>
  <c r="P232" i="19"/>
  <c r="CO232" i="19"/>
  <c r="G232" i="19"/>
  <c r="I232" i="19"/>
  <c r="CP232" i="19"/>
  <c r="CB232" i="19"/>
  <c r="BW232" i="19"/>
  <c r="BX232" i="19"/>
  <c r="CI232" i="19" s="1"/>
  <c r="BA232" i="60"/>
  <c r="B232" i="19" a="1"/>
  <c r="CA232" i="19"/>
  <c r="CE232" i="19"/>
  <c r="BV232" i="19"/>
  <c r="CD232" i="19" a="1"/>
  <c r="E232" i="19" a="1"/>
  <c r="BY232" i="19"/>
  <c r="C232" i="19" a="1"/>
  <c r="CJ232" i="19"/>
  <c r="BZ232" i="19"/>
  <c r="D232" i="19" a="1"/>
  <c r="F249" i="19"/>
  <c r="N249" i="19"/>
  <c r="G249" i="19"/>
  <c r="P249" i="19"/>
  <c r="CP249" i="19"/>
  <c r="BA249" i="60"/>
  <c r="L249" i="19"/>
  <c r="I249" i="19"/>
  <c r="BX249" i="19"/>
  <c r="CI249" i="19" s="1"/>
  <c r="CJ249" i="19"/>
  <c r="CD249" i="19" a="1"/>
  <c r="C249" i="19" a="1"/>
  <c r="BY249" i="19"/>
  <c r="B249" i="19" a="1"/>
  <c r="BZ249" i="19"/>
  <c r="CE249" i="19"/>
  <c r="CA249" i="19"/>
  <c r="CB249" i="19"/>
  <c r="E249" i="19" a="1"/>
  <c r="BV249" i="19"/>
  <c r="D249" i="19" a="1"/>
  <c r="CO249" i="19"/>
  <c r="BW249" i="19"/>
  <c r="F206" i="19"/>
  <c r="N206" i="19"/>
  <c r="L206" i="19"/>
  <c r="P206" i="19"/>
  <c r="CO206" i="19"/>
  <c r="BX206" i="19"/>
  <c r="CI206" i="19" s="1"/>
  <c r="I206" i="19"/>
  <c r="G206" i="19"/>
  <c r="B206" i="19" a="1"/>
  <c r="BZ206" i="19"/>
  <c r="CJ206" i="19"/>
  <c r="CD206" i="19" a="1"/>
  <c r="E206" i="19" a="1"/>
  <c r="CA206" i="19"/>
  <c r="CB206" i="19"/>
  <c r="BV206" i="19"/>
  <c r="D206" i="19" a="1"/>
  <c r="C206" i="19" a="1"/>
  <c r="CE206" i="19"/>
  <c r="BY206" i="19"/>
  <c r="CP206" i="19"/>
  <c r="BW206" i="19"/>
  <c r="BA206" i="60"/>
  <c r="N95" i="19"/>
  <c r="F95" i="19"/>
  <c r="I95" i="19"/>
  <c r="P95" i="19"/>
  <c r="CP95" i="19"/>
  <c r="BA95" i="60"/>
  <c r="G95" i="19"/>
  <c r="L95" i="19"/>
  <c r="D95" i="19" a="1"/>
  <c r="C95" i="19" a="1"/>
  <c r="BZ95" i="19"/>
  <c r="BW95" i="19"/>
  <c r="BX95" i="19"/>
  <c r="CI95" i="19" s="1"/>
  <c r="CJ95" i="19"/>
  <c r="E95" i="19" a="1"/>
  <c r="BY95" i="19"/>
  <c r="CA95" i="19"/>
  <c r="CE95" i="19"/>
  <c r="BV95" i="19"/>
  <c r="B95" i="19" a="1"/>
  <c r="J95" i="19" s="1"/>
  <c r="M95" i="19" s="1"/>
  <c r="CB95" i="19"/>
  <c r="CD95" i="19" a="1"/>
  <c r="CO95" i="19"/>
  <c r="N130" i="19"/>
  <c r="F130" i="19"/>
  <c r="P130" i="19"/>
  <c r="L130" i="19"/>
  <c r="CP130" i="19"/>
  <c r="I130" i="19"/>
  <c r="G130" i="19"/>
  <c r="CO130" i="19"/>
  <c r="BX130" i="19"/>
  <c r="CI130" i="19" s="1"/>
  <c r="C130" i="19" a="1"/>
  <c r="CB130" i="19"/>
  <c r="BZ130" i="19"/>
  <c r="CE130" i="19"/>
  <c r="CA130" i="19"/>
  <c r="B130" i="19" a="1"/>
  <c r="CD130" i="19" a="1"/>
  <c r="CJ130" i="19"/>
  <c r="BV130" i="19"/>
  <c r="E130" i="19" a="1"/>
  <c r="D130" i="19" a="1"/>
  <c r="BY130" i="19"/>
  <c r="BW130" i="19"/>
  <c r="BA130" i="60"/>
  <c r="BA6" i="60"/>
  <c r="CD6" i="19" a="1"/>
  <c r="CE6" i="19" s="1"/>
  <c r="E6" i="19" a="1"/>
  <c r="L6" i="19"/>
  <c r="BW6" i="19"/>
  <c r="BX6" i="19"/>
  <c r="CI6" i="19" s="1"/>
  <c r="BV6" i="19"/>
  <c r="CB6" i="19"/>
  <c r="D6" i="19" a="1"/>
  <c r="CO6" i="19"/>
  <c r="B6" i="19" a="1"/>
  <c r="C6" i="19" a="1"/>
  <c r="CJ6" i="19"/>
  <c r="CA6" i="19"/>
  <c r="J6" i="18"/>
  <c r="D6" i="18" a="1"/>
  <c r="I6" i="18"/>
  <c r="E6" i="18" a="1"/>
  <c r="B6" i="18" a="1"/>
  <c r="C6" i="18" a="1"/>
  <c r="BY229" i="29" a="1"/>
  <c r="BR229" i="29" a="1"/>
  <c r="BW229" i="29" s="1"/>
  <c r="CA229" i="29" a="1"/>
  <c r="CB229" i="29" a="1"/>
  <c r="BZ229" i="29" a="1"/>
  <c r="CC229" i="29" s="1"/>
  <c r="BU229" i="29" a="1"/>
  <c r="BS229" i="29" a="1"/>
  <c r="BQ229" i="29" a="1"/>
  <c r="CO9" i="19"/>
  <c r="CB79" i="29" a="1"/>
  <c r="BZ79" i="29" a="1"/>
  <c r="CC79" i="29" s="1"/>
  <c r="BR79" i="29" a="1"/>
  <c r="BW79" i="29" s="1"/>
  <c r="BS79" i="29" a="1"/>
  <c r="CA79" i="29" a="1"/>
  <c r="BY79" i="29" a="1"/>
  <c r="BU79" i="29" a="1"/>
  <c r="BQ79" i="29" a="1"/>
  <c r="BR185" i="29" a="1"/>
  <c r="BW185" i="29" s="1"/>
  <c r="BY185" i="29" a="1"/>
  <c r="BZ185" i="29" a="1"/>
  <c r="CC185" i="29" s="1"/>
  <c r="BT185" i="29" s="1"/>
  <c r="CB185" i="29" a="1"/>
  <c r="CA185" i="29" a="1"/>
  <c r="BU185" i="29" a="1"/>
  <c r="BS185" i="29" a="1"/>
  <c r="BQ185" i="29" a="1"/>
  <c r="BS198" i="29" a="1"/>
  <c r="BR198" i="29" a="1"/>
  <c r="BW198" i="29" s="1"/>
  <c r="BU198" i="29" a="1"/>
  <c r="CB198" i="29" a="1"/>
  <c r="CA198" i="29" a="1"/>
  <c r="BQ198" i="29" a="1"/>
  <c r="BY198" i="29" a="1"/>
  <c r="BZ198" i="29" a="1"/>
  <c r="CC198" i="29" s="1"/>
  <c r="BT198" i="29" s="1"/>
  <c r="CA143" i="29" a="1"/>
  <c r="BQ143" i="29" a="1"/>
  <c r="BS143" i="29" a="1"/>
  <c r="CB143" i="29" a="1"/>
  <c r="BR143" i="29" a="1"/>
  <c r="BW143" i="29" s="1"/>
  <c r="BZ143" i="29" a="1"/>
  <c r="CC143" i="29" s="1"/>
  <c r="BY143" i="29" a="1"/>
  <c r="BU143" i="29" a="1"/>
  <c r="BY53" i="29" a="1"/>
  <c r="BZ53" i="29" a="1"/>
  <c r="CC53" i="29" s="1"/>
  <c r="BT53" i="29" s="1"/>
  <c r="BU53" i="29" a="1"/>
  <c r="CA53" i="29" a="1"/>
  <c r="BR53" i="29" a="1"/>
  <c r="BW53" i="29" s="1"/>
  <c r="BS53" i="29" a="1"/>
  <c r="BQ53" i="29" a="1"/>
  <c r="CB53" i="29" a="1"/>
  <c r="BR224" i="29" a="1"/>
  <c r="BW224" i="29" s="1"/>
  <c r="BQ224" i="29" a="1"/>
  <c r="BY224" i="29" a="1"/>
  <c r="BS224" i="29" a="1"/>
  <c r="CA224" i="29" a="1"/>
  <c r="BU224" i="29" a="1"/>
  <c r="BZ224" i="29" a="1"/>
  <c r="CC224" i="29" s="1"/>
  <c r="BT224" i="29" s="1"/>
  <c r="CB224" i="29" a="1"/>
  <c r="BS75" i="29" a="1"/>
  <c r="BY75" i="29" a="1"/>
  <c r="BZ75" i="29" a="1"/>
  <c r="CC75" i="29" s="1"/>
  <c r="BT75" i="29" s="1"/>
  <c r="BR75" i="29" a="1"/>
  <c r="BW75" i="29" s="1"/>
  <c r="BQ75" i="29" a="1"/>
  <c r="CB75" i="29" a="1"/>
  <c r="CA75" i="29" a="1"/>
  <c r="BU75" i="29" a="1"/>
  <c r="BY44" i="29" a="1"/>
  <c r="BQ44" i="29" a="1"/>
  <c r="CB44" i="29" a="1"/>
  <c r="BZ44" i="29" a="1"/>
  <c r="CC44" i="29" s="1"/>
  <c r="BT44" i="29" s="1"/>
  <c r="BU44" i="29" a="1"/>
  <c r="CA44" i="29" a="1"/>
  <c r="BS44" i="29" a="1"/>
  <c r="BR44" i="29" a="1"/>
  <c r="BW44" i="29" s="1"/>
  <c r="CA254" i="29" a="1"/>
  <c r="BU254" i="29" a="1"/>
  <c r="BS254" i="29" a="1"/>
  <c r="BR254" i="29" a="1"/>
  <c r="BW254" i="29" s="1"/>
  <c r="BQ254" i="29" a="1"/>
  <c r="CB254" i="29" a="1"/>
  <c r="BZ254" i="29" a="1"/>
  <c r="CC254" i="29" s="1"/>
  <c r="BY254" i="29" a="1"/>
  <c r="BR253" i="29" a="1"/>
  <c r="BW253" i="29" s="1"/>
  <c r="CB253" i="29" a="1"/>
  <c r="CA253" i="29" a="1"/>
  <c r="BZ253" i="29" a="1"/>
  <c r="CC253" i="29" s="1"/>
  <c r="BY253" i="29" a="1"/>
  <c r="BU253" i="29" a="1"/>
  <c r="BS253" i="29" a="1"/>
  <c r="BQ253" i="29" a="1"/>
  <c r="CB193" i="29" a="1"/>
  <c r="BZ193" i="29" a="1"/>
  <c r="CC193" i="29" s="1"/>
  <c r="BR193" i="29" a="1"/>
  <c r="BW193" i="29" s="1"/>
  <c r="BQ193" i="29" a="1"/>
  <c r="BS193" i="29" a="1"/>
  <c r="BY193" i="29" a="1"/>
  <c r="BU193" i="29" a="1"/>
  <c r="CA193" i="29" a="1"/>
  <c r="BZ82" i="29" a="1"/>
  <c r="CC82" i="29" s="1"/>
  <c r="BU82" i="29" a="1"/>
  <c r="BQ82" i="29" a="1"/>
  <c r="BR82" i="29" a="1"/>
  <c r="BW82" i="29" s="1"/>
  <c r="BS82" i="29" a="1"/>
  <c r="BY82" i="29" a="1"/>
  <c r="CA82" i="29" a="1"/>
  <c r="CB82" i="29" a="1"/>
  <c r="BY27" i="29" a="1"/>
  <c r="CA27" i="29" a="1"/>
  <c r="BR27" i="29" a="1"/>
  <c r="BW27" i="29" s="1"/>
  <c r="CB27" i="29" a="1"/>
  <c r="BQ27" i="29" a="1"/>
  <c r="BZ27" i="29" a="1"/>
  <c r="CC27" i="29" s="1"/>
  <c r="BT27" i="29" s="1"/>
  <c r="BU27" i="29" a="1"/>
  <c r="BS27" i="29" a="1"/>
  <c r="BR159" i="29" a="1"/>
  <c r="BW159" i="29" s="1"/>
  <c r="BS159" i="29" a="1"/>
  <c r="BZ159" i="29" a="1"/>
  <c r="CC159" i="29" s="1"/>
  <c r="BU159" i="29" a="1"/>
  <c r="CB159" i="29" a="1"/>
  <c r="CA159" i="29" a="1"/>
  <c r="BY159" i="29" a="1"/>
  <c r="BQ159" i="29" a="1"/>
  <c r="CA120" i="29" a="1"/>
  <c r="CB120" i="29" a="1"/>
  <c r="BQ120" i="29" a="1"/>
  <c r="BZ120" i="29" a="1"/>
  <c r="CC120" i="29" s="1"/>
  <c r="BU120" i="29" a="1"/>
  <c r="BY120" i="29" a="1"/>
  <c r="BS120" i="29" a="1"/>
  <c r="BR120" i="29" a="1"/>
  <c r="BW120" i="29" s="1"/>
  <c r="BQ228" i="29" a="1"/>
  <c r="BU228" i="29" a="1"/>
  <c r="CA228" i="29" a="1"/>
  <c r="BS228" i="29" a="1"/>
  <c r="CB228" i="29" a="1"/>
  <c r="BZ228" i="29" a="1"/>
  <c r="CC228" i="29" s="1"/>
  <c r="BR228" i="29" a="1"/>
  <c r="BW228" i="29" s="1"/>
  <c r="BY228" i="29" a="1"/>
  <c r="BZ42" i="29" a="1"/>
  <c r="CC42" i="29" s="1"/>
  <c r="BY42" i="29" a="1"/>
  <c r="BQ42" i="29" a="1"/>
  <c r="CA42" i="29" a="1"/>
  <c r="CB42" i="29" a="1"/>
  <c r="BU42" i="29" a="1"/>
  <c r="BR42" i="29" a="1"/>
  <c r="BW42" i="29" s="1"/>
  <c r="BS42" i="29" a="1"/>
  <c r="BQ218" i="29" a="1"/>
  <c r="BR218" i="29" a="1"/>
  <c r="BW218" i="29" s="1"/>
  <c r="BS218" i="29" a="1"/>
  <c r="BZ218" i="29" a="1"/>
  <c r="CC218" i="29" s="1"/>
  <c r="CB218" i="29" a="1"/>
  <c r="BU218" i="29" a="1"/>
  <c r="BY218" i="29" a="1"/>
  <c r="CA218" i="29" a="1"/>
  <c r="CA191" i="29" a="1"/>
  <c r="BY191" i="29" a="1"/>
  <c r="BR191" i="29" a="1"/>
  <c r="BW191" i="29" s="1"/>
  <c r="CB191" i="29" a="1"/>
  <c r="BS191" i="29" a="1"/>
  <c r="BU191" i="29" a="1"/>
  <c r="BZ191" i="29" a="1"/>
  <c r="CC191" i="29" s="1"/>
  <c r="BQ191" i="29" a="1"/>
  <c r="CB192" i="29" a="1"/>
  <c r="BQ192" i="29" a="1"/>
  <c r="BZ192" i="29" a="1"/>
  <c r="CC192" i="29" s="1"/>
  <c r="CA192" i="29" a="1"/>
  <c r="BU192" i="29" a="1"/>
  <c r="BY192" i="29" a="1"/>
  <c r="BR192" i="29" a="1"/>
  <c r="BW192" i="29" s="1"/>
  <c r="BS192" i="29" a="1"/>
  <c r="BR24" i="29" a="1"/>
  <c r="BW24" i="29" s="1"/>
  <c r="BZ24" i="29" a="1"/>
  <c r="CC24" i="29" s="1"/>
  <c r="BY24" i="29" a="1"/>
  <c r="BQ24" i="29" a="1"/>
  <c r="BS24" i="29" a="1"/>
  <c r="BU24" i="29" a="1"/>
  <c r="CB24" i="29" a="1"/>
  <c r="CA24" i="29" a="1"/>
  <c r="BS212" i="29" a="1"/>
  <c r="BY212" i="29" a="1"/>
  <c r="BZ212" i="29" a="1"/>
  <c r="CC212" i="29" s="1"/>
  <c r="CA212" i="29" a="1"/>
  <c r="BR212" i="29" a="1"/>
  <c r="BW212" i="29" s="1"/>
  <c r="CB212" i="29" a="1"/>
  <c r="BQ212" i="29" a="1"/>
  <c r="BU212" i="29" a="1"/>
  <c r="CB18" i="29" a="1"/>
  <c r="BQ18" i="29" a="1"/>
  <c r="BZ18" i="29" a="1"/>
  <c r="CC18" i="29" s="1"/>
  <c r="BR18" i="29" a="1"/>
  <c r="BW18" i="29" s="1"/>
  <c r="BY18" i="29" a="1"/>
  <c r="BS18" i="29" a="1"/>
  <c r="CA18" i="29" a="1"/>
  <c r="BU18" i="29" a="1"/>
  <c r="BQ14" i="29" a="1"/>
  <c r="BR14" i="29" a="1"/>
  <c r="BW14" i="29" s="1"/>
  <c r="BS14" i="29" a="1"/>
  <c r="BU14" i="29" a="1"/>
  <c r="CB129" i="29" a="1"/>
  <c r="BR129" i="29" a="1"/>
  <c r="BW129" i="29" s="1"/>
  <c r="BQ129" i="29" a="1"/>
  <c r="BY129" i="29" a="1"/>
  <c r="BZ129" i="29" a="1"/>
  <c r="CC129" i="29" s="1"/>
  <c r="BT129" i="29" s="1"/>
  <c r="CA129" i="29" a="1"/>
  <c r="BS129" i="29" a="1"/>
  <c r="BU129" i="29" a="1"/>
  <c r="BS168" i="29" a="1"/>
  <c r="BR168" i="29" a="1"/>
  <c r="BW168" i="29" s="1"/>
  <c r="BQ168" i="29" a="1"/>
  <c r="CB168" i="29" a="1"/>
  <c r="BU168" i="29" a="1"/>
  <c r="CA168" i="29" a="1"/>
  <c r="BY168" i="29" a="1"/>
  <c r="BZ168" i="29" a="1"/>
  <c r="CC168" i="29" s="1"/>
  <c r="CB213" i="29" a="1"/>
  <c r="BU213" i="29" a="1"/>
  <c r="CA213" i="29" a="1"/>
  <c r="BZ213" i="29" a="1"/>
  <c r="CC213" i="29" s="1"/>
  <c r="BQ213" i="29" a="1"/>
  <c r="BS213" i="29" a="1"/>
  <c r="BR213" i="29" a="1"/>
  <c r="BW213" i="29" s="1"/>
  <c r="BY213" i="29" a="1"/>
  <c r="T226" i="29"/>
  <c r="BX226" i="29" a="1"/>
  <c r="T242" i="29"/>
  <c r="BX242" i="29" a="1"/>
  <c r="T244" i="29"/>
  <c r="BX244" i="29" a="1"/>
  <c r="T163" i="29"/>
  <c r="BX163" i="29" a="1"/>
  <c r="T249" i="29"/>
  <c r="BX249" i="29" a="1"/>
  <c r="T172" i="29"/>
  <c r="BX172" i="29" a="1"/>
  <c r="T156" i="29"/>
  <c r="BX156" i="29" a="1"/>
  <c r="T225" i="29"/>
  <c r="BX225" i="29" a="1"/>
  <c r="T237" i="29"/>
  <c r="BX237" i="29" a="1"/>
  <c r="T137" i="29"/>
  <c r="BX137" i="29" a="1"/>
  <c r="T200" i="29"/>
  <c r="BX200" i="29" a="1"/>
  <c r="T219" i="29"/>
  <c r="BX219" i="29" a="1"/>
  <c r="T65" i="29"/>
  <c r="BX65" i="29" a="1"/>
  <c r="T243" i="29"/>
  <c r="BX243" i="29" a="1"/>
  <c r="T56" i="29"/>
  <c r="BX56" i="29" a="1"/>
  <c r="T154" i="29"/>
  <c r="BX154" i="29" a="1"/>
  <c r="T179" i="29"/>
  <c r="BX179" i="29" a="1"/>
  <c r="T19" i="29"/>
  <c r="BX19" i="29" a="1"/>
  <c r="T251" i="29"/>
  <c r="BX251" i="29" a="1"/>
  <c r="T210" i="29"/>
  <c r="BX210" i="29" a="1"/>
  <c r="T89" i="29"/>
  <c r="BX89" i="29" a="1"/>
  <c r="T125" i="29"/>
  <c r="BX125" i="29" a="1"/>
  <c r="T121" i="29"/>
  <c r="BX121" i="29" a="1"/>
  <c r="T166" i="29"/>
  <c r="BX166" i="29" a="1"/>
  <c r="T174" i="29"/>
  <c r="BX174" i="29" a="1"/>
  <c r="T16" i="29"/>
  <c r="BX16" i="29" a="1"/>
  <c r="T60" i="29"/>
  <c r="BX60" i="29" a="1"/>
  <c r="T135" i="29"/>
  <c r="BX135" i="29" a="1"/>
  <c r="T178" i="29"/>
  <c r="BX178" i="29" a="1"/>
  <c r="T15" i="29"/>
  <c r="BX15" i="29" a="1"/>
  <c r="T160" i="29"/>
  <c r="BX160" i="29" a="1"/>
  <c r="T136" i="29"/>
  <c r="BX136" i="29" a="1"/>
  <c r="BR134" i="29" a="1"/>
  <c r="BW134" i="29" s="1"/>
  <c r="BX134" i="29" s="1" a="1"/>
  <c r="BU134" i="29" a="1"/>
  <c r="BS134" i="29" a="1"/>
  <c r="BZ134" i="29" a="1"/>
  <c r="CC134" i="29" s="1"/>
  <c r="BY134" i="29" a="1"/>
  <c r="BQ134" i="29" a="1"/>
  <c r="CB134" i="29" a="1"/>
  <c r="CA134" i="29" a="1"/>
  <c r="BR93" i="29" a="1"/>
  <c r="BW93" i="29" s="1"/>
  <c r="BX93" i="29" s="1" a="1"/>
  <c r="BQ93" i="29" a="1"/>
  <c r="BS93" i="29" a="1"/>
  <c r="BU93" i="29" a="1"/>
  <c r="CB93" i="29" a="1"/>
  <c r="CA93" i="29" a="1"/>
  <c r="BZ93" i="29" a="1"/>
  <c r="CC93" i="29" s="1"/>
  <c r="BY93" i="29" a="1"/>
  <c r="BZ64" i="29" a="1"/>
  <c r="CC64" i="29" s="1"/>
  <c r="CB64" i="29" a="1"/>
  <c r="BQ64" i="29" a="1"/>
  <c r="CA64" i="29" a="1"/>
  <c r="BY64" i="29" a="1"/>
  <c r="BU64" i="29" a="1"/>
  <c r="BS64" i="29" a="1"/>
  <c r="BR64" i="29" a="1"/>
  <c r="BW64" i="29" s="1"/>
  <c r="BS32" i="29" a="1"/>
  <c r="BQ32" i="29" a="1"/>
  <c r="BZ32" i="29" a="1"/>
  <c r="CC32" i="29" s="1"/>
  <c r="BU32" i="29" a="1"/>
  <c r="CB32" i="29" a="1"/>
  <c r="BR32" i="29" a="1"/>
  <c r="BW32" i="29" s="1"/>
  <c r="CA32" i="29" a="1"/>
  <c r="BY32" i="29" a="1"/>
  <c r="CB146" i="29" a="1"/>
  <c r="BZ146" i="29" a="1"/>
  <c r="CC146" i="29" s="1"/>
  <c r="BY146" i="29" a="1"/>
  <c r="BQ146" i="29" a="1"/>
  <c r="CA146" i="29" a="1"/>
  <c r="BU146" i="29" a="1"/>
  <c r="BS146" i="29" a="1"/>
  <c r="BR146" i="29" a="1"/>
  <c r="BW146" i="29" s="1"/>
  <c r="BQ67" i="29" a="1"/>
  <c r="BZ67" i="29" a="1"/>
  <c r="CC67" i="29" s="1"/>
  <c r="BY67" i="29" a="1"/>
  <c r="BS67" i="29" a="1"/>
  <c r="BR67" i="29" a="1"/>
  <c r="BW67" i="29" s="1"/>
  <c r="BX67" i="29" s="1" a="1"/>
  <c r="CB67" i="29" a="1"/>
  <c r="CA67" i="29" a="1"/>
  <c r="BU67" i="29" a="1"/>
  <c r="CA149" i="29" a="1"/>
  <c r="BQ149" i="29" a="1"/>
  <c r="CB149" i="29" a="1"/>
  <c r="BU149" i="29" a="1"/>
  <c r="BS149" i="29" a="1"/>
  <c r="BZ149" i="29" a="1"/>
  <c r="CC149" i="29" s="1"/>
  <c r="BY149" i="29" a="1"/>
  <c r="BR149" i="29" a="1"/>
  <c r="BW149" i="29" s="1"/>
  <c r="BY103" i="29" a="1"/>
  <c r="CB103" i="29" a="1"/>
  <c r="BS103" i="29" a="1"/>
  <c r="BQ103" i="29" a="1"/>
  <c r="CA103" i="29" a="1"/>
  <c r="BZ103" i="29" a="1"/>
  <c r="CC103" i="29" s="1"/>
  <c r="BT103" i="29" s="1"/>
  <c r="BR103" i="29" a="1"/>
  <c r="BW103" i="29" s="1"/>
  <c r="BX103" i="29" s="1" a="1"/>
  <c r="BU103" i="29" a="1"/>
  <c r="BY63" i="29" a="1"/>
  <c r="BZ63" i="29" a="1"/>
  <c r="CC63" i="29" s="1"/>
  <c r="BT63" i="29" s="1"/>
  <c r="BS63" i="29" a="1"/>
  <c r="CA63" i="29" a="1"/>
  <c r="BU63" i="29" a="1"/>
  <c r="BQ63" i="29" a="1"/>
  <c r="CB63" i="29" a="1"/>
  <c r="BR63" i="29" a="1"/>
  <c r="BW63" i="29" s="1"/>
  <c r="BS169" i="29" a="1"/>
  <c r="BR169" i="29" a="1"/>
  <c r="BW169" i="29" s="1"/>
  <c r="BX169" i="29" s="1" a="1"/>
  <c r="CA169" i="29" a="1"/>
  <c r="BZ169" i="29" a="1"/>
  <c r="CC169" i="29" s="1"/>
  <c r="BY169" i="29" a="1"/>
  <c r="CB169" i="29" a="1"/>
  <c r="BU169" i="29" a="1"/>
  <c r="BQ169" i="29" a="1"/>
  <c r="BS90" i="29" a="1"/>
  <c r="BR90" i="29" a="1"/>
  <c r="BW90" i="29" s="1"/>
  <c r="BX90" i="29" s="1" a="1"/>
  <c r="CB90" i="29" a="1"/>
  <c r="CA90" i="29" a="1"/>
  <c r="BZ90" i="29" a="1"/>
  <c r="CC90" i="29" s="1"/>
  <c r="BU90" i="29" a="1"/>
  <c r="BQ90" i="29" a="1"/>
  <c r="BY90" i="29" a="1"/>
  <c r="BQ167" i="29" a="1"/>
  <c r="BS167" i="29" a="1"/>
  <c r="BY167" i="29" a="1"/>
  <c r="CB167" i="29" a="1"/>
  <c r="BU167" i="29" a="1"/>
  <c r="BR167" i="29" a="1"/>
  <c r="BW167" i="29" s="1"/>
  <c r="CA167" i="29" a="1"/>
  <c r="BZ167" i="29" a="1"/>
  <c r="CC167" i="29" s="1"/>
  <c r="BT167" i="29" s="1"/>
  <c r="BZ76" i="29" a="1"/>
  <c r="CC76" i="29" s="1"/>
  <c r="BR76" i="29" a="1"/>
  <c r="BW76" i="29" s="1"/>
  <c r="BX76" i="29" s="1" a="1"/>
  <c r="BU76" i="29" a="1"/>
  <c r="BS76" i="29" a="1"/>
  <c r="CB76" i="29" a="1"/>
  <c r="BQ76" i="29" a="1"/>
  <c r="CA76" i="29" a="1"/>
  <c r="BY76" i="29" a="1"/>
  <c r="BZ197" i="29" a="1"/>
  <c r="CC197" i="29" s="1"/>
  <c r="BQ197" i="29" a="1"/>
  <c r="BU197" i="29" a="1"/>
  <c r="BS197" i="29" a="1"/>
  <c r="CA197" i="29" a="1"/>
  <c r="BY197" i="29" a="1"/>
  <c r="CB197" i="29" a="1"/>
  <c r="BR197" i="29" a="1"/>
  <c r="BW197" i="29" s="1"/>
  <c r="BR222" i="29" a="1"/>
  <c r="BW222" i="29" s="1"/>
  <c r="BX222" i="29" s="1" a="1"/>
  <c r="BU222" i="29" a="1"/>
  <c r="CA222" i="29" a="1"/>
  <c r="BY222" i="29" a="1"/>
  <c r="BQ222" i="29" a="1"/>
  <c r="BS222" i="29" a="1"/>
  <c r="BZ222" i="29" a="1"/>
  <c r="CC222" i="29" s="1"/>
  <c r="BT222" i="29" s="1"/>
  <c r="CB222" i="29" a="1"/>
  <c r="CB69" i="29" a="1"/>
  <c r="BQ69" i="29" a="1"/>
  <c r="CA69" i="29" a="1"/>
  <c r="BR69" i="29" a="1"/>
  <c r="BW69" i="29" s="1"/>
  <c r="BX69" i="29" s="1" a="1"/>
  <c r="BY69" i="29" a="1"/>
  <c r="BS69" i="29" a="1"/>
  <c r="BZ69" i="29" a="1"/>
  <c r="CC69" i="29" s="1"/>
  <c r="BT69" i="29" s="1"/>
  <c r="BU69" i="29" a="1"/>
  <c r="BR147" i="29" a="1"/>
  <c r="BW147" i="29" s="1"/>
  <c r="BX147" i="29" s="1" a="1"/>
  <c r="BZ147" i="29" a="1"/>
  <c r="CC147" i="29" s="1"/>
  <c r="BY147" i="29" a="1"/>
  <c r="BS147" i="29" a="1"/>
  <c r="BQ147" i="29" a="1"/>
  <c r="CA147" i="29" a="1"/>
  <c r="CB147" i="29" a="1"/>
  <c r="BU147" i="29" a="1"/>
  <c r="BU88" i="29" a="1"/>
  <c r="BS88" i="29" a="1"/>
  <c r="BR88" i="29" a="1"/>
  <c r="BW88" i="29" s="1"/>
  <c r="BZ88" i="29" a="1"/>
  <c r="CC88" i="29" s="1"/>
  <c r="BY88" i="29" a="1"/>
  <c r="CA88" i="29" a="1"/>
  <c r="BQ88" i="29" a="1"/>
  <c r="CB88" i="29" a="1"/>
  <c r="CA155" i="29" a="1"/>
  <c r="BZ155" i="29" a="1"/>
  <c r="CC155" i="29" s="1"/>
  <c r="BQ155" i="29" a="1"/>
  <c r="BR155" i="29" a="1"/>
  <c r="BW155" i="29" s="1"/>
  <c r="BX155" i="29" s="1" a="1"/>
  <c r="BY155" i="29" a="1"/>
  <c r="CB155" i="29" a="1"/>
  <c r="BU155" i="29" a="1"/>
  <c r="BS155" i="29" a="1"/>
  <c r="BQ36" i="29" a="1"/>
  <c r="CA36" i="29" a="1"/>
  <c r="BZ36" i="29" a="1"/>
  <c r="CC36" i="29" s="1"/>
  <c r="BU36" i="29" a="1"/>
  <c r="BY36" i="29" a="1"/>
  <c r="BR36" i="29" a="1"/>
  <c r="BW36" i="29" s="1"/>
  <c r="BS36" i="29" a="1"/>
  <c r="CB36" i="29" a="1"/>
  <c r="BS102" i="29" a="1"/>
  <c r="BY102" i="29" a="1"/>
  <c r="CB102" i="29" a="1"/>
  <c r="CA102" i="29" a="1"/>
  <c r="BZ102" i="29" a="1"/>
  <c r="CC102" i="29" s="1"/>
  <c r="BT102" i="29" s="1"/>
  <c r="BU102" i="29" a="1"/>
  <c r="BQ102" i="29" a="1"/>
  <c r="BR102" i="29" a="1"/>
  <c r="BW102" i="29" s="1"/>
  <c r="BR66" i="29" a="1"/>
  <c r="BW66" i="29" s="1"/>
  <c r="BX66" i="29" s="1" a="1"/>
  <c r="BZ66" i="29" a="1"/>
  <c r="CC66" i="29" s="1"/>
  <c r="BY66" i="29" a="1"/>
  <c r="BQ66" i="29" a="1"/>
  <c r="CA66" i="29" a="1"/>
  <c r="BU66" i="29" a="1"/>
  <c r="CB66" i="29" a="1"/>
  <c r="BS66" i="29" a="1"/>
  <c r="BS78" i="29" a="1"/>
  <c r="BR78" i="29" a="1"/>
  <c r="BW78" i="29" s="1"/>
  <c r="BX78" i="29" s="1" a="1"/>
  <c r="CA78" i="29" a="1"/>
  <c r="CB78" i="29" a="1"/>
  <c r="BQ78" i="29" a="1"/>
  <c r="BZ78" i="29" a="1"/>
  <c r="CC78" i="29" s="1"/>
  <c r="BY78" i="29" a="1"/>
  <c r="BU78" i="29" a="1"/>
  <c r="BQ171" i="29" a="1"/>
  <c r="CB171" i="29" a="1"/>
  <c r="BS171" i="29" a="1"/>
  <c r="BZ171" i="29" a="1"/>
  <c r="CC171" i="29" s="1"/>
  <c r="BR171" i="29" a="1"/>
  <c r="BW171" i="29" s="1"/>
  <c r="BX171" i="29" s="1" a="1"/>
  <c r="BY171" i="29" a="1"/>
  <c r="CA171" i="29" a="1"/>
  <c r="BU171" i="29" a="1"/>
  <c r="CB116" i="29" a="1"/>
  <c r="BQ116" i="29" a="1"/>
  <c r="BY116" i="29" a="1"/>
  <c r="BU116" i="29" a="1"/>
  <c r="BS116" i="29" a="1"/>
  <c r="BR116" i="29" a="1"/>
  <c r="BW116" i="29" s="1"/>
  <c r="CA116" i="29" a="1"/>
  <c r="BZ116" i="29" a="1"/>
  <c r="CC116" i="29" s="1"/>
  <c r="BT116" i="29" s="1"/>
  <c r="BS22" i="29" a="1"/>
  <c r="BR22" i="29" a="1"/>
  <c r="BW22" i="29" s="1"/>
  <c r="BX22" i="29" s="1" a="1"/>
  <c r="BY22" i="29" a="1"/>
  <c r="CB22" i="29" a="1"/>
  <c r="CA22" i="29" a="1"/>
  <c r="BZ22" i="29" a="1"/>
  <c r="CC22" i="29" s="1"/>
  <c r="BU22" i="29" a="1"/>
  <c r="BQ22" i="29" a="1"/>
  <c r="BR77" i="29" a="1"/>
  <c r="BW77" i="29" s="1"/>
  <c r="BX77" i="29" s="1" a="1"/>
  <c r="BY77" i="29" a="1"/>
  <c r="BZ77" i="29" a="1"/>
  <c r="CC77" i="29" s="1"/>
  <c r="BS77" i="29" a="1"/>
  <c r="BQ77" i="29" a="1"/>
  <c r="CB77" i="29" a="1"/>
  <c r="CA77" i="29" a="1"/>
  <c r="BU77" i="29" a="1"/>
  <c r="CB21" i="29" a="1"/>
  <c r="CA21" i="29" a="1"/>
  <c r="BU21" i="29" a="1"/>
  <c r="BZ21" i="29" a="1"/>
  <c r="CC21" i="29" s="1"/>
  <c r="BY21" i="29" a="1"/>
  <c r="BQ21" i="29" a="1"/>
  <c r="BS21" i="29" a="1"/>
  <c r="BR21" i="29" a="1"/>
  <c r="BW21" i="29" s="1"/>
  <c r="BQ183" i="29" a="1"/>
  <c r="BR183" i="29" a="1"/>
  <c r="BW183" i="29" s="1"/>
  <c r="BX183" i="29" s="1" a="1"/>
  <c r="BS183" i="29" a="1"/>
  <c r="CB183" i="29" a="1"/>
  <c r="CA183" i="29" a="1"/>
  <c r="BY183" i="29" a="1"/>
  <c r="BZ183" i="29" a="1"/>
  <c r="CC183" i="29" s="1"/>
  <c r="BU183" i="29" a="1"/>
  <c r="BR91" i="29" a="1"/>
  <c r="BW91" i="29" s="1"/>
  <c r="BX91" i="29" s="1" a="1"/>
  <c r="CB91" i="29" a="1"/>
  <c r="BU91" i="29" a="1"/>
  <c r="BS91" i="29" a="1"/>
  <c r="CA91" i="29" a="1"/>
  <c r="BZ91" i="29" a="1"/>
  <c r="CC91" i="29" s="1"/>
  <c r="BY91" i="29" a="1"/>
  <c r="BQ91" i="29" a="1"/>
  <c r="BU195" i="29" a="1"/>
  <c r="BS195" i="29" a="1"/>
  <c r="BR195" i="29" a="1"/>
  <c r="BW195" i="29" s="1"/>
  <c r="BQ195" i="29" a="1"/>
  <c r="CA195" i="29" a="1"/>
  <c r="CB195" i="29" a="1"/>
  <c r="BZ195" i="29" a="1"/>
  <c r="CC195" i="29" s="1"/>
  <c r="BY195" i="29" a="1"/>
  <c r="BQ207" i="29" a="1"/>
  <c r="CA207" i="29" a="1"/>
  <c r="BY207" i="29" a="1"/>
  <c r="BU207" i="29" a="1"/>
  <c r="BR207" i="29" a="1"/>
  <c r="BW207" i="29" s="1"/>
  <c r="CB207" i="29" a="1"/>
  <c r="BZ207" i="29" a="1"/>
  <c r="CC207" i="29" s="1"/>
  <c r="BS207" i="29" a="1"/>
  <c r="BZ131" i="29" a="1"/>
  <c r="CC131" i="29" s="1"/>
  <c r="BS131" i="29" a="1"/>
  <c r="BR131" i="29" a="1"/>
  <c r="BW131" i="29" s="1"/>
  <c r="BX131" i="29" s="1" a="1"/>
  <c r="CA131" i="29" a="1"/>
  <c r="BY131" i="29" a="1"/>
  <c r="BQ131" i="29" a="1"/>
  <c r="CB131" i="29" a="1"/>
  <c r="BU131" i="29" a="1"/>
  <c r="BQ46" i="29" a="1"/>
  <c r="BS46" i="29" a="1"/>
  <c r="BY46" i="29" a="1"/>
  <c r="CB46" i="29" a="1"/>
  <c r="BR46" i="29" a="1"/>
  <c r="BW46" i="29" s="1"/>
  <c r="BX46" i="29" s="1" a="1"/>
  <c r="BZ46" i="29" a="1"/>
  <c r="CC46" i="29" s="1"/>
  <c r="CA46" i="29" a="1"/>
  <c r="BU46" i="29" a="1"/>
  <c r="CB97" i="29" a="1"/>
  <c r="BR97" i="29" a="1"/>
  <c r="BW97" i="29" s="1"/>
  <c r="BX97" i="29" s="1" a="1"/>
  <c r="BS97" i="29" a="1"/>
  <c r="BU97" i="29" a="1"/>
  <c r="BQ97" i="29" a="1"/>
  <c r="CA97" i="29" a="1"/>
  <c r="BZ97" i="29" a="1"/>
  <c r="CC97" i="29" s="1"/>
  <c r="BY97" i="29" a="1"/>
  <c r="BS54" i="29" a="1"/>
  <c r="BR54" i="29" a="1"/>
  <c r="BW54" i="29" s="1"/>
  <c r="BX54" i="29" s="1" a="1"/>
  <c r="BZ54" i="29" a="1"/>
  <c r="CC54" i="29" s="1"/>
  <c r="CB54" i="29" a="1"/>
  <c r="CA54" i="29" a="1"/>
  <c r="BY54" i="29" a="1"/>
  <c r="BU54" i="29" a="1"/>
  <c r="BQ54" i="29" a="1"/>
  <c r="CB239" i="29" a="1"/>
  <c r="BU239" i="29" a="1"/>
  <c r="BQ239" i="29" a="1"/>
  <c r="BZ239" i="29" a="1"/>
  <c r="CC239" i="29" s="1"/>
  <c r="CA239" i="29" a="1"/>
  <c r="BS239" i="29" a="1"/>
  <c r="BR239" i="29" a="1"/>
  <c r="BW239" i="29" s="1"/>
  <c r="BY239" i="29" a="1"/>
  <c r="CB95" i="29" a="1"/>
  <c r="BQ95" i="29" a="1"/>
  <c r="BS95" i="29" a="1"/>
  <c r="BR95" i="29" a="1"/>
  <c r="BW95" i="29" s="1"/>
  <c r="BX95" i="29" s="1" a="1"/>
  <c r="CA95" i="29" a="1"/>
  <c r="BZ95" i="29" a="1"/>
  <c r="CC95" i="29" s="1"/>
  <c r="BU95" i="29" a="1"/>
  <c r="BY95" i="29" a="1"/>
  <c r="CB186" i="29" a="1"/>
  <c r="BS186" i="29" a="1"/>
  <c r="BU186" i="29" a="1"/>
  <c r="BR186" i="29" a="1"/>
  <c r="BW186" i="29" s="1"/>
  <c r="BZ186" i="29" a="1"/>
  <c r="CC186" i="29" s="1"/>
  <c r="CA186" i="29" a="1"/>
  <c r="BQ186" i="29" a="1"/>
  <c r="BY186" i="29" a="1"/>
  <c r="BY35" i="29" a="1"/>
  <c r="BR35" i="29" a="1"/>
  <c r="BW35" i="29" s="1"/>
  <c r="BX35" i="29" s="1" a="1"/>
  <c r="BU35" i="29" a="1"/>
  <c r="CB35" i="29" a="1"/>
  <c r="CA35" i="29" a="1"/>
  <c r="BZ35" i="29" a="1"/>
  <c r="CC35" i="29" s="1"/>
  <c r="BS35" i="29" a="1"/>
  <c r="BQ35" i="29" a="1"/>
  <c r="BU13" i="29" a="1"/>
  <c r="BQ13" i="29" a="1"/>
  <c r="BR13" i="29" a="1"/>
  <c r="BW13" i="29" s="1"/>
  <c r="BS13" i="29" a="1"/>
  <c r="BY73" i="29" a="1"/>
  <c r="CB73" i="29" a="1"/>
  <c r="BQ73" i="29" a="1"/>
  <c r="CA73" i="29" a="1"/>
  <c r="BZ73" i="29" a="1"/>
  <c r="CC73" i="29" s="1"/>
  <c r="BT73" i="29" s="1"/>
  <c r="BU73" i="29" a="1"/>
  <c r="BS73" i="29" a="1"/>
  <c r="BR73" i="29" a="1"/>
  <c r="BW73" i="29" s="1"/>
  <c r="BZ164" i="29" a="1"/>
  <c r="CC164" i="29" s="1"/>
  <c r="BU164" i="29" a="1"/>
  <c r="BS164" i="29" a="1"/>
  <c r="CB164" i="29" a="1"/>
  <c r="CA164" i="29" a="1"/>
  <c r="BY164" i="29" a="1"/>
  <c r="BR164" i="29" a="1"/>
  <c r="BW164" i="29" s="1"/>
  <c r="BQ164" i="29" a="1"/>
  <c r="CA181" i="29" a="1"/>
  <c r="BY181" i="29" a="1"/>
  <c r="BU181" i="29" a="1"/>
  <c r="BR181" i="29" a="1"/>
  <c r="BW181" i="29" s="1"/>
  <c r="BZ181" i="29" a="1"/>
  <c r="CC181" i="29" s="1"/>
  <c r="BS181" i="29" a="1"/>
  <c r="BQ181" i="29" a="1"/>
  <c r="CB181" i="29" a="1"/>
  <c r="BZ126" i="29" a="1"/>
  <c r="CC126" i="29" s="1"/>
  <c r="CB126" i="29" a="1"/>
  <c r="CA126" i="29" a="1"/>
  <c r="BS126" i="29" a="1"/>
  <c r="BU126" i="29" a="1"/>
  <c r="BR126" i="29" a="1"/>
  <c r="BW126" i="29" s="1"/>
  <c r="BY126" i="29" a="1"/>
  <c r="BQ126" i="29" a="1"/>
  <c r="BU132" i="29" a="1"/>
  <c r="BQ132" i="29" a="1"/>
  <c r="BY132" i="29" a="1"/>
  <c r="BS132" i="29" a="1"/>
  <c r="CA132" i="29" a="1"/>
  <c r="BR132" i="29" a="1"/>
  <c r="BW132" i="29" s="1"/>
  <c r="BZ132" i="29" a="1"/>
  <c r="CC132" i="29" s="1"/>
  <c r="CB132" i="29" a="1"/>
  <c r="BS221" i="29" a="1"/>
  <c r="BY221" i="29" a="1"/>
  <c r="CA221" i="29" a="1"/>
  <c r="BR221" i="29" a="1"/>
  <c r="BW221" i="29" s="1"/>
  <c r="BX221" i="29" s="1" a="1"/>
  <c r="BQ221" i="29" a="1"/>
  <c r="BU221" i="29" a="1"/>
  <c r="CB221" i="29" a="1"/>
  <c r="BZ221" i="29" a="1"/>
  <c r="CC221" i="29" s="1"/>
  <c r="BZ68" i="29" a="1"/>
  <c r="CC68" i="29" s="1"/>
  <c r="BU68" i="29" a="1"/>
  <c r="BS68" i="29" a="1"/>
  <c r="BR68" i="29" a="1"/>
  <c r="BW68" i="29" s="1"/>
  <c r="BQ68" i="29" a="1"/>
  <c r="CB68" i="29" a="1"/>
  <c r="CA68" i="29" a="1"/>
  <c r="BY68" i="29" a="1"/>
  <c r="BU31" i="29" a="1"/>
  <c r="BS31" i="29" a="1"/>
  <c r="BY31" i="29" a="1"/>
  <c r="BR31" i="29" a="1"/>
  <c r="BW31" i="29" s="1"/>
  <c r="BQ31" i="29" a="1"/>
  <c r="CB31" i="29" a="1"/>
  <c r="BZ31" i="29" a="1"/>
  <c r="CC31" i="29" s="1"/>
  <c r="BT31" i="29" s="1"/>
  <c r="CA31" i="29" a="1"/>
  <c r="BZ247" i="29" a="1"/>
  <c r="CC247" i="29" s="1"/>
  <c r="BR247" i="29" a="1"/>
  <c r="BW247" i="29" s="1"/>
  <c r="BX247" i="29" s="1" a="1"/>
  <c r="BQ247" i="29" a="1"/>
  <c r="BS247" i="29" a="1"/>
  <c r="CB247" i="29" a="1"/>
  <c r="BY247" i="29" a="1"/>
  <c r="CA247" i="29" a="1"/>
  <c r="BU247" i="29" a="1"/>
  <c r="BQ234" i="29" a="1"/>
  <c r="BZ234" i="29" a="1"/>
  <c r="CC234" i="29" s="1"/>
  <c r="CA234" i="29" a="1"/>
  <c r="BY234" i="29" a="1"/>
  <c r="BS234" i="29" a="1"/>
  <c r="BU234" i="29" a="1"/>
  <c r="CB234" i="29" a="1"/>
  <c r="BR234" i="29" a="1"/>
  <c r="BW234" i="29" s="1"/>
  <c r="CB176" i="29" a="1"/>
  <c r="BR176" i="29" a="1"/>
  <c r="BW176" i="29" s="1"/>
  <c r="BX176" i="29" s="1" a="1"/>
  <c r="CA176" i="29" a="1"/>
  <c r="BS176" i="29" a="1"/>
  <c r="BY176" i="29" a="1"/>
  <c r="BZ176" i="29" a="1"/>
  <c r="CC176" i="29" s="1"/>
  <c r="BT176" i="29" s="1"/>
  <c r="BU176" i="29" a="1"/>
  <c r="BQ176" i="29" a="1"/>
  <c r="CA161" i="29" a="1"/>
  <c r="BQ161" i="29" a="1"/>
  <c r="BR161" i="29" a="1"/>
  <c r="BW161" i="29" s="1"/>
  <c r="BX161" i="29" s="1" a="1"/>
  <c r="BS161" i="29" a="1"/>
  <c r="BY161" i="29" a="1"/>
  <c r="BU161" i="29" a="1"/>
  <c r="CB161" i="29" a="1"/>
  <c r="BZ161" i="29" a="1"/>
  <c r="CC161" i="29" s="1"/>
  <c r="BT161" i="29" s="1"/>
  <c r="CB230" i="29" a="1"/>
  <c r="BZ230" i="29" a="1"/>
  <c r="CC230" i="29" s="1"/>
  <c r="BR230" i="29" a="1"/>
  <c r="BW230" i="29" s="1"/>
  <c r="BX230" i="29" s="1" a="1"/>
  <c r="BQ230" i="29" a="1"/>
  <c r="BY230" i="29" a="1"/>
  <c r="BU230" i="29" a="1"/>
  <c r="BS230" i="29" a="1"/>
  <c r="CA230" i="29" a="1"/>
  <c r="BU189" i="29" a="1"/>
  <c r="CB189" i="29" a="1"/>
  <c r="CA189" i="29" a="1"/>
  <c r="BZ189" i="29" a="1"/>
  <c r="CC189" i="29" s="1"/>
  <c r="BY189" i="29" a="1"/>
  <c r="BS189" i="29" a="1"/>
  <c r="BR189" i="29" a="1"/>
  <c r="BW189" i="29" s="1"/>
  <c r="BQ189" i="29" a="1"/>
  <c r="BY62" i="29" a="1"/>
  <c r="CA62" i="29" a="1"/>
  <c r="BZ62" i="29" a="1"/>
  <c r="CC62" i="29" s="1"/>
  <c r="BR62" i="29" a="1"/>
  <c r="BW62" i="29" s="1"/>
  <c r="BX62" i="29" s="1" a="1"/>
  <c r="BQ62" i="29" a="1"/>
  <c r="BU62" i="29" a="1"/>
  <c r="BS62" i="29" a="1"/>
  <c r="CB62" i="29" a="1"/>
  <c r="BU170" i="29" a="1"/>
  <c r="BS170" i="29" a="1"/>
  <c r="BY170" i="29" a="1"/>
  <c r="CA170" i="29" a="1"/>
  <c r="BZ170" i="29" a="1"/>
  <c r="CC170" i="29" s="1"/>
  <c r="BR170" i="29" a="1"/>
  <c r="BW170" i="29" s="1"/>
  <c r="BQ170" i="29" a="1"/>
  <c r="CB170" i="29" a="1"/>
  <c r="CA227" i="29" a="1"/>
  <c r="BZ227" i="29" a="1"/>
  <c r="CC227" i="29" s="1"/>
  <c r="BQ227" i="29" a="1"/>
  <c r="CB227" i="29" a="1"/>
  <c r="BY227" i="29" a="1"/>
  <c r="BU227" i="29" a="1"/>
  <c r="BS227" i="29" a="1"/>
  <c r="BR227" i="29" a="1"/>
  <c r="BW227" i="29" s="1"/>
  <c r="BQ61" i="29" a="1"/>
  <c r="CB61" i="29" a="1"/>
  <c r="BY61" i="29" a="1"/>
  <c r="BU61" i="29" a="1"/>
  <c r="CA61" i="29" a="1"/>
  <c r="BZ61" i="29" a="1"/>
  <c r="CC61" i="29" s="1"/>
  <c r="BT61" i="29" s="1"/>
  <c r="BS61" i="29" a="1"/>
  <c r="BR61" i="29" a="1"/>
  <c r="BW61" i="29" s="1"/>
  <c r="CA87" i="29" a="1"/>
  <c r="BS87" i="29" a="1"/>
  <c r="BR87" i="29" a="1"/>
  <c r="BW87" i="29" s="1"/>
  <c r="BX87" i="29" s="1" a="1"/>
  <c r="CB87" i="29" a="1"/>
  <c r="BZ87" i="29" a="1"/>
  <c r="CC87" i="29" s="1"/>
  <c r="BY87" i="29" a="1"/>
  <c r="BU87" i="29" a="1"/>
  <c r="BQ87" i="29" a="1"/>
  <c r="CA150" i="29" a="1"/>
  <c r="BQ150" i="29" a="1"/>
  <c r="CB150" i="29" a="1"/>
  <c r="BR150" i="29" a="1"/>
  <c r="BW150" i="29" s="1"/>
  <c r="BX150" i="29" s="1" a="1"/>
  <c r="BU150" i="29" a="1"/>
  <c r="BS150" i="29" a="1"/>
  <c r="BY150" i="29" a="1"/>
  <c r="BZ150" i="29" a="1"/>
  <c r="CC150" i="29" s="1"/>
  <c r="BY108" i="29" a="1"/>
  <c r="BZ108" i="29" a="1"/>
  <c r="CC108" i="29" s="1"/>
  <c r="CB108" i="29" a="1"/>
  <c r="BU108" i="29" a="1"/>
  <c r="BS108" i="29" a="1"/>
  <c r="BR108" i="29" a="1"/>
  <c r="BW108" i="29" s="1"/>
  <c r="CA108" i="29" a="1"/>
  <c r="BQ108" i="29" a="1"/>
  <c r="BZ217" i="29" a="1"/>
  <c r="CC217" i="29" s="1"/>
  <c r="CA217" i="29" a="1"/>
  <c r="BU217" i="29" a="1"/>
  <c r="BS217" i="29" a="1"/>
  <c r="CB217" i="29" a="1"/>
  <c r="BR217" i="29" a="1"/>
  <c r="BW217" i="29" s="1"/>
  <c r="BY217" i="29" a="1"/>
  <c r="BQ217" i="29" a="1"/>
  <c r="CB74" i="29" a="1"/>
  <c r="BR74" i="29" a="1"/>
  <c r="BW74" i="29" s="1"/>
  <c r="BX74" i="29" s="1" a="1"/>
  <c r="BZ74" i="29" a="1"/>
  <c r="CC74" i="29" s="1"/>
  <c r="BS74" i="29" a="1"/>
  <c r="BQ74" i="29" a="1"/>
  <c r="CA74" i="29" a="1"/>
  <c r="BY74" i="29" a="1"/>
  <c r="BU74" i="29" a="1"/>
  <c r="BQ101" i="29" a="1"/>
  <c r="BY101" i="29" a="1"/>
  <c r="BR101" i="29" a="1"/>
  <c r="BW101" i="29" s="1"/>
  <c r="BX101" i="29" s="1" a="1"/>
  <c r="CB101" i="29" a="1"/>
  <c r="CA101" i="29" a="1"/>
  <c r="BZ101" i="29" a="1"/>
  <c r="CC101" i="29" s="1"/>
  <c r="BT101" i="29" s="1"/>
  <c r="BU101" i="29" a="1"/>
  <c r="BS101" i="29" a="1"/>
  <c r="BQ252" i="29" a="1"/>
  <c r="BY252" i="29" a="1"/>
  <c r="BR252" i="29" a="1"/>
  <c r="BW252" i="29" s="1"/>
  <c r="BX252" i="29" s="1" a="1"/>
  <c r="CA252" i="29" a="1"/>
  <c r="BU252" i="29" a="1"/>
  <c r="BS252" i="29" a="1"/>
  <c r="BZ252" i="29" a="1"/>
  <c r="CC252" i="29" s="1"/>
  <c r="BT252" i="29" s="1"/>
  <c r="CB252" i="29" a="1"/>
  <c r="BQ83" i="29" a="1"/>
  <c r="BR83" i="29" a="1"/>
  <c r="BW83" i="29" s="1"/>
  <c r="BX83" i="29" s="1" a="1"/>
  <c r="BZ83" i="29" a="1"/>
  <c r="CC83" i="29" s="1"/>
  <c r="BY83" i="29" a="1"/>
  <c r="BU83" i="29" a="1"/>
  <c r="BS83" i="29" a="1"/>
  <c r="CB83" i="29" a="1"/>
  <c r="CA83" i="29" a="1"/>
  <c r="CB49" i="29" a="1"/>
  <c r="CA49" i="29" a="1"/>
  <c r="BS49" i="29" a="1"/>
  <c r="BZ49" i="29" a="1"/>
  <c r="CC49" i="29" s="1"/>
  <c r="BY49" i="29" a="1"/>
  <c r="BU49" i="29" a="1"/>
  <c r="BR49" i="29" a="1"/>
  <c r="BW49" i="29" s="1"/>
  <c r="BQ49" i="29" a="1"/>
  <c r="BU122" i="29" a="1"/>
  <c r="CA122" i="29" a="1"/>
  <c r="BY122" i="29" a="1"/>
  <c r="CB122" i="29" a="1"/>
  <c r="BR122" i="29" a="1"/>
  <c r="BW122" i="29" s="1"/>
  <c r="BQ122" i="29" a="1"/>
  <c r="BZ122" i="29" a="1"/>
  <c r="CC122" i="29" s="1"/>
  <c r="BS122" i="29" a="1"/>
  <c r="CA177" i="29" a="1"/>
  <c r="BY177" i="29" a="1"/>
  <c r="BQ177" i="29" a="1"/>
  <c r="BS177" i="29" a="1"/>
  <c r="BU177" i="29" a="1"/>
  <c r="CB177" i="29" a="1"/>
  <c r="BR177" i="29" a="1"/>
  <c r="BW177" i="29" s="1"/>
  <c r="BZ177" i="29" a="1"/>
  <c r="CC177" i="29" s="1"/>
  <c r="BT177" i="29" s="1"/>
  <c r="BU182" i="29" a="1"/>
  <c r="CA182" i="29" a="1"/>
  <c r="BZ182" i="29" a="1"/>
  <c r="CC182" i="29" s="1"/>
  <c r="BY182" i="29" a="1"/>
  <c r="BS182" i="29" a="1"/>
  <c r="BQ182" i="29" a="1"/>
  <c r="CB182" i="29" a="1"/>
  <c r="BR182" i="29" a="1"/>
  <c r="BW182" i="29" s="1"/>
  <c r="BR45" i="29" a="1"/>
  <c r="BW45" i="29" s="1"/>
  <c r="BX45" i="29" s="1" a="1"/>
  <c r="BZ45" i="29" a="1"/>
  <c r="CC45" i="29" s="1"/>
  <c r="BS45" i="29" a="1"/>
  <c r="CB45" i="29" a="1"/>
  <c r="BY45" i="29" a="1"/>
  <c r="CA45" i="29" a="1"/>
  <c r="BU45" i="29" a="1"/>
  <c r="BQ45" i="29" a="1"/>
  <c r="BQ106" i="29" a="1"/>
  <c r="BU106" i="29" a="1"/>
  <c r="BS106" i="29" a="1"/>
  <c r="CB106" i="29" a="1"/>
  <c r="CA106" i="29" a="1"/>
  <c r="BZ106" i="29" a="1"/>
  <c r="CC106" i="29" s="1"/>
  <c r="BY106" i="29" a="1"/>
  <c r="BR106" i="29" a="1"/>
  <c r="BW106" i="29" s="1"/>
  <c r="BS58" i="29" a="1"/>
  <c r="BQ58" i="29" a="1"/>
  <c r="CB58" i="29" a="1"/>
  <c r="BR58" i="29" a="1"/>
  <c r="BW58" i="29" s="1"/>
  <c r="BX58" i="29" s="1" a="1"/>
  <c r="CA58" i="29" a="1"/>
  <c r="BU58" i="29" a="1"/>
  <c r="BY58" i="29" a="1"/>
  <c r="BZ58" i="29" a="1"/>
  <c r="CC58" i="29" s="1"/>
  <c r="BT58" i="29" s="1"/>
  <c r="BU238" i="29" a="1"/>
  <c r="BZ238" i="29" a="1"/>
  <c r="CC238" i="29" s="1"/>
  <c r="CB238" i="29" a="1"/>
  <c r="BR238" i="29" a="1"/>
  <c r="BW238" i="29" s="1"/>
  <c r="CA238" i="29" a="1"/>
  <c r="BY238" i="29" a="1"/>
  <c r="BS238" i="29" a="1"/>
  <c r="BQ238" i="29" a="1"/>
  <c r="CA202" i="29" a="1"/>
  <c r="BQ202" i="29" a="1"/>
  <c r="BS202" i="29" a="1"/>
  <c r="CB202" i="29" a="1"/>
  <c r="BU202" i="29" a="1"/>
  <c r="BY202" i="29" a="1"/>
  <c r="BR202" i="29" a="1"/>
  <c r="BW202" i="29" s="1"/>
  <c r="BZ202" i="29" a="1"/>
  <c r="CC202" i="29" s="1"/>
  <c r="BY111" i="29" a="1"/>
  <c r="BR111" i="29" a="1"/>
  <c r="BW111" i="29" s="1"/>
  <c r="BX111" i="29" s="1" a="1"/>
  <c r="BS111" i="29" a="1"/>
  <c r="CB111" i="29" a="1"/>
  <c r="CA111" i="29" a="1"/>
  <c r="BZ111" i="29" a="1"/>
  <c r="CC111" i="29" s="1"/>
  <c r="BU111" i="29" a="1"/>
  <c r="BQ111" i="29" a="1"/>
  <c r="BQ145" i="29" a="1"/>
  <c r="BZ145" i="29" a="1"/>
  <c r="CC145" i="29" s="1"/>
  <c r="CA145" i="29" a="1"/>
  <c r="CB145" i="29" a="1"/>
  <c r="BR145" i="29" a="1"/>
  <c r="BW145" i="29" s="1"/>
  <c r="BX145" i="29" s="1" a="1"/>
  <c r="BS145" i="29" a="1"/>
  <c r="BU145" i="29" a="1"/>
  <c r="BY145" i="29" a="1"/>
  <c r="BZ51" i="29" a="1"/>
  <c r="CC51" i="29" s="1"/>
  <c r="CA51" i="29" a="1"/>
  <c r="BQ51" i="29" a="1"/>
  <c r="CB51" i="29" a="1"/>
  <c r="BY51" i="29" a="1"/>
  <c r="BU51" i="29" a="1"/>
  <c r="BS51" i="29" a="1"/>
  <c r="BR51" i="29" a="1"/>
  <c r="BW51" i="29" s="1"/>
  <c r="BR86" i="29" a="1"/>
  <c r="BW86" i="29" s="1"/>
  <c r="BX86" i="29" s="1" a="1"/>
  <c r="BZ86" i="29" a="1"/>
  <c r="CC86" i="29" s="1"/>
  <c r="BY86" i="29" a="1"/>
  <c r="CB86" i="29" a="1"/>
  <c r="CA86" i="29" a="1"/>
  <c r="BQ86" i="29" a="1"/>
  <c r="BU86" i="29" a="1"/>
  <c r="BS86" i="29" a="1"/>
  <c r="BQ33" i="29" a="1"/>
  <c r="BU33" i="29" a="1"/>
  <c r="CA33" i="29" a="1"/>
  <c r="CB33" i="29" a="1"/>
  <c r="BZ33" i="29" a="1"/>
  <c r="CC33" i="29" s="1"/>
  <c r="BY33" i="29" a="1"/>
  <c r="BR33" i="29" a="1"/>
  <c r="BW33" i="29" s="1"/>
  <c r="BS33" i="29" a="1"/>
  <c r="CB128" i="29" a="1"/>
  <c r="BQ128" i="29" a="1"/>
  <c r="BS128" i="29" a="1"/>
  <c r="BR128" i="29" a="1"/>
  <c r="BW128" i="29" s="1"/>
  <c r="BX128" i="29" s="1" a="1"/>
  <c r="BZ128" i="29" a="1"/>
  <c r="CC128" i="29" s="1"/>
  <c r="CA128" i="29" a="1"/>
  <c r="BU128" i="29" a="1"/>
  <c r="BY128" i="29" a="1"/>
  <c r="CB115" i="29" a="1"/>
  <c r="BQ115" i="29" a="1"/>
  <c r="BZ115" i="29" a="1"/>
  <c r="CC115" i="29" s="1"/>
  <c r="BU115" i="29" a="1"/>
  <c r="CA115" i="29" a="1"/>
  <c r="BY115" i="29" a="1"/>
  <c r="BS115" i="29" a="1"/>
  <c r="BR115" i="29" a="1"/>
  <c r="BW115" i="29" s="1"/>
  <c r="BY39" i="29" a="1"/>
  <c r="BS39" i="29" a="1"/>
  <c r="BR39" i="29" a="1"/>
  <c r="BW39" i="29" s="1"/>
  <c r="BX39" i="29" s="1" a="1"/>
  <c r="BQ39" i="29" a="1"/>
  <c r="CB39" i="29" a="1"/>
  <c r="CA39" i="29" a="1"/>
  <c r="BZ39" i="29" a="1"/>
  <c r="CC39" i="29" s="1"/>
  <c r="BU39" i="29" a="1"/>
  <c r="BS100" i="29" a="1"/>
  <c r="CB100" i="29" a="1"/>
  <c r="BR100" i="29" a="1"/>
  <c r="BW100" i="29" s="1"/>
  <c r="BX100" i="29" s="1" a="1"/>
  <c r="CA100" i="29" a="1"/>
  <c r="BY100" i="29" a="1"/>
  <c r="BU100" i="29" a="1"/>
  <c r="BQ100" i="29" a="1"/>
  <c r="BZ100" i="29" a="1"/>
  <c r="CC100" i="29" s="1"/>
  <c r="BR119" i="29" a="1"/>
  <c r="BW119" i="29" s="1"/>
  <c r="BX119" i="29" s="1" a="1"/>
  <c r="BS119" i="29" a="1"/>
  <c r="BU119" i="29" a="1"/>
  <c r="BY119" i="29" a="1"/>
  <c r="CA119" i="29" a="1"/>
  <c r="BZ119" i="29" a="1"/>
  <c r="CC119" i="29" s="1"/>
  <c r="BT119" i="29" s="1"/>
  <c r="CB119" i="29" a="1"/>
  <c r="BQ119" i="29" a="1"/>
  <c r="CB48" i="29" a="1"/>
  <c r="BQ48" i="29" a="1"/>
  <c r="CA48" i="29" a="1"/>
  <c r="BZ48" i="29" a="1"/>
  <c r="CC48" i="29" s="1"/>
  <c r="BU48" i="29" a="1"/>
  <c r="BS48" i="29" a="1"/>
  <c r="BR48" i="29" a="1"/>
  <c r="BW48" i="29" s="1"/>
  <c r="BY48" i="29" a="1"/>
  <c r="BZ114" i="29" a="1"/>
  <c r="CC114" i="29" s="1"/>
  <c r="CB114" i="29" a="1"/>
  <c r="BR114" i="29" a="1"/>
  <c r="BW114" i="29" s="1"/>
  <c r="BX114" i="29" s="1" a="1"/>
  <c r="BQ114" i="29" a="1"/>
  <c r="BY114" i="29" a="1"/>
  <c r="CA114" i="29" a="1"/>
  <c r="BU114" i="29" a="1"/>
  <c r="BS114" i="29" a="1"/>
  <c r="CB152" i="29" a="1"/>
  <c r="BR152" i="29" a="1"/>
  <c r="BW152" i="29" s="1"/>
  <c r="BX152" i="29" s="1" a="1"/>
  <c r="BY152" i="29" a="1"/>
  <c r="BS152" i="29" a="1"/>
  <c r="CA152" i="29" a="1"/>
  <c r="BZ152" i="29" a="1"/>
  <c r="CC152" i="29" s="1"/>
  <c r="BT152" i="29" s="1"/>
  <c r="BU152" i="29" a="1"/>
  <c r="BQ152" i="29" a="1"/>
  <c r="CB85" i="29" a="1"/>
  <c r="BS85" i="29" a="1"/>
  <c r="BR85" i="29" a="1"/>
  <c r="BW85" i="29" s="1"/>
  <c r="BX85" i="29" s="1" a="1"/>
  <c r="BQ85" i="29" a="1"/>
  <c r="BZ85" i="29" a="1"/>
  <c r="CC85" i="29" s="1"/>
  <c r="BY85" i="29" a="1"/>
  <c r="BU85" i="29" a="1"/>
  <c r="CA85" i="29" a="1"/>
  <c r="BS40" i="29" a="1"/>
  <c r="BZ40" i="29" a="1"/>
  <c r="CC40" i="29" s="1"/>
  <c r="BY40" i="29" a="1"/>
  <c r="BU40" i="29" a="1"/>
  <c r="BR40" i="29" a="1"/>
  <c r="BW40" i="29" s="1"/>
  <c r="BQ40" i="29" a="1"/>
  <c r="CB40" i="29" a="1"/>
  <c r="CA40" i="29" a="1"/>
  <c r="BU113" i="29" a="1"/>
  <c r="CA113" i="29" a="1"/>
  <c r="BZ113" i="29" a="1"/>
  <c r="CC113" i="29" s="1"/>
  <c r="BY113" i="29" a="1"/>
  <c r="BQ113" i="29" a="1"/>
  <c r="CB113" i="29" a="1"/>
  <c r="BS113" i="29" a="1"/>
  <c r="BR113" i="29" a="1"/>
  <c r="BW113" i="29" s="1"/>
  <c r="CB98" i="29" a="1"/>
  <c r="BS98" i="29" a="1"/>
  <c r="BU98" i="29" a="1"/>
  <c r="BR98" i="29" a="1"/>
  <c r="BW98" i="29" s="1"/>
  <c r="BZ98" i="29" a="1"/>
  <c r="CC98" i="29" s="1"/>
  <c r="BQ98" i="29" a="1"/>
  <c r="BY98" i="29" a="1"/>
  <c r="CA98" i="29" a="1"/>
  <c r="BQ55" i="29" a="1"/>
  <c r="CB55" i="29" a="1"/>
  <c r="BZ55" i="29" a="1"/>
  <c r="CC55" i="29" s="1"/>
  <c r="BS55" i="29" a="1"/>
  <c r="BR55" i="29" a="1"/>
  <c r="BW55" i="29" s="1"/>
  <c r="BY55" i="29" a="1"/>
  <c r="CA55" i="29" a="1"/>
  <c r="BU55" i="29" a="1"/>
  <c r="CB105" i="29" a="1"/>
  <c r="CA105" i="29" a="1"/>
  <c r="BQ105" i="29" a="1"/>
  <c r="BR105" i="29" a="1"/>
  <c r="BW105" i="29" s="1"/>
  <c r="BX105" i="29" s="1" a="1"/>
  <c r="BY105" i="29" a="1"/>
  <c r="BS105" i="29" a="1"/>
  <c r="BU105" i="29" a="1"/>
  <c r="BZ105" i="29" a="1"/>
  <c r="CC105" i="29" s="1"/>
  <c r="BT105" i="29" s="1"/>
  <c r="BZ38" i="29" a="1"/>
  <c r="CC38" i="29" s="1"/>
  <c r="BY38" i="29" a="1"/>
  <c r="BS38" i="29" a="1"/>
  <c r="BQ38" i="29" a="1"/>
  <c r="BR38" i="29" a="1"/>
  <c r="BW38" i="29" s="1"/>
  <c r="BX38" i="29" s="1" a="1"/>
  <c r="CA38" i="29" a="1"/>
  <c r="CB38" i="29" a="1"/>
  <c r="BU38" i="29" a="1"/>
  <c r="BZ110" i="29" a="1"/>
  <c r="CC110" i="29" s="1"/>
  <c r="BR110" i="29" a="1"/>
  <c r="BW110" i="29" s="1"/>
  <c r="BX110" i="29" s="1" a="1"/>
  <c r="BU110" i="29" a="1"/>
  <c r="BS110" i="29" a="1"/>
  <c r="BQ110" i="29" a="1"/>
  <c r="CB110" i="29" a="1"/>
  <c r="CA110" i="29" a="1"/>
  <c r="BY110" i="29" a="1"/>
  <c r="BR26" i="29" a="1"/>
  <c r="BW26" i="29" s="1"/>
  <c r="BX26" i="29" s="1" a="1"/>
  <c r="BU26" i="29" a="1"/>
  <c r="BZ26" i="29" a="1"/>
  <c r="CC26" i="29" s="1"/>
  <c r="BY26" i="29" a="1"/>
  <c r="CA26" i="29" a="1"/>
  <c r="CB26" i="29" a="1"/>
  <c r="BS26" i="29" a="1"/>
  <c r="BQ26" i="29" a="1"/>
  <c r="BY71" i="29" a="1"/>
  <c r="BU71" i="29" a="1"/>
  <c r="BS71" i="29" a="1"/>
  <c r="BR71" i="29" a="1"/>
  <c r="BW71" i="29" s="1"/>
  <c r="BQ71" i="29" a="1"/>
  <c r="CB71" i="29" a="1"/>
  <c r="CA71" i="29" a="1"/>
  <c r="BZ71" i="29" a="1"/>
  <c r="CC71" i="29" s="1"/>
  <c r="CB204" i="29" a="1"/>
  <c r="BZ204" i="29" a="1"/>
  <c r="CC204" i="29" s="1"/>
  <c r="BY204" i="29" a="1"/>
  <c r="BU204" i="29" a="1"/>
  <c r="CA204" i="29" a="1"/>
  <c r="BQ204" i="29" a="1"/>
  <c r="BR204" i="29" a="1"/>
  <c r="BW204" i="29" s="1"/>
  <c r="BS204" i="29" a="1"/>
  <c r="BS57" i="29" a="1"/>
  <c r="BR57" i="29" a="1"/>
  <c r="BW57" i="29" s="1"/>
  <c r="BX57" i="29" s="1" a="1"/>
  <c r="BQ57" i="29" a="1"/>
  <c r="BZ57" i="29" a="1"/>
  <c r="CC57" i="29" s="1"/>
  <c r="BY57" i="29" a="1"/>
  <c r="CA57" i="29" a="1"/>
  <c r="CB57" i="29" a="1"/>
  <c r="BU57" i="29" a="1"/>
  <c r="BY162" i="29" a="1"/>
  <c r="CB162" i="29" a="1"/>
  <c r="BR162" i="29" a="1"/>
  <c r="BW162" i="29" s="1"/>
  <c r="BX162" i="29" s="1" a="1"/>
  <c r="BQ162" i="29" a="1"/>
  <c r="CA162" i="29" a="1"/>
  <c r="BZ162" i="29" a="1"/>
  <c r="CC162" i="29" s="1"/>
  <c r="BT162" i="29" s="1"/>
  <c r="BS162" i="29" a="1"/>
  <c r="BU162" i="29" a="1"/>
  <c r="BU250" i="29" a="1"/>
  <c r="CB250" i="29" a="1"/>
  <c r="BY250" i="29" a="1"/>
  <c r="BR250" i="29" a="1"/>
  <c r="BW250" i="29" s="1"/>
  <c r="CA250" i="29" a="1"/>
  <c r="BS250" i="29" a="1"/>
  <c r="BZ250" i="29" a="1"/>
  <c r="CC250" i="29" s="1"/>
  <c r="BT250" i="29" s="1"/>
  <c r="BQ250" i="29" a="1"/>
  <c r="BY245" i="29" a="1"/>
  <c r="BU245" i="29" a="1"/>
  <c r="CA245" i="29" a="1"/>
  <c r="CB245" i="29" a="1"/>
  <c r="BZ245" i="29" a="1"/>
  <c r="CC245" i="29" s="1"/>
  <c r="BT245" i="29" s="1"/>
  <c r="BS245" i="29" a="1"/>
  <c r="BQ245" i="29" a="1"/>
  <c r="BR245" i="29" a="1"/>
  <c r="BW245" i="29" s="1"/>
  <c r="T199" i="29"/>
  <c r="T215" i="29"/>
  <c r="T231" i="29"/>
  <c r="T184" i="29"/>
  <c r="T233" i="29"/>
  <c r="T206" i="29"/>
  <c r="T240" i="29"/>
  <c r="T138" i="29"/>
  <c r="T80" i="29"/>
  <c r="T52" i="29"/>
  <c r="T141" i="29"/>
  <c r="T158" i="29"/>
  <c r="T133" i="29"/>
  <c r="T151" i="29"/>
  <c r="T140" i="29"/>
  <c r="T37" i="29"/>
  <c r="T236" i="29"/>
  <c r="T127" i="29"/>
  <c r="T59" i="29"/>
  <c r="T34" i="29"/>
  <c r="T148" i="29"/>
  <c r="T17" i="29"/>
  <c r="T196" i="29"/>
  <c r="T130" i="29"/>
  <c r="T43" i="29"/>
  <c r="T23" i="29"/>
  <c r="T201" i="29"/>
  <c r="T209" i="29"/>
  <c r="T107" i="29"/>
  <c r="T153" i="29"/>
  <c r="T72" i="29"/>
  <c r="T173" i="29"/>
  <c r="T188" i="29"/>
  <c r="T194" i="29"/>
  <c r="T246" i="29"/>
  <c r="T208" i="29"/>
  <c r="T99" i="29"/>
  <c r="T96" i="29"/>
  <c r="T248" i="29"/>
  <c r="T157" i="29"/>
  <c r="T84" i="29"/>
  <c r="T175" i="29"/>
  <c r="T205" i="29"/>
  <c r="T235" i="29"/>
  <c r="T109" i="29"/>
  <c r="T50" i="29"/>
  <c r="T25" i="29"/>
  <c r="T203" i="29"/>
  <c r="T94" i="29"/>
  <c r="T47" i="29"/>
  <c r="T142" i="29"/>
  <c r="T104" i="29"/>
  <c r="T117" i="29"/>
  <c r="T211" i="29"/>
  <c r="BX211" i="29" a="1"/>
  <c r="T124" i="29"/>
  <c r="BX124" i="29" a="1"/>
  <c r="T118" i="29"/>
  <c r="BX118" i="29" a="1"/>
  <c r="T187" i="29"/>
  <c r="BX187" i="29" a="1"/>
  <c r="T29" i="29"/>
  <c r="BX29" i="29" a="1"/>
  <c r="T144" i="29"/>
  <c r="BX144" i="29" a="1"/>
  <c r="T241" i="29"/>
  <c r="BX241" i="29" a="1"/>
  <c r="T139" i="29"/>
  <c r="BX139" i="29" a="1"/>
  <c r="T123" i="29"/>
  <c r="BX123" i="29" a="1"/>
  <c r="T92" i="29"/>
  <c r="BX92" i="29" a="1"/>
  <c r="T12" i="29"/>
  <c r="BX12" i="29" a="1"/>
  <c r="T220" i="29"/>
  <c r="BX220" i="29" a="1"/>
  <c r="T216" i="29"/>
  <c r="BX216" i="29" a="1"/>
  <c r="T190" i="29"/>
  <c r="BX190" i="29" a="1"/>
  <c r="T30" i="29"/>
  <c r="BX30" i="29" a="1"/>
  <c r="T112" i="29"/>
  <c r="BX112" i="29" a="1"/>
  <c r="T28" i="29"/>
  <c r="BX28" i="29" a="1"/>
  <c r="T81" i="29"/>
  <c r="BX81" i="29" a="1"/>
  <c r="T165" i="29"/>
  <c r="BX165" i="29" a="1"/>
  <c r="T41" i="29"/>
  <c r="BX41" i="29" a="1"/>
  <c r="T214" i="29"/>
  <c r="BX214" i="29" a="1"/>
  <c r="T223" i="29"/>
  <c r="BX223" i="29" a="1"/>
  <c r="T70" i="29"/>
  <c r="BX70" i="29" a="1"/>
  <c r="T20" i="29"/>
  <c r="BX20" i="29" a="1"/>
  <c r="B18" i="31"/>
  <c r="CH180" i="19" l="1" a="1"/>
  <c r="J228" i="19"/>
  <c r="M228" i="19" s="1"/>
  <c r="J253" i="19"/>
  <c r="M253" i="19" s="1"/>
  <c r="CH145" i="19" a="1"/>
  <c r="J217" i="19"/>
  <c r="M217" i="19" s="1"/>
  <c r="J50" i="19"/>
  <c r="M50" i="19" s="1"/>
  <c r="J37" i="19"/>
  <c r="M37" i="19" s="1"/>
  <c r="BQ11" i="29" a="1"/>
  <c r="BU11" i="29" a="1"/>
  <c r="BS11" i="29" a="1"/>
  <c r="BR11" i="29" a="1"/>
  <c r="BW11" i="29" s="1"/>
  <c r="BX9" i="29" a="1"/>
  <c r="T9" i="29"/>
  <c r="BT111" i="29"/>
  <c r="J109" i="19"/>
  <c r="M109" i="19" s="1"/>
  <c r="CH200" i="19" a="1"/>
  <c r="BT22" i="29"/>
  <c r="J19" i="19"/>
  <c r="M19" i="19" s="1"/>
  <c r="J122" i="19"/>
  <c r="M122" i="19" s="1"/>
  <c r="CH207" i="19" a="1"/>
  <c r="J120" i="19"/>
  <c r="M120" i="19" s="1"/>
  <c r="J196" i="19"/>
  <c r="BT221" i="29"/>
  <c r="J111" i="19"/>
  <c r="M111" i="19" s="1"/>
  <c r="J80" i="19"/>
  <c r="J183" i="19"/>
  <c r="M183" i="19" s="1"/>
  <c r="J203" i="19"/>
  <c r="M203" i="19" s="1"/>
  <c r="CE14" i="19"/>
  <c r="CE13" i="19"/>
  <c r="CE12" i="19"/>
  <c r="J164" i="19"/>
  <c r="M164" i="19" s="1"/>
  <c r="CA12" i="29" a="1"/>
  <c r="CF12" i="29" s="1"/>
  <c r="Q12" i="29" s="1"/>
  <c r="CB12" i="29" a="1"/>
  <c r="CG12" i="29" s="1"/>
  <c r="S12" i="29" s="1"/>
  <c r="BZ12" i="29" a="1"/>
  <c r="BY12" i="29" a="1"/>
  <c r="CD12" i="29" s="1"/>
  <c r="O12" i="29" s="1"/>
  <c r="B36" i="31"/>
  <c r="J101" i="19"/>
  <c r="M101" i="19" s="1"/>
  <c r="BR10" i="29" a="1"/>
  <c r="BW10" i="29" s="1"/>
  <c r="BQ10" i="29" a="1"/>
  <c r="BU10" i="29" a="1"/>
  <c r="BS10" i="29" a="1"/>
  <c r="J211" i="19"/>
  <c r="M211" i="19" s="1"/>
  <c r="J46" i="19"/>
  <c r="M46" i="19" s="1"/>
  <c r="J123" i="19"/>
  <c r="M123" i="19" s="1"/>
  <c r="BX8" i="29" a="1"/>
  <c r="T8" i="29"/>
  <c r="J117" i="19"/>
  <c r="M117" i="19" s="1"/>
  <c r="J134" i="19"/>
  <c r="CH70" i="19" a="1"/>
  <c r="J107" i="19"/>
  <c r="M107" i="19" s="1"/>
  <c r="J31" i="19"/>
  <c r="M31" i="19" s="1"/>
  <c r="J96" i="19"/>
  <c r="M96" i="19" s="1"/>
  <c r="P24" i="25"/>
  <c r="B24" i="25"/>
  <c r="G24" i="25" s="1"/>
  <c r="BT202" i="29"/>
  <c r="BT207" i="29"/>
  <c r="J150" i="19"/>
  <c r="M150" i="19" s="1"/>
  <c r="J159" i="19"/>
  <c r="M159" i="19" s="1"/>
  <c r="BT77" i="29"/>
  <c r="BT150" i="29"/>
  <c r="CH226" i="19" a="1"/>
  <c r="J36" i="19"/>
  <c r="M36" i="19" s="1"/>
  <c r="J87" i="19"/>
  <c r="M87" i="19" s="1"/>
  <c r="CE11" i="19"/>
  <c r="BT122" i="29"/>
  <c r="BT212" i="29"/>
  <c r="J169" i="19"/>
  <c r="M169" i="19" s="1"/>
  <c r="CE10" i="19"/>
  <c r="J98" i="19"/>
  <c r="M98" i="19" s="1"/>
  <c r="J94" i="19"/>
  <c r="M94" i="19" s="1"/>
  <c r="BT229" i="29"/>
  <c r="J189" i="19"/>
  <c r="M189" i="19" s="1"/>
  <c r="J79" i="19"/>
  <c r="M79" i="19" s="1"/>
  <c r="J233" i="19"/>
  <c r="M233" i="19" s="1"/>
  <c r="J126" i="19"/>
  <c r="M126" i="19" s="1"/>
  <c r="BT168" i="29"/>
  <c r="BT183" i="29"/>
  <c r="CE9" i="19"/>
  <c r="J222" i="19"/>
  <c r="M222" i="19" s="1"/>
  <c r="J156" i="19"/>
  <c r="M156" i="19" s="1"/>
  <c r="J102" i="19"/>
  <c r="M102" i="19" s="1"/>
  <c r="J71" i="19"/>
  <c r="M71" i="19" s="1"/>
  <c r="J29" i="19"/>
  <c r="M29" i="19" s="1"/>
  <c r="G7" i="3"/>
  <c r="H7" i="3"/>
  <c r="J93" i="19"/>
  <c r="M93" i="19" s="1"/>
  <c r="G14" i="3"/>
  <c r="BT181" i="29"/>
  <c r="BT39" i="29"/>
  <c r="BT132" i="29"/>
  <c r="J99" i="19"/>
  <c r="M99" i="19" s="1"/>
  <c r="BT108" i="29"/>
  <c r="J45" i="19"/>
  <c r="M45" i="19" s="1"/>
  <c r="J139" i="19"/>
  <c r="J145" i="19"/>
  <c r="M145" i="19" s="1"/>
  <c r="BT71" i="29"/>
  <c r="CH172" i="19" a="1"/>
  <c r="BT191" i="29"/>
  <c r="J33" i="19"/>
  <c r="M33" i="19" s="1"/>
  <c r="J20" i="19"/>
  <c r="M20" i="19" s="1"/>
  <c r="J177" i="19"/>
  <c r="M177" i="19" s="1"/>
  <c r="CH240" i="19" a="1"/>
  <c r="J252" i="19"/>
  <c r="M252" i="19" s="1"/>
  <c r="J51" i="19"/>
  <c r="M51" i="19" s="1"/>
  <c r="J100" i="19"/>
  <c r="M100" i="19" s="1"/>
  <c r="J209" i="19"/>
  <c r="J40" i="19"/>
  <c r="J92" i="19"/>
  <c r="J78" i="19"/>
  <c r="J190" i="19"/>
  <c r="J113" i="19"/>
  <c r="J114" i="19"/>
  <c r="J149" i="19"/>
  <c r="J128" i="19"/>
  <c r="J72" i="19"/>
  <c r="J60" i="19"/>
  <c r="J89" i="19"/>
  <c r="M89" i="19" s="1"/>
  <c r="J255" i="19"/>
  <c r="M255" i="19" s="1"/>
  <c r="J26" i="19"/>
  <c r="J82" i="19"/>
  <c r="M82" i="19" s="1"/>
  <c r="J118" i="19"/>
  <c r="J70" i="19"/>
  <c r="J166" i="19"/>
  <c r="J55" i="19"/>
  <c r="M55" i="19" s="1"/>
  <c r="J142" i="19"/>
  <c r="J210" i="19"/>
  <c r="J144" i="19"/>
  <c r="M144" i="19" s="1"/>
  <c r="J240" i="19"/>
  <c r="J192" i="19"/>
  <c r="J221" i="19"/>
  <c r="J69" i="19"/>
  <c r="J133" i="19"/>
  <c r="J124" i="19"/>
  <c r="J131" i="19"/>
  <c r="J207" i="19"/>
  <c r="J158" i="19"/>
  <c r="J168" i="19"/>
  <c r="M168" i="19" s="1"/>
  <c r="J81" i="19"/>
  <c r="J236" i="19"/>
  <c r="J58" i="19"/>
  <c r="J127" i="19"/>
  <c r="M127" i="19" s="1"/>
  <c r="J187" i="19"/>
  <c r="J52" i="19"/>
  <c r="J115" i="19"/>
  <c r="J226" i="19"/>
  <c r="J238" i="19"/>
  <c r="J243" i="19"/>
  <c r="J112" i="19"/>
  <c r="J116" i="19"/>
  <c r="J165" i="19"/>
  <c r="J162" i="19"/>
  <c r="J198" i="19"/>
  <c r="J32" i="19"/>
  <c r="M32" i="19" s="1"/>
  <c r="J249" i="19"/>
  <c r="BT100" i="29"/>
  <c r="J229" i="19"/>
  <c r="J104" i="19"/>
  <c r="M104" i="19" s="1"/>
  <c r="J17" i="19"/>
  <c r="J182" i="19"/>
  <c r="M182" i="19" s="1"/>
  <c r="J151" i="19"/>
  <c r="J103" i="19"/>
  <c r="J246" i="19"/>
  <c r="J202" i="19"/>
  <c r="M202" i="19" s="1"/>
  <c r="J216" i="19"/>
  <c r="J63" i="19"/>
  <c r="J90" i="19"/>
  <c r="J251" i="19"/>
  <c r="J220" i="19"/>
  <c r="J205" i="19"/>
  <c r="M205" i="19" s="1"/>
  <c r="J141" i="19"/>
  <c r="M141" i="19" s="1"/>
  <c r="J178" i="19"/>
  <c r="J181" i="19"/>
  <c r="J163" i="19"/>
  <c r="J185" i="19"/>
  <c r="M185" i="19" s="1"/>
  <c r="J18" i="19"/>
  <c r="J218" i="19"/>
  <c r="J250" i="19"/>
  <c r="J204" i="19"/>
  <c r="J148" i="19"/>
  <c r="J214" i="19"/>
  <c r="J223" i="19"/>
  <c r="J132" i="19"/>
  <c r="J172" i="19"/>
  <c r="J225" i="19"/>
  <c r="M225" i="19" s="1"/>
  <c r="J27" i="19"/>
  <c r="J206" i="19"/>
  <c r="M206" i="19" s="1"/>
  <c r="J130" i="19"/>
  <c r="J59" i="19"/>
  <c r="M59" i="19" s="1"/>
  <c r="J85" i="19"/>
  <c r="J152" i="19"/>
  <c r="M152" i="19" s="1"/>
  <c r="J155" i="19"/>
  <c r="M155" i="19" s="1"/>
  <c r="J61" i="19"/>
  <c r="J125" i="19"/>
  <c r="M125" i="19" s="1"/>
  <c r="J64" i="19"/>
  <c r="M64" i="19" s="1"/>
  <c r="J208" i="19"/>
  <c r="J84" i="19"/>
  <c r="J49" i="19"/>
  <c r="M49" i="19" s="1"/>
  <c r="J179" i="19"/>
  <c r="M179" i="19" s="1"/>
  <c r="J157" i="19"/>
  <c r="J147" i="19"/>
  <c r="J224" i="19"/>
  <c r="M224" i="19" s="1"/>
  <c r="J227" i="19"/>
  <c r="J66" i="19"/>
  <c r="J180" i="19"/>
  <c r="M180" i="19" s="1"/>
  <c r="J176" i="19"/>
  <c r="M176" i="19" s="1"/>
  <c r="J161" i="19"/>
  <c r="J186" i="19"/>
  <c r="M186" i="19" s="1"/>
  <c r="J108" i="19"/>
  <c r="M108" i="19" s="1"/>
  <c r="J232" i="19"/>
  <c r="M73" i="19"/>
  <c r="M139" i="19"/>
  <c r="M92" i="19"/>
  <c r="M192" i="19"/>
  <c r="M80" i="19"/>
  <c r="M134" i="19"/>
  <c r="CH173" i="19" a="1"/>
  <c r="BT170" i="29"/>
  <c r="M135" i="19"/>
  <c r="M172" i="19"/>
  <c r="M251" i="19"/>
  <c r="M220" i="19"/>
  <c r="M165" i="19"/>
  <c r="M78" i="19"/>
  <c r="M209" i="19"/>
  <c r="M40" i="19"/>
  <c r="M229" i="19"/>
  <c r="M17" i="19"/>
  <c r="M103" i="19"/>
  <c r="M246" i="19"/>
  <c r="M216" i="19"/>
  <c r="M63" i="19"/>
  <c r="M227" i="19"/>
  <c r="M66" i="19"/>
  <c r="M162" i="19"/>
  <c r="M196" i="19"/>
  <c r="M243" i="19"/>
  <c r="M149" i="19"/>
  <c r="M128" i="19"/>
  <c r="M72" i="19"/>
  <c r="M112" i="19"/>
  <c r="M60" i="19"/>
  <c r="M27" i="19"/>
  <c r="M232" i="19"/>
  <c r="M249" i="19"/>
  <c r="M221" i="19"/>
  <c r="M69" i="19"/>
  <c r="M133" i="19"/>
  <c r="M124" i="19"/>
  <c r="M131" i="19"/>
  <c r="M207" i="19"/>
  <c r="M158" i="19"/>
  <c r="M81" i="19"/>
  <c r="M236" i="19"/>
  <c r="M58" i="19"/>
  <c r="M61" i="19"/>
  <c r="M208" i="19"/>
  <c r="M151" i="19"/>
  <c r="M90" i="19"/>
  <c r="M85" i="19"/>
  <c r="M84" i="19"/>
  <c r="M157" i="19"/>
  <c r="M147" i="19"/>
  <c r="M178" i="19"/>
  <c r="M181" i="19"/>
  <c r="M190" i="19"/>
  <c r="M163" i="19"/>
  <c r="M161" i="19"/>
  <c r="M214" i="19"/>
  <c r="M223" i="19"/>
  <c r="M198" i="19"/>
  <c r="M132" i="19"/>
  <c r="M18" i="19"/>
  <c r="M113" i="19"/>
  <c r="M218" i="19"/>
  <c r="M114" i="19"/>
  <c r="M187" i="19"/>
  <c r="M52" i="19"/>
  <c r="M115" i="19"/>
  <c r="M226" i="19"/>
  <c r="M250" i="19"/>
  <c r="M238" i="19"/>
  <c r="M204" i="19"/>
  <c r="M148" i="19"/>
  <c r="M116" i="19"/>
  <c r="M26" i="19"/>
  <c r="M118" i="19"/>
  <c r="M70" i="19"/>
  <c r="M166" i="19"/>
  <c r="M142" i="19"/>
  <c r="M210" i="19"/>
  <c r="M240" i="19"/>
  <c r="M130" i="19"/>
  <c r="CH105" i="19" a="1"/>
  <c r="BQ7" i="29" a="1"/>
  <c r="BR7" i="29" a="1"/>
  <c r="BW7" i="29" s="1"/>
  <c r="BU7" i="29" a="1"/>
  <c r="A7" i="29"/>
  <c r="BS7" i="29" a="1"/>
  <c r="CH245" i="19" a="1"/>
  <c r="BT143" i="29"/>
  <c r="BT46" i="29"/>
  <c r="BT62" i="29"/>
  <c r="T6" i="29"/>
  <c r="BX6" i="29" a="1"/>
  <c r="BT254" i="29"/>
  <c r="BT253" i="29"/>
  <c r="BT78" i="29"/>
  <c r="BT21" i="29"/>
  <c r="BT91" i="29"/>
  <c r="BT195" i="29"/>
  <c r="BT97" i="29"/>
  <c r="BT239" i="29"/>
  <c r="BT95" i="29"/>
  <c r="BT186" i="29"/>
  <c r="BT35" i="29"/>
  <c r="BT164" i="29"/>
  <c r="BT131" i="29"/>
  <c r="BT54" i="29"/>
  <c r="BT171" i="29"/>
  <c r="BT126" i="29"/>
  <c r="BT234" i="29"/>
  <c r="BT230" i="29"/>
  <c r="BT189" i="29"/>
  <c r="BT227" i="29"/>
  <c r="BT87" i="29"/>
  <c r="BT74" i="29"/>
  <c r="BT83" i="29"/>
  <c r="BT49" i="29"/>
  <c r="BT182" i="29"/>
  <c r="BT45" i="29"/>
  <c r="BT106" i="29"/>
  <c r="BT238" i="29"/>
  <c r="BT145" i="29"/>
  <c r="BT51" i="29"/>
  <c r="BT86" i="29"/>
  <c r="BT33" i="29"/>
  <c r="BT128" i="29"/>
  <c r="BT115" i="29"/>
  <c r="BT48" i="29"/>
  <c r="BT114" i="29"/>
  <c r="BT85" i="29"/>
  <c r="BT40" i="29"/>
  <c r="BT113" i="29"/>
  <c r="BT98" i="29"/>
  <c r="BT55" i="29"/>
  <c r="BT38" i="29"/>
  <c r="BT110" i="29"/>
  <c r="BT26" i="29"/>
  <c r="BT204" i="29"/>
  <c r="BT57" i="29"/>
  <c r="BT232" i="29"/>
  <c r="A5" i="29"/>
  <c r="BS5" i="29" a="1"/>
  <c r="BQ5" i="29" a="1"/>
  <c r="BU5" i="29" a="1"/>
  <c r="BR5" i="29" a="1"/>
  <c r="BW5" i="29" s="1"/>
  <c r="BT79" i="29"/>
  <c r="BT247" i="29"/>
  <c r="BT217" i="29"/>
  <c r="BT68" i="29"/>
  <c r="BT180" i="29"/>
  <c r="BT193" i="29"/>
  <c r="BT82" i="29"/>
  <c r="BT159" i="29"/>
  <c r="BT120" i="29"/>
  <c r="BT228" i="29"/>
  <c r="BT42" i="29"/>
  <c r="BT218" i="29"/>
  <c r="BT192" i="29"/>
  <c r="BT24" i="29"/>
  <c r="BT18" i="29"/>
  <c r="BT213" i="29"/>
  <c r="BT134" i="29"/>
  <c r="BT93" i="29"/>
  <c r="BT64" i="29"/>
  <c r="BT32" i="29"/>
  <c r="BT146" i="29"/>
  <c r="BT67" i="29"/>
  <c r="BT149" i="29"/>
  <c r="BT169" i="29"/>
  <c r="BT90" i="29"/>
  <c r="BT76" i="29"/>
  <c r="BT197" i="29"/>
  <c r="BT147" i="29"/>
  <c r="BT88" i="29"/>
  <c r="BT155" i="29"/>
  <c r="BT36" i="29"/>
  <c r="BT66" i="29"/>
  <c r="CH163" i="19" a="1"/>
  <c r="CH138" i="19" a="1"/>
  <c r="CH37" i="19" a="1"/>
  <c r="CH87" i="19" a="1"/>
  <c r="CH183" i="19" a="1"/>
  <c r="CH243" i="19" a="1"/>
  <c r="CH179" i="19" a="1"/>
  <c r="CH33" i="19" a="1"/>
  <c r="CH126" i="19" a="1"/>
  <c r="CH42" i="19" a="1"/>
  <c r="CH101" i="19" a="1"/>
  <c r="CH62" i="19" a="1"/>
  <c r="CH150" i="19" a="1"/>
  <c r="CH155" i="19" a="1"/>
  <c r="CH112" i="19" a="1"/>
  <c r="CH92" i="19" a="1"/>
  <c r="CH239" i="19" a="1"/>
  <c r="CH234" i="19" a="1"/>
  <c r="CH17" i="19" a="1"/>
  <c r="CH171" i="19" a="1"/>
  <c r="CH182" i="19" a="1"/>
  <c r="CH195" i="19" a="1"/>
  <c r="CH248" i="19" a="1"/>
  <c r="CH57" i="19" a="1"/>
  <c r="CH88" i="19" a="1"/>
  <c r="CH20" i="19" a="1"/>
  <c r="CH236" i="19" a="1"/>
  <c r="CH98" i="19" a="1"/>
  <c r="CH209" i="19" a="1"/>
  <c r="CH196" i="19" a="1"/>
  <c r="CH30" i="19" a="1"/>
  <c r="CH187" i="19" a="1"/>
  <c r="CH178" i="19" a="1"/>
  <c r="CH254" i="19" a="1"/>
  <c r="CH90" i="19" a="1"/>
  <c r="CH232" i="19" a="1"/>
  <c r="CH220" i="19" a="1"/>
  <c r="CH102" i="19" a="1"/>
  <c r="CH26" i="19" a="1"/>
  <c r="CH166" i="19" a="1"/>
  <c r="CH91" i="19" a="1"/>
  <c r="CH36" i="19" a="1"/>
  <c r="CH230" i="19" a="1"/>
  <c r="CH241" i="19" a="1"/>
  <c r="CH131" i="19" a="1"/>
  <c r="CH189" i="19" a="1"/>
  <c r="CH125" i="19" a="1"/>
  <c r="CH100" i="19" a="1"/>
  <c r="CH18" i="19" a="1"/>
  <c r="CH214" i="19" a="1"/>
  <c r="CH104" i="19" a="1"/>
  <c r="CH103" i="19" a="1"/>
  <c r="CH111" i="19" a="1"/>
  <c r="CH94" i="19" a="1"/>
  <c r="CH128" i="19" a="1"/>
  <c r="CH211" i="19" a="1"/>
  <c r="CH29" i="19" a="1"/>
  <c r="CH43" i="19" a="1"/>
  <c r="CH147" i="19" a="1"/>
  <c r="CH69" i="19" a="1"/>
  <c r="CH185" i="19" a="1"/>
  <c r="CH84" i="19" a="1"/>
  <c r="CH227" i="19" a="1"/>
  <c r="CH175" i="19" a="1"/>
  <c r="CH136" i="19" a="1"/>
  <c r="CH77" i="19" a="1"/>
  <c r="CH44" i="19" a="1"/>
  <c r="CK30" i="19"/>
  <c r="CL30" i="19" s="1"/>
  <c r="CH184" i="19" a="1"/>
  <c r="CH67" i="19" a="1"/>
  <c r="CH79" i="19" a="1"/>
  <c r="CF226" i="19"/>
  <c r="CG226" i="19"/>
  <c r="Q160" i="19"/>
  <c r="S160" i="19" s="1"/>
  <c r="O160" i="19"/>
  <c r="CG160" i="19"/>
  <c r="CF160" i="19"/>
  <c r="H160" i="19" s="1"/>
  <c r="CF250" i="19"/>
  <c r="CG250" i="19"/>
  <c r="CF217" i="19"/>
  <c r="CG217" i="19"/>
  <c r="CF238" i="19"/>
  <c r="CG238" i="19"/>
  <c r="CG204" i="19"/>
  <c r="CF204" i="19"/>
  <c r="CG243" i="19"/>
  <c r="CF243" i="19"/>
  <c r="CG149" i="19"/>
  <c r="CF149" i="19"/>
  <c r="CF128" i="19"/>
  <c r="CG128" i="19"/>
  <c r="CG72" i="19"/>
  <c r="CF72" i="19"/>
  <c r="Q16" i="19"/>
  <c r="S16" i="19" s="1"/>
  <c r="O16" i="19"/>
  <c r="CF16" i="19"/>
  <c r="CG16" i="19"/>
  <c r="CH81" i="19" a="1"/>
  <c r="BX180" i="29" a="1"/>
  <c r="T180" i="29"/>
  <c r="CK221" i="19"/>
  <c r="CL221" i="19" s="1"/>
  <c r="CH221" i="19" a="1"/>
  <c r="CK69" i="19"/>
  <c r="CL69" i="19" s="1"/>
  <c r="CK133" i="19"/>
  <c r="CL133" i="19" s="1"/>
  <c r="CK131" i="19"/>
  <c r="CL131" i="19" s="1"/>
  <c r="T232" i="29"/>
  <c r="BX232" i="29" a="1"/>
  <c r="CH124" i="19" a="1"/>
  <c r="CH64" i="19" a="1"/>
  <c r="CH133" i="19" a="1"/>
  <c r="CH215" i="19" a="1"/>
  <c r="CH153" i="19" a="1"/>
  <c r="BU221" i="60"/>
  <c r="BD221" i="60"/>
  <c r="BC221" i="60"/>
  <c r="BB221" i="60"/>
  <c r="BE221" i="60"/>
  <c r="BW221" i="60"/>
  <c r="BS221" i="60"/>
  <c r="BN221" i="60"/>
  <c r="BM221" i="60"/>
  <c r="BF221" i="60"/>
  <c r="BR221" i="60"/>
  <c r="BT221" i="60"/>
  <c r="BO221" i="60"/>
  <c r="BQ221" i="60"/>
  <c r="BP221" i="60"/>
  <c r="CF221" i="19"/>
  <c r="CG221" i="19"/>
  <c r="BE69" i="60"/>
  <c r="BW69" i="60"/>
  <c r="BS69" i="60"/>
  <c r="BB69" i="60"/>
  <c r="BP69" i="60"/>
  <c r="BF69" i="60"/>
  <c r="BN69" i="60"/>
  <c r="BC69" i="60"/>
  <c r="BT69" i="60"/>
  <c r="BD69" i="60"/>
  <c r="BR69" i="60"/>
  <c r="BM69" i="60"/>
  <c r="BU69" i="60"/>
  <c r="BO69" i="60"/>
  <c r="BQ69" i="60"/>
  <c r="CG69" i="19"/>
  <c r="CF69" i="19"/>
  <c r="BO133" i="60"/>
  <c r="BW133" i="60"/>
  <c r="BU133" i="60"/>
  <c r="BS133" i="60"/>
  <c r="BM133" i="60"/>
  <c r="BP133" i="60"/>
  <c r="BT133" i="60"/>
  <c r="BE133" i="60"/>
  <c r="BN133" i="60"/>
  <c r="BQ133" i="60"/>
  <c r="BC133" i="60"/>
  <c r="BB133" i="60"/>
  <c r="BR133" i="60"/>
  <c r="BD133" i="60"/>
  <c r="BF133" i="60"/>
  <c r="CG133" i="19"/>
  <c r="CF133" i="19"/>
  <c r="CG124" i="19"/>
  <c r="CF124" i="19"/>
  <c r="CF131" i="19"/>
  <c r="CG131" i="19"/>
  <c r="CH68" i="19" a="1"/>
  <c r="BM124" i="60"/>
  <c r="BD124" i="60"/>
  <c r="BC124" i="60"/>
  <c r="BT124" i="60"/>
  <c r="BB124" i="60"/>
  <c r="BN124" i="60"/>
  <c r="BQ124" i="60"/>
  <c r="BR124" i="60"/>
  <c r="BF124" i="60"/>
  <c r="BO124" i="60"/>
  <c r="CH49" i="19" a="1"/>
  <c r="CH224" i="19" a="1"/>
  <c r="CH65" i="19" a="1"/>
  <c r="CH41" i="19" a="1"/>
  <c r="BE124" i="60"/>
  <c r="BP124" i="60"/>
  <c r="BW124" i="60"/>
  <c r="BU124" i="60"/>
  <c r="BS124" i="60"/>
  <c r="BP131" i="60"/>
  <c r="BT131" i="60"/>
  <c r="BF131" i="60"/>
  <c r="BO131" i="60"/>
  <c r="BB131" i="60"/>
  <c r="BN131" i="60"/>
  <c r="BR131" i="60"/>
  <c r="BS131" i="60"/>
  <c r="BC131" i="60"/>
  <c r="BW131" i="60"/>
  <c r="BU131" i="60"/>
  <c r="BD131" i="60"/>
  <c r="BE131" i="60"/>
  <c r="BQ131" i="60"/>
  <c r="BM131" i="60"/>
  <c r="CF66" i="19"/>
  <c r="CG66" i="19"/>
  <c r="CF7" i="19"/>
  <c r="CG7" i="19"/>
  <c r="Q110" i="19"/>
  <c r="S110" i="19" s="1"/>
  <c r="O110" i="19"/>
  <c r="CG110" i="19"/>
  <c r="CF110" i="19"/>
  <c r="CG50" i="19"/>
  <c r="CF50" i="19"/>
  <c r="CF180" i="19"/>
  <c r="H180" i="19" s="1"/>
  <c r="CG180" i="19"/>
  <c r="CG117" i="19"/>
  <c r="CF117" i="19"/>
  <c r="O138" i="19"/>
  <c r="Q138" i="19"/>
  <c r="S138" i="19" s="1"/>
  <c r="CF138" i="19"/>
  <c r="CG138" i="19"/>
  <c r="O194" i="19"/>
  <c r="Q194" i="19"/>
  <c r="S194" i="19" s="1"/>
  <c r="CG194" i="19"/>
  <c r="CF194" i="19"/>
  <c r="O175" i="19"/>
  <c r="Q175" i="19"/>
  <c r="S175" i="19" s="1"/>
  <c r="CF175" i="19"/>
  <c r="CG175" i="19"/>
  <c r="CG141" i="19"/>
  <c r="CF141" i="19"/>
  <c r="BU178" i="60"/>
  <c r="BW178" i="60"/>
  <c r="BF178" i="60"/>
  <c r="BC178" i="60"/>
  <c r="BN178" i="60"/>
  <c r="BP178" i="60"/>
  <c r="BD178" i="60"/>
  <c r="BM178" i="60"/>
  <c r="BR178" i="60"/>
  <c r="BS178" i="60"/>
  <c r="BQ178" i="60"/>
  <c r="BE178" i="60"/>
  <c r="BO178" i="60"/>
  <c r="BT178" i="60"/>
  <c r="BB178" i="60"/>
  <c r="CG178" i="19"/>
  <c r="CF178" i="19"/>
  <c r="CF181" i="19"/>
  <c r="H181" i="19" s="1"/>
  <c r="CG181" i="19"/>
  <c r="BB181" i="60"/>
  <c r="BD181" i="60"/>
  <c r="BQ181" i="60"/>
  <c r="BE181" i="60"/>
  <c r="BU181" i="60"/>
  <c r="BT181" i="60"/>
  <c r="BN181" i="60"/>
  <c r="BF181" i="60"/>
  <c r="BR181" i="60"/>
  <c r="BP181" i="60"/>
  <c r="BC181" i="60"/>
  <c r="BW181" i="60"/>
  <c r="BO181" i="60"/>
  <c r="BS181" i="60"/>
  <c r="BM181" i="60"/>
  <c r="O253" i="19"/>
  <c r="Q253" i="19"/>
  <c r="S253" i="19" s="1"/>
  <c r="BU253" i="60"/>
  <c r="BB253" i="60"/>
  <c r="BF253" i="60"/>
  <c r="BT253" i="60"/>
  <c r="BD253" i="60"/>
  <c r="BE253" i="60"/>
  <c r="BS253" i="60"/>
  <c r="BO253" i="60"/>
  <c r="BW253" i="60"/>
  <c r="BQ253" i="60"/>
  <c r="BM253" i="60"/>
  <c r="BR253" i="60"/>
  <c r="BN253" i="60"/>
  <c r="BC253" i="60"/>
  <c r="BP253" i="60"/>
  <c r="CF253" i="19"/>
  <c r="CG253" i="19"/>
  <c r="Q228" i="19"/>
  <c r="S228" i="19" s="1"/>
  <c r="O228" i="19"/>
  <c r="BC228" i="60"/>
  <c r="BR228" i="60"/>
  <c r="BO228" i="60"/>
  <c r="BP228" i="60"/>
  <c r="BU228" i="60"/>
  <c r="BD228" i="60"/>
  <c r="BM228" i="60"/>
  <c r="BF228" i="60"/>
  <c r="BT228" i="60"/>
  <c r="BW228" i="60"/>
  <c r="BE228" i="60"/>
  <c r="BS228" i="60"/>
  <c r="BQ228" i="60"/>
  <c r="BB228" i="60"/>
  <c r="BN228" i="60"/>
  <c r="CG228" i="19"/>
  <c r="CF228" i="19"/>
  <c r="BR100" i="60"/>
  <c r="BD100" i="60"/>
  <c r="BS100" i="60"/>
  <c r="BM100" i="60"/>
  <c r="BB100" i="60"/>
  <c r="BU100" i="60"/>
  <c r="BC100" i="60"/>
  <c r="BE100" i="60"/>
  <c r="BQ100" i="60"/>
  <c r="BW100" i="60"/>
  <c r="BP100" i="60"/>
  <c r="BT100" i="60"/>
  <c r="BF100" i="60"/>
  <c r="BO100" i="60"/>
  <c r="BN100" i="60"/>
  <c r="CG112" i="19"/>
  <c r="CF112" i="19"/>
  <c r="O140" i="19"/>
  <c r="Q140" i="19"/>
  <c r="S140" i="19" s="1"/>
  <c r="CG140" i="19"/>
  <c r="CF140" i="19"/>
  <c r="O197" i="19"/>
  <c r="Q197" i="19"/>
  <c r="S197" i="19" s="1"/>
  <c r="CH74" i="19" a="1"/>
  <c r="CH208" i="19" a="1"/>
  <c r="CH51" i="19" a="1"/>
  <c r="CH229" i="19" a="1"/>
  <c r="CH31" i="19" a="1"/>
  <c r="CH154" i="19" a="1"/>
  <c r="CH123" i="19" a="1"/>
  <c r="CK103" i="19"/>
  <c r="CL103" i="19" s="1"/>
  <c r="CH216" i="19" a="1"/>
  <c r="CH237" i="19" a="1"/>
  <c r="CH252" i="19" a="1"/>
  <c r="CH205" i="19" a="1"/>
  <c r="CH135" i="19" a="1"/>
  <c r="CK56" i="19"/>
  <c r="CL56" i="19" s="1"/>
  <c r="CH56" i="19" a="1"/>
  <c r="CK85" i="19"/>
  <c r="CL85" i="19" s="1"/>
  <c r="CH85" i="19" a="1"/>
  <c r="CK152" i="19"/>
  <c r="CL152" i="19" s="1"/>
  <c r="CK155" i="19"/>
  <c r="CL155" i="19" s="1"/>
  <c r="CK61" i="19"/>
  <c r="CL61" i="19" s="1"/>
  <c r="CH61" i="19" a="1"/>
  <c r="CK134" i="19"/>
  <c r="CL134" i="19" s="1"/>
  <c r="CK121" i="19"/>
  <c r="CL121" i="19" s="1"/>
  <c r="CK237" i="19"/>
  <c r="CL237" i="19" s="1"/>
  <c r="CF144" i="19"/>
  <c r="CG144" i="19"/>
  <c r="Q248" i="19"/>
  <c r="S248" i="19" s="1"/>
  <c r="O248" i="19"/>
  <c r="CG248" i="19"/>
  <c r="CF248" i="19"/>
  <c r="CF240" i="19"/>
  <c r="CG240" i="19"/>
  <c r="O239" i="19"/>
  <c r="Q239" i="19"/>
  <c r="S239" i="19" s="1"/>
  <c r="CF239" i="19"/>
  <c r="CG239" i="19"/>
  <c r="CH235" i="19" a="1"/>
  <c r="CK21" i="19"/>
  <c r="CL21" i="19" s="1"/>
  <c r="CK147" i="19"/>
  <c r="CL147" i="19" s="1"/>
  <c r="CK33" i="19"/>
  <c r="CL33" i="19" s="1"/>
  <c r="CK66" i="19"/>
  <c r="CL66" i="19" s="1"/>
  <c r="CH134" i="19" a="1"/>
  <c r="CH222" i="19" a="1"/>
  <c r="CK24" i="19"/>
  <c r="CL24" i="19" s="1"/>
  <c r="CK67" i="19"/>
  <c r="CL67" i="19" s="1"/>
  <c r="CH157" i="19" a="1"/>
  <c r="CH53" i="19" a="1"/>
  <c r="CK98" i="19"/>
  <c r="CL98" i="19" s="1"/>
  <c r="CK208" i="19"/>
  <c r="CL208" i="19" s="1"/>
  <c r="CH164" i="19" a="1"/>
  <c r="CK20" i="19"/>
  <c r="CL20" i="19" s="1"/>
  <c r="CH177" i="19" a="1"/>
  <c r="CK248" i="19"/>
  <c r="CL248" i="19" s="1"/>
  <c r="CK240" i="19"/>
  <c r="CL240" i="19" s="1"/>
  <c r="CH192" i="19" a="1"/>
  <c r="CH27" i="19" a="1"/>
  <c r="CH108" i="19" a="1"/>
  <c r="CH249" i="19" a="1"/>
  <c r="CH206" i="19" a="1"/>
  <c r="CK84" i="19"/>
  <c r="CL84" i="19" s="1"/>
  <c r="CH95" i="19" a="1"/>
  <c r="CH130" i="19" a="1"/>
  <c r="CH251" i="19" a="1"/>
  <c r="CK125" i="19"/>
  <c r="CL125" i="19" s="1"/>
  <c r="CK179" i="19"/>
  <c r="CL179" i="19" s="1"/>
  <c r="CK157" i="19"/>
  <c r="CL157" i="19" s="1"/>
  <c r="CK227" i="19"/>
  <c r="CL227" i="19" s="1"/>
  <c r="CK193" i="19"/>
  <c r="CL193" i="19" s="1"/>
  <c r="CK64" i="19"/>
  <c r="CL64" i="19" s="1"/>
  <c r="CK49" i="19"/>
  <c r="CL49" i="19" s="1"/>
  <c r="CK167" i="19"/>
  <c r="CL167" i="19" s="1"/>
  <c r="CK222" i="19"/>
  <c r="CL222" i="19" s="1"/>
  <c r="CK137" i="19"/>
  <c r="CL137" i="19" s="1"/>
  <c r="CK164" i="19"/>
  <c r="CL164" i="19" s="1"/>
  <c r="CK219" i="19"/>
  <c r="CL219" i="19" s="1"/>
  <c r="BM154" i="60"/>
  <c r="BE154" i="60"/>
  <c r="BT154" i="60"/>
  <c r="BQ154" i="60"/>
  <c r="BR154" i="60"/>
  <c r="BO154" i="60"/>
  <c r="BB154" i="60"/>
  <c r="BD154" i="60"/>
  <c r="BS154" i="60"/>
  <c r="BW154" i="60"/>
  <c r="BN154" i="60"/>
  <c r="BU154" i="60"/>
  <c r="BP154" i="60"/>
  <c r="BC154" i="60"/>
  <c r="BF154" i="60"/>
  <c r="BD9" i="60"/>
  <c r="BB9" i="60"/>
  <c r="BE9" i="60"/>
  <c r="BF9" i="60"/>
  <c r="BC9" i="60"/>
  <c r="BN151" i="60"/>
  <c r="BO151" i="60"/>
  <c r="BF151" i="60"/>
  <c r="BE151" i="60"/>
  <c r="BP151" i="60"/>
  <c r="BS151" i="60"/>
  <c r="BW151" i="60"/>
  <c r="BR151" i="60"/>
  <c r="BC151" i="60"/>
  <c r="BM151" i="60"/>
  <c r="BQ151" i="60"/>
  <c r="BB151" i="60"/>
  <c r="BU151" i="60"/>
  <c r="BD151" i="60"/>
  <c r="BT151" i="60"/>
  <c r="BP123" i="60"/>
  <c r="BF123" i="60"/>
  <c r="BD123" i="60"/>
  <c r="BN123" i="60"/>
  <c r="BU123" i="60"/>
  <c r="BE123" i="60"/>
  <c r="BC123" i="60"/>
  <c r="BT123" i="60"/>
  <c r="BO123" i="60"/>
  <c r="BQ123" i="60"/>
  <c r="BS123" i="60"/>
  <c r="BB123" i="60"/>
  <c r="BR123" i="60"/>
  <c r="BW123" i="60"/>
  <c r="BM123" i="60"/>
  <c r="BU103" i="60"/>
  <c r="BN103" i="60"/>
  <c r="BB103" i="60"/>
  <c r="BO103" i="60"/>
  <c r="BC103" i="60"/>
  <c r="BD103" i="60"/>
  <c r="BQ103" i="60"/>
  <c r="BM103" i="60"/>
  <c r="BS103" i="60"/>
  <c r="BP103" i="60"/>
  <c r="BR103" i="60"/>
  <c r="BF103" i="60"/>
  <c r="BW103" i="60"/>
  <c r="BT103" i="60"/>
  <c r="BE103" i="60"/>
  <c r="BB246" i="60"/>
  <c r="BR246" i="60"/>
  <c r="BW246" i="60"/>
  <c r="BT246" i="60"/>
  <c r="BE246" i="60"/>
  <c r="BP246" i="60"/>
  <c r="BU246" i="60"/>
  <c r="BQ246" i="60"/>
  <c r="BO246" i="60"/>
  <c r="BC246" i="60"/>
  <c r="BF246" i="60"/>
  <c r="BD246" i="60"/>
  <c r="BN246" i="60"/>
  <c r="BS246" i="60"/>
  <c r="BM246" i="60"/>
  <c r="BO42" i="60"/>
  <c r="BT42" i="60"/>
  <c r="BU42" i="60"/>
  <c r="BM42" i="60"/>
  <c r="BF42" i="60"/>
  <c r="BQ42" i="60"/>
  <c r="BE42" i="60"/>
  <c r="BB42" i="60"/>
  <c r="BW42" i="60"/>
  <c r="BS42" i="60"/>
  <c r="BP42" i="60"/>
  <c r="BD42" i="60"/>
  <c r="BN42" i="60"/>
  <c r="BR42" i="60"/>
  <c r="BC42" i="60"/>
  <c r="BW146" i="60"/>
  <c r="BQ146" i="60"/>
  <c r="BT146" i="60"/>
  <c r="BP146" i="60"/>
  <c r="BU146" i="60"/>
  <c r="BN146" i="60"/>
  <c r="BR146" i="60"/>
  <c r="BM146" i="60"/>
  <c r="BS146" i="60"/>
  <c r="BO146" i="60"/>
  <c r="BC146" i="60"/>
  <c r="BB146" i="60"/>
  <c r="BE146" i="60"/>
  <c r="BF146" i="60"/>
  <c r="BD146" i="60"/>
  <c r="BD12" i="60"/>
  <c r="BE12" i="60"/>
  <c r="BF12" i="60"/>
  <c r="BB12" i="60"/>
  <c r="BC12" i="60"/>
  <c r="BW202" i="60"/>
  <c r="BS202" i="60"/>
  <c r="BB202" i="60"/>
  <c r="BC202" i="60"/>
  <c r="BQ202" i="60"/>
  <c r="BM202" i="60"/>
  <c r="BR202" i="60"/>
  <c r="BD202" i="60"/>
  <c r="BF202" i="60"/>
  <c r="BE202" i="60"/>
  <c r="BP202" i="60"/>
  <c r="BN202" i="60"/>
  <c r="BO202" i="60"/>
  <c r="BU202" i="60"/>
  <c r="BT202" i="60"/>
  <c r="BM91" i="60"/>
  <c r="BN91" i="60"/>
  <c r="BS91" i="60"/>
  <c r="BW91" i="60"/>
  <c r="BP91" i="60"/>
  <c r="BE91" i="60"/>
  <c r="BO91" i="60"/>
  <c r="BB91" i="60"/>
  <c r="BT91" i="60"/>
  <c r="BQ91" i="60"/>
  <c r="BD91" i="60"/>
  <c r="BU91" i="60"/>
  <c r="BC91" i="60"/>
  <c r="BR91" i="60"/>
  <c r="BF91" i="60"/>
  <c r="BP216" i="60"/>
  <c r="BS216" i="60"/>
  <c r="BD216" i="60"/>
  <c r="BR216" i="60"/>
  <c r="BE216" i="60"/>
  <c r="BB216" i="60"/>
  <c r="BQ216" i="60"/>
  <c r="BO216" i="60"/>
  <c r="BW216" i="60"/>
  <c r="BC216" i="60"/>
  <c r="BN216" i="60"/>
  <c r="BU216" i="60"/>
  <c r="BT216" i="60"/>
  <c r="BF216" i="60"/>
  <c r="BM216" i="60"/>
  <c r="BE136" i="60"/>
  <c r="BF136" i="60"/>
  <c r="BP136" i="60"/>
  <c r="BR136" i="60"/>
  <c r="BN136" i="60"/>
  <c r="BQ136" i="60"/>
  <c r="BM136" i="60"/>
  <c r="BB136" i="60"/>
  <c r="BU136" i="60"/>
  <c r="BS136" i="60"/>
  <c r="BW136" i="60"/>
  <c r="BT136" i="60"/>
  <c r="BC136" i="60"/>
  <c r="BD136" i="60"/>
  <c r="BO136" i="60"/>
  <c r="BB174" i="60"/>
  <c r="BT174" i="60"/>
  <c r="BF174" i="60"/>
  <c r="BD174" i="60"/>
  <c r="BN174" i="60"/>
  <c r="BR174" i="60"/>
  <c r="BS174" i="60"/>
  <c r="BE174" i="60"/>
  <c r="BC174" i="60"/>
  <c r="BO174" i="60"/>
  <c r="BW174" i="60"/>
  <c r="BQ174" i="60"/>
  <c r="BU174" i="60"/>
  <c r="BP174" i="60"/>
  <c r="BM174" i="60"/>
  <c r="BF126" i="60"/>
  <c r="BS126" i="60"/>
  <c r="BO126" i="60"/>
  <c r="BN126" i="60"/>
  <c r="BQ126" i="60"/>
  <c r="BW126" i="60"/>
  <c r="BE126" i="60"/>
  <c r="BM126" i="60"/>
  <c r="BT126" i="60"/>
  <c r="BR126" i="60"/>
  <c r="BD126" i="60"/>
  <c r="BP126" i="60"/>
  <c r="BU126" i="60"/>
  <c r="BB126" i="60"/>
  <c r="BC126" i="60"/>
  <c r="BS63" i="60"/>
  <c r="BB63" i="60"/>
  <c r="BU63" i="60"/>
  <c r="BN63" i="60"/>
  <c r="BP63" i="60"/>
  <c r="BD63" i="60"/>
  <c r="BF63" i="60"/>
  <c r="BE63" i="60"/>
  <c r="BC63" i="60"/>
  <c r="BR63" i="60"/>
  <c r="BW63" i="60"/>
  <c r="BO63" i="60"/>
  <c r="BQ63" i="60"/>
  <c r="BT63" i="60"/>
  <c r="BM63" i="60"/>
  <c r="BM90" i="60"/>
  <c r="BT90" i="60"/>
  <c r="BW90" i="60"/>
  <c r="BO90" i="60"/>
  <c r="BU90" i="60"/>
  <c r="BN90" i="60"/>
  <c r="BF90" i="60"/>
  <c r="BQ90" i="60"/>
  <c r="BR90" i="60"/>
  <c r="BC90" i="60"/>
  <c r="BS90" i="60"/>
  <c r="BE90" i="60"/>
  <c r="BB90" i="60"/>
  <c r="BD90" i="60"/>
  <c r="BP90" i="60"/>
  <c r="BB74" i="60"/>
  <c r="BN74" i="60"/>
  <c r="BW74" i="60"/>
  <c r="BU74" i="60"/>
  <c r="BD74" i="60"/>
  <c r="BC74" i="60"/>
  <c r="BO74" i="60"/>
  <c r="BS74" i="60"/>
  <c r="BF74" i="60"/>
  <c r="BR74" i="60"/>
  <c r="BE74" i="60"/>
  <c r="BT74" i="60"/>
  <c r="BQ74" i="60"/>
  <c r="BM74" i="60"/>
  <c r="BP74" i="60"/>
  <c r="BE193" i="60"/>
  <c r="BU193" i="60"/>
  <c r="BM193" i="60"/>
  <c r="BN193" i="60"/>
  <c r="BB193" i="60"/>
  <c r="BR193" i="60"/>
  <c r="BS193" i="60"/>
  <c r="BQ193" i="60"/>
  <c r="BO193" i="60"/>
  <c r="BC193" i="60"/>
  <c r="BT193" i="60"/>
  <c r="BD193" i="60"/>
  <c r="BF193" i="60"/>
  <c r="BP193" i="60"/>
  <c r="BW193" i="60"/>
  <c r="BC48" i="60"/>
  <c r="BU48" i="60"/>
  <c r="BQ48" i="60"/>
  <c r="BO48" i="60"/>
  <c r="BT48" i="60"/>
  <c r="BP48" i="60"/>
  <c r="BM48" i="60"/>
  <c r="BS48" i="60"/>
  <c r="BE48" i="60"/>
  <c r="BB48" i="60"/>
  <c r="BW48" i="60"/>
  <c r="BN48" i="60"/>
  <c r="BR48" i="60"/>
  <c r="BD48" i="60"/>
  <c r="BF48" i="60"/>
  <c r="BQ53" i="60"/>
  <c r="BF53" i="60"/>
  <c r="BD53" i="60"/>
  <c r="BT53" i="60"/>
  <c r="BB53" i="60"/>
  <c r="BR53" i="60"/>
  <c r="BO53" i="60"/>
  <c r="BP53" i="60"/>
  <c r="BU53" i="60"/>
  <c r="BS53" i="60"/>
  <c r="BC53" i="60"/>
  <c r="BM53" i="60"/>
  <c r="BN53" i="60"/>
  <c r="BE53" i="60"/>
  <c r="BW53" i="60"/>
  <c r="CF56" i="19"/>
  <c r="CG56" i="19"/>
  <c r="CG85" i="19"/>
  <c r="CF85" i="19"/>
  <c r="CF152" i="19"/>
  <c r="CG152" i="19"/>
  <c r="CF155" i="19"/>
  <c r="CG155" i="19"/>
  <c r="CG61" i="19"/>
  <c r="CF61" i="19"/>
  <c r="CF134" i="19"/>
  <c r="CG134" i="19"/>
  <c r="Q121" i="19"/>
  <c r="S121" i="19" s="1"/>
  <c r="O121" i="19"/>
  <c r="CG121" i="19"/>
  <c r="CF121" i="19"/>
  <c r="CF98" i="19"/>
  <c r="CG98" i="19"/>
  <c r="CF13" i="19"/>
  <c r="CG13" i="19"/>
  <c r="O21" i="19"/>
  <c r="Q21" i="19"/>
  <c r="S21" i="19" s="1"/>
  <c r="CF21" i="19"/>
  <c r="CG21" i="19"/>
  <c r="Q237" i="19"/>
  <c r="S237" i="19" s="1"/>
  <c r="O237" i="19"/>
  <c r="CF237" i="19"/>
  <c r="CG237" i="19"/>
  <c r="CG222" i="19"/>
  <c r="CF222" i="19"/>
  <c r="CF125" i="19"/>
  <c r="CG125" i="19"/>
  <c r="O24" i="19"/>
  <c r="Q24" i="19"/>
  <c r="S24" i="19" s="1"/>
  <c r="CG24" i="19"/>
  <c r="CF24" i="19"/>
  <c r="H24" i="19" s="1"/>
  <c r="CF64" i="19"/>
  <c r="CG64" i="19"/>
  <c r="CF208" i="19"/>
  <c r="CG208" i="19"/>
  <c r="CF84" i="19"/>
  <c r="CG84" i="19"/>
  <c r="CF49" i="19"/>
  <c r="CG49" i="19"/>
  <c r="CF179" i="19"/>
  <c r="CG179" i="19"/>
  <c r="O67" i="19"/>
  <c r="Q67" i="19"/>
  <c r="S67" i="19" s="1"/>
  <c r="CG67" i="19"/>
  <c r="CF67" i="19"/>
  <c r="O137" i="19"/>
  <c r="Q137" i="19"/>
  <c r="S137" i="19" s="1"/>
  <c r="CG137" i="19"/>
  <c r="CF137" i="19"/>
  <c r="CG157" i="19"/>
  <c r="CF157" i="19"/>
  <c r="CF164" i="19"/>
  <c r="CG164" i="19"/>
  <c r="O219" i="19"/>
  <c r="Q219" i="19"/>
  <c r="S219" i="19" s="1"/>
  <c r="CF219" i="19"/>
  <c r="CG219" i="19"/>
  <c r="Q167" i="19"/>
  <c r="S167" i="19" s="1"/>
  <c r="O167" i="19"/>
  <c r="CF167" i="19"/>
  <c r="CG167" i="19"/>
  <c r="CF147" i="19"/>
  <c r="CG147" i="19"/>
  <c r="CF224" i="19"/>
  <c r="CG224" i="19"/>
  <c r="CF227" i="19"/>
  <c r="CG227" i="19"/>
  <c r="CF20" i="19"/>
  <c r="CG20" i="19"/>
  <c r="CF33" i="19"/>
  <c r="CG33" i="19"/>
  <c r="CF197" i="19"/>
  <c r="CG197" i="19"/>
  <c r="CG60" i="19"/>
  <c r="CF60" i="19"/>
  <c r="O34" i="19"/>
  <c r="Q34" i="19"/>
  <c r="S34" i="19" s="1"/>
  <c r="CG34" i="19"/>
  <c r="CF34" i="19"/>
  <c r="CF148" i="19"/>
  <c r="CG148" i="19"/>
  <c r="CF214" i="19"/>
  <c r="CG214" i="19"/>
  <c r="O47" i="19"/>
  <c r="Q47" i="19"/>
  <c r="S47" i="19" s="1"/>
  <c r="CG47" i="19"/>
  <c r="CF47" i="19"/>
  <c r="Q88" i="19"/>
  <c r="S88" i="19" s="1"/>
  <c r="O88" i="19"/>
  <c r="CF88" i="19"/>
  <c r="CG88" i="19"/>
  <c r="CG116" i="19"/>
  <c r="CF116" i="19"/>
  <c r="O171" i="19"/>
  <c r="Q171" i="19"/>
  <c r="S171" i="19" s="1"/>
  <c r="CG171" i="19"/>
  <c r="CF171" i="19"/>
  <c r="CF165" i="19"/>
  <c r="CG165" i="19"/>
  <c r="CF162" i="19"/>
  <c r="CG162" i="19"/>
  <c r="CH174" i="19" a="1"/>
  <c r="CK74" i="19"/>
  <c r="CL74" i="19" s="1"/>
  <c r="CH193" i="19" a="1"/>
  <c r="CH21" i="19" a="1"/>
  <c r="CH197" i="19" a="1"/>
  <c r="CH255" i="19" a="1"/>
  <c r="CK207" i="19"/>
  <c r="CL207" i="19" s="1"/>
  <c r="CK212" i="19"/>
  <c r="CL212" i="19" s="1"/>
  <c r="CH212" i="19" a="1"/>
  <c r="CK231" i="19"/>
  <c r="CL231" i="19" s="1"/>
  <c r="CH231" i="19" a="1"/>
  <c r="CK230" i="19"/>
  <c r="CL230" i="19" s="1"/>
  <c r="CK36" i="19"/>
  <c r="CL36" i="19" s="1"/>
  <c r="CK46" i="19"/>
  <c r="CL46" i="19" s="1"/>
  <c r="CH46" i="19" a="1"/>
  <c r="CK120" i="19"/>
  <c r="CL120" i="19" s="1"/>
  <c r="CH120" i="19" a="1"/>
  <c r="CK97" i="19"/>
  <c r="CL97" i="19" s="1"/>
  <c r="CH97" i="19" a="1"/>
  <c r="CK158" i="19"/>
  <c r="CL158" i="19" s="1"/>
  <c r="CH158" i="19" a="1"/>
  <c r="CK168" i="19"/>
  <c r="CL168" i="19" s="1"/>
  <c r="CH168" i="19" a="1"/>
  <c r="CK211" i="19"/>
  <c r="CL211" i="19" s="1"/>
  <c r="CK234" i="19"/>
  <c r="CL234" i="19" s="1"/>
  <c r="CK247" i="19"/>
  <c r="CL247" i="19" s="1"/>
  <c r="CH247" i="19" a="1"/>
  <c r="CK25" i="19"/>
  <c r="CL25" i="19" s="1"/>
  <c r="CH25" i="19" a="1"/>
  <c r="CK81" i="19"/>
  <c r="CL81" i="19" s="1"/>
  <c r="CK23" i="19"/>
  <c r="CL23" i="19" s="1"/>
  <c r="CH23" i="19" a="1"/>
  <c r="CK39" i="19"/>
  <c r="CL39" i="19" s="1"/>
  <c r="CH39" i="19" a="1"/>
  <c r="CK86" i="19"/>
  <c r="CL86" i="19" s="1"/>
  <c r="CH86" i="19" a="1"/>
  <c r="CK236" i="19"/>
  <c r="CL236" i="19" s="1"/>
  <c r="CK79" i="19"/>
  <c r="CL79" i="19" s="1"/>
  <c r="CK94" i="19"/>
  <c r="CL94" i="19" s="1"/>
  <c r="CK58" i="19"/>
  <c r="CL58" i="19" s="1"/>
  <c r="CH58" i="19" a="1"/>
  <c r="CK127" i="19"/>
  <c r="CL127" i="19" s="1"/>
  <c r="CH127" i="19" a="1"/>
  <c r="CH167" i="19" a="1"/>
  <c r="CH66" i="19" a="1"/>
  <c r="CH141" i="19" a="1"/>
  <c r="BQ229" i="60"/>
  <c r="BB229" i="60"/>
  <c r="BM229" i="60"/>
  <c r="BW229" i="60"/>
  <c r="BR229" i="60"/>
  <c r="BD229" i="60"/>
  <c r="BF229" i="60"/>
  <c r="BP229" i="60"/>
  <c r="BT229" i="60"/>
  <c r="BN229" i="60"/>
  <c r="BO229" i="60"/>
  <c r="BS229" i="60"/>
  <c r="BC229" i="60"/>
  <c r="BE229" i="60"/>
  <c r="BU229" i="60"/>
  <c r="BD104" i="60"/>
  <c r="BE104" i="60"/>
  <c r="BN104" i="60"/>
  <c r="BB104" i="60"/>
  <c r="BM104" i="60"/>
  <c r="BC104" i="60"/>
  <c r="BR104" i="60"/>
  <c r="BW104" i="60"/>
  <c r="BF104" i="60"/>
  <c r="BT104" i="60"/>
  <c r="BS104" i="60"/>
  <c r="BQ104" i="60"/>
  <c r="BO104" i="60"/>
  <c r="BP104" i="60"/>
  <c r="BU104" i="60"/>
  <c r="BM17" i="60"/>
  <c r="BB17" i="60"/>
  <c r="BT17" i="60"/>
  <c r="BQ17" i="60"/>
  <c r="BW17" i="60"/>
  <c r="BC17" i="60"/>
  <c r="BN17" i="60"/>
  <c r="BF17" i="60"/>
  <c r="BR17" i="60"/>
  <c r="BP17" i="60"/>
  <c r="BO17" i="60"/>
  <c r="BE17" i="60"/>
  <c r="BS17" i="60"/>
  <c r="BU17" i="60"/>
  <c r="BD17" i="60"/>
  <c r="BP182" i="60"/>
  <c r="BO182" i="60"/>
  <c r="BN182" i="60"/>
  <c r="BQ182" i="60"/>
  <c r="BE182" i="60"/>
  <c r="BD182" i="60"/>
  <c r="BU182" i="60"/>
  <c r="BT182" i="60"/>
  <c r="BB182" i="60"/>
  <c r="BF182" i="60"/>
  <c r="BS182" i="60"/>
  <c r="BC182" i="60"/>
  <c r="BW182" i="60"/>
  <c r="BM182" i="60"/>
  <c r="BR182" i="60"/>
  <c r="BF15" i="60"/>
  <c r="BD15" i="60"/>
  <c r="BE15" i="60"/>
  <c r="BB15" i="60"/>
  <c r="BC15" i="60"/>
  <c r="BU31" i="60"/>
  <c r="BT31" i="60"/>
  <c r="BM31" i="60"/>
  <c r="BE31" i="60"/>
  <c r="BB31" i="60"/>
  <c r="BF31" i="60"/>
  <c r="BW31" i="60"/>
  <c r="BQ31" i="60"/>
  <c r="BO31" i="60"/>
  <c r="BD31" i="60"/>
  <c r="BC31" i="60"/>
  <c r="BN31" i="60"/>
  <c r="BR31" i="60"/>
  <c r="BS31" i="60"/>
  <c r="BP31" i="60"/>
  <c r="BU235" i="60"/>
  <c r="BF235" i="60"/>
  <c r="BC235" i="60"/>
  <c r="BN235" i="60"/>
  <c r="BW235" i="60"/>
  <c r="BO235" i="60"/>
  <c r="BQ235" i="60"/>
  <c r="BS235" i="60"/>
  <c r="BP235" i="60"/>
  <c r="BT235" i="60"/>
  <c r="BE235" i="60"/>
  <c r="BD235" i="60"/>
  <c r="BB235" i="60"/>
  <c r="BM235" i="60"/>
  <c r="BR235" i="60"/>
  <c r="BF71" i="60"/>
  <c r="BP71" i="60"/>
  <c r="BD71" i="60"/>
  <c r="BW71" i="60"/>
  <c r="BB71" i="60"/>
  <c r="BC71" i="60"/>
  <c r="BS71" i="60"/>
  <c r="BQ71" i="60"/>
  <c r="BE71" i="60"/>
  <c r="BT71" i="60"/>
  <c r="BO71" i="60"/>
  <c r="BN71" i="60"/>
  <c r="BM71" i="60"/>
  <c r="BU71" i="60"/>
  <c r="BR71" i="60"/>
  <c r="BF251" i="60"/>
  <c r="BR251" i="60"/>
  <c r="BO251" i="60"/>
  <c r="BB251" i="60"/>
  <c r="BD251" i="60"/>
  <c r="BC251" i="60"/>
  <c r="BN251" i="60"/>
  <c r="BW251" i="60"/>
  <c r="BQ251" i="60"/>
  <c r="BT251" i="60"/>
  <c r="BE251" i="60"/>
  <c r="BU251" i="60"/>
  <c r="BP251" i="60"/>
  <c r="BM251" i="60"/>
  <c r="BS251" i="60"/>
  <c r="BQ241" i="60"/>
  <c r="BR241" i="60"/>
  <c r="BT241" i="60"/>
  <c r="BP241" i="60"/>
  <c r="BU241" i="60"/>
  <c r="BC241" i="60"/>
  <c r="BW241" i="60"/>
  <c r="BE241" i="60"/>
  <c r="BM241" i="60"/>
  <c r="BB241" i="60"/>
  <c r="BN241" i="60"/>
  <c r="BD241" i="60"/>
  <c r="BN137" i="60"/>
  <c r="BB137" i="60"/>
  <c r="BO137" i="60"/>
  <c r="BP137" i="60"/>
  <c r="BT137" i="60"/>
  <c r="BQ137" i="60"/>
  <c r="BF137" i="60"/>
  <c r="BS137" i="60"/>
  <c r="BR137" i="60"/>
  <c r="BU137" i="60"/>
  <c r="BD137" i="60"/>
  <c r="BW137" i="60"/>
  <c r="BM137" i="60"/>
  <c r="BC137" i="60"/>
  <c r="BE137" i="60"/>
  <c r="BP157" i="60"/>
  <c r="BB157" i="60"/>
  <c r="BR157" i="60"/>
  <c r="BD157" i="60"/>
  <c r="BN157" i="60"/>
  <c r="BO157" i="60"/>
  <c r="BM157" i="60"/>
  <c r="BE157" i="60"/>
  <c r="BF157" i="60"/>
  <c r="BC157" i="60"/>
  <c r="BW157" i="60"/>
  <c r="BU157" i="60"/>
  <c r="BT157" i="60"/>
  <c r="BQ157" i="60"/>
  <c r="BS157" i="60"/>
  <c r="BN164" i="60"/>
  <c r="BW164" i="60"/>
  <c r="BC164" i="60"/>
  <c r="BS164" i="60"/>
  <c r="BB164" i="60"/>
  <c r="BR164" i="60"/>
  <c r="BM164" i="60"/>
  <c r="BD164" i="60"/>
  <c r="BU164" i="60"/>
  <c r="BE164" i="60"/>
  <c r="BO164" i="60"/>
  <c r="BP164" i="60"/>
  <c r="BF164" i="60"/>
  <c r="BQ164" i="60"/>
  <c r="BT164" i="60"/>
  <c r="BP219" i="60"/>
  <c r="BW219" i="60"/>
  <c r="BO219" i="60"/>
  <c r="BR219" i="60"/>
  <c r="BU219" i="60"/>
  <c r="BQ219" i="60"/>
  <c r="BN219" i="60"/>
  <c r="BB219" i="60"/>
  <c r="BC219" i="60"/>
  <c r="BF219" i="60"/>
  <c r="BM219" i="60"/>
  <c r="BT219" i="60"/>
  <c r="BD219" i="60"/>
  <c r="BE219" i="60"/>
  <c r="BS219" i="60"/>
  <c r="BU167" i="60"/>
  <c r="BD167" i="60"/>
  <c r="BE167" i="60"/>
  <c r="BP167" i="60"/>
  <c r="BN167" i="60"/>
  <c r="BB167" i="60"/>
  <c r="BT167" i="60"/>
  <c r="BQ167" i="60"/>
  <c r="BF167" i="60"/>
  <c r="BM167" i="60"/>
  <c r="BW167" i="60"/>
  <c r="BS167" i="60"/>
  <c r="BO167" i="60"/>
  <c r="BR167" i="60"/>
  <c r="BC167" i="60"/>
  <c r="BN147" i="60"/>
  <c r="BQ147" i="60"/>
  <c r="BW147" i="60"/>
  <c r="BB147" i="60"/>
  <c r="BS147" i="60"/>
  <c r="BD147" i="60"/>
  <c r="BT147" i="60"/>
  <c r="BF147" i="60"/>
  <c r="BP147" i="60"/>
  <c r="BO147" i="60"/>
  <c r="BU147" i="60"/>
  <c r="BM147" i="60"/>
  <c r="BE147" i="60"/>
  <c r="BC147" i="60"/>
  <c r="BR147" i="60"/>
  <c r="BM224" i="60"/>
  <c r="BT224" i="60"/>
  <c r="BB224" i="60"/>
  <c r="BO224" i="60"/>
  <c r="BN224" i="60"/>
  <c r="BW224" i="60"/>
  <c r="BC224" i="60"/>
  <c r="BU224" i="60"/>
  <c r="BQ224" i="60"/>
  <c r="BR224" i="60"/>
  <c r="BP224" i="60"/>
  <c r="BD224" i="60"/>
  <c r="BF224" i="60"/>
  <c r="BS224" i="60"/>
  <c r="BE224" i="60"/>
  <c r="BW227" i="60"/>
  <c r="BD227" i="60"/>
  <c r="BF227" i="60"/>
  <c r="BS227" i="60"/>
  <c r="BM227" i="60"/>
  <c r="BE227" i="60"/>
  <c r="BN227" i="60"/>
  <c r="BP227" i="60"/>
  <c r="BT227" i="60"/>
  <c r="BR227" i="60"/>
  <c r="BB227" i="60"/>
  <c r="BQ227" i="60"/>
  <c r="BO227" i="60"/>
  <c r="BU227" i="60"/>
  <c r="BC227" i="60"/>
  <c r="BW20" i="60"/>
  <c r="BR20" i="60"/>
  <c r="BU20" i="60"/>
  <c r="BD20" i="60"/>
  <c r="BT20" i="60"/>
  <c r="BQ20" i="60"/>
  <c r="BC20" i="60"/>
  <c r="BB20" i="60"/>
  <c r="BN20" i="60"/>
  <c r="BO20" i="60"/>
  <c r="BM20" i="60"/>
  <c r="BF20" i="60"/>
  <c r="BP20" i="60"/>
  <c r="BS20" i="60"/>
  <c r="BE20" i="60"/>
  <c r="BN33" i="60"/>
  <c r="BR33" i="60"/>
  <c r="BF33" i="60"/>
  <c r="BD33" i="60"/>
  <c r="BT33" i="60"/>
  <c r="BP33" i="60"/>
  <c r="BO33" i="60"/>
  <c r="BU33" i="60"/>
  <c r="BW33" i="60"/>
  <c r="BM33" i="60"/>
  <c r="BS33" i="60"/>
  <c r="BB33" i="60"/>
  <c r="BE33" i="60"/>
  <c r="BC33" i="60"/>
  <c r="BQ33" i="60"/>
  <c r="BN66" i="60"/>
  <c r="BS66" i="60"/>
  <c r="BC66" i="60"/>
  <c r="BR66" i="60"/>
  <c r="BP66" i="60"/>
  <c r="BM66" i="60"/>
  <c r="BT66" i="60"/>
  <c r="BB66" i="60"/>
  <c r="BW66" i="60"/>
  <c r="BE66" i="60"/>
  <c r="BQ66" i="60"/>
  <c r="BU66" i="60"/>
  <c r="BF66" i="60"/>
  <c r="BD66" i="60"/>
  <c r="BO66" i="60"/>
  <c r="BE7" i="60"/>
  <c r="BB7" i="60"/>
  <c r="BD7" i="60"/>
  <c r="BC7" i="60"/>
  <c r="BF7" i="60"/>
  <c r="BN110" i="60"/>
  <c r="BF110" i="60"/>
  <c r="BT110" i="60"/>
  <c r="BP110" i="60"/>
  <c r="BW110" i="60"/>
  <c r="BR110" i="60"/>
  <c r="BD110" i="60"/>
  <c r="BO110" i="60"/>
  <c r="BQ110" i="60"/>
  <c r="BS110" i="60"/>
  <c r="BM110" i="60"/>
  <c r="BC110" i="60"/>
  <c r="BU110" i="60"/>
  <c r="BB110" i="60"/>
  <c r="BE110" i="60"/>
  <c r="BE50" i="60"/>
  <c r="BT50" i="60"/>
  <c r="BS50" i="60"/>
  <c r="BP50" i="60"/>
  <c r="BO50" i="60"/>
  <c r="BW50" i="60"/>
  <c r="BB50" i="60"/>
  <c r="BR50" i="60"/>
  <c r="BF50" i="60"/>
  <c r="BU50" i="60"/>
  <c r="BN50" i="60"/>
  <c r="BQ50" i="60"/>
  <c r="BD50" i="60"/>
  <c r="BM50" i="60"/>
  <c r="BC50" i="60"/>
  <c r="BU180" i="60"/>
  <c r="BT180" i="60"/>
  <c r="BP180" i="60"/>
  <c r="BF180" i="60"/>
  <c r="BO180" i="60"/>
  <c r="BE180" i="60"/>
  <c r="BM180" i="60"/>
  <c r="BS180" i="60"/>
  <c r="BN180" i="60"/>
  <c r="BC180" i="60"/>
  <c r="BB180" i="60"/>
  <c r="BW180" i="60"/>
  <c r="BR180" i="60"/>
  <c r="BD180" i="60"/>
  <c r="BQ180" i="60"/>
  <c r="BQ117" i="60"/>
  <c r="BO117" i="60"/>
  <c r="BD117" i="60"/>
  <c r="BB117" i="60"/>
  <c r="BR117" i="60"/>
  <c r="BU117" i="60"/>
  <c r="BP117" i="60"/>
  <c r="BC117" i="60"/>
  <c r="BT117" i="60"/>
  <c r="BF117" i="60"/>
  <c r="BN117" i="60"/>
  <c r="BW117" i="60"/>
  <c r="BS117" i="60"/>
  <c r="BE117" i="60"/>
  <c r="BM117" i="60"/>
  <c r="BN138" i="60"/>
  <c r="BM138" i="60"/>
  <c r="BF138" i="60"/>
  <c r="BB138" i="60"/>
  <c r="BQ138" i="60"/>
  <c r="BT138" i="60"/>
  <c r="BU138" i="60"/>
  <c r="BS138" i="60"/>
  <c r="BC138" i="60"/>
  <c r="BD138" i="60"/>
  <c r="BO138" i="60"/>
  <c r="BW138" i="60"/>
  <c r="BE138" i="60"/>
  <c r="BP138" i="60"/>
  <c r="BR138" i="60"/>
  <c r="BM194" i="60"/>
  <c r="BP194" i="60"/>
  <c r="BT194" i="60"/>
  <c r="BO194" i="60"/>
  <c r="BW194" i="60"/>
  <c r="BQ194" i="60"/>
  <c r="BB194" i="60"/>
  <c r="BC194" i="60"/>
  <c r="BN194" i="60"/>
  <c r="BU194" i="60"/>
  <c r="BE194" i="60"/>
  <c r="BF194" i="60"/>
  <c r="BR194" i="60"/>
  <c r="BD194" i="60"/>
  <c r="BS194" i="60"/>
  <c r="BR175" i="60"/>
  <c r="BE175" i="60"/>
  <c r="BF175" i="60"/>
  <c r="BM175" i="60"/>
  <c r="BN175" i="60"/>
  <c r="BW175" i="60"/>
  <c r="BU175" i="60"/>
  <c r="BQ175" i="60"/>
  <c r="BO175" i="60"/>
  <c r="BD175" i="60"/>
  <c r="BB175" i="60"/>
  <c r="BT175" i="60"/>
  <c r="BS175" i="60"/>
  <c r="BP175" i="60"/>
  <c r="BC175" i="60"/>
  <c r="BN141" i="60"/>
  <c r="BB141" i="60"/>
  <c r="BW141" i="60"/>
  <c r="BR141" i="60"/>
  <c r="BP141" i="60"/>
  <c r="BO141" i="60"/>
  <c r="BS141" i="60"/>
  <c r="BQ141" i="60"/>
  <c r="BD141" i="60"/>
  <c r="BU141" i="60"/>
  <c r="BF141" i="60"/>
  <c r="BE141" i="60"/>
  <c r="BT141" i="60"/>
  <c r="BM141" i="60"/>
  <c r="BC141" i="60"/>
  <c r="BM209" i="60"/>
  <c r="BU209" i="60"/>
  <c r="BO209" i="60"/>
  <c r="BR209" i="60"/>
  <c r="BN209" i="60"/>
  <c r="BW209" i="60"/>
  <c r="BS209" i="60"/>
  <c r="BF209" i="60"/>
  <c r="BD209" i="60"/>
  <c r="BT209" i="60"/>
  <c r="BE209" i="60"/>
  <c r="BC209" i="60"/>
  <c r="BB209" i="60"/>
  <c r="BQ209" i="60"/>
  <c r="BP209" i="60"/>
  <c r="BN40" i="60"/>
  <c r="BS40" i="60"/>
  <c r="BW40" i="60"/>
  <c r="BQ40" i="60"/>
  <c r="BD40" i="60"/>
  <c r="BT40" i="60"/>
  <c r="BM40" i="60"/>
  <c r="BB40" i="60"/>
  <c r="BF40" i="60"/>
  <c r="BO40" i="60"/>
  <c r="BU40" i="60"/>
  <c r="BE40" i="60"/>
  <c r="BP40" i="60"/>
  <c r="BC40" i="60"/>
  <c r="BR40" i="60"/>
  <c r="BW101" i="60"/>
  <c r="BD101" i="60"/>
  <c r="BM101" i="60"/>
  <c r="BS101" i="60"/>
  <c r="BF101" i="60"/>
  <c r="BB101" i="60"/>
  <c r="BE101" i="60"/>
  <c r="BQ101" i="60"/>
  <c r="BU101" i="60"/>
  <c r="BN101" i="60"/>
  <c r="BC101" i="60"/>
  <c r="BT101" i="60"/>
  <c r="BO101" i="60"/>
  <c r="BR101" i="60"/>
  <c r="BP101" i="60"/>
  <c r="BW139" i="60"/>
  <c r="BP139" i="60"/>
  <c r="BR139" i="60"/>
  <c r="BF139" i="60"/>
  <c r="BU139" i="60"/>
  <c r="BN139" i="60"/>
  <c r="BE139" i="60"/>
  <c r="BO139" i="60"/>
  <c r="BD139" i="60"/>
  <c r="BQ139" i="60"/>
  <c r="BB139" i="60"/>
  <c r="BT139" i="60"/>
  <c r="BC139" i="60"/>
  <c r="BS139" i="60"/>
  <c r="BM139" i="60"/>
  <c r="BW75" i="60"/>
  <c r="BF75" i="60"/>
  <c r="BP75" i="60"/>
  <c r="BR75" i="60"/>
  <c r="BO75" i="60"/>
  <c r="BB75" i="60"/>
  <c r="BT75" i="60"/>
  <c r="BQ75" i="60"/>
  <c r="BC75" i="60"/>
  <c r="BU75" i="60"/>
  <c r="BN75" i="60"/>
  <c r="BM75" i="60"/>
  <c r="BS75" i="60"/>
  <c r="BD75" i="60"/>
  <c r="BE75" i="60"/>
  <c r="BN203" i="60"/>
  <c r="BF203" i="60"/>
  <c r="BQ203" i="60"/>
  <c r="BS203" i="60"/>
  <c r="BE203" i="60"/>
  <c r="BP203" i="60"/>
  <c r="BO203" i="60"/>
  <c r="BC203" i="60"/>
  <c r="BB203" i="60"/>
  <c r="BD203" i="60"/>
  <c r="BR203" i="60"/>
  <c r="BW203" i="60"/>
  <c r="BM203" i="60"/>
  <c r="BU203" i="60"/>
  <c r="BT203" i="60"/>
  <c r="BO191" i="60"/>
  <c r="BB191" i="60"/>
  <c r="BE191" i="60"/>
  <c r="BR191" i="60"/>
  <c r="BM191" i="60"/>
  <c r="BW191" i="60"/>
  <c r="BC191" i="60"/>
  <c r="BQ191" i="60"/>
  <c r="BT191" i="60"/>
  <c r="BP191" i="60"/>
  <c r="BN191" i="60"/>
  <c r="BD191" i="60"/>
  <c r="BF191" i="60"/>
  <c r="BU191" i="60"/>
  <c r="BS191" i="60"/>
  <c r="BN185" i="60"/>
  <c r="BQ185" i="60"/>
  <c r="BT185" i="60"/>
  <c r="BW185" i="60"/>
  <c r="BU185" i="60"/>
  <c r="BC185" i="60"/>
  <c r="BB185" i="60"/>
  <c r="BS185" i="60"/>
  <c r="BM185" i="60"/>
  <c r="BR185" i="60"/>
  <c r="BF185" i="60"/>
  <c r="CH151" i="19" a="1"/>
  <c r="CK123" i="19"/>
  <c r="CL123" i="19" s="1"/>
  <c r="CH71" i="19" a="1"/>
  <c r="CH152" i="19" a="1"/>
  <c r="CH121" i="19" a="1"/>
  <c r="CH137" i="19" a="1"/>
  <c r="CH219" i="19" a="1"/>
  <c r="CK224" i="19"/>
  <c r="CL224" i="19" s="1"/>
  <c r="CH110" i="19" a="1"/>
  <c r="CK117" i="19"/>
  <c r="CL117" i="19" s="1"/>
  <c r="CH117" i="19" a="1"/>
  <c r="CH194" i="19" a="1"/>
  <c r="CH253" i="19" a="1"/>
  <c r="CH228" i="19" a="1"/>
  <c r="CH109" i="19" a="1"/>
  <c r="CH159" i="19" a="1"/>
  <c r="CH96" i="19" a="1"/>
  <c r="CH176" i="19" a="1"/>
  <c r="CH161" i="19" a="1"/>
  <c r="CH201" i="19" a="1"/>
  <c r="CK115" i="19"/>
  <c r="CL115" i="19" s="1"/>
  <c r="CH115" i="19" a="1"/>
  <c r="CK160" i="19"/>
  <c r="CL160" i="19" s="1"/>
  <c r="CK250" i="19"/>
  <c r="CL250" i="19" s="1"/>
  <c r="CH250" i="19" a="1"/>
  <c r="CK217" i="19"/>
  <c r="CL217" i="19" s="1"/>
  <c r="CK238" i="19"/>
  <c r="CL238" i="19" s="1"/>
  <c r="CH238" i="19" a="1"/>
  <c r="CK204" i="19"/>
  <c r="CL204" i="19" s="1"/>
  <c r="CH204" i="19" a="1"/>
  <c r="CK128" i="19"/>
  <c r="CL128" i="19" s="1"/>
  <c r="CK72" i="19"/>
  <c r="CL72" i="19" s="1"/>
  <c r="CH72" i="19" a="1"/>
  <c r="CK16" i="19"/>
  <c r="CL16" i="19" s="1"/>
  <c r="CH16" i="19" a="1"/>
  <c r="CK177" i="19"/>
  <c r="CL177" i="19" s="1"/>
  <c r="CK189" i="19"/>
  <c r="CL189" i="19" s="1"/>
  <c r="CH40" i="19" a="1"/>
  <c r="CK139" i="19"/>
  <c r="CL139" i="19" s="1"/>
  <c r="CH139" i="19" a="1"/>
  <c r="CH75" i="19" a="1"/>
  <c r="CH203" i="19" a="1"/>
  <c r="CH191" i="19" a="1"/>
  <c r="CH73" i="19" a="1"/>
  <c r="CH19" i="19" a="1"/>
  <c r="CH35" i="19" a="1"/>
  <c r="CH113" i="19" a="1"/>
  <c r="CH218" i="19" a="1"/>
  <c r="CH199" i="19" a="1"/>
  <c r="CH186" i="19" a="1"/>
  <c r="CK170" i="19"/>
  <c r="CL170" i="19" s="1"/>
  <c r="CH76" i="19" a="1"/>
  <c r="CH114" i="19" a="1"/>
  <c r="CH52" i="19" a="1"/>
  <c r="CH217" i="19" a="1"/>
  <c r="CK243" i="19"/>
  <c r="CL243" i="19" s="1"/>
  <c r="CK149" i="19"/>
  <c r="CL149" i="19" s="1"/>
  <c r="CH149" i="19" a="1"/>
  <c r="CK112" i="19"/>
  <c r="CL112" i="19" s="1"/>
  <c r="CK140" i="19"/>
  <c r="CL140" i="19" s="1"/>
  <c r="CH140" i="19" a="1"/>
  <c r="CK197" i="19"/>
  <c r="CL197" i="19" s="1"/>
  <c r="CK60" i="19"/>
  <c r="CL60" i="19" s="1"/>
  <c r="CH60" i="19" a="1"/>
  <c r="CK34" i="19"/>
  <c r="CL34" i="19" s="1"/>
  <c r="CH34" i="19" a="1"/>
  <c r="CK148" i="19"/>
  <c r="CL148" i="19" s="1"/>
  <c r="CH148" i="19" a="1"/>
  <c r="CK214" i="19"/>
  <c r="CL214" i="19" s="1"/>
  <c r="CK47" i="19"/>
  <c r="CL47" i="19" s="1"/>
  <c r="CH47" i="19" a="1"/>
  <c r="CK88" i="19"/>
  <c r="CL88" i="19" s="1"/>
  <c r="CH116" i="19" a="1"/>
  <c r="CK116" i="19"/>
  <c r="CL116" i="19" s="1"/>
  <c r="CK171" i="19"/>
  <c r="CL171" i="19" s="1"/>
  <c r="CK165" i="19"/>
  <c r="CL165" i="19" s="1"/>
  <c r="CH165" i="19" a="1"/>
  <c r="CK162" i="19"/>
  <c r="CL162" i="19" s="1"/>
  <c r="CH162" i="19" a="1"/>
  <c r="CK223" i="19"/>
  <c r="CL223" i="19" s="1"/>
  <c r="CH223" i="19" a="1"/>
  <c r="CK242" i="19"/>
  <c r="CL242" i="19" s="1"/>
  <c r="CH242" i="19" a="1"/>
  <c r="CK215" i="19"/>
  <c r="CL215" i="19" s="1"/>
  <c r="CK245" i="19"/>
  <c r="CL245" i="19" s="1"/>
  <c r="CK198" i="19"/>
  <c r="CL198" i="19" s="1"/>
  <c r="CH198" i="19" a="1"/>
  <c r="CK32" i="19"/>
  <c r="CL32" i="19" s="1"/>
  <c r="CH32" i="19" a="1"/>
  <c r="CK41" i="19"/>
  <c r="CL41" i="19" s="1"/>
  <c r="CK213" i="19"/>
  <c r="CL213" i="19" s="1"/>
  <c r="CH213" i="19" a="1"/>
  <c r="CK92" i="19"/>
  <c r="CL92" i="19" s="1"/>
  <c r="CK106" i="19"/>
  <c r="CL106" i="19" s="1"/>
  <c r="CH106" i="19" a="1"/>
  <c r="CK132" i="19"/>
  <c r="CL132" i="19" s="1"/>
  <c r="CH132" i="19" a="1"/>
  <c r="CK57" i="19"/>
  <c r="CL57" i="19" s="1"/>
  <c r="CK200" i="19"/>
  <c r="CL200" i="19" s="1"/>
  <c r="CK62" i="19"/>
  <c r="CL62" i="19" s="1"/>
  <c r="CK45" i="19"/>
  <c r="CL45" i="19" s="1"/>
  <c r="CH45" i="19" a="1"/>
  <c r="CK173" i="19"/>
  <c r="CL173" i="19" s="1"/>
  <c r="CH78" i="19" a="1"/>
  <c r="CK78" i="19"/>
  <c r="CL78" i="19" s="1"/>
  <c r="CK51" i="19"/>
  <c r="CL51" i="19" s="1"/>
  <c r="CK89" i="19"/>
  <c r="CL89" i="19" s="1"/>
  <c r="CH89" i="19" a="1"/>
  <c r="CK129" i="19"/>
  <c r="CL129" i="19" s="1"/>
  <c r="CH129" i="19" a="1"/>
  <c r="CK172" i="19"/>
  <c r="CL172" i="19" s="1"/>
  <c r="CK255" i="19"/>
  <c r="CL255" i="19" s="1"/>
  <c r="CK244" i="19"/>
  <c r="CL244" i="19" s="1"/>
  <c r="CH244" i="19" a="1"/>
  <c r="CH225" i="19" a="1"/>
  <c r="CK233" i="19"/>
  <c r="CL233" i="19" s="1"/>
  <c r="CH233" i="19" a="1"/>
  <c r="CK22" i="19"/>
  <c r="CL22" i="19" s="1"/>
  <c r="CH22" i="19" a="1"/>
  <c r="CK26" i="19"/>
  <c r="CL26" i="19" s="1"/>
  <c r="CH143" i="19" a="1"/>
  <c r="CH99" i="19" a="1"/>
  <c r="CK68" i="19"/>
  <c r="CL68" i="19" s="1"/>
  <c r="CK118" i="19"/>
  <c r="CL118" i="19" s="1"/>
  <c r="CH118" i="19" a="1"/>
  <c r="CH54" i="19" a="1"/>
  <c r="CK55" i="19"/>
  <c r="CL55" i="19" s="1"/>
  <c r="CK122" i="19"/>
  <c r="CL122" i="19" s="1"/>
  <c r="CH122" i="19" a="1"/>
  <c r="CK142" i="19"/>
  <c r="CL142" i="19" s="1"/>
  <c r="CH142" i="19" a="1"/>
  <c r="CK188" i="19"/>
  <c r="CL188" i="19" s="1"/>
  <c r="CK195" i="19"/>
  <c r="CL195" i="19" s="1"/>
  <c r="CK144" i="19"/>
  <c r="CL144" i="19" s="1"/>
  <c r="CH144" i="19" a="1"/>
  <c r="BM207" i="60"/>
  <c r="BQ207" i="60"/>
  <c r="BT207" i="60"/>
  <c r="BN207" i="60"/>
  <c r="BD207" i="60"/>
  <c r="BC207" i="60"/>
  <c r="BP207" i="60"/>
  <c r="BB207" i="60"/>
  <c r="BW207" i="60"/>
  <c r="BR207" i="60"/>
  <c r="BE207" i="60"/>
  <c r="BF207" i="60"/>
  <c r="BO207" i="60"/>
  <c r="BU207" i="60"/>
  <c r="BS207" i="60"/>
  <c r="CF207" i="19"/>
  <c r="CG207" i="19"/>
  <c r="Q212" i="19"/>
  <c r="S212" i="19" s="1"/>
  <c r="O212" i="19"/>
  <c r="CG212" i="19"/>
  <c r="CF212" i="19"/>
  <c r="BM212" i="60"/>
  <c r="BU212" i="60"/>
  <c r="BR212" i="60"/>
  <c r="BE212" i="60"/>
  <c r="BQ212" i="60"/>
  <c r="BF212" i="60"/>
  <c r="BN212" i="60"/>
  <c r="BP212" i="60"/>
  <c r="BW212" i="60"/>
  <c r="BT212" i="60"/>
  <c r="BD212" i="60"/>
  <c r="BB212" i="60"/>
  <c r="BO212" i="60"/>
  <c r="BC212" i="60"/>
  <c r="BS212" i="60"/>
  <c r="Q231" i="19"/>
  <c r="S231" i="19" s="1"/>
  <c r="O231" i="19"/>
  <c r="BS231" i="60"/>
  <c r="BM231" i="60"/>
  <c r="BN231" i="60"/>
  <c r="BP231" i="60"/>
  <c r="BC231" i="60"/>
  <c r="BE231" i="60"/>
  <c r="BQ231" i="60"/>
  <c r="BF231" i="60"/>
  <c r="BB231" i="60"/>
  <c r="BU231" i="60"/>
  <c r="BR231" i="60"/>
  <c r="BW231" i="60"/>
  <c r="BT231" i="60"/>
  <c r="BD231" i="60"/>
  <c r="BO231" i="60"/>
  <c r="CG231" i="19"/>
  <c r="CF231" i="19"/>
  <c r="Q230" i="19"/>
  <c r="S230" i="19" s="1"/>
  <c r="O230" i="19"/>
  <c r="BT230" i="60"/>
  <c r="BW230" i="60"/>
  <c r="BS230" i="60"/>
  <c r="BD230" i="60"/>
  <c r="BF230" i="60"/>
  <c r="BO230" i="60"/>
  <c r="BP230" i="60"/>
  <c r="BU230" i="60"/>
  <c r="BE230" i="60"/>
  <c r="BM230" i="60"/>
  <c r="BB230" i="60"/>
  <c r="BN230" i="60"/>
  <c r="BR230" i="60"/>
  <c r="BC230" i="60"/>
  <c r="BQ230" i="60"/>
  <c r="CF230" i="19"/>
  <c r="CG230" i="19"/>
  <c r="CF36" i="19"/>
  <c r="CG36" i="19"/>
  <c r="BF36" i="60"/>
  <c r="BO36" i="60"/>
  <c r="BW36" i="60"/>
  <c r="BB36" i="60"/>
  <c r="BP36" i="60"/>
  <c r="BC36" i="60"/>
  <c r="BE36" i="60"/>
  <c r="BS36" i="60"/>
  <c r="BU36" i="60"/>
  <c r="BN36" i="60"/>
  <c r="BQ36" i="60"/>
  <c r="BR36" i="60"/>
  <c r="BD36" i="60"/>
  <c r="BT36" i="60"/>
  <c r="BM36" i="60"/>
  <c r="BR46" i="60"/>
  <c r="BT46" i="60"/>
  <c r="BU46" i="60"/>
  <c r="BE46" i="60"/>
  <c r="BO46" i="60"/>
  <c r="BD46" i="60"/>
  <c r="BW46" i="60"/>
  <c r="BS46" i="60"/>
  <c r="BP46" i="60"/>
  <c r="BB46" i="60"/>
  <c r="BC46" i="60"/>
  <c r="BQ46" i="60"/>
  <c r="BF46" i="60"/>
  <c r="BM46" i="60"/>
  <c r="BN46" i="60"/>
  <c r="CG46" i="19"/>
  <c r="CF46" i="19"/>
  <c r="CG120" i="19"/>
  <c r="CF120" i="19"/>
  <c r="BQ120" i="60"/>
  <c r="BU120" i="60"/>
  <c r="BT120" i="60"/>
  <c r="BD120" i="60"/>
  <c r="BN120" i="60"/>
  <c r="BM120" i="60"/>
  <c r="BE120" i="60"/>
  <c r="BP120" i="60"/>
  <c r="BF120" i="60"/>
  <c r="BR120" i="60"/>
  <c r="BW120" i="60"/>
  <c r="BB120" i="60"/>
  <c r="BO120" i="60"/>
  <c r="BS120" i="60"/>
  <c r="BC120" i="60"/>
  <c r="O97" i="19"/>
  <c r="Q97" i="19"/>
  <c r="S97" i="19" s="1"/>
  <c r="CF97" i="19"/>
  <c r="CG97" i="19"/>
  <c r="BP97" i="60"/>
  <c r="BU97" i="60"/>
  <c r="BB97" i="60"/>
  <c r="BC97" i="60"/>
  <c r="BN97" i="60"/>
  <c r="BF97" i="60"/>
  <c r="BD97" i="60"/>
  <c r="BQ97" i="60"/>
  <c r="BM97" i="60"/>
  <c r="BE97" i="60"/>
  <c r="BR97" i="60"/>
  <c r="BS97" i="60"/>
  <c r="BO97" i="60"/>
  <c r="BT97" i="60"/>
  <c r="BW97" i="60"/>
  <c r="BS158" i="60"/>
  <c r="BE158" i="60"/>
  <c r="BC158" i="60"/>
  <c r="BB158" i="60"/>
  <c r="BQ158" i="60"/>
  <c r="BP158" i="60"/>
  <c r="BN158" i="60"/>
  <c r="BM158" i="60"/>
  <c r="BF158" i="60"/>
  <c r="BO158" i="60"/>
  <c r="BD158" i="60"/>
  <c r="BU158" i="60"/>
  <c r="BR158" i="60"/>
  <c r="BW158" i="60"/>
  <c r="BT158" i="60"/>
  <c r="CG158" i="19"/>
  <c r="CF158" i="19"/>
  <c r="BN168" i="60"/>
  <c r="BM168" i="60"/>
  <c r="BE168" i="60"/>
  <c r="BD168" i="60"/>
  <c r="BP168" i="60"/>
  <c r="BS168" i="60"/>
  <c r="BB168" i="60"/>
  <c r="BT168" i="60"/>
  <c r="BC168" i="60"/>
  <c r="BU168" i="60"/>
  <c r="BO168" i="60"/>
  <c r="BF168" i="60"/>
  <c r="BW168" i="60"/>
  <c r="BQ168" i="60"/>
  <c r="BR168" i="60"/>
  <c r="CF168" i="19"/>
  <c r="CG168" i="19"/>
  <c r="BM211" i="60"/>
  <c r="BF211" i="60"/>
  <c r="BP211" i="60"/>
  <c r="BR211" i="60"/>
  <c r="BB211" i="60"/>
  <c r="BW211" i="60"/>
  <c r="BT211" i="60"/>
  <c r="BD211" i="60"/>
  <c r="BQ211" i="60"/>
  <c r="BS211" i="60"/>
  <c r="BC211" i="60"/>
  <c r="BN211" i="60"/>
  <c r="BE211" i="60"/>
  <c r="BU211" i="60"/>
  <c r="BO211" i="60"/>
  <c r="CF211" i="19"/>
  <c r="CG211" i="19"/>
  <c r="O234" i="19"/>
  <c r="Q234" i="19"/>
  <c r="S234" i="19" s="1"/>
  <c r="CF234" i="19"/>
  <c r="CG234" i="19"/>
  <c r="BP234" i="60"/>
  <c r="BO234" i="60"/>
  <c r="BN234" i="60"/>
  <c r="BQ234" i="60"/>
  <c r="BW234" i="60"/>
  <c r="BS234" i="60"/>
  <c r="BC234" i="60"/>
  <c r="BF234" i="60"/>
  <c r="BT234" i="60"/>
  <c r="BR234" i="60"/>
  <c r="BU234" i="60"/>
  <c r="BB234" i="60"/>
  <c r="BD234" i="60"/>
  <c r="BM234" i="60"/>
  <c r="BE234" i="60"/>
  <c r="Q247" i="19"/>
  <c r="S247" i="19" s="1"/>
  <c r="O247" i="19"/>
  <c r="CF247" i="19"/>
  <c r="CG247" i="19"/>
  <c r="BF247" i="60"/>
  <c r="BU247" i="60"/>
  <c r="BS247" i="60"/>
  <c r="BC247" i="60"/>
  <c r="BQ247" i="60"/>
  <c r="BO247" i="60"/>
  <c r="BR247" i="60"/>
  <c r="BD247" i="60"/>
  <c r="BT247" i="60"/>
  <c r="BE247" i="60"/>
  <c r="BN247" i="60"/>
  <c r="BM247" i="60"/>
  <c r="BP247" i="60"/>
  <c r="BB247" i="60"/>
  <c r="BW247" i="60"/>
  <c r="Q25" i="19"/>
  <c r="S25" i="19" s="1"/>
  <c r="O25" i="19"/>
  <c r="BM25" i="60"/>
  <c r="BB25" i="60"/>
  <c r="BR25" i="60"/>
  <c r="BW25" i="60"/>
  <c r="BO25" i="60"/>
  <c r="BS25" i="60"/>
  <c r="BN25" i="60"/>
  <c r="BP25" i="60"/>
  <c r="BU25" i="60"/>
  <c r="BD25" i="60"/>
  <c r="BC25" i="60"/>
  <c r="BT25" i="60"/>
  <c r="BE25" i="60"/>
  <c r="BF25" i="60"/>
  <c r="BQ25" i="60"/>
  <c r="CF25" i="19"/>
  <c r="CG25" i="19"/>
  <c r="BU81" i="60"/>
  <c r="BW81" i="60"/>
  <c r="BN81" i="60"/>
  <c r="BB81" i="60"/>
  <c r="BP81" i="60"/>
  <c r="BC81" i="60"/>
  <c r="BM81" i="60"/>
  <c r="BT81" i="60"/>
  <c r="BF81" i="60"/>
  <c r="BO81" i="60"/>
  <c r="BR81" i="60"/>
  <c r="BQ81" i="60"/>
  <c r="BS81" i="60"/>
  <c r="BE81" i="60"/>
  <c r="BD81" i="60"/>
  <c r="CG81" i="19"/>
  <c r="CF81" i="19"/>
  <c r="Q23" i="19"/>
  <c r="S23" i="19" s="1"/>
  <c r="O23" i="19"/>
  <c r="BP23" i="60"/>
  <c r="BB23" i="60"/>
  <c r="BD23" i="60"/>
  <c r="BC23" i="60"/>
  <c r="BF23" i="60"/>
  <c r="BN23" i="60"/>
  <c r="BM23" i="60"/>
  <c r="BW23" i="60"/>
  <c r="BO23" i="60"/>
  <c r="BE23" i="60"/>
  <c r="BU23" i="60"/>
  <c r="BS23" i="60"/>
  <c r="BQ23" i="60"/>
  <c r="BR23" i="60"/>
  <c r="BT23" i="60"/>
  <c r="CF23" i="19"/>
  <c r="CG23" i="19"/>
  <c r="O39" i="19"/>
  <c r="Q39" i="19"/>
  <c r="S39" i="19" s="1"/>
  <c r="CG39" i="19"/>
  <c r="CF39" i="19"/>
  <c r="BR39" i="60"/>
  <c r="BW39" i="60"/>
  <c r="BC39" i="60"/>
  <c r="BO39" i="60"/>
  <c r="BU39" i="60"/>
  <c r="BN39" i="60"/>
  <c r="BE39" i="60"/>
  <c r="BD39" i="60"/>
  <c r="BT39" i="60"/>
  <c r="BQ39" i="60"/>
  <c r="BB39" i="60"/>
  <c r="BM39" i="60"/>
  <c r="BS39" i="60"/>
  <c r="BF39" i="60"/>
  <c r="BP39" i="60"/>
  <c r="Q86" i="19"/>
  <c r="S86" i="19" s="1"/>
  <c r="O86" i="19"/>
  <c r="CF86" i="19"/>
  <c r="CG86" i="19"/>
  <c r="BW86" i="60"/>
  <c r="BU86" i="60"/>
  <c r="BN86" i="60"/>
  <c r="BD86" i="60"/>
  <c r="BM86" i="60"/>
  <c r="BP86" i="60"/>
  <c r="BO86" i="60"/>
  <c r="BS86" i="60"/>
  <c r="BQ86" i="60"/>
  <c r="BR86" i="60"/>
  <c r="BB86" i="60"/>
  <c r="BE86" i="60"/>
  <c r="BC86" i="60"/>
  <c r="BT86" i="60"/>
  <c r="BF86" i="60"/>
  <c r="CG236" i="19"/>
  <c r="CF236" i="19"/>
  <c r="BT236" i="60"/>
  <c r="BC236" i="60"/>
  <c r="BM236" i="60"/>
  <c r="BP236" i="60"/>
  <c r="BU236" i="60"/>
  <c r="BS236" i="60"/>
  <c r="BB236" i="60"/>
  <c r="BF236" i="60"/>
  <c r="BN236" i="60"/>
  <c r="BE236" i="60"/>
  <c r="BD236" i="60"/>
  <c r="BQ236" i="60"/>
  <c r="BO236" i="60"/>
  <c r="BW236" i="60"/>
  <c r="BR236" i="60"/>
  <c r="CG79" i="19"/>
  <c r="CF79" i="19"/>
  <c r="BR79" i="60"/>
  <c r="BQ79" i="60"/>
  <c r="BE79" i="60"/>
  <c r="BS79" i="60"/>
  <c r="BD79" i="60"/>
  <c r="BB79" i="60"/>
  <c r="BF79" i="60"/>
  <c r="BW79" i="60"/>
  <c r="BP79" i="60"/>
  <c r="BT79" i="60"/>
  <c r="BO79" i="60"/>
  <c r="BC79" i="60"/>
  <c r="BN79" i="60"/>
  <c r="BU79" i="60"/>
  <c r="BM79" i="60"/>
  <c r="BD94" i="60"/>
  <c r="BU94" i="60"/>
  <c r="BB94" i="60"/>
  <c r="BQ94" i="60"/>
  <c r="BS94" i="60"/>
  <c r="BR94" i="60"/>
  <c r="BW94" i="60"/>
  <c r="BO94" i="60"/>
  <c r="BN94" i="60"/>
  <c r="BM94" i="60"/>
  <c r="BC94" i="60"/>
  <c r="BP94" i="60"/>
  <c r="BE94" i="60"/>
  <c r="BT94" i="60"/>
  <c r="BF94" i="60"/>
  <c r="CF94" i="19"/>
  <c r="CG94" i="19"/>
  <c r="CG58" i="19"/>
  <c r="CF58" i="19"/>
  <c r="BO58" i="60"/>
  <c r="BQ58" i="60"/>
  <c r="BP58" i="60"/>
  <c r="BC58" i="60"/>
  <c r="BR58" i="60"/>
  <c r="BW58" i="60"/>
  <c r="BD58" i="60"/>
  <c r="BS58" i="60"/>
  <c r="BB58" i="60"/>
  <c r="BU58" i="60"/>
  <c r="BN58" i="60"/>
  <c r="BF58" i="60"/>
  <c r="BT58" i="60"/>
  <c r="BE58" i="60"/>
  <c r="BM58" i="60"/>
  <c r="BT127" i="60"/>
  <c r="BP127" i="60"/>
  <c r="BD127" i="60"/>
  <c r="BR127" i="60"/>
  <c r="BM127" i="60"/>
  <c r="BU127" i="60"/>
  <c r="BE127" i="60"/>
  <c r="BO127" i="60"/>
  <c r="BF127" i="60"/>
  <c r="BN127" i="60"/>
  <c r="BW127" i="60"/>
  <c r="BC127" i="60"/>
  <c r="BB127" i="60"/>
  <c r="BS127" i="60"/>
  <c r="BQ127" i="60"/>
  <c r="CF127" i="19"/>
  <c r="CG127" i="19"/>
  <c r="BF241" i="60"/>
  <c r="BO241" i="60"/>
  <c r="BS241" i="60"/>
  <c r="BM254" i="60"/>
  <c r="BB254" i="60"/>
  <c r="BQ254" i="60"/>
  <c r="BC254" i="60"/>
  <c r="BN254" i="60"/>
  <c r="BS254" i="60"/>
  <c r="BP254" i="60"/>
  <c r="BR254" i="60"/>
  <c r="BF254" i="60"/>
  <c r="BE254" i="60"/>
  <c r="BD254" i="60"/>
  <c r="BT254" i="60"/>
  <c r="BO254" i="60"/>
  <c r="BU254" i="60"/>
  <c r="BW254" i="60"/>
  <c r="BN252" i="60"/>
  <c r="BM252" i="60"/>
  <c r="BR252" i="60"/>
  <c r="BT252" i="60"/>
  <c r="BP252" i="60"/>
  <c r="BS252" i="60"/>
  <c r="BO252" i="60"/>
  <c r="BD252" i="60"/>
  <c r="BU252" i="60"/>
  <c r="BF252" i="60"/>
  <c r="BB252" i="60"/>
  <c r="BW252" i="60"/>
  <c r="BQ252" i="60"/>
  <c r="BE252" i="60"/>
  <c r="BC252" i="60"/>
  <c r="BD145" i="60"/>
  <c r="BS145" i="60"/>
  <c r="BF145" i="60"/>
  <c r="BC145" i="60"/>
  <c r="BT145" i="60"/>
  <c r="BW145" i="60"/>
  <c r="BB145" i="60"/>
  <c r="BO145" i="60"/>
  <c r="BN145" i="60"/>
  <c r="BP145" i="60"/>
  <c r="BE145" i="60"/>
  <c r="BM145" i="60"/>
  <c r="BR145" i="60"/>
  <c r="BQ145" i="60"/>
  <c r="BU145" i="60"/>
  <c r="BR220" i="60"/>
  <c r="BW220" i="60"/>
  <c r="BP220" i="60"/>
  <c r="BT220" i="60"/>
  <c r="BQ220" i="60"/>
  <c r="BO220" i="60"/>
  <c r="BC220" i="60"/>
  <c r="BS220" i="60"/>
  <c r="BN220" i="60"/>
  <c r="BM220" i="60"/>
  <c r="BE220" i="60"/>
  <c r="BU220" i="60"/>
  <c r="BB220" i="60"/>
  <c r="BF220" i="60"/>
  <c r="BD220" i="60"/>
  <c r="BS205" i="60"/>
  <c r="BW205" i="60"/>
  <c r="BB205" i="60"/>
  <c r="BD205" i="60"/>
  <c r="BT205" i="60"/>
  <c r="BE205" i="60"/>
  <c r="BP205" i="60"/>
  <c r="BR205" i="60"/>
  <c r="BO205" i="60"/>
  <c r="BC205" i="60"/>
  <c r="BF205" i="60"/>
  <c r="BN205" i="60"/>
  <c r="BM205" i="60"/>
  <c r="BQ205" i="60"/>
  <c r="BU205" i="60"/>
  <c r="BU150" i="60"/>
  <c r="BR150" i="60"/>
  <c r="BP150" i="60"/>
  <c r="BS150" i="60"/>
  <c r="BD150" i="60"/>
  <c r="BN150" i="60"/>
  <c r="BB150" i="60"/>
  <c r="BT150" i="60"/>
  <c r="BM150" i="60"/>
  <c r="BE150" i="60"/>
  <c r="BQ150" i="60"/>
  <c r="BO150" i="60"/>
  <c r="BC150" i="60"/>
  <c r="BF150" i="60"/>
  <c r="BW150" i="60"/>
  <c r="BQ169" i="60"/>
  <c r="BT169" i="60"/>
  <c r="BU169" i="60"/>
  <c r="BN169" i="60"/>
  <c r="BW169" i="60"/>
  <c r="BS169" i="60"/>
  <c r="BM169" i="60"/>
  <c r="BP169" i="60"/>
  <c r="BR169" i="60"/>
  <c r="BB169" i="60"/>
  <c r="BC169" i="60"/>
  <c r="BF169" i="60"/>
  <c r="BO169" i="60"/>
  <c r="BE169" i="60"/>
  <c r="BD169" i="60"/>
  <c r="BW135" i="60"/>
  <c r="BQ135" i="60"/>
  <c r="BM135" i="60"/>
  <c r="BU135" i="60"/>
  <c r="BB135" i="60"/>
  <c r="BN135" i="60"/>
  <c r="BS135" i="60"/>
  <c r="BR135" i="60"/>
  <c r="BO135" i="60"/>
  <c r="BE135" i="60"/>
  <c r="BT135" i="60"/>
  <c r="BP135" i="60"/>
  <c r="BC135" i="60"/>
  <c r="BF135" i="60"/>
  <c r="BD135" i="60"/>
  <c r="BB59" i="60"/>
  <c r="BM59" i="60"/>
  <c r="BQ59" i="60"/>
  <c r="BT59" i="60"/>
  <c r="BC59" i="60"/>
  <c r="BO59" i="60"/>
  <c r="BW59" i="60"/>
  <c r="BS59" i="60"/>
  <c r="BR59" i="60"/>
  <c r="BU59" i="60"/>
  <c r="BP59" i="60"/>
  <c r="BN59" i="60"/>
  <c r="BE59" i="60"/>
  <c r="BD59" i="60"/>
  <c r="BF59" i="60"/>
  <c r="BF102" i="60"/>
  <c r="BU102" i="60"/>
  <c r="BQ102" i="60"/>
  <c r="BE102" i="60"/>
  <c r="BD102" i="60"/>
  <c r="BB102" i="60"/>
  <c r="BR102" i="60"/>
  <c r="BN102" i="60"/>
  <c r="BS102" i="60"/>
  <c r="BC102" i="60"/>
  <c r="BP102" i="60"/>
  <c r="BT102" i="60"/>
  <c r="BO102" i="60"/>
  <c r="BM102" i="60"/>
  <c r="BW102" i="60"/>
  <c r="BN28" i="60"/>
  <c r="BC28" i="60"/>
  <c r="BB28" i="60"/>
  <c r="BF28" i="60"/>
  <c r="BR28" i="60"/>
  <c r="BU28" i="60"/>
  <c r="BD28" i="60"/>
  <c r="BW28" i="60"/>
  <c r="BE28" i="60"/>
  <c r="BP28" i="60"/>
  <c r="BT28" i="60"/>
  <c r="BS28" i="60"/>
  <c r="BM28" i="60"/>
  <c r="BO28" i="60"/>
  <c r="BQ28" i="60"/>
  <c r="BS56" i="60"/>
  <c r="BR56" i="60"/>
  <c r="BM56" i="60"/>
  <c r="BE56" i="60"/>
  <c r="BW56" i="60"/>
  <c r="BF56" i="60"/>
  <c r="BQ56" i="60"/>
  <c r="BD56" i="60"/>
  <c r="BB56" i="60"/>
  <c r="BU56" i="60"/>
  <c r="BT56" i="60"/>
  <c r="BN56" i="60"/>
  <c r="BP56" i="60"/>
  <c r="BO56" i="60"/>
  <c r="BC56" i="60"/>
  <c r="BW85" i="60"/>
  <c r="BQ85" i="60"/>
  <c r="BO85" i="60"/>
  <c r="BN85" i="60"/>
  <c r="BD85" i="60"/>
  <c r="BT85" i="60"/>
  <c r="BP85" i="60"/>
  <c r="BB85" i="60"/>
  <c r="BS85" i="60"/>
  <c r="BE85" i="60"/>
  <c r="BM85" i="60"/>
  <c r="BU85" i="60"/>
  <c r="BC85" i="60"/>
  <c r="BF85" i="60"/>
  <c r="BR85" i="60"/>
  <c r="BN152" i="60"/>
  <c r="BO152" i="60"/>
  <c r="BQ152" i="60"/>
  <c r="BD152" i="60"/>
  <c r="BB152" i="60"/>
  <c r="BE152" i="60"/>
  <c r="BW152" i="60"/>
  <c r="BS152" i="60"/>
  <c r="BR152" i="60"/>
  <c r="BF152" i="60"/>
  <c r="BP152" i="60"/>
  <c r="BM152" i="60"/>
  <c r="BU152" i="60"/>
  <c r="BC152" i="60"/>
  <c r="BT152" i="60"/>
  <c r="BO155" i="60"/>
  <c r="BD155" i="60"/>
  <c r="BQ155" i="60"/>
  <c r="BN155" i="60"/>
  <c r="BT155" i="60"/>
  <c r="BB155" i="60"/>
  <c r="BF155" i="60"/>
  <c r="BP155" i="60"/>
  <c r="BC155" i="60"/>
  <c r="BU155" i="60"/>
  <c r="BS155" i="60"/>
  <c r="BW155" i="60"/>
  <c r="BE155" i="60"/>
  <c r="BM155" i="60"/>
  <c r="BR155" i="60"/>
  <c r="BN61" i="60"/>
  <c r="BF61" i="60"/>
  <c r="BW61" i="60"/>
  <c r="BP61" i="60"/>
  <c r="BB61" i="60"/>
  <c r="BC61" i="60"/>
  <c r="BO61" i="60"/>
  <c r="BQ61" i="60"/>
  <c r="BE61" i="60"/>
  <c r="BR61" i="60"/>
  <c r="BD61" i="60"/>
  <c r="BU61" i="60"/>
  <c r="BT61" i="60"/>
  <c r="BS61" i="60"/>
  <c r="BM61" i="60"/>
  <c r="BO134" i="60"/>
  <c r="BP134" i="60"/>
  <c r="BB134" i="60"/>
  <c r="BS134" i="60"/>
  <c r="BM134" i="60"/>
  <c r="BC134" i="60"/>
  <c r="BN134" i="60"/>
  <c r="BF134" i="60"/>
  <c r="BE134" i="60"/>
  <c r="BD134" i="60"/>
  <c r="BR134" i="60"/>
  <c r="BU134" i="60"/>
  <c r="BW134" i="60"/>
  <c r="BT134" i="60"/>
  <c r="BQ134" i="60"/>
  <c r="BN121" i="60"/>
  <c r="BP121" i="60"/>
  <c r="BS121" i="60"/>
  <c r="BC121" i="60"/>
  <c r="BQ121" i="60"/>
  <c r="BW121" i="60"/>
  <c r="BO121" i="60"/>
  <c r="BB121" i="60"/>
  <c r="BF121" i="60"/>
  <c r="BD121" i="60"/>
  <c r="BM121" i="60"/>
  <c r="BU121" i="60"/>
  <c r="BR121" i="60"/>
  <c r="BT121" i="60"/>
  <c r="BE121" i="60"/>
  <c r="BN98" i="60"/>
  <c r="BP98" i="60"/>
  <c r="BO98" i="60"/>
  <c r="BC98" i="60"/>
  <c r="BT98" i="60"/>
  <c r="BW98" i="60"/>
  <c r="BU98" i="60"/>
  <c r="BD98" i="60"/>
  <c r="BE98" i="60"/>
  <c r="BB98" i="60"/>
  <c r="BQ98" i="60"/>
  <c r="BM98" i="60"/>
  <c r="BF98" i="60"/>
  <c r="BR98" i="60"/>
  <c r="BS98" i="60"/>
  <c r="BB13" i="60"/>
  <c r="BE13" i="60"/>
  <c r="BF13" i="60"/>
  <c r="BD13" i="60"/>
  <c r="BC13" i="60"/>
  <c r="BM21" i="60"/>
  <c r="BC21" i="60"/>
  <c r="BW21" i="60"/>
  <c r="BE21" i="60"/>
  <c r="BQ21" i="60"/>
  <c r="BS21" i="60"/>
  <c r="BN21" i="60"/>
  <c r="BF21" i="60"/>
  <c r="BU21" i="60"/>
  <c r="BP21" i="60"/>
  <c r="BO21" i="60"/>
  <c r="BB21" i="60"/>
  <c r="BD21" i="60"/>
  <c r="BT21" i="60"/>
  <c r="BR21" i="60"/>
  <c r="BQ237" i="60"/>
  <c r="BN237" i="60"/>
  <c r="BO237" i="60"/>
  <c r="BU237" i="60"/>
  <c r="BF237" i="60"/>
  <c r="BD237" i="60"/>
  <c r="BP237" i="60"/>
  <c r="BC237" i="60"/>
  <c r="BT237" i="60"/>
  <c r="BM237" i="60"/>
  <c r="BS237" i="60"/>
  <c r="BW237" i="60"/>
  <c r="BB237" i="60"/>
  <c r="BR237" i="60"/>
  <c r="BE237" i="60"/>
  <c r="BN222" i="60"/>
  <c r="BQ222" i="60"/>
  <c r="BD222" i="60"/>
  <c r="BW222" i="60"/>
  <c r="BS222" i="60"/>
  <c r="BF222" i="60"/>
  <c r="BT222" i="60"/>
  <c r="BO222" i="60"/>
  <c r="BB222" i="60"/>
  <c r="BC222" i="60"/>
  <c r="BR222" i="60"/>
  <c r="BM222" i="60"/>
  <c r="BU222" i="60"/>
  <c r="BP222" i="60"/>
  <c r="BE222" i="60"/>
  <c r="BB125" i="60"/>
  <c r="BC125" i="60"/>
  <c r="BN125" i="60"/>
  <c r="BD125" i="60"/>
  <c r="BP125" i="60"/>
  <c r="BS125" i="60"/>
  <c r="BW125" i="60"/>
  <c r="BQ125" i="60"/>
  <c r="BO125" i="60"/>
  <c r="BU125" i="60"/>
  <c r="BT125" i="60"/>
  <c r="BE125" i="60"/>
  <c r="BF125" i="60"/>
  <c r="BR125" i="60"/>
  <c r="BM125" i="60"/>
  <c r="BQ24" i="60"/>
  <c r="BN24" i="60"/>
  <c r="BD24" i="60"/>
  <c r="BT24" i="60"/>
  <c r="BP24" i="60"/>
  <c r="BS24" i="60"/>
  <c r="BU24" i="60"/>
  <c r="BB24" i="60"/>
  <c r="BE24" i="60"/>
  <c r="BC24" i="60"/>
  <c r="BR24" i="60"/>
  <c r="BW24" i="60"/>
  <c r="BO24" i="60"/>
  <c r="BM24" i="60"/>
  <c r="BF24" i="60"/>
  <c r="BS64" i="60"/>
  <c r="BC64" i="60"/>
  <c r="BF64" i="60"/>
  <c r="BQ64" i="60"/>
  <c r="BD64" i="60"/>
  <c r="BE64" i="60"/>
  <c r="BM64" i="60"/>
  <c r="BR64" i="60"/>
  <c r="BB64" i="60"/>
  <c r="BN64" i="60"/>
  <c r="BO64" i="60"/>
  <c r="BP64" i="60"/>
  <c r="BW64" i="60"/>
  <c r="BU64" i="60"/>
  <c r="BT64" i="60"/>
  <c r="BO208" i="60"/>
  <c r="BB208" i="60"/>
  <c r="BE208" i="60"/>
  <c r="BW208" i="60"/>
  <c r="BP208" i="60"/>
  <c r="BR208" i="60"/>
  <c r="BD208" i="60"/>
  <c r="BC208" i="60"/>
  <c r="BT208" i="60"/>
  <c r="BS208" i="60"/>
  <c r="BF208" i="60"/>
  <c r="BM208" i="60"/>
  <c r="BN208" i="60"/>
  <c r="BQ208" i="60"/>
  <c r="BU208" i="60"/>
  <c r="BM84" i="60"/>
  <c r="BU84" i="60"/>
  <c r="BS84" i="60"/>
  <c r="BO84" i="60"/>
  <c r="BN84" i="60"/>
  <c r="BD84" i="60"/>
  <c r="BW84" i="60"/>
  <c r="BT84" i="60"/>
  <c r="BP84" i="60"/>
  <c r="BB84" i="60"/>
  <c r="BQ84" i="60"/>
  <c r="BF84" i="60"/>
  <c r="BR84" i="60"/>
  <c r="BC84" i="60"/>
  <c r="BE84" i="60"/>
  <c r="BS49" i="60"/>
  <c r="BC49" i="60"/>
  <c r="BN49" i="60"/>
  <c r="BW49" i="60"/>
  <c r="BQ49" i="60"/>
  <c r="BP49" i="60"/>
  <c r="BB49" i="60"/>
  <c r="BU49" i="60"/>
  <c r="BF49" i="60"/>
  <c r="BO49" i="60"/>
  <c r="BE49" i="60"/>
  <c r="BR49" i="60"/>
  <c r="BT49" i="60"/>
  <c r="BM49" i="60"/>
  <c r="BD49" i="60"/>
  <c r="BC179" i="60"/>
  <c r="BW179" i="60"/>
  <c r="BO179" i="60"/>
  <c r="BB179" i="60"/>
  <c r="BM179" i="60"/>
  <c r="BN179" i="60"/>
  <c r="BR179" i="60"/>
  <c r="BQ179" i="60"/>
  <c r="BT179" i="60"/>
  <c r="BD179" i="60"/>
  <c r="BP179" i="60"/>
  <c r="BS179" i="60"/>
  <c r="BF179" i="60"/>
  <c r="BE179" i="60"/>
  <c r="BU179" i="60"/>
  <c r="BN67" i="60"/>
  <c r="BT67" i="60"/>
  <c r="BU67" i="60"/>
  <c r="BF67" i="60"/>
  <c r="BM67" i="60"/>
  <c r="BE67" i="60"/>
  <c r="BW67" i="60"/>
  <c r="BP67" i="60"/>
  <c r="BR67" i="60"/>
  <c r="BS67" i="60"/>
  <c r="BC67" i="60"/>
  <c r="BO67" i="60"/>
  <c r="BB67" i="60"/>
  <c r="BQ67" i="60"/>
  <c r="BD67" i="60"/>
  <c r="BO29" i="60"/>
  <c r="BE29" i="60"/>
  <c r="BT29" i="60"/>
  <c r="BP29" i="60"/>
  <c r="BC29" i="60"/>
  <c r="BN29" i="60"/>
  <c r="BF29" i="60"/>
  <c r="BU29" i="60"/>
  <c r="BS29" i="60"/>
  <c r="BR29" i="60"/>
  <c r="BB29" i="60"/>
  <c r="BM29" i="60"/>
  <c r="BD29" i="60"/>
  <c r="BW29" i="60"/>
  <c r="BQ29" i="60"/>
  <c r="BD109" i="60"/>
  <c r="BP109" i="60"/>
  <c r="BW109" i="60"/>
  <c r="BF109" i="60"/>
  <c r="BN109" i="60"/>
  <c r="BM109" i="60"/>
  <c r="BC109" i="60"/>
  <c r="BT109" i="60"/>
  <c r="BR109" i="60"/>
  <c r="BB109" i="60"/>
  <c r="BQ109" i="60"/>
  <c r="BU109" i="60"/>
  <c r="BS109" i="60"/>
  <c r="BO109" i="60"/>
  <c r="BE109" i="60"/>
  <c r="BF10" i="60"/>
  <c r="BC10" i="60"/>
  <c r="BB10" i="60"/>
  <c r="BE10" i="60"/>
  <c r="BD10" i="60"/>
  <c r="BT44" i="60"/>
  <c r="BW44" i="60"/>
  <c r="BD44" i="60"/>
  <c r="BO44" i="60"/>
  <c r="BS44" i="60"/>
  <c r="BR44" i="60"/>
  <c r="BU44" i="60"/>
  <c r="BP44" i="60"/>
  <c r="BB44" i="60"/>
  <c r="BC44" i="60"/>
  <c r="BF44" i="60"/>
  <c r="BN44" i="60"/>
  <c r="BM44" i="60"/>
  <c r="BQ44" i="60"/>
  <c r="BE44" i="60"/>
  <c r="BE93" i="60"/>
  <c r="BN93" i="60"/>
  <c r="BP93" i="60"/>
  <c r="BD93" i="60"/>
  <c r="BS93" i="60"/>
  <c r="BU93" i="60"/>
  <c r="BB93" i="60"/>
  <c r="BQ93" i="60"/>
  <c r="BO93" i="60"/>
  <c r="BR93" i="60"/>
  <c r="BC93" i="60"/>
  <c r="BW93" i="60"/>
  <c r="BT93" i="60"/>
  <c r="BF93" i="60"/>
  <c r="BM93" i="60"/>
  <c r="BF11" i="60"/>
  <c r="BC11" i="60"/>
  <c r="BD11" i="60"/>
  <c r="BE11" i="60"/>
  <c r="BB11" i="60"/>
  <c r="BW11" i="60" s="1"/>
  <c r="BW159" i="60"/>
  <c r="BO159" i="60"/>
  <c r="BB159" i="60"/>
  <c r="BF159" i="60"/>
  <c r="BS159" i="60"/>
  <c r="BN159" i="60"/>
  <c r="BQ159" i="60"/>
  <c r="BD159" i="60"/>
  <c r="BM159" i="60"/>
  <c r="BE159" i="60"/>
  <c r="BP159" i="60"/>
  <c r="BC159" i="60"/>
  <c r="BT159" i="60"/>
  <c r="BR159" i="60"/>
  <c r="BU159" i="60"/>
  <c r="BD65" i="60"/>
  <c r="BC65" i="60"/>
  <c r="BR65" i="60"/>
  <c r="BU65" i="60"/>
  <c r="BP65" i="60"/>
  <c r="BE65" i="60"/>
  <c r="BM65" i="60"/>
  <c r="BO65" i="60"/>
  <c r="BQ65" i="60"/>
  <c r="BF65" i="60"/>
  <c r="BB65" i="60"/>
  <c r="BN65" i="60"/>
  <c r="BW65" i="60"/>
  <c r="BT65" i="60"/>
  <c r="BS65" i="60"/>
  <c r="BC190" i="60"/>
  <c r="BQ190" i="60"/>
  <c r="BT190" i="60"/>
  <c r="BF190" i="60"/>
  <c r="BD190" i="60"/>
  <c r="BE190" i="60"/>
  <c r="BN190" i="60"/>
  <c r="BW190" i="60"/>
  <c r="BR190" i="60"/>
  <c r="BM190" i="60"/>
  <c r="BU190" i="60"/>
  <c r="BP190" i="60"/>
  <c r="BB190" i="60"/>
  <c r="BS190" i="60"/>
  <c r="BO190" i="60"/>
  <c r="BQ119" i="60"/>
  <c r="BN119" i="60"/>
  <c r="BB119" i="60"/>
  <c r="BR119" i="60"/>
  <c r="BT119" i="60"/>
  <c r="BU119" i="60"/>
  <c r="BM119" i="60"/>
  <c r="BS119" i="60"/>
  <c r="BF119" i="60"/>
  <c r="BO119" i="60"/>
  <c r="BC119" i="60"/>
  <c r="BP119" i="60"/>
  <c r="BW119" i="60"/>
  <c r="BD119" i="60"/>
  <c r="BE119" i="60"/>
  <c r="BS163" i="60"/>
  <c r="BT163" i="60"/>
  <c r="BP163" i="60"/>
  <c r="BE163" i="60"/>
  <c r="BN163" i="60"/>
  <c r="BB163" i="60"/>
  <c r="BO163" i="60"/>
  <c r="BF163" i="60"/>
  <c r="BD163" i="60"/>
  <c r="BQ163" i="60"/>
  <c r="BW163" i="60"/>
  <c r="BU163" i="60"/>
  <c r="BC163" i="60"/>
  <c r="BR163" i="60"/>
  <c r="BM163" i="60"/>
  <c r="BE96" i="60"/>
  <c r="BN96" i="60"/>
  <c r="BR96" i="60"/>
  <c r="BB96" i="60"/>
  <c r="BU96" i="60"/>
  <c r="BD96" i="60"/>
  <c r="BS96" i="60"/>
  <c r="BP96" i="60"/>
  <c r="BO96" i="60"/>
  <c r="BT96" i="60"/>
  <c r="BF96" i="60"/>
  <c r="BW96" i="60"/>
  <c r="BC96" i="60"/>
  <c r="BM96" i="60"/>
  <c r="BQ96" i="60"/>
  <c r="BT176" i="60"/>
  <c r="BW176" i="60"/>
  <c r="BR176" i="60"/>
  <c r="BS176" i="60"/>
  <c r="BB176" i="60"/>
  <c r="BC176" i="60"/>
  <c r="BN176" i="60"/>
  <c r="BQ176" i="60"/>
  <c r="BF176" i="60"/>
  <c r="BU176" i="60"/>
  <c r="BE176" i="60"/>
  <c r="BO176" i="60"/>
  <c r="BP176" i="60"/>
  <c r="BD176" i="60"/>
  <c r="BM176" i="60"/>
  <c r="BR156" i="60"/>
  <c r="BC156" i="60"/>
  <c r="BQ156" i="60"/>
  <c r="BD156" i="60"/>
  <c r="BU156" i="60"/>
  <c r="BT156" i="60"/>
  <c r="BW156" i="60"/>
  <c r="BM156" i="60"/>
  <c r="BF156" i="60"/>
  <c r="BS156" i="60"/>
  <c r="BB156" i="60"/>
  <c r="BN156" i="60"/>
  <c r="BP156" i="60"/>
  <c r="BO156" i="60"/>
  <c r="BE156" i="60"/>
  <c r="BN183" i="60"/>
  <c r="BE183" i="60"/>
  <c r="BF183" i="60"/>
  <c r="BB183" i="60"/>
  <c r="BO183" i="60"/>
  <c r="BW183" i="60"/>
  <c r="BU183" i="60"/>
  <c r="BT183" i="60"/>
  <c r="BP183" i="60"/>
  <c r="BQ183" i="60"/>
  <c r="BC183" i="60"/>
  <c r="BD183" i="60"/>
  <c r="BS183" i="60"/>
  <c r="BR183" i="60"/>
  <c r="BM183" i="60"/>
  <c r="BR196" i="60"/>
  <c r="BT196" i="60"/>
  <c r="BM196" i="60"/>
  <c r="BO196" i="60"/>
  <c r="BE196" i="60"/>
  <c r="BN196" i="60"/>
  <c r="BD196" i="60"/>
  <c r="BS196" i="60"/>
  <c r="BU196" i="60"/>
  <c r="BB196" i="60"/>
  <c r="BW196" i="60"/>
  <c r="BP196" i="60"/>
  <c r="BQ196" i="60"/>
  <c r="BF196" i="60"/>
  <c r="BC196" i="60"/>
  <c r="BN184" i="60"/>
  <c r="BT184" i="60"/>
  <c r="BR184" i="60"/>
  <c r="BC184" i="60"/>
  <c r="BB184" i="60"/>
  <c r="BS184" i="60"/>
  <c r="BW184" i="60"/>
  <c r="BF184" i="60"/>
  <c r="BD184" i="60"/>
  <c r="BE184" i="60"/>
  <c r="BQ184" i="60"/>
  <c r="BM184" i="60"/>
  <c r="BU184" i="60"/>
  <c r="BO184" i="60"/>
  <c r="BP184" i="60"/>
  <c r="BU161" i="60"/>
  <c r="BN161" i="60"/>
  <c r="BO161" i="60"/>
  <c r="BC161" i="60"/>
  <c r="BD161" i="60"/>
  <c r="BQ161" i="60"/>
  <c r="BM161" i="60"/>
  <c r="BT161" i="60"/>
  <c r="BR161" i="60"/>
  <c r="BF161" i="60"/>
  <c r="BS161" i="60"/>
  <c r="BP161" i="60"/>
  <c r="BW161" i="60"/>
  <c r="BB161" i="60"/>
  <c r="BE161" i="60"/>
  <c r="CK229" i="19"/>
  <c r="CL229" i="19" s="1"/>
  <c r="CK104" i="19"/>
  <c r="CL104" i="19" s="1"/>
  <c r="CK17" i="19"/>
  <c r="CL17" i="19" s="1"/>
  <c r="CK182" i="19"/>
  <c r="CL182" i="19" s="1"/>
  <c r="CK31" i="19"/>
  <c r="CL31" i="19" s="1"/>
  <c r="CK124" i="19"/>
  <c r="CL124" i="19" s="1"/>
  <c r="CK154" i="19"/>
  <c r="CL154" i="19" s="1"/>
  <c r="CK151" i="19"/>
  <c r="CL151" i="19" s="1"/>
  <c r="CK110" i="19"/>
  <c r="CL110" i="19" s="1"/>
  <c r="CH50" i="19" a="1"/>
  <c r="CK138" i="19"/>
  <c r="CL138" i="19" s="1"/>
  <c r="CK175" i="19"/>
  <c r="CL175" i="19" s="1"/>
  <c r="CK141" i="19"/>
  <c r="CL141" i="19" s="1"/>
  <c r="CK181" i="19"/>
  <c r="CL181" i="19" s="1"/>
  <c r="CK253" i="19"/>
  <c r="CL253" i="19" s="1"/>
  <c r="CK100" i="19"/>
  <c r="CL100" i="19" s="1"/>
  <c r="CK109" i="19"/>
  <c r="CL109" i="19" s="1"/>
  <c r="CK44" i="19"/>
  <c r="CL44" i="19" s="1"/>
  <c r="CH93" i="19" a="1"/>
  <c r="CK65" i="19"/>
  <c r="CL65" i="19" s="1"/>
  <c r="CK190" i="19"/>
  <c r="CL190" i="19" s="1"/>
  <c r="CH190" i="19" a="1"/>
  <c r="CK163" i="19"/>
  <c r="CL163" i="19" s="1"/>
  <c r="CK156" i="19"/>
  <c r="CL156" i="19" s="1"/>
  <c r="CK183" i="19"/>
  <c r="CL183" i="19" s="1"/>
  <c r="CK184" i="19"/>
  <c r="CL184" i="19" s="1"/>
  <c r="CK209" i="19"/>
  <c r="CL209" i="19" s="1"/>
  <c r="CK40" i="19"/>
  <c r="CL40" i="19" s="1"/>
  <c r="CK101" i="19"/>
  <c r="CL101" i="19" s="1"/>
  <c r="CK75" i="19"/>
  <c r="CL75" i="19" s="1"/>
  <c r="CK19" i="19"/>
  <c r="CL19" i="19" s="1"/>
  <c r="CK218" i="19"/>
  <c r="CL218" i="19" s="1"/>
  <c r="CK199" i="19"/>
  <c r="CL199" i="19" s="1"/>
  <c r="CK37" i="19"/>
  <c r="CL37" i="19" s="1"/>
  <c r="CH188" i="19" a="1"/>
  <c r="CK246" i="19"/>
  <c r="CL246" i="19" s="1"/>
  <c r="CH246" i="19" a="1"/>
  <c r="CK42" i="19"/>
  <c r="CL42" i="19" s="1"/>
  <c r="CK146" i="19"/>
  <c r="CL146" i="19" s="1"/>
  <c r="CK202" i="19"/>
  <c r="CL202" i="19" s="1"/>
  <c r="CH202" i="19" a="1"/>
  <c r="CK91" i="19"/>
  <c r="CL91" i="19" s="1"/>
  <c r="CK216" i="19"/>
  <c r="CL216" i="19" s="1"/>
  <c r="CK136" i="19"/>
  <c r="CL136" i="19" s="1"/>
  <c r="CK174" i="19"/>
  <c r="CL174" i="19" s="1"/>
  <c r="CK126" i="19"/>
  <c r="CL126" i="19" s="1"/>
  <c r="CK63" i="19"/>
  <c r="CL63" i="19" s="1"/>
  <c r="CH63" i="19" a="1"/>
  <c r="CK90" i="19"/>
  <c r="CL90" i="19" s="1"/>
  <c r="CK48" i="19"/>
  <c r="CL48" i="19" s="1"/>
  <c r="CH48" i="19" a="1"/>
  <c r="CK53" i="19"/>
  <c r="CL53" i="19" s="1"/>
  <c r="CK235" i="19"/>
  <c r="CL235" i="19" s="1"/>
  <c r="CK71" i="19"/>
  <c r="CL71" i="19" s="1"/>
  <c r="CK251" i="19"/>
  <c r="CL251" i="19" s="1"/>
  <c r="CK241" i="19"/>
  <c r="CL241" i="19" s="1"/>
  <c r="CK254" i="19"/>
  <c r="CL254" i="19" s="1"/>
  <c r="CK252" i="19"/>
  <c r="CL252" i="19" s="1"/>
  <c r="CK145" i="19"/>
  <c r="CL145" i="19" s="1"/>
  <c r="CK220" i="19"/>
  <c r="CL220" i="19" s="1"/>
  <c r="CK205" i="19"/>
  <c r="CL205" i="19" s="1"/>
  <c r="CK150" i="19"/>
  <c r="CL150" i="19" s="1"/>
  <c r="CK169" i="19"/>
  <c r="CL169" i="19" s="1"/>
  <c r="CH169" i="19" a="1"/>
  <c r="CK135" i="19"/>
  <c r="CL135" i="19" s="1"/>
  <c r="CK59" i="19"/>
  <c r="CL59" i="19" s="1"/>
  <c r="CH59" i="19" a="1"/>
  <c r="CK102" i="19"/>
  <c r="CL102" i="19" s="1"/>
  <c r="CK28" i="19"/>
  <c r="CL28" i="19" s="1"/>
  <c r="CH28" i="19" a="1"/>
  <c r="CK50" i="19"/>
  <c r="CL50" i="19" s="1"/>
  <c r="CK180" i="19"/>
  <c r="CL180" i="19" s="1"/>
  <c r="CK194" i="19"/>
  <c r="CL194" i="19" s="1"/>
  <c r="CK178" i="19"/>
  <c r="CL178" i="19" s="1"/>
  <c r="CK228" i="19"/>
  <c r="CL228" i="19" s="1"/>
  <c r="CK29" i="19"/>
  <c r="CL29" i="19" s="1"/>
  <c r="CK93" i="19"/>
  <c r="CL93" i="19" s="1"/>
  <c r="CK159" i="19"/>
  <c r="CL159" i="19" s="1"/>
  <c r="CK119" i="19"/>
  <c r="CL119" i="19" s="1"/>
  <c r="CK96" i="19"/>
  <c r="CL96" i="19" s="1"/>
  <c r="CK176" i="19"/>
  <c r="CL176" i="19" s="1"/>
  <c r="CH156" i="19" a="1"/>
  <c r="CK196" i="19"/>
  <c r="CL196" i="19" s="1"/>
  <c r="CK161" i="19"/>
  <c r="CL161" i="19" s="1"/>
  <c r="CK203" i="19"/>
  <c r="CL203" i="19" s="1"/>
  <c r="CK191" i="19"/>
  <c r="CL191" i="19" s="1"/>
  <c r="CK185" i="19"/>
  <c r="CL185" i="19" s="1"/>
  <c r="CK83" i="19"/>
  <c r="CL83" i="19" s="1"/>
  <c r="CH83" i="19" a="1"/>
  <c r="CK73" i="19"/>
  <c r="CL73" i="19" s="1"/>
  <c r="CK18" i="19"/>
  <c r="CL18" i="19" s="1"/>
  <c r="CK77" i="19"/>
  <c r="CL77" i="19" s="1"/>
  <c r="CK35" i="19"/>
  <c r="CL35" i="19" s="1"/>
  <c r="CK113" i="19"/>
  <c r="CL113" i="19" s="1"/>
  <c r="CK186" i="19"/>
  <c r="CL186" i="19" s="1"/>
  <c r="CH170" i="19" a="1"/>
  <c r="CK76" i="19"/>
  <c r="CL76" i="19" s="1"/>
  <c r="CK38" i="19"/>
  <c r="CL38" i="19" s="1"/>
  <c r="CH38" i="19" a="1"/>
  <c r="CK111" i="19"/>
  <c r="CL111" i="19" s="1"/>
  <c r="CK114" i="19"/>
  <c r="CL114" i="19" s="1"/>
  <c r="CK201" i="19"/>
  <c r="CL201" i="19" s="1"/>
  <c r="CK187" i="19"/>
  <c r="CL187" i="19" s="1"/>
  <c r="CK52" i="19"/>
  <c r="CL52" i="19" s="1"/>
  <c r="CK43" i="19"/>
  <c r="CL43" i="19" s="1"/>
  <c r="CK87" i="19"/>
  <c r="CL87" i="19" s="1"/>
  <c r="CK226" i="19"/>
  <c r="CL226" i="19" s="1"/>
  <c r="CK225" i="19"/>
  <c r="CL225" i="19" s="1"/>
  <c r="CH82" i="19" a="1"/>
  <c r="CK105" i="19"/>
  <c r="CL105" i="19" s="1"/>
  <c r="CK107" i="19"/>
  <c r="CL107" i="19" s="1"/>
  <c r="CH107" i="19" a="1"/>
  <c r="CK153" i="19"/>
  <c r="CL153" i="19" s="1"/>
  <c r="CK70" i="19"/>
  <c r="CL70" i="19" s="1"/>
  <c r="CK166" i="19"/>
  <c r="CL166" i="19" s="1"/>
  <c r="CH80" i="19" a="1"/>
  <c r="CK239" i="19"/>
  <c r="CL239" i="19" s="1"/>
  <c r="CK192" i="19"/>
  <c r="CL192" i="19" s="1"/>
  <c r="CK27" i="19"/>
  <c r="CL27" i="19" s="1"/>
  <c r="CK108" i="19"/>
  <c r="CL108" i="19" s="1"/>
  <c r="CK232" i="19"/>
  <c r="CL232" i="19" s="1"/>
  <c r="CK249" i="19"/>
  <c r="CL249" i="19" s="1"/>
  <c r="CK206" i="19"/>
  <c r="CL206" i="19" s="1"/>
  <c r="CK95" i="19"/>
  <c r="CL95" i="19" s="1"/>
  <c r="CK130" i="19"/>
  <c r="CL130" i="19" s="1"/>
  <c r="BY6" i="60" a="1"/>
  <c r="CK54" i="19"/>
  <c r="CL54" i="19" s="1"/>
  <c r="CK80" i="19"/>
  <c r="CL80" i="19" s="1"/>
  <c r="CK143" i="19"/>
  <c r="CL143" i="19" s="1"/>
  <c r="CK82" i="19"/>
  <c r="CL82" i="19" s="1"/>
  <c r="CK99" i="19"/>
  <c r="CL99" i="19" s="1"/>
  <c r="CK210" i="19"/>
  <c r="CL210" i="19" s="1"/>
  <c r="CF223" i="19"/>
  <c r="CG223" i="19"/>
  <c r="Q242" i="19"/>
  <c r="S242" i="19" s="1"/>
  <c r="O242" i="19"/>
  <c r="CF242" i="19"/>
  <c r="CG242" i="19"/>
  <c r="Q215" i="19"/>
  <c r="S215" i="19" s="1"/>
  <c r="O215" i="19"/>
  <c r="CG215" i="19"/>
  <c r="CF215" i="19"/>
  <c r="O245" i="19"/>
  <c r="Q245" i="19"/>
  <c r="S245" i="19" s="1"/>
  <c r="CF245" i="19"/>
  <c r="CG245" i="19"/>
  <c r="CG198" i="19"/>
  <c r="CF198" i="19"/>
  <c r="CG30" i="19"/>
  <c r="CF30" i="19"/>
  <c r="Q30" i="19"/>
  <c r="S30" i="19" s="1"/>
  <c r="O30" i="19"/>
  <c r="CG32" i="19"/>
  <c r="CF32" i="19"/>
  <c r="Q41" i="19"/>
  <c r="S41" i="19" s="1"/>
  <c r="O41" i="19"/>
  <c r="CG41" i="19"/>
  <c r="CF41" i="19"/>
  <c r="CG14" i="19"/>
  <c r="CF14" i="19"/>
  <c r="Q213" i="19"/>
  <c r="S213" i="19" s="1"/>
  <c r="O213" i="19"/>
  <c r="CF213" i="19"/>
  <c r="CG213" i="19"/>
  <c r="CG92" i="19"/>
  <c r="CF92" i="19"/>
  <c r="O106" i="19"/>
  <c r="Q106" i="19"/>
  <c r="S106" i="19" s="1"/>
  <c r="CF106" i="19"/>
  <c r="CG106" i="19"/>
  <c r="CF132" i="19"/>
  <c r="CG132" i="19"/>
  <c r="O57" i="19"/>
  <c r="Q57" i="19"/>
  <c r="S57" i="19" s="1"/>
  <c r="CG57" i="19"/>
  <c r="CF57" i="19"/>
  <c r="Q200" i="19"/>
  <c r="S200" i="19" s="1"/>
  <c r="O200" i="19"/>
  <c r="CF200" i="19"/>
  <c r="CG200" i="19"/>
  <c r="O62" i="19"/>
  <c r="Q62" i="19"/>
  <c r="S62" i="19" s="1"/>
  <c r="CF62" i="19"/>
  <c r="CG62" i="19"/>
  <c r="CG45" i="19"/>
  <c r="CF45" i="19"/>
  <c r="Q173" i="19"/>
  <c r="S173" i="19" s="1"/>
  <c r="O173" i="19"/>
  <c r="CG173" i="19"/>
  <c r="CF173" i="19"/>
  <c r="CF78" i="19"/>
  <c r="CG78" i="19"/>
  <c r="CF51" i="19"/>
  <c r="CG51" i="19"/>
  <c r="CG89" i="19"/>
  <c r="CF89" i="19"/>
  <c r="O129" i="19"/>
  <c r="Q129" i="19"/>
  <c r="S129" i="19" s="1"/>
  <c r="CF129" i="19"/>
  <c r="CG129" i="19"/>
  <c r="CG172" i="19"/>
  <c r="CF172" i="19"/>
  <c r="CF177" i="19"/>
  <c r="CG177" i="19"/>
  <c r="CG189" i="19"/>
  <c r="CF189" i="19"/>
  <c r="CF255" i="19"/>
  <c r="CG255" i="19"/>
  <c r="O244" i="19"/>
  <c r="Q244" i="19"/>
  <c r="S244" i="19" s="1"/>
  <c r="CG244" i="19"/>
  <c r="CF244" i="19"/>
  <c r="CG225" i="19"/>
  <c r="CF225" i="19"/>
  <c r="CG233" i="19"/>
  <c r="CF233" i="19"/>
  <c r="Q22" i="19"/>
  <c r="S22" i="19" s="1"/>
  <c r="O22" i="19"/>
  <c r="CF22" i="19"/>
  <c r="CG22" i="19"/>
  <c r="CF26" i="19"/>
  <c r="CG26" i="19"/>
  <c r="O143" i="19"/>
  <c r="Q143" i="19"/>
  <c r="S143" i="19" s="1"/>
  <c r="CG143" i="19"/>
  <c r="CF143" i="19"/>
  <c r="CF82" i="19"/>
  <c r="CG82" i="19"/>
  <c r="CF99" i="19"/>
  <c r="CG99" i="19"/>
  <c r="CF8" i="19"/>
  <c r="CG8" i="19"/>
  <c r="Q105" i="19"/>
  <c r="S105" i="19" s="1"/>
  <c r="O105" i="19"/>
  <c r="CG105" i="19"/>
  <c r="CF105" i="19"/>
  <c r="CF107" i="19"/>
  <c r="CG107" i="19"/>
  <c r="O153" i="19"/>
  <c r="Q153" i="19"/>
  <c r="S153" i="19" s="1"/>
  <c r="CF153" i="19"/>
  <c r="CG153" i="19"/>
  <c r="Q68" i="19"/>
  <c r="S68" i="19" s="1"/>
  <c r="O68" i="19"/>
  <c r="CG68" i="19"/>
  <c r="CF68" i="19"/>
  <c r="CG118" i="19"/>
  <c r="CF118" i="19"/>
  <c r="CG70" i="19"/>
  <c r="CF70" i="19"/>
  <c r="O54" i="19"/>
  <c r="Q54" i="19"/>
  <c r="S54" i="19" s="1"/>
  <c r="CG54" i="19"/>
  <c r="CF54" i="19"/>
  <c r="CF166" i="19"/>
  <c r="CG166" i="19"/>
  <c r="CG80" i="19"/>
  <c r="CF80" i="19"/>
  <c r="CG55" i="19"/>
  <c r="CF55" i="19"/>
  <c r="H55" i="19" s="1"/>
  <c r="CG122" i="19"/>
  <c r="CF122" i="19"/>
  <c r="CF142" i="19"/>
  <c r="CG142" i="19"/>
  <c r="Q188" i="19"/>
  <c r="S188" i="19" s="1"/>
  <c r="O188" i="19"/>
  <c r="CF188" i="19"/>
  <c r="CG188" i="19"/>
  <c r="Q195" i="19"/>
  <c r="S195" i="19" s="1"/>
  <c r="O195" i="19"/>
  <c r="CF195" i="19"/>
  <c r="CG195" i="19"/>
  <c r="CF210" i="19"/>
  <c r="H210" i="19" s="1"/>
  <c r="CG210" i="19"/>
  <c r="CF229" i="19"/>
  <c r="CG229" i="19"/>
  <c r="CG104" i="19"/>
  <c r="CF104" i="19"/>
  <c r="CF17" i="19"/>
  <c r="CG17" i="19"/>
  <c r="CG182" i="19"/>
  <c r="CF182" i="19"/>
  <c r="CF15" i="19"/>
  <c r="CG15" i="19"/>
  <c r="CF31" i="19"/>
  <c r="CG31" i="19"/>
  <c r="Q154" i="19"/>
  <c r="S154" i="19" s="1"/>
  <c r="O154" i="19"/>
  <c r="CG154" i="19"/>
  <c r="CF154" i="19"/>
  <c r="CG9" i="19"/>
  <c r="CF9" i="19"/>
  <c r="CF151" i="19"/>
  <c r="CG151" i="19"/>
  <c r="CG123" i="19"/>
  <c r="CF123" i="19"/>
  <c r="CF103" i="19"/>
  <c r="CG103" i="19"/>
  <c r="CG246" i="19"/>
  <c r="CF246" i="19"/>
  <c r="O42" i="19"/>
  <c r="Q42" i="19"/>
  <c r="S42" i="19" s="1"/>
  <c r="CG42" i="19"/>
  <c r="CF42" i="19"/>
  <c r="Q146" i="19"/>
  <c r="S146" i="19" s="1"/>
  <c r="O146" i="19"/>
  <c r="CF146" i="19"/>
  <c r="H146" i="19" s="1"/>
  <c r="CG146" i="19"/>
  <c r="CG12" i="19"/>
  <c r="CF12" i="19"/>
  <c r="CF202" i="19"/>
  <c r="CG202" i="19"/>
  <c r="Q91" i="19"/>
  <c r="S91" i="19" s="1"/>
  <c r="O91" i="19"/>
  <c r="CG91" i="19"/>
  <c r="CF91" i="19"/>
  <c r="CF216" i="19"/>
  <c r="CG216" i="19"/>
  <c r="Q136" i="19"/>
  <c r="S136" i="19" s="1"/>
  <c r="O136" i="19"/>
  <c r="CG136" i="19"/>
  <c r="CF136" i="19"/>
  <c r="O174" i="19"/>
  <c r="Q174" i="19"/>
  <c r="S174" i="19" s="1"/>
  <c r="CF174" i="19"/>
  <c r="CG174" i="19"/>
  <c r="CG126" i="19"/>
  <c r="CF126" i="19"/>
  <c r="CF63" i="19"/>
  <c r="CG63" i="19"/>
  <c r="CF90" i="19"/>
  <c r="CG90" i="19"/>
  <c r="Q74" i="19"/>
  <c r="S74" i="19" s="1"/>
  <c r="O74" i="19"/>
  <c r="CG74" i="19"/>
  <c r="CF74" i="19"/>
  <c r="Q193" i="19"/>
  <c r="S193" i="19" s="1"/>
  <c r="O193" i="19"/>
  <c r="CF193" i="19"/>
  <c r="CG193" i="19"/>
  <c r="O48" i="19"/>
  <c r="Q48" i="19"/>
  <c r="S48" i="19" s="1"/>
  <c r="CF48" i="19"/>
  <c r="CG48" i="19"/>
  <c r="Q53" i="19"/>
  <c r="S53" i="19" s="1"/>
  <c r="O53" i="19"/>
  <c r="CF53" i="19"/>
  <c r="CG53" i="19"/>
  <c r="O235" i="19"/>
  <c r="Q235" i="19"/>
  <c r="S235" i="19" s="1"/>
  <c r="CG235" i="19"/>
  <c r="CF235" i="19"/>
  <c r="CG71" i="19"/>
  <c r="CF71" i="19"/>
  <c r="CF251" i="19"/>
  <c r="CG251" i="19"/>
  <c r="Q241" i="19"/>
  <c r="S241" i="19" s="1"/>
  <c r="O241" i="19"/>
  <c r="CF241" i="19"/>
  <c r="CG241" i="19"/>
  <c r="Q254" i="19"/>
  <c r="S254" i="19" s="1"/>
  <c r="O254" i="19"/>
  <c r="CF254" i="19"/>
  <c r="CG254" i="19"/>
  <c r="CF252" i="19"/>
  <c r="CG252" i="19"/>
  <c r="CG145" i="19"/>
  <c r="CF145" i="19"/>
  <c r="H145" i="19" s="1"/>
  <c r="CF220" i="19"/>
  <c r="CG220" i="19"/>
  <c r="CF205" i="19"/>
  <c r="CG205" i="19"/>
  <c r="CG150" i="19"/>
  <c r="CF150" i="19"/>
  <c r="CG169" i="19"/>
  <c r="CF169" i="19"/>
  <c r="CF135" i="19"/>
  <c r="CG135" i="19"/>
  <c r="CF59" i="19"/>
  <c r="CG59" i="19"/>
  <c r="CF102" i="19"/>
  <c r="CG102" i="19"/>
  <c r="Q28" i="19"/>
  <c r="S28" i="19" s="1"/>
  <c r="O28" i="19"/>
  <c r="CG28" i="19"/>
  <c r="CF28" i="19"/>
  <c r="Q56" i="19"/>
  <c r="S56" i="19" s="1"/>
  <c r="O56" i="19"/>
  <c r="CG100" i="19"/>
  <c r="CF100" i="19"/>
  <c r="CG29" i="19"/>
  <c r="CF29" i="19"/>
  <c r="CG109" i="19"/>
  <c r="CF109" i="19"/>
  <c r="CG10" i="19"/>
  <c r="CF10" i="19"/>
  <c r="O44" i="19"/>
  <c r="Q44" i="19"/>
  <c r="S44" i="19" s="1"/>
  <c r="CF44" i="19"/>
  <c r="CG44" i="19"/>
  <c r="CF93" i="19"/>
  <c r="CG93" i="19"/>
  <c r="CG11" i="19"/>
  <c r="CF11" i="19"/>
  <c r="CF159" i="19"/>
  <c r="CG159" i="19"/>
  <c r="O65" i="19"/>
  <c r="Q65" i="19"/>
  <c r="S65" i="19" s="1"/>
  <c r="CF65" i="19"/>
  <c r="CG65" i="19"/>
  <c r="CG190" i="19"/>
  <c r="CF190" i="19"/>
  <c r="Q119" i="19"/>
  <c r="S119" i="19" s="1"/>
  <c r="O119" i="19"/>
  <c r="CF119" i="19"/>
  <c r="H119" i="19" s="1"/>
  <c r="CG119" i="19"/>
  <c r="CG163" i="19"/>
  <c r="CF163" i="19"/>
  <c r="CG96" i="19"/>
  <c r="CF96" i="19"/>
  <c r="CF176" i="19"/>
  <c r="CG176" i="19"/>
  <c r="CG156" i="19"/>
  <c r="CF156" i="19"/>
  <c r="CF183" i="19"/>
  <c r="CG183" i="19"/>
  <c r="CF196" i="19"/>
  <c r="CG196" i="19"/>
  <c r="O184" i="19"/>
  <c r="Q184" i="19"/>
  <c r="S184" i="19" s="1"/>
  <c r="CG184" i="19"/>
  <c r="CF184" i="19"/>
  <c r="CF161" i="19"/>
  <c r="CG161" i="19"/>
  <c r="CG209" i="19"/>
  <c r="CF209" i="19"/>
  <c r="CF40" i="19"/>
  <c r="CG40" i="19"/>
  <c r="CG101" i="19"/>
  <c r="CF101" i="19"/>
  <c r="CF139" i="19"/>
  <c r="CG139" i="19"/>
  <c r="O75" i="19"/>
  <c r="Q75" i="19"/>
  <c r="S75" i="19" s="1"/>
  <c r="CF75" i="19"/>
  <c r="CG75" i="19"/>
  <c r="CG203" i="19"/>
  <c r="CF203" i="19"/>
  <c r="Q191" i="19"/>
  <c r="S191" i="19" s="1"/>
  <c r="O191" i="19"/>
  <c r="CF191" i="19"/>
  <c r="CG191" i="19"/>
  <c r="BD185" i="60"/>
  <c r="BO185" i="60"/>
  <c r="BE185" i="60"/>
  <c r="BP185" i="60"/>
  <c r="CF185" i="19"/>
  <c r="CG185" i="19"/>
  <c r="Q83" i="19"/>
  <c r="S83" i="19" s="1"/>
  <c r="O83" i="19"/>
  <c r="BC83" i="60"/>
  <c r="BF83" i="60"/>
  <c r="BD83" i="60"/>
  <c r="BM83" i="60"/>
  <c r="BN83" i="60"/>
  <c r="BB83" i="60"/>
  <c r="BQ83" i="60"/>
  <c r="BO83" i="60"/>
  <c r="BS83" i="60"/>
  <c r="BW83" i="60"/>
  <c r="BR83" i="60"/>
  <c r="BE83" i="60"/>
  <c r="BP83" i="60"/>
  <c r="BU83" i="60"/>
  <c r="BT83" i="60"/>
  <c r="CF83" i="19"/>
  <c r="CG83" i="19"/>
  <c r="BR73" i="60"/>
  <c r="BW73" i="60"/>
  <c r="BU73" i="60"/>
  <c r="BE73" i="60"/>
  <c r="BO73" i="60"/>
  <c r="BC73" i="60"/>
  <c r="BP73" i="60"/>
  <c r="BS73" i="60"/>
  <c r="BN73" i="60"/>
  <c r="BM73" i="60"/>
  <c r="BB73" i="60"/>
  <c r="BT73" i="60"/>
  <c r="BD73" i="60"/>
  <c r="BF73" i="60"/>
  <c r="BQ73" i="60"/>
  <c r="CF73" i="19"/>
  <c r="CG73" i="19"/>
  <c r="CG18" i="19"/>
  <c r="CF18" i="19"/>
  <c r="BB18" i="60"/>
  <c r="BR18" i="60"/>
  <c r="BC18" i="60"/>
  <c r="BF18" i="60"/>
  <c r="BN18" i="60"/>
  <c r="BM18" i="60"/>
  <c r="BO18" i="60"/>
  <c r="BW18" i="60"/>
  <c r="BQ18" i="60"/>
  <c r="BT18" i="60"/>
  <c r="BE18" i="60"/>
  <c r="BP18" i="60"/>
  <c r="BU18" i="60"/>
  <c r="BD18" i="60"/>
  <c r="BS18" i="60"/>
  <c r="BC19" i="60"/>
  <c r="BT19" i="60"/>
  <c r="BQ19" i="60"/>
  <c r="BU19" i="60"/>
  <c r="BS19" i="60"/>
  <c r="BO19" i="60"/>
  <c r="BE19" i="60"/>
  <c r="BM19" i="60"/>
  <c r="BD19" i="60"/>
  <c r="BB19" i="60"/>
  <c r="BR19" i="60"/>
  <c r="BN19" i="60"/>
  <c r="BF19" i="60"/>
  <c r="BW19" i="60"/>
  <c r="BP19" i="60"/>
  <c r="CG19" i="19"/>
  <c r="CF19" i="19"/>
  <c r="Q77" i="19"/>
  <c r="S77" i="19" s="1"/>
  <c r="O77" i="19"/>
  <c r="CG77" i="19"/>
  <c r="CF77" i="19"/>
  <c r="BT77" i="60"/>
  <c r="BM77" i="60"/>
  <c r="BU77" i="60"/>
  <c r="BE77" i="60"/>
  <c r="BN77" i="60"/>
  <c r="BF77" i="60"/>
  <c r="BB77" i="60"/>
  <c r="BC77" i="60"/>
  <c r="BP77" i="60"/>
  <c r="BR77" i="60"/>
  <c r="BO77" i="60"/>
  <c r="BD77" i="60"/>
  <c r="BQ77" i="60"/>
  <c r="BW77" i="60"/>
  <c r="BS77" i="60"/>
  <c r="Q35" i="19"/>
  <c r="S35" i="19" s="1"/>
  <c r="O35" i="19"/>
  <c r="CF35" i="19"/>
  <c r="CG35" i="19"/>
  <c r="BD35" i="60"/>
  <c r="BU35" i="60"/>
  <c r="BS35" i="60"/>
  <c r="BN35" i="60"/>
  <c r="BM35" i="60"/>
  <c r="BT35" i="60"/>
  <c r="BR35" i="60"/>
  <c r="BB35" i="60"/>
  <c r="BO35" i="60"/>
  <c r="BF35" i="60"/>
  <c r="BC35" i="60"/>
  <c r="BW35" i="60"/>
  <c r="BQ35" i="60"/>
  <c r="BP35" i="60"/>
  <c r="BE35" i="60"/>
  <c r="CF113" i="19"/>
  <c r="CG113" i="19"/>
  <c r="BT113" i="60"/>
  <c r="BD113" i="60"/>
  <c r="BE113" i="60"/>
  <c r="BP113" i="60"/>
  <c r="BO113" i="60"/>
  <c r="BS113" i="60"/>
  <c r="BQ113" i="60"/>
  <c r="BW113" i="60"/>
  <c r="BF113" i="60"/>
  <c r="BN113" i="60"/>
  <c r="BC113" i="60"/>
  <c r="BM113" i="60"/>
  <c r="BR113" i="60"/>
  <c r="BU113" i="60"/>
  <c r="BB113" i="60"/>
  <c r="BO218" i="60"/>
  <c r="BR218" i="60"/>
  <c r="BE218" i="60"/>
  <c r="BS218" i="60"/>
  <c r="BP218" i="60"/>
  <c r="BT218" i="60"/>
  <c r="BW218" i="60"/>
  <c r="BN218" i="60"/>
  <c r="BC218" i="60"/>
  <c r="BQ218" i="60"/>
  <c r="BU218" i="60"/>
  <c r="BB218" i="60"/>
  <c r="BM218" i="60"/>
  <c r="BF218" i="60"/>
  <c r="BD218" i="60"/>
  <c r="CG218" i="19"/>
  <c r="CF218" i="19"/>
  <c r="Q199" i="19"/>
  <c r="S199" i="19" s="1"/>
  <c r="O199" i="19"/>
  <c r="BP199" i="60"/>
  <c r="BD199" i="60"/>
  <c r="BN199" i="60"/>
  <c r="BS199" i="60"/>
  <c r="BT199" i="60"/>
  <c r="BM199" i="60"/>
  <c r="BO199" i="60"/>
  <c r="BQ199" i="60"/>
  <c r="BU199" i="60"/>
  <c r="BE199" i="60"/>
  <c r="BW199" i="60"/>
  <c r="BC199" i="60"/>
  <c r="BB199" i="60"/>
  <c r="BR199" i="60"/>
  <c r="BF199" i="60"/>
  <c r="CG199" i="19"/>
  <c r="CF199" i="19"/>
  <c r="BE186" i="60"/>
  <c r="BT186" i="60"/>
  <c r="BD186" i="60"/>
  <c r="BC186" i="60"/>
  <c r="BF186" i="60"/>
  <c r="BW186" i="60"/>
  <c r="BN186" i="60"/>
  <c r="BQ186" i="60"/>
  <c r="BR186" i="60"/>
  <c r="BB186" i="60"/>
  <c r="BS186" i="60"/>
  <c r="BO186" i="60"/>
  <c r="BU186" i="60"/>
  <c r="BP186" i="60"/>
  <c r="BM186" i="60"/>
  <c r="CF186" i="19"/>
  <c r="CG186" i="19"/>
  <c r="BB37" i="60"/>
  <c r="BT37" i="60"/>
  <c r="BO37" i="60"/>
  <c r="BN37" i="60"/>
  <c r="BQ37" i="60"/>
  <c r="BM37" i="60"/>
  <c r="BP37" i="60"/>
  <c r="BC37" i="60"/>
  <c r="BW37" i="60"/>
  <c r="BE37" i="60"/>
  <c r="BD37" i="60"/>
  <c r="BU37" i="60"/>
  <c r="BF37" i="60"/>
  <c r="BR37" i="60"/>
  <c r="BS37" i="60"/>
  <c r="CG37" i="19"/>
  <c r="CF37" i="19"/>
  <c r="O170" i="19"/>
  <c r="Q170" i="19"/>
  <c r="S170" i="19" s="1"/>
  <c r="CF170" i="19"/>
  <c r="CG170" i="19"/>
  <c r="BD170" i="60"/>
  <c r="BB170" i="60"/>
  <c r="BU170" i="60"/>
  <c r="BQ170" i="60"/>
  <c r="BC170" i="60"/>
  <c r="BF170" i="60"/>
  <c r="BS170" i="60"/>
  <c r="BO170" i="60"/>
  <c r="BN170" i="60"/>
  <c r="BW170" i="60"/>
  <c r="BR170" i="60"/>
  <c r="BE170" i="60"/>
  <c r="BM170" i="60"/>
  <c r="BT170" i="60"/>
  <c r="BP170" i="60"/>
  <c r="O76" i="19"/>
  <c r="Q76" i="19"/>
  <c r="S76" i="19" s="1"/>
  <c r="CF76" i="19"/>
  <c r="CG76" i="19"/>
  <c r="BM76" i="60"/>
  <c r="BW76" i="60"/>
  <c r="BT76" i="60"/>
  <c r="BB76" i="60"/>
  <c r="BE76" i="60"/>
  <c r="BF76" i="60"/>
  <c r="BU76" i="60"/>
  <c r="BQ76" i="60"/>
  <c r="BC76" i="60"/>
  <c r="BD76" i="60"/>
  <c r="BS76" i="60"/>
  <c r="BO76" i="60"/>
  <c r="BP76" i="60"/>
  <c r="BN76" i="60"/>
  <c r="BR76" i="60"/>
  <c r="Q38" i="19"/>
  <c r="S38" i="19" s="1"/>
  <c r="O38" i="19"/>
  <c r="CG38" i="19"/>
  <c r="CF38" i="19"/>
  <c r="BO38" i="60"/>
  <c r="BF38" i="60"/>
  <c r="BT38" i="60"/>
  <c r="BW38" i="60"/>
  <c r="BB38" i="60"/>
  <c r="BR38" i="60"/>
  <c r="BP38" i="60"/>
  <c r="BQ38" i="60"/>
  <c r="BM38" i="60"/>
  <c r="BC38" i="60"/>
  <c r="BE38" i="60"/>
  <c r="BS38" i="60"/>
  <c r="BN38" i="60"/>
  <c r="BD38" i="60"/>
  <c r="BU38" i="60"/>
  <c r="CG111" i="19"/>
  <c r="CF111" i="19"/>
  <c r="BN111" i="60"/>
  <c r="BD111" i="60"/>
  <c r="BO111" i="60"/>
  <c r="BF111" i="60"/>
  <c r="BS111" i="60"/>
  <c r="BQ111" i="60"/>
  <c r="BW111" i="60"/>
  <c r="BC111" i="60"/>
  <c r="BE111" i="60"/>
  <c r="BR111" i="60"/>
  <c r="BM111" i="60"/>
  <c r="BU111" i="60"/>
  <c r="BT111" i="60"/>
  <c r="BB111" i="60"/>
  <c r="BP111" i="60"/>
  <c r="CF114" i="19"/>
  <c r="CG114" i="19"/>
  <c r="BF114" i="60"/>
  <c r="BU114" i="60"/>
  <c r="BW114" i="60"/>
  <c r="BQ114" i="60"/>
  <c r="BB114" i="60"/>
  <c r="BP114" i="60"/>
  <c r="BO114" i="60"/>
  <c r="BT114" i="60"/>
  <c r="BE114" i="60"/>
  <c r="BC114" i="60"/>
  <c r="BD114" i="60"/>
  <c r="BS114" i="60"/>
  <c r="BM114" i="60"/>
  <c r="BR114" i="60"/>
  <c r="BN114" i="60"/>
  <c r="O201" i="19"/>
  <c r="Q201" i="19"/>
  <c r="S201" i="19" s="1"/>
  <c r="BQ201" i="60"/>
  <c r="BS201" i="60"/>
  <c r="BR201" i="60"/>
  <c r="BF201" i="60"/>
  <c r="BW201" i="60"/>
  <c r="BO201" i="60"/>
  <c r="BP201" i="60"/>
  <c r="BT201" i="60"/>
  <c r="BE201" i="60"/>
  <c r="BM201" i="60"/>
  <c r="BC201" i="60"/>
  <c r="BB201" i="60"/>
  <c r="BU201" i="60"/>
  <c r="BN201" i="60"/>
  <c r="BD201" i="60"/>
  <c r="CF201" i="19"/>
  <c r="CG201" i="19"/>
  <c r="BT187" i="60"/>
  <c r="BO187" i="60"/>
  <c r="BE187" i="60"/>
  <c r="BQ187" i="60"/>
  <c r="BF187" i="60"/>
  <c r="BB187" i="60"/>
  <c r="BU187" i="60"/>
  <c r="BD187" i="60"/>
  <c r="BM187" i="60"/>
  <c r="BN187" i="60"/>
  <c r="BW187" i="60"/>
  <c r="BC187" i="60"/>
  <c r="BP187" i="60"/>
  <c r="BR187" i="60"/>
  <c r="BS187" i="60"/>
  <c r="CG187" i="19"/>
  <c r="CF187" i="19"/>
  <c r="CG52" i="19"/>
  <c r="CF52" i="19"/>
  <c r="BN52" i="60"/>
  <c r="BF52" i="60"/>
  <c r="BE52" i="60"/>
  <c r="BQ52" i="60"/>
  <c r="BB52" i="60"/>
  <c r="BD52" i="60"/>
  <c r="BC52" i="60"/>
  <c r="BS52" i="60"/>
  <c r="BO52" i="60"/>
  <c r="BR52" i="60"/>
  <c r="BW52" i="60"/>
  <c r="BT52" i="60"/>
  <c r="BP52" i="60"/>
  <c r="BM52" i="60"/>
  <c r="BU52" i="60"/>
  <c r="Q43" i="19"/>
  <c r="S43" i="19" s="1"/>
  <c r="O43" i="19"/>
  <c r="CF43" i="19"/>
  <c r="CG43" i="19"/>
  <c r="BC43" i="60"/>
  <c r="BQ43" i="60"/>
  <c r="BR43" i="60"/>
  <c r="BN43" i="60"/>
  <c r="BB43" i="60"/>
  <c r="BE43" i="60"/>
  <c r="BS43" i="60"/>
  <c r="BO43" i="60"/>
  <c r="BD43" i="60"/>
  <c r="BW43" i="60"/>
  <c r="BM43" i="60"/>
  <c r="BT43" i="60"/>
  <c r="BP43" i="60"/>
  <c r="BU43" i="60"/>
  <c r="BF43" i="60"/>
  <c r="CF87" i="19"/>
  <c r="CG87" i="19"/>
  <c r="BQ87" i="60"/>
  <c r="BB87" i="60"/>
  <c r="BT87" i="60"/>
  <c r="BF87" i="60"/>
  <c r="BE87" i="60"/>
  <c r="BP87" i="60"/>
  <c r="BW87" i="60"/>
  <c r="BN87" i="60"/>
  <c r="BD87" i="60"/>
  <c r="BU87" i="60"/>
  <c r="BS87" i="60"/>
  <c r="BO87" i="60"/>
  <c r="BR87" i="60"/>
  <c r="BC87" i="60"/>
  <c r="BM87" i="60"/>
  <c r="CF115" i="19"/>
  <c r="CG115" i="19"/>
  <c r="BP115" i="60"/>
  <c r="BF115" i="60"/>
  <c r="BN115" i="60"/>
  <c r="BB115" i="60"/>
  <c r="BS115" i="60"/>
  <c r="BR115" i="60"/>
  <c r="BM115" i="60"/>
  <c r="BQ115" i="60"/>
  <c r="BC115" i="60"/>
  <c r="BW115" i="60"/>
  <c r="BO115" i="60"/>
  <c r="BU115" i="60"/>
  <c r="BT115" i="60"/>
  <c r="BD115" i="60"/>
  <c r="BE115" i="60"/>
  <c r="BQ226" i="60"/>
  <c r="BM226" i="60"/>
  <c r="BS226" i="60"/>
  <c r="BE226" i="60"/>
  <c r="BN226" i="60"/>
  <c r="BB226" i="60"/>
  <c r="BD226" i="60"/>
  <c r="BO226" i="60"/>
  <c r="BF226" i="60"/>
  <c r="BW226" i="60"/>
  <c r="BU226" i="60"/>
  <c r="BT226" i="60"/>
  <c r="BR226" i="60"/>
  <c r="BC226" i="60"/>
  <c r="BP226" i="60"/>
  <c r="BN160" i="60"/>
  <c r="BR160" i="60"/>
  <c r="BM160" i="60"/>
  <c r="BT160" i="60"/>
  <c r="BW160" i="60"/>
  <c r="BQ160" i="60"/>
  <c r="BB160" i="60"/>
  <c r="BC160" i="60"/>
  <c r="BU160" i="60"/>
  <c r="BD160" i="60"/>
  <c r="BP160" i="60"/>
  <c r="BE160" i="60"/>
  <c r="BS160" i="60"/>
  <c r="BF160" i="60"/>
  <c r="BO160" i="60"/>
  <c r="BC250" i="60"/>
  <c r="BM250" i="60"/>
  <c r="BE250" i="60"/>
  <c r="BU250" i="60"/>
  <c r="BW250" i="60"/>
  <c r="BP250" i="60"/>
  <c r="BQ250" i="60"/>
  <c r="BF250" i="60"/>
  <c r="BS250" i="60"/>
  <c r="BN250" i="60"/>
  <c r="BB250" i="60"/>
  <c r="BT250" i="60"/>
  <c r="BR250" i="60"/>
  <c r="BD250" i="60"/>
  <c r="BO250" i="60"/>
  <c r="BR217" i="60"/>
  <c r="BD217" i="60"/>
  <c r="BO217" i="60"/>
  <c r="BW217" i="60"/>
  <c r="BS217" i="60"/>
  <c r="BN217" i="60"/>
  <c r="BC217" i="60"/>
  <c r="BE217" i="60"/>
  <c r="BM217" i="60"/>
  <c r="BU217" i="60"/>
  <c r="BP217" i="60"/>
  <c r="BB217" i="60"/>
  <c r="BQ217" i="60"/>
  <c r="BT217" i="60"/>
  <c r="BF217" i="60"/>
  <c r="BN238" i="60"/>
  <c r="BE238" i="60"/>
  <c r="BS238" i="60"/>
  <c r="BR238" i="60"/>
  <c r="BM238" i="60"/>
  <c r="BD238" i="60"/>
  <c r="BO238" i="60"/>
  <c r="BC238" i="60"/>
  <c r="BW238" i="60"/>
  <c r="BQ238" i="60"/>
  <c r="BF238" i="60"/>
  <c r="BT238" i="60"/>
  <c r="BU238" i="60"/>
  <c r="BB238" i="60"/>
  <c r="BP238" i="60"/>
  <c r="BT204" i="60"/>
  <c r="BW204" i="60"/>
  <c r="BB204" i="60"/>
  <c r="BP204" i="60"/>
  <c r="BN204" i="60"/>
  <c r="BQ204" i="60"/>
  <c r="BF204" i="60"/>
  <c r="BC204" i="60"/>
  <c r="BR204" i="60"/>
  <c r="BU204" i="60"/>
  <c r="BS204" i="60"/>
  <c r="BD204" i="60"/>
  <c r="BM204" i="60"/>
  <c r="BE204" i="60"/>
  <c r="BO204" i="60"/>
  <c r="BQ243" i="60"/>
  <c r="BB243" i="60"/>
  <c r="BP243" i="60"/>
  <c r="BO243" i="60"/>
  <c r="BR243" i="60"/>
  <c r="BD243" i="60"/>
  <c r="BU243" i="60"/>
  <c r="BT243" i="60"/>
  <c r="BN243" i="60"/>
  <c r="BE243" i="60"/>
  <c r="BM243" i="60"/>
  <c r="BW243" i="60"/>
  <c r="BF243" i="60"/>
  <c r="BC243" i="60"/>
  <c r="BS243" i="60"/>
  <c r="BU149" i="60"/>
  <c r="BW149" i="60"/>
  <c r="BD149" i="60"/>
  <c r="BC149" i="60"/>
  <c r="BB149" i="60"/>
  <c r="BP149" i="60"/>
  <c r="BN149" i="60"/>
  <c r="BM149" i="60"/>
  <c r="BR149" i="60"/>
  <c r="BT149" i="60"/>
  <c r="BO149" i="60"/>
  <c r="BF149" i="60"/>
  <c r="BE149" i="60"/>
  <c r="BS149" i="60"/>
  <c r="BQ149" i="60"/>
  <c r="BQ128" i="60"/>
  <c r="BB128" i="60"/>
  <c r="BP128" i="60"/>
  <c r="BN128" i="60"/>
  <c r="BC128" i="60"/>
  <c r="BE128" i="60"/>
  <c r="BS128" i="60"/>
  <c r="BT128" i="60"/>
  <c r="BF128" i="60"/>
  <c r="BO128" i="60"/>
  <c r="BD128" i="60"/>
  <c r="BM128" i="60"/>
  <c r="BW128" i="60"/>
  <c r="BU128" i="60"/>
  <c r="BR128" i="60"/>
  <c r="BN72" i="60"/>
  <c r="BP72" i="60"/>
  <c r="BD72" i="60"/>
  <c r="BW72" i="60"/>
  <c r="BM72" i="60"/>
  <c r="BU72" i="60"/>
  <c r="BO72" i="60"/>
  <c r="BC72" i="60"/>
  <c r="BT72" i="60"/>
  <c r="BB72" i="60"/>
  <c r="BF72" i="60"/>
  <c r="BQ72" i="60"/>
  <c r="BS72" i="60"/>
  <c r="BE72" i="60"/>
  <c r="BR72" i="60"/>
  <c r="BN16" i="60"/>
  <c r="BS16" i="60"/>
  <c r="BE16" i="60"/>
  <c r="BB16" i="60"/>
  <c r="BW16" i="60"/>
  <c r="BT16" i="60"/>
  <c r="BF16" i="60"/>
  <c r="BU16" i="60"/>
  <c r="BP16" i="60"/>
  <c r="BM16" i="60"/>
  <c r="BD16" i="60"/>
  <c r="BO16" i="60"/>
  <c r="BC16" i="60"/>
  <c r="BQ16" i="60"/>
  <c r="BR16" i="60"/>
  <c r="BP112" i="60"/>
  <c r="BR112" i="60"/>
  <c r="BM112" i="60"/>
  <c r="BC112" i="60"/>
  <c r="BD112" i="60"/>
  <c r="BW112" i="60"/>
  <c r="BF112" i="60"/>
  <c r="BU112" i="60"/>
  <c r="BS112" i="60"/>
  <c r="BT112" i="60"/>
  <c r="BB112" i="60"/>
  <c r="BO112" i="60"/>
  <c r="BN112" i="60"/>
  <c r="BQ112" i="60"/>
  <c r="BE112" i="60"/>
  <c r="BB140" i="60"/>
  <c r="BD140" i="60"/>
  <c r="BF140" i="60"/>
  <c r="BT140" i="60"/>
  <c r="BE140" i="60"/>
  <c r="BP140" i="60"/>
  <c r="BC140" i="60"/>
  <c r="BR140" i="60"/>
  <c r="BS140" i="60"/>
  <c r="BW140" i="60"/>
  <c r="BM140" i="60"/>
  <c r="BO140" i="60"/>
  <c r="BU140" i="60"/>
  <c r="BN140" i="60"/>
  <c r="BQ140" i="60"/>
  <c r="BP197" i="60"/>
  <c r="BN197" i="60"/>
  <c r="BQ197" i="60"/>
  <c r="BF197" i="60"/>
  <c r="BR197" i="60"/>
  <c r="BB197" i="60"/>
  <c r="BE197" i="60"/>
  <c r="BS197" i="60"/>
  <c r="BW197" i="60"/>
  <c r="BU197" i="60"/>
  <c r="BD197" i="60"/>
  <c r="BO197" i="60"/>
  <c r="BT197" i="60"/>
  <c r="BM197" i="60"/>
  <c r="BC197" i="60"/>
  <c r="BP60" i="60"/>
  <c r="BU60" i="60"/>
  <c r="BW60" i="60"/>
  <c r="BM60" i="60"/>
  <c r="BR60" i="60"/>
  <c r="BT60" i="60"/>
  <c r="BS60" i="60"/>
  <c r="BD60" i="60"/>
  <c r="BO60" i="60"/>
  <c r="BC60" i="60"/>
  <c r="BN60" i="60"/>
  <c r="BB60" i="60"/>
  <c r="BQ60" i="60"/>
  <c r="BF60" i="60"/>
  <c r="BE60" i="60"/>
  <c r="BU34" i="60"/>
  <c r="BP34" i="60"/>
  <c r="BM34" i="60"/>
  <c r="BW34" i="60"/>
  <c r="BD34" i="60"/>
  <c r="BB34" i="60"/>
  <c r="BS34" i="60"/>
  <c r="BF34" i="60"/>
  <c r="BQ34" i="60"/>
  <c r="BC34" i="60"/>
  <c r="BT34" i="60"/>
  <c r="BE34" i="60"/>
  <c r="BR34" i="60"/>
  <c r="BO34" i="60"/>
  <c r="BN34" i="60"/>
  <c r="BN148" i="60"/>
  <c r="BE148" i="60"/>
  <c r="BB148" i="60"/>
  <c r="BR148" i="60"/>
  <c r="BO148" i="60"/>
  <c r="BU148" i="60"/>
  <c r="BT148" i="60"/>
  <c r="BS148" i="60"/>
  <c r="BQ148" i="60"/>
  <c r="BF148" i="60"/>
  <c r="BW148" i="60"/>
  <c r="BM148" i="60"/>
  <c r="BP148" i="60"/>
  <c r="BC148" i="60"/>
  <c r="BD148" i="60"/>
  <c r="BF214" i="60"/>
  <c r="BO214" i="60"/>
  <c r="BC214" i="60"/>
  <c r="BU214" i="60"/>
  <c r="BR214" i="60"/>
  <c r="BQ214" i="60"/>
  <c r="BP214" i="60"/>
  <c r="BD214" i="60"/>
  <c r="BW214" i="60"/>
  <c r="BM214" i="60"/>
  <c r="BE214" i="60"/>
  <c r="BB214" i="60"/>
  <c r="BS214" i="60"/>
  <c r="BN214" i="60"/>
  <c r="BT214" i="60"/>
  <c r="BR47" i="60"/>
  <c r="BO47" i="60"/>
  <c r="BN47" i="60"/>
  <c r="BS47" i="60"/>
  <c r="BP47" i="60"/>
  <c r="BU47" i="60"/>
  <c r="BF47" i="60"/>
  <c r="BM47" i="60"/>
  <c r="BC47" i="60"/>
  <c r="BT47" i="60"/>
  <c r="BE47" i="60"/>
  <c r="BB47" i="60"/>
  <c r="BQ47" i="60"/>
  <c r="BD47" i="60"/>
  <c r="BW47" i="60"/>
  <c r="BQ88" i="60"/>
  <c r="BT88" i="60"/>
  <c r="BD88" i="60"/>
  <c r="BU88" i="60"/>
  <c r="BO88" i="60"/>
  <c r="BC88" i="60"/>
  <c r="BP88" i="60"/>
  <c r="BE88" i="60"/>
  <c r="BM88" i="60"/>
  <c r="BF88" i="60"/>
  <c r="BS88" i="60"/>
  <c r="BW88" i="60"/>
  <c r="BR88" i="60"/>
  <c r="BN88" i="60"/>
  <c r="BB88" i="60"/>
  <c r="BW116" i="60"/>
  <c r="BO116" i="60"/>
  <c r="BT116" i="60"/>
  <c r="BS116" i="60"/>
  <c r="BP116" i="60"/>
  <c r="BM116" i="60"/>
  <c r="BE116" i="60"/>
  <c r="BB116" i="60"/>
  <c r="BU116" i="60"/>
  <c r="BN116" i="60"/>
  <c r="BF116" i="60"/>
  <c r="BR116" i="60"/>
  <c r="BQ116" i="60"/>
  <c r="BC116" i="60"/>
  <c r="BD116" i="60"/>
  <c r="BP171" i="60"/>
  <c r="BM171" i="60"/>
  <c r="BR171" i="60"/>
  <c r="BU171" i="60"/>
  <c r="BO171" i="60"/>
  <c r="BD171" i="60"/>
  <c r="BB171" i="60"/>
  <c r="BE171" i="60"/>
  <c r="BS171" i="60"/>
  <c r="BW171" i="60"/>
  <c r="BT171" i="60"/>
  <c r="BC171" i="60"/>
  <c r="BN171" i="60"/>
  <c r="BQ171" i="60"/>
  <c r="BF171" i="60"/>
  <c r="BU165" i="60"/>
  <c r="BE165" i="60"/>
  <c r="BM165" i="60"/>
  <c r="BO165" i="60"/>
  <c r="BS165" i="60"/>
  <c r="BC165" i="60"/>
  <c r="BQ165" i="60"/>
  <c r="BF165" i="60"/>
  <c r="BB165" i="60"/>
  <c r="BR165" i="60"/>
  <c r="BT165" i="60"/>
  <c r="BD165" i="60"/>
  <c r="BN165" i="60"/>
  <c r="BW165" i="60"/>
  <c r="BP165" i="60"/>
  <c r="BN162" i="60"/>
  <c r="BU162" i="60"/>
  <c r="BT162" i="60"/>
  <c r="BB162" i="60"/>
  <c r="BW162" i="60"/>
  <c r="BF162" i="60"/>
  <c r="BQ162" i="60"/>
  <c r="BE162" i="60"/>
  <c r="BC162" i="60"/>
  <c r="BO162" i="60"/>
  <c r="BP162" i="60"/>
  <c r="BS162" i="60"/>
  <c r="BR162" i="60"/>
  <c r="BM162" i="60"/>
  <c r="BD162" i="60"/>
  <c r="BP223" i="60"/>
  <c r="BN223" i="60"/>
  <c r="BC223" i="60"/>
  <c r="BS223" i="60"/>
  <c r="BE223" i="60"/>
  <c r="BB223" i="60"/>
  <c r="BQ223" i="60"/>
  <c r="BO223" i="60"/>
  <c r="BM223" i="60"/>
  <c r="BU223" i="60"/>
  <c r="BR223" i="60"/>
  <c r="BF223" i="60"/>
  <c r="BD223" i="60"/>
  <c r="BW223" i="60"/>
  <c r="BT223" i="60"/>
  <c r="BQ242" i="60"/>
  <c r="BT242" i="60"/>
  <c r="BD242" i="60"/>
  <c r="BF242" i="60"/>
  <c r="BP242" i="60"/>
  <c r="BE242" i="60"/>
  <c r="BB242" i="60"/>
  <c r="BN242" i="60"/>
  <c r="BS242" i="60"/>
  <c r="BW242" i="60"/>
  <c r="BR242" i="60"/>
  <c r="BO242" i="60"/>
  <c r="BC242" i="60"/>
  <c r="BM242" i="60"/>
  <c r="BU242" i="60"/>
  <c r="BN215" i="60"/>
  <c r="BD215" i="60"/>
  <c r="BO215" i="60"/>
  <c r="BU215" i="60"/>
  <c r="BB215" i="60"/>
  <c r="BT215" i="60"/>
  <c r="BE215" i="60"/>
  <c r="BW215" i="60"/>
  <c r="BR215" i="60"/>
  <c r="BQ215" i="60"/>
  <c r="BS215" i="60"/>
  <c r="BP215" i="60"/>
  <c r="BF215" i="60"/>
  <c r="BC215" i="60"/>
  <c r="BM215" i="60"/>
  <c r="BM245" i="60"/>
  <c r="BU245" i="60"/>
  <c r="BT245" i="60"/>
  <c r="BF245" i="60"/>
  <c r="BR245" i="60"/>
  <c r="BB245" i="60"/>
  <c r="BO245" i="60"/>
  <c r="BN245" i="60"/>
  <c r="BQ245" i="60"/>
  <c r="BC245" i="60"/>
  <c r="BS245" i="60"/>
  <c r="BD245" i="60"/>
  <c r="BP245" i="60"/>
  <c r="BW245" i="60"/>
  <c r="BE245" i="60"/>
  <c r="BT198" i="60"/>
  <c r="BO198" i="60"/>
  <c r="BC198" i="60"/>
  <c r="BQ198" i="60"/>
  <c r="BW198" i="60"/>
  <c r="BP198" i="60"/>
  <c r="BS198" i="60"/>
  <c r="BD198" i="60"/>
  <c r="BB198" i="60"/>
  <c r="BF198" i="60"/>
  <c r="BM198" i="60"/>
  <c r="BU198" i="60"/>
  <c r="BE198" i="60"/>
  <c r="BR198" i="60"/>
  <c r="BN198" i="60"/>
  <c r="BR30" i="60"/>
  <c r="BD30" i="60"/>
  <c r="BU30" i="60"/>
  <c r="BF30" i="60"/>
  <c r="BQ30" i="60"/>
  <c r="BT30" i="60"/>
  <c r="BB30" i="60"/>
  <c r="BN30" i="60"/>
  <c r="BP30" i="60"/>
  <c r="BC30" i="60"/>
  <c r="BW30" i="60"/>
  <c r="BS30" i="60"/>
  <c r="BM30" i="60"/>
  <c r="BE30" i="60"/>
  <c r="BO30" i="60"/>
  <c r="BN32" i="60"/>
  <c r="BB32" i="60"/>
  <c r="BD32" i="60"/>
  <c r="BU32" i="60"/>
  <c r="BQ32" i="60"/>
  <c r="BP32" i="60"/>
  <c r="BS32" i="60"/>
  <c r="BT32" i="60"/>
  <c r="BO32" i="60"/>
  <c r="BF32" i="60"/>
  <c r="BE32" i="60"/>
  <c r="BM32" i="60"/>
  <c r="BC32" i="60"/>
  <c r="BR32" i="60"/>
  <c r="BW32" i="60"/>
  <c r="BN41" i="60"/>
  <c r="BD41" i="60"/>
  <c r="BQ41" i="60"/>
  <c r="BT41" i="60"/>
  <c r="BC41" i="60"/>
  <c r="BE41" i="60"/>
  <c r="BO41" i="60"/>
  <c r="BS41" i="60"/>
  <c r="BR41" i="60"/>
  <c r="BP41" i="60"/>
  <c r="BF41" i="60"/>
  <c r="BM41" i="60"/>
  <c r="BW41" i="60"/>
  <c r="BU41" i="60"/>
  <c r="BB41" i="60"/>
  <c r="BB14" i="60"/>
  <c r="BC14" i="60"/>
  <c r="BF14" i="60"/>
  <c r="BE14" i="60"/>
  <c r="BD14" i="60"/>
  <c r="BN213" i="60"/>
  <c r="BW213" i="60"/>
  <c r="BE213" i="60"/>
  <c r="BM213" i="60"/>
  <c r="BC213" i="60"/>
  <c r="BT213" i="60"/>
  <c r="BQ213" i="60"/>
  <c r="BU213" i="60"/>
  <c r="BS213" i="60"/>
  <c r="BD213" i="60"/>
  <c r="BR213" i="60"/>
  <c r="BF213" i="60"/>
  <c r="BP213" i="60"/>
  <c r="BB213" i="60"/>
  <c r="BO213" i="60"/>
  <c r="BN92" i="60"/>
  <c r="BF92" i="60"/>
  <c r="BB92" i="60"/>
  <c r="BD92" i="60"/>
  <c r="BM92" i="60"/>
  <c r="BW92" i="60"/>
  <c r="BT92" i="60"/>
  <c r="BS92" i="60"/>
  <c r="BP92" i="60"/>
  <c r="BO92" i="60"/>
  <c r="BC92" i="60"/>
  <c r="BU92" i="60"/>
  <c r="BQ92" i="60"/>
  <c r="BE92" i="60"/>
  <c r="BR92" i="60"/>
  <c r="BE106" i="60"/>
  <c r="BP106" i="60"/>
  <c r="BF106" i="60"/>
  <c r="BR106" i="60"/>
  <c r="BT106" i="60"/>
  <c r="BU106" i="60"/>
  <c r="BO106" i="60"/>
  <c r="BC106" i="60"/>
  <c r="BB106" i="60"/>
  <c r="BN106" i="60"/>
  <c r="BM106" i="60"/>
  <c r="BQ106" i="60"/>
  <c r="BW106" i="60"/>
  <c r="BS106" i="60"/>
  <c r="BD106" i="60"/>
  <c r="BF132" i="60"/>
  <c r="BD132" i="60"/>
  <c r="BO132" i="60"/>
  <c r="BB132" i="60"/>
  <c r="BC132" i="60"/>
  <c r="BN132" i="60"/>
  <c r="BT132" i="60"/>
  <c r="BS132" i="60"/>
  <c r="BW132" i="60"/>
  <c r="BP132" i="60"/>
  <c r="BU132" i="60"/>
  <c r="BM132" i="60"/>
  <c r="BR132" i="60"/>
  <c r="BE132" i="60"/>
  <c r="BQ132" i="60"/>
  <c r="BT57" i="60"/>
  <c r="BE57" i="60"/>
  <c r="BF57" i="60"/>
  <c r="BN57" i="60"/>
  <c r="BC57" i="60"/>
  <c r="BU57" i="60"/>
  <c r="BD57" i="60"/>
  <c r="BP57" i="60"/>
  <c r="BB57" i="60"/>
  <c r="BQ57" i="60"/>
  <c r="BW57" i="60"/>
  <c r="BO57" i="60"/>
  <c r="BM57" i="60"/>
  <c r="BS57" i="60"/>
  <c r="BR57" i="60"/>
  <c r="BQ200" i="60"/>
  <c r="BS200" i="60"/>
  <c r="BP200" i="60"/>
  <c r="BF200" i="60"/>
  <c r="BC200" i="60"/>
  <c r="BB200" i="60"/>
  <c r="BD200" i="60"/>
  <c r="BO200" i="60"/>
  <c r="BR200" i="60"/>
  <c r="BW200" i="60"/>
  <c r="BU200" i="60"/>
  <c r="BT200" i="60"/>
  <c r="BM200" i="60"/>
  <c r="BE200" i="60"/>
  <c r="BN200" i="60"/>
  <c r="BE62" i="60"/>
  <c r="BF62" i="60"/>
  <c r="BC62" i="60"/>
  <c r="BD62" i="60"/>
  <c r="BW62" i="60"/>
  <c r="BM62" i="60"/>
  <c r="BP62" i="60"/>
  <c r="BU62" i="60"/>
  <c r="BN62" i="60"/>
  <c r="BT62" i="60"/>
  <c r="BS62" i="60"/>
  <c r="BQ62" i="60"/>
  <c r="BR62" i="60"/>
  <c r="BO62" i="60"/>
  <c r="BB62" i="60"/>
  <c r="BT45" i="60"/>
  <c r="BO45" i="60"/>
  <c r="BF45" i="60"/>
  <c r="BM45" i="60"/>
  <c r="BN45" i="60"/>
  <c r="BB45" i="60"/>
  <c r="BQ45" i="60"/>
  <c r="BR45" i="60"/>
  <c r="BD45" i="60"/>
  <c r="BP45" i="60"/>
  <c r="BC45" i="60"/>
  <c r="BE45" i="60"/>
  <c r="BU45" i="60"/>
  <c r="BS45" i="60"/>
  <c r="BW45" i="60"/>
  <c r="BQ173" i="60"/>
  <c r="BC173" i="60"/>
  <c r="BP173" i="60"/>
  <c r="BF173" i="60"/>
  <c r="BT173" i="60"/>
  <c r="BN173" i="60"/>
  <c r="BW173" i="60"/>
  <c r="BM173" i="60"/>
  <c r="BR173" i="60"/>
  <c r="BO173" i="60"/>
  <c r="BB173" i="60"/>
  <c r="BD173" i="60"/>
  <c r="BU173" i="60"/>
  <c r="BS173" i="60"/>
  <c r="BE173" i="60"/>
  <c r="BU78" i="60"/>
  <c r="BC78" i="60"/>
  <c r="BD78" i="60"/>
  <c r="BQ78" i="60"/>
  <c r="BW78" i="60"/>
  <c r="BR78" i="60"/>
  <c r="BP78" i="60"/>
  <c r="BM78" i="60"/>
  <c r="BS78" i="60"/>
  <c r="BT78" i="60"/>
  <c r="BF78" i="60"/>
  <c r="BO78" i="60"/>
  <c r="BB78" i="60"/>
  <c r="BE78" i="60"/>
  <c r="BN78" i="60"/>
  <c r="BF51" i="60"/>
  <c r="BN51" i="60"/>
  <c r="BW51" i="60"/>
  <c r="BS51" i="60"/>
  <c r="BB51" i="60"/>
  <c r="BC51" i="60"/>
  <c r="BD51" i="60"/>
  <c r="BT51" i="60"/>
  <c r="BP51" i="60"/>
  <c r="BM51" i="60"/>
  <c r="BU51" i="60"/>
  <c r="BR51" i="60"/>
  <c r="BO51" i="60"/>
  <c r="BE51" i="60"/>
  <c r="BQ51" i="60"/>
  <c r="BM89" i="60"/>
  <c r="BS89" i="60"/>
  <c r="BN89" i="60"/>
  <c r="BW89" i="60"/>
  <c r="BT89" i="60"/>
  <c r="BF89" i="60"/>
  <c r="BR89" i="60"/>
  <c r="BU89" i="60"/>
  <c r="BE89" i="60"/>
  <c r="BB89" i="60"/>
  <c r="BC89" i="60"/>
  <c r="BP89" i="60"/>
  <c r="BO89" i="60"/>
  <c r="BQ89" i="60"/>
  <c r="BD89" i="60"/>
  <c r="BO129" i="60"/>
  <c r="BQ129" i="60"/>
  <c r="BM129" i="60"/>
  <c r="BW129" i="60"/>
  <c r="BU129" i="60"/>
  <c r="BR129" i="60"/>
  <c r="BT129" i="60"/>
  <c r="BS129" i="60"/>
  <c r="BB129" i="60"/>
  <c r="BN129" i="60"/>
  <c r="BP129" i="60"/>
  <c r="BF129" i="60"/>
  <c r="BE129" i="60"/>
  <c r="BC129" i="60"/>
  <c r="BD129" i="60"/>
  <c r="BR172" i="60"/>
  <c r="BO172" i="60"/>
  <c r="BE172" i="60"/>
  <c r="BD172" i="60"/>
  <c r="BM172" i="60"/>
  <c r="BB172" i="60"/>
  <c r="BC172" i="60"/>
  <c r="BS172" i="60"/>
  <c r="BQ172" i="60"/>
  <c r="BT172" i="60"/>
  <c r="BF172" i="60"/>
  <c r="BU172" i="60"/>
  <c r="BP172" i="60"/>
  <c r="BW172" i="60"/>
  <c r="BN172" i="60"/>
  <c r="BU177" i="60"/>
  <c r="BE177" i="60"/>
  <c r="BP177" i="60"/>
  <c r="BW177" i="60"/>
  <c r="BM177" i="60"/>
  <c r="BC177" i="60"/>
  <c r="BS177" i="60"/>
  <c r="BD177" i="60"/>
  <c r="BQ177" i="60"/>
  <c r="BN177" i="60"/>
  <c r="BB177" i="60"/>
  <c r="BF177" i="60"/>
  <c r="BO177" i="60"/>
  <c r="BT177" i="60"/>
  <c r="BR177" i="60"/>
  <c r="BF189" i="60"/>
  <c r="BD189" i="60"/>
  <c r="BP189" i="60"/>
  <c r="BS189" i="60"/>
  <c r="BU189" i="60"/>
  <c r="BO189" i="60"/>
  <c r="BT189" i="60"/>
  <c r="BE189" i="60"/>
  <c r="BN189" i="60"/>
  <c r="BM189" i="60"/>
  <c r="BC189" i="60"/>
  <c r="BQ189" i="60"/>
  <c r="BB189" i="60"/>
  <c r="BR189" i="60"/>
  <c r="BW189" i="60"/>
  <c r="BF255" i="60"/>
  <c r="BN255" i="60"/>
  <c r="BD255" i="60"/>
  <c r="BO255" i="60"/>
  <c r="BM255" i="60"/>
  <c r="BB255" i="60"/>
  <c r="BT255" i="60"/>
  <c r="BC255" i="60"/>
  <c r="BE255" i="60"/>
  <c r="BR255" i="60"/>
  <c r="BU255" i="60"/>
  <c r="BP255" i="60"/>
  <c r="BQ255" i="60"/>
  <c r="BW255" i="60"/>
  <c r="BS255" i="60"/>
  <c r="BS244" i="60"/>
  <c r="BW244" i="60"/>
  <c r="BO244" i="60"/>
  <c r="BQ244" i="60"/>
  <c r="BN244" i="60"/>
  <c r="BP244" i="60"/>
  <c r="BU244" i="60"/>
  <c r="BB244" i="60"/>
  <c r="BC244" i="60"/>
  <c r="BF244" i="60"/>
  <c r="BD244" i="60"/>
  <c r="BM244" i="60"/>
  <c r="BE244" i="60"/>
  <c r="BT244" i="60"/>
  <c r="BR244" i="60"/>
  <c r="BN225" i="60"/>
  <c r="BF225" i="60"/>
  <c r="BD225" i="60"/>
  <c r="BP225" i="60"/>
  <c r="BB225" i="60"/>
  <c r="BU225" i="60"/>
  <c r="BS225" i="60"/>
  <c r="BC225" i="60"/>
  <c r="BR225" i="60"/>
  <c r="BE225" i="60"/>
  <c r="BT225" i="60"/>
  <c r="BQ225" i="60"/>
  <c r="BW225" i="60"/>
  <c r="BO225" i="60"/>
  <c r="BM225" i="60"/>
  <c r="BW233" i="60"/>
  <c r="BR233" i="60"/>
  <c r="BF233" i="60"/>
  <c r="BQ233" i="60"/>
  <c r="BS233" i="60"/>
  <c r="BB233" i="60"/>
  <c r="BO233" i="60"/>
  <c r="BC233" i="60"/>
  <c r="BU233" i="60"/>
  <c r="BE233" i="60"/>
  <c r="BT233" i="60"/>
  <c r="BD233" i="60"/>
  <c r="BM233" i="60"/>
  <c r="BP233" i="60"/>
  <c r="BN233" i="60"/>
  <c r="BD22" i="60"/>
  <c r="BR22" i="60"/>
  <c r="BW22" i="60"/>
  <c r="BN22" i="60"/>
  <c r="BQ22" i="60"/>
  <c r="BM22" i="60"/>
  <c r="BB22" i="60"/>
  <c r="BO22" i="60"/>
  <c r="BT22" i="60"/>
  <c r="BF22" i="60"/>
  <c r="BU22" i="60"/>
  <c r="BE22" i="60"/>
  <c r="BC22" i="60"/>
  <c r="BS22" i="60"/>
  <c r="BP22" i="60"/>
  <c r="BU26" i="60"/>
  <c r="BP26" i="60"/>
  <c r="BN26" i="60"/>
  <c r="BR26" i="60"/>
  <c r="BF26" i="60"/>
  <c r="BW26" i="60"/>
  <c r="BD26" i="60"/>
  <c r="BM26" i="60"/>
  <c r="BB26" i="60"/>
  <c r="BE26" i="60"/>
  <c r="BQ26" i="60"/>
  <c r="BC26" i="60"/>
  <c r="BO26" i="60"/>
  <c r="BS26" i="60"/>
  <c r="BT26" i="60"/>
  <c r="BF143" i="60"/>
  <c r="BQ143" i="60"/>
  <c r="BT143" i="60"/>
  <c r="BW143" i="60"/>
  <c r="BB143" i="60"/>
  <c r="BD143" i="60"/>
  <c r="BU143" i="60"/>
  <c r="BN143" i="60"/>
  <c r="BR143" i="60"/>
  <c r="BC143" i="60"/>
  <c r="BO143" i="60"/>
  <c r="BP143" i="60"/>
  <c r="BS143" i="60"/>
  <c r="BE143" i="60"/>
  <c r="BM143" i="60"/>
  <c r="BT82" i="60"/>
  <c r="BM82" i="60"/>
  <c r="BO82" i="60"/>
  <c r="BC82" i="60"/>
  <c r="BB82" i="60"/>
  <c r="BP82" i="60"/>
  <c r="BD82" i="60"/>
  <c r="BW82" i="60"/>
  <c r="BN82" i="60"/>
  <c r="BS82" i="60"/>
  <c r="BQ82" i="60"/>
  <c r="BE82" i="60"/>
  <c r="BU82" i="60"/>
  <c r="BF82" i="60"/>
  <c r="BR82" i="60"/>
  <c r="BU99" i="60"/>
  <c r="BW99" i="60"/>
  <c r="BN99" i="60"/>
  <c r="BQ99" i="60"/>
  <c r="BR99" i="60"/>
  <c r="BO99" i="60"/>
  <c r="BD99" i="60"/>
  <c r="BS99" i="60"/>
  <c r="BC99" i="60"/>
  <c r="BE99" i="60"/>
  <c r="BT99" i="60"/>
  <c r="BF99" i="60"/>
  <c r="BB99" i="60"/>
  <c r="BM99" i="60"/>
  <c r="BP99" i="60"/>
  <c r="BE8" i="60"/>
  <c r="BD8" i="60"/>
  <c r="BB8" i="60"/>
  <c r="BF8" i="60"/>
  <c r="BC8" i="60"/>
  <c r="BB105" i="60"/>
  <c r="BP105" i="60"/>
  <c r="BF105" i="60"/>
  <c r="BD105" i="60"/>
  <c r="BE105" i="60"/>
  <c r="BM105" i="60"/>
  <c r="BT105" i="60"/>
  <c r="BC105" i="60"/>
  <c r="BR105" i="60"/>
  <c r="BO105" i="60"/>
  <c r="BQ105" i="60"/>
  <c r="BN105" i="60"/>
  <c r="BU105" i="60"/>
  <c r="BS105" i="60"/>
  <c r="BW105" i="60"/>
  <c r="BU107" i="60"/>
  <c r="BP107" i="60"/>
  <c r="BM107" i="60"/>
  <c r="BW107" i="60"/>
  <c r="BO107" i="60"/>
  <c r="BD107" i="60"/>
  <c r="BF107" i="60"/>
  <c r="BN107" i="60"/>
  <c r="BB107" i="60"/>
  <c r="BE107" i="60"/>
  <c r="BR107" i="60"/>
  <c r="BT107" i="60"/>
  <c r="BS107" i="60"/>
  <c r="BC107" i="60"/>
  <c r="BQ107" i="60"/>
  <c r="BB153" i="60"/>
  <c r="BQ153" i="60"/>
  <c r="BN153" i="60"/>
  <c r="BC153" i="60"/>
  <c r="BE153" i="60"/>
  <c r="BM153" i="60"/>
  <c r="BO153" i="60"/>
  <c r="BW153" i="60"/>
  <c r="BU153" i="60"/>
  <c r="BP153" i="60"/>
  <c r="BD153" i="60"/>
  <c r="BT153" i="60"/>
  <c r="BF153" i="60"/>
  <c r="BS153" i="60"/>
  <c r="BR153" i="60"/>
  <c r="BB68" i="60"/>
  <c r="BM68" i="60"/>
  <c r="BW68" i="60"/>
  <c r="BS68" i="60"/>
  <c r="BO68" i="60"/>
  <c r="BD68" i="60"/>
  <c r="BT68" i="60"/>
  <c r="BQ68" i="60"/>
  <c r="BN68" i="60"/>
  <c r="BP68" i="60"/>
  <c r="BR68" i="60"/>
  <c r="BC68" i="60"/>
  <c r="BU68" i="60"/>
  <c r="BE68" i="60"/>
  <c r="BF68" i="60"/>
  <c r="BP118" i="60"/>
  <c r="BU118" i="60"/>
  <c r="BW118" i="60"/>
  <c r="BD118" i="60"/>
  <c r="BN118" i="60"/>
  <c r="BF118" i="60"/>
  <c r="BC118" i="60"/>
  <c r="BR118" i="60"/>
  <c r="BT118" i="60"/>
  <c r="BQ118" i="60"/>
  <c r="BM118" i="60"/>
  <c r="BE118" i="60"/>
  <c r="BS118" i="60"/>
  <c r="BO118" i="60"/>
  <c r="BB118" i="60"/>
  <c r="BT70" i="60"/>
  <c r="BD70" i="60"/>
  <c r="BE70" i="60"/>
  <c r="BO70" i="60"/>
  <c r="BQ70" i="60"/>
  <c r="BF70" i="60"/>
  <c r="BW70" i="60"/>
  <c r="BS70" i="60"/>
  <c r="BR70" i="60"/>
  <c r="BB70" i="60"/>
  <c r="BP70" i="60"/>
  <c r="BN70" i="60"/>
  <c r="BM70" i="60"/>
  <c r="BC70" i="60"/>
  <c r="BU70" i="60"/>
  <c r="BB54" i="60"/>
  <c r="BM54" i="60"/>
  <c r="BS54" i="60"/>
  <c r="BD54" i="60"/>
  <c r="BN54" i="60"/>
  <c r="BC54" i="60"/>
  <c r="BU54" i="60"/>
  <c r="BT54" i="60"/>
  <c r="BE54" i="60"/>
  <c r="BO54" i="60"/>
  <c r="BR54" i="60"/>
  <c r="BQ54" i="60"/>
  <c r="BP54" i="60"/>
  <c r="BF54" i="60"/>
  <c r="BW54" i="60"/>
  <c r="BD166" i="60"/>
  <c r="BQ166" i="60"/>
  <c r="BP166" i="60"/>
  <c r="BF166" i="60"/>
  <c r="BM166" i="60"/>
  <c r="BT166" i="60"/>
  <c r="BO166" i="60"/>
  <c r="BC166" i="60"/>
  <c r="BE166" i="60"/>
  <c r="BR166" i="60"/>
  <c r="BU166" i="60"/>
  <c r="BW166" i="60"/>
  <c r="BB166" i="60"/>
  <c r="BN166" i="60"/>
  <c r="BS166" i="60"/>
  <c r="BS80" i="60"/>
  <c r="BT80" i="60"/>
  <c r="BM80" i="60"/>
  <c r="BR80" i="60"/>
  <c r="BC80" i="60"/>
  <c r="BO80" i="60"/>
  <c r="BW80" i="60"/>
  <c r="BN80" i="60"/>
  <c r="BE80" i="60"/>
  <c r="BD80" i="60"/>
  <c r="BQ80" i="60"/>
  <c r="BU80" i="60"/>
  <c r="BF80" i="60"/>
  <c r="BP80" i="60"/>
  <c r="BB80" i="60"/>
  <c r="BR55" i="60"/>
  <c r="BF55" i="60"/>
  <c r="BC55" i="60"/>
  <c r="BQ55" i="60"/>
  <c r="BW55" i="60"/>
  <c r="BU55" i="60"/>
  <c r="BS55" i="60"/>
  <c r="BM55" i="60"/>
  <c r="BO55" i="60"/>
  <c r="BE55" i="60"/>
  <c r="BB55" i="60"/>
  <c r="BN55" i="60"/>
  <c r="BT55" i="60"/>
  <c r="BP55" i="60"/>
  <c r="BD55" i="60"/>
  <c r="BC122" i="60"/>
  <c r="BP122" i="60"/>
  <c r="BM122" i="60"/>
  <c r="BT122" i="60"/>
  <c r="BN122" i="60"/>
  <c r="BU122" i="60"/>
  <c r="BD122" i="60"/>
  <c r="BQ122" i="60"/>
  <c r="BS122" i="60"/>
  <c r="BW122" i="60"/>
  <c r="BB122" i="60"/>
  <c r="BR122" i="60"/>
  <c r="BO122" i="60"/>
  <c r="BE122" i="60"/>
  <c r="BF122" i="60"/>
  <c r="BQ142" i="60"/>
  <c r="BD142" i="60"/>
  <c r="BC142" i="60"/>
  <c r="BO142" i="60"/>
  <c r="BM142" i="60"/>
  <c r="BR142" i="60"/>
  <c r="BB142" i="60"/>
  <c r="BW142" i="60"/>
  <c r="BS142" i="60"/>
  <c r="BP142" i="60"/>
  <c r="BU142" i="60"/>
  <c r="BF142" i="60"/>
  <c r="BE142" i="60"/>
  <c r="BN142" i="60"/>
  <c r="BT142" i="60"/>
  <c r="BO188" i="60"/>
  <c r="BN188" i="60"/>
  <c r="BM188" i="60"/>
  <c r="BF188" i="60"/>
  <c r="BC188" i="60"/>
  <c r="BS188" i="60"/>
  <c r="BW188" i="60"/>
  <c r="BT188" i="60"/>
  <c r="BR188" i="60"/>
  <c r="BD188" i="60"/>
  <c r="BU188" i="60"/>
  <c r="BP188" i="60"/>
  <c r="BQ188" i="60"/>
  <c r="BE188" i="60"/>
  <c r="BB188" i="60"/>
  <c r="BU195" i="60"/>
  <c r="BM195" i="60"/>
  <c r="BE195" i="60"/>
  <c r="BR195" i="60"/>
  <c r="BS195" i="60"/>
  <c r="BD195" i="60"/>
  <c r="BC195" i="60"/>
  <c r="BO195" i="60"/>
  <c r="BP195" i="60"/>
  <c r="BT195" i="60"/>
  <c r="BF195" i="60"/>
  <c r="BQ195" i="60"/>
  <c r="BW195" i="60"/>
  <c r="BN195" i="60"/>
  <c r="BB195" i="60"/>
  <c r="BN210" i="60"/>
  <c r="BC210" i="60"/>
  <c r="BM210" i="60"/>
  <c r="BU210" i="60"/>
  <c r="BF210" i="60"/>
  <c r="BO210" i="60"/>
  <c r="BE210" i="60"/>
  <c r="BT210" i="60"/>
  <c r="BD210" i="60"/>
  <c r="BS210" i="60"/>
  <c r="BB210" i="60"/>
  <c r="BW210" i="60"/>
  <c r="BP210" i="60"/>
  <c r="BQ210" i="60"/>
  <c r="BR210" i="60"/>
  <c r="BF144" i="60"/>
  <c r="BD144" i="60"/>
  <c r="BT144" i="60"/>
  <c r="BU144" i="60"/>
  <c r="BM144" i="60"/>
  <c r="BP144" i="60"/>
  <c r="BN144" i="60"/>
  <c r="BE144" i="60"/>
  <c r="BQ144" i="60"/>
  <c r="BO144" i="60"/>
  <c r="BR144" i="60"/>
  <c r="BC144" i="60"/>
  <c r="BB144" i="60"/>
  <c r="BS144" i="60"/>
  <c r="BW144" i="60"/>
  <c r="BU248" i="60"/>
  <c r="BB248" i="60"/>
  <c r="BP248" i="60"/>
  <c r="BW248" i="60"/>
  <c r="BT248" i="60"/>
  <c r="BM248" i="60"/>
  <c r="BS248" i="60"/>
  <c r="BN248" i="60"/>
  <c r="BO248" i="60"/>
  <c r="BC248" i="60"/>
  <c r="BF248" i="60"/>
  <c r="BQ248" i="60"/>
  <c r="BD248" i="60"/>
  <c r="BR248" i="60"/>
  <c r="BE248" i="60"/>
  <c r="BP240" i="60"/>
  <c r="BM240" i="60"/>
  <c r="BC240" i="60"/>
  <c r="BQ240" i="60"/>
  <c r="BR240" i="60"/>
  <c r="BE240" i="60"/>
  <c r="BW240" i="60"/>
  <c r="BO240" i="60"/>
  <c r="BT240" i="60"/>
  <c r="BB240" i="60"/>
  <c r="BD240" i="60"/>
  <c r="BS240" i="60"/>
  <c r="BF240" i="60"/>
  <c r="BN240" i="60"/>
  <c r="BU240" i="60"/>
  <c r="BB239" i="60"/>
  <c r="BO239" i="60"/>
  <c r="BQ239" i="60"/>
  <c r="BF239" i="60"/>
  <c r="BE239" i="60"/>
  <c r="BU239" i="60"/>
  <c r="BP239" i="60"/>
  <c r="BW239" i="60"/>
  <c r="BC239" i="60"/>
  <c r="BM239" i="60"/>
  <c r="BR239" i="60"/>
  <c r="BT239" i="60"/>
  <c r="BS239" i="60"/>
  <c r="BN239" i="60"/>
  <c r="BD239" i="60"/>
  <c r="CG192" i="19"/>
  <c r="CF192" i="19"/>
  <c r="BB192" i="60"/>
  <c r="BF192" i="60"/>
  <c r="BW192" i="60"/>
  <c r="BN192" i="60"/>
  <c r="BD192" i="60"/>
  <c r="BU192" i="60"/>
  <c r="BO192" i="60"/>
  <c r="BP192" i="60"/>
  <c r="BS192" i="60"/>
  <c r="BQ192" i="60"/>
  <c r="BR192" i="60"/>
  <c r="BC192" i="60"/>
  <c r="BM192" i="60"/>
  <c r="BE192" i="60"/>
  <c r="BT192" i="60"/>
  <c r="BS27" i="60"/>
  <c r="BP27" i="60"/>
  <c r="BC27" i="60"/>
  <c r="BW27" i="60"/>
  <c r="BQ27" i="60"/>
  <c r="BN27" i="60"/>
  <c r="BE27" i="60"/>
  <c r="BM27" i="60"/>
  <c r="BB27" i="60"/>
  <c r="BT27" i="60"/>
  <c r="BU27" i="60"/>
  <c r="BR27" i="60"/>
  <c r="BD27" i="60"/>
  <c r="BF27" i="60"/>
  <c r="BO27" i="60"/>
  <c r="CF27" i="19"/>
  <c r="CG27" i="19"/>
  <c r="CF108" i="19"/>
  <c r="CG108" i="19"/>
  <c r="BP108" i="60"/>
  <c r="BO108" i="60"/>
  <c r="BC108" i="60"/>
  <c r="BW108" i="60"/>
  <c r="BS108" i="60"/>
  <c r="BN108" i="60"/>
  <c r="BM108" i="60"/>
  <c r="BU108" i="60"/>
  <c r="BR108" i="60"/>
  <c r="BB108" i="60"/>
  <c r="BT108" i="60"/>
  <c r="BE108" i="60"/>
  <c r="BQ108" i="60"/>
  <c r="BD108" i="60"/>
  <c r="BF108" i="60"/>
  <c r="CF232" i="19"/>
  <c r="CG232" i="19"/>
  <c r="BW232" i="60"/>
  <c r="BS232" i="60"/>
  <c r="BE232" i="60"/>
  <c r="BD232" i="60"/>
  <c r="BC232" i="60"/>
  <c r="BB232" i="60"/>
  <c r="BT232" i="60"/>
  <c r="BF232" i="60"/>
  <c r="BO232" i="60"/>
  <c r="BQ232" i="60"/>
  <c r="BR232" i="60"/>
  <c r="BN232" i="60"/>
  <c r="BM232" i="60"/>
  <c r="BP232" i="60"/>
  <c r="BU232" i="60"/>
  <c r="BE249" i="60"/>
  <c r="BO249" i="60"/>
  <c r="BF249" i="60"/>
  <c r="BW249" i="60"/>
  <c r="BU249" i="60"/>
  <c r="BS249" i="60"/>
  <c r="BN249" i="60"/>
  <c r="BM249" i="60"/>
  <c r="BB249" i="60"/>
  <c r="BR249" i="60"/>
  <c r="BP249" i="60"/>
  <c r="BC249" i="60"/>
  <c r="BQ249" i="60"/>
  <c r="BT249" i="60"/>
  <c r="BD249" i="60"/>
  <c r="CG249" i="19"/>
  <c r="CF249" i="19"/>
  <c r="CF206" i="19"/>
  <c r="CG206" i="19"/>
  <c r="BO206" i="60"/>
  <c r="BN206" i="60"/>
  <c r="BC206" i="60"/>
  <c r="BW206" i="60"/>
  <c r="BP206" i="60"/>
  <c r="BF206" i="60"/>
  <c r="BR206" i="60"/>
  <c r="BE206" i="60"/>
  <c r="BD206" i="60"/>
  <c r="BU206" i="60"/>
  <c r="BS206" i="60"/>
  <c r="BB206" i="60"/>
  <c r="BQ206" i="60"/>
  <c r="BM206" i="60"/>
  <c r="BT206" i="60"/>
  <c r="O95" i="19"/>
  <c r="Q95" i="19"/>
  <c r="S95" i="19" s="1"/>
  <c r="BS95" i="60"/>
  <c r="BN95" i="60"/>
  <c r="BR95" i="60"/>
  <c r="BQ95" i="60"/>
  <c r="BT95" i="60"/>
  <c r="BM95" i="60"/>
  <c r="BC95" i="60"/>
  <c r="BO95" i="60"/>
  <c r="BF95" i="60"/>
  <c r="BW95" i="60"/>
  <c r="BE95" i="60"/>
  <c r="BD95" i="60"/>
  <c r="BP95" i="60"/>
  <c r="BU95" i="60"/>
  <c r="BB95" i="60"/>
  <c r="CG95" i="19"/>
  <c r="CF95" i="19"/>
  <c r="CF130" i="19"/>
  <c r="CG130" i="19"/>
  <c r="BO130" i="60"/>
  <c r="BW130" i="60"/>
  <c r="BP130" i="60"/>
  <c r="BC130" i="60"/>
  <c r="BF130" i="60"/>
  <c r="BT130" i="60"/>
  <c r="BE130" i="60"/>
  <c r="BN130" i="60"/>
  <c r="BR130" i="60"/>
  <c r="BD130" i="60"/>
  <c r="BB130" i="60"/>
  <c r="BM130" i="60"/>
  <c r="BU130" i="60"/>
  <c r="BQ130" i="60"/>
  <c r="BS130" i="60"/>
  <c r="BF6" i="60"/>
  <c r="BD6" i="60"/>
  <c r="BC6" i="60"/>
  <c r="BB6" i="60"/>
  <c r="BE6" i="60"/>
  <c r="CG6" i="19"/>
  <c r="CF6" i="19"/>
  <c r="F6" i="19"/>
  <c r="N6" i="19"/>
  <c r="BZ6" i="60" a="1"/>
  <c r="BX229" i="29" a="1"/>
  <c r="T229" i="29"/>
  <c r="BX79" i="29" a="1"/>
  <c r="T79" i="29"/>
  <c r="BX185" i="29" a="1"/>
  <c r="T185" i="29"/>
  <c r="BX198" i="29" a="1"/>
  <c r="T198" i="29"/>
  <c r="BX143" i="29" a="1"/>
  <c r="T143" i="29"/>
  <c r="T53" i="29"/>
  <c r="BX53" i="29" a="1"/>
  <c r="T224" i="29"/>
  <c r="BX224" i="29" a="1"/>
  <c r="BX75" i="29" a="1"/>
  <c r="T75" i="29"/>
  <c r="BX44" i="29" a="1"/>
  <c r="T44" i="29"/>
  <c r="T254" i="29"/>
  <c r="BX254" i="29" a="1"/>
  <c r="BX253" i="29" a="1"/>
  <c r="T253" i="29"/>
  <c r="T193" i="29"/>
  <c r="BX193" i="29" a="1"/>
  <c r="BX82" i="29" a="1"/>
  <c r="T82" i="29"/>
  <c r="BX27" i="29" a="1"/>
  <c r="T27" i="29"/>
  <c r="BX159" i="29" a="1"/>
  <c r="T159" i="29"/>
  <c r="BX120" i="29" a="1"/>
  <c r="T120" i="29"/>
  <c r="T228" i="29"/>
  <c r="BX228" i="29" a="1"/>
  <c r="BX42" i="29" a="1"/>
  <c r="T42" i="29"/>
  <c r="BX218" i="29" a="1"/>
  <c r="T218" i="29"/>
  <c r="BX191" i="29" a="1"/>
  <c r="T191" i="29"/>
  <c r="T192" i="29"/>
  <c r="BX192" i="29" a="1"/>
  <c r="T14" i="29"/>
  <c r="BX14" i="29" a="1"/>
  <c r="BX24" i="29" a="1"/>
  <c r="T24" i="29"/>
  <c r="BX212" i="29" a="1"/>
  <c r="T212" i="29"/>
  <c r="BX18" i="29" a="1"/>
  <c r="T18" i="29"/>
  <c r="BX129" i="29" a="1"/>
  <c r="T129" i="29"/>
  <c r="BX168" i="29" a="1"/>
  <c r="T168" i="29"/>
  <c r="BX213" i="29" a="1"/>
  <c r="T213" i="29"/>
  <c r="BW6" i="60"/>
  <c r="T64" i="29"/>
  <c r="BX64" i="29" a="1"/>
  <c r="T32" i="29"/>
  <c r="BX32" i="29" a="1"/>
  <c r="T146" i="29"/>
  <c r="BX146" i="29" a="1"/>
  <c r="T149" i="29"/>
  <c r="BX149" i="29" a="1"/>
  <c r="T63" i="29"/>
  <c r="BX63" i="29" a="1"/>
  <c r="T167" i="29"/>
  <c r="BX167" i="29" a="1"/>
  <c r="T197" i="29"/>
  <c r="BX197" i="29" a="1"/>
  <c r="T88" i="29"/>
  <c r="BX88" i="29" a="1"/>
  <c r="T36" i="29"/>
  <c r="BX36" i="29" a="1"/>
  <c r="T102" i="29"/>
  <c r="BX102" i="29" a="1"/>
  <c r="T116" i="29"/>
  <c r="BX116" i="29" a="1"/>
  <c r="T21" i="29"/>
  <c r="BX21" i="29" a="1"/>
  <c r="T195" i="29"/>
  <c r="BX195" i="29" a="1"/>
  <c r="T207" i="29"/>
  <c r="BX207" i="29" a="1"/>
  <c r="T239" i="29"/>
  <c r="BX239" i="29" a="1"/>
  <c r="T186" i="29"/>
  <c r="BX186" i="29" a="1"/>
  <c r="T73" i="29"/>
  <c r="BX73" i="29" a="1"/>
  <c r="T164" i="29"/>
  <c r="BX164" i="29" a="1"/>
  <c r="T181" i="29"/>
  <c r="BX181" i="29" a="1"/>
  <c r="T126" i="29"/>
  <c r="BX126" i="29" a="1"/>
  <c r="T132" i="29"/>
  <c r="BX132" i="29" a="1"/>
  <c r="T68" i="29"/>
  <c r="BX68" i="29" a="1"/>
  <c r="T31" i="29"/>
  <c r="BX31" i="29" a="1"/>
  <c r="T189" i="29"/>
  <c r="BX189" i="29" a="1"/>
  <c r="T170" i="29"/>
  <c r="BX170" i="29" a="1"/>
  <c r="T108" i="29"/>
  <c r="BX108" i="29" a="1"/>
  <c r="T217" i="29"/>
  <c r="BX217" i="29" a="1"/>
  <c r="T49" i="29"/>
  <c r="BX49" i="29" a="1"/>
  <c r="T177" i="29"/>
  <c r="BX177" i="29" a="1"/>
  <c r="T182" i="29"/>
  <c r="BX182" i="29" a="1"/>
  <c r="T106" i="29"/>
  <c r="BX106" i="29" a="1"/>
  <c r="T238" i="29"/>
  <c r="BX238" i="29" a="1"/>
  <c r="T202" i="29"/>
  <c r="BX202" i="29" a="1"/>
  <c r="T115" i="29"/>
  <c r="BX115" i="29" a="1"/>
  <c r="T48" i="29"/>
  <c r="BX48" i="29" a="1"/>
  <c r="T40" i="29"/>
  <c r="BX40" i="29" a="1"/>
  <c r="T113" i="29"/>
  <c r="BX113" i="29" a="1"/>
  <c r="T98" i="29"/>
  <c r="BX98" i="29" a="1"/>
  <c r="T55" i="29"/>
  <c r="BX55" i="29" a="1"/>
  <c r="T71" i="29"/>
  <c r="BX71" i="29" a="1"/>
  <c r="T204" i="29"/>
  <c r="BX204" i="29" a="1"/>
  <c r="T250" i="29"/>
  <c r="BX250" i="29" a="1"/>
  <c r="T134" i="29"/>
  <c r="T93" i="29"/>
  <c r="T67" i="29"/>
  <c r="T103" i="29"/>
  <c r="T169" i="29"/>
  <c r="T90" i="29"/>
  <c r="T76" i="29"/>
  <c r="T222" i="29"/>
  <c r="T69" i="29"/>
  <c r="T147" i="29"/>
  <c r="T155" i="29"/>
  <c r="T66" i="29"/>
  <c r="T78" i="29"/>
  <c r="T171" i="29"/>
  <c r="T22" i="29"/>
  <c r="T77" i="29"/>
  <c r="T183" i="29"/>
  <c r="T91" i="29"/>
  <c r="T131" i="29"/>
  <c r="T46" i="29"/>
  <c r="T97" i="29"/>
  <c r="T54" i="29"/>
  <c r="T95" i="29"/>
  <c r="T35" i="29"/>
  <c r="T221" i="29"/>
  <c r="T247" i="29"/>
  <c r="T176" i="29"/>
  <c r="T161" i="29"/>
  <c r="T230" i="29"/>
  <c r="T62" i="29"/>
  <c r="T87" i="29"/>
  <c r="T150" i="29"/>
  <c r="T74" i="29"/>
  <c r="T101" i="29"/>
  <c r="T252" i="29"/>
  <c r="T83" i="29"/>
  <c r="T45" i="29"/>
  <c r="T58" i="29"/>
  <c r="T111" i="29"/>
  <c r="T145" i="29"/>
  <c r="T86" i="29"/>
  <c r="T128" i="29"/>
  <c r="T39" i="29"/>
  <c r="T100" i="29"/>
  <c r="T119" i="29"/>
  <c r="T114" i="29"/>
  <c r="T152" i="29"/>
  <c r="T85" i="29"/>
  <c r="T105" i="29"/>
  <c r="T38" i="29"/>
  <c r="T110" i="29"/>
  <c r="T26" i="29"/>
  <c r="T57" i="29"/>
  <c r="T162" i="29"/>
  <c r="T13" i="29"/>
  <c r="BX13" i="29" a="1"/>
  <c r="T234" i="29"/>
  <c r="BX234" i="29" a="1"/>
  <c r="T227" i="29"/>
  <c r="BX227" i="29" a="1"/>
  <c r="T61" i="29"/>
  <c r="BX61" i="29" a="1"/>
  <c r="T122" i="29"/>
  <c r="BX122" i="29" a="1"/>
  <c r="T51" i="29"/>
  <c r="BX51" i="29" a="1"/>
  <c r="T33" i="29"/>
  <c r="BX33" i="29" a="1"/>
  <c r="T245" i="29"/>
  <c r="BX245" i="29" a="1"/>
  <c r="B19" i="31"/>
  <c r="E23" i="3"/>
  <c r="Q217" i="19" l="1"/>
  <c r="S217" i="19" s="1"/>
  <c r="O217" i="19"/>
  <c r="Q50" i="19"/>
  <c r="S50" i="19" s="1"/>
  <c r="O50" i="19"/>
  <c r="O109" i="19"/>
  <c r="Q109" i="19"/>
  <c r="S109" i="19" s="1"/>
  <c r="Q37" i="19"/>
  <c r="S37" i="19" s="1"/>
  <c r="O37" i="19"/>
  <c r="T11" i="29"/>
  <c r="BX11" i="29" a="1"/>
  <c r="BY9" i="29" a="1"/>
  <c r="CD9" i="29" s="1"/>
  <c r="O9" i="29" s="1"/>
  <c r="BZ9" i="29" a="1"/>
  <c r="CE9" i="29" s="1"/>
  <c r="CB9" i="29" a="1"/>
  <c r="CG9" i="29" s="1"/>
  <c r="S9" i="29" s="1"/>
  <c r="CA9" i="29" a="1"/>
  <c r="CF9" i="29" s="1"/>
  <c r="Q9" i="29" s="1"/>
  <c r="H200" i="19"/>
  <c r="Q19" i="19"/>
  <c r="S19" i="19" s="1"/>
  <c r="O19" i="19"/>
  <c r="O122" i="19"/>
  <c r="Q122" i="19"/>
  <c r="S122" i="19" s="1"/>
  <c r="H207" i="19"/>
  <c r="Q120" i="19"/>
  <c r="S120" i="19" s="1"/>
  <c r="O120" i="19"/>
  <c r="BW14" i="60"/>
  <c r="BW15" i="60"/>
  <c r="O111" i="19"/>
  <c r="Q111" i="19"/>
  <c r="S111" i="19" s="1"/>
  <c r="Q183" i="19"/>
  <c r="S183" i="19" s="1"/>
  <c r="O183" i="19"/>
  <c r="Q203" i="19"/>
  <c r="S203" i="19" s="1"/>
  <c r="O203" i="19"/>
  <c r="CB13" i="29" a="1"/>
  <c r="CG13" i="29" s="1"/>
  <c r="S13" i="29" s="1"/>
  <c r="BK14" i="60" s="1"/>
  <c r="CA13" i="29" a="1"/>
  <c r="CF13" i="29" s="1"/>
  <c r="Q13" i="29" s="1"/>
  <c r="BJ14" i="60" s="1"/>
  <c r="BZ13" i="29" a="1"/>
  <c r="BY13" i="29" a="1"/>
  <c r="CD13" i="29" s="1"/>
  <c r="O13" i="29" s="1"/>
  <c r="BY14" i="29" a="1"/>
  <c r="CD14" i="29" s="1"/>
  <c r="O14" i="29" s="1"/>
  <c r="BZ14" i="29" a="1"/>
  <c r="CA14" i="29" a="1"/>
  <c r="CF14" i="29" s="1"/>
  <c r="Q14" i="29" s="1"/>
  <c r="BJ15" i="60" s="1"/>
  <c r="CB14" i="29" a="1"/>
  <c r="CG14" i="29" s="1"/>
  <c r="S14" i="29" s="1"/>
  <c r="BK15" i="60" s="1"/>
  <c r="Q101" i="19"/>
  <c r="S101" i="19" s="1"/>
  <c r="O101" i="19"/>
  <c r="CC12" i="29"/>
  <c r="Q164" i="19"/>
  <c r="S164" i="19" s="1"/>
  <c r="O164" i="19"/>
  <c r="BX10" i="29" a="1"/>
  <c r="T10" i="29"/>
  <c r="Q211" i="19"/>
  <c r="S211" i="19" s="1"/>
  <c r="O211" i="19"/>
  <c r="BW13" i="60"/>
  <c r="Q46" i="19"/>
  <c r="S46" i="19" s="1"/>
  <c r="O46" i="19"/>
  <c r="Q123" i="19"/>
  <c r="S123" i="19" s="1"/>
  <c r="O123" i="19"/>
  <c r="O117" i="19"/>
  <c r="Q117" i="19"/>
  <c r="S117" i="19" s="1"/>
  <c r="CA8" i="29" a="1"/>
  <c r="CF8" i="29" s="1"/>
  <c r="Q8" i="29" s="1"/>
  <c r="BY8" i="29" a="1"/>
  <c r="CD8" i="29" s="1"/>
  <c r="O8" i="29" s="1"/>
  <c r="CB8" i="29" a="1"/>
  <c r="CG8" i="29" s="1"/>
  <c r="S8" i="29" s="1"/>
  <c r="BZ8" i="29" a="1"/>
  <c r="H70" i="19"/>
  <c r="Q107" i="19"/>
  <c r="S107" i="19" s="1"/>
  <c r="O107" i="19"/>
  <c r="Q31" i="19"/>
  <c r="S31" i="19" s="1"/>
  <c r="O31" i="19"/>
  <c r="O96" i="19"/>
  <c r="Q96" i="19"/>
  <c r="S96" i="19" s="1"/>
  <c r="H226" i="19"/>
  <c r="O150" i="19"/>
  <c r="Q150" i="19"/>
  <c r="S150" i="19" s="1"/>
  <c r="O159" i="19"/>
  <c r="Q159" i="19"/>
  <c r="S159" i="19" s="1"/>
  <c r="Q250" i="19"/>
  <c r="S250" i="19" s="1"/>
  <c r="O250" i="19"/>
  <c r="O36" i="19"/>
  <c r="Q36" i="19"/>
  <c r="S36" i="19" s="1"/>
  <c r="O87" i="19"/>
  <c r="Q87" i="19"/>
  <c r="S87" i="19" s="1"/>
  <c r="BW12" i="60"/>
  <c r="Q238" i="19"/>
  <c r="S238" i="19" s="1"/>
  <c r="O238" i="19"/>
  <c r="O204" i="19"/>
  <c r="Q204" i="19"/>
  <c r="S204" i="19" s="1"/>
  <c r="O243" i="19"/>
  <c r="Q243" i="19"/>
  <c r="S243" i="19" s="1"/>
  <c r="Q169" i="19"/>
  <c r="S169" i="19" s="1"/>
  <c r="O169" i="19"/>
  <c r="O149" i="19"/>
  <c r="Q149" i="19"/>
  <c r="S149" i="19" s="1"/>
  <c r="O98" i="19"/>
  <c r="Q98" i="19"/>
  <c r="S98" i="19" s="1"/>
  <c r="O128" i="19"/>
  <c r="Q128" i="19"/>
  <c r="S128" i="19" s="1"/>
  <c r="O94" i="19"/>
  <c r="Q94" i="19"/>
  <c r="S94" i="19" s="1"/>
  <c r="Q189" i="19"/>
  <c r="S189" i="19" s="1"/>
  <c r="O189" i="19"/>
  <c r="H128" i="19"/>
  <c r="O79" i="19"/>
  <c r="Q79" i="19"/>
  <c r="S79" i="19" s="1"/>
  <c r="O72" i="19"/>
  <c r="Q72" i="19"/>
  <c r="S72" i="19" s="1"/>
  <c r="O233" i="19"/>
  <c r="Q233" i="19"/>
  <c r="S233" i="19" s="1"/>
  <c r="O126" i="19"/>
  <c r="Q126" i="19"/>
  <c r="S126" i="19" s="1"/>
  <c r="BW10" i="60"/>
  <c r="Q222" i="19"/>
  <c r="S222" i="19" s="1"/>
  <c r="O222" i="19"/>
  <c r="Q156" i="19"/>
  <c r="S156" i="19" s="1"/>
  <c r="O156" i="19"/>
  <c r="O102" i="19"/>
  <c r="Q102" i="19"/>
  <c r="S102" i="19" s="1"/>
  <c r="Q71" i="19"/>
  <c r="S71" i="19" s="1"/>
  <c r="O71" i="19"/>
  <c r="O29" i="19"/>
  <c r="Q29" i="19"/>
  <c r="S29" i="19" s="1"/>
  <c r="Q93" i="19"/>
  <c r="S93" i="19" s="1"/>
  <c r="O93" i="19"/>
  <c r="BY6" i="29" a="1"/>
  <c r="CD6" i="29" s="1"/>
  <c r="O6" i="29" s="1"/>
  <c r="BZ6" i="29" a="1"/>
  <c r="CE6" i="29" s="1"/>
  <c r="CB6" i="29" a="1"/>
  <c r="CG6" i="29" s="1"/>
  <c r="S6" i="29" s="1"/>
  <c r="CA6" i="29" a="1"/>
  <c r="CF6" i="29" s="1"/>
  <c r="Q6" i="29" s="1"/>
  <c r="Q112" i="19"/>
  <c r="S112" i="19" s="1"/>
  <c r="O112" i="19"/>
  <c r="Q99" i="19"/>
  <c r="S99" i="19" s="1"/>
  <c r="O99" i="19"/>
  <c r="Q45" i="19"/>
  <c r="S45" i="19" s="1"/>
  <c r="O45" i="19"/>
  <c r="Q145" i="19"/>
  <c r="S145" i="19" s="1"/>
  <c r="O145" i="19"/>
  <c r="H172" i="19"/>
  <c r="Q33" i="19"/>
  <c r="S33" i="19" s="1"/>
  <c r="O33" i="19"/>
  <c r="O20" i="19"/>
  <c r="Q20" i="19"/>
  <c r="S20" i="19" s="1"/>
  <c r="O177" i="19"/>
  <c r="Q177" i="19"/>
  <c r="S177" i="19" s="1"/>
  <c r="H240" i="19"/>
  <c r="O221" i="19"/>
  <c r="Q221" i="19"/>
  <c r="S221" i="19" s="1"/>
  <c r="Q252" i="19"/>
  <c r="S252" i="19" s="1"/>
  <c r="O252" i="19"/>
  <c r="O51" i="19"/>
  <c r="Q51" i="19"/>
  <c r="S51" i="19" s="1"/>
  <c r="Q73" i="19"/>
  <c r="S73" i="19" s="1"/>
  <c r="O73" i="19"/>
  <c r="O139" i="19"/>
  <c r="Q139" i="19"/>
  <c r="S139" i="19" s="1"/>
  <c r="Q206" i="19"/>
  <c r="S206" i="19" s="1"/>
  <c r="O206" i="19"/>
  <c r="Q192" i="19"/>
  <c r="S192" i="19" s="1"/>
  <c r="O192" i="19"/>
  <c r="Q80" i="19"/>
  <c r="S80" i="19" s="1"/>
  <c r="O80" i="19"/>
  <c r="BW8" i="60"/>
  <c r="H173" i="19"/>
  <c r="O134" i="19"/>
  <c r="Q134" i="19"/>
  <c r="S134" i="19" s="1"/>
  <c r="O135" i="19"/>
  <c r="Q135" i="19"/>
  <c r="S135" i="19" s="1"/>
  <c r="Q89" i="19"/>
  <c r="S89" i="19" s="1"/>
  <c r="O89" i="19"/>
  <c r="O172" i="19"/>
  <c r="Q172" i="19"/>
  <c r="S172" i="19" s="1"/>
  <c r="O69" i="19"/>
  <c r="Q69" i="19"/>
  <c r="S69" i="19" s="1"/>
  <c r="Q251" i="19"/>
  <c r="S251" i="19" s="1"/>
  <c r="O251" i="19"/>
  <c r="O220" i="19"/>
  <c r="Q220" i="19"/>
  <c r="S220" i="19" s="1"/>
  <c r="Q165" i="19"/>
  <c r="S165" i="19" s="1"/>
  <c r="O165" i="19"/>
  <c r="O32" i="19"/>
  <c r="Q32" i="19"/>
  <c r="S32" i="19" s="1"/>
  <c r="Q92" i="19"/>
  <c r="S92" i="19" s="1"/>
  <c r="O92" i="19"/>
  <c r="Q78" i="19"/>
  <c r="S78" i="19" s="1"/>
  <c r="O78" i="19"/>
  <c r="O133" i="19"/>
  <c r="Q133" i="19"/>
  <c r="S133" i="19" s="1"/>
  <c r="O209" i="19"/>
  <c r="Q209" i="19"/>
  <c r="S209" i="19" s="1"/>
  <c r="Q40" i="19"/>
  <c r="S40" i="19" s="1"/>
  <c r="O40" i="19"/>
  <c r="O229" i="19"/>
  <c r="Q229" i="19"/>
  <c r="S229" i="19" s="1"/>
  <c r="O104" i="19"/>
  <c r="Q104" i="19"/>
  <c r="S104" i="19" s="1"/>
  <c r="H131" i="19"/>
  <c r="H138" i="19"/>
  <c r="H178" i="19"/>
  <c r="O17" i="19"/>
  <c r="Q17" i="19"/>
  <c r="S17" i="19" s="1"/>
  <c r="O182" i="19"/>
  <c r="Q182" i="19"/>
  <c r="S182" i="19" s="1"/>
  <c r="O103" i="19"/>
  <c r="Q103" i="19"/>
  <c r="S103" i="19" s="1"/>
  <c r="O246" i="19"/>
  <c r="Q246" i="19"/>
  <c r="S246" i="19" s="1"/>
  <c r="Q202" i="19"/>
  <c r="S202" i="19" s="1"/>
  <c r="O202" i="19"/>
  <c r="O216" i="19"/>
  <c r="Q216" i="19"/>
  <c r="S216" i="19" s="1"/>
  <c r="O63" i="19"/>
  <c r="Q63" i="19"/>
  <c r="S63" i="19" s="1"/>
  <c r="Q155" i="19"/>
  <c r="S155" i="19" s="1"/>
  <c r="O155" i="19"/>
  <c r="O49" i="19"/>
  <c r="Q49" i="19"/>
  <c r="S49" i="19" s="1"/>
  <c r="Q179" i="19"/>
  <c r="S179" i="19" s="1"/>
  <c r="O179" i="19"/>
  <c r="O224" i="19"/>
  <c r="Q224" i="19"/>
  <c r="S224" i="19" s="1"/>
  <c r="O227" i="19"/>
  <c r="Q227" i="19"/>
  <c r="S227" i="19" s="1"/>
  <c r="O66" i="19"/>
  <c r="Q66" i="19"/>
  <c r="S66" i="19" s="1"/>
  <c r="O162" i="19"/>
  <c r="Q162" i="19"/>
  <c r="S162" i="19" s="1"/>
  <c r="Q196" i="19"/>
  <c r="S196" i="19" s="1"/>
  <c r="O196" i="19"/>
  <c r="Q60" i="19"/>
  <c r="S60" i="19" s="1"/>
  <c r="O60" i="19"/>
  <c r="O27" i="19"/>
  <c r="Q27" i="19"/>
  <c r="S27" i="19" s="1"/>
  <c r="O108" i="19"/>
  <c r="Q108" i="19"/>
  <c r="S108" i="19" s="1"/>
  <c r="O232" i="19"/>
  <c r="Q232" i="19"/>
  <c r="S232" i="19" s="1"/>
  <c r="O249" i="19"/>
  <c r="Q249" i="19"/>
  <c r="S249" i="19" s="1"/>
  <c r="O131" i="19"/>
  <c r="Q131" i="19"/>
  <c r="S131" i="19" s="1"/>
  <c r="Q207" i="19"/>
  <c r="S207" i="19" s="1"/>
  <c r="O207" i="19"/>
  <c r="O208" i="19"/>
  <c r="Q208" i="19"/>
  <c r="S208" i="19" s="1"/>
  <c r="Q84" i="19"/>
  <c r="S84" i="19" s="1"/>
  <c r="O84" i="19"/>
  <c r="Q157" i="19"/>
  <c r="S157" i="19" s="1"/>
  <c r="O157" i="19"/>
  <c r="Q147" i="19"/>
  <c r="S147" i="19" s="1"/>
  <c r="O147" i="19"/>
  <c r="Q180" i="19"/>
  <c r="S180" i="19" s="1"/>
  <c r="O180" i="19"/>
  <c r="Q141" i="19"/>
  <c r="S141" i="19" s="1"/>
  <c r="O141" i="19"/>
  <c r="Q178" i="19"/>
  <c r="S178" i="19" s="1"/>
  <c r="O178" i="19"/>
  <c r="Q181" i="19"/>
  <c r="S181" i="19" s="1"/>
  <c r="O181" i="19"/>
  <c r="O100" i="19"/>
  <c r="Q100" i="19"/>
  <c r="S100" i="19" s="1"/>
  <c r="O214" i="19"/>
  <c r="Q214" i="19"/>
  <c r="S214" i="19" s="1"/>
  <c r="O240" i="19"/>
  <c r="Q240" i="19"/>
  <c r="S240" i="19" s="1"/>
  <c r="B27" i="31"/>
  <c r="O124" i="19"/>
  <c r="Q124" i="19"/>
  <c r="S124" i="19" s="1"/>
  <c r="O158" i="19"/>
  <c r="Q158" i="19"/>
  <c r="S158" i="19" s="1"/>
  <c r="O168" i="19"/>
  <c r="Q168" i="19"/>
  <c r="S168" i="19" s="1"/>
  <c r="Q81" i="19"/>
  <c r="S81" i="19" s="1"/>
  <c r="O81" i="19"/>
  <c r="O236" i="19"/>
  <c r="Q236" i="19"/>
  <c r="S236" i="19" s="1"/>
  <c r="Q58" i="19"/>
  <c r="S58" i="19" s="1"/>
  <c r="O58" i="19"/>
  <c r="Q127" i="19"/>
  <c r="S127" i="19" s="1"/>
  <c r="O127" i="19"/>
  <c r="O205" i="19"/>
  <c r="Q205" i="19"/>
  <c r="S205" i="19" s="1"/>
  <c r="O59" i="19"/>
  <c r="Q59" i="19"/>
  <c r="S59" i="19" s="1"/>
  <c r="Q61" i="19"/>
  <c r="S61" i="19" s="1"/>
  <c r="O61" i="19"/>
  <c r="O151" i="19"/>
  <c r="Q151" i="19"/>
  <c r="S151" i="19" s="1"/>
  <c r="Q90" i="19"/>
  <c r="S90" i="19" s="1"/>
  <c r="O90" i="19"/>
  <c r="Q85" i="19"/>
  <c r="S85" i="19" s="1"/>
  <c r="O85" i="19"/>
  <c r="Q152" i="19"/>
  <c r="S152" i="19" s="1"/>
  <c r="O152" i="19"/>
  <c r="Q125" i="19"/>
  <c r="S125" i="19" s="1"/>
  <c r="O125" i="19"/>
  <c r="O64" i="19"/>
  <c r="Q64" i="19"/>
  <c r="S64" i="19" s="1"/>
  <c r="Q190" i="19"/>
  <c r="S190" i="19" s="1"/>
  <c r="O190" i="19"/>
  <c r="Q163" i="19"/>
  <c r="S163" i="19" s="1"/>
  <c r="O163" i="19"/>
  <c r="O176" i="19"/>
  <c r="Q176" i="19"/>
  <c r="S176" i="19" s="1"/>
  <c r="Q161" i="19"/>
  <c r="S161" i="19" s="1"/>
  <c r="O161" i="19"/>
  <c r="Q223" i="19"/>
  <c r="S223" i="19" s="1"/>
  <c r="O223" i="19"/>
  <c r="O198" i="19"/>
  <c r="Q198" i="19"/>
  <c r="S198" i="19" s="1"/>
  <c r="Q132" i="19"/>
  <c r="S132" i="19" s="1"/>
  <c r="O132" i="19"/>
  <c r="Q185" i="19"/>
  <c r="S185" i="19" s="1"/>
  <c r="O185" i="19"/>
  <c r="O18" i="19"/>
  <c r="Q18" i="19"/>
  <c r="S18" i="19" s="1"/>
  <c r="Q113" i="19"/>
  <c r="S113" i="19" s="1"/>
  <c r="O113" i="19"/>
  <c r="O218" i="19"/>
  <c r="Q218" i="19"/>
  <c r="S218" i="19" s="1"/>
  <c r="O186" i="19"/>
  <c r="Q186" i="19"/>
  <c r="S186" i="19" s="1"/>
  <c r="O114" i="19"/>
  <c r="Q114" i="19"/>
  <c r="S114" i="19" s="1"/>
  <c r="Q187" i="19"/>
  <c r="S187" i="19" s="1"/>
  <c r="O187" i="19"/>
  <c r="O52" i="19"/>
  <c r="Q52" i="19"/>
  <c r="S52" i="19" s="1"/>
  <c r="Q115" i="19"/>
  <c r="S115" i="19" s="1"/>
  <c r="O115" i="19"/>
  <c r="O226" i="19"/>
  <c r="Q226" i="19"/>
  <c r="S226" i="19" s="1"/>
  <c r="O148" i="19"/>
  <c r="Q148" i="19"/>
  <c r="S148" i="19" s="1"/>
  <c r="O116" i="19"/>
  <c r="Q116" i="19"/>
  <c r="S116" i="19" s="1"/>
  <c r="Q255" i="19"/>
  <c r="S255" i="19" s="1"/>
  <c r="O255" i="19"/>
  <c r="Q225" i="19"/>
  <c r="S225" i="19" s="1"/>
  <c r="O225" i="19"/>
  <c r="O26" i="19"/>
  <c r="Q26" i="19"/>
  <c r="S26" i="19" s="1"/>
  <c r="O82" i="19"/>
  <c r="Q82" i="19"/>
  <c r="S82" i="19" s="1"/>
  <c r="Q118" i="19"/>
  <c r="S118" i="19" s="1"/>
  <c r="O118" i="19"/>
  <c r="Q70" i="19"/>
  <c r="S70" i="19" s="1"/>
  <c r="O70" i="19"/>
  <c r="Q166" i="19"/>
  <c r="S166" i="19" s="1"/>
  <c r="O166" i="19"/>
  <c r="Q55" i="19"/>
  <c r="S55" i="19" s="1"/>
  <c r="O55" i="19"/>
  <c r="O142" i="19"/>
  <c r="Q142" i="19"/>
  <c r="S142" i="19" s="1"/>
  <c r="Q210" i="19"/>
  <c r="S210" i="19" s="1"/>
  <c r="O210" i="19"/>
  <c r="Q144" i="19"/>
  <c r="S144" i="19" s="1"/>
  <c r="O144" i="19"/>
  <c r="Q130" i="19"/>
  <c r="S130" i="19" s="1"/>
  <c r="O130" i="19"/>
  <c r="H105" i="19"/>
  <c r="BX7" i="29" a="1"/>
  <c r="T7" i="29"/>
  <c r="H245" i="19"/>
  <c r="H112" i="19"/>
  <c r="T5" i="29"/>
  <c r="BX5" i="29" a="1"/>
  <c r="H163" i="19"/>
  <c r="H243" i="19"/>
  <c r="H69" i="19"/>
  <c r="H37" i="19"/>
  <c r="H183" i="19"/>
  <c r="H87" i="19"/>
  <c r="H239" i="19"/>
  <c r="H179" i="19"/>
  <c r="H33" i="19"/>
  <c r="H248" i="19"/>
  <c r="H175" i="19"/>
  <c r="H126" i="19"/>
  <c r="H42" i="19"/>
  <c r="H101" i="19"/>
  <c r="H62" i="19"/>
  <c r="H155" i="19"/>
  <c r="H150" i="19"/>
  <c r="H92" i="19"/>
  <c r="H234" i="19"/>
  <c r="BW9" i="60"/>
  <c r="BW7" i="60"/>
  <c r="H17" i="19"/>
  <c r="H171" i="19"/>
  <c r="H20" i="19"/>
  <c r="H57" i="19"/>
  <c r="H195" i="19"/>
  <c r="H182" i="19"/>
  <c r="H88" i="19"/>
  <c r="H98" i="19"/>
  <c r="H236" i="19"/>
  <c r="H196" i="19"/>
  <c r="H209" i="19"/>
  <c r="H30" i="19"/>
  <c r="H254" i="19"/>
  <c r="H187" i="19"/>
  <c r="H249" i="19"/>
  <c r="H90" i="19"/>
  <c r="H232" i="19"/>
  <c r="H206" i="19"/>
  <c r="H220" i="19"/>
  <c r="H102" i="19"/>
  <c r="H95" i="19"/>
  <c r="H125" i="19"/>
  <c r="H230" i="19"/>
  <c r="H36" i="19"/>
  <c r="H91" i="19"/>
  <c r="H189" i="19"/>
  <c r="H26" i="19"/>
  <c r="H166" i="19"/>
  <c r="H130" i="19"/>
  <c r="H241" i="19"/>
  <c r="H100" i="19"/>
  <c r="H214" i="19"/>
  <c r="H18" i="19"/>
  <c r="H104" i="19"/>
  <c r="H103" i="19"/>
  <c r="H111" i="19"/>
  <c r="H94" i="19"/>
  <c r="H211" i="19"/>
  <c r="H147" i="19"/>
  <c r="H227" i="19"/>
  <c r="H29" i="19"/>
  <c r="H43" i="19"/>
  <c r="H84" i="19"/>
  <c r="H185" i="19"/>
  <c r="H77" i="19"/>
  <c r="H136" i="19"/>
  <c r="H44" i="19"/>
  <c r="H67" i="19"/>
  <c r="H217" i="19"/>
  <c r="H149" i="19"/>
  <c r="H79" i="19"/>
  <c r="H184" i="19"/>
  <c r="H250" i="19"/>
  <c r="H238" i="19"/>
  <c r="H204" i="19"/>
  <c r="H72" i="19"/>
  <c r="H16" i="19"/>
  <c r="H140" i="19"/>
  <c r="H21" i="19"/>
  <c r="H197" i="19"/>
  <c r="H110" i="19"/>
  <c r="H117" i="19"/>
  <c r="H194" i="19"/>
  <c r="H253" i="19"/>
  <c r="H228" i="19"/>
  <c r="H115" i="19"/>
  <c r="H81" i="19"/>
  <c r="H208" i="19"/>
  <c r="H237" i="19"/>
  <c r="H85" i="19"/>
  <c r="H61" i="19"/>
  <c r="H222" i="19"/>
  <c r="H164" i="19"/>
  <c r="H137" i="19"/>
  <c r="H219" i="19"/>
  <c r="H34" i="19"/>
  <c r="H162" i="19"/>
  <c r="H60" i="19"/>
  <c r="H116" i="19"/>
  <c r="H221" i="19"/>
  <c r="H124" i="19"/>
  <c r="H64" i="19"/>
  <c r="H133" i="19"/>
  <c r="H224" i="19"/>
  <c r="H66" i="19"/>
  <c r="H141" i="19"/>
  <c r="H50" i="19"/>
  <c r="H38" i="19"/>
  <c r="H215" i="19"/>
  <c r="H41" i="19"/>
  <c r="H51" i="19"/>
  <c r="H255" i="19"/>
  <c r="H68" i="19"/>
  <c r="H229" i="19"/>
  <c r="H31" i="19"/>
  <c r="H154" i="19"/>
  <c r="H177" i="19"/>
  <c r="H153" i="19"/>
  <c r="H151" i="19"/>
  <c r="H65" i="19"/>
  <c r="BK221" i="60"/>
  <c r="BG221" i="60"/>
  <c r="BH221" i="60"/>
  <c r="BJ221" i="60"/>
  <c r="BI221" i="60"/>
  <c r="BL221" i="60"/>
  <c r="BG69" i="60"/>
  <c r="BJ69" i="60"/>
  <c r="BH69" i="60"/>
  <c r="BK69" i="60"/>
  <c r="BI69" i="60"/>
  <c r="BL69" i="60"/>
  <c r="BK133" i="60"/>
  <c r="BL133" i="60"/>
  <c r="BJ133" i="60"/>
  <c r="BH133" i="60"/>
  <c r="BI133" i="60"/>
  <c r="BG133" i="60"/>
  <c r="BK124" i="60"/>
  <c r="BH124" i="60"/>
  <c r="BJ124" i="60"/>
  <c r="BG124" i="60"/>
  <c r="BI124" i="60"/>
  <c r="BL124" i="60"/>
  <c r="BH131" i="60"/>
  <c r="BI131" i="60"/>
  <c r="BG131" i="60"/>
  <c r="BJ131" i="60"/>
  <c r="BK131" i="60"/>
  <c r="BL131" i="60"/>
  <c r="BJ178" i="60"/>
  <c r="BL178" i="60"/>
  <c r="BK178" i="60"/>
  <c r="BH178" i="60"/>
  <c r="BI178" i="60"/>
  <c r="BG178" i="60"/>
  <c r="BI181" i="60"/>
  <c r="BL181" i="60"/>
  <c r="BH181" i="60"/>
  <c r="BJ181" i="60"/>
  <c r="BG181" i="60"/>
  <c r="BK181" i="60"/>
  <c r="BI253" i="60"/>
  <c r="BH253" i="60"/>
  <c r="BJ253" i="60"/>
  <c r="BL253" i="60"/>
  <c r="BG253" i="60"/>
  <c r="BK253" i="60"/>
  <c r="BJ228" i="60"/>
  <c r="BK228" i="60"/>
  <c r="BL228" i="60"/>
  <c r="BH228" i="60"/>
  <c r="BG228" i="60"/>
  <c r="BI228" i="60"/>
  <c r="BI100" i="60"/>
  <c r="BL100" i="60"/>
  <c r="BK100" i="60"/>
  <c r="BH100" i="60"/>
  <c r="BJ100" i="60"/>
  <c r="BG100" i="60"/>
  <c r="H56" i="19"/>
  <c r="H192" i="19"/>
  <c r="H27" i="19"/>
  <c r="H108" i="19"/>
  <c r="H123" i="19"/>
  <c r="H49" i="19"/>
  <c r="H148" i="19"/>
  <c r="H47" i="19"/>
  <c r="H165" i="19"/>
  <c r="H134" i="19"/>
  <c r="H216" i="19"/>
  <c r="H174" i="19"/>
  <c r="H74" i="19"/>
  <c r="H193" i="19"/>
  <c r="H53" i="19"/>
  <c r="H235" i="19"/>
  <c r="H251" i="19"/>
  <c r="H157" i="19"/>
  <c r="H152" i="19"/>
  <c r="H121" i="19"/>
  <c r="H144" i="19"/>
  <c r="H170" i="19"/>
  <c r="H252" i="19"/>
  <c r="H205" i="19"/>
  <c r="H135" i="19"/>
  <c r="H109" i="19"/>
  <c r="H159" i="19"/>
  <c r="H96" i="19"/>
  <c r="H176" i="19"/>
  <c r="H161" i="19"/>
  <c r="H40" i="19"/>
  <c r="H22" i="19"/>
  <c r="H99" i="19"/>
  <c r="H118" i="19"/>
  <c r="H167" i="19"/>
  <c r="H143" i="19"/>
  <c r="H54" i="19"/>
  <c r="H139" i="19"/>
  <c r="H75" i="19"/>
  <c r="H203" i="19"/>
  <c r="H191" i="19"/>
  <c r="H73" i="19"/>
  <c r="H35" i="19"/>
  <c r="H122" i="19"/>
  <c r="H142" i="19"/>
  <c r="BL154" i="60"/>
  <c r="BH154" i="60"/>
  <c r="BG154" i="60"/>
  <c r="BI154" i="60"/>
  <c r="BJ154" i="60"/>
  <c r="BK154" i="60"/>
  <c r="BG9" i="60"/>
  <c r="BL9" i="60"/>
  <c r="BK151" i="60"/>
  <c r="BG151" i="60"/>
  <c r="BH151" i="60"/>
  <c r="BL151" i="60"/>
  <c r="BI151" i="60"/>
  <c r="BJ151" i="60"/>
  <c r="BK123" i="60"/>
  <c r="BI123" i="60"/>
  <c r="BH123" i="60"/>
  <c r="BG123" i="60"/>
  <c r="BJ123" i="60"/>
  <c r="BL123" i="60"/>
  <c r="BL103" i="60"/>
  <c r="BI103" i="60"/>
  <c r="BJ103" i="60"/>
  <c r="BK103" i="60"/>
  <c r="BH103" i="60"/>
  <c r="BG103" i="60"/>
  <c r="BH246" i="60"/>
  <c r="BI246" i="60"/>
  <c r="BJ246" i="60"/>
  <c r="BG246" i="60"/>
  <c r="BL246" i="60"/>
  <c r="BK246" i="60"/>
  <c r="BL42" i="60"/>
  <c r="BI42" i="60"/>
  <c r="BG42" i="60"/>
  <c r="BK42" i="60"/>
  <c r="BJ42" i="60"/>
  <c r="BH42" i="60"/>
  <c r="BG146" i="60"/>
  <c r="BH146" i="60"/>
  <c r="BJ146" i="60"/>
  <c r="BL146" i="60"/>
  <c r="BI146" i="60"/>
  <c r="BK146" i="60"/>
  <c r="BG12" i="60"/>
  <c r="BL12" i="60"/>
  <c r="BJ202" i="60"/>
  <c r="BL202" i="60"/>
  <c r="BG202" i="60"/>
  <c r="BI202" i="60"/>
  <c r="BK202" i="60"/>
  <c r="BH202" i="60"/>
  <c r="BG91" i="60"/>
  <c r="BL91" i="60"/>
  <c r="BK91" i="60"/>
  <c r="BJ91" i="60"/>
  <c r="BH91" i="60"/>
  <c r="BI91" i="60"/>
  <c r="BI216" i="60"/>
  <c r="BJ216" i="60"/>
  <c r="BH216" i="60"/>
  <c r="BK216" i="60"/>
  <c r="BG216" i="60"/>
  <c r="BL216" i="60"/>
  <c r="BK136" i="60"/>
  <c r="BJ136" i="60"/>
  <c r="BG136" i="60"/>
  <c r="BI136" i="60"/>
  <c r="BH136" i="60"/>
  <c r="BL136" i="60"/>
  <c r="BG174" i="60"/>
  <c r="BK174" i="60"/>
  <c r="BJ174" i="60"/>
  <c r="BI174" i="60"/>
  <c r="BH174" i="60"/>
  <c r="BL174" i="60"/>
  <c r="BI126" i="60"/>
  <c r="BJ126" i="60"/>
  <c r="BH126" i="60"/>
  <c r="BK126" i="60"/>
  <c r="BL126" i="60"/>
  <c r="BG126" i="60"/>
  <c r="BI63" i="60"/>
  <c r="BG63" i="60"/>
  <c r="BH63" i="60"/>
  <c r="BL63" i="60"/>
  <c r="BJ63" i="60"/>
  <c r="BK63" i="60"/>
  <c r="BK90" i="60"/>
  <c r="BJ90" i="60"/>
  <c r="BI90" i="60"/>
  <c r="BH90" i="60"/>
  <c r="BG90" i="60"/>
  <c r="BL90" i="60"/>
  <c r="BL74" i="60"/>
  <c r="BG74" i="60"/>
  <c r="BK74" i="60"/>
  <c r="BH74" i="60"/>
  <c r="BI74" i="60"/>
  <c r="BJ74" i="60"/>
  <c r="BL193" i="60"/>
  <c r="BI193" i="60"/>
  <c r="BH193" i="60"/>
  <c r="BK193" i="60"/>
  <c r="BJ193" i="60"/>
  <c r="BG193" i="60"/>
  <c r="BK48" i="60"/>
  <c r="BH48" i="60"/>
  <c r="BG48" i="60"/>
  <c r="BJ48" i="60"/>
  <c r="BL48" i="60"/>
  <c r="BI48" i="60"/>
  <c r="BL53" i="60"/>
  <c r="BJ53" i="60"/>
  <c r="BG53" i="60"/>
  <c r="BK53" i="60"/>
  <c r="BI53" i="60"/>
  <c r="BH53" i="60"/>
  <c r="BL175" i="60"/>
  <c r="BK175" i="60"/>
  <c r="BG175" i="60"/>
  <c r="BH175" i="60"/>
  <c r="BI175" i="60"/>
  <c r="BJ175" i="60"/>
  <c r="BJ141" i="60"/>
  <c r="BL141" i="60"/>
  <c r="BG141" i="60"/>
  <c r="BK141" i="60"/>
  <c r="BI141" i="60"/>
  <c r="BH141" i="60"/>
  <c r="BL209" i="60"/>
  <c r="BI209" i="60"/>
  <c r="BH209" i="60"/>
  <c r="BG209" i="60"/>
  <c r="BJ209" i="60"/>
  <c r="BK209" i="60"/>
  <c r="BL40" i="60"/>
  <c r="BJ40" i="60"/>
  <c r="BI40" i="60"/>
  <c r="BK40" i="60"/>
  <c r="BH40" i="60"/>
  <c r="BG40" i="60"/>
  <c r="BJ101" i="60"/>
  <c r="BK101" i="60"/>
  <c r="BL101" i="60"/>
  <c r="BG101" i="60"/>
  <c r="BH101" i="60"/>
  <c r="BI101" i="60"/>
  <c r="BJ139" i="60"/>
  <c r="BH139" i="60"/>
  <c r="BL139" i="60"/>
  <c r="BK139" i="60"/>
  <c r="BG139" i="60"/>
  <c r="BI139" i="60"/>
  <c r="BK75" i="60"/>
  <c r="BI75" i="60"/>
  <c r="BJ75" i="60"/>
  <c r="BH75" i="60"/>
  <c r="BL75" i="60"/>
  <c r="BG75" i="60"/>
  <c r="BG203" i="60"/>
  <c r="BH203" i="60"/>
  <c r="BI203" i="60"/>
  <c r="BK203" i="60"/>
  <c r="BL203" i="60"/>
  <c r="BJ203" i="60"/>
  <c r="BJ191" i="60"/>
  <c r="BH191" i="60"/>
  <c r="BL191" i="60"/>
  <c r="BG191" i="60"/>
  <c r="BK191" i="60"/>
  <c r="BI191" i="60"/>
  <c r="BI185" i="60"/>
  <c r="BH185" i="60"/>
  <c r="BL185" i="60"/>
  <c r="BG185" i="60"/>
  <c r="BK185" i="60"/>
  <c r="BJ185" i="60"/>
  <c r="BI120" i="60"/>
  <c r="BH120" i="60"/>
  <c r="BL120" i="60"/>
  <c r="BJ120" i="60"/>
  <c r="BG120" i="60"/>
  <c r="BK120" i="60"/>
  <c r="BH97" i="60"/>
  <c r="BI97" i="60"/>
  <c r="BG97" i="60"/>
  <c r="BL97" i="60"/>
  <c r="BK97" i="60"/>
  <c r="BJ97" i="60"/>
  <c r="BG158" i="60"/>
  <c r="BJ158" i="60"/>
  <c r="BK158" i="60"/>
  <c r="BH158" i="60"/>
  <c r="BI158" i="60"/>
  <c r="BL158" i="60"/>
  <c r="BK168" i="60"/>
  <c r="BL168" i="60"/>
  <c r="BH168" i="60"/>
  <c r="BI168" i="60"/>
  <c r="BG168" i="60"/>
  <c r="BJ168" i="60"/>
  <c r="BJ211" i="60"/>
  <c r="BG211" i="60"/>
  <c r="BI211" i="60"/>
  <c r="BH211" i="60"/>
  <c r="BL211" i="60"/>
  <c r="BK211" i="60"/>
  <c r="BI234" i="60"/>
  <c r="BJ234" i="60"/>
  <c r="BH234" i="60"/>
  <c r="BG234" i="60"/>
  <c r="BL234" i="60"/>
  <c r="BK234" i="60"/>
  <c r="BJ247" i="60"/>
  <c r="BL247" i="60"/>
  <c r="BH247" i="60"/>
  <c r="BI247" i="60"/>
  <c r="BK247" i="60"/>
  <c r="BG247" i="60"/>
  <c r="BJ25" i="60"/>
  <c r="BG25" i="60"/>
  <c r="BK25" i="60"/>
  <c r="BI25" i="60"/>
  <c r="BL25" i="60"/>
  <c r="BH25" i="60"/>
  <c r="BL81" i="60"/>
  <c r="BH81" i="60"/>
  <c r="BG81" i="60"/>
  <c r="BK81" i="60"/>
  <c r="BI81" i="60"/>
  <c r="BJ81" i="60"/>
  <c r="BK23" i="60"/>
  <c r="BG23" i="60"/>
  <c r="BL23" i="60"/>
  <c r="BH23" i="60"/>
  <c r="BI23" i="60"/>
  <c r="BJ23" i="60"/>
  <c r="BG39" i="60"/>
  <c r="BJ39" i="60"/>
  <c r="BI39" i="60"/>
  <c r="BK39" i="60"/>
  <c r="BH39" i="60"/>
  <c r="BL39" i="60"/>
  <c r="BI86" i="60"/>
  <c r="BJ86" i="60"/>
  <c r="BL86" i="60"/>
  <c r="BG86" i="60"/>
  <c r="BK86" i="60"/>
  <c r="BH86" i="60"/>
  <c r="BG236" i="60"/>
  <c r="BH236" i="60"/>
  <c r="BI236" i="60"/>
  <c r="BK236" i="60"/>
  <c r="BJ236" i="60"/>
  <c r="BL236" i="60"/>
  <c r="BK79" i="60"/>
  <c r="BJ79" i="60"/>
  <c r="BH79" i="60"/>
  <c r="BL79" i="60"/>
  <c r="BG79" i="60"/>
  <c r="BI79" i="60"/>
  <c r="BI94" i="60"/>
  <c r="BJ94" i="60"/>
  <c r="BG94" i="60"/>
  <c r="BK94" i="60"/>
  <c r="BH94" i="60"/>
  <c r="BL94" i="60"/>
  <c r="BH58" i="60"/>
  <c r="BI58" i="60"/>
  <c r="BK58" i="60"/>
  <c r="BJ58" i="60"/>
  <c r="H212" i="19"/>
  <c r="H231" i="19"/>
  <c r="H46" i="19"/>
  <c r="H120" i="19"/>
  <c r="H97" i="19"/>
  <c r="H158" i="19"/>
  <c r="H168" i="19"/>
  <c r="H247" i="19"/>
  <c r="H25" i="19"/>
  <c r="H23" i="19"/>
  <c r="H39" i="19"/>
  <c r="H83" i="19"/>
  <c r="H190" i="19"/>
  <c r="H71" i="19"/>
  <c r="H156" i="19"/>
  <c r="BL58" i="60"/>
  <c r="BG58" i="60"/>
  <c r="BH127" i="60"/>
  <c r="BG127" i="60"/>
  <c r="BL127" i="60"/>
  <c r="BI127" i="60"/>
  <c r="BK127" i="60"/>
  <c r="BJ127" i="60"/>
  <c r="H86" i="19"/>
  <c r="H58" i="19"/>
  <c r="H127" i="19"/>
  <c r="H223" i="19"/>
  <c r="H242" i="19"/>
  <c r="H198" i="19"/>
  <c r="H32" i="19"/>
  <c r="H213" i="19"/>
  <c r="H132" i="19"/>
  <c r="H78" i="19"/>
  <c r="H89" i="19"/>
  <c r="H129" i="19"/>
  <c r="H244" i="19"/>
  <c r="H59" i="19"/>
  <c r="H107" i="19"/>
  <c r="H93" i="19"/>
  <c r="H188" i="19"/>
  <c r="H246" i="19"/>
  <c r="H202" i="19"/>
  <c r="H63" i="19"/>
  <c r="H48" i="19"/>
  <c r="H169" i="19"/>
  <c r="H28" i="19"/>
  <c r="H82" i="19"/>
  <c r="H106" i="19"/>
  <c r="H45" i="19"/>
  <c r="H225" i="19"/>
  <c r="H233" i="19"/>
  <c r="H19" i="19"/>
  <c r="H113" i="19"/>
  <c r="H218" i="19"/>
  <c r="H199" i="19"/>
  <c r="H186" i="19"/>
  <c r="H76" i="19"/>
  <c r="H114" i="19"/>
  <c r="H201" i="19"/>
  <c r="H52" i="19"/>
  <c r="BK229" i="60"/>
  <c r="BL229" i="60"/>
  <c r="BJ229" i="60"/>
  <c r="BH229" i="60"/>
  <c r="BG229" i="60"/>
  <c r="BI229" i="60"/>
  <c r="BL104" i="60"/>
  <c r="BG104" i="60"/>
  <c r="BK104" i="60"/>
  <c r="BI104" i="60"/>
  <c r="BH104" i="60"/>
  <c r="BJ104" i="60"/>
  <c r="BL17" i="60"/>
  <c r="BK17" i="60"/>
  <c r="BI17" i="60"/>
  <c r="BH17" i="60"/>
  <c r="BG17" i="60"/>
  <c r="BJ17" i="60"/>
  <c r="BJ182" i="60"/>
  <c r="BL182" i="60"/>
  <c r="BH182" i="60"/>
  <c r="BI182" i="60"/>
  <c r="BK182" i="60"/>
  <c r="BG182" i="60"/>
  <c r="BL15" i="60"/>
  <c r="BG15" i="60"/>
  <c r="BJ31" i="60"/>
  <c r="BK31" i="60"/>
  <c r="BG31" i="60"/>
  <c r="BH31" i="60"/>
  <c r="BL31" i="60"/>
  <c r="BI31" i="60"/>
  <c r="BI235" i="60"/>
  <c r="BJ235" i="60"/>
  <c r="BG235" i="60"/>
  <c r="BL235" i="60"/>
  <c r="BK235" i="60"/>
  <c r="BH235" i="60"/>
  <c r="BH71" i="60"/>
  <c r="BK71" i="60"/>
  <c r="BI71" i="60"/>
  <c r="BL71" i="60"/>
  <c r="BG71" i="60"/>
  <c r="BJ71" i="60"/>
  <c r="BI251" i="60"/>
  <c r="BJ251" i="60"/>
  <c r="BK251" i="60"/>
  <c r="BG251" i="60"/>
  <c r="BH251" i="60"/>
  <c r="BL251" i="60"/>
  <c r="BG137" i="60"/>
  <c r="BL137" i="60"/>
  <c r="BJ137" i="60"/>
  <c r="BH137" i="60"/>
  <c r="BI137" i="60"/>
  <c r="BK137" i="60"/>
  <c r="BK157" i="60"/>
  <c r="BG157" i="60"/>
  <c r="BL157" i="60"/>
  <c r="BJ157" i="60"/>
  <c r="BI157" i="60"/>
  <c r="BH157" i="60"/>
  <c r="BG164" i="60"/>
  <c r="BK164" i="60"/>
  <c r="BJ164" i="60"/>
  <c r="BL164" i="60"/>
  <c r="BI164" i="60"/>
  <c r="BH164" i="60"/>
  <c r="BI219" i="60"/>
  <c r="BL219" i="60"/>
  <c r="BH219" i="60"/>
  <c r="BJ219" i="60"/>
  <c r="BK219" i="60"/>
  <c r="BG219" i="60"/>
  <c r="BG167" i="60"/>
  <c r="BK167" i="60"/>
  <c r="BH167" i="60"/>
  <c r="BL167" i="60"/>
  <c r="BI167" i="60"/>
  <c r="BJ167" i="60"/>
  <c r="BL147" i="60"/>
  <c r="BH147" i="60"/>
  <c r="BK147" i="60"/>
  <c r="BI147" i="60"/>
  <c r="BJ147" i="60"/>
  <c r="BG147" i="60"/>
  <c r="BI224" i="60"/>
  <c r="BK224" i="60"/>
  <c r="BJ224" i="60"/>
  <c r="BL224" i="60"/>
  <c r="BH224" i="60"/>
  <c r="BG224" i="60"/>
  <c r="BL227" i="60"/>
  <c r="BK227" i="60"/>
  <c r="BH227" i="60"/>
  <c r="BI227" i="60"/>
  <c r="BJ227" i="60"/>
  <c r="BG227" i="60"/>
  <c r="BL20" i="60"/>
  <c r="BI20" i="60"/>
  <c r="BJ20" i="60"/>
  <c r="BK20" i="60"/>
  <c r="BH20" i="60"/>
  <c r="BG20" i="60"/>
  <c r="BH33" i="60"/>
  <c r="BK33" i="60"/>
  <c r="BL33" i="60"/>
  <c r="BG33" i="60"/>
  <c r="BJ33" i="60"/>
  <c r="BI33" i="60"/>
  <c r="BI66" i="60"/>
  <c r="BG66" i="60"/>
  <c r="BJ66" i="60"/>
  <c r="BL66" i="60"/>
  <c r="BK66" i="60"/>
  <c r="BH66" i="60"/>
  <c r="BG7" i="60"/>
  <c r="BL7" i="60"/>
  <c r="BL110" i="60"/>
  <c r="BK110" i="60"/>
  <c r="BJ110" i="60"/>
  <c r="BI110" i="60"/>
  <c r="BH110" i="60"/>
  <c r="BG110" i="60"/>
  <c r="BI50" i="60"/>
  <c r="BH50" i="60"/>
  <c r="BL50" i="60"/>
  <c r="BJ50" i="60"/>
  <c r="BG50" i="60"/>
  <c r="BK50" i="60"/>
  <c r="BI180" i="60"/>
  <c r="BH180" i="60"/>
  <c r="BG180" i="60"/>
  <c r="BK180" i="60"/>
  <c r="BJ180" i="60"/>
  <c r="BL180" i="60"/>
  <c r="BL117" i="60"/>
  <c r="BH117" i="60"/>
  <c r="BK117" i="60"/>
  <c r="BI117" i="60"/>
  <c r="BG117" i="60"/>
  <c r="BJ117" i="60"/>
  <c r="BJ138" i="60"/>
  <c r="BK138" i="60"/>
  <c r="BI138" i="60"/>
  <c r="BH138" i="60"/>
  <c r="BG138" i="60"/>
  <c r="BL138" i="60"/>
  <c r="BL194" i="60"/>
  <c r="BI194" i="60"/>
  <c r="BH194" i="60"/>
  <c r="BG194" i="60"/>
  <c r="BJ194" i="60"/>
  <c r="BK194" i="60"/>
  <c r="BL207" i="60"/>
  <c r="BI207" i="60"/>
  <c r="BK207" i="60"/>
  <c r="BH207" i="60"/>
  <c r="BG207" i="60"/>
  <c r="BJ207" i="60"/>
  <c r="BH212" i="60"/>
  <c r="BG212" i="60"/>
  <c r="BL212" i="60"/>
  <c r="BJ212" i="60"/>
  <c r="BK212" i="60"/>
  <c r="BI212" i="60"/>
  <c r="BJ231" i="60"/>
  <c r="BG231" i="60"/>
  <c r="BL231" i="60"/>
  <c r="BK231" i="60"/>
  <c r="BH231" i="60"/>
  <c r="BI231" i="60"/>
  <c r="BI230" i="60"/>
  <c r="BG230" i="60"/>
  <c r="BJ230" i="60"/>
  <c r="BK230" i="60"/>
  <c r="BH230" i="60"/>
  <c r="BL230" i="60"/>
  <c r="BH36" i="60"/>
  <c r="BL36" i="60"/>
  <c r="BK36" i="60"/>
  <c r="BI36" i="60"/>
  <c r="BJ36" i="60"/>
  <c r="BG36" i="60"/>
  <c r="BK46" i="60"/>
  <c r="BL46" i="60"/>
  <c r="BG46" i="60"/>
  <c r="BH46" i="60"/>
  <c r="BJ46" i="60"/>
  <c r="BI46" i="60"/>
  <c r="BI241" i="60"/>
  <c r="BK241" i="60"/>
  <c r="BJ241" i="60"/>
  <c r="BG241" i="60"/>
  <c r="BL241" i="60"/>
  <c r="BH241" i="60"/>
  <c r="BI254" i="60"/>
  <c r="BG254" i="60"/>
  <c r="BL254" i="60"/>
  <c r="BK254" i="60"/>
  <c r="BH254" i="60"/>
  <c r="BJ254" i="60"/>
  <c r="BL252" i="60"/>
  <c r="BI252" i="60"/>
  <c r="BH252" i="60"/>
  <c r="BJ252" i="60"/>
  <c r="BK252" i="60"/>
  <c r="BG252" i="60"/>
  <c r="BK145" i="60"/>
  <c r="BL145" i="60"/>
  <c r="BG145" i="60"/>
  <c r="BI145" i="60"/>
  <c r="BJ145" i="60"/>
  <c r="BH145" i="60"/>
  <c r="BK220" i="60"/>
  <c r="BL220" i="60"/>
  <c r="BJ220" i="60"/>
  <c r="BH220" i="60"/>
  <c r="BG220" i="60"/>
  <c r="BI220" i="60"/>
  <c r="BJ205" i="60"/>
  <c r="BL205" i="60"/>
  <c r="BI205" i="60"/>
  <c r="BK205" i="60"/>
  <c r="BG205" i="60"/>
  <c r="BH205" i="60"/>
  <c r="BG150" i="60"/>
  <c r="BI150" i="60"/>
  <c r="BL150" i="60"/>
  <c r="BK150" i="60"/>
  <c r="BH150" i="60"/>
  <c r="BJ150" i="60"/>
  <c r="BL169" i="60"/>
  <c r="BJ169" i="60"/>
  <c r="BI169" i="60"/>
  <c r="BK169" i="60"/>
  <c r="BH169" i="60"/>
  <c r="BG169" i="60"/>
  <c r="BH135" i="60"/>
  <c r="BG135" i="60"/>
  <c r="BL135" i="60"/>
  <c r="BJ135" i="60"/>
  <c r="BK135" i="60"/>
  <c r="BI135" i="60"/>
  <c r="BL59" i="60"/>
  <c r="BG59" i="60"/>
  <c r="BI59" i="60"/>
  <c r="BH59" i="60"/>
  <c r="BK59" i="60"/>
  <c r="BJ59" i="60"/>
  <c r="BG102" i="60"/>
  <c r="BJ102" i="60"/>
  <c r="BH102" i="60"/>
  <c r="BK102" i="60"/>
  <c r="BI102" i="60"/>
  <c r="BL102" i="60"/>
  <c r="BG28" i="60"/>
  <c r="BK28" i="60"/>
  <c r="BI28" i="60"/>
  <c r="BH28" i="60"/>
  <c r="BL28" i="60"/>
  <c r="BJ28" i="60"/>
  <c r="BG56" i="60"/>
  <c r="BH56" i="60"/>
  <c r="BK56" i="60"/>
  <c r="BI56" i="60"/>
  <c r="BL56" i="60"/>
  <c r="BJ56" i="60"/>
  <c r="BH85" i="60"/>
  <c r="BK85" i="60"/>
  <c r="BI85" i="60"/>
  <c r="BG85" i="60"/>
  <c r="BL85" i="60"/>
  <c r="BJ85" i="60"/>
  <c r="BK152" i="60"/>
  <c r="BL152" i="60"/>
  <c r="BI152" i="60"/>
  <c r="BG152" i="60"/>
  <c r="BJ152" i="60"/>
  <c r="BH152" i="60"/>
  <c r="BK155" i="60"/>
  <c r="BJ155" i="60"/>
  <c r="BL155" i="60"/>
  <c r="BI155" i="60"/>
  <c r="BG155" i="60"/>
  <c r="BH155" i="60"/>
  <c r="BH61" i="60"/>
  <c r="BG61" i="60"/>
  <c r="BJ61" i="60"/>
  <c r="BL61" i="60"/>
  <c r="BK61" i="60"/>
  <c r="BI61" i="60"/>
  <c r="BG134" i="60"/>
  <c r="BI134" i="60"/>
  <c r="BH134" i="60"/>
  <c r="BL134" i="60"/>
  <c r="BK134" i="60"/>
  <c r="BJ134" i="60"/>
  <c r="BL121" i="60"/>
  <c r="BK121" i="60"/>
  <c r="BI121" i="60"/>
  <c r="BG121" i="60"/>
  <c r="BJ121" i="60"/>
  <c r="BH121" i="60"/>
  <c r="BK98" i="60"/>
  <c r="BI98" i="60"/>
  <c r="BH98" i="60"/>
  <c r="BL98" i="60"/>
  <c r="BJ98" i="60"/>
  <c r="BG98" i="60"/>
  <c r="BG13" i="60"/>
  <c r="BL13" i="60"/>
  <c r="BL21" i="60"/>
  <c r="BI21" i="60"/>
  <c r="BJ21" i="60"/>
  <c r="BK21" i="60"/>
  <c r="BH21" i="60"/>
  <c r="BG21" i="60"/>
  <c r="BK237" i="60"/>
  <c r="BG237" i="60"/>
  <c r="BL237" i="60"/>
  <c r="BH237" i="60"/>
  <c r="BJ237" i="60"/>
  <c r="BI237" i="60"/>
  <c r="BI222" i="60"/>
  <c r="BL222" i="60"/>
  <c r="BK222" i="60"/>
  <c r="BG222" i="60"/>
  <c r="BH222" i="60"/>
  <c r="BJ222" i="60"/>
  <c r="BK125" i="60"/>
  <c r="BH125" i="60"/>
  <c r="BJ125" i="60"/>
  <c r="BG125" i="60"/>
  <c r="BI125" i="60"/>
  <c r="BL125" i="60"/>
  <c r="BJ24" i="60"/>
  <c r="BK24" i="60"/>
  <c r="BG24" i="60"/>
  <c r="BL24" i="60"/>
  <c r="BI24" i="60"/>
  <c r="BH24" i="60"/>
  <c r="BI64" i="60"/>
  <c r="BH64" i="60"/>
  <c r="BK64" i="60"/>
  <c r="BG64" i="60"/>
  <c r="BJ64" i="60"/>
  <c r="BL64" i="60"/>
  <c r="BG208" i="60"/>
  <c r="BL208" i="60"/>
  <c r="BJ208" i="60"/>
  <c r="BI208" i="60"/>
  <c r="BK208" i="60"/>
  <c r="BH208" i="60"/>
  <c r="BJ84" i="60"/>
  <c r="BG84" i="60"/>
  <c r="BL84" i="60"/>
  <c r="BK84" i="60"/>
  <c r="BI84" i="60"/>
  <c r="BH84" i="60"/>
  <c r="BK49" i="60"/>
  <c r="BG49" i="60"/>
  <c r="BL49" i="60"/>
  <c r="BI49" i="60"/>
  <c r="BJ49" i="60"/>
  <c r="BH49" i="60"/>
  <c r="BH179" i="60"/>
  <c r="BK179" i="60"/>
  <c r="BL179" i="60"/>
  <c r="BG179" i="60"/>
  <c r="BI179" i="60"/>
  <c r="BJ179" i="60"/>
  <c r="BJ67" i="60"/>
  <c r="BI67" i="60"/>
  <c r="BG67" i="60"/>
  <c r="BL67" i="60"/>
  <c r="BK67" i="60"/>
  <c r="BH67" i="60"/>
  <c r="BK29" i="60"/>
  <c r="BL29" i="60"/>
  <c r="BJ29" i="60"/>
  <c r="BI29" i="60"/>
  <c r="BH29" i="60"/>
  <c r="BG29" i="60"/>
  <c r="BK109" i="60"/>
  <c r="BH109" i="60"/>
  <c r="BL109" i="60"/>
  <c r="BG109" i="60"/>
  <c r="BI109" i="60"/>
  <c r="BJ109" i="60"/>
  <c r="BL10" i="60"/>
  <c r="BG10" i="60"/>
  <c r="BJ44" i="60"/>
  <c r="BK44" i="60"/>
  <c r="BG44" i="60"/>
  <c r="BL44" i="60"/>
  <c r="BH44" i="60"/>
  <c r="BI44" i="60"/>
  <c r="BK93" i="60"/>
  <c r="BJ93" i="60"/>
  <c r="BH93" i="60"/>
  <c r="BG93" i="60"/>
  <c r="BI93" i="60"/>
  <c r="BL93" i="60"/>
  <c r="BL11" i="60"/>
  <c r="BG11" i="60"/>
  <c r="BH159" i="60"/>
  <c r="BL159" i="60"/>
  <c r="BG159" i="60"/>
  <c r="BI159" i="60"/>
  <c r="BK159" i="60"/>
  <c r="BJ159" i="60"/>
  <c r="BJ65" i="60"/>
  <c r="BL65" i="60"/>
  <c r="BI65" i="60"/>
  <c r="BH65" i="60"/>
  <c r="BK65" i="60"/>
  <c r="BG65" i="60"/>
  <c r="BL190" i="60"/>
  <c r="BK190" i="60"/>
  <c r="BJ190" i="60"/>
  <c r="BH190" i="60"/>
  <c r="BG190" i="60"/>
  <c r="BI190" i="60"/>
  <c r="BH119" i="60"/>
  <c r="BJ119" i="60"/>
  <c r="BL119" i="60"/>
  <c r="BI119" i="60"/>
  <c r="BG119" i="60"/>
  <c r="BK119" i="60"/>
  <c r="BH163" i="60"/>
  <c r="BK163" i="60"/>
  <c r="BI163" i="60"/>
  <c r="BL163" i="60"/>
  <c r="BJ163" i="60"/>
  <c r="BG163" i="60"/>
  <c r="BH96" i="60"/>
  <c r="BJ96" i="60"/>
  <c r="BK96" i="60"/>
  <c r="BI96" i="60"/>
  <c r="BL96" i="60"/>
  <c r="BG96" i="60"/>
  <c r="BJ176" i="60"/>
  <c r="BK176" i="60"/>
  <c r="BI176" i="60"/>
  <c r="BH176" i="60"/>
  <c r="BG176" i="60"/>
  <c r="BL176" i="60"/>
  <c r="BG156" i="60"/>
  <c r="BK156" i="60"/>
  <c r="BH156" i="60"/>
  <c r="BJ156" i="60"/>
  <c r="BL156" i="60"/>
  <c r="BI156" i="60"/>
  <c r="BH183" i="60"/>
  <c r="BI183" i="60"/>
  <c r="BL183" i="60"/>
  <c r="BK183" i="60"/>
  <c r="BJ183" i="60"/>
  <c r="BG183" i="60"/>
  <c r="BI196" i="60"/>
  <c r="BJ196" i="60"/>
  <c r="BK196" i="60"/>
  <c r="BL196" i="60"/>
  <c r="BH196" i="60"/>
  <c r="BG196" i="60"/>
  <c r="BL184" i="60"/>
  <c r="BJ184" i="60"/>
  <c r="BG184" i="60"/>
  <c r="BH184" i="60"/>
  <c r="BK184" i="60"/>
  <c r="BI184" i="60"/>
  <c r="BG161" i="60"/>
  <c r="BL161" i="60"/>
  <c r="BI161" i="60"/>
  <c r="BJ161" i="60"/>
  <c r="BH161" i="60"/>
  <c r="BK161" i="60"/>
  <c r="BK170" i="60"/>
  <c r="BH170" i="60"/>
  <c r="BJ170" i="60"/>
  <c r="BI170" i="60"/>
  <c r="BL170" i="60"/>
  <c r="BG170" i="60"/>
  <c r="BK76" i="60"/>
  <c r="BI76" i="60"/>
  <c r="BG76" i="60"/>
  <c r="BH76" i="60"/>
  <c r="BL76" i="60"/>
  <c r="BJ76" i="60"/>
  <c r="BH38" i="60"/>
  <c r="BG38" i="60"/>
  <c r="BJ38" i="60"/>
  <c r="BK38" i="60"/>
  <c r="BI38" i="60"/>
  <c r="BL38" i="60"/>
  <c r="BG72" i="60"/>
  <c r="BH72" i="60"/>
  <c r="BL72" i="60"/>
  <c r="BI72" i="60"/>
  <c r="BK206" i="60"/>
  <c r="BH206" i="60"/>
  <c r="BL206" i="60"/>
  <c r="BI206" i="60"/>
  <c r="BJ206" i="60"/>
  <c r="BG206" i="60"/>
  <c r="BH95" i="60"/>
  <c r="BJ95" i="60"/>
  <c r="BL95" i="60"/>
  <c r="BI95" i="60"/>
  <c r="BG95" i="60"/>
  <c r="BK95" i="60"/>
  <c r="BG130" i="60"/>
  <c r="BJ130" i="60"/>
  <c r="BL130" i="60"/>
  <c r="BI130" i="60"/>
  <c r="BK130" i="60"/>
  <c r="BH130" i="60"/>
  <c r="H80" i="19"/>
  <c r="BI83" i="60"/>
  <c r="BJ83" i="60"/>
  <c r="BH83" i="60"/>
  <c r="BG83" i="60"/>
  <c r="BL83" i="60"/>
  <c r="BK83" i="60"/>
  <c r="BI73" i="60"/>
  <c r="BL73" i="60"/>
  <c r="BK73" i="60"/>
  <c r="BG73" i="60"/>
  <c r="BJ73" i="60"/>
  <c r="BH73" i="60"/>
  <c r="BK18" i="60"/>
  <c r="BH18" i="60"/>
  <c r="BJ18" i="60"/>
  <c r="BL18" i="60"/>
  <c r="BI18" i="60"/>
  <c r="BG18" i="60"/>
  <c r="BL19" i="60"/>
  <c r="BJ19" i="60"/>
  <c r="BH19" i="60"/>
  <c r="BK19" i="60"/>
  <c r="BI19" i="60"/>
  <c r="BG19" i="60"/>
  <c r="BG77" i="60"/>
  <c r="BK77" i="60"/>
  <c r="BH77" i="60"/>
  <c r="BI77" i="60"/>
  <c r="BJ77" i="60"/>
  <c r="BL77" i="60"/>
  <c r="BL35" i="60"/>
  <c r="BI35" i="60"/>
  <c r="BH35" i="60"/>
  <c r="BK35" i="60"/>
  <c r="BJ35" i="60"/>
  <c r="BG35" i="60"/>
  <c r="BG113" i="60"/>
  <c r="BH113" i="60"/>
  <c r="BK113" i="60"/>
  <c r="BJ113" i="60"/>
  <c r="BI113" i="60"/>
  <c r="BL113" i="60"/>
  <c r="BJ218" i="60"/>
  <c r="BK218" i="60"/>
  <c r="BL218" i="60"/>
  <c r="BG218" i="60"/>
  <c r="BH218" i="60"/>
  <c r="BI218" i="60"/>
  <c r="BG199" i="60"/>
  <c r="BH199" i="60"/>
  <c r="BK199" i="60"/>
  <c r="BI199" i="60"/>
  <c r="BL199" i="60"/>
  <c r="BJ199" i="60"/>
  <c r="BG186" i="60"/>
  <c r="BH186" i="60"/>
  <c r="BI186" i="60"/>
  <c r="BK186" i="60"/>
  <c r="BJ186" i="60"/>
  <c r="BL186" i="60"/>
  <c r="BK37" i="60"/>
  <c r="BG37" i="60"/>
  <c r="BL37" i="60"/>
  <c r="BI37" i="60"/>
  <c r="BH37" i="60"/>
  <c r="BJ37" i="60"/>
  <c r="BK111" i="60"/>
  <c r="BI111" i="60"/>
  <c r="BH111" i="60"/>
  <c r="BL111" i="60"/>
  <c r="BJ111" i="60"/>
  <c r="BG111" i="60"/>
  <c r="BK114" i="60"/>
  <c r="BJ114" i="60"/>
  <c r="BL114" i="60"/>
  <c r="BH114" i="60"/>
  <c r="BI114" i="60"/>
  <c r="BG114" i="60"/>
  <c r="BI201" i="60"/>
  <c r="BH201" i="60"/>
  <c r="BL201" i="60"/>
  <c r="BJ201" i="60"/>
  <c r="BG201" i="60"/>
  <c r="BK201" i="60"/>
  <c r="BK187" i="60"/>
  <c r="BI187" i="60"/>
  <c r="BJ187" i="60"/>
  <c r="BH187" i="60"/>
  <c r="BL187" i="60"/>
  <c r="BG187" i="60"/>
  <c r="BL52" i="60"/>
  <c r="BJ52" i="60"/>
  <c r="BH52" i="60"/>
  <c r="BI52" i="60"/>
  <c r="BK52" i="60"/>
  <c r="BG52" i="60"/>
  <c r="BL43" i="60"/>
  <c r="BJ43" i="60"/>
  <c r="BG43" i="60"/>
  <c r="BI43" i="60"/>
  <c r="BK43" i="60"/>
  <c r="BH43" i="60"/>
  <c r="BL87" i="60"/>
  <c r="BI87" i="60"/>
  <c r="BK87" i="60"/>
  <c r="BH87" i="60"/>
  <c r="BG87" i="60"/>
  <c r="BJ87" i="60"/>
  <c r="BJ115" i="60"/>
  <c r="BK115" i="60"/>
  <c r="BG115" i="60"/>
  <c r="BH115" i="60"/>
  <c r="BL115" i="60"/>
  <c r="BI115" i="60"/>
  <c r="BL226" i="60"/>
  <c r="BH226" i="60"/>
  <c r="BI226" i="60"/>
  <c r="BG226" i="60"/>
  <c r="BJ226" i="60"/>
  <c r="BK226" i="60"/>
  <c r="BI160" i="60"/>
  <c r="BJ160" i="60"/>
  <c r="BG160" i="60"/>
  <c r="BK160" i="60"/>
  <c r="BH160" i="60"/>
  <c r="BL160" i="60"/>
  <c r="BG250" i="60"/>
  <c r="BK250" i="60"/>
  <c r="BH250" i="60"/>
  <c r="BL250" i="60"/>
  <c r="BI250" i="60"/>
  <c r="BJ250" i="60"/>
  <c r="BH217" i="60"/>
  <c r="BJ217" i="60"/>
  <c r="BI217" i="60"/>
  <c r="BL217" i="60"/>
  <c r="BK217" i="60"/>
  <c r="BG217" i="60"/>
  <c r="BL238" i="60"/>
  <c r="BI238" i="60"/>
  <c r="BG238" i="60"/>
  <c r="BJ238" i="60"/>
  <c r="BK238" i="60"/>
  <c r="BH238" i="60"/>
  <c r="BH204" i="60"/>
  <c r="BJ204" i="60"/>
  <c r="BI204" i="60"/>
  <c r="BK204" i="60"/>
  <c r="BL204" i="60"/>
  <c r="BG204" i="60"/>
  <c r="BJ243" i="60"/>
  <c r="BL243" i="60"/>
  <c r="BG243" i="60"/>
  <c r="BH243" i="60"/>
  <c r="BK243" i="60"/>
  <c r="BI243" i="60"/>
  <c r="BJ149" i="60"/>
  <c r="BL149" i="60"/>
  <c r="BI149" i="60"/>
  <c r="BG149" i="60"/>
  <c r="BH149" i="60"/>
  <c r="BK149" i="60"/>
  <c r="BK128" i="60"/>
  <c r="BG128" i="60"/>
  <c r="BJ128" i="60"/>
  <c r="BI128" i="60"/>
  <c r="BH128" i="60"/>
  <c r="BL128" i="60"/>
  <c r="BJ72" i="60"/>
  <c r="BK72" i="60"/>
  <c r="BH16" i="60"/>
  <c r="BK16" i="60"/>
  <c r="BJ16" i="60"/>
  <c r="BG16" i="60"/>
  <c r="BL16" i="60"/>
  <c r="BI16" i="60"/>
  <c r="BK112" i="60"/>
  <c r="BH112" i="60"/>
  <c r="BG112" i="60"/>
  <c r="BI112" i="60"/>
  <c r="BJ112" i="60"/>
  <c r="BL112" i="60"/>
  <c r="BI140" i="60"/>
  <c r="BG140" i="60"/>
  <c r="BH140" i="60"/>
  <c r="BJ140" i="60"/>
  <c r="BL140" i="60"/>
  <c r="BK140" i="60"/>
  <c r="BH197" i="60"/>
  <c r="BL197" i="60"/>
  <c r="BG197" i="60"/>
  <c r="BI197" i="60"/>
  <c r="BK197" i="60"/>
  <c r="BJ197" i="60"/>
  <c r="BK60" i="60"/>
  <c r="BL60" i="60"/>
  <c r="BH60" i="60"/>
  <c r="BI60" i="60"/>
  <c r="BG60" i="60"/>
  <c r="BJ60" i="60"/>
  <c r="BH34" i="60"/>
  <c r="BI34" i="60"/>
  <c r="BG34" i="60"/>
  <c r="BL34" i="60"/>
  <c r="BK34" i="60"/>
  <c r="BJ34" i="60"/>
  <c r="BI148" i="60"/>
  <c r="BJ148" i="60"/>
  <c r="BK148" i="60"/>
  <c r="BL148" i="60"/>
  <c r="BH148" i="60"/>
  <c r="BG148" i="60"/>
  <c r="BL214" i="60"/>
  <c r="BH214" i="60"/>
  <c r="BJ214" i="60"/>
  <c r="BK214" i="60"/>
  <c r="BI214" i="60"/>
  <c r="BG214" i="60"/>
  <c r="BH47" i="60"/>
  <c r="BI47" i="60"/>
  <c r="BJ47" i="60"/>
  <c r="BL47" i="60"/>
  <c r="BK47" i="60"/>
  <c r="BG47" i="60"/>
  <c r="BI88" i="60"/>
  <c r="BH88" i="60"/>
  <c r="BG88" i="60"/>
  <c r="BL88" i="60"/>
  <c r="BK88" i="60"/>
  <c r="BJ88" i="60"/>
  <c r="BL116" i="60"/>
  <c r="BI116" i="60"/>
  <c r="BJ116" i="60"/>
  <c r="BH116" i="60"/>
  <c r="BG116" i="60"/>
  <c r="BK116" i="60"/>
  <c r="BI171" i="60"/>
  <c r="BJ171" i="60"/>
  <c r="BH171" i="60"/>
  <c r="BG171" i="60"/>
  <c r="BK171" i="60"/>
  <c r="BL171" i="60"/>
  <c r="BG165" i="60"/>
  <c r="BJ165" i="60"/>
  <c r="BH165" i="60"/>
  <c r="BI165" i="60"/>
  <c r="BL165" i="60"/>
  <c r="BK165" i="60"/>
  <c r="BG162" i="60"/>
  <c r="BK162" i="60"/>
  <c r="BJ162" i="60"/>
  <c r="BI162" i="60"/>
  <c r="BL162" i="60"/>
  <c r="BH162" i="60"/>
  <c r="BK223" i="60"/>
  <c r="BH223" i="60"/>
  <c r="BL223" i="60"/>
  <c r="BJ223" i="60"/>
  <c r="BI223" i="60"/>
  <c r="BG223" i="60"/>
  <c r="BI242" i="60"/>
  <c r="BJ242" i="60"/>
  <c r="BK242" i="60"/>
  <c r="BG242" i="60"/>
  <c r="BL242" i="60"/>
  <c r="BH242" i="60"/>
  <c r="BK215" i="60"/>
  <c r="BG215" i="60"/>
  <c r="BL215" i="60"/>
  <c r="BH215" i="60"/>
  <c r="BJ215" i="60"/>
  <c r="BI215" i="60"/>
  <c r="BH245" i="60"/>
  <c r="BL245" i="60"/>
  <c r="BJ245" i="60"/>
  <c r="BG245" i="60"/>
  <c r="BI245" i="60"/>
  <c r="BK245" i="60"/>
  <c r="BL198" i="60"/>
  <c r="BK198" i="60"/>
  <c r="BH198" i="60"/>
  <c r="BJ198" i="60"/>
  <c r="BG198" i="60"/>
  <c r="BI198" i="60"/>
  <c r="BK30" i="60"/>
  <c r="BH30" i="60"/>
  <c r="BI30" i="60"/>
  <c r="BG30" i="60"/>
  <c r="BJ30" i="60"/>
  <c r="BL30" i="60"/>
  <c r="BH32" i="60"/>
  <c r="BK32" i="60"/>
  <c r="BI32" i="60"/>
  <c r="BJ32" i="60"/>
  <c r="BG32" i="60"/>
  <c r="BL32" i="60"/>
  <c r="BH41" i="60"/>
  <c r="BK41" i="60"/>
  <c r="BH107" i="60"/>
  <c r="BK107" i="60"/>
  <c r="BJ107" i="60"/>
  <c r="BG107" i="60"/>
  <c r="BL107" i="60"/>
  <c r="BI107" i="60"/>
  <c r="BL153" i="60"/>
  <c r="BJ153" i="60"/>
  <c r="BG153" i="60"/>
  <c r="BK153" i="60"/>
  <c r="BI153" i="60"/>
  <c r="BH153" i="60"/>
  <c r="BG68" i="60"/>
  <c r="BL68" i="60"/>
  <c r="BK68" i="60"/>
  <c r="BJ68" i="60"/>
  <c r="BI68" i="60"/>
  <c r="BH68" i="60"/>
  <c r="BK118" i="60"/>
  <c r="BI118" i="60"/>
  <c r="BG118" i="60"/>
  <c r="BL118" i="60"/>
  <c r="BJ118" i="60"/>
  <c r="BH118" i="60"/>
  <c r="BH70" i="60"/>
  <c r="BL70" i="60"/>
  <c r="BI70" i="60"/>
  <c r="BK70" i="60"/>
  <c r="BJ70" i="60"/>
  <c r="BG70" i="60"/>
  <c r="BL54" i="60"/>
  <c r="BJ54" i="60"/>
  <c r="BG54" i="60"/>
  <c r="BK54" i="60"/>
  <c r="BH54" i="60"/>
  <c r="BI54" i="60"/>
  <c r="BJ166" i="60"/>
  <c r="BH166" i="60"/>
  <c r="BL166" i="60"/>
  <c r="BG166" i="60"/>
  <c r="BI166" i="60"/>
  <c r="BK166" i="60"/>
  <c r="BH80" i="60"/>
  <c r="BJ80" i="60"/>
  <c r="BG80" i="60"/>
  <c r="BL80" i="60"/>
  <c r="BI80" i="60"/>
  <c r="BK80" i="60"/>
  <c r="BG55" i="60"/>
  <c r="BH55" i="60"/>
  <c r="BI55" i="60"/>
  <c r="BK55" i="60"/>
  <c r="BJ55" i="60"/>
  <c r="BL55" i="60"/>
  <c r="BL122" i="60"/>
  <c r="BJ122" i="60"/>
  <c r="BH122" i="60"/>
  <c r="BK122" i="60"/>
  <c r="BI122" i="60"/>
  <c r="BG122" i="60"/>
  <c r="BL142" i="60"/>
  <c r="BK142" i="60"/>
  <c r="BI142" i="60"/>
  <c r="BG142" i="60"/>
  <c r="BJ142" i="60"/>
  <c r="BH142" i="60"/>
  <c r="BL188" i="60"/>
  <c r="BJ188" i="60"/>
  <c r="BI188" i="60"/>
  <c r="BG188" i="60"/>
  <c r="BK188" i="60"/>
  <c r="BH188" i="60"/>
  <c r="BG195" i="60"/>
  <c r="BI195" i="60"/>
  <c r="BJ195" i="60"/>
  <c r="BL195" i="60"/>
  <c r="BK195" i="60"/>
  <c r="BH195" i="60"/>
  <c r="BI210" i="60"/>
  <c r="BK210" i="60"/>
  <c r="BG210" i="60"/>
  <c r="BH210" i="60"/>
  <c r="BL210" i="60"/>
  <c r="BJ210" i="60"/>
  <c r="BI144" i="60"/>
  <c r="BK144" i="60"/>
  <c r="BG144" i="60"/>
  <c r="BL144" i="60"/>
  <c r="BJ144" i="60"/>
  <c r="BH144" i="60"/>
  <c r="BJ248" i="60"/>
  <c r="BI248" i="60"/>
  <c r="BG248" i="60"/>
  <c r="BL248" i="60"/>
  <c r="BH248" i="60"/>
  <c r="BK248" i="60"/>
  <c r="BJ240" i="60"/>
  <c r="BL240" i="60"/>
  <c r="BH240" i="60"/>
  <c r="BG240" i="60"/>
  <c r="BK240" i="60"/>
  <c r="BI240" i="60"/>
  <c r="BH239" i="60"/>
  <c r="BK239" i="60"/>
  <c r="BJ239" i="60"/>
  <c r="BI239" i="60"/>
  <c r="BG239" i="60"/>
  <c r="BL239" i="60"/>
  <c r="BL192" i="60"/>
  <c r="BG192" i="60"/>
  <c r="BI192" i="60"/>
  <c r="BH192" i="60"/>
  <c r="BJ192" i="60"/>
  <c r="BK192" i="60"/>
  <c r="BL27" i="60"/>
  <c r="BI27" i="60"/>
  <c r="BH27" i="60"/>
  <c r="BK27" i="60"/>
  <c r="BG27" i="60"/>
  <c r="BJ27" i="60"/>
  <c r="BL108" i="60"/>
  <c r="BK108" i="60"/>
  <c r="BJ108" i="60"/>
  <c r="BG108" i="60"/>
  <c r="BI108" i="60"/>
  <c r="BH108" i="60"/>
  <c r="BH232" i="60"/>
  <c r="BJ232" i="60"/>
  <c r="BG232" i="60"/>
  <c r="BK232" i="60"/>
  <c r="BI232" i="60"/>
  <c r="BL232" i="60"/>
  <c r="BH249" i="60"/>
  <c r="BI249" i="60"/>
  <c r="BJ249" i="60"/>
  <c r="BK249" i="60"/>
  <c r="BL249" i="60"/>
  <c r="BG249" i="60"/>
  <c r="BG6" i="60"/>
  <c r="BL6" i="60"/>
  <c r="BJ41" i="60"/>
  <c r="BG41" i="60"/>
  <c r="BI41" i="60"/>
  <c r="BL41" i="60"/>
  <c r="BG14" i="60"/>
  <c r="BL14" i="60"/>
  <c r="BI213" i="60"/>
  <c r="BL213" i="60"/>
  <c r="BJ213" i="60"/>
  <c r="BH213" i="60"/>
  <c r="BK213" i="60"/>
  <c r="BG213" i="60"/>
  <c r="BH92" i="60"/>
  <c r="BG92" i="60"/>
  <c r="BK92" i="60"/>
  <c r="BI92" i="60"/>
  <c r="BL92" i="60"/>
  <c r="BJ92" i="60"/>
  <c r="BH106" i="60"/>
  <c r="BJ106" i="60"/>
  <c r="BL106" i="60"/>
  <c r="BI106" i="60"/>
  <c r="BG106" i="60"/>
  <c r="BK106" i="60"/>
  <c r="BG132" i="60"/>
  <c r="BJ132" i="60"/>
  <c r="BL132" i="60"/>
  <c r="BH132" i="60"/>
  <c r="BI132" i="60"/>
  <c r="BK132" i="60"/>
  <c r="BJ57" i="60"/>
  <c r="BL57" i="60"/>
  <c r="BK57" i="60"/>
  <c r="BH57" i="60"/>
  <c r="BI57" i="60"/>
  <c r="BG57" i="60"/>
  <c r="BL200" i="60"/>
  <c r="BH200" i="60"/>
  <c r="BI200" i="60"/>
  <c r="BK200" i="60"/>
  <c r="BJ200" i="60"/>
  <c r="BG200" i="60"/>
  <c r="BI62" i="60"/>
  <c r="BK62" i="60"/>
  <c r="BL62" i="60"/>
  <c r="BJ62" i="60"/>
  <c r="BG62" i="60"/>
  <c r="BH62" i="60"/>
  <c r="BJ45" i="60"/>
  <c r="BH45" i="60"/>
  <c r="BG45" i="60"/>
  <c r="BI45" i="60"/>
  <c r="BL45" i="60"/>
  <c r="BK45" i="60"/>
  <c r="BL173" i="60"/>
  <c r="BJ173" i="60"/>
  <c r="BI173" i="60"/>
  <c r="BK173" i="60"/>
  <c r="BG173" i="60"/>
  <c r="BH173" i="60"/>
  <c r="BJ78" i="60"/>
  <c r="BI78" i="60"/>
  <c r="BL78" i="60"/>
  <c r="BG78" i="60"/>
  <c r="BK78" i="60"/>
  <c r="BH78" i="60"/>
  <c r="BK51" i="60"/>
  <c r="BL51" i="60"/>
  <c r="BG51" i="60"/>
  <c r="BJ51" i="60"/>
  <c r="BI51" i="60"/>
  <c r="BH51" i="60"/>
  <c r="BK89" i="60"/>
  <c r="BI89" i="60"/>
  <c r="BH89" i="60"/>
  <c r="BG89" i="60"/>
  <c r="BJ89" i="60"/>
  <c r="BL89" i="60"/>
  <c r="BI129" i="60"/>
  <c r="BH129" i="60"/>
  <c r="BL129" i="60"/>
  <c r="BG129" i="60"/>
  <c r="BJ129" i="60"/>
  <c r="BK129" i="60"/>
  <c r="BH172" i="60"/>
  <c r="BJ172" i="60"/>
  <c r="BK172" i="60"/>
  <c r="BL172" i="60"/>
  <c r="BG172" i="60"/>
  <c r="BI172" i="60"/>
  <c r="BL177" i="60"/>
  <c r="BG177" i="60"/>
  <c r="BJ177" i="60"/>
  <c r="BK177" i="60"/>
  <c r="BI177" i="60"/>
  <c r="BH177" i="60"/>
  <c r="BI189" i="60"/>
  <c r="BJ189" i="60"/>
  <c r="BK189" i="60"/>
  <c r="BL189" i="60"/>
  <c r="BG189" i="60"/>
  <c r="BH189" i="60"/>
  <c r="BL255" i="60"/>
  <c r="BG255" i="60"/>
  <c r="BI255" i="60"/>
  <c r="BH255" i="60"/>
  <c r="BJ255" i="60"/>
  <c r="BK255" i="60"/>
  <c r="BL244" i="60"/>
  <c r="BI244" i="60"/>
  <c r="BK244" i="60"/>
  <c r="BJ244" i="60"/>
  <c r="BG244" i="60"/>
  <c r="BH244" i="60"/>
  <c r="BG225" i="60"/>
  <c r="BI225" i="60"/>
  <c r="BJ225" i="60"/>
  <c r="BH225" i="60"/>
  <c r="BK225" i="60"/>
  <c r="BL225" i="60"/>
  <c r="BK233" i="60"/>
  <c r="BI233" i="60"/>
  <c r="BL233" i="60"/>
  <c r="BJ233" i="60"/>
  <c r="BH233" i="60"/>
  <c r="BG233" i="60"/>
  <c r="BK22" i="60"/>
  <c r="BJ22" i="60"/>
  <c r="BL22" i="60"/>
  <c r="BI22" i="60"/>
  <c r="BH22" i="60"/>
  <c r="BG22" i="60"/>
  <c r="BK26" i="60"/>
  <c r="BG26" i="60"/>
  <c r="BH26" i="60"/>
  <c r="BI26" i="60"/>
  <c r="BL26" i="60"/>
  <c r="BJ26" i="60"/>
  <c r="BK143" i="60"/>
  <c r="BJ143" i="60"/>
  <c r="BG143" i="60"/>
  <c r="BI143" i="60"/>
  <c r="BL143" i="60"/>
  <c r="BH143" i="60"/>
  <c r="BI82" i="60"/>
  <c r="BL82" i="60"/>
  <c r="BG82" i="60"/>
  <c r="BJ82" i="60"/>
  <c r="BK82" i="60"/>
  <c r="BH82" i="60"/>
  <c r="BJ99" i="60"/>
  <c r="BK99" i="60"/>
  <c r="BG99" i="60"/>
  <c r="BI99" i="60"/>
  <c r="BH99" i="60"/>
  <c r="BL99" i="60"/>
  <c r="BG8" i="60"/>
  <c r="BL8" i="60"/>
  <c r="BK105" i="60"/>
  <c r="BH105" i="60"/>
  <c r="BL105" i="60"/>
  <c r="BG105" i="60"/>
  <c r="BJ105" i="60"/>
  <c r="BI105" i="60"/>
  <c r="B22" i="31"/>
  <c r="CB11" i="29" l="1" a="1"/>
  <c r="CG11" i="29" s="1"/>
  <c r="S11" i="29" s="1"/>
  <c r="BK13" i="60" s="1"/>
  <c r="BZ11" i="29" a="1"/>
  <c r="BY11" i="29" a="1"/>
  <c r="CD11" i="29" s="1"/>
  <c r="O11" i="29" s="1"/>
  <c r="BH13" i="60" s="1"/>
  <c r="CA11" i="29" a="1"/>
  <c r="CF11" i="29" s="1"/>
  <c r="Q11" i="29" s="1"/>
  <c r="BJ13" i="60" s="1"/>
  <c r="CC9" i="29"/>
  <c r="CC13" i="29"/>
  <c r="BY14" i="19"/>
  <c r="BH14" i="60"/>
  <c r="CC14" i="29"/>
  <c r="BY15" i="19"/>
  <c r="BH15" i="60"/>
  <c r="CA10" i="29" a="1"/>
  <c r="CF10" i="29" s="1"/>
  <c r="Q10" i="29" s="1"/>
  <c r="CB10" i="29" a="1"/>
  <c r="CG10" i="29" s="1"/>
  <c r="S10" i="29" s="1"/>
  <c r="BZ10" i="29" a="1"/>
  <c r="CE10" i="29" s="1"/>
  <c r="BY10" i="29" a="1"/>
  <c r="CD10" i="29" s="1"/>
  <c r="O10" i="29" s="1"/>
  <c r="P12" i="29"/>
  <c r="CH12" i="29"/>
  <c r="BY13" i="19"/>
  <c r="CC8" i="29"/>
  <c r="CC6" i="29"/>
  <c r="I3" i="60" a="1"/>
  <c r="CB7" i="29" a="1"/>
  <c r="CG7" i="29" s="1"/>
  <c r="S7" i="29" s="1"/>
  <c r="CA7" i="29" a="1"/>
  <c r="CF7" i="29" s="1"/>
  <c r="Q7" i="29" s="1"/>
  <c r="BZ7" i="29" a="1"/>
  <c r="CE7" i="29" s="1"/>
  <c r="BY7" i="29" a="1"/>
  <c r="CD7" i="29" s="1"/>
  <c r="O7" i="29" s="1"/>
  <c r="CB5" i="29" a="1"/>
  <c r="CG5" i="29" s="1"/>
  <c r="S5" i="29" s="1"/>
  <c r="BY5" i="29" a="1"/>
  <c r="CD5" i="29" s="1"/>
  <c r="O5" i="29" s="1"/>
  <c r="CA5" i="29" a="1"/>
  <c r="CF5" i="29" s="1"/>
  <c r="Q5" i="29" s="1"/>
  <c r="BZ5" i="29" a="1"/>
  <c r="CE5" i="29" s="1"/>
  <c r="B24" i="31"/>
  <c r="BJ12" i="60" l="1"/>
  <c r="BK12" i="60"/>
  <c r="CE11" i="29"/>
  <c r="CC11" i="29"/>
  <c r="P9" i="29"/>
  <c r="CH9" i="29"/>
  <c r="BH12" i="60"/>
  <c r="BY12" i="19"/>
  <c r="P13" i="29"/>
  <c r="BI14" i="60" s="1"/>
  <c r="CH13" i="29"/>
  <c r="CH14" i="29"/>
  <c r="P14" i="29"/>
  <c r="BI15" i="60" s="1"/>
  <c r="CC10" i="29"/>
  <c r="BT12" i="29"/>
  <c r="V12" i="29" s="1"/>
  <c r="U12" i="29"/>
  <c r="P8" i="29"/>
  <c r="CH8" i="29"/>
  <c r="BK10" i="60"/>
  <c r="BK11" i="60"/>
  <c r="BJ10" i="60"/>
  <c r="BJ11" i="60"/>
  <c r="BY11" i="19"/>
  <c r="BH11" i="60"/>
  <c r="BY10" i="19"/>
  <c r="BH10" i="60"/>
  <c r="P6" i="29"/>
  <c r="CH6" i="29"/>
  <c r="BK9" i="60"/>
  <c r="BK8" i="60"/>
  <c r="BJ9" i="60"/>
  <c r="BJ8" i="60"/>
  <c r="BY8" i="19"/>
  <c r="BH8" i="60"/>
  <c r="CC7" i="29"/>
  <c r="BH9" i="60"/>
  <c r="BY9" i="19"/>
  <c r="BK7" i="60"/>
  <c r="BK6" i="60"/>
  <c r="BY6" i="19"/>
  <c r="BH6" i="60"/>
  <c r="BJ7" i="60"/>
  <c r="BJ6" i="60"/>
  <c r="CC5" i="29"/>
  <c r="BH7" i="60"/>
  <c r="BY7" i="19"/>
  <c r="B25" i="31"/>
  <c r="C32" i="26" a="1"/>
  <c r="CH11" i="29" l="1"/>
  <c r="P11" i="29"/>
  <c r="U9" i="29"/>
  <c r="BT9" i="29"/>
  <c r="U13" i="29"/>
  <c r="G14" i="18" s="1"/>
  <c r="BZ14" i="19"/>
  <c r="BT13" i="29"/>
  <c r="V13" i="29" s="1"/>
  <c r="BT14" i="29"/>
  <c r="V14" i="29" s="1"/>
  <c r="BZ15" i="19"/>
  <c r="U14" i="29"/>
  <c r="G15" i="18" s="1"/>
  <c r="P10" i="29"/>
  <c r="CH10" i="29"/>
  <c r="BZ13" i="19"/>
  <c r="BI13" i="60"/>
  <c r="BT8" i="29"/>
  <c r="U8" i="29"/>
  <c r="BT6" i="29"/>
  <c r="U6" i="29"/>
  <c r="CH7" i="29"/>
  <c r="P7" i="29"/>
  <c r="P5" i="29"/>
  <c r="CH5" i="29"/>
  <c r="B26" i="31"/>
  <c r="C29" i="26"/>
  <c r="C30" i="26"/>
  <c r="BZ12" i="19" l="1"/>
  <c r="BT11" i="29"/>
  <c r="U11" i="29"/>
  <c r="V9" i="29"/>
  <c r="V8" i="29"/>
  <c r="BI12" i="60"/>
  <c r="H14" i="18"/>
  <c r="BS14" i="60" s="1"/>
  <c r="BR14" i="60"/>
  <c r="K14" i="18"/>
  <c r="BT14" i="60" s="1"/>
  <c r="G14" i="19"/>
  <c r="CH14" i="19" a="1"/>
  <c r="CH15" i="19" a="1"/>
  <c r="G15" i="19"/>
  <c r="F15" i="18" s="1"/>
  <c r="BR15" i="60"/>
  <c r="H15" i="18"/>
  <c r="BS15" i="60" s="1"/>
  <c r="K15" i="18"/>
  <c r="BT15" i="60" s="1"/>
  <c r="U10" i="29"/>
  <c r="BT10" i="29"/>
  <c r="CH13" i="19" a="1"/>
  <c r="G13" i="19"/>
  <c r="F13" i="18" s="1"/>
  <c r="G13" i="18"/>
  <c r="E30" i="3"/>
  <c r="BZ10" i="19"/>
  <c r="BZ11" i="19"/>
  <c r="BI10" i="60"/>
  <c r="BI11" i="60"/>
  <c r="V6" i="29"/>
  <c r="BZ8" i="19"/>
  <c r="BI8" i="60"/>
  <c r="BI9" i="60"/>
  <c r="BT7" i="29"/>
  <c r="U7" i="29"/>
  <c r="BZ9" i="19"/>
  <c r="BI6" i="60"/>
  <c r="BZ7" i="19"/>
  <c r="BZ6" i="19"/>
  <c r="BI7" i="60"/>
  <c r="BT5" i="29"/>
  <c r="U5" i="29"/>
  <c r="E32" i="26"/>
  <c r="C31" i="26"/>
  <c r="E31" i="26" s="1" a="1"/>
  <c r="V11" i="29" l="1"/>
  <c r="G12" i="18"/>
  <c r="BR12" i="60" s="1"/>
  <c r="CH12" i="19" a="1"/>
  <c r="G12" i="19"/>
  <c r="F12" i="18" s="1"/>
  <c r="V10" i="29"/>
  <c r="F14" i="18"/>
  <c r="B37" i="31"/>
  <c r="BR13" i="60"/>
  <c r="K13" i="18"/>
  <c r="BT13" i="60" s="1"/>
  <c r="H13" i="18"/>
  <c r="BS13" i="60" s="1"/>
  <c r="V7" i="29"/>
  <c r="CH10" i="19" a="1"/>
  <c r="G10" i="19"/>
  <c r="F10" i="18" s="1"/>
  <c r="CH11" i="19" a="1"/>
  <c r="G11" i="19"/>
  <c r="F11" i="18" s="1"/>
  <c r="G10" i="18"/>
  <c r="G11" i="18"/>
  <c r="V5" i="29"/>
  <c r="G8" i="19"/>
  <c r="F8" i="18" s="1"/>
  <c r="CH8" i="19" a="1"/>
  <c r="G9" i="18"/>
  <c r="G8" i="18"/>
  <c r="CH9" i="19" a="1"/>
  <c r="G9" i="19"/>
  <c r="F9" i="18" s="1"/>
  <c r="G7" i="19"/>
  <c r="F7" i="18" s="1"/>
  <c r="CH7" i="19" a="1"/>
  <c r="G6" i="19"/>
  <c r="F6" i="18" s="1"/>
  <c r="CH6" i="19" a="1"/>
  <c r="G7" i="18"/>
  <c r="G6" i="18"/>
  <c r="E28" i="26"/>
  <c r="BR10" i="60" l="1"/>
  <c r="BR11" i="60"/>
  <c r="BR9" i="60"/>
  <c r="BR8" i="60"/>
  <c r="BR7" i="60"/>
  <c r="H6" i="19"/>
  <c r="I6" i="19" s="1"/>
  <c r="J6" i="19" s="1"/>
  <c r="CP6" i="19"/>
  <c r="P6" i="19" s="1"/>
  <c r="BR6" i="60"/>
  <c r="K6" i="18"/>
  <c r="BT6" i="60" s="1"/>
  <c r="H6" i="18"/>
  <c r="CK6" i="19" l="1"/>
  <c r="CL6" i="19" s="1"/>
  <c r="BS6" i="60"/>
  <c r="BM6" i="60" l="1"/>
  <c r="M6" i="19"/>
  <c r="T6" i="19" s="1"/>
  <c r="BQ6" i="60" l="1"/>
  <c r="BU6" i="60" s="1"/>
  <c r="Q6" i="19"/>
  <c r="O6" i="19"/>
  <c r="BN6" i="60" l="1"/>
  <c r="H7" i="18" l="1"/>
  <c r="H9" i="18" l="1"/>
  <c r="H8" i="18"/>
  <c r="H10" i="18"/>
  <c r="K10" i="18" s="1"/>
  <c r="BT10" i="60" s="1"/>
  <c r="BS7" i="60"/>
  <c r="K7" i="18"/>
  <c r="BT7" i="60" s="1"/>
  <c r="R6" i="19"/>
  <c r="BS9" i="60" l="1"/>
  <c r="K9" i="18"/>
  <c r="BT9" i="60" s="1"/>
  <c r="K8" i="18"/>
  <c r="BT8" i="60" s="1"/>
  <c r="BS8" i="60"/>
  <c r="BS10" i="60"/>
  <c r="H11" i="18"/>
  <c r="K11" i="18" s="1"/>
  <c r="BT11" i="60" s="1"/>
  <c r="BO6" i="60"/>
  <c r="S6" i="19"/>
  <c r="BS11" i="60" l="1"/>
  <c r="H12" i="18"/>
  <c r="BP6" i="60"/>
  <c r="K12" i="18" l="1"/>
  <c r="BT12" i="60" s="1"/>
  <c r="H14" i="3"/>
  <c r="E28" i="3"/>
  <c r="BS12" i="60"/>
  <c r="C24" i="25"/>
  <c r="J24" i="25" s="1"/>
  <c r="K24" i="25" l="1" a="1"/>
  <c r="M24" i="25" s="1"/>
  <c r="B39" i="31" s="1"/>
  <c r="L24" i="25" a="1"/>
  <c r="O24" i="25" l="1"/>
  <c r="H15" i="3"/>
  <c r="E29" i="3" s="1"/>
  <c r="G15" i="3"/>
  <c r="N24" i="25" a="1"/>
  <c r="N15" i="19" l="1"/>
  <c r="CP15" i="19" l="1"/>
  <c r="P15" i="19" s="1"/>
  <c r="R14" i="19" l="1"/>
  <c r="BO14" i="60" s="1"/>
  <c r="R15" i="19"/>
  <c r="BO15" i="60" l="1"/>
  <c r="N13" i="19" l="1"/>
  <c r="N14" i="19"/>
  <c r="CP13" i="19"/>
  <c r="P13" i="19" s="1"/>
  <c r="CP14" i="19"/>
  <c r="P14" i="19" s="1"/>
  <c r="AL8" i="12" l="1" a="1"/>
  <c r="AM8" i="12" l="1"/>
  <c r="AN8" i="12"/>
  <c r="F14" i="19"/>
  <c r="H14" i="19" s="1"/>
  <c r="I14" i="19" s="1"/>
  <c r="CK14" i="19" s="1"/>
  <c r="CL14" i="19" s="1"/>
  <c r="J14" i="19" s="1"/>
  <c r="F15" i="19"/>
  <c r="H15" i="19" s="1"/>
  <c r="I15" i="19" s="1"/>
  <c r="CK15" i="19" s="1"/>
  <c r="CL15" i="19" s="1"/>
  <c r="J15" i="19" s="1"/>
  <c r="F13" i="19"/>
  <c r="H13" i="19" s="1"/>
  <c r="I13" i="19" s="1"/>
  <c r="CK13" i="19" s="1"/>
  <c r="CL13" i="19" s="1"/>
  <c r="J13" i="19" s="1"/>
  <c r="M14" i="19" l="1"/>
  <c r="BM14" i="60"/>
  <c r="M15" i="19"/>
  <c r="BM15" i="60"/>
  <c r="BM13" i="60"/>
  <c r="M13" i="19"/>
  <c r="AO8" i="12"/>
  <c r="O14" i="19" l="1"/>
  <c r="T14" i="19"/>
  <c r="BQ14" i="60" s="1"/>
  <c r="BU14" i="60" s="1"/>
  <c r="Q14" i="19"/>
  <c r="T15" i="19"/>
  <c r="BQ15" i="60" s="1"/>
  <c r="BU15" i="60" s="1"/>
  <c r="Q15" i="19"/>
  <c r="O15" i="19"/>
  <c r="Q13" i="19"/>
  <c r="O13" i="19"/>
  <c r="AP8" i="12"/>
  <c r="S8" i="12"/>
  <c r="S14" i="19" l="1"/>
  <c r="BP14" i="60" s="1"/>
  <c r="BN14" i="60"/>
  <c r="BN15" i="60"/>
  <c r="S15" i="19"/>
  <c r="BP15" i="60" s="1"/>
  <c r="BN13" i="60"/>
  <c r="AQ8" i="12"/>
  <c r="T8" i="12"/>
  <c r="AS8" i="12" a="1"/>
  <c r="U8" i="12" s="1"/>
  <c r="Y57" i="24" l="1"/>
  <c r="R12" i="19" l="1"/>
  <c r="R13" i="19"/>
  <c r="BO12" i="60" l="1"/>
  <c r="S13" i="19"/>
  <c r="BP13" i="60" s="1"/>
  <c r="BO13" i="60"/>
  <c r="T13" i="19"/>
  <c r="BQ13" i="60" s="1"/>
  <c r="BU13" i="60" s="1"/>
  <c r="AN7" i="12" l="1"/>
  <c r="AM7" i="12"/>
  <c r="AO7" i="12" l="1"/>
  <c r="AP7" i="12" l="1"/>
  <c r="S7" i="12"/>
  <c r="T7" i="12" l="1"/>
  <c r="AQ7" i="12"/>
  <c r="AS7" i="12" a="1"/>
  <c r="U7" i="12" s="1"/>
  <c r="R7" i="19" l="1"/>
  <c r="R8" i="19"/>
  <c r="R10" i="19" l="1"/>
  <c r="BO7" i="60"/>
  <c r="BO8" i="60"/>
  <c r="R9" i="19"/>
  <c r="R11" i="19"/>
  <c r="BO10" i="60" l="1"/>
  <c r="BO9" i="60"/>
  <c r="BO11" i="60"/>
  <c r="AL7" i="12" l="1" a="1"/>
  <c r="F7" i="19" l="1"/>
  <c r="H7" i="19" l="1"/>
  <c r="I7" i="19" s="1"/>
  <c r="J7" i="19" l="1"/>
  <c r="CK7" i="19"/>
  <c r="CL7" i="19" s="1"/>
  <c r="BM7" i="60" l="1"/>
  <c r="M7" i="19"/>
  <c r="T7" i="19" l="1"/>
  <c r="BQ7" i="60" s="1"/>
  <c r="BU7" i="60" s="1"/>
  <c r="Q7" i="19"/>
  <c r="F8" i="19"/>
  <c r="S7" i="19" l="1"/>
  <c r="BP7" i="60" s="1"/>
  <c r="BN7" i="60"/>
  <c r="H8" i="19"/>
  <c r="I8" i="19" s="1"/>
  <c r="T10" i="19" l="1"/>
  <c r="BQ10" i="60" s="1"/>
  <c r="BU10" i="60" s="1"/>
  <c r="J8" i="19"/>
  <c r="CK8" i="19"/>
  <c r="CL8" i="19" s="1"/>
  <c r="CP11" i="19"/>
  <c r="P11" i="19" s="1"/>
  <c r="CP12" i="19" s="1"/>
  <c r="P12" i="19" s="1"/>
  <c r="CP7" i="19" s="1"/>
  <c r="P7" i="19" s="1"/>
  <c r="BM8" i="60" l="1"/>
  <c r="M8" i="19"/>
  <c r="F10" i="19" s="1"/>
  <c r="H10" i="19" s="1"/>
  <c r="I10" i="19" s="1"/>
  <c r="CK10" i="19" s="1"/>
  <c r="CL10" i="19" s="1"/>
  <c r="J10" i="19" s="1"/>
  <c r="CP8" i="19"/>
  <c r="P8" i="19" s="1"/>
  <c r="BM10" i="60" l="1"/>
  <c r="M10" i="19"/>
  <c r="Q10" i="19" s="1"/>
  <c r="CP9" i="19"/>
  <c r="P9" i="19" s="1"/>
  <c r="CP10" i="19"/>
  <c r="P10" i="19" s="1"/>
  <c r="F9" i="19"/>
  <c r="T8" i="19"/>
  <c r="BQ8" i="60" s="1"/>
  <c r="BU8" i="60" s="1"/>
  <c r="Q8" i="19"/>
  <c r="T62" i="23" s="1"/>
  <c r="U62" i="23" s="1"/>
  <c r="BN10" i="60" l="1"/>
  <c r="S10" i="19"/>
  <c r="BP10" i="60" s="1"/>
  <c r="H9" i="19"/>
  <c r="I9" i="19" s="1"/>
  <c r="BN8" i="60"/>
  <c r="S8" i="19"/>
  <c r="BP8" i="60" l="1"/>
  <c r="J9" i="19"/>
  <c r="AL6" i="12" s="1" a="1"/>
  <c r="CK9" i="19"/>
  <c r="CL9" i="19" s="1"/>
  <c r="AM6" i="12" l="1"/>
  <c r="AN6" i="12"/>
  <c r="M9" i="19"/>
  <c r="F11" i="19" s="1"/>
  <c r="H11" i="19" s="1"/>
  <c r="I11" i="19" s="1"/>
  <c r="CK11" i="19" s="1"/>
  <c r="CL11" i="19" s="1"/>
  <c r="J11" i="19" s="1"/>
  <c r="BM9" i="60"/>
  <c r="AO6" i="12" l="1"/>
  <c r="M11" i="19"/>
  <c r="BM11" i="60"/>
  <c r="Q9" i="19"/>
  <c r="T9" i="19"/>
  <c r="BQ9" i="60" s="1"/>
  <c r="BU9" i="60" s="1"/>
  <c r="S6" i="12" l="1"/>
  <c r="AP6" i="12"/>
  <c r="T11" i="19"/>
  <c r="BQ11" i="60" s="1"/>
  <c r="BU11" i="60" s="1"/>
  <c r="Q11" i="19"/>
  <c r="F12" i="19"/>
  <c r="H12" i="19" s="1"/>
  <c r="I12" i="19" s="1"/>
  <c r="CK12" i="19" s="1"/>
  <c r="CL12" i="19" s="1"/>
  <c r="J12" i="19" s="1"/>
  <c r="BN9" i="60"/>
  <c r="S9" i="19"/>
  <c r="AS6" i="12" l="1" a="1"/>
  <c r="U6" i="12" s="1"/>
  <c r="AQ6" i="12"/>
  <c r="T6" i="12"/>
  <c r="S11" i="19"/>
  <c r="BP11" i="60" s="1"/>
  <c r="BN11" i="60"/>
  <c r="M12" i="19"/>
  <c r="BM12" i="60"/>
  <c r="BP9" i="60"/>
  <c r="N7" i="19"/>
  <c r="N11" i="19"/>
  <c r="Q12" i="19" l="1"/>
  <c r="T12" i="19"/>
  <c r="BQ12" i="60" s="1"/>
  <c r="BU12" i="60" s="1"/>
  <c r="O11" i="19"/>
  <c r="N12" i="19"/>
  <c r="O12" i="19" s="1"/>
  <c r="O7" i="19"/>
  <c r="N8" i="19"/>
  <c r="N10" i="19" s="1"/>
  <c r="O10" i="19" s="1"/>
  <c r="S12" i="19" l="1"/>
  <c r="BN12" i="60"/>
  <c r="O8" i="19"/>
  <c r="N9" i="19"/>
  <c r="O9" i="19" s="1"/>
  <c r="G13" i="3" l="1"/>
  <c r="H13" i="3"/>
  <c r="E27" i="3" s="1"/>
  <c r="A18" i="3" s="1"/>
  <c r="BP12" i="60"/>
  <c r="A6" i="60" s="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E27" authorId="0" shapeId="0" xr:uid="{0B8E2113-91C9-4724-9CAC-D8794BDC5584}">
      <text>
        <r>
          <rPr>
            <b/>
            <sz val="9"/>
            <color indexed="81"/>
            <rFont val="Tahoma"/>
            <family val="2"/>
          </rPr>
          <t>SÄZÄN PowerCalc:
v1.1: now evaluates every bus in the Short Circuit table, not just the first row.</t>
        </r>
      </text>
    </comment>
    <comment ref="E28" authorId="0" shapeId="0" xr:uid="{E97B69F9-FA8D-4F90-A7A6-EDB056F6A78B}">
      <text>
        <r>
          <rPr>
            <b/>
            <sz val="9"/>
            <color indexed="81"/>
            <rFont val="Tahoma"/>
            <family val="2"/>
          </rPr>
          <t>SÄZÄN PowerCalc:
v1.1: repointed from H5 (blank) to H4, the actual project-maximum %VD cell.</t>
        </r>
      </text>
    </comment>
    <comment ref="E29" authorId="0" shapeId="0" xr:uid="{67F37020-89AF-463E-A671-E8A011922605}">
      <text>
        <r>
          <rPr>
            <b/>
            <sz val="9"/>
            <color indexed="81"/>
            <rFont val="Tahoma"/>
            <family val="2"/>
          </rPr>
          <t>SÄZÄN PowerCalc:
v1.1: now evaluates every bus in the Arc Flash table, not just the first row.</t>
        </r>
      </text>
    </comment>
    <comment ref="E30" authorId="0" shapeId="0" xr:uid="{97D9D2F7-C262-4F73-9B8F-B58CB5934A6A}">
      <text>
        <r>
          <rPr>
            <b/>
            <sz val="9"/>
            <color indexed="81"/>
            <rFont val="Tahoma"/>
            <family val="2"/>
          </rPr>
          <t>SÄZÄN PowerCalc:
v1.1: counts all sized feeders (H column) instead of reporting only row 6. A6 blank = no feeders yet.</t>
        </r>
      </text>
    </comment>
    <comment ref="B64" authorId="0" shapeId="0" xr:uid="{96378440-0CEB-4102-98CD-D9FC454ECD77}">
      <text>
        <r>
          <rPr>
            <b/>
            <sz val="9"/>
            <color indexed="81"/>
            <rFont val="Tahoma"/>
            <charset val="1"/>
          </rPr>
          <t>SÄZÄN PowerCalc:
One column per utility service transformer. Set each main board's Fed From in the registry to this tag. Use Sources 2–4 for redundant services (e.g., main-tie-main).</t>
        </r>
      </text>
    </comment>
    <comment ref="B66" authorId="0" shapeId="0" xr:uid="{25B47C21-8EF4-4AC9-A409-8C68E8D806B5}">
      <text>
        <r>
          <rPr>
            <b/>
            <sz val="9"/>
            <color indexed="81"/>
            <rFont val="Tahoma"/>
            <charset val="1"/>
          </rPr>
          <t>SÄZÄN PowerCalc:
Utility = utility-owned (scheduled for reference only; NEC 90.2(B)(5)). Owner = customer-owned service transformer (medium-voltage service) — engineer must specify it.</t>
        </r>
      </text>
    </comment>
    <comment ref="B69" authorId="0" shapeId="0" xr:uid="{E080BA17-DC14-44A1-A4AD-ADEB44FFCA10}">
      <text>
        <r>
          <rPr>
            <b/>
            <sz val="9"/>
            <color indexed="81"/>
            <rFont val="Tahoma"/>
            <charset val="1"/>
          </rPr>
          <t>SÄZÄN PowerCalc:
Auto: follows the System Voltage selected above. Blank when no voltage is selected.</t>
        </r>
      </text>
    </comment>
    <comment ref="B72" authorId="0" shapeId="0" xr:uid="{EF1D3330-9B13-4AF7-9880-66E501300B40}">
      <text>
        <r>
          <rPr>
            <b/>
            <sz val="9"/>
            <color indexed="81"/>
            <rFont val="Tahoma"/>
            <charset val="1"/>
          </rPr>
          <t>SÄZÄN PowerCalc:
From the utility letter — symmetrical RMS at the transformer secondary. This value governs the short-circuit study for that source. Used only when the SC module is ON.</t>
        </r>
      </text>
    </comment>
    <comment ref="B74" authorId="0" shapeId="0" xr:uid="{BD750D22-DA36-40DF-84C2-920256BEB442}">
      <text>
        <r>
          <rPr>
            <b/>
            <sz val="9"/>
            <color indexed="81"/>
            <rFont val="Tahoma"/>
            <charset val="1"/>
          </rPr>
          <t>SÄZÄN PowerCalc:
Theoretical maximum through this transformer with an infinite primary. A check against the utility letter only — it does not drive the study.</t>
        </r>
      </text>
    </comment>
    <comment ref="B75" authorId="0" shapeId="0" xr:uid="{39678E3D-78BE-48FA-91BF-8C6B32D11807}">
      <text>
        <r>
          <rPr>
            <b/>
            <sz val="9"/>
            <color indexed="81"/>
            <rFont val="Tahoma"/>
            <charset val="1"/>
          </rPr>
          <t>SÄZÄN PowerCalc:
Value the Short Circuit study starts from at this source. Adds partner sources through any tie that can parallel (N.C., closed transition or continuous parallel) and takes the larger source through open-transition ties. Conservative: ignores impedance between the source and the tie.</t>
        </r>
      </text>
    </comment>
    <comment ref="B78" authorId="0" shapeId="0" xr:uid="{5A6226CF-FA85-4188-BBE8-E85A0300803E}">
      <text>
        <r>
          <rPr>
            <b/>
            <sz val="9"/>
            <color indexed="81"/>
            <rFont val="Tahoma"/>
            <charset val="1"/>
          </rPr>
          <t>SÄZÄN PowerCalc:
More than one service needs one of the NEC 230.2(A)–(D) conditions and a permanent plaque/directory at each service disconnect per 230.2(E).</t>
        </r>
      </text>
    </comment>
    <comment ref="B82" authorId="0" shapeId="0" xr:uid="{7F50CD5D-AB66-472A-B81D-3D1AA164BE6A}">
      <text>
        <r>
          <rPr>
            <b/>
            <sz val="9"/>
            <color indexed="81"/>
            <rFont val="Tahoma"/>
            <charset val="1"/>
          </rPr>
          <t>SÄZÄN PowerCalc:
List each tie between split buses or separate main boards. Bus A/B come from the registry. Normal N.O. + Open transition = interlocked (only two of three breakers closed). Closed transition or continuous parallel means both sources feed the fault, so gear AIC must cover the sum.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M52" authorId="0" shapeId="0" xr:uid="{96E6767B-6F8D-443E-9B73-6AB2A53418D8}">
      <text>
        <r>
          <rPr>
            <b/>
            <sz val="9"/>
            <color indexed="81"/>
            <rFont val="Tahoma"/>
            <charset val="1"/>
          </rPr>
          <t>Corey McKinnon:</t>
        </r>
        <r>
          <rPr>
            <sz val="9"/>
            <color indexed="81"/>
            <rFont val="Tahoma"/>
            <charset val="1"/>
          </rPr>
          <t xml:space="preserve">
SÄZÄN PowerCalc: Required kW / kVA also cover every AUTOMATIC transfer switch (ATS) on this unit at its full load-side demand (Transfer Switches ▸ Load kVA), per NEC 702.4(B)(2) — an automatic optional-standby transfer must carry the full load unless a load-management system is provided. MTS (manual, 702.4(B)(1)) is not forced: size for the loads the user will select.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AH2" authorId="0" shapeId="0" xr:uid="{20ECDC53-7A33-4C10-B929-16DAE809F577}">
      <text>
        <r>
          <rPr>
            <b/>
            <sz val="9"/>
            <color indexed="81"/>
            <rFont val="Tahoma"/>
            <family val="2"/>
          </rPr>
          <t>SÄZÄN PowerCalc:
INRUSH MULTIPLIER (× FLA) — how to populate
What it is: magnetizing inrush current as a multiple of primary FLA, used to compute column AE. Inrush is a first-cycle transient that decays in a few cycles; the primary OCPD has to ride through it without nuisance tripping, and a generator has to be able to supply it.
Where to get it: the manufacturer's inrush curve or test report is authoritative. Dry-type units are usually 8 to 12 x FLA; the default of 10 is a reasonable design value before submittals.
Use it to check:
• Primary OCPD (column M) — the instantaneous trip setting must sit above the inrush point, or use a magnetic-only / higher-instantaneous device.
• Generator sizing — carry this into the Generator tab when a transformer starts on emergency power.
• Very lightly loaded transformers on the primary of a small feeder — inrush can exceed the feeder OCPD.
Raise it to 12 for conservatism on cast coil or K-rated units. Lower it only against a manufacturer curve.
Applies to every row in the schedule.</t>
        </r>
      </text>
    </comment>
    <comment ref="M6" authorId="0" shapeId="0" xr:uid="{6CFA9399-CBB5-430D-95AD-310F4B2292C7}">
      <text>
        <r>
          <rPr>
            <b/>
            <sz val="9"/>
            <color indexed="81"/>
            <rFont val="Tahoma"/>
            <family val="2"/>
          </rPr>
          <t>SÄZÄN PowerCalc:
450.3(B): 125% of primary FLA, next standard size up. Where secondary protection at 125% is provided (column N), the primary device may go up to 250% — enter that size in the Pri OCPD Override (AK) rather than typing over this cell.</t>
        </r>
      </text>
    </comment>
    <comment ref="N6" authorId="0" shapeId="0" xr:uid="{CF55A865-F6F0-4945-A96B-DAA5BC3299B5}">
      <text>
        <r>
          <rPr>
            <b/>
            <sz val="9"/>
            <color indexed="81"/>
            <rFont val="Tahoma"/>
            <family val="2"/>
          </rPr>
          <t>SÄZÄN PowerCalc:
450.3(B) secondary protection at 125% of secondary FLA; also satisfies 240.21(C) for the secondary conductors. To force a different device, enter it in the Sec OCPD Override (AL) — do not type over this cell.</t>
        </r>
      </text>
    </comment>
    <comment ref="W6" authorId="0" shapeId="0" xr:uid="{ACB14E3B-0BDF-4EC7-8CEA-B445DF4AC6D4}">
      <text>
        <r>
          <rPr>
            <b/>
            <sz val="9"/>
            <color indexed="81"/>
            <rFont val="Tahoma"/>
            <family val="2"/>
          </rPr>
          <t>SÄZÄN PowerCalc:
SOURCE X/R — how to populate
What it is: the X/R ratio of everything upstream of the transformer primary (utility + service conductors + any upstream transformers). Used to split the upstream impedance into R and X so the secondary fault is combined vectorially rather than arithmetically.
Where to get it:
• Utility short-circuit letter — best source. Ask for available fault current AND X/R at the service point.
• The upstream transformer's own X/R if this primary is fed from another transformer in this project (see column U of that row).
Typical values if you have nothing:
• 15 — utility service, medium voltage (the NEC_Data default, conservative for a stiff source)
• 6 to 10 — fed from a large upstream transformer
• 3 to 6 — fed from a small LV transformer
Sensitivity: only a minor effect on the symmetrical fault current in AC. It matters most for the asymmetrical peak in AD, which is what breaker momentary and close-and-latch ratings are checked against. A higher number is more conservative.
Leave blank to use the Xfmr_DefXR default on NEC_Data. This is a per-row input — enter it on each transformer's own row.</t>
        </r>
      </text>
    </comment>
    <comment ref="X6" authorId="0" shapeId="0" xr:uid="{C9D26CD4-2E2D-487F-898E-D5FAA8D407D9}">
      <text>
        <r>
          <rPr>
            <b/>
            <sz val="9"/>
            <color indexed="81"/>
            <rFont val="Tahoma"/>
            <family val="2"/>
          </rPr>
          <t>SÄZÄN PowerCalc:
Manufacturer value from the factory test report. 5.75% is a typical LV dry-type default; ANSI C57.12.00 allows ±7.5% tolerance. Verify against the approved submittal.</t>
        </r>
      </text>
    </comment>
    <comment ref="Y6" authorId="0" shapeId="0" xr:uid="{3559BFB0-0D9C-421C-9A24-F6B330274914}">
      <text>
        <r>
          <rPr>
            <b/>
            <sz val="9"/>
            <color indexed="81"/>
            <rFont val="Tahoma"/>
            <family val="2"/>
          </rPr>
          <t>SÄZÄN PowerCalc:
Total load (copper) loss in kW at rated load, from the test report or cut sheet. When entered, X/R is calculated from it; when blank, X/R falls back to the typical value for the kVA rating.</t>
        </r>
      </text>
    </comment>
    <comment ref="Z6" authorId="0" shapeId="0" xr:uid="{71DEA368-C383-4FF5-952F-FB3BF69F4E99}">
      <text>
        <r>
          <rPr>
            <b/>
            <sz val="9"/>
            <color indexed="81"/>
            <rFont val="Tahoma"/>
            <family val="2"/>
          </rPr>
          <t>SÄZÄN PowerCalc:
Optional. Enter a device size here only to override the calculated primary OCPD — for example taking the 250% allowance in Table 450.3(B) when secondary protection is present, or matching an existing device in a renovation. Leave blank and column M calculates.</t>
        </r>
      </text>
    </comment>
    <comment ref="AA6" authorId="0" shapeId="0" xr:uid="{E04960F6-7B2D-4D5F-8831-7C3FAEA0125C}">
      <text>
        <r>
          <rPr>
            <b/>
            <sz val="9"/>
            <color indexed="81"/>
            <rFont val="Tahoma"/>
            <family val="2"/>
          </rPr>
          <t>SÄZÄN PowerCalc:
Optional. Enter a device size here only to override the calculated secondary OCPD — for example matching an existing panel main or a coordination study result. Leave blank and column N calculates.</t>
        </r>
      </text>
    </comment>
    <comment ref="AH6" authorId="0" shapeId="0" xr:uid="{35ED0931-849E-4CC0-8ACE-9F894AFC06F2}">
      <text>
        <r>
          <rPr>
            <b/>
            <sz val="9"/>
            <color indexed="81"/>
            <rFont val="Tahoma"/>
            <family val="2"/>
          </rPr>
          <t>SÄZÄN PowerCalc:
Calculated from load losses when entered: %R = kW loss / kVA x 100, then X/R = SQRT(%Z^2 - %R^2) / %R. With no losses entered it falls back to the typical LV dry-type value for the kVA rating (NEC_Data BJ:BK) — verify with the submittal.</t>
        </r>
      </text>
    </comment>
    <comment ref="AL6" authorId="0" shapeId="0" xr:uid="{34C25B1A-19BC-4EEE-905A-E2206C6EAB1A}">
      <text>
        <r>
          <rPr>
            <b/>
            <sz val="9"/>
            <color indexed="81"/>
            <rFont val="Tahoma"/>
            <family val="2"/>
          </rPr>
          <t>SÄZÄN PowerCalc:
Available fault current at the primary, linked from the upstream bus when the transformer is created. Blank = infinite bus (conservative).</t>
        </r>
      </text>
    </comment>
    <comment ref="AM6" authorId="0" shapeId="0" xr:uid="{7382A8B7-F635-449A-B263-B0509C1C6F3B}">
      <text>
        <r>
          <rPr>
            <b/>
            <sz val="9"/>
            <color indexed="81"/>
            <rFont val="Tahoma"/>
            <family val="2"/>
          </rPr>
          <t>SÄZÄN PowerCalc:
Transformer %R plus the source resistance referred to the transformer base. Source impedance = (Pri FLA / Pri Avail) x 100, split into R and X using the source X/R in S2.</t>
        </r>
      </text>
    </comment>
    <comment ref="AO6" authorId="0" shapeId="0" xr:uid="{25760C8A-383F-44FB-AF8B-59D3E47384D5}">
      <text>
        <r>
          <rPr>
            <b/>
            <sz val="9"/>
            <color indexed="81"/>
            <rFont val="Tahoma"/>
            <family val="2"/>
          </rPr>
          <t>SÄZÄN PowerCalc:
Vectorial sum of source and transformer impedance — R and X added separately, not arithmetic |Z| addition.</t>
        </r>
      </text>
    </comment>
    <comment ref="AP6" authorId="0" shapeId="0" xr:uid="{B4DC8C5D-1D89-49D7-B411-2A1110A464DA}">
      <text>
        <r>
          <rPr>
            <b/>
            <sz val="9"/>
            <color indexed="81"/>
            <rFont val="Tahoma"/>
            <family val="2"/>
          </rPr>
          <t>SÄZÄN PowerCalc:
Symmetrical rms bolted fault at the secondary terminals. This is the value the Short Circuit and Arc Flash sheets consume.</t>
        </r>
      </text>
    </comment>
    <comment ref="AQ6" authorId="0" shapeId="0" xr:uid="{A128FEB6-0ECB-4DA2-9F69-4287B684EBE0}">
      <text>
        <r>
          <rPr>
            <b/>
            <sz val="9"/>
            <color indexed="81"/>
            <rFont val="Tahoma"/>
            <family val="2"/>
          </rPr>
          <t>SÄZÄN PowerCalc:
First-cycle asymmetrical peak from the total X/R — compare against the device momentary / close-and-latch rating.</t>
        </r>
      </text>
    </comment>
    <comment ref="AR6" authorId="0" shapeId="0" xr:uid="{B06C3EE9-9301-40B1-A8FA-ABA92FE6D351}">
      <text>
        <r>
          <rPr>
            <b/>
            <sz val="9"/>
            <color indexed="81"/>
            <rFont val="Tahoma"/>
            <family val="2"/>
          </rPr>
          <t>SÄZÄN PowerCalc:
Magnetizing inrush estimate at the multiplier in U2. Drives primary device selection against nuisance tripping and generator sizing.</t>
        </r>
      </text>
    </comment>
    <comment ref="AS6" authorId="0" shapeId="0" xr:uid="{9C0A4ED0-7576-4F44-9E3C-C0422C9D2A9D}">
      <text>
        <r>
          <rPr>
            <b/>
            <sz val="9"/>
            <color indexed="81"/>
            <rFont val="Tahoma"/>
            <family val="2"/>
          </rPr>
          <t>SÄZÄN PowerCalc:
Minimum standard interrupting rating for the secondary device, from the calculated symmetrical fault.</t>
        </r>
      </text>
    </comment>
    <comment ref="AT6" authorId="0" shapeId="0" xr:uid="{B2DE888C-7B89-4EF1-B757-743001AABFB4}">
      <text>
        <r>
          <rPr>
            <b/>
            <sz val="9"/>
            <color indexed="81"/>
            <rFont val="Tahoma"/>
            <family val="2"/>
          </rPr>
          <t>SÄZÄN PowerCalc:
Sets needed at 125% of secondary FLA, using 750 kcmil Cu (475 A) as the largest single conductor. Basis for GEC sizing only — the designed feeder is on the Feeder Schedule.</t>
        </r>
      </text>
    </comment>
    <comment ref="AU6" authorId="0" shapeId="0" xr:uid="{1490FED9-9654-43B1-99C0-60AE5645D455}">
      <text>
        <r>
          <rPr>
            <b/>
            <sz val="9"/>
            <color indexed="81"/>
            <rFont val="Tahoma"/>
            <family val="2"/>
          </rPr>
          <t>SÄZÄN PowerCalc:
Grounding electrode conductor for the separately derived system, Cu, per Table 250.66 keyed on the secondary phase conductor area.</t>
        </r>
      </text>
    </comment>
    <comment ref="AV6" authorId="0" shapeId="0" xr:uid="{D79E6FDE-71EF-4712-A39A-61E5E034F6AA}">
      <text>
        <r>
          <rPr>
            <b/>
            <sz val="9"/>
            <color indexed="81"/>
            <rFont val="Tahoma"/>
            <family val="2"/>
          </rPr>
          <t>SÄZÄN PowerCalc:
GEC for the separately derived system, Cu, per Table 250.66. Parallel sets are combined by total circular-mil area.</t>
        </r>
      </text>
    </comment>
    <comment ref="AW6" authorId="0" shapeId="0" xr:uid="{A7B2423C-3841-4CA9-8F2D-11C78317A66D}">
      <text>
        <r>
          <rPr>
            <b/>
            <sz val="9"/>
            <color indexed="81"/>
            <rFont val="Tahoma"/>
            <family val="2"/>
          </rPr>
          <t>SÄZÄN PowerCalc:
System bonding jumper per 250.28(D)(1) / Table 250.102(C)(1). Above 1100 kcmil equivalent area the jumper must be at least 12.5% of the largest ungrounded phase area.</t>
        </r>
      </text>
    </comment>
    <comment ref="AX6" authorId="0" shapeId="0" xr:uid="{62BE50C2-FF90-433D-85CF-16327AC3D141}">
      <text>
        <r>
          <rPr>
            <b/>
            <sz val="9"/>
            <color indexed="81"/>
            <rFont val="Tahoma"/>
            <family val="2"/>
          </rPr>
          <t>SÄZÄN PowerCalc:
Effective transformer %Z used by the calculation chain. Uses the value typed in column R when present, otherwise the Xfmr_DefZ default on NEC_Data so a newly detected transformer still calculates. A blank column R on an active row is flagged gold — enter the submittal value.</t>
        </r>
      </text>
    </comment>
    <comment ref="AY6" authorId="0" shapeId="0" xr:uid="{03FA2F28-47D0-4F69-BFFF-4DBFA5DCD3E3}">
      <text>
        <r>
          <rPr>
            <b/>
            <sz val="9"/>
            <color indexed="81"/>
            <rFont val="Tahoma"/>
            <family val="2"/>
          </rPr>
          <t>SÄZÄN PowerCalc:
Effective upstream X/R used by the calculation chain. Uses the value typed in column Q when present, otherwise the Xfmr_DefXR default on NEC_Data.</t>
        </r>
      </text>
    </comment>
    <comment ref="A108" authorId="0" shapeId="0" xr:uid="{508642BE-6147-481F-93AB-936309B20AAE}">
      <text>
        <r>
          <rPr>
            <b/>
            <sz val="9"/>
            <color indexed="81"/>
            <rFont val="Tahoma"/>
            <charset val="1"/>
          </rPr>
          <t>SÄZÄN PowerCalc:
Utility / service transformers pulled from Dashboard › Utility Sources. Reference only — utility-owned equipment is sized by the utility. Load kVA = registry demand of the boards it serves. Sec Fault Sym = fault duty including bus ties.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K4" authorId="0" shapeId="0" xr:uid="{17B3C81E-CA8D-4865-B7FB-C8D0371B7DB5}">
      <text>
        <r>
          <rPr>
            <b/>
            <sz val="9"/>
            <color indexed="81"/>
            <rFont val="Tahoma"/>
            <charset val="1"/>
          </rPr>
          <t>Corey McKinnon:</t>
        </r>
        <r>
          <rPr>
            <sz val="9"/>
            <color indexed="81"/>
            <rFont val="Tahoma"/>
            <charset val="1"/>
          </rPr>
          <t xml:space="preserve">
SÄZÄN PowerCalc: Required ampacity (NEC 215.2(A)(1) / 215.3 / 240.4). Design A × 125% for continuous loads: rows marked Cont. = Y and transformer primaries/secondaries. UPS feeders are continuous: the INPUT feeder uses 125% of the larger of the row load and the UPS input current (incl. recharge); the OUTPUT feeder uses 125% of the larger of the row load and the UPS rated output FLA, so the conductor is protected by the UPS output breaker. Matches the input / output OCPD on the UPS sheet.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J4" authorId="0" shapeId="0" xr:uid="{77EFD21F-7BB9-49C4-944D-F290E9575AD5}">
      <text>
        <r>
          <rPr>
            <b/>
            <sz val="9"/>
            <color indexed="81"/>
            <rFont val="Tahoma"/>
            <family val="2"/>
          </rPr>
          <t>SÄZÄN PowerCalc:
Symmetrical fault at this bus on the LINE-TO-LINE basis. f = m x L x I / (C x n x V) with m = 1.732 for a three-phase run and 2 for a single-phase run, V always the run's line-to-line voltage — matching Bussmann's line-to-line worked example, which divides by C x n x 240 on a 240/120 system. The line-to-neutral case is computed separately in the I L-N column; compare devices against Governing Fault, not this column.</t>
        </r>
      </text>
    </comment>
    <comment ref="P4" authorId="0" shapeId="0" xr:uid="{EB7B6711-FF02-4128-BD11-BE84A1F735E4}">
      <text>
        <r>
          <rPr>
            <b/>
            <sz val="9"/>
            <color indexed="81"/>
            <rFont val="Tahoma"/>
            <family val="2"/>
          </rPr>
          <t>SÄZÄN PowerCalc:
Line-to-neutral symmetrical fault, for centre-tapped single-phase transformer secondaries only — blank on three-phase buses and on single-phase runs tapped line-to-line, since no neutral exists there. Half-winding impedance per Bussmann: %Z = SQRT((1.5 x %R)^2 + (1.2 x %X)^2) on the full-winding basis. Terminal current = full transformer kVA at the line-to-neutral voltage over that impedance, then corrected for the finite primary fault with the PRIMARY SOURCE IMPEDANCE DOUBLED — a single-phase fault runs the primary path out and back, so its impedance counts twice. Downstream runs propagate with m = 2 against the line-to-neutral voltage. Motor contribution is added here on the same basis as the line-to-line path, so this column and Total Fault are directly comparable.</t>
        </r>
      </text>
    </comment>
    <comment ref="Q4" authorId="0" shapeId="0" xr:uid="{38794470-4AEF-425E-9B2C-CD77FCADF2B3}">
      <text>
        <r>
          <rPr>
            <b/>
            <sz val="9"/>
            <color indexed="81"/>
            <rFont val="Tahoma"/>
            <family val="2"/>
          </rPr>
          <t>SÄZÄN PowerCalc:
The worse of Total Fault (line-to-line, including motor contribution) and I L-N. This is the value a device's interrupting rating must clear, and it is what Margin and Result are measured against — on a 120/240 panel the line-to-neutral fault normally governs, and Result says so when it does.</t>
        </r>
      </text>
    </comment>
    <comment ref="R4" authorId="0" shapeId="0" xr:uid="{A1C0CFA4-7E7C-4BC9-9F63-2BA846B2E729}">
      <text>
        <r>
          <rPr>
            <b/>
            <sz val="9"/>
            <color indexed="81"/>
            <rFont val="Tahoma"/>
            <charset val="1"/>
          </rPr>
          <t>Corey McKinnon:</t>
        </r>
        <r>
          <rPr>
            <sz val="9"/>
            <color indexed="81"/>
            <rFont val="Tahoma"/>
            <charset val="1"/>
          </rPr>
          <t xml:space="preserve">
SÄZÄN PowerCalc:
Device AIC comes from each schedule's Std Device AIC (D13) via the equipment registry - no hand entry. To use a different rating (e.g. series rated), set the Override (E13) on that schedule.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D5" authorId="0" shapeId="0" xr:uid="{D1C74859-9981-4B25-8A67-8192FB49FD14}">
      <text>
        <r>
          <rPr>
            <b/>
            <sz val="9"/>
            <color indexed="81"/>
            <rFont val="Tahoma"/>
            <charset val="1"/>
          </rPr>
          <t>SÄZÄN PowerCalc:
Set automatically from the sheet tab by New Panelboard / Switchboard / MCC. To change it, use Rename Equipment (menu bar or Panel Tree) - that also renames the tab and every reference to this board.</t>
        </r>
      </text>
    </comment>
    <comment ref="L6" authorId="0" shapeId="0" xr:uid="{89A4AE77-0CA0-4728-BB84-F50230B713C8}">
      <text>
        <r>
          <rPr>
            <b/>
            <sz val="9"/>
            <color indexed="81"/>
            <rFont val="Tahoma"/>
            <family val="2"/>
          </rPr>
          <t>SÄZÄN PowerCalc:
Continuous load factor per NEC 210.19(A)(1) / 215.2(A)(1) / 215.3 - conductors and OCPD sized at 125% of continuous load. Commercial lighting is treated as continuous (3+ hours). Article 220 demand for general lighting is otherwise 100% in most occupancies.</t>
        </r>
      </text>
    </comment>
    <comment ref="L7" authorId="0" shapeId="0" xr:uid="{AD4561DD-59CA-4B25-B7D0-12E9F670E9CF}">
      <text>
        <r>
          <rPr>
            <b/>
            <sz val="9"/>
            <color indexed="81"/>
            <rFont val="Tahoma"/>
            <charset val="1"/>
          </rPr>
          <t>SÄZÄN PowerCalc:
Receptacle demand (NEC 220.44: first 10 kVA at 100%, remainder at 50%) is applied ONCE to this board's receptacles plus every receptacle load fed through it. This cell shows this section's share, so the combined total is never factored twice.</t>
        </r>
      </text>
    </comment>
    <comment ref="E12" authorId="0" shapeId="0" xr:uid="{8A87C08A-E8FE-46E7-B20A-A2D5FE941E77}">
      <text>
        <r>
          <rPr>
            <b/>
            <sz val="9"/>
            <color indexed="81"/>
            <rFont val="Tahoma"/>
            <charset val="1"/>
          </rPr>
          <t>Corey McKinnon:</t>
        </r>
        <r>
          <rPr>
            <sz val="9"/>
            <color indexed="81"/>
            <rFont val="Tahoma"/>
            <charset val="1"/>
          </rPr>
          <t xml:space="preserve">
SÄZÄN PowerCalc: Main/Bus rating override (A). Blank = calculated (next standard size at or above the demand amps, min 100 A). An override carries through to Horiz. Bus, the board's feeder (Feeder Schedule Req. Amp / OCPD / conductor) and the upstream transformer kVA. Shown red if below the calculated minimum.</t>
        </r>
      </text>
    </comment>
    <comment ref="D13" authorId="0" shapeId="0" xr:uid="{060C341C-139C-4C6F-96B6-DCC5354AE3CC}">
      <text>
        <r>
          <rPr>
            <b/>
            <sz val="9"/>
            <color indexed="81"/>
            <rFont val="Tahoma"/>
            <charset val="1"/>
          </rPr>
          <t>SÄZÄN PowerCalc:
Calculated: next standard AIC rating at or above the worst bus fault — study result (Short Circuit) or point-to-point estimate (H6), with a 14 kA minimum at 380 V and above (10 kA below). Turns red if the override is below the calculated minimum.</t>
        </r>
      </text>
    </comment>
    <comment ref="E13" authorId="0" shapeId="0" xr:uid="{65EEF76F-2EE9-404A-BA28-025322742C0B}">
      <text>
        <r>
          <rPr>
            <b/>
            <sz val="9"/>
            <color indexed="81"/>
            <rFont val="Tahoma"/>
            <charset val="1"/>
          </rPr>
          <t>SÄZÄN PowerCalc:
Override (optional): pick a series-rated or specified AIC if the design requires it. Clear to use the calculated value. Shaded amber when set, red if below the calculated minimum.</t>
        </r>
      </text>
    </comment>
    <comment ref="G14" authorId="0" shapeId="0" xr:uid="{AE70572F-DF3C-4219-9A98-5FB9274FD645}">
      <text>
        <r>
          <rPr>
            <b/>
            <sz val="9"/>
            <color indexed="81"/>
            <rFont val="Tahoma"/>
            <charset val="1"/>
          </rPr>
          <t>Corey McKinnon:</t>
        </r>
        <r>
          <rPr>
            <sz val="9"/>
            <color indexed="81"/>
            <rFont val="Tahoma"/>
            <charset val="1"/>
          </rPr>
          <t xml:space="preserve">
SÄZÄN PowerCalc:
Parallel conductor sets for this board's feeder. Taken from the Feeder Schedule when the board has a derived feeder (F-tag); otherwise estimated here with conductors capped at 750 kcmil per set (1/0 minimum in parallel).</t>
        </r>
      </text>
    </comment>
    <comment ref="D19" authorId="0" shapeId="0" xr:uid="{C6E6448B-DB73-448E-93E5-338C4E9A1393}">
      <text>
        <r>
          <rPr>
            <b/>
            <sz val="9"/>
            <color indexed="81"/>
            <rFont val="Tahoma"/>
            <charset val="1"/>
          </rPr>
          <t>SÄZÄN PowerCalc:
Calculated: next standard bracing (UL 67/891) at or above the worst bus fault — study result (Short Circuit) or point-to-point estimate (H6). Shows — until fault data exists. Turns red if the override is below the calculated minimum.</t>
        </r>
      </text>
    </comment>
    <comment ref="E19" authorId="0" shapeId="0" xr:uid="{0F12EF1A-E556-4EC3-8E4F-D45E9351E85F}">
      <text>
        <r>
          <rPr>
            <b/>
            <sz val="9"/>
            <color indexed="81"/>
            <rFont val="Tahoma"/>
            <charset val="1"/>
          </rPr>
          <t>SÄZÄN PowerCalc:
Override (optional): pick a higher bracing if the spec requires it. Clear to use the calculated value.</t>
        </r>
      </text>
    </comment>
    <comment ref="D20" authorId="0" shapeId="0" xr:uid="{E09AFF27-B52B-4720-A3CC-29E88990B56D}">
      <text>
        <r>
          <rPr>
            <b/>
            <sz val="9"/>
            <color indexed="81"/>
            <rFont val="Tahoma"/>
            <charset val="1"/>
          </rPr>
          <t>SÄZÄN PowerCalc:
Calculated: next standard bus rating at or above Main/Bus Rating (D12). Turns red if the override is below the calculated minimum.</t>
        </r>
      </text>
    </comment>
    <comment ref="E20" authorId="0" shapeId="0" xr:uid="{7F68815B-EE2E-4681-8699-47DC0C1BC74D}">
      <text>
        <r>
          <rPr>
            <b/>
            <sz val="9"/>
            <color indexed="81"/>
            <rFont val="Tahoma"/>
            <charset val="1"/>
          </rPr>
          <t>SÄZÄN PowerCalc:
Override (optional): pick a larger bus if the spec requires it. Clear to use the calculated value.</t>
        </r>
      </text>
    </comment>
    <comment ref="J21" authorId="0" shapeId="0" xr:uid="{4D011346-0E8D-4AFF-B146-45EA95AC366D}">
      <text>
        <r>
          <rPr>
            <b/>
            <sz val="9"/>
            <color indexed="81"/>
            <rFont val="Tahoma"/>
            <charset val="1"/>
          </rPr>
          <t>SÄZÄN PowerCalc:
Managed by the Feed-Through command (rows 21–23). Locked: use the command to add, refresh or remove a downstream board.</t>
        </r>
      </text>
    </comment>
    <comment ref="J24" authorId="0" shapeId="0" xr:uid="{BDF9824C-41AF-4583-913D-1A18CB84A36F}">
      <text>
        <r>
          <rPr>
            <b/>
            <sz val="9"/>
            <color indexed="81"/>
            <rFont val="Tahoma"/>
            <charset val="1"/>
          </rPr>
          <t>SÄZÄN PowerCalc:
Manual feed-through row: for equipment that does not have its own schedule. Enter a description and kVA.</t>
        </r>
      </text>
    </comment>
    <comment ref="K24" authorId="0" shapeId="0" xr:uid="{A1E72EC7-910B-41A3-91C5-82D5C03F4AC9}">
      <text>
        <r>
          <rPr>
            <b/>
            <sz val="9"/>
            <color indexed="81"/>
            <rFont val="Tahoma"/>
            <charset val="1"/>
          </rPr>
          <t>SÄZÄN PowerCalc:
Manual feed-through row: enter Description, Conn. kVA and Demand kVA. Its connected load is split evenly across the phases for the phase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D5" authorId="0" shapeId="0" xr:uid="{79C7783C-6808-448E-89FB-83D2BB9944FB}">
      <text>
        <r>
          <rPr>
            <b/>
            <sz val="9"/>
            <color indexed="81"/>
            <rFont val="Tahoma"/>
            <charset val="1"/>
          </rPr>
          <t>SÄZÄN PowerCalc:
Set automatically from the sheet tab by New Panelboard / Switchboard / MCC. To change it, use Rename Equipment (menu bar or Panel Tree) - that also renames the tab and every reference to this board.</t>
        </r>
      </text>
    </comment>
    <comment ref="L6" authorId="0" shapeId="0" xr:uid="{D601CF22-1298-4EC1-8E1E-04737084BAB1}">
      <text>
        <r>
          <rPr>
            <b/>
            <sz val="9"/>
            <color indexed="81"/>
            <rFont val="Tahoma"/>
            <family val="2"/>
          </rPr>
          <t>SÄZÄN PowerCalc:
Continuous load factor per NEC 210.19(A)(1) / 215.2(A)(1) / 215.3 - conductors and OCPD sized at 125% of continuous load. Commercial lighting is treated as continuous (3+ hours). Article 220 demand for general lighting is otherwise 100% in most occupancies.</t>
        </r>
      </text>
    </comment>
    <comment ref="L7" authorId="0" shapeId="0" xr:uid="{99E019D3-8632-4FF4-9157-A64BCBEEBB83}">
      <text>
        <r>
          <rPr>
            <b/>
            <sz val="9"/>
            <color indexed="81"/>
            <rFont val="Tahoma"/>
            <charset val="1"/>
          </rPr>
          <t>SÄZÄN PowerCalc:
Receptacle demand (NEC 220.44: first 10 kVA at 100%, remainder at 50%) is applied ONCE to this board's receptacles plus every receptacle load fed through it. This cell shows this section's share, so the combined total is never factored twice.</t>
        </r>
      </text>
    </comment>
    <comment ref="E12" authorId="0" shapeId="0" xr:uid="{7B5470E0-540B-4B47-902F-F1FCADB7377F}">
      <text>
        <r>
          <rPr>
            <b/>
            <sz val="9"/>
            <color indexed="81"/>
            <rFont val="Tahoma"/>
            <charset val="1"/>
          </rPr>
          <t>Corey McKinnon:</t>
        </r>
        <r>
          <rPr>
            <sz val="9"/>
            <color indexed="81"/>
            <rFont val="Tahoma"/>
            <charset val="1"/>
          </rPr>
          <t xml:space="preserve">
SÄZÄN PowerCalc: Main/Bus rating override (A). Blank = calculated (next standard size at or above the demand amps, min 100 A). An override carries through to Horiz. Bus, the board's feeder (Feeder Schedule Req. Amp / OCPD / conductor) and the upstream transformer kVA. Shown red if below the calculated minimum.</t>
        </r>
      </text>
    </comment>
    <comment ref="D13" authorId="0" shapeId="0" xr:uid="{A54BB24A-CEEF-4EC4-9FFD-CEFEAE27B3C1}">
      <text>
        <r>
          <rPr>
            <b/>
            <sz val="9"/>
            <color indexed="81"/>
            <rFont val="Tahoma"/>
            <charset val="1"/>
          </rPr>
          <t>SÄZÄN PowerCalc:
Calculated: next standard AIC rating at or above the worst bus fault — study result (Short Circuit) or point-to-point estimate (H6), with a 14 kA minimum at 380 V and above (10 kA below). Turns red if the override is below the calculated minimum.</t>
        </r>
      </text>
    </comment>
    <comment ref="E13" authorId="0" shapeId="0" xr:uid="{CBE70068-DC89-4BE5-801A-E98089D12F40}">
      <text>
        <r>
          <rPr>
            <b/>
            <sz val="9"/>
            <color indexed="81"/>
            <rFont val="Tahoma"/>
            <charset val="1"/>
          </rPr>
          <t>SÄZÄN PowerCalc:
Override (optional): pick a series-rated or specified AIC if the design requires it. Clear to use the calculated value. Shaded amber when set, red if below the calculated minimum.</t>
        </r>
      </text>
    </comment>
    <comment ref="G14" authorId="0" shapeId="0" xr:uid="{66DCA195-325B-456C-9CC8-4EC4A26BD6FE}">
      <text>
        <r>
          <rPr>
            <b/>
            <sz val="9"/>
            <color indexed="81"/>
            <rFont val="Tahoma"/>
            <charset val="1"/>
          </rPr>
          <t>Corey McKinnon:</t>
        </r>
        <r>
          <rPr>
            <sz val="9"/>
            <color indexed="81"/>
            <rFont val="Tahoma"/>
            <charset val="1"/>
          </rPr>
          <t xml:space="preserve">
SÄZÄN PowerCalc:
Parallel conductor sets for this board's feeder. Taken from the Feeder Schedule when the board has a derived feeder (F-tag); otherwise estimated here with conductors capped at 750 kcmil per set (1/0 minimum in parallel).</t>
        </r>
      </text>
    </comment>
    <comment ref="D19" authorId="0" shapeId="0" xr:uid="{99B87BC6-47DD-4D2A-92C8-4A3FA3662FD0}">
      <text>
        <r>
          <rPr>
            <b/>
            <sz val="9"/>
            <color indexed="81"/>
            <rFont val="Tahoma"/>
            <charset val="1"/>
          </rPr>
          <t>SÄZÄN PowerCalc:
Calculated: next standard bracing (UL 67/891) at or above the worst bus fault — study result (Short Circuit) or point-to-point estimate (H6). Shows — until fault data exists. Turns red if the override is below the calculated minimum.</t>
        </r>
      </text>
    </comment>
    <comment ref="E19" authorId="0" shapeId="0" xr:uid="{B5F76D59-A46B-49DA-86FE-D651C66139DF}">
      <text>
        <r>
          <rPr>
            <b/>
            <sz val="9"/>
            <color indexed="81"/>
            <rFont val="Tahoma"/>
            <charset val="1"/>
          </rPr>
          <t>SÄZÄN PowerCalc:
Override (optional): pick a higher bracing if the spec requires it. Clear to use the calculated value.</t>
        </r>
      </text>
    </comment>
    <comment ref="D20" authorId="0" shapeId="0" xr:uid="{86994275-98FA-45AF-B7EB-8BB9C01D2ED4}">
      <text>
        <r>
          <rPr>
            <b/>
            <sz val="9"/>
            <color indexed="81"/>
            <rFont val="Tahoma"/>
            <charset val="1"/>
          </rPr>
          <t>SÄZÄN PowerCalc:
Calculated: next standard bus rating at or above Main/Bus Rating (D12). Turns red if the override is below the calculated minimum.</t>
        </r>
      </text>
    </comment>
    <comment ref="E20" authorId="0" shapeId="0" xr:uid="{26234CC8-1A98-4105-88E6-45AA26E71F7E}">
      <text>
        <r>
          <rPr>
            <b/>
            <sz val="9"/>
            <color indexed="81"/>
            <rFont val="Tahoma"/>
            <charset val="1"/>
          </rPr>
          <t>SÄZÄN PowerCalc:
Override (optional): pick a larger bus if the spec requires it. Clear to use the calculated value.</t>
        </r>
      </text>
    </comment>
    <comment ref="J21" authorId="0" shapeId="0" xr:uid="{4C85817A-F87C-488D-86C0-A070ACC2D3F9}">
      <text>
        <r>
          <rPr>
            <b/>
            <sz val="9"/>
            <color indexed="81"/>
            <rFont val="Tahoma"/>
            <charset val="1"/>
          </rPr>
          <t>SÄZÄN PowerCalc:
Managed by the Feed-Through command (rows 21–23). Locked: use the command to add, refresh or remove a downstream board.</t>
        </r>
      </text>
    </comment>
    <comment ref="J24" authorId="0" shapeId="0" xr:uid="{C0016344-BD0E-4474-91E5-435C8CB81B68}">
      <text>
        <r>
          <rPr>
            <b/>
            <sz val="9"/>
            <color indexed="81"/>
            <rFont val="Tahoma"/>
            <charset val="1"/>
          </rPr>
          <t>SÄZÄN PowerCalc:
Manual feed-through row: for equipment that does not have its own schedule. Enter a description and kVA.</t>
        </r>
      </text>
    </comment>
    <comment ref="K24" authorId="0" shapeId="0" xr:uid="{C3D2FA29-07A6-473E-8AB8-AB566E4DB610}">
      <text>
        <r>
          <rPr>
            <b/>
            <sz val="9"/>
            <color indexed="81"/>
            <rFont val="Tahoma"/>
            <charset val="1"/>
          </rPr>
          <t>SÄZÄN PowerCalc:
Manual feed-through row: enter Description, Conn. kVA and Demand kVA. Its connected load is split evenly across the phases for the phase balance.</t>
        </r>
      </text>
    </comment>
    <comment ref="G29" authorId="0" shapeId="0" xr:uid="{AB009E47-F5CF-4B75-858C-2BF965C879F0}">
      <text>
        <r>
          <rPr>
            <b/>
            <sz val="9"/>
            <color indexed="81"/>
            <rFont val="Tahoma"/>
            <charset val="1"/>
          </rPr>
          <t>SÄZÄN PowerCalc:
Nameplate SF per NEMA MG 1; OL trip = motor FLA × applicable percentage (NEC 430.32(A)(1)).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D5" authorId="0" shapeId="0" xr:uid="{EFF920A9-B481-4F6E-98F5-13F99AA0016A}">
      <text>
        <r>
          <rPr>
            <b/>
            <sz val="9"/>
            <color indexed="81"/>
            <rFont val="Tahoma"/>
            <charset val="1"/>
          </rPr>
          <t>SÄZÄN PowerCalc:
Set automatically from the sheet tab by New Panelboard / Switchboard / MCC. To change it, use Rename Equipment (menu bar or Panel Tree) - that also renames the tab and every reference to this board.</t>
        </r>
      </text>
    </comment>
    <comment ref="L6" authorId="0" shapeId="0" xr:uid="{1FB7FD82-9E4F-4898-9A36-D0FDE96EC0FB}">
      <text>
        <r>
          <rPr>
            <b/>
            <sz val="9"/>
            <color indexed="81"/>
            <rFont val="Tahoma"/>
            <family val="2"/>
          </rPr>
          <t>SÄZÄN PowerCalc:
Continuous load factor per NEC 210.19(A)(1) / 215.2(A)(1) / 215.3 - conductors and OCPD sized at 125% of continuous load. Commercial lighting is treated as continuous (3+ hours). Article 220 demand for general lighting is otherwise 100% in most occupancies.</t>
        </r>
      </text>
    </comment>
    <comment ref="L7" authorId="0" shapeId="0" xr:uid="{6CE5EF66-0C3D-48BB-8C04-733CCD62D262}">
      <text>
        <r>
          <rPr>
            <b/>
            <sz val="9"/>
            <color indexed="81"/>
            <rFont val="Tahoma"/>
            <charset val="1"/>
          </rPr>
          <t>SÄZÄN PowerCalc:
Receptacle demand (NEC 220.44: first 10 kVA at 100%, remainder at 50%) is applied ONCE to this board's receptacles plus every receptacle load fed through it. This cell shows this section's share, so the combined total is never factored twice.</t>
        </r>
      </text>
    </comment>
    <comment ref="E12" authorId="0" shapeId="0" xr:uid="{356BA1CF-8F8E-4BA8-AA53-7AACB05DC234}">
      <text>
        <r>
          <rPr>
            <b/>
            <sz val="9"/>
            <color indexed="81"/>
            <rFont val="Tahoma"/>
            <charset val="1"/>
          </rPr>
          <t>Corey McKinnon:</t>
        </r>
        <r>
          <rPr>
            <sz val="9"/>
            <color indexed="81"/>
            <rFont val="Tahoma"/>
            <charset val="1"/>
          </rPr>
          <t xml:space="preserve">
SÄZÄN PowerCalc: Main/Bus rating override (A). Blank = calculated (next standard size at or above the demand amps, min 100 A). An override carries through to Horiz. Bus, the board's feeder (Feeder Schedule Req. Amp / OCPD / conductor) and the upstream transformer kVA. Shown red if below the calculated minimum.</t>
        </r>
      </text>
    </comment>
    <comment ref="D13" authorId="0" shapeId="0" xr:uid="{5D00D33D-5A61-4EFB-AD52-3CF42EE433AD}">
      <text>
        <r>
          <rPr>
            <b/>
            <sz val="9"/>
            <color indexed="81"/>
            <rFont val="Tahoma"/>
            <charset val="1"/>
          </rPr>
          <t>SÄZÄN PowerCalc:
Calculated: next standard AIC rating at or above the worst bus fault — study result (Short Circuit) or point-to-point estimate (H6), with a 14 kA minimum at 380 V and above (10 kA below). Turns red if the override is below the calculated minimum.</t>
        </r>
      </text>
    </comment>
    <comment ref="E13" authorId="0" shapeId="0" xr:uid="{ADF086F5-44D5-435F-B942-BC8A8A2D3D98}">
      <text>
        <r>
          <rPr>
            <b/>
            <sz val="9"/>
            <color indexed="81"/>
            <rFont val="Tahoma"/>
            <charset val="1"/>
          </rPr>
          <t>SÄZÄN PowerCalc:
Override (optional): pick a series-rated or specified AIC if the design requires it. Clear to use the calculated value. Shaded amber when set, red if below the calculated minimum.</t>
        </r>
      </text>
    </comment>
    <comment ref="G14" authorId="0" shapeId="0" xr:uid="{02020D05-1279-4BDA-AEB9-720E88999BCB}">
      <text>
        <r>
          <rPr>
            <b/>
            <sz val="9"/>
            <color indexed="81"/>
            <rFont val="Tahoma"/>
            <charset val="1"/>
          </rPr>
          <t>Corey McKinnon:</t>
        </r>
        <r>
          <rPr>
            <sz val="9"/>
            <color indexed="81"/>
            <rFont val="Tahoma"/>
            <charset val="1"/>
          </rPr>
          <t xml:space="preserve">
SÄZÄN PowerCalc:
Parallel conductor sets for this board's feeder. Taken from the Feeder Schedule when the board has a derived feeder (F-tag); otherwise estimated here with conductors capped at 750 kcmil per set (1/0 minimum in parallel).</t>
        </r>
      </text>
    </comment>
    <comment ref="D19" authorId="0" shapeId="0" xr:uid="{CADB277A-8DE0-4F79-8DD8-DAB3B75CA93D}">
      <text>
        <r>
          <rPr>
            <b/>
            <sz val="9"/>
            <color indexed="81"/>
            <rFont val="Tahoma"/>
            <charset val="1"/>
          </rPr>
          <t>SÄZÄN PowerCalc:
Calculated: next standard bracing (UL 67/891) at or above the worst bus fault — study result (Short Circuit) or point-to-point estimate (H6). Shows — until fault data exists. Turns red if the override is below the calculated minimum.</t>
        </r>
      </text>
    </comment>
    <comment ref="E19" authorId="0" shapeId="0" xr:uid="{7F6CB23C-1E1F-4E2E-967D-D39BDF63C084}">
      <text>
        <r>
          <rPr>
            <b/>
            <sz val="9"/>
            <color indexed="81"/>
            <rFont val="Tahoma"/>
            <charset val="1"/>
          </rPr>
          <t>SÄZÄN PowerCalc:
Override (optional): pick a higher bracing if the spec requires it. Clear to use the calculated value.</t>
        </r>
      </text>
    </comment>
    <comment ref="D20" authorId="0" shapeId="0" xr:uid="{1F3CFF44-AA54-419F-8E8E-E6B4AE14B2C3}">
      <text>
        <r>
          <rPr>
            <b/>
            <sz val="9"/>
            <color indexed="81"/>
            <rFont val="Tahoma"/>
            <charset val="1"/>
          </rPr>
          <t>SÄZÄN PowerCalc:
Calculated: next standard bus rating at or above Main/Bus Rating (D12). Turns red if the override is below the calculated minimum.</t>
        </r>
      </text>
    </comment>
    <comment ref="E20" authorId="0" shapeId="0" xr:uid="{F171EA67-491E-493B-808F-38F3E63F2E2A}">
      <text>
        <r>
          <rPr>
            <b/>
            <sz val="9"/>
            <color indexed="81"/>
            <rFont val="Tahoma"/>
            <charset val="1"/>
          </rPr>
          <t>SÄZÄN PowerCalc:
Override (optional): pick a larger bus if the spec requires it. Clear to use the calculated value.</t>
        </r>
      </text>
    </comment>
    <comment ref="J21" authorId="0" shapeId="0" xr:uid="{23C62599-A64A-437C-9EAF-CDDF416E355D}">
      <text>
        <r>
          <rPr>
            <b/>
            <sz val="9"/>
            <color indexed="81"/>
            <rFont val="Tahoma"/>
            <charset val="1"/>
          </rPr>
          <t>SÄZÄN PowerCalc:
Managed by the Feed-Through command (rows 21–23). Locked: use the command to add, refresh or remove a downstream board.</t>
        </r>
      </text>
    </comment>
    <comment ref="J24" authorId="0" shapeId="0" xr:uid="{718E6317-408A-432A-A0B1-135931C2D6D3}">
      <text>
        <r>
          <rPr>
            <b/>
            <sz val="9"/>
            <color indexed="81"/>
            <rFont val="Tahoma"/>
            <charset val="1"/>
          </rPr>
          <t>SÄZÄN PowerCalc:
Manual feed-through row: for equipment that does not have its own schedule. Enter a description and kVA.</t>
        </r>
      </text>
    </comment>
    <comment ref="K24" authorId="0" shapeId="0" xr:uid="{BE6FB75D-0176-4390-A33A-2F53C6040558}">
      <text>
        <r>
          <rPr>
            <b/>
            <sz val="9"/>
            <color indexed="81"/>
            <rFont val="Tahoma"/>
            <charset val="1"/>
          </rPr>
          <t>SÄZÄN PowerCalc:
Manual feed-through row: enter Description, Conn. kVA and Demand kVA. Its connected load is split evenly across the phases for the phase balance.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Corey McKinnon</author>
  </authors>
  <commentList>
    <comment ref="R5" authorId="0" shapeId="0" xr:uid="{81437B95-363A-41C6-B7D2-C4699242851F}">
      <text>
        <r>
          <rPr>
            <b/>
            <sz val="9"/>
            <color indexed="81"/>
            <rFont val="Tahoma"/>
            <family val="2"/>
          </rPr>
          <t>SÄZÄN PowerCalc:
Bussmann point-to-point C constant, 3 single conductors in steel conduit. VERIFY against current Bussmann/manufacturer data before use.</t>
        </r>
      </text>
    </comment>
    <comment ref="S5" authorId="0" shapeId="0" xr:uid="{C0826936-A206-4721-9CBE-95561C2C488A}">
      <text>
        <r>
          <rPr>
            <b/>
            <sz val="9"/>
            <color indexed="81"/>
            <rFont val="Tahoma"/>
            <family val="2"/>
          </rPr>
          <t>SÄZÄN PowerCalc:
Bussmann point-to-point C constant, 3 single conductors in steel conduit. VERIFY against current Bussmann/manufacturer data before use.</t>
        </r>
      </text>
    </comment>
    <comment ref="R6" authorId="0" shapeId="0" xr:uid="{701A5D9D-4EBC-4440-BA62-0A7A9C41441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6" authorId="0" shapeId="0" xr:uid="{FFE6B29C-CD5E-401A-97C9-0977D26F05E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6" authorId="0" shapeId="0" xr:uid="{122CC753-F84F-4FDD-8858-8EBD86FF8EC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6" authorId="0" shapeId="0" xr:uid="{8B0C1F95-E0D8-416A-A381-C4EBAE87808D}">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D6" authorId="0" shapeId="0" xr:uid="{72C19602-09B3-454F-907D-56A0847AAB1E}">
      <text>
        <r>
          <rPr>
            <b/>
            <sz val="9"/>
            <color indexed="81"/>
            <rFont val="Tahoma"/>
            <family val="2"/>
          </rPr>
          <t>SÄZÄN PowerCalc:
Default transformer impedance used by the Transformer Schedule when %Z has not yet been entered for a detected transformer. 5.75% is a typical LV dry-type value; the schedule flags the blank input gold so the submittal value still gets entered.</t>
        </r>
      </text>
    </comment>
    <comment ref="R7" authorId="0" shapeId="0" xr:uid="{16B7D8B1-67AA-482C-9689-EBCC8CCD599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7" authorId="0" shapeId="0" xr:uid="{8EDE63E1-942B-4583-B479-3E1D7B56C42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7" authorId="0" shapeId="0" xr:uid="{D26C6F10-3E78-44A7-9BDE-B451005A4906}">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7" authorId="0" shapeId="0" xr:uid="{F5A36AA9-31C9-488D-9CBD-1E5C3ACD41C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D7" authorId="0" shapeId="0" xr:uid="{A128D4EC-A133-4B6D-8373-11D5E19A9281}">
      <text>
        <r>
          <rPr>
            <b/>
            <sz val="9"/>
            <color indexed="81"/>
            <rFont val="Tahoma"/>
            <family val="2"/>
          </rPr>
          <t>SÄZÄN PowerCalc:
Default upstream X/R ratio used by the Transformer Schedule when Source X/R has not been entered for a detected transformer. 15 is conservative for a stiff utility service.</t>
        </r>
      </text>
    </comment>
    <comment ref="R8" authorId="0" shapeId="0" xr:uid="{FCFBE5C8-078B-4F54-B415-CC458A983AC9}">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8" authorId="0" shapeId="0" xr:uid="{F9C6FA6C-C25C-4B2B-BADF-B08F33502937}">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8" authorId="0" shapeId="0" xr:uid="{D97D5296-A4E6-4122-826E-5933A4CDAA80}">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8" authorId="0" shapeId="0" xr:uid="{3F6ECE39-24BC-4D4C-A857-925CB7B136E4}">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AB8" authorId="0" shapeId="0" xr:uid="{3A3FEFAE-27D1-4C7C-AF1F-4D520A4B34DA}">
      <text>
        <r>
          <rPr>
            <b/>
            <sz val="9"/>
            <color indexed="81"/>
            <rFont val="Tahoma"/>
            <family val="2"/>
          </rPr>
          <t>SÄZÄN PowerCalc:
BRANCH-circuit limit. Not a duplicate of Cfg_VDFeeder at CD15, which is the FEEDER limit — the two are different quantities that both happen to equal 3%. Read by the branch conductor sizing on all three TPL_ sheets. Basis: NEC 2023 210.19(A) Informational Note No. 4, 3 percent at the farthest outlet. Not enforceable per NEC 90.5; design standard.</t>
        </r>
      </text>
    </comment>
    <comment ref="CD8" authorId="0" shapeId="0" xr:uid="{95E32B98-B169-48C1-97CD-1466EE8D2BD0}">
      <text>
        <r>
          <rPr>
            <b/>
            <sz val="9"/>
            <color indexed="81"/>
            <rFont val="Tahoma"/>
            <family val="2"/>
          </rPr>
          <t>SÄZÄN PowerCalc:
Magnetizing inrush estimate as a multiple of primary FLA, applied to every row of the Transformer Schedule (column AE). Drives primary device selection against nuisance tripping, and generator sizing where a transformer is on the emergency system. 8x to 12x is typical for dry-type units; 10x is a reasonable default. Use the manufacturer's inrush curve where it is available.</t>
        </r>
      </text>
    </comment>
    <comment ref="R9" authorId="0" shapeId="0" xr:uid="{E8A1E5E3-05E4-4412-ADAB-1EDF509F9DF6}">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9" authorId="0" shapeId="0" xr:uid="{CB414357-687F-4C66-8FCE-86B67D0AB70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9" authorId="0" shapeId="0" xr:uid="{8462564F-6879-4764-B853-9C00D3B0A5C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9" authorId="0" shapeId="0" xr:uid="{ABB3BB0E-C8F8-40EF-824D-BEE6BF1B2497}">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AB9" authorId="0" shapeId="0" xr:uid="{FA5099F4-2478-451C-8817-4A0A4C12AFA6}">
      <text>
        <r>
          <rPr>
            <b/>
            <sz val="9"/>
            <color indexed="81"/>
            <rFont val="Tahoma"/>
            <family val="2"/>
          </rPr>
          <t>SÄZÄN PowerCalc:
Was a hardcoded 0.05 duplicating Cfg_VDTotal at CD16. Both cells were labelled 'total' and both held 5%, so the workbook had two homes for one limit and a drift hazard. CD16 is now the single input; this cell links to it. Basis: NEC 2023 210.19(A) Informational Note No. 4 and 215.2(A)(1) Informational Note No. 2 — maximum total voltage drop on feeders plus branch circuits to the farthest outlet not exceeding 5 percent. Informational Notes are not enforceable requirements per NEC 90.5; this is a design standard.</t>
        </r>
      </text>
    </comment>
    <comment ref="R10" authorId="0" shapeId="0" xr:uid="{E51AED8B-AE38-479B-8298-829E88604530}">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0" authorId="0" shapeId="0" xr:uid="{A580BD58-13C5-4B67-A261-26BAA309339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0" authorId="0" shapeId="0" xr:uid="{7821B4C8-3541-4901-9BD5-ABE29099324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0" authorId="0" shapeId="0" xr:uid="{7734311D-0689-446E-9F47-5B7F8DDA1DA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B10" authorId="0" shapeId="0" xr:uid="{4C78DF5D-96AE-4857-9084-A5264C284234}">
      <text>
        <r>
          <rPr>
            <b/>
            <sz val="9"/>
            <color indexed="81"/>
            <rFont val="Tahoma"/>
            <family val="2"/>
          </rPr>
          <t>SÄZÄN PowerCalc:
Line-to-neutral voltage for each system. Used by the Short Circuit study: single-phase runs are calculated at line-to-neutral voltage with m = 2, three-phase at line-to-line with m = 1.732. For the 3-wire systems with no distributed neutral the value is the phase-to-ground potential, which is still the correct divisor for a line-to-ground fault calculation.</t>
        </r>
      </text>
    </comment>
    <comment ref="CD10" authorId="0" shapeId="0" xr:uid="{FCC11FF8-EAB7-4396-A5BC-CC7FFC9CA8A5}">
      <text>
        <r>
          <rPr>
            <b/>
            <sz val="9"/>
            <color indexed="81"/>
            <rFont val="Tahoma"/>
            <family val="2"/>
          </rPr>
          <t>SÄZÄN PowerCalc:
System-wide capacity: the maximum number of equipment nodes the workbook supports. Governs the Equipment Registry depth, the Transformer / Feeder / Short Circuit / Voltage Drop schedule depths, and the tier-walk pass count (which self-limits to the actual node count, so a small project pays nothing for a high ceiling). Raising this means widening the registry and every dependent schedule together — see DESIGN_PtP_Model section 11.</t>
        </r>
      </text>
    </comment>
    <comment ref="R11" authorId="0" shapeId="0" xr:uid="{E3CE7E80-8C19-4C5F-B985-C0221AEE44D6}">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1" authorId="0" shapeId="0" xr:uid="{FB2AC7A6-CB38-44A1-A26A-1CC898724CD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1" authorId="0" shapeId="0" xr:uid="{0FF4286F-4466-45EE-9F95-BC21381A534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1" authorId="0" shapeId="0" xr:uid="{78EABF68-9A6D-486B-B33B-F9AE046881F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12" authorId="0" shapeId="0" xr:uid="{7B751A74-C4CF-4B94-AB53-D2E44B90FCC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2" authorId="0" shapeId="0" xr:uid="{D18D98D2-7D20-4200-A510-C62C5203245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2" authorId="0" shapeId="0" xr:uid="{9C933DFC-8EF3-4E2E-AC2E-D9CF1C99749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2" authorId="0" shapeId="0" xr:uid="{0E0B6E8E-0A1D-4DB1-AD13-4FB2CB5E08D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D12" authorId="0" shapeId="0" xr:uid="{DE197D7C-2815-4B80-A6CA-8E97DC06077C}">
      <text>
        <r>
          <rPr>
            <b/>
            <sz val="9"/>
            <color indexed="81"/>
            <rFont val="Tahoma"/>
            <family val="2"/>
          </rPr>
          <t>SÄZÄN PowerCalc:
Motor short-circuit contribution as a multiple of connected motor full-load amps, added to the bus fault before the interrupting-rating comparison. 4x is the common industry figure for induction motors (IEEE 141); use 5x on motor control centres or where a bus is dominated by large motors. Set per bus on the Short Circuit sheet where a specific bus differs.</t>
        </r>
      </text>
    </comment>
    <comment ref="R13" authorId="0" shapeId="0" xr:uid="{3ACA57E0-9C34-4FCA-896B-A3B4ED77210D}">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3" authorId="0" shapeId="0" xr:uid="{61868CFE-B4A2-427B-8ADE-891B7C7C6EC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3" authorId="0" shapeId="0" xr:uid="{25215082-3A19-45D3-98B1-CF1255B2C390}">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3" authorId="0" shapeId="0" xr:uid="{A7E7715E-55C8-4407-A114-200BAAB7E79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D13" authorId="0" shapeId="0" xr:uid="{F4A66CA6-06CF-4DAD-840D-6ED16F0F7664}">
      <text>
        <r>
          <rPr>
            <b/>
            <sz val="9"/>
            <color indexed="81"/>
            <rFont val="Tahoma"/>
            <family val="2"/>
          </rPr>
          <t>SÄZÄN PowerCalc:
Motor contribution multiplier applied automatically where the bus Type is MCC, on the basis that such a bus is motor-dominated. Overridable per bus.</t>
        </r>
      </text>
    </comment>
    <comment ref="R14" authorId="0" shapeId="0" xr:uid="{8982E591-E8D0-4359-B4C4-1CEB6E149AF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4" authorId="0" shapeId="0" xr:uid="{9E060333-DDAD-488D-AC72-D94D61BEA2B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4" authorId="0" shapeId="0" xr:uid="{F0937399-2890-4724-B3A3-ACFCF532622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4" authorId="0" shapeId="0" xr:uid="{216C90E8-4B5C-4E20-A9A1-35B2987559D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BE14" authorId="0" shapeId="0" xr:uid="{E52B9836-F6EB-454B-B3DB-6C645F05584C}">
      <text>
        <r>
          <rPr>
            <b/>
            <sz val="9"/>
            <color indexed="81"/>
            <rFont val="Tahoma"/>
            <family val="2"/>
          </rPr>
          <t>SÄZÄN PowerCalc:
Corrected: NEC Table 250.122 — 600 A OCPD requires 2/0 Al EGC (was duplicating the 1/0 value from the 500 A row).</t>
        </r>
      </text>
    </comment>
    <comment ref="R15" authorId="0" shapeId="0" xr:uid="{6412A7A9-5C24-49BE-B7DD-AC51E8B8CFF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5" authorId="0" shapeId="0" xr:uid="{376FCF1C-974D-43F4-9703-355E15B3A98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5" authorId="0" shapeId="0" xr:uid="{3600645D-7BF9-4A88-906C-7655FA7FED01}">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5" authorId="0" shapeId="0" xr:uid="{7FADF9D2-98D3-4C0C-BECC-12D6C6C5E02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CD15" authorId="0" shapeId="0" xr:uid="{E773B36F-4763-4BCC-BC42-C444DA237095}">
      <text>
        <r>
          <rPr>
            <b/>
            <sz val="9"/>
            <color indexed="81"/>
            <rFont val="Tahoma"/>
            <family val="2"/>
          </rPr>
          <t>SÄZÄN PowerCalc:
FEEDER limit, per individual feeder run. Not a duplicate of VD_Branch at AB8, which is the BRANCH limit — different quantities, both 3%. Read by Feeder Schedule (V, BX), the Voltage Drop study (I), and since 2026-09-22 the feeder conductor sizing on all three TPL_ sheets. Basis: NEC 2023 215.2(A)(1) Informational Note No. 2. Not enforceable per NEC 90.5; design standard.</t>
        </r>
      </text>
    </comment>
    <comment ref="R16" authorId="0" shapeId="0" xr:uid="{91711068-8988-4448-8BA1-9F2DB0E7739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6" authorId="0" shapeId="0" xr:uid="{9B293037-969A-4DE8-AE50-B537928C724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6" authorId="0" shapeId="0" xr:uid="{57670DC5-D641-470C-9940-EA6DC34D44D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6" authorId="0" shapeId="0" xr:uid="{69B75140-19D8-42E2-B27B-64C597E1990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AA16" authorId="0" shapeId="0" xr:uid="{0D56FFFC-8239-437A-9A9C-2A17A1323EDB}">
      <text>
        <r>
          <rPr>
            <b/>
            <sz val="9"/>
            <color indexed="81"/>
            <rFont val="Tahoma"/>
            <family val="2"/>
          </rPr>
          <t>SÄZÄN PowerCalc:
Per NEC 110.14(C): circuits ≤100 A sized off the 60°C ampacity column; &gt;100 A use the configured termination temp column (Config). Min conductor #12 is an SGI design standard.</t>
        </r>
      </text>
    </comment>
    <comment ref="CD16" authorId="0" shapeId="0" xr:uid="{CC254169-ED33-4556-B623-2F5C0A63E9D8}">
      <text>
        <r>
          <rPr>
            <b/>
            <sz val="9"/>
            <color indexed="81"/>
            <rFont val="Tahoma"/>
            <family val="2"/>
          </rPr>
          <t>SÄZÄN PowerCalc:
COMBINED feeders-plus-branch limit, and the single home for this value — VD_Total at AB9 now links here rather than holding its own copy. Basis: NEC 2023 210.19(A) IN No. 4 / 215.2(A)(1) IN No. 2, 5 percent total to the farthest outlet. Not enforceable per NEC 90.5; design standard.</t>
        </r>
      </text>
    </comment>
    <comment ref="R17" authorId="0" shapeId="0" xr:uid="{17BE8461-A9C0-4096-8EA0-50938946EF30}">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7" authorId="0" shapeId="0" xr:uid="{BA94207F-F647-4F8C-8F17-11F0F0D7770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7" authorId="0" shapeId="0" xr:uid="{62937180-FDAD-42E1-B4D4-ADDFD564EAD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7" authorId="0" shapeId="0" xr:uid="{A2A6D9DF-C10C-46ED-90F5-0A693A4B3A4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18" authorId="0" shapeId="0" xr:uid="{1C708EF3-7825-45D8-A7E3-4C78D04A4314}">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8" authorId="0" shapeId="0" xr:uid="{5D64B814-A73D-40E0-9DF3-0C892DCDEE5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8" authorId="0" shapeId="0" xr:uid="{65DED120-0DCD-469E-823E-434F1FDDBAC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8" authorId="0" shapeId="0" xr:uid="{9C8BB3B4-7E8C-4958-93C8-315E8793B59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19" authorId="0" shapeId="0" xr:uid="{3C4E4BEC-0FE6-433C-A9C3-B59F57BF4E09}">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19" authorId="0" shapeId="0" xr:uid="{15594565-2AF3-4441-AC7B-B2EE5980E8F4}">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19" authorId="0" shapeId="0" xr:uid="{BB9075FD-8FB6-491F-B999-CE46D93B51F7}">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19" authorId="0" shapeId="0" xr:uid="{7ED6F7E7-8E1F-491B-94E0-561F933A87A4}">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0" authorId="0" shapeId="0" xr:uid="{A8157EB5-93CA-4E4A-9AC8-43A432E9B7E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0" authorId="0" shapeId="0" xr:uid="{099848B6-F7C4-4623-997D-D95C60182F0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0" authorId="0" shapeId="0" xr:uid="{96533B45-3277-4542-AEE5-3A05B3C84AC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0" authorId="0" shapeId="0" xr:uid="{EB6FB0EC-525F-4082-9162-222B9A6AD01D}">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1" authorId="0" shapeId="0" xr:uid="{7FDCE79D-1905-4612-AB53-28A2CB8621FE}">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1" authorId="0" shapeId="0" xr:uid="{7C23A427-5B29-4C3D-B4B3-3DD3A097D7D2}">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1" authorId="0" shapeId="0" xr:uid="{F59EF07E-545B-4EBE-836D-7376E1CE9C4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1" authorId="0" shapeId="0" xr:uid="{F6DDB2D2-93A3-4C60-8CAB-E2D6B844C1A3}">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2" authorId="0" shapeId="0" xr:uid="{2C50E385-7539-4FDD-8AD6-A9EF7175D69E}">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2" authorId="0" shapeId="0" xr:uid="{54310AB8-9D15-4375-909C-20C8EA4DD7AF}">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2" authorId="0" shapeId="0" xr:uid="{9BB01AE0-168A-413B-A254-66BA04244FC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2" authorId="0" shapeId="0" xr:uid="{C74F4236-1EDB-4B41-BBD5-268D535A39EE}">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3" authorId="0" shapeId="0" xr:uid="{835DD423-BBE6-4364-861A-7DAB7B986D29}">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3" authorId="0" shapeId="0" xr:uid="{292C88A4-0B77-408C-9B11-DAD3BD99AB3C}">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3" authorId="0" shapeId="0" xr:uid="{24444DDD-B8DF-4A01-9C75-0D9A56B148CD}">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3" authorId="0" shapeId="0" xr:uid="{7F4C941D-16A1-4985-AE7E-4159477BCC4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4" authorId="0" shapeId="0" xr:uid="{1DF4EF19-E9E9-434E-BFEF-12FF2F71812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4" authorId="0" shapeId="0" xr:uid="{1753D082-9025-4AD6-9452-478588E72F7B}">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4" authorId="0" shapeId="0" xr:uid="{58644258-0F07-42A8-9EA4-085A101E74FE}">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4" authorId="0" shapeId="0" xr:uid="{A7595E60-B949-49A5-8DE5-4DA08C922B6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5" authorId="0" shapeId="0" xr:uid="{D23D3C24-E30A-47C5-8E60-929DF77C6823}">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S25" authorId="0" shapeId="0" xr:uid="{8C5A04D9-9F0F-415A-AB16-136248C4C445}">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T25" authorId="0" shapeId="0" xr:uid="{E2CC6D94-0B7A-4A90-BF94-8BB7E5145D54}">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U25" authorId="0" shapeId="0" xr:uid="{D730CB62-02E3-4B27-9A2A-E00A581E67E9}">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R26" authorId="0" shapeId="0" xr:uid="{2EC37416-506C-4139-9745-4AA4D9D96FEE}">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6" authorId="0" shapeId="0" xr:uid="{27D7EC5F-235F-404B-9973-F9720B698F95}">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6" authorId="0" shapeId="0" xr:uid="{2482EBF9-6941-425A-91B4-BB2448CC285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6" authorId="0" shapeId="0" xr:uid="{F2201A53-591C-4D57-BDB0-AB203C7D2F4A}">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R27" authorId="0" shapeId="0" xr:uid="{21C7B734-432B-498F-A6B7-39459C5FAF62}">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S27" authorId="0" shapeId="0" xr:uid="{1FEDE69F-8322-4C2F-AB40-85D20A94CA48}">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T27" authorId="0" shapeId="0" xr:uid="{5CF40381-E117-4E6B-84A6-FA08286451DE}">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U27" authorId="0" shapeId="0" xr:uid="{4BFFFEF6-B2A0-43A0-B045-C4876175BAC8}">
      <text>
        <r>
          <rPr>
            <b/>
            <sz val="9"/>
            <color indexed="81"/>
            <rFont val="Tahoma"/>
            <charset val="1"/>
          </rPr>
          <t>SÄZÄN PowerCalc:
Interpolated by circular-mil area from the adjacent published rows — Bussmann Table 4 does not publish 700 or 800 kcmil. Formula, not a hardcode: see the cell. Source of the surrounding published values: Eaton/Bussmann Table 4, https://www.eaton.com/content/dam/eaton/products/electrical-circuit-protection/fuses/solution-center/bus-ele-tech-lib-electrical-formulas.pdf</t>
        </r>
      </text>
    </comment>
    <comment ref="R28" authorId="0" shapeId="0" xr:uid="{E74499C8-6736-4735-A841-9D5835F2D7B8}">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S28" authorId="0" shapeId="0" xr:uid="{CA479344-F689-4905-BDD3-70FA368DFD29}">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T28" authorId="0" shapeId="0" xr:uid="{8A4AB871-B2AE-4073-8897-833ABEA40774}">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U28" authorId="0" shapeId="0" xr:uid="{5FEFC59E-D339-42FB-8A58-C376D7FF8597}">
      <text>
        <r>
          <rPr>
            <b/>
            <sz val="9"/>
            <color indexed="81"/>
            <rFont val="Tahoma"/>
            <charset val="1"/>
          </rPr>
          <t>SÄZÄN PowerCalc:
Source: Eaton/Bussmann, Short-Circuit Current Calculations, Table 4 "C" Values for Conductors — Copper/Aluminum, 600V, three single conductors in conduit. https://www.eaton.com/content/dam/eaton/products/electrical-circuit-protection/fuses/solution-center/bus-ele-tech-lib-electrical-formulas.pdf</t>
        </r>
      </text>
    </comment>
    <comment ref="K58" authorId="0" shapeId="0" xr:uid="{85DBE8C8-4E53-4ABF-8C6E-C86A68839703}">
      <text>
        <r>
          <rPr>
            <b/>
            <sz val="9"/>
            <color indexed="81"/>
            <rFont val="Tahoma"/>
            <family val="2"/>
          </rPr>
          <t>SÄZÄN PowerCalc:
Mixed receptacle + lighting on one circuit: treated as continuous (125% sizing) and rolled into the Lighting demand bucket at 100% — receptacle portion conservatively gets no NEC 220.44 demand credit.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<sst xmlns="http://schemas.openxmlformats.org/spreadsheetml/2006/main" count="4225" uniqueCount="2150">
  <si>
    <t>NEC REFERENCE DATA</t>
  </si>
  <si>
    <t>⚠ Reference tables only. Verify against your adopted NEC edition and manufacturer data. A licensed PE must approve all results.</t>
  </si>
  <si>
    <t>A. SYSTEM VOLTAGES</t>
  </si>
  <si>
    <t>System</t>
  </si>
  <si>
    <t>Nominal V (L-L)</t>
  </si>
  <si>
    <t>Phase</t>
  </si>
  <si>
    <t>Wires</t>
  </si>
  <si>
    <t>V (L-N)</t>
  </si>
  <si>
    <t>Class</t>
  </si>
  <si>
    <t>120V 1Ø 2W</t>
  </si>
  <si>
    <t>LV</t>
  </si>
  <si>
    <t>120/240V 1Ø 3W</t>
  </si>
  <si>
    <t>208Y/120V 3Ø 4W</t>
  </si>
  <si>
    <t>240V 3Ø 3W (Delta)</t>
  </si>
  <si>
    <t>240V 3Ø 4W (High-Leg)</t>
  </si>
  <si>
    <t>480Y/277V 3Ø 4W</t>
  </si>
  <si>
    <t>480V 3Ø 3W</t>
  </si>
  <si>
    <t>600Y/347V 3Ø 4W</t>
  </si>
  <si>
    <t>600V 3Ø 3W</t>
  </si>
  <si>
    <t>2400V 3Ø 3W</t>
  </si>
  <si>
    <t>MV</t>
  </si>
  <si>
    <t>4160Y/2400V 3Ø 4W</t>
  </si>
  <si>
    <t>4160V 3Ø 3W</t>
  </si>
  <si>
    <t>4800V 3Ø 3W</t>
  </si>
  <si>
    <t>6900V 3Ø 3W</t>
  </si>
  <si>
    <t>12470Y/7200V 3Ø 4W</t>
  </si>
  <si>
    <t>13200V 3Ø 3W</t>
  </si>
  <si>
    <t>13800V 3Ø 3W</t>
  </si>
  <si>
    <t>24940Y/14400V 3Ø 4W</t>
  </si>
  <si>
    <t>34500V 3Ø 3W</t>
  </si>
  <si>
    <t>Amps</t>
  </si>
  <si>
    <t>Size (AWG/kcmil)</t>
  </si>
  <si>
    <t>Circular Mils</t>
  </si>
  <si>
    <t>Cu 60°C</t>
  </si>
  <si>
    <t>Cu 75°C</t>
  </si>
  <si>
    <t>Cu 90°C</t>
  </si>
  <si>
    <t>Al 60°C</t>
  </si>
  <si>
    <t>Al 75°C</t>
  </si>
  <si>
    <t>Al 90°C</t>
  </si>
  <si>
    <t>C (Cu-steel)</t>
  </si>
  <si>
    <t>C (Al-steel)</t>
  </si>
  <si>
    <t>OCPD ≤ (A)</t>
  </si>
  <si>
    <t>Cu</t>
  </si>
  <si>
    <t>Al</t>
  </si>
  <si>
    <t>E. VD CONSTANTS</t>
  </si>
  <si>
    <t>Constant</t>
  </si>
  <si>
    <t>Value</t>
  </si>
  <si>
    <t>K – Copper (cmil·Ω/ft)</t>
  </si>
  <si>
    <t>K – Aluminum (cmil·Ω/ft)</t>
  </si>
  <si>
    <t>VD limit – branch (recommended)</t>
  </si>
  <si>
    <t>√3 (3Ø factor)</t>
  </si>
  <si>
    <t>PROJECT INFORMATION</t>
  </si>
  <si>
    <t>Project Name</t>
  </si>
  <si>
    <t>Project Number</t>
  </si>
  <si>
    <t>Client</t>
  </si>
  <si>
    <t>Location</t>
  </si>
  <si>
    <t>Engineer / PE of Record</t>
  </si>
  <si>
    <t>Date</t>
  </si>
  <si>
    <t>Revision</t>
  </si>
  <si>
    <t>ELECTRICAL SYSTEM</t>
  </si>
  <si>
    <t>System Voltage (select)</t>
  </si>
  <si>
    <t>Nominal Voltage (L-L)</t>
  </si>
  <si>
    <t>Voltage (L-N)</t>
  </si>
  <si>
    <t>Voltage Class</t>
  </si>
  <si>
    <t>DESIGN DEFAULTS</t>
  </si>
  <si>
    <t>Branch Conductor Material</t>
  </si>
  <si>
    <t>Feeder Conductor Material</t>
  </si>
  <si>
    <t>Termination Temp Rating</t>
  </si>
  <si>
    <t>Conduit Type</t>
  </si>
  <si>
    <t>CALCULATION MODULES</t>
  </si>
  <si>
    <t>Breaker Sizing</t>
  </si>
  <si>
    <t>ON</t>
  </si>
  <si>
    <t>(always on – core function)</t>
  </si>
  <si>
    <t>Wire Sizing</t>
  </si>
  <si>
    <t>Voltage Drop</t>
  </si>
  <si>
    <t>Short Circuit / AIC</t>
  </si>
  <si>
    <t>HP</t>
  </si>
  <si>
    <t>208V</t>
  </si>
  <si>
    <t>230V</t>
  </si>
  <si>
    <t>460V</t>
  </si>
  <si>
    <t>575V</t>
  </si>
  <si>
    <t>115V</t>
  </si>
  <si>
    <t>H. LOAD CLASSIFICATION</t>
  </si>
  <si>
    <t>Classification</t>
  </si>
  <si>
    <t>Cont. Factor</t>
  </si>
  <si>
    <t>Is Motor</t>
  </si>
  <si>
    <t>Receptacle</t>
  </si>
  <si>
    <t>Lighting</t>
  </si>
  <si>
    <t>Motor</t>
  </si>
  <si>
    <t>HVAC</t>
  </si>
  <si>
    <t>Electric Heat</t>
  </si>
  <si>
    <t>Kitchen Equip</t>
  </si>
  <si>
    <t>Continuous (Other)</t>
  </si>
  <si>
    <t>Non-Continuous</t>
  </si>
  <si>
    <t>Spare</t>
  </si>
  <si>
    <t>Space</t>
  </si>
  <si>
    <t>Blue text on grey = your inputs.  Red = auto-calculated (do not type).</t>
  </si>
  <si>
    <t>ENGINE CONSTANTS (auto – do not edit)</t>
  </si>
  <si>
    <t>Branch K (VD)</t>
  </si>
  <si>
    <t>Feeder K (VD)</t>
  </si>
  <si>
    <t>Branch C column (SC)</t>
  </si>
  <si>
    <t>Feeder C column (SC)</t>
  </si>
  <si>
    <t>PANELBOARD SCHEDULE</t>
  </si>
  <si>
    <t>Panel Name</t>
  </si>
  <si>
    <t>Fed From</t>
  </si>
  <si>
    <t>Mounting</t>
  </si>
  <si>
    <t>Enclosure</t>
  </si>
  <si>
    <t>NEMA 1</t>
  </si>
  <si>
    <t>Mains Type</t>
  </si>
  <si>
    <t>Feeder Length (ft)</t>
  </si>
  <si>
    <t>CIRCUIT SCHEDULE</t>
  </si>
  <si>
    <t>CKT</t>
  </si>
  <si>
    <t>Load Description</t>
  </si>
  <si>
    <t>FLA</t>
  </si>
  <si>
    <t>VD %</t>
  </si>
  <si>
    <t>DesI</t>
  </si>
  <si>
    <t>VA#</t>
  </si>
  <si>
    <t>SWITCHBOARD SCHEDULE</t>
  </si>
  <si>
    <t>14</t>
  </si>
  <si>
    <t>12</t>
  </si>
  <si>
    <t>10</t>
  </si>
  <si>
    <t>8</t>
  </si>
  <si>
    <t>6</t>
  </si>
  <si>
    <t>4</t>
  </si>
  <si>
    <t>3</t>
  </si>
  <si>
    <t>2</t>
  </si>
  <si>
    <t>1</t>
  </si>
  <si>
    <t>1/0</t>
  </si>
  <si>
    <t>2/0</t>
  </si>
  <si>
    <t>3/0</t>
  </si>
  <si>
    <t>4/0</t>
  </si>
  <si>
    <t>250</t>
  </si>
  <si>
    <t>300</t>
  </si>
  <si>
    <t>350</t>
  </si>
  <si>
    <t>400</t>
  </si>
  <si>
    <t>500</t>
  </si>
  <si>
    <t>600</t>
  </si>
  <si>
    <t>700</t>
  </si>
  <si>
    <t>750</t>
  </si>
  <si>
    <t>800</t>
  </si>
  <si>
    <t>1000</t>
  </si>
  <si>
    <t>1200</t>
  </si>
  <si>
    <t>DemType</t>
  </si>
  <si>
    <t>REC</t>
  </si>
  <si>
    <t>LTG</t>
  </si>
  <si>
    <t>MTR</t>
  </si>
  <si>
    <t>HVC</t>
  </si>
  <si>
    <t>HEAT</t>
  </si>
  <si>
    <t>KIT</t>
  </si>
  <si>
    <t>CONT</t>
  </si>
  <si>
    <t>GEN</t>
  </si>
  <si>
    <t>NONE</t>
  </si>
  <si>
    <t>Panel</t>
  </si>
  <si>
    <t>PNL</t>
  </si>
  <si>
    <t>Units ≥</t>
  </si>
  <si>
    <t>Factor</t>
  </si>
  <si>
    <t>J. XFMR kVA 3Ø</t>
  </si>
  <si>
    <t>K. XFMR kVA 1Ø</t>
  </si>
  <si>
    <t>L. STD AIC (A)</t>
  </si>
  <si>
    <t>Xfmr %Z default = 5.75 — verify w/ mfr</t>
  </si>
  <si>
    <t>Manufacturer</t>
  </si>
  <si>
    <t>Model / Series</t>
  </si>
  <si>
    <t>Dims HxWxD (in)</t>
  </si>
  <si>
    <t>Feed</t>
  </si>
  <si>
    <t>System Voltage</t>
  </si>
  <si>
    <t>V (L-L / L-N)</t>
  </si>
  <si>
    <t>Phase / Wires</t>
  </si>
  <si>
    <t>Main/Bus Rating (A)</t>
  </si>
  <si>
    <t>Std Device AIC (A)</t>
  </si>
  <si>
    <t>Source Fault Avail. (A)</t>
  </si>
  <si>
    <t>Fault at Bus (A)</t>
  </si>
  <si>
    <t>AIC Check</t>
  </si>
  <si>
    <t>Feeder Conductor</t>
  </si>
  <si>
    <t>Feeder OCPD (A)</t>
  </si>
  <si>
    <t>Demand Total (kVA)</t>
  </si>
  <si>
    <t>Demand FLA (A)</t>
  </si>
  <si>
    <t>engine</t>
  </si>
  <si>
    <t>Qty</t>
  </si>
  <si>
    <t>Wire / Gnd</t>
  </si>
  <si>
    <t>Bkr A</t>
  </si>
  <si>
    <t>P</t>
  </si>
  <si>
    <t>IsM</t>
  </si>
  <si>
    <t>CtF</t>
  </si>
  <si>
    <t>DmT</t>
  </si>
  <si>
    <t>CktV</t>
  </si>
  <si>
    <t>FLC</t>
  </si>
  <si>
    <t>OCPDt</t>
  </si>
  <si>
    <t>Pos</t>
  </si>
  <si>
    <t>PhI</t>
  </si>
  <si>
    <t>vaA</t>
  </si>
  <si>
    <t>vaB</t>
  </si>
  <si>
    <t>vaC</t>
  </si>
  <si>
    <t>OVR</t>
  </si>
  <si>
    <t>Category</t>
  </si>
  <si>
    <t>Ph</t>
  </si>
  <si>
    <t>Description</t>
  </si>
  <si>
    <t>Switchboard Name</t>
  </si>
  <si>
    <t>TRANSFORMER SCHEDULE</t>
  </si>
  <si>
    <t>Tag</t>
  </si>
  <si>
    <t>Serves</t>
  </si>
  <si>
    <t>Pri V</t>
  </si>
  <si>
    <t>Sec V</t>
  </si>
  <si>
    <t>Load kVA</t>
  </si>
  <si>
    <t>Std kVA</t>
  </si>
  <si>
    <t>%Z</t>
  </si>
  <si>
    <t>Pri Avail (A)</t>
  </si>
  <si>
    <t>Notes</t>
  </si>
  <si>
    <t>Type</t>
  </si>
  <si>
    <t>Voltage</t>
  </si>
  <si>
    <t>Mains</t>
  </si>
  <si>
    <t>Demand kVA</t>
  </si>
  <si>
    <t>Sheet Link</t>
  </si>
  <si>
    <t>Conn. kVA</t>
  </si>
  <si>
    <t>Cons</t>
  </si>
  <si>
    <t>Phase A (kVA)</t>
  </si>
  <si>
    <t>Phase B (kVA)</t>
  </si>
  <si>
    <t>Phase C (kVA)</t>
  </si>
  <si>
    <t>Continuous</t>
  </si>
  <si>
    <t>General</t>
  </si>
  <si>
    <t>PHASE BALANCE</t>
  </si>
  <si>
    <t>Imbalance %</t>
  </si>
  <si>
    <t>VOLTAGE DROP CALCULATIONS</t>
  </si>
  <si>
    <t>Conductor</t>
  </si>
  <si>
    <t>CM</t>
  </si>
  <si>
    <t>K</t>
  </si>
  <si>
    <t>Status</t>
  </si>
  <si>
    <t>SHORT-CIRCUIT / FAULT CURRENT STUDY</t>
  </si>
  <si>
    <t>Node</t>
  </si>
  <si>
    <t>Device AIC (A)</t>
  </si>
  <si>
    <t>Result</t>
  </si>
  <si>
    <t>Source</t>
  </si>
  <si>
    <t>EQUIPMENT REGISTRY</t>
  </si>
  <si>
    <t>Length Ft</t>
  </si>
  <si>
    <t>Branch amp col ≤100 A (60°C)</t>
  </si>
  <si>
    <t>Feeder amp col ≤100 A (60°C)</t>
  </si>
  <si>
    <t>Min conductor position (2 = #12)</t>
  </si>
  <si>
    <t>Mixed REC/LTG</t>
  </si>
  <si>
    <t>Branch ampacity column (&gt;100 A)</t>
  </si>
  <si>
    <t>Feeder ampacity column (&gt;100 A)</t>
  </si>
  <si>
    <t>PROJECT DASHBOARD  —  CRADLE-TO-GRAVE ELECTRICAL DESIGN</t>
  </si>
  <si>
    <t>Module</t>
  </si>
  <si>
    <t>Key Result</t>
  </si>
  <si>
    <t>Sheet</t>
  </si>
  <si>
    <t>Load Calculation</t>
  </si>
  <si>
    <t>Load Calc</t>
  </si>
  <si>
    <t>Utility Demand</t>
  </si>
  <si>
    <t>Generator Sizing</t>
  </si>
  <si>
    <t>Generator</t>
  </si>
  <si>
    <t>UPS Sizing</t>
  </si>
  <si>
    <t>UPS</t>
  </si>
  <si>
    <t>Panel Schedules</t>
  </si>
  <si>
    <t>(registry below)</t>
  </si>
  <si>
    <t>Short Circuit</t>
  </si>
  <si>
    <t>SERVICE LOAD CALCULATION</t>
  </si>
  <si>
    <t>Project:</t>
  </si>
  <si>
    <t>Service Voltage:</t>
  </si>
  <si>
    <t>Date:</t>
  </si>
  <si>
    <t>BASELINE SQUARE FOOTAGE</t>
  </si>
  <si>
    <t>SF per Floor</t>
  </si>
  <si>
    <t>Total SF</t>
  </si>
  <si>
    <t>Floors</t>
  </si>
  <si>
    <t>TOTAL BUILDING SF</t>
  </si>
  <si>
    <t>GENERAL DEMAND ALLOWANCES (W/SF)</t>
  </si>
  <si>
    <t>W/SF</t>
  </si>
  <si>
    <t>Applies to SF</t>
  </si>
  <si>
    <t>Connected kVA</t>
  </si>
  <si>
    <t>Demand Factor</t>
  </si>
  <si>
    <t>General Power</t>
  </si>
  <si>
    <t>Computer Power</t>
  </si>
  <si>
    <t>General Mechanical &amp; Plumbing</t>
  </si>
  <si>
    <t>Peak Demand (kVA)</t>
  </si>
  <si>
    <t>Spare Capacity on Existing Service (kVA)</t>
  </si>
  <si>
    <t>Existing Service Size (A)</t>
  </si>
  <si>
    <t>Existing Service Capacity (kVA)</t>
  </si>
  <si>
    <t>Service Utilization (%)</t>
  </si>
  <si>
    <t>No.</t>
  </si>
  <si>
    <t>Connection</t>
  </si>
  <si>
    <t>Recept Type</t>
  </si>
  <si>
    <t>Load Value</t>
  </si>
  <si>
    <t>Unit</t>
  </si>
  <si>
    <t>Volts</t>
  </si>
  <si>
    <t>PF</t>
  </si>
  <si>
    <t>kVA Each</t>
  </si>
  <si>
    <t>Total kVA</t>
  </si>
  <si>
    <t>Ded. Ckt</t>
  </si>
  <si>
    <t>Gen</t>
  </si>
  <si>
    <t>Panel Tag</t>
  </si>
  <si>
    <t>NEC DEMAND FACTOR  ×  SECTION TOTAL  =  SECTION DEMAND →</t>
  </si>
  <si>
    <t>PANEL SPACE COUNTER — PRELIMINARY RISER PLANNING</t>
  </si>
  <si>
    <t>Section</t>
  </si>
  <si>
    <t>480Y/277V Spaces</t>
  </si>
  <si>
    <t>208Y/120V Spaces</t>
  </si>
  <si>
    <t>240/120V Spaces</t>
  </si>
  <si>
    <t>Rows marked Ded. Ckt = N are excluded. 120V loads appear in BOTH 208Y and 240 families — read the column matching your system.</t>
  </si>
  <si>
    <t>TOTAL SPACES</t>
  </si>
  <si>
    <t>Design Spare Spaces (%)</t>
  </si>
  <si>
    <t>Spaces incl. Spares</t>
  </si>
  <si>
    <t>Suggested 42-Pole Panels</t>
  </si>
  <si>
    <t>W/SF Allowances (Power / Lighting / Mech-Plumb)</t>
  </si>
  <si>
    <t>TOTAL NEW LOAD</t>
  </si>
  <si>
    <t>Demand Amps @ Service Voltage</t>
  </si>
  <si>
    <t>Design Spare Capacity (%)</t>
  </si>
  <si>
    <t>DESIGN LOAD incl. Spare (kVA)</t>
  </si>
  <si>
    <t>DESIGN AMPS incl. Spare</t>
  </si>
  <si>
    <t>GENERATOR-CONNECTED LOADS (Gen = Y) → GENERATOR MODULE</t>
  </si>
  <si>
    <t>TOTAL GENERATOR-CONNECTED (kVA)</t>
  </si>
  <si>
    <t>UPS-CONNECTED LOADS (UPS = Y) → UPS MODULE</t>
  </si>
  <si>
    <t>TOTAL UPS-CONNECTED (kVA)</t>
  </si>
  <si>
    <t>Y</t>
  </si>
  <si>
    <t>SETTINGS</t>
  </si>
  <si>
    <t>System Voltage (L-L)</t>
  </si>
  <si>
    <t>Assumed Load Factor (optional)</t>
  </si>
  <si>
    <t>Existing Service (A)</t>
  </si>
  <si>
    <t>Cycle</t>
  </si>
  <si>
    <t>Start Date</t>
  </si>
  <si>
    <t>End Date</t>
  </si>
  <si>
    <t>Days</t>
  </si>
  <si>
    <t>kWh</t>
  </si>
  <si>
    <t>Avg kW</t>
  </si>
  <si>
    <t>Peak kW Used</t>
  </si>
  <si>
    <t>Peak kVA</t>
  </si>
  <si>
    <t>Peak A</t>
  </si>
  <si>
    <t>Spare Capacity for New Load (kVA)</t>
  </si>
  <si>
    <t>N. STD GENERATOR kW</t>
  </si>
  <si>
    <t>O. STD UPS kVA</t>
  </si>
  <si>
    <t>GENERATOR SIZING — NEC 700 / 701 / 702</t>
  </si>
  <si>
    <t>Generator Rated PF</t>
  </si>
  <si>
    <t>Design Margin (×)</t>
  </si>
  <si>
    <t>Assumed Load PF (kVA→kW)</t>
  </si>
  <si>
    <t>LOADS FROM LOAD CALC (Gen = Y)</t>
  </si>
  <si>
    <t>Include?</t>
  </si>
  <si>
    <t>TOTAL INCLUDED (kVA)</t>
  </si>
  <si>
    <t>ADDITIONAL / MANUAL LOADS</t>
  </si>
  <si>
    <t>Load Class</t>
  </si>
  <si>
    <t>kW each</t>
  </si>
  <si>
    <t>kW total</t>
  </si>
  <si>
    <t>kVA</t>
  </si>
  <si>
    <t>Start Method</t>
  </si>
  <si>
    <t>Start kVA</t>
  </si>
  <si>
    <t>SIZING SUMMARY</t>
  </si>
  <si>
    <t>Total Running kVA</t>
  </si>
  <si>
    <t>Total Running kW</t>
  </si>
  <si>
    <t>Max Single-Step Starting kVA</t>
  </si>
  <si>
    <t>Starting-kVA multipliers are typical (ATL×6, Soft×3, VFD×1.5). Verify against equipment data; largest single step drives voltage-dip sizing.</t>
  </si>
  <si>
    <t>UPS SIZING — CRITICAL / CONTINUOUS LOADS</t>
  </si>
  <si>
    <t>UPS Output PF</t>
  </si>
  <si>
    <t>Redundancy</t>
  </si>
  <si>
    <t>N</t>
  </si>
  <si>
    <t>Runtime Target (min)</t>
  </si>
  <si>
    <t>LOADS FROM LOAD CALC (UPS = Y)</t>
  </si>
  <si>
    <t>kVA each</t>
  </si>
  <si>
    <t>kVA total</t>
  </si>
  <si>
    <t>Total Critical Load (kVA)</t>
  </si>
  <si>
    <t>Critical Load kW @ Output PF</t>
  </si>
  <si>
    <t>Module Configuration</t>
  </si>
  <si>
    <t>Battery/runtime sizing per manufacturer data at the runtime target. Verify inrush &amp; bypass ratings for downstream panels.</t>
  </si>
  <si>
    <t>Margin (A)</t>
  </si>
  <si>
    <t>ARC FLASH STUDY — IEEE 1584 EMPIRICAL METHOD</t>
  </si>
  <si>
    <t>METHOD &amp; DISCLAIMER</t>
  </si>
  <si>
    <t>Engine: IEEE 1584-2002 empirical equations (208 V–15 kV). Arcing current, normalized incident energy, distance exponent by equipment class, 1.5× LV factor.</t>
  </si>
  <si>
    <t>Dual-pass per 1584: incident energy evaluated at 100% and 85% arcing current (t2 = clearing time at reduced current) — worst case governs.</t>
  </si>
  <si>
    <t>CLEARING TIMES MUST BE VERIFIED AGAINST THE PROTECTIVE DEVICE TCC. Typical values below are placeholders for early design only.</t>
  </si>
  <si>
    <t>Upgrade path: paste IEEE 1584-2018 Tables 1–5 &amp; 7 coefficients and this engine will be converted to the 2018 model (electrode configs VCB/VCBB/HCB, enclosure size CF).</t>
  </si>
  <si>
    <t>Results are an engineering guide only — final arc flash study requires PE review. Not for labeling without verification.</t>
  </si>
  <si>
    <t>TYPICAL DEVICE CLEARING TIMES — GUIDE ONLY, VERIFY AGAINST TCC</t>
  </si>
  <si>
    <t>Molded-case breaker, instantaneous</t>
  </si>
  <si>
    <t>Current-limiting fuse (within CL range)</t>
  </si>
  <si>
    <t>Class RK/J fuse @ high fault</t>
  </si>
  <si>
    <t>LV power breaker, instantaneous</t>
  </si>
  <si>
    <t>LV power breaker, short-time delay</t>
  </si>
  <si>
    <t>MV breaker (5 cyc) + relay</t>
  </si>
  <si>
    <t>BUS TABLE — INCIDENT ENERGY &amp; ARC FLASH BOUNDARY</t>
  </si>
  <si>
    <t>Ibf (kA)</t>
  </si>
  <si>
    <t>Equip Class</t>
  </si>
  <si>
    <t>Gap (mm)</t>
  </si>
  <si>
    <t>Grounding</t>
  </si>
  <si>
    <t>Work Dist (in)</t>
  </si>
  <si>
    <t>t1 (s)</t>
  </si>
  <si>
    <t>t2 @85% (s)</t>
  </si>
  <si>
    <t>Ia (kA)</t>
  </si>
  <si>
    <t>E1 (cal/cm2)</t>
  </si>
  <si>
    <t>E2 (cal/cm2)</t>
  </si>
  <si>
    <t>E (cal/cm2)</t>
  </si>
  <si>
    <t>AFB (in)</t>
  </si>
  <si>
    <t>PPE Cat</t>
  </si>
  <si>
    <t>Arc Flash (IEEE 1584)</t>
  </si>
  <si>
    <t>Arc Flash</t>
  </si>
  <si>
    <t>Default Power Factor</t>
  </si>
  <si>
    <t>Used only when a bill has neither kVAR nor a stated PF.</t>
  </si>
  <si>
    <t>If a bill has no metered peak, Peak kW = Avg kW ÷ Load Factor. Leave blank to use metered peaks only.</t>
  </si>
  <si>
    <t>METER 1</t>
  </si>
  <si>
    <t>Meter #</t>
  </si>
  <si>
    <t>Utility:</t>
  </si>
  <si>
    <t>Rate Schedule:</t>
  </si>
  <si>
    <t>Serves:</t>
  </si>
  <si>
    <t>Peak kW (Bill)</t>
  </si>
  <si>
    <t>Peak kVAR (Bill)</t>
  </si>
  <si>
    <t>PF (Bill)</t>
  </si>
  <si>
    <t>PF Used</t>
  </si>
  <si>
    <t>METER PEAK</t>
  </si>
  <si>
    <t>Bill-year kWh →</t>
  </si>
  <si>
    <t>Peak →</t>
  </si>
  <si>
    <t>Meters Included</t>
  </si>
  <si>
    <t>Total Existing Peak Demand — Sum of Meter Peaks (kW)</t>
  </si>
  <si>
    <t>Total Existing Peak Demand (kVA)</t>
  </si>
  <si>
    <t>Total Existing Peak Demand (A)</t>
  </si>
  <si>
    <t>PF per bill: enter the billed PF directly, or enter Peak kVAR and PF is derived (kW/√(kW²+kVAR²)). Bills with PF below 0.90 flag gold.</t>
  </si>
  <si>
    <t>Data Source</t>
  </si>
  <si>
    <t>Choose whether results use the logger-reported peaks (manual block) or the raw interval data pasted below.</t>
  </si>
  <si>
    <t>Used when the logger provides kW only (no kVAR / PF / kVA).</t>
  </si>
  <si>
    <t>MANUAL PEAK ENTRY — FROM LOGGER REPORT</t>
  </si>
  <si>
    <t>Recording Start Date</t>
  </si>
  <si>
    <t>Recording End Date</t>
  </si>
  <si>
    <t>Recording Duration (days)</t>
  </si>
  <si>
    <t>Recorded Peak kW</t>
  </si>
  <si>
    <t>Recorded Peak kVAR (optional)</t>
  </si>
  <si>
    <t>Recorded PF (optional)</t>
  </si>
  <si>
    <t>Peak kVA (manual entry)</t>
  </si>
  <si>
    <t>RAW INTERVAL DATA — SUMMARY</t>
  </si>
  <si>
    <t>Records Found</t>
  </si>
  <si>
    <t>First Timestamp</t>
  </si>
  <si>
    <t>Last Timestamp</t>
  </si>
  <si>
    <t>Recording Span (days)</t>
  </si>
  <si>
    <t>Max kW (from data)</t>
  </si>
  <si>
    <t>kVAR Coincident with Peak kW</t>
  </si>
  <si>
    <t>Max kVA (from data)</t>
  </si>
  <si>
    <t>COMPLIANCE &amp; SEASONAL ADJUSTMENT</t>
  </si>
  <si>
    <t>Recording taken during period of maximum loading?</t>
  </si>
  <si>
    <t>Seasonal / Periodic Load Adjustment Factor</t>
  </si>
  <si>
    <t>Multiplier on peak to account for seasonal/periodic loads not energized during the recording (e.g., heating logged in summer). 1.00 = no adjustment.</t>
  </si>
  <si>
    <t>Governing Peak kW</t>
  </si>
  <si>
    <t>Governing Peak kVA</t>
  </si>
  <si>
    <t>Seasonally Adjusted Peak kVA</t>
  </si>
  <si>
    <t>RAW INTERVAL DATA — PASTE LOGGER EXPORT BELOW (kVAR / kVA COLUMNS OPTIONAL)</t>
  </si>
  <si>
    <t>Timestamp</t>
  </si>
  <si>
    <t>kW</t>
  </si>
  <si>
    <t>kVAR (optional)</t>
  </si>
  <si>
    <t>kVA (optional)</t>
  </si>
  <si>
    <t>Logging Demand</t>
  </si>
  <si>
    <t>Red text</t>
  </si>
  <si>
    <t>Refresh Studies</t>
  </si>
  <si>
    <t>Registry capacity</t>
  </si>
  <si>
    <t>Instructions</t>
  </si>
  <si>
    <t/>
  </si>
  <si>
    <t>MOTOR CONTROL CENTER SCHEDULE</t>
  </si>
  <si>
    <t>MCC Tag / Name</t>
  </si>
  <si>
    <t>Starter Type</t>
  </si>
  <si>
    <t>NEMA Size</t>
  </si>
  <si>
    <t>HOA</t>
  </si>
  <si>
    <t>F. NEMA RECEPTACLES (by system voltage) — reference only; verify with PE</t>
  </si>
  <si>
    <t>120 V</t>
  </si>
  <si>
    <t>1-15R</t>
  </si>
  <si>
    <t>5-15R</t>
  </si>
  <si>
    <t>5-20R</t>
  </si>
  <si>
    <t>5-30R</t>
  </si>
  <si>
    <t>5-50R</t>
  </si>
  <si>
    <t>L1-15R</t>
  </si>
  <si>
    <t>L5-15R</t>
  </si>
  <si>
    <t>L5-20R</t>
  </si>
  <si>
    <t>L5-30R</t>
  </si>
  <si>
    <t>L5-50R</t>
  </si>
  <si>
    <t>TT-30R</t>
  </si>
  <si>
    <t>208 V</t>
  </si>
  <si>
    <t>6-15R</t>
  </si>
  <si>
    <t>6-20R</t>
  </si>
  <si>
    <t>6-30R</t>
  </si>
  <si>
    <t>6-50R</t>
  </si>
  <si>
    <t>L6-15R</t>
  </si>
  <si>
    <t>L6-20R</t>
  </si>
  <si>
    <t>L6-30R</t>
  </si>
  <si>
    <t>11-15R</t>
  </si>
  <si>
    <t>11-20R</t>
  </si>
  <si>
    <t>11-30R</t>
  </si>
  <si>
    <t>11-50R</t>
  </si>
  <si>
    <t>L11-15R</t>
  </si>
  <si>
    <t>L11-20R</t>
  </si>
  <si>
    <t>L11-30R</t>
  </si>
  <si>
    <t>15-15R</t>
  </si>
  <si>
    <t>15-20R</t>
  </si>
  <si>
    <t>15-30R</t>
  </si>
  <si>
    <t>15-50R</t>
  </si>
  <si>
    <t>15-60R</t>
  </si>
  <si>
    <t>L15-20R</t>
  </si>
  <si>
    <t>L15-30R</t>
  </si>
  <si>
    <t>L21-20R</t>
  </si>
  <si>
    <t>L21-30R</t>
  </si>
  <si>
    <t>240 V</t>
  </si>
  <si>
    <t>2-20R</t>
  </si>
  <si>
    <t>2-30R</t>
  </si>
  <si>
    <t>L2-20R</t>
  </si>
  <si>
    <t>10-30R</t>
  </si>
  <si>
    <t>10-50R</t>
  </si>
  <si>
    <t>14-20R</t>
  </si>
  <si>
    <t>14-30R</t>
  </si>
  <si>
    <t>14-50R</t>
  </si>
  <si>
    <t>14-60R</t>
  </si>
  <si>
    <t>L14-20R</t>
  </si>
  <si>
    <t>L14-30R</t>
  </si>
  <si>
    <t>L14-60R</t>
  </si>
  <si>
    <t>277 V</t>
  </si>
  <si>
    <t>7-15R</t>
  </si>
  <si>
    <t>7-20R</t>
  </si>
  <si>
    <t>7-30R</t>
  </si>
  <si>
    <t>7-50R</t>
  </si>
  <si>
    <t>L7-15R</t>
  </si>
  <si>
    <t>L7-20R</t>
  </si>
  <si>
    <t>L7-30R</t>
  </si>
  <si>
    <t>480 V</t>
  </si>
  <si>
    <t>L8-20R</t>
  </si>
  <si>
    <t>L12-20R</t>
  </si>
  <si>
    <t>L12-30R</t>
  </si>
  <si>
    <t>L16-20R</t>
  </si>
  <si>
    <t>L16-30R</t>
  </si>
  <si>
    <t>L19-20R</t>
  </si>
  <si>
    <t>L19-30R</t>
  </si>
  <si>
    <t>L22-20R</t>
  </si>
  <si>
    <t>L22-30R</t>
  </si>
  <si>
    <t>600 V</t>
  </si>
  <si>
    <t>L9-20R</t>
  </si>
  <si>
    <t>L13-20R</t>
  </si>
  <si>
    <t>L13-30R</t>
  </si>
  <si>
    <t>L17-20R</t>
  </si>
  <si>
    <t>L17-30R</t>
  </si>
  <si>
    <t>L20-20R</t>
  </si>
  <si>
    <t>L20-30R</t>
  </si>
  <si>
    <t>L23-20R</t>
  </si>
  <si>
    <t>L23-30R</t>
  </si>
  <si>
    <t>Disc Frame (A)</t>
  </si>
  <si>
    <t>Disc NEMA Encl</t>
  </si>
  <si>
    <t>3R</t>
  </si>
  <si>
    <t>4X</t>
  </si>
  <si>
    <t>Supplied By</t>
  </si>
  <si>
    <t>Electrical</t>
  </si>
  <si>
    <t>Mechanical</t>
  </si>
  <si>
    <t>Disc NEMA</t>
  </si>
  <si>
    <t>Disc Fuse (A)</t>
  </si>
  <si>
    <t>Disc Supplied By</t>
  </si>
  <si>
    <t>Feeds</t>
  </si>
  <si>
    <t>Note</t>
  </si>
  <si>
    <t>NEC_Data</t>
  </si>
  <si>
    <t>VBA_Code</t>
  </si>
  <si>
    <t>Peak Existing Demand (kW)</t>
  </si>
  <si>
    <t>Occupancy</t>
  </si>
  <si>
    <t>1st (VA)</t>
  </si>
  <si>
    <t>DF1</t>
  </si>
  <si>
    <t>2nd (VA)</t>
  </si>
  <si>
    <t>DF2</t>
  </si>
  <si>
    <t>DF3 (rem)</t>
  </si>
  <si>
    <t>Commercial / Other</t>
  </si>
  <si>
    <t>Warehouse / Storage</t>
  </si>
  <si>
    <t>Hospital</t>
  </si>
  <si>
    <t>Hotel / Motel</t>
  </si>
  <si>
    <t>Dwelling</t>
  </si>
  <si>
    <t>First (VA) @ 100%</t>
  </si>
  <si>
    <t>Remainder demand factor</t>
  </si>
  <si>
    <t>Size</t>
  </si>
  <si>
    <t>Cu (A)</t>
  </si>
  <si>
    <t>Al (A)</t>
  </si>
  <si>
    <t>OCPD (A)</t>
  </si>
  <si>
    <t>Cu EGC</t>
  </si>
  <si>
    <t>Al EGC</t>
  </si>
  <si>
    <t>FEEDER &amp; OCPD SIZING SCHEDULE</t>
  </si>
  <si>
    <t>Feeder Tag</t>
  </si>
  <si>
    <t>From</t>
  </si>
  <si>
    <t>To</t>
  </si>
  <si>
    <t>Load (kVA)</t>
  </si>
  <si>
    <t>Length (ft)</t>
  </si>
  <si>
    <t>Design (A)</t>
  </si>
  <si>
    <t>Cont.?</t>
  </si>
  <si>
    <t>Req. Amp. (A)</t>
  </si>
  <si>
    <t>Material</t>
  </si>
  <si>
    <t>Sets</t>
  </si>
  <si>
    <t>Conductor (ea)</t>
  </si>
  <si>
    <t>ADJUSTED DESIGN DEMAND (kVA)</t>
  </si>
  <si>
    <t>DESIGN QA — CHECKS &amp; VALIDATION</t>
  </si>
  <si>
    <t>#</t>
  </si>
  <si>
    <t>Check</t>
  </si>
  <si>
    <t>NEC / Basis</t>
  </si>
  <si>
    <t>System voltage configured</t>
  </si>
  <si>
    <t>Dashboard config</t>
  </si>
  <si>
    <t>Building area entered</t>
  </si>
  <si>
    <t>New load calculated</t>
  </si>
  <si>
    <t>Suggested service size</t>
  </si>
  <si>
    <t>Design amps within service</t>
  </si>
  <si>
    <t>Existing service spare (renovation)</t>
  </si>
  <si>
    <t>Short-circuit AIC margin</t>
  </si>
  <si>
    <t>Voltage drop within limit</t>
  </si>
  <si>
    <t>Arc-flash incident energy</t>
  </si>
  <si>
    <t>IEEE 1584</t>
  </si>
  <si>
    <t>Feeder conductor / OCPD sizing</t>
  </si>
  <si>
    <t>Generator sizing</t>
  </si>
  <si>
    <t>UPS sizing</t>
  </si>
  <si>
    <t>Critical power</t>
  </si>
  <si>
    <t>ELECTRICAL LOAD CALCULATION — SUMMARY (AHJ)</t>
  </si>
  <si>
    <t>Project No.</t>
  </si>
  <si>
    <t>Engineer / PE</t>
  </si>
  <si>
    <t>Assigned kVA (Load Calc)</t>
  </si>
  <si>
    <t>Entered on Panel kVA</t>
  </si>
  <si>
    <t>Δ Assigned − Entered</t>
  </si>
  <si>
    <t>Panelboard</t>
  </si>
  <si>
    <t>M69</t>
  </si>
  <si>
    <t>MCC</t>
  </si>
  <si>
    <t>C47</t>
  </si>
  <si>
    <t>Switchboard</t>
  </si>
  <si>
    <t>C49</t>
  </si>
  <si>
    <t>Link to paste into column D</t>
  </si>
  <si>
    <t>Panel load reconciliation</t>
  </si>
  <si>
    <t>SERVICE LOAD SUMMARY — NEC ARTICLE 220</t>
  </si>
  <si>
    <t>Item</t>
  </si>
  <si>
    <t>Units</t>
  </si>
  <si>
    <t>Basis / Reference</t>
  </si>
  <si>
    <t>Total New Connected Load</t>
  </si>
  <si>
    <t>Total New Demand Load</t>
  </si>
  <si>
    <t>Largest Motor + 25%</t>
  </si>
  <si>
    <t>Continuous Loads + 25%</t>
  </si>
  <si>
    <t>Adjusted Design Demand</t>
  </si>
  <si>
    <t>Design Spare</t>
  </si>
  <si>
    <t>Design Load incl. Spare</t>
  </si>
  <si>
    <t>Design Amps @ Service Voltage</t>
  </si>
  <si>
    <t>SUGGESTED SERVICE SIZE</t>
  </si>
  <si>
    <t>Existing + New (Renovation)</t>
  </si>
  <si>
    <t>%</t>
  </si>
  <si>
    <t>A</t>
  </si>
  <si>
    <t>Demand + motor + continuous adders</t>
  </si>
  <si>
    <t>Design allowance (Load Calc input)</t>
  </si>
  <si>
    <t>Adjusted demand × (1 + spare)</t>
  </si>
  <si>
    <t>kVA × 1000 ÷ (V × √3)</t>
  </si>
  <si>
    <t>EQUIPMENT RECAP</t>
  </si>
  <si>
    <t>Suggested Generator</t>
  </si>
  <si>
    <t>Suggested UPS Module</t>
  </si>
  <si>
    <t>Transformers Scheduled</t>
  </si>
  <si>
    <t>Total Transformer Capacity</t>
  </si>
  <si>
    <t>Utility Fault Current Available</t>
  </si>
  <si>
    <t>AIC Margin at First Bus</t>
  </si>
  <si>
    <t>Worst-Case Voltage Drop</t>
  </si>
  <si>
    <t>Max Incident Energy</t>
  </si>
  <si>
    <t>ea</t>
  </si>
  <si>
    <t>cal/cm²</t>
  </si>
  <si>
    <t>Transformer Schedule</t>
  </si>
  <si>
    <t>CERTIFICATION</t>
  </si>
  <si>
    <t>Prepared by</t>
  </si>
  <si>
    <t>Checked by</t>
  </si>
  <si>
    <t>Professional Engineer Seal</t>
  </si>
  <si>
    <t>Building Area Type</t>
  </si>
  <si>
    <t>LPD (W/ft²)</t>
  </si>
  <si>
    <t>Automotive facility</t>
  </si>
  <si>
    <t>Convention center</t>
  </si>
  <si>
    <t>Court house</t>
  </si>
  <si>
    <t>Dining: Bar lounge/leisure</t>
  </si>
  <si>
    <t>Dining: Cafeteria/fast food</t>
  </si>
  <si>
    <t>Dining: Family</t>
  </si>
  <si>
    <t>Dormitory</t>
  </si>
  <si>
    <t>Exercise center</t>
  </si>
  <si>
    <t>Fire station</t>
  </si>
  <si>
    <t>Gymnasium</t>
  </si>
  <si>
    <t>Health care clinic</t>
  </si>
  <si>
    <t>Library</t>
  </si>
  <si>
    <t>Manufacturing facility</t>
  </si>
  <si>
    <t>Motion picture theater</t>
  </si>
  <si>
    <t>Museum</t>
  </si>
  <si>
    <t>Office</t>
  </si>
  <si>
    <t>Parking garage</t>
  </si>
  <si>
    <t>Penitentiary</t>
  </si>
  <si>
    <t>Performing arts theater</t>
  </si>
  <si>
    <t>Police station</t>
  </si>
  <si>
    <t>Post office</t>
  </si>
  <si>
    <t>Religious building</t>
  </si>
  <si>
    <t>Retail</t>
  </si>
  <si>
    <t>School/university</t>
  </si>
  <si>
    <t>Sports arena</t>
  </si>
  <si>
    <t>Town hall</t>
  </si>
  <si>
    <t>Transportation</t>
  </si>
  <si>
    <t>Warehouse</t>
  </si>
  <si>
    <t>Workshop</t>
  </si>
  <si>
    <t>Space Type</t>
  </si>
  <si>
    <t>Group</t>
  </si>
  <si>
    <t>Atrium — Less than 20 feet in height</t>
  </si>
  <si>
    <t>Common</t>
  </si>
  <si>
    <t>Atrium — 20 to 40 feet in height</t>
  </si>
  <si>
    <t>Atrium — Above 40 feet in height</t>
  </si>
  <si>
    <t>Audience/seating area, permanent — In an auditorium</t>
  </si>
  <si>
    <t>Audience/seating area, permanent — In a gymnasium</t>
  </si>
  <si>
    <t>Audience/seating area, permanent — In a motion picture theater</t>
  </si>
  <si>
    <t>Audience/seating area, permanent — In a penitentiary</t>
  </si>
  <si>
    <t>Audience/seating area, permanent — In a performing arts theater</t>
  </si>
  <si>
    <t>Audience/seating area, permanent — In a religious building</t>
  </si>
  <si>
    <t>Audience/seating area, permanent — In a sports arena</t>
  </si>
  <si>
    <t>Audience/seating area, permanent — Otherwise</t>
  </si>
  <si>
    <t>Banking activity area</t>
  </si>
  <si>
    <t>Classroom/lecture hall/training room — In a penitentiary</t>
  </si>
  <si>
    <t>Classroom/lecture hall/training room — Otherwise</t>
  </si>
  <si>
    <t>Computer room, data center</t>
  </si>
  <si>
    <t>Conference/meeting/multipurpose</t>
  </si>
  <si>
    <t>Confinement cell</t>
  </si>
  <si>
    <t>Copy/print room</t>
  </si>
  <si>
    <t>Corridor — In a facility for the visually impaired (not primarily staff)</t>
  </si>
  <si>
    <t>Corridor — In a hospital</t>
  </si>
  <si>
    <t>Corridor — In a manufacturing facility</t>
  </si>
  <si>
    <t>Corridor — Otherwise</t>
  </si>
  <si>
    <t>Courtroom</t>
  </si>
  <si>
    <t>Dining area — In a penitentiary</t>
  </si>
  <si>
    <t>Dining area — In a facility for the visually impaired (not primarily staff)</t>
  </si>
  <si>
    <t>Dining area — In a bar/lounge or leisure dining</t>
  </si>
  <si>
    <t>Dining area — In cafeteria or fast food dining</t>
  </si>
  <si>
    <t>Dining area — In a family dining area</t>
  </si>
  <si>
    <t>Dining area — Otherwise</t>
  </si>
  <si>
    <t>Electrical/mechanical</t>
  </si>
  <si>
    <t>Emergency vehicle garage</t>
  </si>
  <si>
    <t>Food preparation</t>
  </si>
  <si>
    <t>Guest room</t>
  </si>
  <si>
    <t>Laboratory — In or as a classroom</t>
  </si>
  <si>
    <t>Laboratory — Otherwise</t>
  </si>
  <si>
    <t>Laundry/washing area</t>
  </si>
  <si>
    <t>Loading dock, interior</t>
  </si>
  <si>
    <t>Lobby — In a facility for the visually impaired (not primarily staff)</t>
  </si>
  <si>
    <t>Lobby — For an elevator</t>
  </si>
  <si>
    <t>Lobby — In a hotel</t>
  </si>
  <si>
    <t>Lobby — In a motion picture theater</t>
  </si>
  <si>
    <t>Lobby — In a performing arts theater</t>
  </si>
  <si>
    <t>Lobby — Otherwise</t>
  </si>
  <si>
    <t>Locker room</t>
  </si>
  <si>
    <t>Lounge/breakroom — In a health care facility</t>
  </si>
  <si>
    <t>Lounge/breakroom — Otherwise</t>
  </si>
  <si>
    <t>Office — Enclosed ≤ 250 ft²</t>
  </si>
  <si>
    <t>Office — Enclosed &gt; 250 ft²</t>
  </si>
  <si>
    <t>Office — Open plan</t>
  </si>
  <si>
    <t>Parking area, interior</t>
  </si>
  <si>
    <t>Pharmacy area</t>
  </si>
  <si>
    <t>Restroom — In a facility for the visually impaired (not primarily staff)</t>
  </si>
  <si>
    <t>Restroom — Otherwise</t>
  </si>
  <si>
    <t>Sales area</t>
  </si>
  <si>
    <t>Seating area, general</t>
  </si>
  <si>
    <t>Stairwell</t>
  </si>
  <si>
    <t>Storage room — Less than 50 ft²</t>
  </si>
  <si>
    <t>Storage room — 50 to 100 ft²</t>
  </si>
  <si>
    <t>Storage room — All other storage</t>
  </si>
  <si>
    <t>Vehicular maintenance</t>
  </si>
  <si>
    <t>Convention center — Exhibit space</t>
  </si>
  <si>
    <t>Building-specific</t>
  </si>
  <si>
    <t>Dormitory — Living quarters</t>
  </si>
  <si>
    <t>Facility for the visually impaired — In a chapel (not primarily staff)</t>
  </si>
  <si>
    <t>Facility for the visually impaired — In a recreation room (not primarily staff)</t>
  </si>
  <si>
    <t>Fire station — Sleeping quarters</t>
  </si>
  <si>
    <t>Gymnasium/fitness center — In an exercise area</t>
  </si>
  <si>
    <t>Gymnasium/fitness center — In a playing area</t>
  </si>
  <si>
    <t>Health care facility — In an exam/treatment room</t>
  </si>
  <si>
    <t>Health care facility — In an imaging room</t>
  </si>
  <si>
    <t>Health care facility — In a medical supply room</t>
  </si>
  <si>
    <t>Health care facility — In a nursery</t>
  </si>
  <si>
    <t>Health care facility — In a nurse's station</t>
  </si>
  <si>
    <t>Health care facility — In an operating room</t>
  </si>
  <si>
    <t>Health care facility — In a patient room</t>
  </si>
  <si>
    <t>Health care facility — In a physical therapy room</t>
  </si>
  <si>
    <t>Health care facility — In a recovery room</t>
  </si>
  <si>
    <t>Library — In a reading area</t>
  </si>
  <si>
    <t>Library — In the stacks</t>
  </si>
  <si>
    <t>Manufacturing facility — In a detailed manufacturing area</t>
  </si>
  <si>
    <t>Manufacturing facility — In an equipment room</t>
  </si>
  <si>
    <t>Manufacturing facility — In an extra high bay area (&gt; 50 ft floor-ceiling)</t>
  </si>
  <si>
    <t>Manufacturing facility — In a high bay area (25–50 ft floor-ceiling)</t>
  </si>
  <si>
    <t>Manufacturing facility — In a low bay area (&lt; 25 ft floor-ceiling)</t>
  </si>
  <si>
    <t>Museum — In a general exhibition area</t>
  </si>
  <si>
    <t>Museum — In a restoration room</t>
  </si>
  <si>
    <t>Performing arts theater — Dressing/fitting room</t>
  </si>
  <si>
    <t>Post office — Sorting area</t>
  </si>
  <si>
    <t>Religious building — In a fellowship hall</t>
  </si>
  <si>
    <t>Religious building — In a worship pulpit/choir area</t>
  </si>
  <si>
    <t>Retail — In a dressing/fitting room</t>
  </si>
  <si>
    <t>Retail — In a mall concourse</t>
  </si>
  <si>
    <t>Sports arena, playing area — Class 1 facility</t>
  </si>
  <si>
    <t>Sports arena, playing area — Class 2 facility</t>
  </si>
  <si>
    <t>Sports arena, playing area — Class 3 facility</t>
  </si>
  <si>
    <t>Sports arena, playing area — Class 4 facility</t>
  </si>
  <si>
    <t>Transportation — In a baggage/carousel area</t>
  </si>
  <si>
    <t>Transportation — In an airport concourse</t>
  </si>
  <si>
    <t>Transportation — At a terminal ticket counter</t>
  </si>
  <si>
    <t>Warehouse, storage area — Medium to bulky palletized items</t>
  </si>
  <si>
    <t>Warehouse, storage area — Smaller, hand-carried items</t>
  </si>
  <si>
    <t>Compliance Method</t>
  </si>
  <si>
    <t>Lighting W</t>
  </si>
  <si>
    <t>Total Lighting Watts (from SF table)</t>
  </si>
  <si>
    <t>Total Building SF</t>
  </si>
  <si>
    <t>GOVERNING BLENDED LPD (W/ft²)</t>
  </si>
  <si>
    <t>INTERIOR LIGHTING POWER ALLOWANCES — WA STATE (WSEC) vs SEATTLE (SEC)</t>
  </si>
  <si>
    <t>Reference tables only — do not edit. Table C405.4.2(1) and C405.4.2(2). Blank = that space type is not listed in that code.</t>
  </si>
  <si>
    <t>A. BUILDING AREA METHOD — C405.4.2(1)</t>
  </si>
  <si>
    <t>WSEC (W/ft²)</t>
  </si>
  <si>
    <t>SEC (W/ft²)</t>
  </si>
  <si>
    <t>Hotel / motel</t>
  </si>
  <si>
    <t>Multifamily</t>
  </si>
  <si>
    <t>B. SPACE-BY-SPACE METHOD — C405.4.2(2)</t>
  </si>
  <si>
    <t>Security screening — General area</t>
  </si>
  <si>
    <t>Security screening — In transportation facilities</t>
  </si>
  <si>
    <t>Security screening — Transportation waiting area</t>
  </si>
  <si>
    <t>Gaming establishment — High limits game</t>
  </si>
  <si>
    <t>Gaming establishment — Slots</t>
  </si>
  <si>
    <t>Gaming establishment — Sportsbook</t>
  </si>
  <si>
    <t>Gaming establishment — Table games</t>
  </si>
  <si>
    <t>Health care facility — In a telemedicine room</t>
  </si>
  <si>
    <t>Retail — Hair salon</t>
  </si>
  <si>
    <t>Retail — Nail salon</t>
  </si>
  <si>
    <t>Retail — Massage space</t>
  </si>
  <si>
    <t>Sports arena, pools — Class 1 facility</t>
  </si>
  <si>
    <t>Sports arena, pools — Class 2 facility</t>
  </si>
  <si>
    <t>Sports arena, pools — Class 3 facility</t>
  </si>
  <si>
    <t>Sports arena, pools — Class 4 facility</t>
  </si>
  <si>
    <t>Transportation — Airport hangar</t>
  </si>
  <si>
    <t>Transportation — Passenger loading area</t>
  </si>
  <si>
    <t>C. ACTIVE SELECTION LIST</t>
  </si>
  <si>
    <t>Types available in the chosen code + method</t>
  </si>
  <si>
    <t>Energy Code (Jurisdiction)</t>
  </si>
  <si>
    <t>Lighting Type Completeness</t>
  </si>
  <si>
    <t>Conn kVA (retired)</t>
  </si>
  <si>
    <t>Demand kVA (retired)</t>
  </si>
  <si>
    <t>HOUSE / MISCELLANEOUS EQUIPMENT</t>
  </si>
  <si>
    <t>DEPARTMENT / OWNER EQUIPMENT</t>
  </si>
  <si>
    <t>REFRIGERATION EQUIPMENT</t>
  </si>
  <si>
    <t>MECHANICAL EQUIPMENT</t>
  </si>
  <si>
    <t>PLUMBING EQUIPMENT</t>
  </si>
  <si>
    <t>SECTION REGISTRY — ribbon-controlled (does not print)</t>
  </si>
  <si>
    <t>Table</t>
  </si>
  <si>
    <t>Include</t>
  </si>
  <si>
    <t>LC_House</t>
  </si>
  <si>
    <t>LC_Dept</t>
  </si>
  <si>
    <t>LC_Refrig</t>
  </si>
  <si>
    <t>LC_Mech</t>
  </si>
  <si>
    <t>LC_Plumb</t>
  </si>
  <si>
    <t>LC_Kitchen</t>
  </si>
  <si>
    <t>LC_Elev</t>
  </si>
  <si>
    <t>LC_EV</t>
  </si>
  <si>
    <t>Yes</t>
  </si>
  <si>
    <t>Adding rows</t>
  </si>
  <si>
    <t>PANEL LOAD RECONCILIATION</t>
  </si>
  <si>
    <t>Connected-total cell by type (helper)</t>
  </si>
  <si>
    <t>Cell</t>
  </si>
  <si>
    <t>Match tolerance (kVA)</t>
  </si>
  <si>
    <t>Dashboard § Panel Load Reconciliation</t>
  </si>
  <si>
    <t>Max CM</t>
  </si>
  <si>
    <t>Phase Size</t>
  </si>
  <si>
    <t>2 or smaller</t>
  </si>
  <si>
    <t>1 or 1/0</t>
  </si>
  <si>
    <t>2/0 or 3/0</t>
  </si>
  <si>
    <t>over 3/0 thru 350</t>
  </si>
  <si>
    <t>over 350 thru 600</t>
  </si>
  <si>
    <t>over 600 thru 1100</t>
  </si>
  <si>
    <t>over 1100</t>
  </si>
  <si>
    <t>TYPICAL TRANSFORMER X/R (LV DRY-TYPE, IEEE 141)</t>
  </si>
  <si>
    <t>X/R typ</t>
  </si>
  <si>
    <t>Fallback only — X/R is calculated from load losses when they are entered.</t>
  </si>
  <si>
    <t>Pri Conn</t>
  </si>
  <si>
    <t>Sec Conn</t>
  </si>
  <si>
    <t>Type / Rise</t>
  </si>
  <si>
    <t>Taps</t>
  </si>
  <si>
    <t>Pri OCPD (A)</t>
  </si>
  <si>
    <t>Sec OCPD (A)</t>
  </si>
  <si>
    <t>% Loaded</t>
  </si>
  <si>
    <t>Δ</t>
  </si>
  <si>
    <t>Y — XO gnd</t>
  </si>
  <si>
    <t>Dry, 150°C rise</t>
  </si>
  <si>
    <t>±2×2.5% FCBN</t>
  </si>
  <si>
    <t>NEMA 1, indoor</t>
  </si>
  <si>
    <t>Load Loss (kW)</t>
  </si>
  <si>
    <t>%R</t>
  </si>
  <si>
    <t>X/R</t>
  </si>
  <si>
    <t>%X</t>
  </si>
  <si>
    <t>Pri FLA (A)</t>
  </si>
  <si>
    <t>Sec FLA (A)</t>
  </si>
  <si>
    <t>%R total</t>
  </si>
  <si>
    <t>%X total</t>
  </si>
  <si>
    <t>%Z total</t>
  </si>
  <si>
    <t>Sec Fault Sym (A)</t>
  </si>
  <si>
    <t>Asym Peak (A)</t>
  </si>
  <si>
    <t>Inrush (A)</t>
  </si>
  <si>
    <t>Sec AIC Req (A)</t>
  </si>
  <si>
    <t>Sec Cond (basis)</t>
  </si>
  <si>
    <t>Sec Sets</t>
  </si>
  <si>
    <t>TRANSFORMER SCHEDULE PICKLISTS</t>
  </si>
  <si>
    <t>Y — XO ungrnd</t>
  </si>
  <si>
    <t>Δ — corner gnd</t>
  </si>
  <si>
    <t>Dry, 115°C rise</t>
  </si>
  <si>
    <t>Dry, 80°C rise</t>
  </si>
  <si>
    <t>Cast coil, 150°C rise</t>
  </si>
  <si>
    <t>Liquid-filled, 65°C rise</t>
  </si>
  <si>
    <t>K-4 dry, 150°C rise</t>
  </si>
  <si>
    <t>K-13 dry, 150°C rise</t>
  </si>
  <si>
    <t>±4×2.5% FCBN</t>
  </si>
  <si>
    <t>6×2.5% FCAN + 2×2.5% FCBN</t>
  </si>
  <si>
    <t>None</t>
  </si>
  <si>
    <t>NEMA 2, indoor drip</t>
  </si>
  <si>
    <t>NEMA 3R, outdoor</t>
  </si>
  <si>
    <t>NEMA 4X, washdown</t>
  </si>
  <si>
    <t>NEMA 12, industrial</t>
  </si>
  <si>
    <t>Ventilated, indoor</t>
  </si>
  <si>
    <t>Pri OCPD Override (A)</t>
  </si>
  <si>
    <t>Sec OCPD Override (A)</t>
  </si>
  <si>
    <t>GEO_MAP</t>
  </si>
  <si>
    <t>NAME_CELL</t>
  </si>
  <si>
    <t>VOLT_CELL</t>
  </si>
  <si>
    <t>AIC_CELL</t>
  </si>
  <si>
    <t>SRCFAULT_CELL</t>
  </si>
  <si>
    <t>BUSFAULT_CELL</t>
  </si>
  <si>
    <t>DEMAND_CELL</t>
  </si>
  <si>
    <t>CONNECTED_CELL</t>
  </si>
  <si>
    <t>ENG_VLL_CELL</t>
  </si>
  <si>
    <t>ENG_PH_CELL</t>
  </si>
  <si>
    <t>VD_RANGE</t>
  </si>
  <si>
    <t>CKT_FIRST</t>
  </si>
  <si>
    <t>CKT_LAST</t>
  </si>
  <si>
    <t>Cradle-to-grave electrical design toolkit.  Everything the ribbon does, every cell you type in, and every number it calculates — in order.  Keep this tab with the project.</t>
  </si>
  <si>
    <t>Purpose</t>
  </si>
  <si>
    <t>The project workbook</t>
  </si>
  <si>
    <t>The code engines</t>
  </si>
  <si>
    <t>The device templates</t>
  </si>
  <si>
    <t>The registry is the spine</t>
  </si>
  <si>
    <t>Every device you create gets one row in the Dashboard EQUIPMENT REGISTRY, keyed by its tag. Studies, links, roll-ups and reconciliation all find equipment by that tag — never by sheet position. If a device is not in the registry, it does not exist to the rest of the tool.</t>
  </si>
  <si>
    <t>New Project</t>
  </si>
  <si>
    <t>Fill the project block</t>
  </si>
  <si>
    <t>Dashboard ▸ PROJECT INFORMATION: project name, number, client, location, engineer / PE of record, date, revision. Blue-on-grey cells only.</t>
  </si>
  <si>
    <t>Set the system voltage</t>
  </si>
  <si>
    <t>Dashboard ▸ ELECTRICAL SYSTEM ▸ System Voltage (dropdown). Everything downstream — nominal V, phase, wires, L-N voltage, voltage class — derives from this one selection. Nothing calculates correctly until it is set.</t>
  </si>
  <si>
    <t>Set design defaults</t>
  </si>
  <si>
    <t>Build the load calc</t>
  </si>
  <si>
    <t>Existing building? Run 220.87</t>
  </si>
  <si>
    <t>Ribbon ▸ Existing Demand — 12-month utility bills, or 30-day logging. The 125 % existing demand feeds the Load Calc renovation line and the spare-capacity check.</t>
  </si>
  <si>
    <t>Create the distribution equipment</t>
  </si>
  <si>
    <t>Ribbon ▸ Panel Schedules ▸ New Switchboard / Panelboard / MCC. Work top-down: service equipment first, then subpanels. Each device gets its own tab and a registry row.</t>
  </si>
  <si>
    <t>Link it together</t>
  </si>
  <si>
    <t>Run the studies</t>
  </si>
  <si>
    <t>Check QA and issue</t>
  </si>
  <si>
    <t>Blue text on grey fill</t>
  </si>
  <si>
    <t>YOUR INPUT. These are the only cells you should ever type in. Blue #0000FF on grey #D9D9D9.</t>
  </si>
  <si>
    <t>CALCULATED or LINKED. Never type here. This covers both formulas on the same sheet and cross-sheet links. If a red cell is wrong, the error is upstream — find the blue cell feeding it.</t>
  </si>
  <si>
    <t>Teal banner #458A96</t>
  </si>
  <si>
    <t>Primary section banner, 16 pt, row height 30.</t>
  </si>
  <si>
    <t>Dark / mid grey banner</t>
  </si>
  <si>
    <t>#606262 and #7E868C — secondary headers and sub-labels.</t>
  </si>
  <si>
    <t>Gold #F1B92A</t>
  </si>
  <si>
    <t>Attention. A gold fill or flag means a value needs to be confirmed, or a limit has been approached.</t>
  </si>
  <si>
    <t>Green / ochre</t>
  </si>
  <si>
    <t>#4DAB51 and #CA7F39 — secondary accents and chart series.</t>
  </si>
  <si>
    <t>Typography</t>
  </si>
  <si>
    <t>Segoe UI throughout. Header rows 16 pt at row height 30; data rows 10 pt at row height 15.</t>
  </si>
  <si>
    <t>Number formats</t>
  </si>
  <si>
    <t>Currency and kVA use thousands separators; zeros display as an em-dash rather than 0; percentages one decimal (0.0%); multiples 0.0x; negatives in parentheses. Years are text, never 2,024.</t>
  </si>
  <si>
    <t>Do not restyle</t>
  </si>
  <si>
    <t>The colors carry meaning for reviewers and for the next engineer to open the file. Do not repaint cells to taste.</t>
  </si>
  <si>
    <t>Add Meter</t>
  </si>
  <si>
    <t>New Switchboard</t>
  </si>
  <si>
    <t>New Panelboard</t>
  </si>
  <si>
    <t>New MCC</t>
  </si>
  <si>
    <t>Toggle Sizing Columns</t>
  </si>
  <si>
    <t>Refresh Feeders</t>
  </si>
  <si>
    <t>PROJECT DASHBOARD</t>
  </si>
  <si>
    <t>You enter</t>
  </si>
  <si>
    <t>It calculates</t>
  </si>
  <si>
    <t>C38:C42 derive nominal L-L voltage, phase, wires, L-N voltage and voltage class from C37 by lookup into Volt_Table. ENGINE CONSTANTS C65:C70 derive the ampacity table column, the K constant for voltage drop and the C column for short circuit from your conductor material and termination temperature — these are read-only and must not be typed over.</t>
  </si>
  <si>
    <t>Everything. Every module, every device tab and every study reads these values through defined names (Cfg_Volt, Cfg_BranchMat, Cfg_FeederMat, Cfg_Temp, Cfg_SCA, Tog_VD, Tog_SC, BranchK, FeederK …).</t>
  </si>
  <si>
    <t>Equipment registry</t>
  </si>
  <si>
    <t>Design QA</t>
  </si>
  <si>
    <t>Rows 21:33, thirteen checks. See section 8.</t>
  </si>
  <si>
    <t>Do not insert or delete rows on the Dashboard. Roughly thirty defined names point at fixed addresses on this sheet.</t>
  </si>
  <si>
    <t>LOAD CALC</t>
  </si>
  <si>
    <t>You enter — areas</t>
  </si>
  <si>
    <t>You enter — W/SF</t>
  </si>
  <si>
    <t>You enter — equipment</t>
  </si>
  <si>
    <t>Dropdown behaviour</t>
  </si>
  <si>
    <t>Connection includes Fused and Non-Fused Disconnect — the Disconnect group only applies to those. Recept Type self-filters to the NEMA receptacles valid for that row's voltage. Load Value + Unit + Volts + Ph + PF drive kVA Each; Qty drives Total kVA. Gen = Y sends the row to the generator roll-up; UPS = Y sends it to the UPS roll-up. Panel Tag drives the reconciliation table on the Dashboard.</t>
  </si>
  <si>
    <t>Use Add Rows from the ribbon, or press Tab in the last cell of the last row, or right-click ▸ Insert ▸ Table Rows Above. NEVER drag the table's corner handle — it copies formatting without the formulas.</t>
  </si>
  <si>
    <t>Sections not on this project</t>
  </si>
  <si>
    <t>NEC basis</t>
  </si>
  <si>
    <t>Article 220 (parts I–IV), 220.12 lighting, 220.14 receptacles, 220.44 / 220.56 demand factors, 430.24 largest motor, 210.20 / 215.3 continuous, 240.6 standard ratings, 625 EV.</t>
  </si>
  <si>
    <t>EXISTING DEMAND — 12-MONTH UTILITY BILLS</t>
  </si>
  <si>
    <t>NEC 220.87 existing-load determination from twelve months of billed peak demand. The preferred method whenever a full year of bills exists. Sheet: Utility Demand.</t>
  </si>
  <si>
    <t>Per meter block: the peak demand from each of the twelve monthly bills, in kW (or kVA). Service and meter identification at the top. Multi-meter service — click Add Meter for each additional meter; each gets its own twelve-month block.</t>
  </si>
  <si>
    <t>220.87 — Determining Existing Loads. Requires 12 months of data and the 125 % multiplier; the demand must be measured, not estimated.</t>
  </si>
  <si>
    <t>EXISTING DEMAND — 30-DAY LOGGING</t>
  </si>
  <si>
    <t>NEC 220.87 from a 30-day metered logging study, for use when a full year of bills is unavailable or when a specific tenant / feeder load must be measured. Sheet: Logging Demand.</t>
  </si>
  <si>
    <t>The Load Calc existing-building section and Dashboard status row 9.</t>
  </si>
  <si>
    <t>220.87 exception — a 30-day recording is acceptable where 12 months of data are not available. Note the code requirement to include the peak of the heating or cooling season.</t>
  </si>
  <si>
    <t>PANEL SCHEDULES — SWITCHBOARD / PANELBOARD / MCC</t>
  </si>
  <si>
    <t>You enter — at creation</t>
  </si>
  <si>
    <t>Ribbon prompts: device tag, system voltage (pick from the numbered list), and frame / bus / circuit size.</t>
  </si>
  <si>
    <t>You enter — on the tab</t>
  </si>
  <si>
    <t>Header block: Fed From, Location, Mounting, Enclosure, Manufacturer, Model, Dimensions, Mains Type (MCB/MLO), Main / Bus Rating, Standard Device AIC, Feeder Length. Circuit rows: description, classification, connected kVA (or HP for motors), length, poles. MCC units add starter type, NEMA size, HOA and overload amps.</t>
  </si>
  <si>
    <t>Per circuit: FLA, design amps, OCPD trip from 240.6, conductor size from 310.16 with your material and termination temperature, and %VD. Per panel: load summary and NEC 220 demand by classification, connected and demand kVA totals, demand FLA, feeder conductor and OCPD, bus fault current, and the AIC check (OK / UNDER-RATED / enter AIC).</t>
  </si>
  <si>
    <t>Demand kVA to the registry and to the parent device. Bus fault current and device AIC to Short Circuit. Worst-case circuit %VD to Voltage Drop. Connected kVA total to Dashboard reconciliation.</t>
  </si>
  <si>
    <t>Cell locations</t>
  </si>
  <si>
    <t>Vary by template — read them from the GEO_MAP block on each device tab, or from Appendix A.</t>
  </si>
  <si>
    <t>408 panelboards, 240.6 OCPD ratings, 240.4(D) small-conductor rules, 310.16 ampacity, 220 demand factors, 430 motor circuits, 110.9 / 110.10 interrupting rating.</t>
  </si>
  <si>
    <t>TRANSFORMERS</t>
  </si>
  <si>
    <t>Very little. Verify the auto-selected standard kVA and the impedance; override if the design or a vendor submittal requires. Add primary and secondary OCPD if not auto-sized.</t>
  </si>
  <si>
    <t>Short Circuit (the transformer is a fault-current bottleneck) and Voltage Drop.</t>
  </si>
  <si>
    <t>Article 450 — 450.3 overcurrent protection, 450.11 marking. Standard kVA ratings from the Xfmr table in NEC_Data.</t>
  </si>
  <si>
    <t>GENERATOR — BACKUP POWER</t>
  </si>
  <si>
    <t>Standby / emergency / optional-standby generator sizing from running and starting load. Sheet: Generator.</t>
  </si>
  <si>
    <t>Dashboard status row 10 and QA check 11.</t>
  </si>
  <si>
    <t>Articles 700, 701, 702; 445 generator conductors; 220 for the served load. Starting kVA per NEMA MG 1 code letters.</t>
  </si>
  <si>
    <t>UPS — BACKUP POWER</t>
  </si>
  <si>
    <t>Uninterruptible power supply sizing for critical loads. Sheet: UPS.</t>
  </si>
  <si>
    <t>Dashboard status row 11 and QA check 12.</t>
  </si>
  <si>
    <t>Basis</t>
  </si>
  <si>
    <t>Not an NEC sizing article — this is a critical-power design calculation. Verify against the UPS manufacturer's kW/kVA derating and battery runtime curves.</t>
  </si>
  <si>
    <t>SHORT CIRCUIT</t>
  </si>
  <si>
    <t>Utility data on the starter row above the device table (blue cells): available fault current, X/R, and the service conductor run. Everything below is generated.</t>
  </si>
  <si>
    <t>Arc Flash uses these bolted-fault currents as its input. Dashboard QA check 7 reports the minimum AIC margin across every bus.</t>
  </si>
  <si>
    <t>110.9 interrupting rating, 110.10 circuit impedance and short-circuit current rating, 110.24 available fault current field marking.</t>
  </si>
  <si>
    <t>VOLTAGE DROP</t>
  </si>
  <si>
    <t>Dashboard QA check 8 against the 3 % branch / 5 % total informational limit.</t>
  </si>
  <si>
    <t>210.19(A) IN 4 and 215.2(A)(2) IN 2 — informational notes, not enforceable requirements, but standard firm practice. Chapter 9 Table 8 for circular mils.</t>
  </si>
  <si>
    <t>ARC FLASH</t>
  </si>
  <si>
    <t>Incident energy and PPE category per bus, IEEE 1584. Sheet: Arc Flash.</t>
  </si>
  <si>
    <t>You generated</t>
  </si>
  <si>
    <t>Device rows begin at row 24, written by Refresh Studies from the registry, with the bolted fault current linked from Short Circuit.</t>
  </si>
  <si>
    <t>Per bus, in the blue columns: equipment class (switchgear / MCC / panelboard / cable), electrode gap, grounding configuration, working distance, and the protective-device clearing times t1 and t2. These are keyed to the device tag and are PRESERVED every time you refresh — you do not re-enter them.</t>
  </si>
  <si>
    <t>Arcing current (column J), incident energy at each clearing time (K and L), governing incident energy in cal/cm² (M), arc-flash boundary (N) and PPE category (O).</t>
  </si>
  <si>
    <t>Dashboard QA check 9 — worst-case incident energy across all buses, checked against the 40 cal/cm² practical limit.</t>
  </si>
  <si>
    <t>IEEE 1584-2018. Clearing times must come from the actual protective-device time-current curves at the calculated arcing current — an assumed clearing time makes the whole result meaningless. NFPA 70E for label content and PPE selection.</t>
  </si>
  <si>
    <t>FEEDER SCHEDULE</t>
  </si>
  <si>
    <t>Dashboard QA check 10. Refreshed by its OWN button — Refresh Feeders. Refresh Studies does not touch it.</t>
  </si>
  <si>
    <t>215 feeders, 240.6 ratings, 240.4 protection of conductors, 310.16 ampacity, 310.15(C)(1) adjustment, Chapter 9 Tables 1/4/5 conduit fill, 250.122 EGC sizing.</t>
  </si>
  <si>
    <t>REPORT</t>
  </si>
  <si>
    <t>One-page printable project summary — service size, connected and demand load, spare capacity, generator and UPS sizing, and worst-case study results. Sheet: Report.</t>
  </si>
  <si>
    <t>Nothing. Every line is a link. Fill in the project block on the Dashboard and it appears here.</t>
  </si>
  <si>
    <t>Use</t>
  </si>
  <si>
    <t>Dashboard QA check 13.</t>
  </si>
  <si>
    <t>Why it matters</t>
  </si>
  <si>
    <t>A tag typo, or equipment assigned to a panel that was never created, shows up here as a CHECK and nowhere else in the workbook.</t>
  </si>
  <si>
    <t>Calculation order</t>
  </si>
  <si>
    <t>(1) Dashboard system voltage and design defaults → (2) engine constants (ampacity column, K, C) → (3) Load Calc areas and equipment → (4) device tabs → (5) links and transformers → (6) studies → (7) QA panel and Report. Errors always propagate downstream, never up. Debug from the top.</t>
  </si>
  <si>
    <t>Defined names, not cell refs</t>
  </si>
  <si>
    <t>Cross-sheet formulas use named ranges (Cfg_*, Tog_*, LC_*, Volt_Table, OCPD_Table, K_Cu, K_Al, Equip_Registry …) so that inserting rows does not break links. New Project creates every name it needs; re-running it repairs any that are missing.</t>
  </si>
  <si>
    <t>Each device template carries a GEO_MAP key/value block naming its own cell addresses. The macros read that block instead of hardcoding addresses — so the templates can be re-laid-out without touching code. See Appendix A.</t>
  </si>
  <si>
    <t>The roll-up chain</t>
  </si>
  <si>
    <t>Circuit kVA → panel connected total → panel NEC 220 demand → parent device sub-panel load → service demand. Each hop is a live link, so a change at a branch circuit reaches the service size without any refresh.</t>
  </si>
  <si>
    <t>What needs a refresh</t>
  </si>
  <si>
    <t>Only the TABLES that are built by macros: Short Circuit, Voltage Drop, Arc Flash (Refresh Studies) and Feeder Schedule (Refresh Feeders). Everything else is live formulas.</t>
  </si>
  <si>
    <t>Tag matching</t>
  </si>
  <si>
    <t>All cross-references are by device tag, never by sheet position. Reordering tabs is harmless. Renaming a tab breaks everything.</t>
  </si>
  <si>
    <t>Dashboard rows 19:33.  The counter at row 19 tallies pass / review / fail / pending.  Nothing is issued until every ✘ is cleared and every ⚠ has been reviewed and accepted with a reason.</t>
  </si>
  <si>
    <t>Dashboard config. Fails until C37 is set. Nothing downstream is valid before this.</t>
  </si>
  <si>
    <t>NEC 220. Requires the LC_Areas table to be populated.</t>
  </si>
  <si>
    <t>NEC 220. Requires demand load &gt; 0 on the Load Calc.</t>
  </si>
  <si>
    <t>NEC 240.6. Confirms a standard rating was found for the design load.</t>
  </si>
  <si>
    <t>NEC 240.4. Design amps must not exceed the selected service rating.</t>
  </si>
  <si>
    <t>NEC 220.87. Only applies where an existing-demand module has been run; reports the spare capacity for new load.</t>
  </si>
  <si>
    <t>NEC 110.9 / 110.10. Reports the MINIMUM margin across every bus in the Short Circuit table. Negative at any bus is a fail.</t>
  </si>
  <si>
    <t>NEC 210.19 / 215.2 informational notes. Checks the project maximum %VD against 3 %.</t>
  </si>
  <si>
    <t>IEEE 1584. Reports the worst-case cal/cm² across all buses against a 40 cal/cm² practical limit.</t>
  </si>
  <si>
    <t>NEC 310.16 / 240.6. Counts sized feeders on the Feeder Schedule.</t>
  </si>
  <si>
    <t>NEC 700 / 701 / 702. Requires standby loads to have been entered or rolled up.</t>
  </si>
  <si>
    <t>Critical power. Requires UPS loads to have been entered or rolled up.</t>
  </si>
  <si>
    <t>Use the ribbon</t>
  </si>
  <si>
    <t>Manual alternatives that are safe</t>
  </si>
  <si>
    <t>Press Tab in the last cell of the last row. Or right-click a row inside the table ▸ Insert ▸ Table Rows Above. Both extend formulas, dropdowns and the total row correctly.</t>
  </si>
  <si>
    <t>Never do this</t>
  </si>
  <si>
    <t>Do not drag the table's bottom-right corner handle — it extends formatting but not formulas or data validation, and the total row is left behind. Do not insert or delete whole worksheet rows through a table.</t>
  </si>
  <si>
    <t>Trim only removes empties</t>
  </si>
  <si>
    <t>Trim Rows will not delete a row that contains data. If a row will not trim, clear its contents first.</t>
  </si>
  <si>
    <t>Work top-down</t>
  </si>
  <si>
    <t>Create the service equipment first, then each downstream device, then link. Linking a parent that does not exist yet is the most common cause of a broken tree.</t>
  </si>
  <si>
    <t>Set voltage before linking</t>
  </si>
  <si>
    <t>What a link does</t>
  </si>
  <si>
    <t>Two things at once. Downstream: the child's demand kVA is written into the parent's schedule as a sub-panel load, so it counts in the parent's total. Upstream: the parent's bus fault current is written into the child's source-fault cell, so the child's fault study and AIC check are correct.</t>
  </si>
  <si>
    <t>Link / Sub-Feed / Feed-Thru</t>
  </si>
  <si>
    <t>Link Equipment = fed from a breaker in the parent (consumes poles). Sub-Feed = sub-feed lug tap off the bus (no poles). Feed-Thru = fed through the parent's feed-through lugs at the far end of the bus. Electrically identical roll-up; different pole accounting and different notes on the schedule.</t>
  </si>
  <si>
    <t>Crossing a voltage boundary</t>
  </si>
  <si>
    <t>If parent and child voltages differ, a transformer row is added to the Transformer Schedule and sized from the child's demand, rounded up to the next standard kVA. Go to the Transformers tab and confirm the kVA and impedance.</t>
  </si>
  <si>
    <t>After every link</t>
  </si>
  <si>
    <t>Run Refresh Studies, then Refresh Feeders.</t>
  </si>
  <si>
    <t>When</t>
  </si>
  <si>
    <t>After creating, resizing, retagging, linking or removing any device. Also after changing the available fault current or the conductor material on the Dashboard.</t>
  </si>
  <si>
    <t>What Refresh Studies does</t>
  </si>
  <si>
    <t>What is preserved</t>
  </si>
  <si>
    <t>Your Arc Flash per-bus entries — equipment class, gap, grounding, working distance, clearing times — are keyed to the device tag and carried across. Add a device, refresh, and the existing buses keep their inputs.</t>
  </si>
  <si>
    <t>Order of operations for arc flash</t>
  </si>
  <si>
    <t>Refresh Studies → confirm Short Circuit results → enter clearing times on Arc Flash from the actual device curves → Refresh Studies again → read the QA panel.</t>
  </si>
  <si>
    <t>⚠  Do not rename a device tab</t>
  </si>
  <si>
    <t>The tab name IS the device tag. Studies, links, roll-ups and reconciliation all find equipment by tag. Renaming a tab orphans every reference to it. If a tag is wrong, delete the device properly and recreate it.</t>
  </si>
  <si>
    <t>⚠  Do not delete a device tab by hand</t>
  </si>
  <si>
    <t>Deleting a panel tab directly leaves dead references and phantom links. Correct order: clear the device's row in the Dashboard registry → delete the tab → Refresh Studies → Refresh Feeders.</t>
  </si>
  <si>
    <t>⚠  Do not type in red cells</t>
  </si>
  <si>
    <t>Red is calculated or linked. Overwriting a red cell breaks the chain silently and the QA panel will not catch it. Fix the blue input upstream instead.</t>
  </si>
  <si>
    <t>⚠  Do not insert or delete rows on the Dashboard</t>
  </si>
  <si>
    <t>About thirty defined names point at fixed addresses on that sheet.</t>
  </si>
  <si>
    <t>⚠  Do not edit the back-of-house tabs</t>
  </si>
  <si>
    <t>NEC_Data, Energy_Code_Data and the TPL_* templates. Changing them changes every calculation and every future device.</t>
  </si>
  <si>
    <t>⚠  Keep the master pristine</t>
  </si>
  <si>
    <t>No project data in the master or add-in, ever.</t>
  </si>
  <si>
    <t>⚠  Never drag a table's corner handle</t>
  </si>
  <si>
    <t>Use Add Rows.</t>
  </si>
  <si>
    <t>⚠  This tool does not replace engineering judgement</t>
  </si>
  <si>
    <t>Every output requires review and stamp by the PE of Record. Arc-flash clearing times, transformer impedances and utility fault currents must come from real device data, not defaults.</t>
  </si>
  <si>
    <t>The ribbon tab is missing</t>
  </si>
  <si>
    <t>A button does nothing</t>
  </si>
  <si>
    <t>#NAME? in many cells</t>
  </si>
  <si>
    <t>#REF! after deleting a tab</t>
  </si>
  <si>
    <t>A device tab was deleted by hand. Clear its registry row, then Refresh Studies and Refresh Feeders.</t>
  </si>
  <si>
    <t>Everything reads zero</t>
  </si>
  <si>
    <t>System Voltage at Dashboard C37 has not been selected.</t>
  </si>
  <si>
    <t>Short Circuit shows "-" for fault or AIC</t>
  </si>
  <si>
    <t>Voltage Drop shows an absurd number</t>
  </si>
  <si>
    <t>A device tab is reading the wrong column — confirm its GEO_MAP VD_RANGE matches the actual VD % column on that tab.</t>
  </si>
  <si>
    <t>AIC margin is blank</t>
  </si>
  <si>
    <t>Enter the Standard Device AIC on the device tab header, then Refresh Studies.</t>
  </si>
  <si>
    <t>Reconciliation says "link not set"</t>
  </si>
  <si>
    <t>Column D on the reconciliation row is empty. Copy the formula that column G generates and paste it into column D.</t>
  </si>
  <si>
    <t>Reconciliation says CHECK</t>
  </si>
  <si>
    <t>The kVA assigned to that Panel Tag on the Load Calc does not match the kVA entered on the panel schedule. Usually a tag typo, or equipment assigned to a panel that was never created.</t>
  </si>
  <si>
    <t>Refresh Studies is slow</t>
  </si>
  <si>
    <t>A section will not drop out of the totals</t>
  </si>
  <si>
    <t>A collapsed section still prints</t>
  </si>
  <si>
    <t>The lookup engine. Voltage systems (Volt_Table), NEC 240.6 standard OCPD and fuse ratings, the NEMA receptacle library keyed by voltage, NEC Chapter 9 Table 8 conductor properties, K constants for voltage drop, C constants for short circuit, load classifications and demand factors, and standard transformer kVA. Every dropdown and every calculation in the workbook reads from here.</t>
  </si>
  <si>
    <t>Energy_Code_Data</t>
  </si>
  <si>
    <t>Lighting power densities and space types by building type, for the LC_Areas table.</t>
  </si>
  <si>
    <t>TPL_Switchboard</t>
  </si>
  <si>
    <t>TPL_Panelboard</t>
  </si>
  <si>
    <t>TPL_MCC</t>
  </si>
  <si>
    <t>NEC Article 220</t>
  </si>
  <si>
    <t>Branch-circuit, feeder and service load calculations. 220.12 lighting, 220.14 receptacles and equipment, 220.44 / 220.56 demand factors, 220.87 existing loads.</t>
  </si>
  <si>
    <t>NEC Article 240</t>
  </si>
  <si>
    <t>240.4 protection of conductors, 240.4(D) small-conductor limits, 240.6 standard ratings.</t>
  </si>
  <si>
    <t>NEC Article 250</t>
  </si>
  <si>
    <t>250.122 equipment grounding conductor sizing.</t>
  </si>
  <si>
    <t>NEC Article 310</t>
  </si>
  <si>
    <t>310.15 / 310.16 ampacity and adjustment factors.</t>
  </si>
  <si>
    <t>NEC Articles 408 / 430 / 445 / 450</t>
  </si>
  <si>
    <t>Panelboards; motors and motor circuits (430.24 largest motor); generator conductors; transformers.</t>
  </si>
  <si>
    <t>NEC Article 110</t>
  </si>
  <si>
    <t>110.9 interrupting rating, 110.10 SCCR, 110.24 available fault current marking.</t>
  </si>
  <si>
    <t>NEC Articles 700 / 701 / 702</t>
  </si>
  <si>
    <t>Emergency, legally required standby, and optional standby systems.</t>
  </si>
  <si>
    <t>NEC Article 625</t>
  </si>
  <si>
    <t>Electric vehicle power transfer systems.</t>
  </si>
  <si>
    <t>NEC Chapter 9</t>
  </si>
  <si>
    <t>Tables 1, 4 and 5 conduit fill; Table 8 conductor properties.</t>
  </si>
  <si>
    <t>IEEE 1584-2018</t>
  </si>
  <si>
    <t>Arc-flash incident energy calculation.</t>
  </si>
  <si>
    <t>NFPA 70E</t>
  </si>
  <si>
    <t>Arc-flash labelling and PPE selection.</t>
  </si>
  <si>
    <t>Energy code</t>
  </si>
  <si>
    <t>ASHRAE 90.1 / IECC lighting power densities, via Energy_Code_Data.</t>
  </si>
  <si>
    <t>Verify the edition</t>
  </si>
  <si>
    <t>Confirm the adopted NEC and energy-code edition for the project's jurisdiction. NEC_Data must match it.</t>
  </si>
  <si>
    <t>CKT_FIRST / CKT_LAST</t>
  </si>
  <si>
    <t>If you re-lay-out a template</t>
  </si>
  <si>
    <t>Cfg_*</t>
  </si>
  <si>
    <t>Tog_*</t>
  </si>
  <si>
    <t>Module switches: Tog_Breaker, Tog_Wire, Tog_VD, Tog_SC.</t>
  </si>
  <si>
    <t>Engine constants</t>
  </si>
  <si>
    <t>BranchAmpCol, FeederAmpCol, BranchK, FeederK, BranchCCol, FeederCCol — all derived, all read-only.</t>
  </si>
  <si>
    <t>LC_* (tables)</t>
  </si>
  <si>
    <t>LC_Areas, LC_WSF, LC_House, LC_Dept, LC_Refrig, LC_Mech, LC_Plumb, LC_Kitchen, LC_Elev, LC_EV.</t>
  </si>
  <si>
    <t>LC_* (results)</t>
  </si>
  <si>
    <t>LC_TotalSF, LC_ConnectedTotal, LC_DemandTotal, LC_MotorAdder, LC_Continuous, LC_AdjustedDemand, LC_DemandAmps, LC_DesignSpare, LC_DesignLoad, LC_DesignAmps, LC_ServiceSize, LC_RenovationTotal, LC_GenByCategory, LC_GenTotal, LC_UPSByCategory, LC_UPSTotal, LC_SectionState.</t>
  </si>
  <si>
    <t>Equipment</t>
  </si>
  <si>
    <t>Lookup tables</t>
  </si>
  <si>
    <t>Volt_Table, OCPD_Table, Fuse_Table, Recept_Table, Cond_Table, Xfmr_Table, K_Cu, K_Al, LPD_Table.</t>
  </si>
  <si>
    <t>Sheet-scoped, one per device tab. Never delete it.</t>
  </si>
  <si>
    <t>Repairing names</t>
  </si>
  <si>
    <t>Dashboard ▸ New Project re-adds any missing name without altering existing data.</t>
  </si>
  <si>
    <t>CHANGE LOG</t>
  </si>
  <si>
    <t>Device templates now carry a GEO_MAP block and the macros read cell addresses from it instead of hardcoding them — this repaired Short Circuit (bus fault and AIC), Voltage Drop (wrong column), panelboard voltage-on-create, panelboard demand roll-up, and fault-current propagation through links. Dashboard status and QA now evaluate every row of each study table rather than only the first device. Project-maximum %VD repointed to the correct cell. Link Equipment now refuses to link a device with no voltage set. Manual rewritten in full.</t>
  </si>
  <si>
    <t>It was hidden by hand instead of toggled, so the include flag still says Yes. Unhide it and use Toggle Section, or set column Y to No.</t>
  </si>
  <si>
    <t>v1</t>
  </si>
  <si>
    <t>NAME_OVR_CELL</t>
  </si>
  <si>
    <t>CKT_PER_ROW</t>
  </si>
  <si>
    <t>CKT_DESC_COL</t>
  </si>
  <si>
    <t>CKT_CLASS_COL</t>
  </si>
  <si>
    <t>CKT_QTY_COL</t>
  </si>
  <si>
    <t>CKT_KVA_COL</t>
  </si>
  <si>
    <t>CKT_POLES_COL</t>
  </si>
  <si>
    <t>FEEDTHRU_FIRST</t>
  </si>
  <si>
    <t>FEEDTHRU_LAST</t>
  </si>
  <si>
    <t>FEEDTHRU_DESC_COL</t>
  </si>
  <si>
    <t>FEEDTHRU_KVA_COL</t>
  </si>
  <si>
    <t>-</t>
  </si>
  <si>
    <t>L</t>
  </si>
  <si>
    <t>J</t>
  </si>
  <si>
    <t>M</t>
  </si>
  <si>
    <t>B</t>
  </si>
  <si>
    <t>E</t>
  </si>
  <si>
    <t>C</t>
  </si>
  <si>
    <t>D</t>
  </si>
  <si>
    <t>PANEL INFORMATION</t>
  </si>
  <si>
    <t>H</t>
  </si>
  <si>
    <t>CKT_BLOCK1_FIRST</t>
  </si>
  <si>
    <t>CKT_BLOCK1_LAST</t>
  </si>
  <si>
    <t>CKT_BLOCK2_FIRST</t>
  </si>
  <si>
    <t>CKT_BLOCK2_LAST</t>
  </si>
  <si>
    <t>RESIZE_MODE</t>
  </si>
  <si>
    <t>TWOBLOCK</t>
  </si>
  <si>
    <t>engine (do not delete)</t>
  </si>
  <si>
    <t>FEED-THROUGH LOADS</t>
  </si>
  <si>
    <t>CIRCUIT ENTRY DASHBOARD</t>
  </si>
  <si>
    <t>H5</t>
  </si>
  <si>
    <t>G</t>
  </si>
  <si>
    <t>TOTALS (kVA)</t>
  </si>
  <si>
    <t>TOTALS (Amps)</t>
  </si>
  <si>
    <t>NOTES</t>
  </si>
  <si>
    <t>D5</t>
  </si>
  <si>
    <t>D8</t>
  </si>
  <si>
    <t>D13</t>
  </si>
  <si>
    <t>H6</t>
  </si>
  <si>
    <t>BLOCK_SIZE</t>
  </si>
  <si>
    <t>FT_SLOTS</t>
  </si>
  <si>
    <t>VD_COL</t>
  </si>
  <si>
    <t>ANCHOR_TEXT</t>
  </si>
  <si>
    <t>ANCHOR_COL</t>
  </si>
  <si>
    <t>TARGET_COL</t>
  </si>
  <si>
    <t>ROW_OFFSET</t>
  </si>
  <si>
    <t>AP</t>
  </si>
  <si>
    <t>AQ</t>
  </si>
  <si>
    <t>Enter loads directly in the CIRCUIT ENTRY DASHBOARD columns (O:W). Classification, breaker, wire size and VD% calculate automatically — no panel link required.</t>
  </si>
  <si>
    <t>SWITCHBOARD INFORMATION</t>
  </si>
  <si>
    <t>cls factor →</t>
  </si>
  <si>
    <t>SINGLE</t>
  </si>
  <si>
    <t>Enter units in the CIRCUIT ENTRY DASHBOARD columns (O:W); starter / unit detail is in the STARTER &amp; UNIT DETAIL block. Classification, breaker, wire size and VD% calculate automatically.</t>
  </si>
  <si>
    <t>MCC INFORMATION</t>
  </si>
  <si>
    <t>Bus Bracing (kA)</t>
  </si>
  <si>
    <t>Horiz. Bus Rating (A)</t>
  </si>
  <si>
    <t>Wiring Class / Type</t>
  </si>
  <si>
    <t>STARTER &amp; UNIT DETAIL</t>
  </si>
  <si>
    <t>Unit Space (X)</t>
  </si>
  <si>
    <t>Drive Type</t>
  </si>
  <si>
    <t>Bypass</t>
  </si>
  <si>
    <t>Service Factor</t>
  </si>
  <si>
    <t>Motor FLA (A)</t>
  </si>
  <si>
    <t>OL Setting (A)</t>
  </si>
  <si>
    <t>Disconnect Type</t>
  </si>
  <si>
    <t>Fuse / Frame (A)</t>
  </si>
  <si>
    <t>Control Xfmr VA</t>
  </si>
  <si>
    <t>Pilot Devices</t>
  </si>
  <si>
    <t>Space Heater</t>
  </si>
  <si>
    <t>Vert. Bus (A)</t>
  </si>
  <si>
    <t>BG</t>
  </si>
  <si>
    <t>X</t>
  </si>
  <si>
    <t>PILOT DEVICE LIST (dropdown source)</t>
  </si>
  <si>
    <t>H-O-A</t>
  </si>
  <si>
    <t>H-O-A, R/G Pilot</t>
  </si>
  <si>
    <t>H-O-A, R/G Pilot, Reset PB</t>
  </si>
  <si>
    <t>Start/Stop PB, R/G Pilot</t>
  </si>
  <si>
    <t>H-O-A, R/G Pilot, Ammeter</t>
  </si>
  <si>
    <t>H-O-A, R/G Pilot, Ammeter, ETM</t>
  </si>
  <si>
    <t>Per Vendor Submittal</t>
  </si>
  <si>
    <t>Marked SF threshold</t>
  </si>
  <si>
    <t>OL trip — SF ≥ threshold</t>
  </si>
  <si>
    <t>OL trip — SF &lt; threshold</t>
  </si>
  <si>
    <t>OL Basis</t>
  </si>
  <si>
    <t>BH</t>
  </si>
  <si>
    <t>Connected</t>
  </si>
  <si>
    <t>Demand</t>
  </si>
  <si>
    <t>W</t>
  </si>
  <si>
    <t>AN</t>
  </si>
  <si>
    <t>CKT_NUM_COL</t>
  </si>
  <si>
    <t>Feed Type</t>
  </si>
  <si>
    <t>Feeder Ckt / Space</t>
  </si>
  <si>
    <t>Tab</t>
  </si>
  <si>
    <t>PVC</t>
  </si>
  <si>
    <t>Dashboard</t>
  </si>
  <si>
    <t>New Load Calc</t>
  </si>
  <si>
    <t>Go To Load Calc</t>
  </si>
  <si>
    <t>Existing Demand</t>
  </si>
  <si>
    <t>New Utility Demand (12 mo)</t>
  </si>
  <si>
    <t>Go To Utility Demand</t>
  </si>
  <si>
    <t>New Logging Demand (30 day)</t>
  </si>
  <si>
    <t>Go To Logging Demand</t>
  </si>
  <si>
    <t>Backup Power</t>
  </si>
  <si>
    <t>New Generator</t>
  </si>
  <si>
    <t>Go To Generator</t>
  </si>
  <si>
    <t>New UPS</t>
  </si>
  <si>
    <t>Go To UPS</t>
  </si>
  <si>
    <t>New Transformers</t>
  </si>
  <si>
    <t>Go To Transformers</t>
  </si>
  <si>
    <t>Studies</t>
  </si>
  <si>
    <t>New Short Circuit</t>
  </si>
  <si>
    <t>Go To Short Circuit</t>
  </si>
  <si>
    <t>New Voltage Drop</t>
  </si>
  <si>
    <t>Go To Voltage Drop</t>
  </si>
  <si>
    <t>New Arc Flash</t>
  </si>
  <si>
    <t>Go To Arc Flash</t>
  </si>
  <si>
    <t>New Feeder Schedule</t>
  </si>
  <si>
    <t>Go To Feeder Schedule</t>
  </si>
  <si>
    <t>New Report</t>
  </si>
  <si>
    <t>Go To Report</t>
  </si>
  <si>
    <t>Reconciliation</t>
  </si>
  <si>
    <t>Transformers</t>
  </si>
  <si>
    <t>GENERATOR UNITS  —  multi-unit / paralleling</t>
  </si>
  <si>
    <t>Unit Tag</t>
  </si>
  <si>
    <t>Parallel Group</t>
  </si>
  <si>
    <t>Rated PF</t>
  </si>
  <si>
    <t>Margin (×)</t>
  </si>
  <si>
    <t>Load PF</t>
  </si>
  <si>
    <t>Section kVA</t>
  </si>
  <si>
    <t>Manual kVA</t>
  </si>
  <si>
    <t>Running kVA</t>
  </si>
  <si>
    <t>Running kW</t>
  </si>
  <si>
    <t>Max Start kVA</t>
  </si>
  <si>
    <t>Required kW</t>
  </si>
  <si>
    <t>Required kVA</t>
  </si>
  <si>
    <t>Bank Req kW</t>
  </si>
  <si>
    <t>Bank Req kVA</t>
  </si>
  <si>
    <t>Bank Primary</t>
  </si>
  <si>
    <t>SUGGESTED kW</t>
  </si>
  <si>
    <t>Gen kVA @ PF</t>
  </si>
  <si>
    <t>Per-unit breakdown (kVA)  —  tags come from the Generator UNITS table</t>
  </si>
  <si>
    <t>Unassigned to a unit (legacy “Y”)</t>
  </si>
  <si>
    <t>Required kW  =  Σ per-unit (Running kW × Margin)</t>
  </si>
  <si>
    <t>Required kVA  =  Σ per-unit max(Running kVA × Margin, Start kVA)</t>
  </si>
  <si>
    <t>TOTAL SUGGESTED GENERATOR (kW)  —  all units / banks</t>
  </si>
  <si>
    <t>Total Generator kVA @ Rated PF</t>
  </si>
  <si>
    <t>UPS UNITS  —  multi-module / multi-system</t>
  </si>
  <si>
    <t>Output PF</t>
  </si>
  <si>
    <t>Critical kVA</t>
  </si>
  <si>
    <t>Critical kW</t>
  </si>
  <si>
    <t>Required Module kVA</t>
  </si>
  <si>
    <t>SUGGESTED kVA</t>
  </si>
  <si>
    <t>Configuration</t>
  </si>
  <si>
    <t>Per-unit breakdown (kVA)  —  tags come from the UPS UNITS table</t>
  </si>
  <si>
    <t>Required Module kVA  =  Σ per-unit (Load × Margin)</t>
  </si>
  <si>
    <t>TOTAL SUGGESTED UPS (kVA)  —  all units</t>
  </si>
  <si>
    <t>Gen tag list</t>
  </si>
  <si>
    <t>UPS tag list</t>
  </si>
  <si>
    <t>BANK-A</t>
  </si>
  <si>
    <t>Untagged (legacy Y)</t>
  </si>
  <si>
    <t>Absorb untagged?</t>
  </si>
  <si>
    <t>Bank names (edit this list)</t>
  </si>
  <si>
    <t>BANK-B</t>
  </si>
  <si>
    <t>BANK-C</t>
  </si>
  <si>
    <t>BANK-D</t>
  </si>
  <si>
    <t>Base V</t>
  </si>
  <si>
    <t>Typical Conn</t>
  </si>
  <si>
    <t>Delta</t>
  </si>
  <si>
    <t>Wye</t>
  </si>
  <si>
    <t>240V 3Ø 3W</t>
  </si>
  <si>
    <t>240/120V 1Ø 3W</t>
  </si>
  <si>
    <t>208V 3Ø 3W</t>
  </si>
  <si>
    <t>Dry-type, 150°C rise</t>
  </si>
  <si>
    <t>6 x 2.5% FCBN, 2 x 2.5% FCAN</t>
  </si>
  <si>
    <t>DETECTION — every registry edge where the voltage changes needs a transformer</t>
  </si>
  <si>
    <t>Child (Serves)</t>
  </si>
  <si>
    <t>Parent (fed from)</t>
  </si>
  <si>
    <t>Pri Conn Override</t>
  </si>
  <si>
    <t>Sec Conn Override</t>
  </si>
  <si>
    <t>Type/Rise Override</t>
  </si>
  <si>
    <t>Taps Override</t>
  </si>
  <si>
    <t>Enclosure Override</t>
  </si>
  <si>
    <t>Unrecognised registry voltages (add them to the config list)</t>
  </si>
  <si>
    <t>TRANSFORMER CONFIG — system voltages (referenced by the Transformer Schedule)</t>
  </si>
  <si>
    <t>TRANSFORMER DEFAULTS</t>
  </si>
  <si>
    <t>BACKGROUND CALCULATIONS — collapsed by default; nothing here is an input</t>
  </si>
  <si>
    <t>Source X/R</t>
  </si>
  <si>
    <t>%Z (default)</t>
  </si>
  <si>
    <t>Source X/R (default)</t>
  </si>
  <si>
    <t>%Z eff</t>
  </si>
  <si>
    <t>Src X/R eff</t>
  </si>
  <si>
    <t>Inrush ×FLA</t>
  </si>
  <si>
    <t>Inrush check</t>
  </si>
  <si>
    <t>Identification</t>
  </si>
  <si>
    <t>Capacity</t>
  </si>
  <si>
    <t>Construction</t>
  </si>
  <si>
    <t>Overcurrent Protection</t>
  </si>
  <si>
    <t>Grounding &amp; Bonding</t>
  </si>
  <si>
    <t>Loading &amp; Notes</t>
  </si>
  <si>
    <t>Design Inputs</t>
  </si>
  <si>
    <t>Auto-created from the Equipment Registry: every feed where the voltage changes generates a transformer, and its row appears here on its own — one row shows when the project has no transformers, then rows appear and disappear as connections change. Everything from Tag through Bonding Jumper is derived and locked. The only inputs on this sheet are Source X/R (S), %Z (T) and Load Loss (U) per row, plus Notes (R) and the override columns (AM:AS). A gold %Z cell means that transformer is still calculating on the NEC_Data default — enter the submittal value. A gold Pri OCPD cell means estimated inrush exceeds 10x the selected device, so check the trip curve. System voltages, standard defaults and the inrush multiplier all live on NEC_Data. Columns V onward are background calculation — grouped and collapsed; expand only to audit.</t>
  </si>
  <si>
    <t>Upstream</t>
  </si>
  <si>
    <t>Asymmetrical</t>
  </si>
  <si>
    <t>Open</t>
  </si>
  <si>
    <t>Max nodes (capacity)</t>
  </si>
  <si>
    <t>Conduit</t>
  </si>
  <si>
    <t>FEED TABLE ENGINE — background</t>
  </si>
  <si>
    <t>Orphan check</t>
  </si>
  <si>
    <t>Load &amp; System</t>
  </si>
  <si>
    <t>Sizing Basis</t>
  </si>
  <si>
    <t>Conductors</t>
  </si>
  <si>
    <t>Motor contribution ×FLA</t>
  </si>
  <si>
    <t>MCC motor ×FLA</t>
  </si>
  <si>
    <t>NODE ENGINE — background</t>
  </si>
  <si>
    <t>Parent</t>
  </si>
  <si>
    <t>Tier</t>
  </si>
  <si>
    <t>Ordered node table (Node, Parent, Volts, Ph, Type, Tier)</t>
  </si>
  <si>
    <t>Unresolved check</t>
  </si>
  <si>
    <t>L-N V</t>
  </si>
  <si>
    <t>Length</t>
  </si>
  <si>
    <t>Feeder V</t>
  </si>
  <si>
    <t>Feeder Ph</t>
  </si>
  <si>
    <t>Node L-N</t>
  </si>
  <si>
    <t>Feeder L-N</t>
  </si>
  <si>
    <t>V calc</t>
  </si>
  <si>
    <t>m</t>
  </si>
  <si>
    <t>C const</t>
  </si>
  <si>
    <t>C note</t>
  </si>
  <si>
    <t>I sec inf</t>
  </si>
  <si>
    <t>I pri referred</t>
  </si>
  <si>
    <t>f xfmr</t>
  </si>
  <si>
    <t>Motor mult ovr</t>
  </si>
  <si>
    <t>Bus Voltage</t>
  </si>
  <si>
    <t>Upstream Fault (A)</t>
  </si>
  <si>
    <t>Feeder to Bus</t>
  </si>
  <si>
    <t>f</t>
  </si>
  <si>
    <t>Bus Fault Sym (A)</t>
  </si>
  <si>
    <t>Motor Contrib (A)</t>
  </si>
  <si>
    <t>Total Fault (A)</t>
  </si>
  <si>
    <t>Feeder Effect</t>
  </si>
  <si>
    <t>Fault at Bus</t>
  </si>
  <si>
    <t>Adequacy &amp; Notes</t>
  </si>
  <si>
    <t>METHOD</t>
  </si>
  <si>
    <t>Feeder run:   f = m × L × I_SCA ÷ (C × n × V)      M = 1 ÷ (1 + f)      I_bus = I_SCA × M      (m = 1.732 three-phase, 2 single-phase; C = Bussmann constant by conductor size, material and raceway; n = sets per phase; V = line-to-line three-phase, line-to-neutral single-phase)</t>
  </si>
  <si>
    <t>Transformer:   I_sec(∞) = I_sec,FLA × 100 ÷ %Z ,  then corrected for a finite primary fault:  f = I_sec(∞) ÷ (I_pri × V_pri ÷ V_sec),  I_sec = I_sec(∞) ÷ (1 + f).   %Z and X/R come from the Transformer Schedule; a blank %Z there uses the NEC_Data default and is flagged gold on that sheet.</t>
  </si>
  <si>
    <t>Asymmetrical peak:   I_peak = √2 × I_sym × (1.02 + 0.98 e^(−3 ÷ (X/R))) ,  for comparison against breaker momentary and close-and-latch ratings.   Motor contribution:  added to the bus fault at the NEC_Data multiplier before the interrupting-rating comparison, and carried downstream.</t>
  </si>
  <si>
    <t>Adequacy:   device interrupting rating ≥ total available fault at the bus. Series ratings are not used — every device stands on its own rating, so a substituted or untested pairing cannot invalidate the study. Raceway C-values are currently loaded for steel only; a PVC or aluminium raceway is flagged rather than silently calculated with steel constants.</t>
  </si>
  <si>
    <t>Feeder %VD limit</t>
  </si>
  <si>
    <t>Total %VD limit</t>
  </si>
  <si>
    <t>Run %VD</t>
  </si>
  <si>
    <t>Cumulative %VD</t>
  </si>
  <si>
    <t>Feeder Limit</t>
  </si>
  <si>
    <t>Total Limit</t>
  </si>
  <si>
    <t>Compliance &amp; Notes</t>
  </si>
  <si>
    <t>Vd = m × K × I × L ÷ (CM × n)      %VD = Vd ÷ V      (m = 1.732 three-phase, 2 single-phase; K = 12.9 Cu / 21.2 Al Ω·cmil/ft; L = one-way length; CM = circular mils per conductor; n = sets per phase). Calculated once on the Feeder Schedule and read from there, so this sheet and that one cannot drift apart.</t>
  </si>
  <si>
    <t>Type equipment straight into the next row — the shaded row is the one waiting for input. Rows appear as you add devices, so the table is only ever as long as the project. Tag, Type, Voltage, Fed From, Mains and Demand kVA are also written here automatically when a schedule is created from the ribbon. Voltage must be picked from the dropdown, or the Transformer, Feeder, Short Circuit and Voltage Drop schedules cannot resolve that device and will skip it. Fed From must match another Tag exactly, or say Source for the service entrance — the Feeder Schedule names any device whose Fed From does not resolve. Capacity is 250 devices (Cfg_MaxNodes on NEC_Data).</t>
  </si>
  <si>
    <t>TOTAL W/SF LOADS</t>
  </si>
  <si>
    <t>PASTE EXACTLY AS RECEIVED →</t>
  </si>
  <si>
    <t>Time</t>
  </si>
  <si>
    <t>Load Factor (avg ÷ peak)</t>
  </si>
  <si>
    <t>Interval (most common, min)</t>
  </si>
  <si>
    <t>Paste the logger export exactly as received into the grey columns G to K starting at row 54 — Date, Time, Avg kW, and kVAR / kVA if the logger supplied them. The Date column only needs a value where the day changes; blanks are carried down automatically. Columns B to E derive the timestamp and are locked. Depth is 10,000 intervals, enough for 30 days at 4-minute resolution.</t>
  </si>
  <si>
    <t>% of Time</t>
  </si>
  <si>
    <t>kW (sorted desc)</t>
  </si>
  <si>
    <t>DURATION CURVE DATA — derived, feeds the chart</t>
  </si>
  <si>
    <t>DEMAND PROFILE — LOAD DURATION CURVE</t>
  </si>
  <si>
    <t>Every interval sorted from highest to lowest demand. A curve that drops away steeply means the peak is a brief spike and the 125% figure is conservative; a flat curve means the load is sustained and the peak is representative. Populates once the logger export is pasted below.</t>
  </si>
  <si>
    <t>SÄZÄN STANDARD FEEDER SCHEDULE — COPPER, 3-PHASE  (code + N = with neutral)</t>
  </si>
  <si>
    <t>Code</t>
  </si>
  <si>
    <t>Conduit Size</t>
  </si>
  <si>
    <t>Ground</t>
  </si>
  <si>
    <t>3/4"</t>
  </si>
  <si>
    <t>3 #12</t>
  </si>
  <si>
    <t>#12</t>
  </si>
  <si>
    <t>3 #10</t>
  </si>
  <si>
    <t>#10</t>
  </si>
  <si>
    <t>1"</t>
  </si>
  <si>
    <t>3 #8</t>
  </si>
  <si>
    <t>3 #6</t>
  </si>
  <si>
    <t>1-1/4"</t>
  </si>
  <si>
    <t>3 #4</t>
  </si>
  <si>
    <t>#8</t>
  </si>
  <si>
    <t>3 #2</t>
  </si>
  <si>
    <t>1-1/2"</t>
  </si>
  <si>
    <t>3 #1</t>
  </si>
  <si>
    <t>#6</t>
  </si>
  <si>
    <t>2"</t>
  </si>
  <si>
    <t>3 #1/0</t>
  </si>
  <si>
    <t>3 #2/0</t>
  </si>
  <si>
    <t>3 #3/0</t>
  </si>
  <si>
    <t>3 #4/0</t>
  </si>
  <si>
    <t>#4</t>
  </si>
  <si>
    <t>2-1/2"</t>
  </si>
  <si>
    <t>3 #250</t>
  </si>
  <si>
    <t>3"</t>
  </si>
  <si>
    <t>3 #350</t>
  </si>
  <si>
    <t>3 #500</t>
  </si>
  <si>
    <t>#2</t>
  </si>
  <si>
    <t>#1</t>
  </si>
  <si>
    <t>#1/0</t>
  </si>
  <si>
    <t>3 #300</t>
  </si>
  <si>
    <t>3 #400</t>
  </si>
  <si>
    <t>#2/0</t>
  </si>
  <si>
    <t>#3/0</t>
  </si>
  <si>
    <t>#4/0</t>
  </si>
  <si>
    <t>#250</t>
  </si>
  <si>
    <t>#350</t>
  </si>
  <si>
    <t>#400</t>
  </si>
  <si>
    <t>#500</t>
  </si>
  <si>
    <t>20N</t>
  </si>
  <si>
    <t>4 #12</t>
  </si>
  <si>
    <t>30N</t>
  </si>
  <si>
    <t>4 #10</t>
  </si>
  <si>
    <t>40N</t>
  </si>
  <si>
    <t>4 #8</t>
  </si>
  <si>
    <t>50N</t>
  </si>
  <si>
    <t>4 #6</t>
  </si>
  <si>
    <t>60N</t>
  </si>
  <si>
    <t>4 #4</t>
  </si>
  <si>
    <t>70N</t>
  </si>
  <si>
    <t>80N</t>
  </si>
  <si>
    <t>4 #2</t>
  </si>
  <si>
    <t>90N</t>
  </si>
  <si>
    <t>100N</t>
  </si>
  <si>
    <t>4 #1</t>
  </si>
  <si>
    <t>125N</t>
  </si>
  <si>
    <t>150N</t>
  </si>
  <si>
    <t>4 #1/0</t>
  </si>
  <si>
    <t>175N</t>
  </si>
  <si>
    <t>4 #2/0</t>
  </si>
  <si>
    <t>200N</t>
  </si>
  <si>
    <t>4 #3/0</t>
  </si>
  <si>
    <t>225N</t>
  </si>
  <si>
    <t>4 #4/0</t>
  </si>
  <si>
    <t>250N</t>
  </si>
  <si>
    <t>4 #250</t>
  </si>
  <si>
    <t>300N</t>
  </si>
  <si>
    <t>4 #350</t>
  </si>
  <si>
    <t>350N</t>
  </si>
  <si>
    <t>3-1/2"</t>
  </si>
  <si>
    <t>4 #500</t>
  </si>
  <si>
    <t>380N</t>
  </si>
  <si>
    <t>400N</t>
  </si>
  <si>
    <t>500N</t>
  </si>
  <si>
    <t>600N</t>
  </si>
  <si>
    <t>700N</t>
  </si>
  <si>
    <t>760N</t>
  </si>
  <si>
    <t>800N</t>
  </si>
  <si>
    <t>4 #300</t>
  </si>
  <si>
    <t>1000N</t>
  </si>
  <si>
    <t>4 #400</t>
  </si>
  <si>
    <t>1200N</t>
  </si>
  <si>
    <t>1600N</t>
  </si>
  <si>
    <t>2000N</t>
  </si>
  <si>
    <t>2500N</t>
  </si>
  <si>
    <t>3000N</t>
  </si>
  <si>
    <t>3500N</t>
  </si>
  <si>
    <t>4000N</t>
  </si>
  <si>
    <t>EXIST</t>
  </si>
  <si>
    <t>EXISTING FEEDER TO REMAIN</t>
  </si>
  <si>
    <t>SÄZÄN STANDARD FEEDER SCHEDULE — COPPER, 1-PHASE  (code + N = with neutral)</t>
  </si>
  <si>
    <t>2 #12</t>
  </si>
  <si>
    <t>2 #10</t>
  </si>
  <si>
    <t>2 #8</t>
  </si>
  <si>
    <t>2 #6</t>
  </si>
  <si>
    <t>2 #4</t>
  </si>
  <si>
    <t>2 #2</t>
  </si>
  <si>
    <t>2 #1</t>
  </si>
  <si>
    <t>2 #1/0</t>
  </si>
  <si>
    <t>2 #2/0</t>
  </si>
  <si>
    <t>2 #3/0</t>
  </si>
  <si>
    <t>2 #4/0</t>
  </si>
  <si>
    <t>2 #250</t>
  </si>
  <si>
    <t>2 #350</t>
  </si>
  <si>
    <t>2 #500</t>
  </si>
  <si>
    <t>SÄZÄN STANDARD FEEDER SCHEDULE — ALUMINIUM, 3-PHASE  (code + N = with neutral; starts at 100A)</t>
  </si>
  <si>
    <t>#600</t>
  </si>
  <si>
    <t>#750</t>
  </si>
  <si>
    <t>Volt string</t>
  </si>
  <si>
    <t>Neutral?</t>
  </si>
  <si>
    <t>Std code</t>
  </si>
  <si>
    <t>Std conduit</t>
  </si>
  <si>
    <t>Std conductors</t>
  </si>
  <si>
    <t>Std ground</t>
  </si>
  <si>
    <t>Std sets</t>
  </si>
  <si>
    <t>Eff. material</t>
  </si>
  <si>
    <t>Std cond. size</t>
  </si>
  <si>
    <t>Final code (VD)</t>
  </si>
  <si>
    <t>Final sets</t>
  </si>
  <si>
    <t>Final conductors</t>
  </si>
  <si>
    <t>Final conduit</t>
  </si>
  <si>
    <t>Final ground</t>
  </si>
  <si>
    <t>Final cond. size</t>
  </si>
  <si>
    <t>NEC sanity</t>
  </si>
  <si>
    <t>Conductors &amp; Protection</t>
  </si>
  <si>
    <t>Voltage Drop, Status &amp; Notes</t>
  </si>
  <si>
    <t>Feeder Code</t>
  </si>
  <si>
    <t>%VD @ Std</t>
  </si>
  <si>
    <t>%VD Final</t>
  </si>
  <si>
    <t>EXIST?</t>
  </si>
  <si>
    <t>Overrides (optional)</t>
  </si>
  <si>
    <t>Ovr Sets</t>
  </si>
  <si>
    <t>Ovr Conductor</t>
  </si>
  <si>
    <t>Ovr Conduit</t>
  </si>
  <si>
    <t>Ovr Ground</t>
  </si>
  <si>
    <t>Eff. sets</t>
  </si>
  <si>
    <t>Eff. conductors</t>
  </si>
  <si>
    <t>Eff. conduit</t>
  </si>
  <si>
    <t>Eff. ground</t>
  </si>
  <si>
    <t>Eff. cond. size</t>
  </si>
  <si>
    <t>Override note</t>
  </si>
  <si>
    <t>Materials &amp; Status</t>
  </si>
  <si>
    <t>COMBINED STUDIES VIEW — FEEDER, SHORT CIRCUIT &amp; VOLTAGE DROP</t>
  </si>
  <si>
    <t>Read-only review and printing view. One row per bus, tier-ordered, joining the feeder installed to that bus with its fault-current and voltage-drop results so a single line can be checked end to end. Nothing is calculated here — every value is read from Feeder Schedule, Short Circuit or Voltage Drop, so this sheet can never disagree with them. Use the three filters below to slice by tier, by equipment type, or to show only rows needing attention; the count to the right reports how many buses are showing. Change nothing on this sheet: edit the source schedules and this view follows. Requires Microsoft 365 or Excel for the web.</t>
  </si>
  <si>
    <t>Tier:</t>
  </si>
  <si>
    <t>Type:</t>
  </si>
  <si>
    <t>Show:</t>
  </si>
  <si>
    <t>All</t>
  </si>
  <si>
    <t>Bus Identification</t>
  </si>
  <si>
    <t>Feeder Installed</t>
  </si>
  <si>
    <t>Overall</t>
  </si>
  <si>
    <t>SC Result</t>
  </si>
  <si>
    <t>Cum %VD</t>
  </si>
  <si>
    <t>VD Status</t>
  </si>
  <si>
    <t>Type filter list</t>
  </si>
  <si>
    <t>Tier filter list</t>
  </si>
  <si>
    <t>BACKGROUND — joined source data, do not edit</t>
  </si>
  <si>
    <t>Bus Fault</t>
  </si>
  <si>
    <t>Device AIC</t>
  </si>
  <si>
    <t>Margin</t>
  </si>
  <si>
    <t>Show?</t>
  </si>
  <si>
    <t>Go To Combined Studies</t>
  </si>
  <si>
    <t>C (Cu-nonmag)</t>
  </si>
  <si>
    <t>C (Al-nonmag)</t>
  </si>
  <si>
    <t>Raceway magnetic classification — selects the Bussmann Table 4 column pair</t>
  </si>
  <si>
    <t>Raceway</t>
  </si>
  <si>
    <t>Magnetic?</t>
  </si>
  <si>
    <t>Steel</t>
  </si>
  <si>
    <t>Aluminum</t>
  </si>
  <si>
    <t>Raceway magnetic? (SC)</t>
  </si>
  <si>
    <t>Line-to-Neutral (1Ø centre-tap)</t>
  </si>
  <si>
    <t>I L-N Sym (A)</t>
  </si>
  <si>
    <t>Governing Fault (A)</t>
  </si>
  <si>
    <t>%Z half-winding</t>
  </si>
  <si>
    <t>f (L-N)</t>
  </si>
  <si>
    <t>Governing Fault</t>
  </si>
  <si>
    <t>Model Check</t>
  </si>
  <si>
    <t>Point-to-point fault study, derived automatically: one row per bus from the Equipment Registry and the Feeder Schedule, including a bus for every transformer secondary. Rows are ordered by tier (depth from the utility) so each bus reads its upstream fault from its parent, already calculated above it — no iteration and no macro. Feeder run: f = m × L × I_SCA ÷ (C × n × V), M = 1 ÷ (1+f), I_bus = I_SCA × M. Transformer: I_sec(∞) = I_sec,FLA × 100 ÷ %Z, corrected for finite primary fault. Three-phase runs use m = 1.732 and single-phase runs m = 2, both against the run's LINE-TO-LINE voltage, so the line-to-line current and the line-to-line voltage always pair — this is Bussmann's line-to-line fault case. The line-to-neutral case on a centre-tapped single-phase secondary is calculated too, in its own column pair: half-winding impedance is taken as 1.5x the full-winding %R and 1.2x the full-winding %X, the terminal current is the full transformer kVA at the line-to-neutral voltage over that impedance, corrected for the finite primary fault with the primary source impedance DOUBLED because a single-phase fault travels the primary path out and back, and the run then propagates with m = 2 against the line-to-neutral voltage. Motor contribution is added to the line-to-neutral fault as well as the line-to-line one. Governing Fault is the worse of the line-to-line and line-to-neutral results, and Margin and Result are both measured against it, so a device is never checked against the smaller of the two faults. Motor contribution is added to the bus fault before the interrupting-rating comparison. Enter Motor FLA, Device AIC and Notes; everything else is derived and locked. Requires Microsoft 365 or Excel for the web.</t>
  </si>
  <si>
    <t>Header row 74; data rows 75:324 — capacity 250 devices, set by Cfg_MaxNodes on NEC_Data. Columns: Tag, Type, Voltage, Fed From, Mains, Demand kVA, Sheet Link, Notes, Feed Type, Feeder Ckt / Space. Type straight into the next unshaded row; the table is only ever as long as the project. Rows are also written automatically when a schedule is created from the ribbon. Voltage MUST be picked from the dropdown or the Transformer, Feeder, Short Circuit and Voltage Drop schedules cannot resolve that device and will silently skip it. Fed From must match another Tag exactly, or read Source for the service entrance. Sheet order is irrelevant — everything is matched by Tag.</t>
  </si>
  <si>
    <t>The registry holds 250 devices (rows 75:324), governed by Cfg_MaxNodes on NEC_Data. Do not paste rows in below the table — if you genuinely need more than 250 nodes, raise Cfg_MaxNodes deliberately and re-run New Project.</t>
  </si>
  <si>
    <t>LC_Areas (B7:G8): Space Type (from Energy_Code_Data), SF per Floor, Floors. Total SF, LPD in W/ft² and Lighting W calculate. Grow it with Add Area Rows. Row 9 is the TOTAL BUILDING SF line.</t>
  </si>
  <si>
    <t>LIGHTING POWER DENSITY — WSEC C405.4.2 (rows 11:19). You set the Energy Code jurisdiction (C14, default WSEC — WA State) and the Compliance Method (C15, default Building Area Method). Total Lighting Watts (C16) and Total Building SF (C17) link from the area table; C18 returns the GOVERNING BLENDED LPD in W/ft², and C19 flags lighting-type completeness. This block drives the General Lighting row of the W/SF allowances — do not enter a lighting W/SF by hand.</t>
  </si>
  <si>
    <t>LC_WSF (B24:G29): the baseline allowances — Category, W/SF, Applies to SF, Demand Factor. Connected kVA and Demand kVA calculate; row 29 is the TOTAL W/SF LOADS line. Default categories are General Power, Computer Power, General Lighting (fed from the WSEC block above) and General Mechanical &amp; Plumbing. Review these on every project — they are firm-standard starting points, not answers.</t>
  </si>
  <si>
    <t>Lighting power density</t>
  </si>
  <si>
    <t>PANEL SPACE COUNTER rows 96:111 — poles by section for 480Y/277V, 208Y/120V and 240/120V (120 V loads appear in BOTH the 208Y and 240 columns; read the column matching your system, and note rows marked Ded. Ckt = N are excluded). Row 108 TOTAL SPACES, 109 design spare %, 110 spaces incl. spares, 111 suggested 42-pole panel count. TOTAL SERVICE LOAD SUMMARY rows 114:136 — connected and demand kVA by source, then: row 127 TOTAL NEW LOAD, 128 largest-motor 25 % adder (430.24), 129 continuous-load 25 % adder (210.20 / 215.3), 130 ADJUSTED DESIGN DEMAND, 131 demand amps at service voltage, 132 design spare %, 133 DESIGN LOAD incl. spare, 134 DESIGN AMPS, 135 SUGGESTED SERVICE SIZE (rounded up to a 240.6 rating), 136 RENOVATION CHECK including existing demand.</t>
  </si>
  <si>
    <t>LC_DemandTotal, LC_AdjustedDemand, LC_DesignAmps, LC_ServiceSize and LC_TotalSF feed the Dashboard status and QA checks. The generator roll-up (rows 138:150) and UPS roll-up (rows 152:165) feed those two modules — each now breaks down per generator/UPS unit, with tags read from that module's UNITS table, and flags any legacy “Y” row not yet assigned to a unit. Panel Tag feeds Dashboard reconciliation.</t>
  </si>
  <si>
    <t>Expected above about a dozen devices — it writes several hundred formulas. The registry now allows up to 250 nodes, so a large project can take appreciably longer; let it finish rather than interrupting it.</t>
  </si>
  <si>
    <t>kW total and kVA per row; then the SIZING SUMMARY: total running kVA (row 36), total running kW (37), max single-step starting kVA (38), required kW as the sum of per-unit running kW × margin (39), required kVA (40), TOTAL SUGGESTED GENERATOR in kW across all units (41) and total generator kVA at rated PF (42). Start method drives the starting-kVA multiplier — across-the-line is the worst case (×6 typical); soft start / VFD reduce it. Confirm the multipliers at row 44 against real vendor data.</t>
  </si>
  <si>
    <t>kVA total per row; then the SIZING SUMMARY: total critical load kVA (row 34), critical load kW at output PF (35), required module kVA as the sum of per-unit load × margin (36), TOTAL SUGGESTED UPS kVA across all units (37) and the resulting module configuration (38). Battery and runtime sizing is NOT calculated here — take it from manufacturer data (note at row 40).</t>
  </si>
  <si>
    <t>The audit that catches the most common real error: load assigned to a panel on the Load Calc that was never actually entered on that panel's schedule — and panels carrying load the calc does not know about. Dashboard rows 328 onward; header row 331, data from row 333.</t>
  </si>
  <si>
    <t>Column A lists every unique Panel Tag used anywhere on the Load Calc automatically. Column C sums the Total kVA assigned to that tag. Column E is the difference against column D, and column F reports OK or CHECK against the match tolerance at K337 (default 0.1 kVA). A CHECK row is highlighted across its full width.</t>
  </si>
  <si>
    <t>Column B — the device Type (Panelboard / MCC / Switchboard). Column D — the connected kVA actually entered on that panel's schedule; a GOLD cell here means the link is not set yet. Column G writes out the exact link formula for you; copy that text and paste it into column D on the same row. The helper block at J332:K335 lists which cell holds the connected total for each device type (Panelboard M69, MCC C47, Switchboard C49).</t>
  </si>
  <si>
    <t>Per-meter peak demand, then the RESULTS — NEC 220.87 block at rows 32:42: meters included (34), total existing peak demand as the sum of meter peaks (35), the same in kVA (36) and amps (37), the 220.87 existing load at 125 % × peak in kVA (38) and amps (39), existing service capacity (40), SPARE CAPACITY FOR NEW LOAD (41) and service utilisation % (42). Enter the billed PF per bill where you have it rather than accepting the default (note at row 45).</t>
  </si>
  <si>
    <t>The Load Calc renovation line (row 136) and QA check 6, existing service spare. Dashboard status row 8.</t>
  </si>
  <si>
    <t>Logging study identification, the metering period, the logged peak demand, and the Seasonal / Periodic Load Adjustment Factor at row 38 — a multiplier that accounts for the heating or cooling season peak not captured in a 30-day window. Leave it at 1.0 only if the logging period genuinely covers the seasonal peak.</t>
  </si>
  <si>
    <t>RESULTS — NEC 220.87 at rows 40:48: governing peak kW (42), governing peak kVA (43), seasonally adjusted peak kVA (44), the 220.87 existing load at 125 % × adjusted peak (45) and in amps (46), existing service capacity (47) and spare capacity for new load (48).</t>
  </si>
  <si>
    <t>v1 — manual sync</t>
  </si>
  <si>
    <t>Module reference re-verified against the live workbook and corrected: equipment registry is 250 nodes at A75:J324 (was documented as 16 at 75:90) and gained Feed Type and Feeder Ckt / Space columns; panel load reconciliation moved to rows 328 onward with tolerance at K337 (was 97 / K103); Load Calc section tables re-addressed to rows 43/49/56/63/70/77/84/91, LC_WSF to B24:G29, LC_Areas to B7:G8, panel space counter to 96:111 and service summary to 114:136; section registry is W5:Z15. Newly documented: the WSEC C405.4.2 lighting-power-density block on the Load Calc, the per-unit Generator and UPS UNITS assignment, and the logging seasonal adjustment factor. Generator and UPS sizing-summary rows re-pointed.</t>
  </si>
  <si>
    <t>DATA / IT EQUIPMENT</t>
  </si>
  <si>
    <t>SITE / EXTERIOR</t>
  </si>
  <si>
    <t>FIRE / LIFE SAFETY</t>
  </si>
  <si>
    <t>PROCESS / INDUSTRIAL</t>
  </si>
  <si>
    <t>LC_Data</t>
  </si>
  <si>
    <t>LC_Site</t>
  </si>
  <si>
    <t>LC_Fire</t>
  </si>
  <si>
    <t>LC_Process</t>
  </si>
  <si>
    <t>INSTRUCTIONS</t>
  </si>
  <si>
    <t>End of manual.  Questions, corrections or feature requests: route to the PowerCalc maintainer.  Do not patch the master yourself.</t>
  </si>
  <si>
    <t>A single tool that carries an electrical design from first load estimate to issued schedules: NEC Article 220 load calc, existing-building demand, panel/switchboard/MCC schedules, transformers, generator and UPS sizing, short circuit, voltage drop, arc flash, feeder sizing, a combined Studies view, and a printable report.</t>
  </si>
  <si>
    <t>How it ships</t>
  </si>
  <si>
    <t>Two parts, and neither one holds your project data. (1) THE ADD-IN — a ribbon tab and a dockable task pane, loaded by Excel from a hosted manifest. It holds the commands. (2) THE PROJECT TEMPLATE — sazan-project-template.xlsx, which holds all 19 calculation sheets with every cross-sheet formula intact and no project data. You start a project from the template; the add-in drives it. There is a third file, SGI_PowerCalc_Master_v1.xlsm, but it is the AUTHORING master that the template is generated from — only the maintainer opens it.</t>
  </si>
  <si>
    <t>The add-in</t>
  </si>
  <si>
    <t>SAZAN Panel Tree, an Office web add-in. Excel loads it from a manifest pointing at static files hosted over HTTPS, so there is nothing to install per machine beyond registering the catalog once. It adds the SÄZÄN POWERCALC ribbon tab and a task pane you can dock, float and resize. It runs on Excel for Windows, Mac and the web, and it contains no VBA — a task pane cannot run macros. See section 2 to install it.</t>
  </si>
  <si>
    <t>A copy of sazan-project-template.xlsx saved under your project name. It opens WHOLE — all 19 calculation sheets, every cross-sheet formula and every defined name already in place. Nothing is copied in on demand, because the Dashboard and the modules reference each other in both directions and no single one of them works alone. It stays a plain .xlsx with no macros, so it emails and archives cleanly.</t>
  </si>
  <si>
    <t>NEC_Data holds the voltage systems, NEC 240.6 OCPD and fuse sizes, the NEMA receptacle library, NEC Chapter 9 Table 8 conductor properties, K and C constants, load classifications and demand factors, and standard transformer kVA. Energy_Code_Data holds lighting power densities and space types. Every dropdown and every calc in the workbook reads from these two sheets — nothing is hardcoded in a formula. Both ship inside the project template, so each project carries its own copy of the code data.</t>
  </si>
  <si>
    <t>TPL_Switchboard, TPL_Panelboard and TPL_MCC are master layouts, and all three travel inside the project template. When you create a device, the add-in copies the matching template within your own workbook, renames it to your device tag, and registers it on the Dashboard. Editing a template changes every device created afterwards — never devices already created.</t>
  </si>
  <si>
    <t>Each template carries a small GEO_MAP block (far right of the sheet, grey 8 pt) listing where its name, voltage, AIC, fault, demand and voltage-drop cells live. The commands read addresses from GEO_MAP instead of hardcoding them, so a template can be re-laid-out without breaking the code. See Appendix A.</t>
  </si>
  <si>
    <t>What you need</t>
  </si>
  <si>
    <t>Excel 365 on Windows, Mac or the web. The add-in's manifest.xml, and one folder your team can reach — a network share works, and a plain local folder is fine for solo testing. You do NOT need admin rights, you do NOT need macros enabled, and there is nothing to unblock.</t>
  </si>
  <si>
    <t>Register the catalog — once per machine</t>
  </si>
  <si>
    <t>Put manifest.xml in that folder. Then File ▸ Options ▸ Trust Center ▸ Trust Center Settings ▸ Trusted Add-in Catalogs. Paste the FOLDER path, not the path to the manifest file itself — this is the step people get wrong. Add catalog, tick Show in Menu, OK, then restart Excel. For a team-wide rollout the maintainer can instead upload manifest.xml in the M365 admin center ▸ Settings ▸ Integrated apps, which pushes it to everyone with no per-machine step.</t>
  </si>
  <si>
    <t>Insert the add-in</t>
  </si>
  <si>
    <t>Insert ▸ My Add-ins ▸ SHARED FOLDER tab ▸ SAZAN Panel Tree ▸ Add. The task pane opens docked on the right. Drag its inner edge to resize, drag the header out to float, drag it back to redock — Excel manages the dock itself.</t>
  </si>
  <si>
    <t>Confirm it loaded</t>
  </si>
  <si>
    <t>You should see a top-level ribbon tab named SÄZÄN POWERCALC, and the task pane should show the black PANEL TREE band. If the tab is missing, the catalog path is wrong or Excel has not been restarted since — see section 13.</t>
  </si>
  <si>
    <t>Get the project template</t>
  </si>
  <si>
    <t>Download sazan-project-template.xlsx from the repository and keep one clean copy somewhere the team can reach. Start every project by COPYING that file. Do not work from an email attachment or a Downloads folder.</t>
  </si>
  <si>
    <t>Keep the template pristine</t>
  </si>
  <si>
    <t>Never type project data into the clean copy of the template — it is the source every project starts from, and if it gets polluted every future project inherits it. The same rule applies to the authoring master, SGI_PowerCalc_Master_v1.xlsm, which only the maintainer opens.</t>
  </si>
  <si>
    <t>The add-in is not loaded. Check three things in order: that the Trusted Add-in Catalog points at the FOLDER holding manifest.xml and not at the file itself; that Show in Menu is ticked; and that Excel has been fully restarted since you added the catalog. Then Insert ▸ My Add-ins ▸ SHARED FOLDER and add it again.</t>
  </si>
  <si>
    <t>Two causes. Either it is one of the commands not yet built in this release — those announce themselves when clicked rather than failing silently, and section 5 marks them — or Excel is serving cached add-in files. Excel caches hard: close the task pane, clear the Wef folder under %LOCALAPPDATA%\Microsoft\Office\16.0\Wef, and reopen Excel.</t>
  </si>
  <si>
    <t>The workbook is missing defined names, which means it is not a copy of sazan-project-template.xlsx — a blank workbook will do this. Start again from the template; every name the engine needs ships inside it. Do not try to rebuild them by hand.</t>
  </si>
  <si>
    <t>Start from the template</t>
  </si>
  <si>
    <t>Copy sazan-project-template.xlsx and save it under your project name. It already contains all 19 calculation sheets, every formula and every defined name — there is nothing to build and nothing to import.</t>
  </si>
  <si>
    <t>LEGACY FALLBACK, maintainer-supported only. The add-in in section 2 is the product. This appendix documents the older macro-driven path, which still works and is kept for desktop users who cannot load a hosted add-in. Do not hand this appendix to a new user as the way in.</t>
  </si>
  <si>
    <t>What it is</t>
  </si>
  <si>
    <t>SGI_PowerCalc_Master_v1.xlsm — the same workbook, with the ribbon driven by a VBA project instead of hosted JavaScript. It also serves as the AUTHORING master: sazan-project-template.xlsx is generated from it by Save As, so the two paths never diverge in their calculations.</t>
  </si>
  <si>
    <t>Run it open</t>
  </si>
  <si>
    <t>Copy the master to a local or network location, open it, and leave it open. The SÄZÄN POWERCALC ribbon tab appears while it is open. Simplest option; good for occasional use.</t>
  </si>
  <si>
    <t>Install as an add-in</t>
  </si>
  <si>
    <t>Preferred for daily use on this path. File ▸ Save As ▸ Excel Add-in (*.xlam). Then File ▸ Options ▸ Add-ins ▸ Manage: Excel Add-ins ▸ Go ▸ Browse ▸ select the .xlam ▸ OK. The ribbon then loads with Excel every time and no extra window stays open.</t>
  </si>
  <si>
    <t>Macro trust</t>
  </si>
  <si>
    <t>This path is macro-enabled, so it needs trust the add-in path does not. If you see the yellow security bar, click Enable Content. If macros are blocked outright (Mark of the Web), right-click the file ▸ Properties ▸ Unblock, or place the file in a Trust Center trusted location. Windows only — the VBA path does not run on Excel for Mac or Excel for the web.</t>
  </si>
  <si>
    <t>Which path am I on?</t>
  </si>
  <si>
    <t>Check the title bar. A file ending .xlsm or .xlam is the legacy path. A .xlsx with a task pane on the right is the add-in path. The two are not meant to be run at the same time: if both are loaded you will see one ribbon tab holding both sets of controls, and it is not always clear which one you clicked.</t>
  </si>
  <si>
    <t>Switchboard template. Header block rows 5:15. Circuit rows 28:47. Connected kVA total at K15.</t>
  </si>
  <si>
    <t>Panelboard template — 84 circuits, one circuit per row, laid out in two blocks of 42 (rows 28:69 and 70:111). Header block rows 5:15; feed-through loads rows 20:22. Connected kVA total at K15. This replaced the older 42-circuit two-column layout, which is retired.</t>
  </si>
  <si>
    <t>Motor control centre template. Header block rows 5:15. Unit rows 28:47, with starter type, NEMA size, HOA, overload amps and FLA per unit. Connected kVA total at K15.</t>
  </si>
  <si>
    <t>A reference copy of the legacy VBA source, for review and version control. Informational only — editing it does nothing. It exists ONLY in the authoring master and is not part of the project template; the live code for the legacy path is in that master's VBA project. See Appendix C.</t>
  </si>
  <si>
    <t>D5  |  D5  |  D5          — the device tag / name.</t>
  </si>
  <si>
    <t>D8  |  D8  |  D8          — system voltage selection.</t>
  </si>
  <si>
    <t>D13  |  D13  |  D13        — standard device interrupting rating.</t>
  </si>
  <si>
    <t>H5  |  H5  |  H5          — fault current available AT the device (written by a link).</t>
  </si>
  <si>
    <t>H6  |  H6  |  H6          — fault current at this device's own bus (read by children).</t>
  </si>
  <si>
    <t>H10  |  H10  |  H10        — NEC 220 demand kVA; rolls up to the parent and the registry.</t>
  </si>
  <si>
    <t>K15  |  K15  |  K15        — connected kVA total; used by Dashboard reconciliation.</t>
  </si>
  <si>
    <t>AQ26  |  AQ26  |  BH26     — engine line-to-line voltage (numeric).</t>
  </si>
  <si>
    <t>AQ28  |  AQ28  |  BH28     — engine phase count (numeric).</t>
  </si>
  <si>
    <t>K28:K47  |  K28:K111  |  K28:K47     — the % voltage drop column.</t>
  </si>
  <si>
    <t>One tab per distribution device, created from the ribbon off one of the three templates — TPL_Switchboard, TPL_Panelboard or TPL_MCC. The tab name IS the device tag.</t>
  </si>
  <si>
    <t>Each device tab carries this block, marked by the literal text GEO_MAP in the top-left cell of the key column and also defined as a sheet-scoped name:  Switchboard AS1:AX20  ·  Panelboard AS1:AX34  ·  MCC BJ1:BO20.  Read left to right: SWBD | PANELBOARD | MCC.  The header keys are identical on all three templates.  The block has six columns: KEY, VALUE, then ANCHOR_TEXT, ANCHOR_COL, TARGET_COL and ROW_OFFSET — Rebuild GEO_MAP finds each key's anchor label in the sheet and rewrites its VALUE from where that label actually sits, which is how a re-laid-out template repairs itself. THE MARKER CELL IS NOT OPTIONAL: Rebuild GEO_MAP locates the block by searching for the text GEO_MAP, and if it is missing the command warns and does nothing. The panelboard block is longer because it also carries the circuit-grid, feed-through and resize keys — CKT_PER_ROW, CKT_DESC_COL, CKT_KVA_COL, CKT_POLES_COL, CKT_NUM_COL, VD_COL, FEEDTHRU_FIRST / LAST / DESC_COL / KVA_COL, FT_SLOTS, BLOCK_SIZE, CKT_BLOCK1 and CKT_BLOCK2 bounds, and RESIZE_MODE.</t>
  </si>
  <si>
    <t>28–47  |  28–111  |  28–47        — circuit / unit row span. On the panelboard these are DERIVED, not typed: BLOCK_SIZE = 42 and RESIZE_MODE = TWOBLOCK give blocks 28–69 and 70–111, CKT_LAST = 111, and VD_RANGE = VD_COL &amp; CKT_FIRST : VD_COL &amp; CKT_LAST. Change BLOCK_SIZE and re-run Rebuild GEO_MAP rather than editing the bounds by hand.</t>
  </si>
  <si>
    <t>Update the anchor labels if you renamed them, then run Rebuild GEO_MAP on that sheet — with that sheet ACTIVE — so every value re-anchors itself. Do not change the code. Two traps: if the GEO_MAP marker cell is missing the command silently does nothing but still reports success, and if the KEY and VALUE columns fall out of step every downstream address is wrong by one row. Check the block before blaming the macros.</t>
  </si>
  <si>
    <t>Transformer schedule. SELF-DERIVING — rows appear by formula when a link crosses a voltage boundary. No macro writes to this sheet.</t>
  </si>
  <si>
    <t>Required kVA from the child's demand, rounded up to the next standard rating from the Xfmr table in NEC_Data; primary and secondary full-load amps; and the transformer impedance used downstream as a fault-current bottleneck. Each transformer also produces TWO feeder rows on the Feeder Schedule — source to primary, secondary to equipment.</t>
  </si>
  <si>
    <t>Available fault current and interrupting-rating margin at every bus. Sheet: Short Circuit. SELF-DERIVING: the whole table spills from the equipment registry in tier order. There is nothing to rebuild and nothing to type into the table itself.</t>
  </si>
  <si>
    <t>It derives</t>
  </si>
  <si>
    <t>Header row 4; device rows begin at row 6, one per registered device, in tier order. Columns: A Node, B Type, C Tier, D Bus Voltage, E Fed From, F Upstream Fault (A), G Feeder to Bus, H f, I M, J Bus Fault Sym (A), K Motor FLA (A), L Motor Contrib (A), M Total Fault (A), N X/R, O Asym Peak (A), P I L-N Sym (A), Q Governing Fault (A), R Device AIC (A), S Margin (A), T Result, U Notes.</t>
  </si>
  <si>
    <t>Point-to-point fault current using the C values from NEC Chapter 9 Table 8 — the C column follows the conductor material set on the Dashboard — together with the transformer impedances from the Transformer Schedule. Motor contribution is added at L, the asymmetrical peak at O follows from X/R, and single-phase centre-tapped buses also get a line-to-neutral fault at P. Column Q is the GOVERNING fault for that bus; S is the margin against the device AIC at R, and T reports the result.</t>
  </si>
  <si>
    <t>Feeder voltage drop to every bus, and the cumulative drop back to the source. Sheet: Voltage Drop. SELF-DERIVING from the Short Circuit spill — nothing to rebuild, nothing to type.</t>
  </si>
  <si>
    <t>One derived table</t>
  </si>
  <si>
    <t>Header row 4, data from row 6, one row per bus in tier order. A Node, B Type, C Tier, D Bus Voltage, E Fed From, F Feeder to Bus, G Run %VD, H Cumulative %VD, I Feeder Limit, J Total Limit, K Status, L Notes. The older manual CKT-by-CKT table is gone.</t>
  </si>
  <si>
    <t>Nothing on this sheet. Run %VD is looked up from the Feeder Schedule for that bus's feeder; the cumulative figure walks up the Fed From chain. The two limits come from the named cells Cfg_VDFeeder and Cfg_VDTotal, which default to 3% and 5%.</t>
  </si>
  <si>
    <t>Cumulative %VD is this run's %VD plus the cumulative %VD of the bus feeding it. Status reads PASS, a warning where a single run or the cumulative total exceeds the feeder recommendation, or FAIL where the cumulative total exceeds the overall limit. Missing feeder data is flagged explicitly rather than being treated as zero — a blank upstream reads as incomplete, not as compliant.</t>
  </si>
  <si>
    <t>Conductor, conduit, OCPD and equipment grounding conductor for every feeder run. Sheet: Feeder Schedule. SELF-DERIVING: one row per feeder is generated by formula from the equipment registry, including the TWO feeders a voltage change creates — source to transformer primary, then transformer secondary to equipment.</t>
  </si>
  <si>
    <t>Header row 4, data from row 5. MOST COLUMNS ARE DERIVED and must not be typed into. The input columns are H Length (ft), J Cont.?, L Material, M Conduit Type, N EXIST? and W Notes — plus the override columns X Ovr Sets, Y Ovr Conductor, Z Ovr Conduit and AA Ovr Ground, for when a result has to be forced against what the sizing derives.</t>
  </si>
  <si>
    <t>A Feeder Code and B Feeder Tag, C From and D To, E Load (kVA), F Volts, G Ph and I Design (A) all come from the registry. Then K Req. Amp. from 240.6; O Sets and P Conductor (ea) from 310.16 at your termination temperature; Q Conduit Size by fill; R OCPD; S Ground from 250.122; T %VD @ Std and U %VD Final; and V Status.</t>
  </si>
  <si>
    <t>Rebuilds ARC FLASH so it has one row per device in the registry, in registry order, and then recalculates the Feeder Schedule. It does not touch Short Circuit or Voltage Drop — those derive themselves and must not be written to.</t>
  </si>
  <si>
    <t>Runs the Feeder Schedule recalculation on its own. Refresh Studies already does this, so the separate button is only for when you have changed a feeder input and nothing else. It recalculates and reports; it does not rebuild rows.</t>
  </si>
  <si>
    <t>Almost always the GEO_MAP block on that device tab. Two known causes. The tab was created from an out-of-date template and has no block at all — the block is marked by a cell containing the text GEO_MAP at the top of its key column. Or the key column is HIDDEN: Excel's Find skips hidden cells, so every lookup returned nothing, silently. The resolver now locates the block through the sheet-scoped GEO_MAP name and no longer depends on that column being visible; on a tab that predates the fix, run Rebuild GEO_MAP. If the block is fine, the AIC simply has not been entered on the device tab.</t>
  </si>
  <si>
    <t>Ribbon ▸ Load Calc. Areas and W/SF allowances first, then itemized equipment across the twelve category tables. This produces the connected load, the NEC 220 demand load, and the suggested service size.</t>
  </si>
  <si>
    <t>NEC Article 220 service load calculation — the backbone of the project. Two layers: an area-based W/SF baseline, then itemized equipment across twelve category tables.</t>
  </si>
  <si>
    <t>Use Toggle Section from the ribbon, enter the section number, and confirm. The section collapses into an outline group, greys out, drops out of every total, and does not print. Nothing is deleted. You can also flip the Yes/No flag directly in column Y of the SECTION REGISTRY (Load Calc W5:Z19, title at W5, header row 6, sections on rows 7 to 19) — the totals respond immediately, and the next Toggle Section or Refresh Studies brings the collapse back into sync. Row 11 is a deliberate spacer and holds no section, so match on the section number in column W rather than counting rows.</t>
  </si>
  <si>
    <t>The totals read the include flag in column Y of the SECTION REGISTRY (Load Calc W5:Z19), not row visibility. Hiding rows by hand does nothing to the totals — use Toggle Section, or set the flag to No.</t>
  </si>
  <si>
    <t>Add Rows / Trim Rows — ONE pair of buttons that acts on whichever table your cursor is in: a Load Calc category table, the building-area table, GEN_Loads on the Generator sheet or UPS_Loads on the UPS sheet. Click inside the table first, then click the button. There are no separate Area / Gen / Equip / UPS buttons; that was an earlier design.</t>
  </si>
  <si>
    <t>Both devices must have their System Voltage set on their own tab before you link them. Linking a device with no voltage selected is refused outright — earlier versions silently produced a bogus 0 V transformer.</t>
  </si>
  <si>
    <t>v1 — add-in rewrite</t>
  </si>
  <si>
    <t>Manual rewritten for the SAZAN Panel Tree add-in, which is now the product; the VBA master survives as Appendix C, marked legacy. Sections 1, 2 and 13 rewritten around a hosted manifest and a project template that opens whole, replacing the old two-file master model where four sheets were copied into a blank workbook. TPL_PB_Stacked removed — three templates, not four — and Appendix A re-derived from the live GEO_MAP blocks, which are now six columns wide, marked by a GEO_MAP cell at the top of the key column, and identical in their header keys across all three templates. Refresh semantics corrected throughout: Refresh Studies rebuilds Arc Flash ONLY and also recalculates the Feeder Schedule, while Short Circuit, Voltage Drop, the Transformer Schedule and the Feeder Schedule are all self-deriving. Short Circuit re-addressed to header row 4 / data row 6 with the Governing Fault and line-to-neutral columns documented; Voltage Drop rewritten as one derived cumulative table; Feeder Schedule input columns identified as H, J, L, M, N, W and the X:AA overrides. Studies documented for the first time. Category tables corrected from eight to twelve. Section registry corrected to W5:Z19 and the equipment registry to A75:J324. Unbuilt add-in commands disclosed in section 5. Protection password removed from the footer.</t>
  </si>
  <si>
    <t>Scope</t>
  </si>
  <si>
    <t>VD limit – total (recommended) — linked to Cfg_VDTotal</t>
  </si>
  <si>
    <t>VD — upstream cumulative %VD (from study)</t>
  </si>
  <si>
    <t>VD — branch %VD budget (5% less upstream)</t>
  </si>
  <si>
    <t>VD — combined worst-case %VD</t>
  </si>
  <si>
    <t>VD — combined status</t>
  </si>
  <si>
    <t>Fault Duty</t>
  </si>
  <si>
    <t>Overrides (blank = use derived)</t>
  </si>
  <si>
    <t>Main breaker / service rating. Leave blank for a new service; capacity in D11 stays blank.</t>
  </si>
  <si>
    <t>BANK-E</t>
  </si>
  <si>
    <t>BANK-F</t>
  </si>
  <si>
    <t>Utility / Provider</t>
  </si>
  <si>
    <t>Transformer Size (kVA)</t>
  </si>
  <si>
    <t>Primary Voltage (V)</t>
  </si>
  <si>
    <t>Secondary Voltage (L-L)</t>
  </si>
  <si>
    <t>Impedance (%Z)</t>
  </si>
  <si>
    <t>X/R Ratio</t>
  </si>
  <si>
    <t>Secondary FLA (A)</t>
  </si>
  <si>
    <t>Infinite-Bus Fault at Secondary (A)</t>
  </si>
  <si>
    <t>11 Fire / Life Safety (optional)</t>
  </si>
  <si>
    <t>12 Process / Industrial (optional)</t>
  </si>
  <si>
    <t>No</t>
  </si>
  <si>
    <t>PEAK DEMAND PROFILE — BY BILLING CYCLE (ALL METERS)</t>
  </si>
  <si>
    <t>Month</t>
  </si>
  <si>
    <t>Peak Cycle</t>
  </si>
  <si>
    <t>125% Mark (kVA)</t>
  </si>
  <si>
    <t>UTILITY SOURCES  —  SHORT-CIRCUIT</t>
  </si>
  <si>
    <t>Parameter</t>
  </si>
  <si>
    <t>Source 1</t>
  </si>
  <si>
    <t>Source 2</t>
  </si>
  <si>
    <t>Source 3</t>
  </si>
  <si>
    <t>Source 4</t>
  </si>
  <si>
    <t>Source Tag</t>
  </si>
  <si>
    <t>Ownership</t>
  </si>
  <si>
    <t>Available Fault Current at Secondary (A)</t>
  </si>
  <si>
    <t>Fault Duty incl. Bus Ties (A)</t>
  </si>
  <si>
    <t>Boards Served</t>
  </si>
  <si>
    <t>Source Check</t>
  </si>
  <si>
    <t>BUS TIES  —  SPLIT-BUS / MAIN-TIE-MAIN</t>
  </si>
  <si>
    <t>Tie Breaker Tag</t>
  </si>
  <si>
    <t>Bus A</t>
  </si>
  <si>
    <t>Bus B</t>
  </si>
  <si>
    <t>Normal</t>
  </si>
  <si>
    <t>Transfer</t>
  </si>
  <si>
    <t>Sources</t>
  </si>
  <si>
    <t>Fault Duty (A)</t>
  </si>
  <si>
    <t>Combined kVA</t>
  </si>
  <si>
    <t>UTILITY / SERVICE TRANSFORMERS  —  from Dashboard › Utility Sources</t>
  </si>
  <si>
    <t>Dashboard ▸ DESIGN DEFAULTS: branch and feeder conductor material (Cu/Al), termination temperature rating (60/75/90 °C), conduit type. Then UTILITY SOURCES: one column per service transformer (up to four) — tag, provider, kVA, %Z, X/R and the available fault current from each utility letter. Then BUS TIES for split-bus / main-tie-main boards.</t>
  </si>
  <si>
    <t>Command centre. Project information, the system voltage that drives everything, design defaults, live module status, the 13-point design QA panel, the utility sources and bus ties, the engine constants, the equipment registry, and panel load reconciliation.</t>
  </si>
  <si>
    <t>Dashboard configuration: Cfg_Volt (nominal L-L), Cfg_Phase, Cfg_Wires, Cfg_VLN, Cfg_Class, Cfg_BranchMat, Cfg_FeederMat, Cfg_Temp, Cfg_Conduit, Cfg_SCA (Source 1 available fault current). Utility sources: Util_Tags, Util_Owner, Util_KVA, Util_PriV, Util_SecV, Util_Z, Util_XR, Util_SCA, Util_SCAEff (incl. ties), Util_TagList. Bus ties: Tie_Tags, Tie_BusA, Tie_BusB, Tie_Normal, Tie_Transfer, Tie_SrcA, Tie_SrcB, Tie_Par.</t>
  </si>
  <si>
    <t>House / Misc</t>
  </si>
  <si>
    <t>Department / Owner</t>
  </si>
  <si>
    <t>Refrigeration</t>
  </si>
  <si>
    <t>Plumbing</t>
  </si>
  <si>
    <t>Kitchen / Food Service</t>
  </si>
  <si>
    <t>Elevators / Conveying</t>
  </si>
  <si>
    <t>EV Charging</t>
  </si>
  <si>
    <t>Data / IT</t>
  </si>
  <si>
    <t>Site / Exterior</t>
  </si>
  <si>
    <t>Fire / Life Safety</t>
  </si>
  <si>
    <t>Process / Industrial</t>
  </si>
  <si>
    <t>Header: generator type (emergency 700 / legally required 701 / optional 702), fuel, location, ambient and altitude derating. GEN_Loads table (B26:L36): Description, Load Class, Qty, kW each, PF, Start Method, Notes, Unit. The Unit column assigns each load to a generator tag (G-1, G-2 …) from the UNITS table, so one project can size several sets. Or roll loads up automatically from the Load Calc by setting Gen = Y on equipment rows — then assign each to a unit.</t>
  </si>
  <si>
    <t>Header: topology, required runtime, redundancy (N, N+1, 2N), battery type. UPS_Loads table (B26:G34): Description, Qty, kVA each, Notes, Unit. The Unit column assigns each load to a UPS tag (U-1, U-2 …) so several modules can be sized on one project. Or set UPS = Y on Load Calc equipment rows to roll them up, then assign each to a unit.</t>
  </si>
  <si>
    <t>1 Site / Exterior</t>
  </si>
  <si>
    <t>2 House / Misc</t>
  </si>
  <si>
    <t>3 Department / Owner</t>
  </si>
  <si>
    <t>4 Refrigeration (optional)</t>
  </si>
  <si>
    <t>5 Mechanical</t>
  </si>
  <si>
    <t>6 Plumbing</t>
  </si>
  <si>
    <t>7 Kitchen / Food Service (optional)</t>
  </si>
  <si>
    <t>8 Elevators / Conveying (optional)</t>
  </si>
  <si>
    <t>9 EV Charging (optional)</t>
  </si>
  <si>
    <t>10 Data / IT</t>
  </si>
  <si>
    <t>Twelve tables, each 21 columns, with these header rows: LC_Site (43), LC_House (50), LC_Dept (56), LC_Refrig (63), LC_Mech (70), LC_Plumb (77), LC_Kitchen (84), LC_Elev (91), LC_EV (98), LC_Data (105), LC_Fire (112), LC_Process (119). Section order (also the ribbon picker numbering): 1 Site / Exterior, 2 House / Misc, 3 Department / Owner, 4 Refrigeration, 5 Mechanical, 6 Plumbing, 7 Kitchen / Food Service, 8 Elevators / Conveying, 9 EV Charging, 10 Data / IT, 11 Fire / Life Safety, 12 Process / Industrial. Columns: No. (the equipment tag, e.g. RTU-1), Description, Qty, Connection, Disconnect NEMA / Frame (A) / Fuse (A) / Supplied By, Recept Type, Load Value, Unit, Volts, Ph, PF, kVA Each, Total kVA, Dedicated Ckt, Gen, UPS, Panel Tag, Notes.</t>
  </si>
  <si>
    <t>Standby Generator</t>
  </si>
  <si>
    <t>OFF</t>
  </si>
  <si>
    <t>(status only – set by ribbon ▸ New Generator)</t>
  </si>
  <si>
    <t>(status only – set by ribbon ▸ New UPS)</t>
  </si>
  <si>
    <t>Every Load Calc Panel Tag must reconcile to the kVA entered on that panel's schedule, within the tolerance at Dashboard K362.</t>
  </si>
  <si>
    <t>Equip_Registry (Dashboard A100:J349, 250 nodes), Equip_List.</t>
  </si>
  <si>
    <t>What this does: every Panel Tag used anywhere on the Load Calc sheet is listed automatically, and the kVA assigned to it there is compared against the Connected kVA total on that panel's own schedule — catching loads assigned to a panel that were never built into it, and panels carrying loads the calc does not know about. HOW TO USE IT: set Type in column B, then copy the formula text that appears in column G and paste it into column D on the same row; that links the panel's own Connected total back here. A gold cell in column D means the link is not set yet. Status reads OK within the tolerance in K362, or CHECK when the two disagree — a CHECK row is highlighted across its full width. Feeds QA check #13 above.</t>
  </si>
  <si>
    <t>NEC CODE-REFERENCE MAP - every edition-aware citation in the workbook reads this table through NECREF(). Key = 2023 number. Blank cell = same as key.</t>
  </si>
  <si>
    <t>Key (2023)</t>
  </si>
  <si>
    <t>NEC 2020</t>
  </si>
  <si>
    <t>NEC 2023</t>
  </si>
  <si>
    <t>NEC 2026</t>
  </si>
  <si>
    <t>Basis / status</t>
  </si>
  <si>
    <t>Same number in 2020 / 2023 / 2026 per published summaries - verify</t>
  </si>
  <si>
    <t>2026: Art. 220 renumbered to Art. 120, suffix kept (published 2026 summaries) - verify against NFPA 70-2026</t>
  </si>
  <si>
    <t>VERIFY - summaries conflict for 2026 (120.12 vs 120.13); 2023 also split dwelling lighting into 220.41</t>
  </si>
  <si>
    <t>2026 120.87: measured demand x125% + new load MINUS removed load (Load Calc C38 used only when 2026 selected)</t>
  </si>
  <si>
    <t>110.9</t>
  </si>
  <si>
    <t>110.10</t>
  </si>
  <si>
    <t>110.14</t>
  </si>
  <si>
    <t>110.24</t>
  </si>
  <si>
    <t>210.19</t>
  </si>
  <si>
    <t>210.20</t>
  </si>
  <si>
    <t>215.2</t>
  </si>
  <si>
    <t>215.3</t>
  </si>
  <si>
    <t>220</t>
  </si>
  <si>
    <t>120</t>
  </si>
  <si>
    <t>220.12</t>
  </si>
  <si>
    <t>120.12</t>
  </si>
  <si>
    <t>220.14</t>
  </si>
  <si>
    <t>120.14</t>
  </si>
  <si>
    <t>220.42</t>
  </si>
  <si>
    <t>120.42</t>
  </si>
  <si>
    <t>220.44</t>
  </si>
  <si>
    <t>120.44</t>
  </si>
  <si>
    <t>220.56</t>
  </si>
  <si>
    <t>120.56</t>
  </si>
  <si>
    <t>220.87</t>
  </si>
  <si>
    <t>120.87</t>
  </si>
  <si>
    <t>230.2</t>
  </si>
  <si>
    <t>240.4</t>
  </si>
  <si>
    <t>240.6</t>
  </si>
  <si>
    <t>250.28</t>
  </si>
  <si>
    <t>250.66</t>
  </si>
  <si>
    <t>250.102</t>
  </si>
  <si>
    <t>250.122</t>
  </si>
  <si>
    <t>310.16</t>
  </si>
  <si>
    <t>430.24</t>
  </si>
  <si>
    <t>430.32</t>
  </si>
  <si>
    <t>430.248</t>
  </si>
  <si>
    <t>430.250</t>
  </si>
  <si>
    <t>450</t>
  </si>
  <si>
    <t>450.3</t>
  </si>
  <si>
    <t>620.14</t>
  </si>
  <si>
    <t>625</t>
  </si>
  <si>
    <t>NEC Edition</t>
  </si>
  <si>
    <t>230.42</t>
  </si>
  <si>
    <t>PROJECT INFORMATION (B7:B13 labels / C-column values); B14 NEC Edition (2020 / 2023 / 2026, default 2023, name Cfg_NEC) - every code citation on the calculation sheets, templates and Report is a formula that reads NEC_Data CX:DB through NECREF("2023 number"), so choosing 2026 turns 220.87 into 120.87, Article 220 into 120, and so on. Choosing 2026 also enables Load Calc C38 (load being removed, subtracted in the 120.87 renovation check). The 2026 column of the map comes from published summaries - check it against NFPA 70-2026 and edit NEC_Data DA directly; this Instructions tab is written to 2023 numbering. ELECTRICAL SYSTEM: System Voltage dropdown at C37 — this is the single most important input in the workbook. DESIGN DEFAULTS C46:C49 — branch conductor material, feeder conductor material, termination temperature rating (60/75/90), conduit type. CALCULATION MODULES C53:C56 — ON/OFF for breaker sizing (always on), wire sizing, voltage drop, short circuit; C57:C58 — Standby Generator / UPS status (Tog_Gen / Tog_UPS), read-only, set by ribbon ▸ New Generator / New UPS. Neither module is in a project by default: until deployed, the Gen / UPS column in every Load Calc section, the connected-loads block at the foot of the Load Calc and the module tab stay hidden. Pressing the button again offers go to / remove / add another copy; removal is refused while any load is still tagged to it. UTILITY SOURCES C63:F77 — one column per service transformer; row 71 is the available symmetrical RMS fault current from the utility letter, row 74 is the fault duty including bus ties that the Short Circuit study starts from. BUS TIES B82:F85 — tie tag, Bus A, Bus B, normal position and transfer type; the sheet traces each bus to its source, checks that either source can carry both buses, and reports the tie fault duty. Main boards are linked by setting their registry Fed From to a source tag.</t>
  </si>
  <si>
    <t>Source:</t>
  </si>
  <si>
    <t>Service Source</t>
  </si>
  <si>
    <t>Dashboard utility source this logging session measured. Blank = Source 1.</t>
  </si>
  <si>
    <t>From Dashboard ▸ Utility Sources — enter the provider there.</t>
  </si>
  <si>
    <t>SÄZÄN PowerCalc ▸ Existing Demand ▸ Add Meter creates another meter section below.</t>
  </si>
  <si>
    <t>STD BUS RATINGS</t>
  </si>
  <si>
    <t>STD BUS BRACING</t>
  </si>
  <si>
    <t>kA</t>
  </si>
  <si>
    <t>Source: NEMA PB 1 / UL 67 &amp; UL 891 standard bus ampacities; UL 67/891 short-circuit (bracing) ratings. Used by Horiz. Bus Rating and Bus Bracing on panel schedules.</t>
  </si>
  <si>
    <t>Bus bracing — calc. min (kA)</t>
  </si>
  <si>
    <t>Horiz. bus — calc. min (A)</t>
  </si>
  <si>
    <t>Override</t>
  </si>
  <si>
    <t>Subtotal (kVA):</t>
  </si>
  <si>
    <t>FEED-THRU DETAIL (managed by Feed-Through — do not edit)</t>
  </si>
  <si>
    <t>Ph A kVA</t>
  </si>
  <si>
    <t>Ph B kVA</t>
  </si>
  <si>
    <t>Ph C kVA</t>
  </si>
  <si>
    <t>Rcpt conn. kVA</t>
  </si>
  <si>
    <t>Rcpt dem. kVA</t>
  </si>
  <si>
    <t>Receptacle — total conn. incl. feed-thru (kVA)</t>
  </si>
  <si>
    <t>Receptacle — combined demand (kVA)</t>
  </si>
  <si>
    <t>PHASE_A_CELL</t>
  </si>
  <si>
    <t>PHASE_B_CELL</t>
  </si>
  <si>
    <t>PHASE_C_CELL</t>
  </si>
  <si>
    <t>REC_TOT_CELL</t>
  </si>
  <si>
    <t>REC_DEM_CELL</t>
  </si>
  <si>
    <t>AQ38</t>
  </si>
  <si>
    <t>FT_CONN_COL</t>
  </si>
  <si>
    <t>FT_DETAIL_COL</t>
  </si>
  <si>
    <t>AY</t>
  </si>
  <si>
    <t>BS</t>
  </si>
  <si>
    <t>Ckts</t>
  </si>
  <si>
    <t>Placed</t>
  </si>
  <si>
    <t>Not placed (loads)</t>
  </si>
  <si>
    <t>Not placed (kVA)</t>
  </si>
  <si>
    <t>Load Calc loads placed on panels</t>
  </si>
  <si>
    <t>Load Calc ▸ Send to Panel</t>
  </si>
  <si>
    <t>Sub-Panels / Feed-Thru</t>
  </si>
  <si>
    <t>Feeder — parallel sets (750 kcmil max per set)</t>
  </si>
  <si>
    <t>Std device AIC — calc. min (A)</t>
  </si>
  <si>
    <t>Feeder Sets</t>
  </si>
  <si>
    <t>Std AIC (A)</t>
  </si>
  <si>
    <t>FEEDER SUMMARY</t>
  </si>
  <si>
    <t>FAULT SUMMARY</t>
  </si>
  <si>
    <t>STD ATS RATINGS</t>
  </si>
  <si>
    <t>TYP. ATS WCR</t>
  </si>
  <si>
    <t>A (verify)</t>
  </si>
  <si>
    <t>Source: UL 1008 transfer-switch frame ratings (common manufacturer sizes). WCR values are typical 'any breaker' withstand ratings - always verify against the specific manufacturer / protective device. Used by Generator &gt; Transfer Switches.</t>
  </si>
  <si>
    <t>GEN-1</t>
  </si>
  <si>
    <t>X"d (pu)</t>
  </si>
  <si>
    <t>TRANSFER SWITCHES  —  ATS / MTS  (created by ribbon ▸ New Transfer Switch)</t>
  </si>
  <si>
    <t>Poles</t>
  </si>
  <si>
    <t>SE Rated</t>
  </si>
  <si>
    <t>Normal Source</t>
  </si>
  <si>
    <t>Emergency Source</t>
  </si>
  <si>
    <t>Load Side</t>
  </si>
  <si>
    <t>Gen Running kVA</t>
  </si>
  <si>
    <t>Calc Rating (A)</t>
  </si>
  <si>
    <t>Rating Override</t>
  </si>
  <si>
    <t>RATING (A)</t>
  </si>
  <si>
    <t>Typ. WCR (A)</t>
  </si>
  <si>
    <t>WCR Override</t>
  </si>
  <si>
    <t>WCR Used (A)</t>
  </si>
  <si>
    <t>Fault at ATS (A)</t>
  </si>
  <si>
    <t>WCR Check</t>
  </si>
  <si>
    <t>Alt Source</t>
  </si>
  <si>
    <t>UPS SYSTEMS  —  DISTRIBUTION  (created by ribbon ▸ New UPS System)</t>
  </si>
  <si>
    <t>Tag (UPS unit)</t>
  </si>
  <si>
    <t>Input From</t>
  </si>
  <si>
    <t>Output Board</t>
  </si>
  <si>
    <t>Output Load (kVA)</t>
  </si>
  <si>
    <t>Unit Sized (kVA)</t>
  </si>
  <si>
    <t>Calc Rating (kVA)</t>
  </si>
  <si>
    <t>Rating Override (kVA)</t>
  </si>
  <si>
    <t>RATING (kVA)</t>
  </si>
  <si>
    <t>Output FLA (A)</t>
  </si>
  <si>
    <t>Efficiency</t>
  </si>
  <si>
    <t>Recharge Allow.</t>
  </si>
  <si>
    <t>Input kVA</t>
  </si>
  <si>
    <t>Input A</t>
  </si>
  <si>
    <t>Input OCPD (A)</t>
  </si>
  <si>
    <t>Output OCPD (A)</t>
  </si>
  <si>
    <t>Inverter Fault (× FLA)</t>
  </si>
  <si>
    <t>Inverter Fault (A)</t>
  </si>
  <si>
    <t>SCCR Override (A)</t>
  </si>
  <si>
    <t>SCCR Used (A)</t>
  </si>
  <si>
    <t>Fault at UPS (A)</t>
  </si>
  <si>
    <t>SCCR Check</t>
  </si>
  <si>
    <t>Typ. UPS SCCR (A)</t>
  </si>
  <si>
    <t>UPS-1</t>
  </si>
  <si>
    <t>UPS System</t>
  </si>
  <si>
    <t>Bypass: with a static / maintenance bypass the upstream fault passes through to the output; with None the output fault is limited to the inverter (× FLA). Typical SCCR and inverter limits — verify with the UPS manufacturer.</t>
  </si>
  <si>
    <t>Rows are added automatically by SÄZÄN PowerCalc ▸ Refresh Studies.</t>
  </si>
  <si>
    <t>Ribbon ▸ Panel Schedules ▸ Distribution Map. Select a board, set Fed from, Feed type (Sub-Feed / Feed-Through / Tap) and circuit, then Apply to schedules. Child demand rolls up to the parent, and the parent's fault current propagates down. Crossing a voltage boundary automatically adds and sizes a transformer.</t>
  </si>
  <si>
    <t>Ribbon ▸ Studies ▸ Refresh Studies. One click does both halves now — it rebuilds Arc Flash and then recalculates the Feeder Schedule. Short Circuit and Voltage Drop need no rebuild at all; they derive themselves from the registry the moment a device appears. Enter the per-bus arc-flash inputs, then run it again.</t>
  </si>
  <si>
    <t>Dashboard ▸ DESIGN QA reads 13 checks. Clear every ✘ and review every ⚠. Then Ribbon ▸ Reports ▸ New Report for the printable summary, and save as .xlsx.</t>
  </si>
  <si>
    <t>Ribbon ▸ Reports ▸ New Report, then print or Save as PDF. This is the sheet to attach to a basis-of-design narrative or a utility service application.</t>
  </si>
  <si>
    <t>Main/Bus — calc. min (A)</t>
  </si>
  <si>
    <t>Panel Conn. kVA</t>
  </si>
  <si>
    <t>Rating Ovr (A)</t>
  </si>
  <si>
    <t>Rating (A)</t>
  </si>
  <si>
    <t>Demand (A)</t>
  </si>
  <si>
    <t>CONTENTS</t>
  </si>
  <si>
    <t>CHAPTER 01 · GETTING STARTED</t>
  </si>
  <si>
    <t>How the tool is built, installing it, a ten-step quick start and the colour / cell conventions used on every sheet.</t>
  </si>
  <si>
    <t>What this is, and how it is built</t>
  </si>
  <si>
    <t>Install and first-time setup</t>
  </si>
  <si>
    <t>Quick start — a project in ten steps</t>
  </si>
  <si>
    <t>Cell conventions — colour, type and layout</t>
  </si>
  <si>
    <t>The ribbon at a glance</t>
  </si>
  <si>
    <t>SÄZÄN PowerCalc. Groups left to right: SETUP (Project, Load Calc, Existing Demand) · DISTRIBUTION (Panel Schedules, Transformers, Backup Power) · STUDIES (Feeders, Voltage Drop, Short Circuit) · SAFETY &amp; REVIEW (Arc Flash, Studies) · OUTPUT (Reports) · MAP (Distribution Map) · HELP (Instructions). Each section is one large button with a dropdown of its commands; this manual has one chapter per section, in the same order.</t>
  </si>
  <si>
    <t>New … / Go To …</t>
  </si>
  <si>
    <t>"New …" creates the module if it is missing and then opens it; "Go To …" only navigates.</t>
  </si>
  <si>
    <t>CHAPTER 02 · PROJECT</t>
  </si>
  <si>
    <t>Ribbon ▸ Setup ▸ Project. The project shell, the Dashboard and its Design QA panel.</t>
  </si>
  <si>
    <t>Ribbon ▸ Project</t>
  </si>
  <si>
    <t>Module — Project Dashboard</t>
  </si>
  <si>
    <t>The Design QA panel</t>
  </si>
  <si>
    <t>CHAPTER 03 · LOAD CALC</t>
  </si>
  <si>
    <t>Ribbon ▸ Setup ▸ Load Calc. Building loads, sections, and sending loads to the panel schedules.</t>
  </si>
  <si>
    <t>Ribbon ▸ Load Calc</t>
  </si>
  <si>
    <t>Add Row</t>
  </si>
  <si>
    <t>Adds one row to the Load Calc section your cursor is in, keeping the section formatting.</t>
  </si>
  <si>
    <t>Trim Empty Rows</t>
  </si>
  <si>
    <t>Removes empty rows from the bottom of the Load Calc section your cursor is in.</t>
  </si>
  <si>
    <t>Add / Remove Section</t>
  </si>
  <si>
    <t>Load Calc: adds or removes an optional section (Refrigeration, Kitchen, Elevators, EV, Fire, Process). Logging Demand: adds or removes the interval-data blocks and load duration curve.</t>
  </si>
  <si>
    <t>Send to Panel</t>
  </si>
  <si>
    <t>Places the selected Load Calc rows on a panel, switchboard or MCC at the circuit you choose, as live links. Ckts / Placed / Status track what has been moved.</t>
  </si>
  <si>
    <t>Refresh Placement</t>
  </si>
  <si>
    <t>Rescans every schedule and updates the Ckts / Placed / Status columns on Load Calc (picks up circuits cleared or moved on a panel).</t>
  </si>
  <si>
    <t>Send to Panel — branch length</t>
  </si>
  <si>
    <t>The Send to Panel dialog has an optional Branch circuit length (ft). It is written to Length Ft on every circuit placed so the schedule's VD % works straight away. Length Ft stays a manual entry on the schedule, even on rows linked from the Load Calc (those are otherwise locked).</t>
  </si>
  <si>
    <t>Module — Load Calc</t>
  </si>
  <si>
    <t>Adding and removing rows</t>
  </si>
  <si>
    <t>CHAPTER 04 · EXISTING DEMAND</t>
  </si>
  <si>
    <t>Ribbon ▸ Setup ▸ Existing Demand. NEC 220.87 from utility bills or a 30-day logging study.</t>
  </si>
  <si>
    <t>Ribbon ▸ Existing Demand</t>
  </si>
  <si>
    <t>Module — 12-month utility bills</t>
  </si>
  <si>
    <t>Module — 30-day logging</t>
  </si>
  <si>
    <t>CHAPTER 05 · PANEL SCHEDULES</t>
  </si>
  <si>
    <t>Ribbon ▸ Distribution ▸ Panel Schedules. Switchboards, MCCs and panelboards; linking is done in the Distribution Map (chapter 14).</t>
  </si>
  <si>
    <t>Ribbon ▸ Panel Schedules</t>
  </si>
  <si>
    <t>Move Circuit</t>
  </si>
  <si>
    <t>Moves the selected circuit (sub-feed, Load Calc load or manual entry) to the circuit number you choose, or swaps two circuits. Linked rows stay locked; registry and Load Calc tracking follow.</t>
  </si>
  <si>
    <t>Shows or hides Length / VD % / Wire columns on the active schedule</t>
  </si>
  <si>
    <t>Toggle Circuit Entry Dashboard</t>
  </si>
  <si>
    <t>Shows or hides the Circuit Entry Dashboard (classification columns) on the active schedule</t>
  </si>
  <si>
    <t>Repair Schedule</t>
  </si>
  <si>
    <t>Restore damaged cells and re-derive the grid map on the active schedule</t>
  </si>
  <si>
    <t>Overrides and manual entries on every schedule</t>
  </si>
  <si>
    <t>Main/Bus Rating override (E12)</t>
  </si>
  <si>
    <t>Blank = calculated: the next standard size at or above the demand amps, 100 A minimum. Pick a larger size (e.g. 1600 A on a board with 100 A connected) to design the board beyond its load. The override carries through to Horiz. Bus, the board's feeder on the Feeder Schedule (Req. Amp, OCPD, conductor, sets) and the kVA of the transformer serving the board, and shows as "ovr" on the Distribution Map. Shown red if below the calculated minimum. Boards made from an older template gain the box on the next refresh.</t>
  </si>
  <si>
    <t>Std Device AIC override (E13)</t>
  </si>
  <si>
    <t>Blank = calculated from the study and the 10 kA (below 380 V) / 14 kA floor. A value here is used by Short Circuit as the device AIC.</t>
  </si>
  <si>
    <t>Bus Bracing / Horiz. Bus overrides (E21 / E22)</t>
  </si>
  <si>
    <t>Blank = calculated (next standard bracing at or above the worst bus fault; next standard bus at or above the Main/Bus rating). Red if below the calculated value.</t>
  </si>
  <si>
    <t>Length Ft (circuit rows)</t>
  </si>
  <si>
    <t>Manual entry on every circuit row, including rows linked from the Load Calc. Drives the branch VD % column. Send to Panel can fill it in.</t>
  </si>
  <si>
    <t>Feeder Length (ft) (D20)</t>
  </si>
  <si>
    <t>The board's own feeder length, used for the board's fault at bus and feeder voltage drop on the schedule. The Feeder Schedule has its own Length column for the feeder study.</t>
  </si>
  <si>
    <t>Module — Panel schedules</t>
  </si>
  <si>
    <t>Linking equipment and transformers</t>
  </si>
  <si>
    <t>CHAPTER 06 · TRANSFORMERS</t>
  </si>
  <si>
    <t>Ribbon ▸ Distribution ▸ Transformers. Rows derive themselves wherever a feed changes voltage.</t>
  </si>
  <si>
    <t>Ribbon ▸ Transformers</t>
  </si>
  <si>
    <t>Module — Transformers</t>
  </si>
  <si>
    <t>CHAPTER 07 · BACKUP POWER</t>
  </si>
  <si>
    <t>Ribbon ▸ Distribution ▸ Backup Power. Generators, transfer switches and UPS systems.</t>
  </si>
  <si>
    <t>Ribbon ▸ Backup Power</t>
  </si>
  <si>
    <t>New Transfer Switch</t>
  </si>
  <si>
    <t>Create or remove an ATS / MTS between the normal source and a board, with the generator as its emergency source. Rated and WCR-checked automatically</t>
  </si>
  <si>
    <t>New UPS System</t>
  </si>
  <si>
    <t>Place a UPS unit between its input board and the critical board it feeds, or take it out. Rating, input / output OCPD, bypass and SCCR size themselves on the UPS sheet.</t>
  </si>
  <si>
    <t>How backup equipment sits in the distribution</t>
  </si>
  <si>
    <t>Own nodes, never a replacement</t>
  </si>
  <si>
    <t>A generator, transfer switch or UPS gets its own registry row and its own Distribution Map node. It is inserted between the board that feeds it and the board it serves; no other board is renamed or replaced.</t>
  </si>
  <si>
    <t>New UPS System dialog</t>
  </si>
  <si>
    <t>Output (critical) board · Input from (default: the output board's present breaker; pick another board to feed the UPS from a new breaker there) · UPS input voltage · Internal transformer (Yes = the UPS converts its input voltage to the output board voltage) · If the input board voltage differs: create a transformer ahead of the UPS (T-&lt;UPS&gt;, added to the Transformers schedule and the map) or stop · Bypass.</t>
  </si>
  <si>
    <t>UPS rating / SCCR overrides</t>
  </si>
  <si>
    <t>Set on UPS ▸ UPS SYSTEMS: column K Rating Override (kVA) and column V SCCR Override (A). Blank = calculated.</t>
  </si>
  <si>
    <t>Transfer switch overrides</t>
  </si>
  <si>
    <t>Rating and WCR overrides are in the New Transfer Switch dialog and on Generator ▸ TRANSFER SWITCHES.</t>
  </si>
  <si>
    <t>Module — Generator</t>
  </si>
  <si>
    <t>Module — UPS</t>
  </si>
  <si>
    <t>CHAPTER 08 · FEEDERS</t>
  </si>
  <si>
    <t>Ribbon ▸ Studies ▸ Feeders. One derived row per feeder: conductor, conduit, OCPD and EGC.</t>
  </si>
  <si>
    <t>Ribbon ▸ Feeders</t>
  </si>
  <si>
    <t>Recalculate and validate the Feeder Schedule — it derives its own rows from the equipment registry.</t>
  </si>
  <si>
    <t>Module — Feeder Schedule</t>
  </si>
  <si>
    <t>CHAPTER 09 · VOLTAGE DROP</t>
  </si>
  <si>
    <t>Ribbon ▸ Studies ▸ Voltage Drop. Run and cumulative %VD per bus.</t>
  </si>
  <si>
    <t>Ribbon ▸ Voltage Drop</t>
  </si>
  <si>
    <t>Refresh Voltage Drop</t>
  </si>
  <si>
    <t>Recalculates Voltage Drop, opens it and lists every bus over the feeder or total limit and every bus still missing feeder data.</t>
  </si>
  <si>
    <t>Module — Voltage Drop</t>
  </si>
  <si>
    <t>CHAPTER 10 · SHORT CIRCUIT</t>
  </si>
  <si>
    <t>Ribbon ▸ Studies ▸ Short Circuit. Available fault current and AIC adequacy at every bus.</t>
  </si>
  <si>
    <t>Ribbon ▸ Short Circuit</t>
  </si>
  <si>
    <t>Refresh Short Circuit</t>
  </si>
  <si>
    <t>Re-links each board's Std AIC, rating and demand into the registry, recalculates Short Circuit, opens it and lists every bus that fails or is unresolved. Run Refresh Arc Flash afterwards.</t>
  </si>
  <si>
    <t>Module — Short Circuit</t>
  </si>
  <si>
    <t>CHAPTER 11 · ARC FLASH</t>
  </si>
  <si>
    <t>Ribbon ▸ Safety &amp; Review ▸ Arc Flash. IEEE 1584 incident energy and PPE category per bus.</t>
  </si>
  <si>
    <t>Ribbon ▸ Arc Flash</t>
  </si>
  <si>
    <t>Refresh Arc Flash</t>
  </si>
  <si>
    <t>Rebuilds the Arc Flash table from the Short Circuit bus list, one row per bus, keeping your per-bus inputs (class, gap, working distance, clearing times). Same rebuild as Refresh Studies.</t>
  </si>
  <si>
    <t>Module — Arc Flash</t>
  </si>
  <si>
    <t>CHAPTER 12 · STUDIES</t>
  </si>
  <si>
    <t>Ribbon ▸ Safety &amp; Review ▸ Studies. The combined read-only study view and the full refresh.</t>
  </si>
  <si>
    <t>Ribbon ▸ Studies</t>
  </si>
  <si>
    <t>Go To Combined Studies — the read-only view joining Feeder Schedule, Short Circuit and Voltage Drop by bus.</t>
  </si>
  <si>
    <t>Rebuild the Arc Flash bus table — Short Circuit and Voltage Drop derive themselves and are not modified.</t>
  </si>
  <si>
    <t>Refreshing the studies</t>
  </si>
  <si>
    <t>Per-study refresh</t>
  </si>
  <si>
    <t>Refresh Feeders, Refresh Voltage Drop, Refresh Short Circuit and Refresh Arc Flash each run one study on its own and report its flags. Suggested order after a change: Feeders → Voltage Drop → Short Circuit → Arc Flash.</t>
  </si>
  <si>
    <t>CHAPTER 13 · REPORTS</t>
  </si>
  <si>
    <t>Ribbon ▸ Output ▸ Reports.</t>
  </si>
  <si>
    <t>Ribbon ▸ Reports</t>
  </si>
  <si>
    <t>Module — Report</t>
  </si>
  <si>
    <t>CHAPTER 14 · DISTRIBUTION MAP</t>
  </si>
  <si>
    <t>Ribbon ▸ Map ▸ Distribution Map (large button). The one-line tree of the whole project in a task pane.</t>
  </si>
  <si>
    <t>Using the map</t>
  </si>
  <si>
    <t>Click Distribution Map on the ribbon. The pane docks on the right; drag its edge to resize or drag it out to float.</t>
  </si>
  <si>
    <t>What each line shows</t>
  </si>
  <si>
    <t>Boards: Main/Bus rating and demand amps with % of rating ("ovr" when the rating is overridden). Transformers: standard kVA and load kVA. UPS and transfer switches: their rating. Utility sources: kVA.</t>
  </si>
  <si>
    <t>Derived nodes</t>
  </si>
  <si>
    <t>T-&lt;tag&gt; transformers and ⇄ emergency feeds are drawn from the registry automatically. Edit the board below them, not the derived node.</t>
  </si>
  <si>
    <t>Selected equipment</t>
  </si>
  <si>
    <t>Pick a node to see its type, demand, downstream load and status, and to change Fed from, Feed type (Sub-Feed / Feed-Through / Tap), Fed from ckt #, Mains and Spaces. Apply runs the same link engine as the ribbon commands. Rename and Repair are here too.</t>
  </si>
  <si>
    <t>Refresh</t>
  </si>
  <si>
    <t>Re-reads the registry and refreshes each board's rating / demand links. Use it after editing a schedule outside the map.</t>
  </si>
  <si>
    <t>Status flags</t>
  </si>
  <si>
    <t>✔ OK · ⚠ Parent not in registry · ⚠ Feed type not set · ⚠ Circular feed. A flag means the registry row needs attention, not the schedule.</t>
  </si>
  <si>
    <t>CHAPTER 15 · REFERENCE &amp; TROUBLESHOOTING</t>
  </si>
  <si>
    <t>How the engine works, rules, troubleshooting, the code basis and the appendices.</t>
  </si>
  <si>
    <t>How the engine works</t>
  </si>
  <si>
    <t>Rules — please read</t>
  </si>
  <si>
    <t>Troubleshooting</t>
  </si>
  <si>
    <t>Back of house — do not edit</t>
  </si>
  <si>
    <t>Code and standards basis</t>
  </si>
  <si>
    <t>Appendix A · DEVICE TEMPLATE CELL MAP (GEO_MAP)</t>
  </si>
  <si>
    <t>Appendix B · DEFINED NAME INDEX</t>
  </si>
  <si>
    <t>Appendix C · LEGACY — THE VBA MASTER  (.xlsm / .xlam)</t>
  </si>
  <si>
    <t>Reports</t>
  </si>
  <si>
    <t>Distribution Map</t>
  </si>
  <si>
    <t>Reference &amp; Troubleshooting</t>
  </si>
  <si>
    <t>Getting Started</t>
  </si>
  <si>
    <t>Project</t>
  </si>
  <si>
    <t>Feeders</t>
  </si>
  <si>
    <t>Version 2.10  ·  SÄZÄN PowerCalc add-in  ·  One chapter per ribbon section, in ribbon order. Ribbon ▸ Help ▸ Instructions jumps to any chapter; the CONTENTS links below do the same.</t>
  </si>
  <si>
    <t>01</t>
  </si>
  <si>
    <t>02</t>
  </si>
  <si>
    <t>03</t>
  </si>
  <si>
    <t>04</t>
  </si>
  <si>
    <t>05</t>
  </si>
  <si>
    <t>06</t>
  </si>
  <si>
    <t>07</t>
  </si>
  <si>
    <t>08</t>
  </si>
  <si>
    <t>09</t>
  </si>
  <si>
    <t>11</t>
  </si>
  <si>
    <t>13</t>
  </si>
  <si>
    <t>15</t>
  </si>
  <si>
    <t>Out Voltage</t>
  </si>
  <si>
    <t>Xfmr Pri. Length (ft)</t>
  </si>
  <si>
    <t>Emerg. Feeder Length (ft)</t>
  </si>
  <si>
    <t>Feeder Material</t>
  </si>
  <si>
    <t>Existing Feeder?</t>
  </si>
  <si>
    <t>Reg. key</t>
  </si>
  <si>
    <t>Feed role</t>
  </si>
  <si>
    <t>H10</t>
  </si>
  <si>
    <t>H19</t>
  </si>
  <si>
    <t>H20</t>
  </si>
  <si>
    <t>H21</t>
  </si>
  <si>
    <t>Metered Board:</t>
  </si>
  <si>
    <t>Board this meter measures — its 125% load lands on that board and rolls up the tree. Blank = service board.</t>
  </si>
  <si>
    <t>Metered Board</t>
  </si>
  <si>
    <t>K16</t>
  </si>
  <si>
    <t>Sizing Basis (ATS &amp; Gen)</t>
  </si>
  <si>
    <t>Calculated Demand</t>
  </si>
  <si>
    <t>Basis Override</t>
  </si>
  <si>
    <t>Load kVA (basis)</t>
  </si>
  <si>
    <t>Design A</t>
  </si>
  <si>
    <t>Rating basis (L6, per-switch override in V): CALCULATED DEMAND = next UL 1008 frame ≥ 1.25 × the larger of the load-side NEC 220 demand and the generator unit's running kVA; the generator carries that demand × Design Margin (NEC 702.4(B)(2)(a) full load transferred). EQUIPMENT RATING = the switch is rated at least the load-side board's main/bus rating (registry Rating A) and the generator carries the full rated kVA (V × A × √3), no margin. WCR values are typical — confirm with the manufacturer. Fault at ATS = worst of the normal (utility) path and the generator's own contribution (kVA / X"d).</t>
  </si>
  <si>
    <t>Auto-derived from the Equipment Registry: every device with a Fed From generates one feeder, and any feed where the voltage changes generates TWO — parent to transformer primary, then transformer secondary to the device. Sizing runs load → design amps → ×1.25 where continuous → next standard OCPD. That OCPD is the Feeder Code in column A (an N suffix is added automatically when the system carries a neutral), and the code drives Sets, Conductor, Conduit Size and Ground straight from the office standard schedule. Where a run is too long, conductors are upsized to the next code in the same neutral family until voltage drop is within the limit set on Dashboard — %VD @ Std and %VD Final show the before and after, and Status names the code borrowed from. The OCPD itself never changes. Set EXIST? to Y for an existing feeder to remain: the lookups are bypassed, the code reads EXIST, and you record what is actually installed in the grouped Override columns to the right. Those overrides work on any row, not just EXIST ones, and Status flags whenever one is in use. Length, Material, Conduit Type and EXIST? are set in the Distribution Map and stored by tag on the registry (Dashboard R:W), so they cannot drift onto another feeder; a blank Material or Conduit inherits the project default (Dashboard C48 / C50). Enter only Cont.?, Notes and the overrides here. Everything else is derived and locked. Transformer primary and secondary feeders are sized on the transformer's standard kVA rating, not the downstream load, and always at 125% per 450.3(B) whether or not Cont.? is set — so they match the OCPD selected on the Transformer Schedule. Requires Microsoft 365 or Excel for the web.</t>
  </si>
  <si>
    <t>AQ27</t>
  </si>
  <si>
    <t>AQ29</t>
  </si>
  <si>
    <t>K29:K48</t>
  </si>
  <si>
    <t>AQ39</t>
  </si>
  <si>
    <t>K29:K112</t>
  </si>
  <si>
    <t>BH31</t>
  </si>
  <si>
    <t>BH33</t>
  </si>
  <si>
    <t>K33:K52</t>
  </si>
  <si>
    <t>BH42</t>
  </si>
  <si>
    <t>BH43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</si>
</sst>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0&quot; V&quot;"/>
    <numFmt numFmtId="165" formatCode="0&quot;Ø&quot;"/>
    <numFmt numFmtId="166" formatCode="0&quot;W&quot;"/>
    <numFmt numFmtId="167" formatCode="0&quot;°C&quot;"/>
    <numFmt numFmtId="168" formatCode="#,##0&quot; A&quot;"/>
    <numFmt numFmtId="169" formatCode="mm/dd/yyyy"/>
    <numFmt numFmtId="170" formatCode="0.000"/>
    <numFmt numFmtId="171" formatCode="#,##0.00;\(#,##0.00\);\-"/>
    <numFmt numFmtId="172" formatCode="0.00\ \k\V\A"/>
    <numFmt numFmtId="173" formatCode="0.00\ \A"/>
    <numFmt numFmtId="174" formatCode="0\ \A"/>
    <numFmt numFmtId="175" formatCode="0.0000"/>
    <numFmt numFmtId="176" formatCode="yyyy\-mm\-dd\ hh:mm"/>
    <numFmt numFmtId="177" formatCode="yyyy\-mm\-dd"/>
    <numFmt numFmtId="178" formatCode="[$-F400]h:mm:ss\ AM/PM"/>
    <numFmt numFmtId="179" formatCode="#,##0;;\-"/>
    <numFmt numFmtId="180" formatCode="#,##0;\(#,##0\);\-"/>
    <numFmt numFmtId="181" formatCode="0.00%;;\-"/>
    <numFmt numFmtId="182" formatCode="#,##0.00&quot; A&quot;"/>
    <numFmt numFmtId="183" formatCode="#,##0\ &quot;V&quot;"/>
    <numFmt numFmtId="184" formatCode="0.00&quot;%&quot;"/>
    <numFmt numFmtId="185" formatCode="#,##0.00;\(#,##0.00\);&quot;-&quot;"/>
    <numFmt numFmtId="186" formatCode="#,##0.0;\(#,##0.0\);\-"/>
    <numFmt numFmtId="187" formatCode="#,##0\ &quot;kVA&quot;"/>
    <numFmt numFmtId="188" formatCode="#,##0\ &quot;A&quot;"/>
    <numFmt numFmtId="189" formatCode="#,##0.0\ &quot;kVA&quot;"/>
    <numFmt numFmtId="190" formatCode="#,##0.0"/>
    <numFmt numFmtId="191" formatCode="0.0%"/>
    <numFmt numFmtId="192" formatCode="0;\-0;"/>
    <numFmt numFmtId="193" formatCode="0.0&quot;×&quot;"/>
    <numFmt numFmtId="194" formatCode="0.00&quot;×&quot;"/>
  </numFmts>
  <fonts count="104" x14ac:knownFonts="1">
    <font>
      <sz val="11"/>
      <color theme="1"/>
      <name val="Aptos Narrow"/>
      <family val="2"/>
      <scheme val="minor"/>
    </font>
    <font>
      <b/>
      <sz val="11"/>
      <color theme="1"/>
      <name val="Aptos Narrow"/>
      <family val="2"/>
      <scheme val="minor"/>
    </font>
    <font>
      <sz val="10"/>
      <color theme="1"/>
      <name val="Segoe UI"/>
      <family val="2"/>
    </font>
    <font>
      <b/>
      <sz val="14"/>
      <color rgb="FFFFFFFF"/>
      <name val="Aptos Narrow"/>
      <family val="2"/>
      <scheme val="minor"/>
    </font>
    <font>
      <i/>
      <sz val="10"/>
      <color rgb="FFC00000"/>
      <name val="Aptos Narrow"/>
      <family val="2"/>
      <scheme val="minor"/>
    </font>
    <font>
      <b/>
      <sz val="11"/>
      <color rgb="FFFFFFFF"/>
      <name val="Aptos Narrow"/>
      <family val="2"/>
      <scheme val="minor"/>
    </font>
    <font>
      <b/>
      <sz val="9"/>
      <color indexed="81"/>
      <name val="Tahoma"/>
      <family val="2"/>
    </font>
    <font>
      <sz val="11"/>
      <color theme="1"/>
      <name val="Segoe UI"/>
      <family val="2"/>
    </font>
    <font>
      <b/>
      <sz val="11"/>
      <color rgb="FFFFFFFF"/>
      <name val="Segoe UI"/>
      <family val="2"/>
    </font>
    <font>
      <sz val="11"/>
      <color rgb="FFFF0000"/>
      <name val="Segoe UI"/>
      <family val="2"/>
    </font>
    <font>
      <b/>
      <sz val="10"/>
      <color rgb="FFFFFFFF"/>
      <name val="Segoe UI"/>
      <family val="2"/>
    </font>
    <font>
      <b/>
      <sz val="10"/>
      <color theme="1"/>
      <name val="Segoe UI"/>
      <family val="2"/>
    </font>
    <font>
      <sz val="10"/>
      <color rgb="FF0000FF"/>
      <name val="Segoe UI"/>
      <family val="2"/>
    </font>
    <font>
      <sz val="10"/>
      <color rgb="FFFF0000"/>
      <name val="Segoe UI"/>
      <family val="2"/>
    </font>
    <font>
      <i/>
      <sz val="8"/>
      <color rgb="FFC00000"/>
      <name val="Aptos Narrow"/>
      <family val="2"/>
      <scheme val="minor"/>
    </font>
    <font>
      <sz val="10"/>
      <color rgb="FF7E868C"/>
      <name val="Segoe UI"/>
      <family val="2"/>
    </font>
    <font>
      <sz val="10"/>
      <color rgb="FFFFFFFF"/>
      <name val="Segoe UI"/>
      <family val="2"/>
    </font>
    <font>
      <i/>
      <sz val="10"/>
      <color rgb="FFCA7F39"/>
      <name val="Segoe UI"/>
      <family val="2"/>
    </font>
    <font>
      <sz val="14"/>
      <color rgb="FFFFFFFF"/>
      <name val="Segoe UI"/>
      <family val="2"/>
    </font>
    <font>
      <sz val="16"/>
      <color rgb="FFFFFFFF"/>
      <name val="Segoe UI"/>
      <family val="2"/>
    </font>
    <font>
      <sz val="14"/>
      <color theme="1"/>
      <name val="Segoe UI"/>
      <family val="2"/>
    </font>
    <font>
      <i/>
      <sz val="10"/>
      <name val="Segoe UI"/>
      <family val="2"/>
    </font>
    <font>
      <sz val="10"/>
      <name val="Segoe UI"/>
      <family val="2"/>
    </font>
    <font>
      <b/>
      <sz val="10"/>
      <color rgb="FFFF0000"/>
      <name val="Segoe UI"/>
      <family val="2"/>
    </font>
    <font>
      <sz val="10"/>
      <color rgb="FF000000"/>
      <name val="Segoe UI"/>
      <family val="2"/>
    </font>
    <font>
      <sz val="10"/>
      <color rgb="FF606262"/>
      <name val="Segoe UI"/>
      <family val="2"/>
    </font>
    <font>
      <b/>
      <sz val="16"/>
      <color rgb="FFFFFFFF"/>
      <name val="Segoe UI"/>
      <family val="2"/>
    </font>
    <font>
      <i/>
      <sz val="10"/>
      <color rgb="FFFF0000"/>
      <name val="Segoe UI"/>
      <family val="2"/>
    </font>
    <font>
      <sz val="11"/>
      <name val="Segoe UI"/>
      <family val="2"/>
    </font>
    <font>
      <i/>
      <sz val="9"/>
      <color rgb="FFFF0000"/>
      <name val="Segoe UI"/>
      <family val="2"/>
    </font>
    <font>
      <i/>
      <sz val="9"/>
      <color rgb="FFFFFFFF"/>
      <name val="Segoe UI"/>
      <family val="2"/>
    </font>
    <font>
      <sz val="8"/>
      <color rgb="FFFFFFFF"/>
      <name val="Segoe UI"/>
      <family val="2"/>
    </font>
    <font>
      <i/>
      <sz val="9"/>
      <name val="Segoe UI"/>
      <family val="2"/>
    </font>
    <font>
      <sz val="11"/>
      <name val="Aptos Narrow"/>
      <family val="2"/>
      <scheme val="minor"/>
    </font>
    <font>
      <i/>
      <sz val="10"/>
      <color theme="1"/>
      <name val="Segoe UI"/>
      <family val="2"/>
    </font>
    <font>
      <b/>
      <i/>
      <sz val="10"/>
      <color rgb="FFFF0000"/>
      <name val="Segoe UI"/>
      <family val="2"/>
    </font>
    <font>
      <b/>
      <sz val="9"/>
      <color theme="1"/>
      <name val="Segoe UI"/>
      <family val="2"/>
    </font>
    <font>
      <i/>
      <sz val="10"/>
      <color rgb="FFFFFFFF"/>
      <name val="Segoe UI"/>
      <family val="2"/>
    </font>
    <font>
      <sz val="12"/>
      <color rgb="FFFFFFFF"/>
      <name val="Segoe UI"/>
      <family val="2"/>
    </font>
    <font>
      <i/>
      <sz val="9"/>
      <color theme="1"/>
      <name val="Segoe UI"/>
      <family val="2"/>
    </font>
    <font>
      <b/>
      <sz val="10"/>
      <color rgb="FF000000"/>
      <name val="Segoe UI"/>
      <family val="2"/>
    </font>
    <font>
      <b/>
      <sz val="14"/>
      <color rgb="FFFFFFFF"/>
      <name val="Segoe UI"/>
      <family val="2"/>
    </font>
    <font>
      <sz val="11"/>
      <color theme="1"/>
      <name val="Aptos Narrow"/>
      <family val="2"/>
      <scheme val="minor"/>
    </font>
    <font>
      <sz val="11"/>
      <color rgb="FFFFFFFF"/>
      <name val="Segoe UI"/>
      <family val="2"/>
    </font>
    <font>
      <sz val="8"/>
      <name val="Aptos Narrow"/>
      <family val="2"/>
      <scheme val="minor"/>
    </font>
    <font>
      <sz val="16"/>
      <color theme="0"/>
      <name val="Segoe UI"/>
      <family val="2"/>
    </font>
    <font>
      <sz val="14"/>
      <color theme="0"/>
      <name val="Segoe UI"/>
      <family val="2"/>
    </font>
    <font>
      <i/>
      <sz val="10"/>
      <color rgb="FF000000"/>
      <name val="Segoe UI"/>
      <family val="2"/>
    </font>
    <font>
      <i/>
      <sz val="10"/>
      <color rgb="FF606262"/>
      <name val="Segoe UI"/>
      <family val="2"/>
    </font>
    <font>
      <sz val="10"/>
      <color rgb="FF000000"/>
      <name val="Segoe UI"/>
      <family val="2"/>
    </font>
    <font>
      <sz val="10"/>
      <color rgb="FFFF0000"/>
      <name val="Segoe UI"/>
      <family val="2"/>
    </font>
    <font>
      <b/>
      <sz val="10"/>
      <name val="Segoe UI"/>
      <family val="2"/>
    </font>
    <font>
      <sz val="10"/>
      <color rgb="FF0000FF"/>
      <name val="Segoe UI"/>
      <family val="2"/>
    </font>
    <font>
      <i/>
      <sz val="10"/>
      <color rgb="FF7E868C"/>
      <name val="Segoe UI"/>
      <family val="2"/>
    </font>
    <font>
      <sz val="10"/>
      <name val="Aptos Narrow"/>
      <family val="2"/>
      <scheme val="minor"/>
    </font>
    <font>
      <sz val="14"/>
      <color rgb="FFFFFFFF"/>
      <name val="Segoe UI"/>
      <family val="2"/>
    </font>
    <font>
      <sz val="10"/>
      <color theme="1"/>
      <name val="Segoe UI"/>
      <family val="2"/>
    </font>
    <font>
      <i/>
      <sz val="10"/>
      <color theme="1"/>
      <name val="Segoe UI"/>
      <family val="2"/>
    </font>
    <font>
      <b/>
      <sz val="11"/>
      <color rgb="FFFFFFFF"/>
      <name val="Segoe UI"/>
      <family val="2"/>
    </font>
    <font>
      <b/>
      <sz val="10"/>
      <color rgb="FFFFFFFF"/>
      <name val="Segoe UI"/>
      <family val="2"/>
    </font>
    <font>
      <i/>
      <sz val="9"/>
      <color rgb="FF7E868C"/>
      <name val="Segoe UI"/>
      <family val="2"/>
    </font>
    <font>
      <sz val="16"/>
      <color rgb="FFFFFFFF"/>
      <name val="Segoe UI"/>
      <family val="2"/>
    </font>
    <font>
      <sz val="10"/>
      <name val="Segoe UI"/>
      <family val="2"/>
    </font>
    <font>
      <sz val="8"/>
      <color theme="1"/>
      <name val="Segoe UI"/>
      <family val="2"/>
    </font>
    <font>
      <sz val="12"/>
      <color theme="0"/>
      <name val="Segoe UI"/>
      <family val="2"/>
    </font>
    <font>
      <sz val="12"/>
      <color theme="1"/>
      <name val="Aptos Narrow"/>
      <family val="2"/>
      <scheme val="minor"/>
    </font>
    <font>
      <sz val="12"/>
      <color rgb="FFFFFFFF"/>
      <name val="Segoe UI"/>
      <family val="2"/>
    </font>
    <font>
      <sz val="9"/>
      <color rgb="FF606262"/>
      <name val="Segoe UI"/>
      <family val="2"/>
    </font>
    <font>
      <sz val="10"/>
      <color theme="1"/>
      <name val="Segoe UI"/>
      <family val="2"/>
    </font>
    <font>
      <sz val="16"/>
      <color rgb="FFFFFFFF"/>
      <name val="Segoe UI"/>
      <family val="2"/>
    </font>
    <font>
      <sz val="10"/>
      <color rgb="FFFF0000"/>
      <name val="Segoe UI"/>
      <family val="2"/>
    </font>
    <font>
      <sz val="10"/>
      <color rgb="FF0000FF"/>
      <name val="Segoe UI"/>
      <family val="2"/>
    </font>
    <font>
      <sz val="10"/>
      <color rgb="FF000000"/>
      <name val="Segoe UI"/>
      <family val="2"/>
    </font>
    <font>
      <sz val="11"/>
      <color rgb="FF7E868C"/>
      <name val="Segoe UI"/>
      <family val="2"/>
    </font>
    <font>
      <sz val="16"/>
      <color rgb="FF7E868C"/>
      <name val="Segoe UI"/>
      <family val="2"/>
    </font>
    <font>
      <i/>
      <sz val="10"/>
      <color rgb="FF000000"/>
      <name val="Segoe UI"/>
      <family val="2"/>
    </font>
    <font>
      <sz val="9"/>
      <color theme="1"/>
      <name val="Segoe UI"/>
      <family val="2"/>
    </font>
    <font>
      <sz val="11"/>
      <color rgb="FFFFFFFF"/>
      <name val="Aptos Narrow"/>
      <family val="2"/>
      <scheme val="minor"/>
    </font>
    <font>
      <sz val="10"/>
      <color rgb="FF7E868C"/>
      <name val="Segoe UI"/>
      <family val="2"/>
    </font>
    <font>
      <b/>
      <sz val="8"/>
      <color rgb="FFFFFFFF"/>
      <name val="Segoe UI"/>
      <family val="2"/>
    </font>
    <font>
      <sz val="9"/>
      <color rgb="FFFFFFFF"/>
      <name val="Segoe UI"/>
      <family val="2"/>
    </font>
    <font>
      <b/>
      <sz val="9"/>
      <color rgb="FFFFFFFF"/>
      <name val="Segoe UI"/>
      <family val="2"/>
    </font>
    <font>
      <sz val="10"/>
      <color theme="0"/>
      <name val="Segoe UI"/>
      <family val="2"/>
    </font>
    <font>
      <sz val="8"/>
      <color rgb="FFFFFFFF"/>
      <name val="Segoe UI"/>
      <family val="2"/>
    </font>
    <font>
      <sz val="11"/>
      <color theme="0"/>
      <name val="Segoe UI"/>
      <family val="2"/>
    </font>
    <font>
      <sz val="11"/>
      <color rgb="FFFF0000"/>
      <name val="Aptos Narrow"/>
      <family val="2"/>
      <scheme val="minor"/>
    </font>
    <font>
      <sz val="10"/>
      <color rgb="FF606262"/>
      <name val="Segoe UI"/>
      <family val="2"/>
    </font>
    <font>
      <sz val="10"/>
      <color rgb="FFFF0000"/>
      <name val="Segoe UI"/>
      <family val="2"/>
    </font>
    <font>
      <sz val="10"/>
      <color rgb="FF0000FF"/>
      <name val="Segoe UI"/>
      <family val="2"/>
    </font>
    <font>
      <sz val="14"/>
      <color rgb="FF7E868C"/>
      <name val="Segoe UI"/>
      <family val="2"/>
    </font>
    <font>
      <i/>
      <sz val="9"/>
      <color theme="1"/>
      <name val="Aptos Narrow"/>
      <family val="2"/>
      <scheme val="minor"/>
    </font>
    <font>
      <sz val="11"/>
      <color rgb="FF0000FF"/>
      <name val="Aptos Narrow"/>
      <family val="2"/>
      <scheme val="minor"/>
    </font>
    <font>
      <sz val="10"/>
      <color rgb="FF000000"/>
      <name val="Segoe UI"/>
    </font>
    <font>
      <sz val="10"/>
      <color rgb="FF0000FF"/>
      <name val="Segoe UI"/>
    </font>
    <font>
      <sz val="10"/>
      <color rgb="FFFF0000"/>
      <name val="Segoe UI"/>
    </font>
    <font>
      <sz val="14"/>
      <color rgb="FFFFFFFF"/>
      <name val="Segoe UI"/>
    </font>
    <font>
      <b/>
      <sz val="9"/>
      <color indexed="81"/>
      <name val="Tahoma"/>
      <charset val="1"/>
    </font>
    <font>
      <sz val="9"/>
      <color indexed="81"/>
      <name val="Tahoma"/>
      <charset val="1"/>
    </font>
    <font>
      <sz val="12"/>
      <color rgb="FFFFFFFF"/>
      <name val="Segoe UI"/>
    </font>
    <font>
      <i/>
      <sz val="10"/>
      <color rgb="FF000000"/>
      <name val="Segoe UI"/>
    </font>
    <font>
      <u/>
      <sz val="11"/>
      <color theme="10"/>
      <name val="Aptos Narrow"/>
      <family val="2"/>
      <scheme val="minor"/>
    </font>
    <font>
      <i/>
      <sz val="8"/>
      <color rgb="FF7F7F7F"/>
      <name val="Segoe UI"/>
    </font>
    <font>
      <u/>
      <sz val="11"/>
      <color rgb="FF0000FF"/>
      <name val="Aptos Narrow"/>
      <family val="2"/>
      <scheme val="minor"/>
    </font>
    <font>
      <i/>
      <sz val="9"/>
      <color rgb="FF000000"/>
      <name val="Segoe UI"/>
    </font>
  </fonts>
  <fills count="17">
    <fill>
      <patternFill patternType="none"/>
    </fill>
    <fill>
      <patternFill patternType="gray125"/>
    </fill>
    <fill>
      <patternFill patternType="solid">
        <fgColor rgb="FF595959"/>
        <bgColor indexed="64"/>
      </patternFill>
    </fill>
    <fill>
      <patternFill patternType="solid">
        <fgColor rgb="FFD9D9D9"/>
        <bgColor indexed="64"/>
      </patternFill>
    </fill>
    <fill>
      <patternFill patternType="solid">
        <fgColor rgb="FFFCE4D6"/>
        <bgColor indexed="64"/>
      </patternFill>
    </fill>
    <fill>
      <patternFill patternType="solid">
        <fgColor rgb="FFDDEBF7"/>
        <bgColor indexed="64"/>
      </patternFill>
    </fill>
    <fill>
      <patternFill patternType="solid">
        <fgColor rgb="FF458A96"/>
        <bgColor indexed="64"/>
      </patternFill>
    </fill>
    <fill>
      <patternFill patternType="solid">
        <fgColor rgb="FF606262"/>
        <bgColor indexed="64"/>
      </patternFill>
    </fill>
    <fill>
      <patternFill patternType="solid">
        <fgColor rgb="FF7E868C"/>
        <bgColor indexed="64"/>
      </patternFill>
    </fill>
    <fill>
      <patternFill patternType="solid">
        <fgColor rgb="FFF1B92A"/>
        <bgColor indexed="64"/>
      </patternFill>
    </fill>
    <fill>
      <patternFill patternType="solid">
        <fgColor rgb="FFFFF8E5"/>
        <bgColor indexed="64"/>
      </patternFill>
    </fill>
    <fill>
      <patternFill patternType="solid">
        <fgColor theme="0" tint="-0.14999847407452621"/>
        <bgColor indexed="64"/>
      </patternFill>
    </fill>
    <fill>
      <patternFill patternType="solid">
        <fgColor rgb="FFFFFFFF"/>
        <bgColor indexed="64"/>
      </patternFill>
    </fill>
    <fill>
      <patternFill patternType="solid">
        <fgColor theme="1"/>
        <bgColor indexed="64"/>
      </patternFill>
    </fill>
    <fill>
      <patternFill patternType="solid">
        <fgColor rgb="FF000000"/>
        <bgColor indexed="64"/>
      </patternFill>
    </fill>
    <fill>
      <patternFill patternType="solid">
        <fgColor rgb="FFF2F2F2"/>
        <bgColor indexed="64"/>
      </patternFill>
    </fill>
    <fill>
      <patternFill patternType="solid">
        <fgColor rgb="FFC00000"/>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rgb="FF606262"/>
      </left>
      <right style="thin">
        <color rgb="FF606262"/>
      </right>
      <top style="thin">
        <color rgb="FF606262"/>
      </top>
      <bottom style="thin">
        <color rgb="FF606262"/>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BFBFBF"/>
      </left>
      <right/>
      <top style="thin">
        <color rgb="FFBFBFBF"/>
      </top>
      <bottom style="thin">
        <color rgb="FFBFBFBF"/>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right/>
      <top/>
      <bottom style="thin">
        <color rgb="FF000000"/>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top style="thin">
        <color rgb="FF000000"/>
      </top>
      <bottom/>
      <diagonal/>
    </border>
    <border>
      <left/>
      <right style="thin">
        <color auto="1"/>
      </right>
      <top style="thin">
        <color rgb="FF000000"/>
      </top>
      <bottom/>
      <diagonal/>
    </border>
    <border>
      <left style="thin">
        <color theme="1"/>
      </left>
      <right style="thin">
        <color theme="1"/>
      </right>
      <top style="thin">
        <color theme="1"/>
      </top>
      <bottom style="thin">
        <color theme="1"/>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indexed="64"/>
      </left>
      <right style="thin">
        <color indexed="64"/>
      </right>
      <top style="thin">
        <color rgb="FF000000"/>
      </top>
      <bottom/>
      <diagonal/>
    </border>
    <border>
      <left/>
      <right/>
      <top style="thin">
        <color rgb="FF000000"/>
      </top>
      <bottom style="thin">
        <color rgb="FF000000"/>
      </bottom>
      <diagonal/>
    </border>
    <border>
      <left style="thin">
        <color indexed="64"/>
      </left>
      <right style="thin">
        <color indexed="64"/>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style="thin">
        <color indexed="64"/>
      </left>
      <right/>
      <top style="thin">
        <color rgb="FF000000"/>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s>
  <cellStyleXfs count="3">
    <xf numFmtId="0" fontId="0" fillId="0" borderId="0"/>
    <xf numFmtId="9" fontId="42" fillId="0" borderId="0" applyFont="0" applyFill="0" applyBorder="0" applyAlignment="0" applyProtection="0"/>
    <xf numFmtId="0" fontId="100" fillId="0" borderId="0" applyNumberFormat="0" applyFill="0" applyBorder="0" applyAlignment="0" applyProtection="0"/>
  </cellStyleXfs>
  <cellXfs count="833">
    <xf numFmtId="0" fontId="0" fillId="0" borderId="0" xfId="0"/>
    <xf numFmtId="0" fontId="4" fillId="0" borderId="0" xfId="0" applyFont="1"/>
    <xf numFmtId="0" fontId="5" fillId="2" borderId="0" xfId="0" applyFont="1" applyFill="1"/>
    <xf numFmtId="0" fontId="1" fillId="3" borderId="0" xfId="0" applyFont="1" applyFill="1"/>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3" fontId="0" fillId="0" borderId="0" xfId="0" applyNumberFormat="1"/>
    <xf numFmtId="0" fontId="7" fillId="0" borderId="0" xfId="0" applyFont="1"/>
    <xf numFmtId="0" fontId="2" fillId="0" borderId="0" xfId="0" applyFont="1"/>
    <xf numFmtId="0" fontId="2" fillId="0" borderId="0" xfId="0" applyFont="1" applyAlignment="1">
      <alignment vertical="center"/>
    </xf>
    <xf numFmtId="49" fontId="0" fillId="0" borderId="0" xfId="0" applyNumberFormat="1"/>
    <xf numFmtId="0" fontId="5" fillId="2" borderId="0" xfId="0" applyFont="1" applyFill="1" applyAlignment="1">
      <alignment horizontal="center"/>
    </xf>
    <xf numFmtId="0" fontId="14" fillId="0" borderId="0" xfId="0" applyFont="1"/>
    <xf numFmtId="0" fontId="5" fillId="6" borderId="0" xfId="0" applyFont="1" applyFill="1"/>
    <xf numFmtId="0" fontId="13" fillId="0" borderId="0" xfId="0" applyFont="1" applyAlignment="1">
      <alignment horizontal="left" vertical="center"/>
    </xf>
    <xf numFmtId="0" fontId="13" fillId="0" borderId="1" xfId="0" applyFont="1" applyBorder="1" applyAlignment="1">
      <alignment horizontal="center" vertical="center"/>
    </xf>
    <xf numFmtId="0" fontId="0" fillId="7" borderId="0" xfId="0" applyFill="1"/>
    <xf numFmtId="0" fontId="3" fillId="6" borderId="0" xfId="0" applyFont="1" applyFill="1"/>
    <xf numFmtId="0" fontId="8" fillId="7" borderId="0" xfId="0" applyFont="1" applyFill="1"/>
    <xf numFmtId="0" fontId="7" fillId="0" borderId="0" xfId="0" applyFont="1" applyAlignment="1">
      <alignment vertical="center"/>
    </xf>
    <xf numFmtId="0" fontId="2"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horizontal="right" vertical="center"/>
    </xf>
    <xf numFmtId="0" fontId="2" fillId="0" borderId="0" xfId="0" applyFont="1" applyAlignment="1">
      <alignment horizontal="center"/>
    </xf>
    <xf numFmtId="0" fontId="13" fillId="0" borderId="0" xfId="0" applyFont="1" applyAlignment="1">
      <alignment horizontal="center"/>
    </xf>
    <xf numFmtId="0" fontId="12" fillId="3" borderId="0" xfId="0" applyFont="1" applyFill="1" applyAlignment="1">
      <alignment horizontal="center"/>
    </xf>
    <xf numFmtId="0" fontId="11" fillId="0" borderId="0" xfId="0" applyFont="1"/>
    <xf numFmtId="0" fontId="13" fillId="0" borderId="0" xfId="0" applyFont="1"/>
    <xf numFmtId="3" fontId="13" fillId="0" borderId="1" xfId="0" applyNumberFormat="1" applyFont="1" applyBorder="1" applyAlignment="1">
      <alignment horizontal="center" vertical="center"/>
    </xf>
    <xf numFmtId="2" fontId="13" fillId="0" borderId="1" xfId="0" applyNumberFormat="1" applyFont="1" applyBorder="1" applyAlignment="1">
      <alignment horizontal="center" vertical="center"/>
    </xf>
    <xf numFmtId="0" fontId="16" fillId="0" borderId="0" xfId="0" applyFont="1" applyAlignment="1">
      <alignment vertical="center"/>
    </xf>
    <xf numFmtId="0" fontId="22" fillId="0" borderId="0" xfId="0" applyFont="1" applyAlignment="1">
      <alignment vertical="center"/>
    </xf>
    <xf numFmtId="169" fontId="13" fillId="0" borderId="0" xfId="0" applyNumberFormat="1" applyFont="1" applyAlignment="1">
      <alignment horizontal="left" vertical="center"/>
    </xf>
    <xf numFmtId="0" fontId="22" fillId="0" borderId="0" xfId="0" applyFont="1" applyAlignment="1">
      <alignment horizontal="center"/>
    </xf>
    <xf numFmtId="1" fontId="13" fillId="0" borderId="1" xfId="0" applyNumberFormat="1" applyFont="1" applyBorder="1" applyAlignment="1">
      <alignment horizontal="center"/>
    </xf>
    <xf numFmtId="4" fontId="13" fillId="0" borderId="0" xfId="0" applyNumberFormat="1" applyFont="1" applyAlignment="1">
      <alignment horizontal="center" vertical="center"/>
    </xf>
    <xf numFmtId="4" fontId="2" fillId="0" borderId="0" xfId="0" applyNumberFormat="1" applyFont="1" applyAlignment="1">
      <alignment horizontal="center" vertical="center"/>
    </xf>
    <xf numFmtId="4" fontId="23" fillId="0" borderId="1" xfId="0" applyNumberFormat="1" applyFont="1" applyBorder="1" applyAlignment="1">
      <alignment horizontal="center" vertical="center"/>
    </xf>
    <xf numFmtId="2" fontId="23" fillId="0" borderId="1" xfId="0" applyNumberFormat="1" applyFont="1" applyBorder="1" applyAlignment="1">
      <alignment horizontal="center" vertical="center"/>
    </xf>
    <xf numFmtId="4" fontId="13" fillId="0" borderId="1" xfId="0" applyNumberFormat="1" applyFont="1" applyBorder="1" applyAlignment="1">
      <alignment horizontal="center" vertical="center"/>
    </xf>
    <xf numFmtId="4" fontId="13" fillId="0" borderId="3" xfId="0" applyNumberFormat="1" applyFont="1" applyBorder="1" applyAlignment="1">
      <alignment horizontal="center" vertical="center"/>
    </xf>
    <xf numFmtId="4" fontId="13" fillId="0" borderId="10" xfId="0" applyNumberFormat="1" applyFont="1" applyBorder="1" applyAlignment="1">
      <alignment horizontal="center" vertical="center"/>
    </xf>
    <xf numFmtId="4" fontId="13" fillId="0" borderId="13" xfId="0" applyNumberFormat="1" applyFont="1" applyBorder="1" applyAlignment="1">
      <alignment horizontal="center" vertical="center"/>
    </xf>
    <xf numFmtId="0" fontId="19" fillId="0" borderId="0" xfId="0" applyFont="1" applyAlignment="1">
      <alignment vertical="center"/>
    </xf>
    <xf numFmtId="0" fontId="7" fillId="0" borderId="0" xfId="0" applyFont="1" applyAlignment="1">
      <alignment horizontal="center"/>
    </xf>
    <xf numFmtId="0" fontId="7" fillId="0" borderId="0" xfId="0" applyFont="1" applyAlignment="1">
      <alignment horizontal="center" vertical="center"/>
    </xf>
    <xf numFmtId="0" fontId="28" fillId="0" borderId="0" xfId="0" applyFont="1" applyAlignment="1">
      <alignment horizontal="center"/>
    </xf>
    <xf numFmtId="4" fontId="13" fillId="0" borderId="2" xfId="0" applyNumberFormat="1" applyFont="1" applyBorder="1" applyAlignment="1">
      <alignment horizontal="center" vertical="center"/>
    </xf>
    <xf numFmtId="0" fontId="28" fillId="0" borderId="0" xfId="0" applyFont="1" applyAlignment="1">
      <alignment vertical="center"/>
    </xf>
    <xf numFmtId="1" fontId="13" fillId="0" borderId="1" xfId="0" applyNumberFormat="1" applyFont="1" applyBorder="1" applyAlignment="1">
      <alignment horizontal="center" vertical="center"/>
    </xf>
    <xf numFmtId="0" fontId="0" fillId="0" borderId="0" xfId="0" applyAlignment="1">
      <alignment vertical="center"/>
    </xf>
    <xf numFmtId="3" fontId="23" fillId="9" borderId="15" xfId="0" applyNumberFormat="1" applyFont="1" applyFill="1" applyBorder="1" applyAlignment="1">
      <alignment vertical="center"/>
    </xf>
    <xf numFmtId="0" fontId="32" fillId="0" borderId="0" xfId="0" applyFont="1" applyAlignment="1">
      <alignment horizontal="left" vertical="center"/>
    </xf>
    <xf numFmtId="2" fontId="13" fillId="0" borderId="15" xfId="0" applyNumberFormat="1" applyFont="1" applyBorder="1" applyAlignment="1">
      <alignment horizontal="center" vertical="center"/>
    </xf>
    <xf numFmtId="49" fontId="12" fillId="0" borderId="0" xfId="0" applyNumberFormat="1" applyFont="1" applyAlignment="1">
      <alignment vertical="center"/>
    </xf>
    <xf numFmtId="1" fontId="13" fillId="0" borderId="15" xfId="0" applyNumberFormat="1" applyFont="1" applyBorder="1" applyAlignment="1">
      <alignment horizontal="center" vertical="center"/>
    </xf>
    <xf numFmtId="0" fontId="22" fillId="0" borderId="0" xfId="0" applyFont="1"/>
    <xf numFmtId="0" fontId="18" fillId="0" borderId="0" xfId="0" applyFont="1" applyAlignment="1">
      <alignment vertical="center"/>
    </xf>
    <xf numFmtId="164" fontId="13" fillId="0" borderId="1" xfId="0" applyNumberFormat="1" applyFont="1" applyBorder="1" applyAlignment="1">
      <alignment horizontal="center" vertical="center"/>
    </xf>
    <xf numFmtId="165" fontId="13" fillId="0" borderId="1" xfId="0" applyNumberFormat="1" applyFont="1" applyBorder="1" applyAlignment="1">
      <alignment horizontal="center" vertical="center"/>
    </xf>
    <xf numFmtId="166" fontId="13" fillId="0" borderId="1" xfId="0" applyNumberFormat="1" applyFont="1" applyBorder="1" applyAlignment="1">
      <alignment horizontal="center" vertical="center"/>
    </xf>
    <xf numFmtId="4" fontId="13" fillId="0" borderId="15" xfId="0" applyNumberFormat="1" applyFont="1" applyBorder="1" applyAlignment="1">
      <alignment horizontal="center" vertical="center"/>
    </xf>
    <xf numFmtId="4" fontId="23" fillId="9" borderId="15" xfId="0" applyNumberFormat="1" applyFont="1" applyFill="1" applyBorder="1" applyAlignment="1">
      <alignment horizontal="center" vertical="center"/>
    </xf>
    <xf numFmtId="0" fontId="0" fillId="0" borderId="0" xfId="0" applyAlignment="1">
      <alignment horizontal="center"/>
    </xf>
    <xf numFmtId="4" fontId="13" fillId="0" borderId="14" xfId="0" applyNumberFormat="1" applyFont="1" applyBorder="1" applyAlignment="1">
      <alignment horizontal="center" vertical="center"/>
    </xf>
    <xf numFmtId="4" fontId="13" fillId="0" borderId="11" xfId="0" applyNumberFormat="1" applyFont="1" applyBorder="1" applyAlignment="1">
      <alignment horizontal="center" vertical="center"/>
    </xf>
    <xf numFmtId="3" fontId="13" fillId="0" borderId="1" xfId="0" applyNumberFormat="1" applyFont="1" applyBorder="1" applyAlignment="1">
      <alignment horizontal="left" vertical="center"/>
    </xf>
    <xf numFmtId="0" fontId="10" fillId="2" borderId="35" xfId="0" applyFont="1" applyFill="1" applyBorder="1" applyAlignment="1">
      <alignment horizontal="center"/>
    </xf>
    <xf numFmtId="0" fontId="2" fillId="0" borderId="35" xfId="0" applyFont="1" applyBorder="1"/>
    <xf numFmtId="9" fontId="2" fillId="0" borderId="35" xfId="0" applyNumberFormat="1" applyFont="1" applyBorder="1"/>
    <xf numFmtId="0" fontId="0" fillId="0" borderId="35" xfId="0" applyBorder="1"/>
    <xf numFmtId="3" fontId="0" fillId="0" borderId="35" xfId="0" applyNumberFormat="1" applyBorder="1"/>
    <xf numFmtId="9" fontId="0" fillId="0" borderId="35" xfId="0" applyNumberFormat="1" applyBorder="1"/>
    <xf numFmtId="0" fontId="8" fillId="6" borderId="0" xfId="0" applyFont="1" applyFill="1"/>
    <xf numFmtId="0" fontId="10" fillId="2" borderId="36" xfId="0" applyFont="1" applyFill="1" applyBorder="1" applyAlignment="1">
      <alignment horizontal="center"/>
    </xf>
    <xf numFmtId="49" fontId="0" fillId="0" borderId="0" xfId="0" applyNumberFormat="1" applyAlignment="1">
      <alignment horizontal="center"/>
    </xf>
    <xf numFmtId="0" fontId="10" fillId="2" borderId="0" xfId="0" applyFont="1" applyFill="1" applyAlignment="1">
      <alignment horizontal="center"/>
    </xf>
    <xf numFmtId="10" fontId="13" fillId="0" borderId="0" xfId="0" applyNumberFormat="1" applyFont="1" applyAlignment="1">
      <alignment horizontal="center" vertical="center"/>
    </xf>
    <xf numFmtId="0" fontId="33" fillId="0" borderId="0" xfId="0" applyFont="1"/>
    <xf numFmtId="3" fontId="13" fillId="0" borderId="1" xfId="0" applyNumberFormat="1" applyFont="1" applyBorder="1" applyAlignment="1">
      <alignment horizontal="center"/>
    </xf>
    <xf numFmtId="0" fontId="24" fillId="0" borderId="41" xfId="0" applyFont="1" applyBorder="1"/>
    <xf numFmtId="0" fontId="25" fillId="0" borderId="41" xfId="0" applyFont="1" applyBorder="1"/>
    <xf numFmtId="2" fontId="24" fillId="0" borderId="41" xfId="0" applyNumberFormat="1" applyFont="1" applyBorder="1" applyAlignment="1">
      <alignment horizontal="center"/>
    </xf>
    <xf numFmtId="0" fontId="10" fillId="8" borderId="40" xfId="0" applyFont="1" applyFill="1" applyBorder="1" applyAlignment="1">
      <alignment horizontal="center"/>
    </xf>
    <xf numFmtId="2" fontId="13" fillId="0" borderId="1" xfId="0" applyNumberFormat="1" applyFont="1" applyBorder="1" applyAlignment="1">
      <alignment horizontal="center"/>
    </xf>
    <xf numFmtId="0" fontId="10" fillId="8" borderId="41" xfId="0" applyFont="1" applyFill="1" applyBorder="1" applyAlignment="1">
      <alignment horizontal="center"/>
    </xf>
    <xf numFmtId="0" fontId="17" fillId="0" borderId="48" xfId="0" applyFont="1" applyBorder="1"/>
    <xf numFmtId="4" fontId="13" fillId="12" borderId="1" xfId="0" applyNumberFormat="1" applyFont="1" applyFill="1" applyBorder="1" applyAlignment="1">
      <alignment horizontal="center" vertical="center"/>
    </xf>
    <xf numFmtId="0" fontId="58" fillId="6" borderId="0" xfId="0" applyFont="1" applyFill="1"/>
    <xf numFmtId="0" fontId="59" fillId="2" borderId="0" xfId="0" applyFont="1" applyFill="1" applyAlignment="1">
      <alignment horizontal="center"/>
    </xf>
    <xf numFmtId="0" fontId="60" fillId="0" borderId="0" xfId="0" applyFont="1"/>
    <xf numFmtId="0" fontId="59" fillId="7" borderId="0" xfId="0" applyFont="1" applyFill="1" applyAlignment="1">
      <alignment horizontal="center"/>
    </xf>
    <xf numFmtId="0" fontId="56" fillId="0" borderId="0" xfId="0" applyFont="1"/>
    <xf numFmtId="49" fontId="56" fillId="0" borderId="0" xfId="0" applyNumberFormat="1" applyFont="1"/>
    <xf numFmtId="3" fontId="23" fillId="9" borderId="1" xfId="0" applyNumberFormat="1" applyFont="1" applyFill="1" applyBorder="1" applyAlignment="1">
      <alignment horizontal="left" vertical="center"/>
    </xf>
    <xf numFmtId="0" fontId="24" fillId="0" borderId="27" xfId="0" applyFont="1" applyBorder="1" applyAlignment="1">
      <alignment horizontal="center" vertical="top"/>
    </xf>
    <xf numFmtId="0" fontId="40" fillId="0" borderId="28" xfId="0" applyFont="1" applyBorder="1" applyAlignment="1">
      <alignment vertical="top" wrapText="1"/>
    </xf>
    <xf numFmtId="0" fontId="24" fillId="0" borderId="29" xfId="0" applyFont="1" applyBorder="1" applyAlignment="1">
      <alignment vertical="top" wrapText="1"/>
    </xf>
    <xf numFmtId="0" fontId="24" fillId="0" borderId="19" xfId="0" applyFont="1" applyBorder="1" applyAlignment="1">
      <alignment horizontal="center" vertical="top"/>
    </xf>
    <xf numFmtId="0" fontId="40" fillId="0" borderId="20" xfId="0" applyFont="1" applyBorder="1" applyAlignment="1">
      <alignment vertical="top" wrapText="1"/>
    </xf>
    <xf numFmtId="0" fontId="24" fillId="0" borderId="21" xfId="0" applyFont="1" applyBorder="1" applyAlignment="1">
      <alignment vertical="top" wrapText="1"/>
    </xf>
    <xf numFmtId="0" fontId="24" fillId="0" borderId="50" xfId="0" applyFont="1" applyBorder="1" applyAlignment="1">
      <alignment horizontal="center" vertical="top"/>
    </xf>
    <xf numFmtId="0" fontId="24" fillId="0" borderId="52" xfId="0" applyFont="1" applyBorder="1" applyAlignment="1">
      <alignment vertical="top" wrapText="1"/>
    </xf>
    <xf numFmtId="0" fontId="2" fillId="0" borderId="16" xfId="0" applyFont="1" applyBorder="1" applyAlignment="1">
      <alignment horizontal="center" vertical="top"/>
    </xf>
    <xf numFmtId="0" fontId="40" fillId="0" borderId="17" xfId="0" applyFont="1" applyBorder="1" applyAlignment="1">
      <alignment vertical="top" wrapText="1"/>
    </xf>
    <xf numFmtId="0" fontId="24" fillId="0" borderId="18" xfId="0" applyFont="1" applyBorder="1" applyAlignment="1">
      <alignment vertical="top" wrapText="1"/>
    </xf>
    <xf numFmtId="0" fontId="2" fillId="0" borderId="19" xfId="0" applyFont="1" applyBorder="1" applyAlignment="1">
      <alignment horizontal="center" vertical="top"/>
    </xf>
    <xf numFmtId="0" fontId="24" fillId="0" borderId="16" xfId="0" applyFont="1" applyBorder="1" applyAlignment="1">
      <alignment horizontal="center" vertical="top"/>
    </xf>
    <xf numFmtId="0" fontId="43" fillId="13" borderId="3" xfId="0" applyFont="1" applyFill="1" applyBorder="1" applyAlignment="1">
      <alignment horizontal="center" vertical="center"/>
    </xf>
    <xf numFmtId="0" fontId="24" fillId="0" borderId="53" xfId="0" applyFont="1" applyBorder="1" applyAlignment="1">
      <alignment horizontal="center" vertical="top"/>
    </xf>
    <xf numFmtId="0" fontId="40" fillId="0" borderId="54" xfId="0" applyFont="1" applyBorder="1" applyAlignment="1">
      <alignment vertical="top" wrapText="1"/>
    </xf>
    <xf numFmtId="0" fontId="24" fillId="0" borderId="55" xfId="0" applyFont="1" applyBorder="1" applyAlignment="1">
      <alignment vertical="top" wrapText="1"/>
    </xf>
    <xf numFmtId="0" fontId="24" fillId="0" borderId="22" xfId="0" applyFont="1" applyBorder="1" applyAlignment="1">
      <alignment horizontal="center" vertical="top"/>
    </xf>
    <xf numFmtId="0" fontId="40" fillId="0" borderId="23" xfId="0" applyFont="1" applyBorder="1" applyAlignment="1">
      <alignment vertical="top" wrapText="1"/>
    </xf>
    <xf numFmtId="0" fontId="24" fillId="0" borderId="24" xfId="0" applyFont="1" applyBorder="1" applyAlignment="1">
      <alignment vertical="top" wrapText="1"/>
    </xf>
    <xf numFmtId="0" fontId="40" fillId="0" borderId="51" xfId="0" applyFont="1" applyBorder="1" applyAlignment="1">
      <alignment vertical="top" wrapText="1"/>
    </xf>
    <xf numFmtId="0" fontId="34" fillId="0" borderId="20" xfId="0" applyFont="1" applyBorder="1" applyAlignment="1">
      <alignment vertical="top" wrapText="1"/>
    </xf>
    <xf numFmtId="0" fontId="22" fillId="0" borderId="16" xfId="0" applyFont="1" applyBorder="1" applyAlignment="1">
      <alignment horizontal="center" vertical="top"/>
    </xf>
    <xf numFmtId="0" fontId="21" fillId="0" borderId="17" xfId="0" applyFont="1" applyBorder="1" applyAlignment="1">
      <alignment vertical="top" wrapText="1"/>
    </xf>
    <xf numFmtId="0" fontId="22" fillId="0" borderId="18" xfId="0" applyFont="1" applyBorder="1" applyAlignment="1">
      <alignment vertical="top" wrapText="1"/>
    </xf>
    <xf numFmtId="0" fontId="22" fillId="0" borderId="19" xfId="0" applyFont="1" applyBorder="1" applyAlignment="1">
      <alignment horizontal="center" vertical="top"/>
    </xf>
    <xf numFmtId="0" fontId="21" fillId="0" borderId="20" xfId="0" applyFont="1" applyBorder="1" applyAlignment="1">
      <alignment vertical="top" wrapText="1"/>
    </xf>
    <xf numFmtId="0" fontId="22" fillId="0" borderId="21" xfId="0" applyFont="1" applyBorder="1" applyAlignment="1">
      <alignment vertical="top" wrapText="1"/>
    </xf>
    <xf numFmtId="0" fontId="22" fillId="0" borderId="50" xfId="0" applyFont="1" applyBorder="1" applyAlignment="1">
      <alignment horizontal="center" vertical="top"/>
    </xf>
    <xf numFmtId="0" fontId="21" fillId="0" borderId="51" xfId="0" applyFont="1" applyBorder="1" applyAlignment="1">
      <alignment vertical="top" wrapText="1"/>
    </xf>
    <xf numFmtId="0" fontId="22" fillId="0" borderId="52" xfId="0" applyFont="1" applyBorder="1" applyAlignment="1">
      <alignment vertical="top" wrapText="1"/>
    </xf>
    <xf numFmtId="0" fontId="21" fillId="0" borderId="54" xfId="0" applyFont="1" applyBorder="1" applyAlignment="1">
      <alignment vertical="top" wrapText="1"/>
    </xf>
    <xf numFmtId="0" fontId="2" fillId="0" borderId="22" xfId="0" applyFont="1" applyBorder="1" applyAlignment="1">
      <alignment horizontal="center" vertical="top"/>
    </xf>
    <xf numFmtId="0" fontId="34" fillId="0" borderId="23" xfId="0" applyFont="1" applyBorder="1" applyAlignment="1">
      <alignment vertical="top" wrapText="1"/>
    </xf>
    <xf numFmtId="0" fontId="11" fillId="0" borderId="17" xfId="0" applyFont="1" applyBorder="1" applyAlignment="1">
      <alignment vertical="top" wrapText="1"/>
    </xf>
    <xf numFmtId="0" fontId="12" fillId="3" borderId="1" xfId="0" applyFont="1" applyFill="1" applyBorder="1" applyAlignment="1" applyProtection="1">
      <alignment horizontal="left" vertical="center"/>
      <protection locked="0"/>
    </xf>
    <xf numFmtId="2" fontId="12" fillId="3" borderId="1" xfId="0" applyNumberFormat="1" applyFont="1" applyFill="1" applyBorder="1" applyAlignment="1" applyProtection="1">
      <alignment horizontal="left" vertical="center"/>
      <protection locked="0"/>
    </xf>
    <xf numFmtId="14" fontId="12" fillId="3" borderId="1" xfId="0" applyNumberFormat="1" applyFont="1" applyFill="1" applyBorder="1" applyAlignment="1" applyProtection="1">
      <alignment horizontal="left" vertical="center"/>
      <protection locked="0"/>
    </xf>
    <xf numFmtId="0" fontId="12" fillId="3" borderId="1" xfId="0" applyFont="1" applyFill="1" applyBorder="1" applyAlignment="1" applyProtection="1">
      <alignment horizontal="center" vertical="center"/>
      <protection locked="0"/>
    </xf>
    <xf numFmtId="167" fontId="12" fillId="3" borderId="1" xfId="0" applyNumberFormat="1" applyFont="1" applyFill="1" applyBorder="1" applyAlignment="1" applyProtection="1">
      <alignment horizontal="center" vertical="center"/>
      <protection locked="0"/>
    </xf>
    <xf numFmtId="2" fontId="52" fillId="3" borderId="1" xfId="0" applyNumberFormat="1" applyFont="1" applyFill="1" applyBorder="1" applyAlignment="1" applyProtection="1">
      <alignment horizontal="center" vertical="center"/>
      <protection locked="0"/>
    </xf>
    <xf numFmtId="3" fontId="12" fillId="3" borderId="1" xfId="0" applyNumberFormat="1" applyFont="1" applyFill="1" applyBorder="1" applyAlignment="1" applyProtection="1">
      <alignment horizontal="center"/>
      <protection locked="0"/>
    </xf>
    <xf numFmtId="1" fontId="12" fillId="3" borderId="1" xfId="0" applyNumberFormat="1" applyFont="1" applyFill="1" applyBorder="1" applyAlignment="1" applyProtection="1">
      <alignment horizontal="center" vertical="center"/>
      <protection locked="0"/>
    </xf>
    <xf numFmtId="3" fontId="12" fillId="11" borderId="1" xfId="0" applyNumberFormat="1" applyFont="1" applyFill="1" applyBorder="1" applyAlignment="1" applyProtection="1">
      <alignment horizontal="center" vertical="center"/>
      <protection locked="0"/>
    </xf>
    <xf numFmtId="49" fontId="12" fillId="3" borderId="1" xfId="0" applyNumberFormat="1" applyFont="1" applyFill="1" applyBorder="1" applyAlignment="1" applyProtection="1">
      <alignment horizontal="center" vertical="center"/>
      <protection locked="0"/>
    </xf>
    <xf numFmtId="1" fontId="12" fillId="3" borderId="1" xfId="0" applyNumberFormat="1" applyFont="1" applyFill="1" applyBorder="1" applyAlignment="1" applyProtection="1">
      <alignment vertical="center"/>
      <protection locked="0"/>
    </xf>
    <xf numFmtId="2" fontId="12" fillId="3" borderId="1" xfId="0" applyNumberFormat="1" applyFont="1" applyFill="1" applyBorder="1" applyAlignment="1" applyProtection="1">
      <alignment vertical="center"/>
      <protection locked="0"/>
    </xf>
    <xf numFmtId="2" fontId="12" fillId="3" borderId="1" xfId="0" applyNumberFormat="1" applyFont="1" applyFill="1" applyBorder="1" applyAlignment="1" applyProtection="1">
      <alignment horizontal="center" vertical="center"/>
      <protection locked="0"/>
    </xf>
    <xf numFmtId="9" fontId="12" fillId="3" borderId="1" xfId="0" applyNumberFormat="1" applyFont="1" applyFill="1" applyBorder="1" applyAlignment="1" applyProtection="1">
      <alignment horizontal="center"/>
      <protection locked="0"/>
    </xf>
    <xf numFmtId="4" fontId="12" fillId="3" borderId="38" xfId="0" applyNumberFormat="1" applyFont="1" applyFill="1" applyBorder="1" applyAlignment="1" applyProtection="1">
      <alignment horizontal="center" vertical="center"/>
      <protection locked="0"/>
    </xf>
    <xf numFmtId="9" fontId="12" fillId="3" borderId="1" xfId="0" applyNumberFormat="1" applyFont="1" applyFill="1" applyBorder="1" applyAlignment="1" applyProtection="1">
      <alignment horizontal="center" vertical="center"/>
      <protection locked="0"/>
    </xf>
    <xf numFmtId="3" fontId="12" fillId="3" borderId="1" xfId="0" applyNumberFormat="1" applyFont="1" applyFill="1" applyBorder="1" applyAlignment="1" applyProtection="1">
      <alignment horizontal="center" vertical="center"/>
      <protection locked="0"/>
    </xf>
    <xf numFmtId="49" fontId="12" fillId="3" borderId="1" xfId="0" applyNumberFormat="1" applyFont="1" applyFill="1" applyBorder="1" applyAlignment="1" applyProtection="1">
      <alignment vertical="center"/>
      <protection locked="0"/>
    </xf>
    <xf numFmtId="14" fontId="12" fillId="3" borderId="15" xfId="0" applyNumberFormat="1" applyFont="1" applyFill="1" applyBorder="1" applyAlignment="1" applyProtection="1">
      <alignment horizontal="center" vertical="center"/>
      <protection locked="0"/>
    </xf>
    <xf numFmtId="3" fontId="12" fillId="3" borderId="15" xfId="0" applyNumberFormat="1" applyFont="1" applyFill="1" applyBorder="1" applyAlignment="1" applyProtection="1">
      <alignment horizontal="center" vertical="center"/>
      <protection locked="0"/>
    </xf>
    <xf numFmtId="4" fontId="12" fillId="3" borderId="15" xfId="0" applyNumberFormat="1" applyFont="1" applyFill="1" applyBorder="1" applyAlignment="1" applyProtection="1">
      <alignment horizontal="center" vertical="center"/>
      <protection locked="0"/>
    </xf>
    <xf numFmtId="2" fontId="12" fillId="3" borderId="15" xfId="0" applyNumberFormat="1" applyFont="1" applyFill="1" applyBorder="1" applyAlignment="1" applyProtection="1">
      <alignment horizontal="center" vertical="center"/>
      <protection locked="0"/>
    </xf>
    <xf numFmtId="49" fontId="12" fillId="3" borderId="15" xfId="0" applyNumberFormat="1" applyFont="1" applyFill="1" applyBorder="1" applyAlignment="1" applyProtection="1">
      <alignment vertical="center"/>
      <protection locked="0"/>
    </xf>
    <xf numFmtId="2" fontId="12" fillId="3" borderId="1" xfId="0" applyNumberFormat="1" applyFont="1" applyFill="1" applyBorder="1" applyAlignment="1" applyProtection="1">
      <alignment horizontal="center"/>
      <protection locked="0"/>
    </xf>
    <xf numFmtId="14" fontId="12" fillId="3" borderId="1" xfId="0" applyNumberFormat="1" applyFont="1" applyFill="1" applyBorder="1" applyAlignment="1" applyProtection="1">
      <alignment horizontal="center" vertical="center"/>
      <protection locked="0"/>
    </xf>
    <xf numFmtId="170" fontId="12" fillId="3" borderId="1" xfId="0" applyNumberFormat="1"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left"/>
      <protection locked="0"/>
    </xf>
    <xf numFmtId="0" fontId="63" fillId="0" borderId="0" xfId="0" applyFont="1" applyAlignment="1">
      <alignment horizontal="center" vertical="center"/>
    </xf>
    <xf numFmtId="0" fontId="25" fillId="0" borderId="0" xfId="0" applyFont="1"/>
    <xf numFmtId="0" fontId="2" fillId="0" borderId="0" xfId="0" applyFont="1" applyAlignment="1">
      <alignment horizontal="left"/>
    </xf>
    <xf numFmtId="0" fontId="70" fillId="0" borderId="0" xfId="0" applyFont="1" applyAlignment="1">
      <alignment horizontal="left" vertical="center"/>
    </xf>
    <xf numFmtId="0" fontId="16" fillId="7" borderId="0" xfId="0" applyFont="1" applyFill="1"/>
    <xf numFmtId="3" fontId="70" fillId="0" borderId="1" xfId="0" applyNumberFormat="1" applyFont="1" applyBorder="1" applyAlignment="1">
      <alignment horizontal="center" vertical="center"/>
    </xf>
    <xf numFmtId="0" fontId="28" fillId="0" borderId="0" xfId="0" applyFont="1" applyAlignment="1">
      <alignment horizontal="center" vertical="center"/>
    </xf>
    <xf numFmtId="0" fontId="12" fillId="3" borderId="0" xfId="0" applyFont="1" applyFill="1"/>
    <xf numFmtId="49" fontId="2" fillId="0" borderId="0" xfId="0" applyNumberFormat="1" applyFont="1"/>
    <xf numFmtId="2" fontId="71" fillId="3" borderId="0" xfId="0" applyNumberFormat="1" applyFont="1" applyFill="1"/>
    <xf numFmtId="3" fontId="13" fillId="0" borderId="0" xfId="0" applyNumberFormat="1" applyFont="1" applyAlignment="1">
      <alignment horizontal="center" vertical="center"/>
    </xf>
    <xf numFmtId="2" fontId="71" fillId="0" borderId="0" xfId="0" applyNumberFormat="1" applyFont="1" applyAlignment="1" applyProtection="1">
      <alignment horizontal="center" vertical="center"/>
      <protection locked="0"/>
    </xf>
    <xf numFmtId="1" fontId="71" fillId="3" borderId="0" xfId="0" applyNumberFormat="1" applyFont="1" applyFill="1"/>
    <xf numFmtId="3" fontId="70" fillId="0" borderId="0" xfId="0" applyNumberFormat="1" applyFont="1" applyAlignment="1">
      <alignment horizontal="center" vertical="center"/>
    </xf>
    <xf numFmtId="1" fontId="12" fillId="3" borderId="0" xfId="0" applyNumberFormat="1" applyFont="1" applyFill="1"/>
    <xf numFmtId="4" fontId="13" fillId="0" borderId="33" xfId="0" applyNumberFormat="1" applyFont="1" applyBorder="1" applyAlignment="1">
      <alignment horizontal="center" vertical="center"/>
    </xf>
    <xf numFmtId="1" fontId="2" fillId="0" borderId="3" xfId="0" applyNumberFormat="1" applyFont="1" applyBorder="1" applyAlignment="1">
      <alignment horizontal="center"/>
    </xf>
    <xf numFmtId="1" fontId="2" fillId="0" borderId="2" xfId="0" applyNumberFormat="1" applyFont="1" applyBorder="1" applyAlignment="1">
      <alignment horizontal="center"/>
    </xf>
    <xf numFmtId="3" fontId="12" fillId="0" borderId="0" xfId="0" applyNumberFormat="1" applyFont="1" applyAlignment="1" applyProtection="1">
      <alignment horizontal="center"/>
      <protection locked="0"/>
    </xf>
    <xf numFmtId="3" fontId="13" fillId="0" borderId="0" xfId="0" applyNumberFormat="1" applyFont="1" applyAlignment="1">
      <alignment horizontal="center"/>
    </xf>
    <xf numFmtId="1" fontId="13" fillId="0" borderId="0" xfId="0" applyNumberFormat="1" applyFont="1" applyAlignment="1">
      <alignment horizontal="center"/>
    </xf>
    <xf numFmtId="10" fontId="13" fillId="0" borderId="0" xfId="0" applyNumberFormat="1" applyFont="1" applyAlignment="1">
      <alignment horizontal="center"/>
    </xf>
    <xf numFmtId="175" fontId="13" fillId="0" borderId="0" xfId="0" applyNumberFormat="1" applyFont="1" applyAlignment="1">
      <alignment horizontal="center"/>
    </xf>
    <xf numFmtId="1" fontId="13" fillId="0" borderId="0" xfId="0" applyNumberFormat="1" applyFont="1" applyAlignment="1">
      <alignment horizontal="center" vertical="center"/>
    </xf>
    <xf numFmtId="175" fontId="13" fillId="0" borderId="0" xfId="0" applyNumberFormat="1" applyFont="1" applyAlignment="1">
      <alignment horizontal="center" vertical="center"/>
    </xf>
    <xf numFmtId="3" fontId="12" fillId="0" borderId="0" xfId="0" applyNumberFormat="1" applyFont="1" applyAlignment="1" applyProtection="1">
      <alignment horizontal="center" vertical="center"/>
      <protection locked="0"/>
    </xf>
    <xf numFmtId="4" fontId="50" fillId="0" borderId="33" xfId="0" applyNumberFormat="1" applyFont="1" applyBorder="1" applyAlignment="1">
      <alignment horizontal="center"/>
    </xf>
    <xf numFmtId="4" fontId="52" fillId="0" borderId="33" xfId="0" applyNumberFormat="1" applyFont="1" applyBorder="1" applyAlignment="1" applyProtection="1">
      <alignment horizontal="center"/>
      <protection locked="0"/>
    </xf>
    <xf numFmtId="171" fontId="50" fillId="0" borderId="33" xfId="0" applyNumberFormat="1" applyFont="1" applyBorder="1" applyAlignment="1">
      <alignment horizontal="center"/>
    </xf>
    <xf numFmtId="4" fontId="52" fillId="0" borderId="0" xfId="0" applyNumberFormat="1" applyFont="1" applyAlignment="1" applyProtection="1">
      <alignment horizontal="center"/>
      <protection locked="0"/>
    </xf>
    <xf numFmtId="171" fontId="50" fillId="0" borderId="0" xfId="0" applyNumberFormat="1" applyFont="1" applyAlignment="1">
      <alignment horizontal="center"/>
    </xf>
    <xf numFmtId="4" fontId="52" fillId="0" borderId="0" xfId="0" applyNumberFormat="1" applyFont="1" applyAlignment="1" applyProtection="1">
      <alignment horizontal="center" vertical="center"/>
      <protection locked="0"/>
    </xf>
    <xf numFmtId="171" fontId="50" fillId="0" borderId="0" xfId="0" applyNumberFormat="1" applyFont="1" applyAlignment="1">
      <alignment horizontal="center" vertical="center"/>
    </xf>
    <xf numFmtId="1" fontId="12" fillId="3" borderId="10" xfId="0" applyNumberFormat="1" applyFont="1" applyFill="1" applyBorder="1" applyAlignment="1" applyProtection="1">
      <alignment horizontal="center" vertical="center"/>
      <protection locked="0"/>
    </xf>
    <xf numFmtId="3" fontId="13" fillId="0" borderId="10" xfId="0" applyNumberFormat="1" applyFont="1" applyBorder="1" applyAlignment="1">
      <alignment horizontal="center" vertical="center"/>
    </xf>
    <xf numFmtId="1" fontId="13" fillId="0" borderId="67" xfId="0" applyNumberFormat="1" applyFont="1" applyBorder="1" applyAlignment="1">
      <alignment horizontal="center" vertical="center"/>
    </xf>
    <xf numFmtId="4" fontId="13" fillId="0" borderId="67" xfId="0" applyNumberFormat="1" applyFont="1" applyBorder="1" applyAlignment="1">
      <alignment horizontal="center" vertical="center"/>
    </xf>
    <xf numFmtId="4" fontId="13" fillId="0" borderId="61" xfId="0" applyNumberFormat="1" applyFont="1" applyBorder="1" applyAlignment="1">
      <alignment horizontal="center" vertical="center"/>
    </xf>
    <xf numFmtId="3" fontId="13" fillId="0" borderId="3" xfId="0" applyNumberFormat="1" applyFont="1" applyBorder="1" applyAlignment="1">
      <alignment horizontal="center"/>
    </xf>
    <xf numFmtId="3" fontId="13" fillId="0" borderId="65" xfId="0" applyNumberFormat="1" applyFont="1" applyBorder="1" applyAlignment="1">
      <alignment horizontal="center"/>
    </xf>
    <xf numFmtId="4" fontId="13" fillId="0" borderId="65" xfId="0" applyNumberFormat="1" applyFont="1" applyBorder="1" applyAlignment="1">
      <alignment horizontal="center"/>
    </xf>
    <xf numFmtId="4" fontId="13" fillId="0" borderId="66" xfId="0" applyNumberFormat="1" applyFont="1" applyBorder="1" applyAlignment="1">
      <alignment horizontal="center"/>
    </xf>
    <xf numFmtId="176" fontId="13" fillId="0" borderId="0" xfId="0" applyNumberFormat="1" applyFont="1" applyAlignment="1">
      <alignment vertical="center"/>
    </xf>
    <xf numFmtId="4" fontId="13" fillId="0" borderId="0" xfId="0" applyNumberFormat="1" applyFont="1" applyAlignment="1">
      <alignment vertical="center"/>
    </xf>
    <xf numFmtId="177" fontId="15" fillId="0" borderId="0" xfId="0" applyNumberFormat="1" applyFont="1" applyAlignment="1">
      <alignment vertical="center"/>
    </xf>
    <xf numFmtId="176" fontId="13" fillId="0" borderId="1" xfId="0" applyNumberFormat="1" applyFont="1" applyBorder="1" applyAlignment="1" applyProtection="1">
      <alignment horizontal="left" vertical="center"/>
      <protection locked="0"/>
    </xf>
    <xf numFmtId="4" fontId="13" fillId="0" borderId="1" xfId="0" applyNumberFormat="1" applyFont="1" applyBorder="1" applyAlignment="1" applyProtection="1">
      <alignment horizontal="center" vertical="center"/>
      <protection locked="0"/>
    </xf>
    <xf numFmtId="14" fontId="13" fillId="0" borderId="1" xfId="0" applyNumberFormat="1" applyFont="1" applyBorder="1" applyAlignment="1">
      <alignment vertical="center"/>
    </xf>
    <xf numFmtId="0" fontId="2" fillId="0" borderId="49" xfId="0" applyFont="1" applyBorder="1" applyAlignment="1">
      <alignment horizontal="center"/>
    </xf>
    <xf numFmtId="1" fontId="70" fillId="0" borderId="0" xfId="0" applyNumberFormat="1" applyFont="1" applyAlignment="1">
      <alignment horizontal="center" vertical="center"/>
    </xf>
    <xf numFmtId="179" fontId="70" fillId="0" borderId="0" xfId="0" applyNumberFormat="1" applyFont="1" applyAlignment="1">
      <alignment horizontal="center" vertical="center"/>
    </xf>
    <xf numFmtId="180" fontId="70" fillId="0" borderId="0" xfId="0" applyNumberFormat="1" applyFont="1" applyAlignment="1">
      <alignment horizontal="center" vertical="center"/>
    </xf>
    <xf numFmtId="180" fontId="13" fillId="0" borderId="0" xfId="0" applyNumberFormat="1" applyFont="1" applyAlignment="1">
      <alignment horizontal="center" vertical="center"/>
    </xf>
    <xf numFmtId="180" fontId="13" fillId="0" borderId="0" xfId="0" applyNumberFormat="1" applyFont="1" applyAlignment="1">
      <alignment horizontal="center"/>
    </xf>
    <xf numFmtId="4" fontId="13" fillId="0" borderId="68" xfId="0" applyNumberFormat="1" applyFont="1" applyBorder="1" applyAlignment="1">
      <alignment horizontal="center" vertical="center"/>
    </xf>
    <xf numFmtId="4" fontId="13" fillId="0" borderId="48" xfId="0" applyNumberFormat="1" applyFont="1" applyBorder="1" applyAlignment="1">
      <alignment horizontal="center" vertical="center"/>
    </xf>
    <xf numFmtId="2" fontId="12" fillId="3" borderId="16" xfId="0" applyNumberFormat="1" applyFont="1" applyFill="1" applyBorder="1" applyAlignment="1" applyProtection="1">
      <alignment horizontal="center" vertical="center"/>
      <protection locked="0"/>
    </xf>
    <xf numFmtId="2" fontId="12" fillId="3" borderId="17" xfId="0" applyNumberFormat="1" applyFont="1" applyFill="1" applyBorder="1" applyAlignment="1" applyProtection="1">
      <alignment horizontal="center" vertical="center"/>
      <protection locked="0"/>
    </xf>
    <xf numFmtId="2" fontId="12" fillId="3" borderId="18" xfId="0" applyNumberFormat="1" applyFont="1" applyFill="1" applyBorder="1" applyAlignment="1" applyProtection="1">
      <alignment horizontal="center" vertical="center"/>
      <protection locked="0"/>
    </xf>
    <xf numFmtId="2" fontId="12" fillId="3" borderId="19" xfId="0" applyNumberFormat="1" applyFont="1" applyFill="1" applyBorder="1" applyAlignment="1" applyProtection="1">
      <alignment horizontal="center" vertical="center"/>
      <protection locked="0"/>
    </xf>
    <xf numFmtId="2" fontId="12" fillId="3" borderId="20" xfId="0" applyNumberFormat="1" applyFont="1" applyFill="1" applyBorder="1" applyAlignment="1" applyProtection="1">
      <alignment horizontal="center" vertical="center"/>
      <protection locked="0"/>
    </xf>
    <xf numFmtId="2" fontId="12" fillId="3" borderId="21" xfId="0" applyNumberFormat="1" applyFont="1" applyFill="1" applyBorder="1" applyAlignment="1" applyProtection="1">
      <alignment horizontal="center" vertical="center"/>
      <protection locked="0"/>
    </xf>
    <xf numFmtId="2" fontId="12" fillId="3" borderId="30" xfId="0" applyNumberFormat="1" applyFont="1" applyFill="1" applyBorder="1" applyAlignment="1" applyProtection="1">
      <alignment horizontal="center" vertical="center"/>
      <protection locked="0"/>
    </xf>
    <xf numFmtId="2" fontId="12" fillId="3" borderId="31" xfId="0" applyNumberFormat="1" applyFont="1" applyFill="1" applyBorder="1" applyAlignment="1" applyProtection="1">
      <alignment horizontal="center" vertical="center"/>
      <protection locked="0"/>
    </xf>
    <xf numFmtId="2" fontId="12" fillId="3" borderId="32" xfId="0" applyNumberFormat="1" applyFont="1" applyFill="1" applyBorder="1" applyAlignment="1" applyProtection="1">
      <alignment horizontal="center" vertical="center"/>
      <protection locked="0"/>
    </xf>
    <xf numFmtId="2" fontId="12" fillId="3" borderId="27" xfId="0" applyNumberFormat="1" applyFont="1" applyFill="1" applyBorder="1" applyAlignment="1" applyProtection="1">
      <alignment horizontal="center" vertical="center"/>
      <protection locked="0"/>
    </xf>
    <xf numFmtId="2" fontId="12" fillId="3" borderId="28" xfId="0" applyNumberFormat="1" applyFont="1" applyFill="1" applyBorder="1" applyAlignment="1" applyProtection="1">
      <alignment horizontal="center" vertical="center"/>
      <protection locked="0"/>
    </xf>
    <xf numFmtId="2" fontId="12" fillId="3" borderId="29" xfId="0" applyNumberFormat="1" applyFont="1" applyFill="1" applyBorder="1" applyAlignment="1" applyProtection="1">
      <alignment horizontal="center" vertical="center"/>
      <protection locked="0"/>
    </xf>
    <xf numFmtId="2" fontId="12" fillId="3" borderId="22" xfId="0" applyNumberFormat="1" applyFont="1" applyFill="1" applyBorder="1" applyAlignment="1" applyProtection="1">
      <alignment horizontal="center" vertical="center"/>
      <protection locked="0"/>
    </xf>
    <xf numFmtId="2" fontId="12" fillId="3" borderId="23" xfId="0" applyNumberFormat="1" applyFont="1" applyFill="1" applyBorder="1" applyAlignment="1" applyProtection="1">
      <alignment horizontal="center" vertical="center"/>
      <protection locked="0"/>
    </xf>
    <xf numFmtId="2" fontId="12" fillId="3" borderId="24" xfId="0" applyNumberFormat="1" applyFont="1" applyFill="1" applyBorder="1" applyAlignment="1" applyProtection="1">
      <alignment horizontal="center" vertical="center"/>
      <protection locked="0"/>
    </xf>
    <xf numFmtId="2" fontId="12" fillId="11" borderId="1" xfId="0" applyNumberFormat="1" applyFont="1" applyFill="1" applyBorder="1" applyAlignment="1" applyProtection="1">
      <alignment horizontal="center"/>
      <protection locked="0"/>
    </xf>
    <xf numFmtId="174" fontId="12" fillId="11" borderId="3" xfId="0" applyNumberFormat="1" applyFont="1" applyFill="1" applyBorder="1" applyAlignment="1" applyProtection="1">
      <alignment horizontal="center"/>
      <protection locked="0"/>
    </xf>
    <xf numFmtId="2" fontId="12" fillId="3" borderId="53" xfId="0" applyNumberFormat="1" applyFont="1" applyFill="1" applyBorder="1" applyAlignment="1" applyProtection="1">
      <alignment horizontal="center" vertical="center"/>
      <protection locked="0"/>
    </xf>
    <xf numFmtId="2" fontId="12" fillId="3" borderId="54" xfId="0" applyNumberFormat="1" applyFont="1" applyFill="1" applyBorder="1" applyAlignment="1" applyProtection="1">
      <alignment horizontal="center" vertical="center"/>
      <protection locked="0"/>
    </xf>
    <xf numFmtId="2" fontId="12" fillId="3" borderId="55" xfId="0" applyNumberFormat="1" applyFont="1" applyFill="1" applyBorder="1" applyAlignment="1" applyProtection="1">
      <alignment horizontal="center" vertical="center"/>
      <protection locked="0"/>
    </xf>
    <xf numFmtId="2" fontId="13" fillId="0" borderId="1" xfId="0" applyNumberFormat="1" applyFont="1" applyBorder="1" applyAlignment="1">
      <alignment horizontal="left" vertical="center"/>
    </xf>
    <xf numFmtId="0" fontId="77" fillId="0" borderId="0" xfId="0" applyFont="1"/>
    <xf numFmtId="0" fontId="16" fillId="0" borderId="0" xfId="0" applyFont="1" applyAlignment="1">
      <alignment horizontal="center"/>
    </xf>
    <xf numFmtId="172" fontId="13" fillId="0" borderId="1" xfId="0" applyNumberFormat="1" applyFont="1" applyBorder="1" applyAlignment="1">
      <alignment horizontal="center" vertical="center"/>
    </xf>
    <xf numFmtId="4" fontId="50" fillId="0" borderId="5" xfId="0" applyNumberFormat="1" applyFont="1" applyBorder="1" applyAlignment="1">
      <alignment horizontal="center" vertical="center"/>
    </xf>
    <xf numFmtId="10" fontId="13" fillId="0" borderId="1" xfId="0" applyNumberFormat="1" applyFont="1" applyBorder="1" applyAlignment="1">
      <alignment horizontal="left" vertical="center"/>
    </xf>
    <xf numFmtId="3" fontId="12" fillId="0" borderId="0" xfId="0" applyNumberFormat="1" applyFont="1" applyAlignment="1">
      <alignment horizontal="left" vertical="center"/>
    </xf>
    <xf numFmtId="1" fontId="16" fillId="0" borderId="0" xfId="0" applyNumberFormat="1" applyFont="1" applyAlignment="1">
      <alignment vertical="center"/>
    </xf>
    <xf numFmtId="0" fontId="20" fillId="0" borderId="0" xfId="0" applyFont="1"/>
    <xf numFmtId="2" fontId="13" fillId="0" borderId="25" xfId="0" applyNumberFormat="1" applyFont="1" applyBorder="1" applyAlignment="1">
      <alignment horizontal="center" vertical="center"/>
    </xf>
    <xf numFmtId="2" fontId="13" fillId="0" borderId="11" xfId="0" applyNumberFormat="1" applyFont="1" applyBorder="1" applyAlignment="1">
      <alignment horizontal="center" vertical="center"/>
    </xf>
    <xf numFmtId="0" fontId="65" fillId="0" borderId="0" xfId="0" applyFont="1"/>
    <xf numFmtId="2" fontId="13" fillId="0" borderId="0" xfId="0" applyNumberFormat="1" applyFont="1" applyAlignment="1">
      <alignment horizontal="center" vertical="center"/>
    </xf>
    <xf numFmtId="4" fontId="50" fillId="0" borderId="0" xfId="0" applyNumberFormat="1" applyFont="1" applyAlignment="1">
      <alignment horizontal="center" vertical="center"/>
    </xf>
    <xf numFmtId="173" fontId="13" fillId="12" borderId="1" xfId="0" applyNumberFormat="1" applyFont="1" applyFill="1" applyBorder="1" applyAlignment="1">
      <alignment horizontal="center"/>
    </xf>
    <xf numFmtId="0" fontId="2" fillId="0" borderId="0" xfId="0" applyFont="1" applyAlignment="1">
      <alignment horizontal="right" vertical="center"/>
    </xf>
    <xf numFmtId="0" fontId="19" fillId="14" borderId="0" xfId="0" applyFont="1" applyFill="1" applyAlignment="1">
      <alignment vertical="center"/>
    </xf>
    <xf numFmtId="3" fontId="52" fillId="0" borderId="0" xfId="0" applyNumberFormat="1" applyFont="1" applyAlignment="1" applyProtection="1">
      <alignment horizontal="center" vertical="center"/>
      <protection locked="0"/>
    </xf>
    <xf numFmtId="2" fontId="50" fillId="0" borderId="33" xfId="0" applyNumberFormat="1" applyFont="1" applyBorder="1" applyAlignment="1">
      <alignment horizontal="center" vertical="center"/>
    </xf>
    <xf numFmtId="3" fontId="50" fillId="0" borderId="33" xfId="0" applyNumberFormat="1" applyFont="1" applyBorder="1" applyAlignment="1">
      <alignment horizontal="center" vertical="center"/>
    </xf>
    <xf numFmtId="2" fontId="50" fillId="0" borderId="0" xfId="0" applyNumberFormat="1" applyFont="1" applyAlignment="1">
      <alignment horizontal="center" vertical="center"/>
    </xf>
    <xf numFmtId="3" fontId="50" fillId="0" borderId="0" xfId="0" applyNumberFormat="1" applyFont="1" applyAlignment="1">
      <alignment horizontal="center" vertical="center"/>
    </xf>
    <xf numFmtId="3" fontId="52" fillId="0" borderId="33" xfId="0" applyNumberFormat="1" applyFont="1" applyBorder="1" applyAlignment="1" applyProtection="1">
      <alignment horizontal="center" vertical="center"/>
      <protection locked="0"/>
    </xf>
    <xf numFmtId="0" fontId="18" fillId="0" borderId="0" xfId="0" applyFont="1" applyAlignment="1">
      <alignment horizontal="left" vertical="center"/>
    </xf>
    <xf numFmtId="0" fontId="10" fillId="0" borderId="0" xfId="0" applyFont="1" applyAlignment="1">
      <alignment horizontal="left" vertical="center"/>
    </xf>
    <xf numFmtId="0" fontId="2" fillId="0" borderId="0" xfId="0" applyFont="1" applyAlignment="1">
      <alignment horizontal="right"/>
    </xf>
    <xf numFmtId="0" fontId="24" fillId="0" borderId="0" xfId="0" applyFont="1" applyAlignment="1">
      <alignment horizontal="right" vertical="center"/>
    </xf>
    <xf numFmtId="0" fontId="13" fillId="0" borderId="1" xfId="0" applyFont="1" applyBorder="1" applyAlignment="1">
      <alignment horizontal="left" vertical="center"/>
    </xf>
    <xf numFmtId="0" fontId="13" fillId="0" borderId="1" xfId="0" applyFont="1" applyBorder="1" applyAlignment="1">
      <alignment vertical="center"/>
    </xf>
    <xf numFmtId="0" fontId="2" fillId="0" borderId="1" xfId="0" applyFont="1" applyBorder="1" applyAlignment="1">
      <alignment vertical="center"/>
    </xf>
    <xf numFmtId="0" fontId="13" fillId="0" borderId="0" xfId="0" applyFont="1" applyAlignment="1">
      <alignment vertical="center"/>
    </xf>
    <xf numFmtId="0" fontId="51" fillId="0" borderId="0" xfId="0" applyFont="1" applyAlignment="1">
      <alignment vertical="center"/>
    </xf>
    <xf numFmtId="0" fontId="22" fillId="0" borderId="9" xfId="0" applyFont="1" applyBorder="1" applyAlignment="1">
      <alignment horizontal="center"/>
    </xf>
    <xf numFmtId="0" fontId="22" fillId="0" borderId="9" xfId="0" applyFont="1" applyBorder="1"/>
    <xf numFmtId="0" fontId="22" fillId="0" borderId="1" xfId="0" applyFont="1" applyBorder="1" applyAlignment="1">
      <alignment horizontal="center"/>
    </xf>
    <xf numFmtId="0" fontId="22" fillId="0" borderId="1" xfId="0" applyFont="1" applyBorder="1"/>
    <xf numFmtId="0" fontId="22" fillId="0" borderId="1" xfId="0" applyFont="1" applyBorder="1" applyAlignment="1">
      <alignment horizontal="left" vertical="center"/>
    </xf>
    <xf numFmtId="0" fontId="18" fillId="0" borderId="9" xfId="0" applyFont="1" applyBorder="1" applyAlignment="1">
      <alignment horizontal="left" vertical="center"/>
    </xf>
    <xf numFmtId="0" fontId="13" fillId="0" borderId="11" xfId="0" applyFont="1" applyBorder="1" applyAlignment="1">
      <alignment horizontal="center" vertical="center"/>
    </xf>
    <xf numFmtId="0" fontId="21" fillId="0" borderId="0" xfId="0" applyFont="1" applyAlignment="1">
      <alignment vertical="center"/>
    </xf>
    <xf numFmtId="0" fontId="24" fillId="0" borderId="0" xfId="0" applyFont="1" applyAlignment="1">
      <alignment horizontal="center"/>
    </xf>
    <xf numFmtId="0" fontId="13" fillId="0" borderId="0" xfId="0" applyFont="1" applyAlignment="1">
      <alignment horizontal="left"/>
    </xf>
    <xf numFmtId="0" fontId="57" fillId="0" borderId="0" xfId="0" applyFont="1" applyAlignment="1">
      <alignment vertical="center"/>
    </xf>
    <xf numFmtId="0" fontId="57" fillId="0" borderId="0" xfId="0" applyFont="1" applyAlignment="1">
      <alignment horizontal="left"/>
    </xf>
    <xf numFmtId="0" fontId="22" fillId="0" borderId="0" xfId="0" applyFont="1" applyAlignment="1">
      <alignment horizontal="center" wrapText="1"/>
    </xf>
    <xf numFmtId="0" fontId="22" fillId="0" borderId="0" xfId="0" applyFont="1" applyAlignment="1">
      <alignment horizontal="center" vertical="center"/>
    </xf>
    <xf numFmtId="0" fontId="50" fillId="0" borderId="33" xfId="0" applyFont="1" applyBorder="1" applyAlignment="1">
      <alignment horizontal="left"/>
    </xf>
    <xf numFmtId="0" fontId="52" fillId="0" borderId="33" xfId="0" applyFont="1" applyBorder="1" applyAlignment="1" applyProtection="1">
      <alignment horizontal="left"/>
      <protection locked="0"/>
    </xf>
    <xf numFmtId="0" fontId="50" fillId="0" borderId="33" xfId="0" applyFont="1" applyBorder="1" applyAlignment="1">
      <alignment horizontal="center"/>
    </xf>
    <xf numFmtId="0" fontId="52" fillId="3" borderId="1" xfId="0" applyFont="1" applyFill="1" applyBorder="1" applyAlignment="1" applyProtection="1">
      <alignment horizontal="center" vertical="center"/>
      <protection locked="0"/>
    </xf>
    <xf numFmtId="0" fontId="50" fillId="0" borderId="0" xfId="0" applyFont="1" applyAlignment="1">
      <alignment horizontal="left"/>
    </xf>
    <xf numFmtId="0" fontId="52" fillId="0" borderId="0" xfId="0" applyFont="1" applyAlignment="1" applyProtection="1">
      <alignment horizontal="left"/>
      <protection locked="0"/>
    </xf>
    <xf numFmtId="0" fontId="50" fillId="0" borderId="0" xfId="0" applyFont="1" applyAlignment="1">
      <alignment horizontal="center"/>
    </xf>
    <xf numFmtId="0" fontId="56" fillId="0" borderId="0" xfId="0" applyFont="1" applyAlignment="1">
      <alignment horizontal="right" vertical="center"/>
    </xf>
    <xf numFmtId="0" fontId="50" fillId="0" borderId="0" xfId="0" applyFont="1" applyAlignment="1">
      <alignment horizontal="left" vertical="center"/>
    </xf>
    <xf numFmtId="0" fontId="52" fillId="0" borderId="0" xfId="0" applyFont="1" applyAlignment="1" applyProtection="1">
      <alignment horizontal="left" vertical="center"/>
      <protection locked="0"/>
    </xf>
    <xf numFmtId="0" fontId="50" fillId="0" borderId="0" xfId="0" applyFont="1" applyAlignment="1">
      <alignment horizontal="center" vertical="center"/>
    </xf>
    <xf numFmtId="0" fontId="10" fillId="7" borderId="4" xfId="0" applyFont="1" applyFill="1" applyBorder="1" applyAlignment="1">
      <alignment horizontal="right"/>
    </xf>
    <xf numFmtId="0" fontId="10" fillId="7" borderId="1" xfId="0" applyFont="1" applyFill="1" applyBorder="1" applyAlignment="1">
      <alignment horizontal="center" vertical="center"/>
    </xf>
    <xf numFmtId="0" fontId="10" fillId="7" borderId="3" xfId="0" applyFont="1" applyFill="1" applyBorder="1" applyAlignment="1">
      <alignment horizontal="center" vertical="center"/>
    </xf>
    <xf numFmtId="0" fontId="84" fillId="0" borderId="0" xfId="0" applyFont="1" applyAlignment="1">
      <alignment vertical="center"/>
    </xf>
    <xf numFmtId="0" fontId="24" fillId="0" borderId="4" xfId="0" applyFont="1" applyBorder="1" applyAlignment="1">
      <alignment horizontal="right" vertical="center"/>
    </xf>
    <xf numFmtId="0" fontId="24" fillId="0" borderId="1" xfId="0" applyFont="1" applyBorder="1" applyAlignment="1">
      <alignment horizontal="left"/>
    </xf>
    <xf numFmtId="171" fontId="13" fillId="0" borderId="3" xfId="0" applyNumberFormat="1" applyFont="1" applyBorder="1" applyAlignment="1">
      <alignment horizontal="left"/>
    </xf>
    <xf numFmtId="0" fontId="84" fillId="0" borderId="0" xfId="0" applyFont="1" applyAlignment="1">
      <alignment horizontal="center"/>
    </xf>
    <xf numFmtId="0" fontId="12" fillId="3" borderId="4" xfId="0" applyFont="1" applyFill="1" applyBorder="1" applyProtection="1">
      <protection locked="0"/>
    </xf>
    <xf numFmtId="171" fontId="13" fillId="0" borderId="3" xfId="0" applyNumberFormat="1" applyFont="1" applyBorder="1" applyAlignment="1">
      <alignment horizontal="left" vertical="center"/>
    </xf>
    <xf numFmtId="0" fontId="24" fillId="0" borderId="64" xfId="0" applyFont="1" applyBorder="1" applyAlignment="1">
      <alignment horizontal="right"/>
    </xf>
    <xf numFmtId="0" fontId="24" fillId="0" borderId="1" xfId="0" applyFont="1" applyBorder="1" applyAlignment="1">
      <alignment horizontal="left" vertical="center"/>
    </xf>
    <xf numFmtId="0" fontId="73" fillId="0" borderId="0" xfId="0" applyFont="1" applyAlignment="1">
      <alignment vertical="center"/>
    </xf>
    <xf numFmtId="0" fontId="24" fillId="0" borderId="39" xfId="0" applyFont="1" applyBorder="1" applyAlignment="1">
      <alignment horizontal="right" vertical="center"/>
    </xf>
    <xf numFmtId="0" fontId="40" fillId="9" borderId="39" xfId="0" applyFont="1" applyFill="1" applyBorder="1" applyAlignment="1">
      <alignment horizontal="right" vertical="center"/>
    </xf>
    <xf numFmtId="0" fontId="24" fillId="0" borderId="12" xfId="0" applyFont="1" applyBorder="1" applyAlignment="1">
      <alignment horizontal="right" vertical="center"/>
    </xf>
    <xf numFmtId="0" fontId="24" fillId="0" borderId="10" xfId="0" applyFont="1" applyBorder="1" applyAlignment="1">
      <alignment horizontal="left" vertical="center"/>
    </xf>
    <xf numFmtId="171" fontId="13" fillId="0" borderId="13" xfId="0" applyNumberFormat="1" applyFont="1" applyBorder="1" applyAlignment="1">
      <alignment horizontal="left" vertical="center"/>
    </xf>
    <xf numFmtId="0" fontId="2" fillId="0" borderId="8" xfId="0" applyFont="1" applyBorder="1" applyAlignment="1">
      <alignment horizontal="center"/>
    </xf>
    <xf numFmtId="0" fontId="2" fillId="0" borderId="11" xfId="0" applyFont="1" applyBorder="1" applyAlignment="1">
      <alignment horizontal="center"/>
    </xf>
    <xf numFmtId="0" fontId="2" fillId="0" borderId="7" xfId="0" applyFont="1" applyBorder="1" applyAlignment="1">
      <alignment horizontal="center"/>
    </xf>
    <xf numFmtId="0" fontId="12" fillId="3" borderId="4" xfId="0" applyFont="1" applyFill="1" applyBorder="1" applyAlignment="1" applyProtection="1">
      <alignment horizontal="right" vertical="center"/>
      <protection locked="0"/>
    </xf>
    <xf numFmtId="9" fontId="13" fillId="12" borderId="1" xfId="1" applyFont="1" applyFill="1" applyBorder="1" applyAlignment="1">
      <alignment horizontal="center" vertical="center"/>
    </xf>
    <xf numFmtId="9" fontId="12" fillId="3" borderId="1" xfId="1" applyFont="1" applyFill="1" applyBorder="1" applyAlignment="1" applyProtection="1">
      <alignment horizontal="center" vertical="center"/>
      <protection locked="0"/>
    </xf>
    <xf numFmtId="0" fontId="12" fillId="3" borderId="12" xfId="0" applyFont="1" applyFill="1" applyBorder="1" applyAlignment="1" applyProtection="1">
      <alignment horizontal="right" vertical="center"/>
      <protection locked="0"/>
    </xf>
    <xf numFmtId="9" fontId="12" fillId="3" borderId="10" xfId="1" applyFont="1" applyFill="1" applyBorder="1" applyAlignment="1" applyProtection="1">
      <alignment horizontal="center" vertical="center"/>
      <protection locked="0"/>
    </xf>
    <xf numFmtId="0" fontId="24" fillId="0" borderId="62" xfId="0" applyFont="1" applyBorder="1" applyAlignment="1">
      <alignment horizontal="right" vertical="center"/>
    </xf>
    <xf numFmtId="0" fontId="2" fillId="0" borderId="13" xfId="0" applyFont="1" applyBorder="1"/>
    <xf numFmtId="0" fontId="2" fillId="0" borderId="6" xfId="0" applyFont="1" applyBorder="1"/>
    <xf numFmtId="10" fontId="13" fillId="0" borderId="1" xfId="0" applyNumberFormat="1" applyFont="1" applyBorder="1" applyAlignment="1">
      <alignment horizontal="center" vertical="center"/>
    </xf>
    <xf numFmtId="10" fontId="13" fillId="0" borderId="0" xfId="0" applyNumberFormat="1" applyFont="1"/>
    <xf numFmtId="0" fontId="22" fillId="0" borderId="36" xfId="0" applyFont="1" applyBorder="1" applyAlignment="1">
      <alignment horizontal="center"/>
    </xf>
    <xf numFmtId="0" fontId="22" fillId="0" borderId="48" xfId="0" applyFont="1" applyBorder="1" applyAlignment="1">
      <alignment horizontal="center"/>
    </xf>
    <xf numFmtId="0" fontId="22" fillId="0" borderId="59" xfId="0" applyFont="1" applyBorder="1" applyAlignment="1">
      <alignment horizontal="center"/>
    </xf>
    <xf numFmtId="0" fontId="22" fillId="0" borderId="58" xfId="0" applyFont="1" applyBorder="1" applyAlignment="1">
      <alignment horizontal="center"/>
    </xf>
    <xf numFmtId="0" fontId="12" fillId="3" borderId="1" xfId="0" applyFont="1" applyFill="1" applyBorder="1" applyAlignment="1" applyProtection="1">
      <alignment vertical="center"/>
      <protection locked="0"/>
    </xf>
    <xf numFmtId="0" fontId="12" fillId="3" borderId="3" xfId="0" applyFont="1" applyFill="1" applyBorder="1" applyAlignment="1" applyProtection="1">
      <alignment vertical="center"/>
      <protection locked="0"/>
    </xf>
    <xf numFmtId="0" fontId="12" fillId="3" borderId="34" xfId="0" applyFont="1" applyFill="1" applyBorder="1" applyAlignment="1" applyProtection="1">
      <alignment horizontal="center" vertical="center"/>
      <protection locked="0"/>
    </xf>
    <xf numFmtId="0" fontId="12" fillId="3" borderId="35" xfId="0" applyFont="1" applyFill="1" applyBorder="1" applyAlignment="1" applyProtection="1">
      <alignment horizontal="center" vertical="center"/>
      <protection locked="0"/>
    </xf>
    <xf numFmtId="0" fontId="12" fillId="3" borderId="4" xfId="0" applyFont="1" applyFill="1" applyBorder="1" applyAlignment="1" applyProtection="1">
      <alignment vertical="center"/>
      <protection locked="0"/>
    </xf>
    <xf numFmtId="0" fontId="12" fillId="3" borderId="3" xfId="0" applyFont="1" applyFill="1" applyBorder="1" applyAlignment="1" applyProtection="1">
      <alignment horizontal="center" vertical="center"/>
      <protection locked="0"/>
    </xf>
    <xf numFmtId="0" fontId="12" fillId="3" borderId="4" xfId="0" applyFont="1" applyFill="1" applyBorder="1" applyAlignment="1" applyProtection="1">
      <alignment horizontal="center" vertical="center"/>
      <protection locked="0"/>
    </xf>
    <xf numFmtId="0" fontId="22" fillId="0" borderId="0" xfId="0" applyFont="1" applyAlignment="1">
      <alignment horizontal="right"/>
    </xf>
    <xf numFmtId="0" fontId="24" fillId="0" borderId="37" xfId="0" applyFont="1" applyBorder="1" applyAlignment="1">
      <alignment horizontal="right" vertical="center"/>
    </xf>
    <xf numFmtId="0" fontId="40" fillId="0" borderId="0" xfId="0" applyFont="1" applyAlignment="1">
      <alignment horizontal="right" vertical="center"/>
    </xf>
    <xf numFmtId="0" fontId="22" fillId="0" borderId="14" xfId="0" applyFont="1" applyBorder="1" applyAlignment="1">
      <alignment vertical="center"/>
    </xf>
    <xf numFmtId="0" fontId="11" fillId="0" borderId="0" xfId="0" applyFont="1" applyAlignment="1">
      <alignment vertical="center"/>
    </xf>
    <xf numFmtId="0" fontId="10" fillId="13" borderId="15" xfId="0" applyFont="1" applyFill="1" applyBorder="1" applyAlignment="1">
      <alignment horizontal="center" vertical="center"/>
    </xf>
    <xf numFmtId="0" fontId="24" fillId="0" borderId="15" xfId="0" applyFont="1" applyBorder="1" applyAlignment="1">
      <alignment horizontal="center" vertical="center"/>
    </xf>
    <xf numFmtId="0" fontId="11" fillId="9" borderId="15" xfId="0" applyFont="1" applyFill="1" applyBorder="1" applyAlignment="1">
      <alignment vertical="center"/>
    </xf>
    <xf numFmtId="0" fontId="27" fillId="9" borderId="15" xfId="0" applyFont="1" applyFill="1" applyBorder="1" applyAlignment="1">
      <alignment horizontal="center" vertical="center"/>
    </xf>
    <xf numFmtId="0" fontId="0" fillId="9" borderId="15" xfId="0" applyFill="1" applyBorder="1" applyAlignment="1">
      <alignment vertical="center"/>
    </xf>
    <xf numFmtId="0" fontId="36" fillId="9" borderId="15" xfId="0" applyFont="1" applyFill="1" applyBorder="1" applyAlignment="1">
      <alignment horizontal="right" vertical="center"/>
    </xf>
    <xf numFmtId="0" fontId="26" fillId="0" borderId="0" xfId="0" applyFont="1" applyAlignment="1">
      <alignment vertical="center"/>
    </xf>
    <xf numFmtId="0" fontId="2" fillId="0" borderId="0" xfId="0" applyFont="1" applyAlignment="1">
      <alignment horizontal="center" wrapText="1"/>
    </xf>
    <xf numFmtId="0" fontId="12" fillId="0" borderId="0" xfId="0" applyFont="1" applyAlignment="1">
      <alignment horizontal="center" vertical="center"/>
    </xf>
    <xf numFmtId="4" fontId="70" fillId="0" borderId="1" xfId="0" applyNumberFormat="1" applyFont="1" applyBorder="1" applyAlignment="1">
      <alignment horizontal="center" vertical="center"/>
    </xf>
    <xf numFmtId="0" fontId="12" fillId="11" borderId="1" xfId="0" applyFont="1" applyFill="1" applyBorder="1" applyAlignment="1" applyProtection="1">
      <alignment vertical="center"/>
      <protection locked="0"/>
    </xf>
    <xf numFmtId="0" fontId="2" fillId="11" borderId="1" xfId="0" applyFont="1" applyFill="1" applyBorder="1" applyAlignment="1" applyProtection="1">
      <alignment vertical="center"/>
      <protection locked="0"/>
    </xf>
    <xf numFmtId="4" fontId="13" fillId="0" borderId="1" xfId="0" applyNumberFormat="1" applyFont="1" applyBorder="1" applyAlignment="1">
      <alignment horizontal="left" vertical="center"/>
    </xf>
    <xf numFmtId="0" fontId="22" fillId="0" borderId="0" xfId="0" applyFont="1" applyAlignment="1">
      <alignment horizontal="center" vertical="center" wrapText="1"/>
    </xf>
    <xf numFmtId="0" fontId="22" fillId="0" borderId="1" xfId="0" applyFont="1" applyBorder="1" applyAlignment="1">
      <alignment horizontal="center" vertical="center"/>
    </xf>
    <xf numFmtId="0" fontId="40" fillId="15" borderId="0" xfId="0" applyFont="1" applyFill="1" applyAlignment="1">
      <alignment horizontal="right" vertical="center"/>
    </xf>
    <xf numFmtId="4" fontId="23" fillId="15" borderId="1" xfId="0" applyNumberFormat="1" applyFont="1" applyFill="1" applyBorder="1" applyAlignment="1">
      <alignment horizontal="left" vertical="center"/>
    </xf>
    <xf numFmtId="0" fontId="51" fillId="15" borderId="1" xfId="0" applyFont="1" applyFill="1" applyBorder="1" applyAlignment="1">
      <alignment horizontal="center" vertical="center"/>
    </xf>
    <xf numFmtId="0" fontId="51" fillId="15" borderId="1" xfId="0" applyFont="1" applyFill="1" applyBorder="1" applyAlignment="1">
      <alignment horizontal="left" vertical="center"/>
    </xf>
    <xf numFmtId="0" fontId="40" fillId="9" borderId="0" xfId="0" applyFont="1" applyFill="1" applyAlignment="1">
      <alignment horizontal="right" vertical="center"/>
    </xf>
    <xf numFmtId="0" fontId="51" fillId="9" borderId="1" xfId="0" applyFont="1" applyFill="1" applyBorder="1" applyAlignment="1">
      <alignment horizontal="center" vertical="center"/>
    </xf>
    <xf numFmtId="0" fontId="51" fillId="9" borderId="1" xfId="0" applyFont="1" applyFill="1" applyBorder="1" applyAlignment="1">
      <alignment horizontal="left" vertical="center"/>
    </xf>
    <xf numFmtId="0" fontId="24" fillId="0" borderId="0" xfId="0" applyFont="1" applyAlignment="1">
      <alignment horizontal="right"/>
    </xf>
    <xf numFmtId="0" fontId="12" fillId="3" borderId="1" xfId="0" applyFont="1" applyFill="1" applyBorder="1" applyAlignment="1" applyProtection="1">
      <alignment horizontal="left"/>
      <protection locked="0"/>
    </xf>
    <xf numFmtId="0" fontId="13" fillId="0" borderId="0" xfId="0" applyFont="1" applyAlignment="1">
      <alignment horizontal="center" vertical="center"/>
    </xf>
    <xf numFmtId="0" fontId="12" fillId="0" borderId="0" xfId="0" applyFont="1" applyAlignment="1" applyProtection="1">
      <alignment horizontal="left" vertical="center"/>
      <protection locked="0"/>
    </xf>
    <xf numFmtId="0" fontId="12" fillId="0" borderId="0" xfId="0" applyFont="1" applyAlignment="1" applyProtection="1">
      <alignment horizontal="left"/>
      <protection locked="0"/>
    </xf>
    <xf numFmtId="0" fontId="74" fillId="16" borderId="2" xfId="0" applyFont="1" applyFill="1" applyBorder="1" applyAlignment="1">
      <alignment vertical="center"/>
    </xf>
    <xf numFmtId="0" fontId="61" fillId="16" borderId="2" xfId="0" applyFont="1" applyFill="1" applyBorder="1" applyAlignment="1">
      <alignment vertical="center"/>
    </xf>
    <xf numFmtId="0" fontId="25" fillId="0" borderId="0" xfId="0" applyFont="1" applyAlignment="1">
      <alignment vertical="center"/>
    </xf>
    <xf numFmtId="0" fontId="57" fillId="0" borderId="0" xfId="0" applyFont="1" applyAlignment="1">
      <alignment horizontal="right" vertical="center"/>
    </xf>
    <xf numFmtId="0" fontId="52" fillId="3" borderId="11" xfId="0" applyFont="1" applyFill="1" applyBorder="1" applyAlignment="1">
      <alignment horizontal="center" vertical="center"/>
    </xf>
    <xf numFmtId="0" fontId="54" fillId="0" borderId="0" xfId="0" applyFont="1" applyAlignment="1">
      <alignment vertical="center"/>
    </xf>
    <xf numFmtId="0" fontId="71" fillId="0" borderId="0" xfId="0" applyFont="1" applyAlignment="1" applyProtection="1">
      <alignment horizontal="left" vertical="center"/>
      <protection locked="0"/>
    </xf>
    <xf numFmtId="0" fontId="50" fillId="0" borderId="33" xfId="0" applyFont="1" applyBorder="1" applyAlignment="1">
      <alignment horizontal="center" vertical="center"/>
    </xf>
    <xf numFmtId="0" fontId="7" fillId="0" borderId="0" xfId="0" applyFont="1" applyAlignment="1" applyProtection="1">
      <alignment vertical="center"/>
      <protection locked="0"/>
    </xf>
    <xf numFmtId="0" fontId="2" fillId="0" borderId="10" xfId="0" applyFont="1" applyBorder="1" applyAlignment="1">
      <alignment horizontal="center" wrapText="1"/>
    </xf>
    <xf numFmtId="0" fontId="22" fillId="0" borderId="10" xfId="0" applyFont="1" applyBorder="1" applyAlignment="1">
      <alignment horizontal="center" wrapText="1"/>
    </xf>
    <xf numFmtId="0" fontId="22" fillId="0" borderId="13" xfId="0" applyFont="1" applyBorder="1" applyAlignment="1">
      <alignment horizontal="center" wrapText="1"/>
    </xf>
    <xf numFmtId="0" fontId="24" fillId="0" borderId="1" xfId="0" applyFont="1" applyBorder="1" applyAlignment="1">
      <alignment horizontal="center" wrapText="1"/>
    </xf>
    <xf numFmtId="0" fontId="24" fillId="0" borderId="11" xfId="0" applyFont="1" applyBorder="1" applyAlignment="1">
      <alignment horizontal="center" wrapText="1"/>
    </xf>
    <xf numFmtId="0" fontId="67" fillId="0" borderId="0" xfId="0" applyFont="1" applyAlignment="1">
      <alignment vertical="center"/>
    </xf>
    <xf numFmtId="2" fontId="13" fillId="0" borderId="0" xfId="0" applyNumberFormat="1" applyFont="1" applyAlignment="1">
      <alignment horizontal="center"/>
    </xf>
    <xf numFmtId="0" fontId="0" fillId="0" borderId="9" xfId="0" applyBorder="1"/>
    <xf numFmtId="0" fontId="72" fillId="0" borderId="0" xfId="0" applyFont="1" applyAlignment="1">
      <alignment horizontal="right" vertical="center"/>
    </xf>
    <xf numFmtId="0" fontId="71" fillId="3" borderId="10" xfId="0" applyFont="1" applyFill="1" applyBorder="1" applyAlignment="1" applyProtection="1">
      <alignment horizontal="center" vertical="center"/>
      <protection locked="0"/>
    </xf>
    <xf numFmtId="0" fontId="71" fillId="3" borderId="1" xfId="0" applyFont="1" applyFill="1" applyBorder="1" applyAlignment="1" applyProtection="1">
      <alignment horizontal="center" vertical="center"/>
      <protection locked="0"/>
    </xf>
    <xf numFmtId="0" fontId="72" fillId="0" borderId="14" xfId="0" applyFont="1" applyBorder="1" applyAlignment="1">
      <alignment vertical="center"/>
    </xf>
    <xf numFmtId="0" fontId="72" fillId="0" borderId="10" xfId="0" applyFont="1" applyBorder="1" applyAlignment="1">
      <alignment horizontal="center" vertical="center"/>
    </xf>
    <xf numFmtId="0" fontId="78" fillId="0" borderId="0" xfId="0" applyFont="1"/>
    <xf numFmtId="0" fontId="72" fillId="0" borderId="1" xfId="0" applyFont="1" applyBorder="1" applyAlignment="1">
      <alignment horizontal="center" wrapText="1"/>
    </xf>
    <xf numFmtId="0" fontId="70" fillId="0" borderId="0" xfId="0" applyFont="1" applyAlignment="1">
      <alignment horizontal="center" vertical="center"/>
    </xf>
    <xf numFmtId="181" fontId="70" fillId="0" borderId="0" xfId="0" applyNumberFormat="1" applyFont="1" applyAlignment="1">
      <alignment horizontal="center" vertical="center"/>
    </xf>
    <xf numFmtId="0" fontId="19" fillId="0" borderId="0" xfId="0" applyFont="1" applyAlignment="1">
      <alignment horizontal="left" vertical="center"/>
    </xf>
    <xf numFmtId="0" fontId="79" fillId="0" borderId="0" xfId="0" applyFont="1" applyAlignment="1">
      <alignment horizontal="left" vertical="center"/>
    </xf>
    <xf numFmtId="0" fontId="79" fillId="0" borderId="0" xfId="0" applyFont="1" applyAlignment="1">
      <alignment vertical="center"/>
    </xf>
    <xf numFmtId="0" fontId="2" fillId="0" borderId="6" xfId="0" applyFont="1" applyBorder="1" applyAlignment="1">
      <alignment vertical="center"/>
    </xf>
    <xf numFmtId="0" fontId="19" fillId="0" borderId="5" xfId="0" applyFont="1" applyBorder="1" applyAlignment="1">
      <alignment horizontal="left" vertical="center"/>
    </xf>
    <xf numFmtId="0" fontId="22" fillId="0" borderId="1" xfId="0" applyFont="1" applyBorder="1" applyAlignment="1">
      <alignment horizontal="right" vertical="center" indent="1"/>
    </xf>
    <xf numFmtId="0" fontId="22" fillId="0" borderId="5" xfId="0" applyFont="1" applyBorder="1" applyAlignment="1">
      <alignment horizontal="center"/>
    </xf>
    <xf numFmtId="0" fontId="52" fillId="0" borderId="5" xfId="0" applyFont="1" applyBorder="1" applyAlignment="1">
      <alignment horizontal="center" vertical="center"/>
    </xf>
    <xf numFmtId="0" fontId="0" fillId="0" borderId="6" xfId="0" applyBorder="1"/>
    <xf numFmtId="0" fontId="0" fillId="0" borderId="5" xfId="0" applyBorder="1"/>
    <xf numFmtId="0" fontId="22" fillId="0" borderId="0" xfId="0" applyFont="1" applyAlignment="1">
      <alignment horizontal="right" vertical="center" indent="1"/>
    </xf>
    <xf numFmtId="0" fontId="83" fillId="0" borderId="0" xfId="0" applyFont="1" applyAlignment="1">
      <alignment vertical="center"/>
    </xf>
    <xf numFmtId="0" fontId="41" fillId="0" borderId="0" xfId="0" applyFont="1" applyAlignment="1">
      <alignment vertical="center"/>
    </xf>
    <xf numFmtId="0" fontId="18" fillId="0" borderId="0" xfId="0" applyFont="1" applyAlignment="1">
      <alignment horizontal="center" vertical="center"/>
    </xf>
    <xf numFmtId="0" fontId="16" fillId="8" borderId="6" xfId="0" applyFont="1" applyFill="1" applyBorder="1" applyAlignment="1">
      <alignment horizontal="center"/>
    </xf>
    <xf numFmtId="0" fontId="16" fillId="8" borderId="1" xfId="0" applyFont="1" applyFill="1" applyBorder="1" applyAlignment="1">
      <alignment horizontal="center"/>
    </xf>
    <xf numFmtId="0" fontId="31" fillId="8" borderId="53" xfId="0" applyFont="1" applyFill="1" applyBorder="1" applyAlignment="1">
      <alignment horizontal="center"/>
    </xf>
    <xf numFmtId="0" fontId="31" fillId="8" borderId="54" xfId="0" applyFont="1" applyFill="1" applyBorder="1" applyAlignment="1">
      <alignment horizontal="center"/>
    </xf>
    <xf numFmtId="0" fontId="31" fillId="8" borderId="55" xfId="0" applyFont="1" applyFill="1" applyBorder="1" applyAlignment="1">
      <alignment horizontal="center"/>
    </xf>
    <xf numFmtId="0" fontId="2" fillId="10" borderId="1" xfId="0" applyFont="1" applyFill="1" applyBorder="1" applyAlignment="1">
      <alignment horizontal="center" vertical="center"/>
    </xf>
    <xf numFmtId="0" fontId="12" fillId="11"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2" fillId="11" borderId="1" xfId="0" applyFont="1" applyFill="1" applyBorder="1" applyAlignment="1" applyProtection="1">
      <alignment horizontal="center" vertical="center"/>
      <protection locked="0"/>
    </xf>
    <xf numFmtId="0" fontId="82" fillId="0" borderId="0" xfId="0" applyFont="1" applyAlignment="1">
      <alignment vertical="center"/>
    </xf>
    <xf numFmtId="2" fontId="16" fillId="0" borderId="0" xfId="0" applyNumberFormat="1" applyFont="1" applyAlignment="1">
      <alignment vertical="center"/>
    </xf>
    <xf numFmtId="0" fontId="80" fillId="0" borderId="0" xfId="0" applyFont="1" applyAlignment="1">
      <alignment vertical="center"/>
    </xf>
    <xf numFmtId="0" fontId="2" fillId="10" borderId="25" xfId="0" applyFont="1" applyFill="1" applyBorder="1" applyAlignment="1">
      <alignment horizontal="center" vertical="center"/>
    </xf>
    <xf numFmtId="0" fontId="12" fillId="11" borderId="25" xfId="0" applyFont="1" applyFill="1" applyBorder="1" applyAlignment="1" applyProtection="1">
      <alignment horizontal="center" vertical="center"/>
      <protection locked="0"/>
    </xf>
    <xf numFmtId="0" fontId="13" fillId="0" borderId="25" xfId="0" applyFont="1" applyBorder="1" applyAlignment="1">
      <alignment horizontal="center" vertical="center"/>
    </xf>
    <xf numFmtId="0" fontId="13" fillId="0" borderId="26" xfId="0" applyFont="1" applyBorder="1" applyAlignment="1">
      <alignment horizontal="center" vertical="center"/>
    </xf>
    <xf numFmtId="10" fontId="13" fillId="0" borderId="25" xfId="0" applyNumberFormat="1" applyFont="1" applyBorder="1" applyAlignment="1">
      <alignment horizontal="center" vertical="center"/>
    </xf>
    <xf numFmtId="0" fontId="2" fillId="11" borderId="25" xfId="0" applyFont="1" applyFill="1" applyBorder="1" applyAlignment="1" applyProtection="1">
      <alignment horizontal="center" vertical="center"/>
      <protection locked="0"/>
    </xf>
    <xf numFmtId="0" fontId="2" fillId="0" borderId="69" xfId="0" applyFont="1" applyBorder="1" applyAlignment="1">
      <alignment vertical="center"/>
    </xf>
    <xf numFmtId="0" fontId="2" fillId="10" borderId="11" xfId="0" applyFont="1" applyFill="1" applyBorder="1" applyAlignment="1">
      <alignment horizontal="center" vertical="center"/>
    </xf>
    <xf numFmtId="0" fontId="12" fillId="11" borderId="11" xfId="0" applyFont="1" applyFill="1" applyBorder="1" applyAlignment="1" applyProtection="1">
      <alignment horizontal="center" vertical="center"/>
      <protection locked="0"/>
    </xf>
    <xf numFmtId="0" fontId="13" fillId="0" borderId="8" xfId="0" applyFont="1" applyBorder="1" applyAlignment="1">
      <alignment horizontal="center" vertical="center"/>
    </xf>
    <xf numFmtId="10" fontId="13" fillId="0" borderId="11" xfId="0" applyNumberFormat="1" applyFont="1" applyBorder="1" applyAlignment="1">
      <alignment horizontal="center" vertical="center"/>
    </xf>
    <xf numFmtId="0" fontId="2" fillId="11" borderId="11" xfId="0" applyFont="1" applyFill="1" applyBorder="1" applyAlignment="1" applyProtection="1">
      <alignment horizontal="center" vertical="center"/>
      <protection locked="0"/>
    </xf>
    <xf numFmtId="0" fontId="13" fillId="0" borderId="13" xfId="0" applyFont="1" applyBorder="1" applyAlignment="1">
      <alignment vertical="center"/>
    </xf>
    <xf numFmtId="0" fontId="13" fillId="0" borderId="14" xfId="0" applyFont="1" applyBorder="1" applyAlignment="1">
      <alignment vertical="center"/>
    </xf>
    <xf numFmtId="0" fontId="13" fillId="0" borderId="12" xfId="0" applyFont="1" applyBorder="1" applyAlignment="1">
      <alignment vertical="center"/>
    </xf>
    <xf numFmtId="0" fontId="2" fillId="0" borderId="1" xfId="0" applyFont="1" applyBorder="1" applyAlignment="1">
      <alignment horizontal="center" vertical="center"/>
    </xf>
    <xf numFmtId="0" fontId="2" fillId="0" borderId="5" xfId="0" applyFont="1" applyBorder="1" applyAlignment="1">
      <alignment vertical="center"/>
    </xf>
    <xf numFmtId="0" fontId="13" fillId="0" borderId="9" xfId="0" applyFont="1" applyBorder="1" applyAlignment="1">
      <alignment vertical="center"/>
    </xf>
    <xf numFmtId="0" fontId="13" fillId="0" borderId="8" xfId="0" applyFont="1" applyBorder="1" applyAlignment="1">
      <alignment vertical="center"/>
    </xf>
    <xf numFmtId="0" fontId="31" fillId="0" borderId="0" xfId="0" applyFont="1" applyAlignment="1">
      <alignment vertical="center"/>
    </xf>
    <xf numFmtId="0" fontId="0" fillId="0" borderId="13" xfId="0" applyBorder="1"/>
    <xf numFmtId="0" fontId="0" fillId="0" borderId="14" xfId="0" applyBorder="1"/>
    <xf numFmtId="0" fontId="0" fillId="0" borderId="12" xfId="0" applyBorder="1"/>
    <xf numFmtId="0" fontId="22" fillId="0" borderId="6" xfId="0" applyFont="1" applyBorder="1" applyAlignment="1">
      <alignment horizontal="center" vertical="center"/>
    </xf>
    <xf numFmtId="0" fontId="0" fillId="0" borderId="7" xfId="0" applyBorder="1"/>
    <xf numFmtId="0" fontId="0" fillId="0" borderId="8" xfId="0" applyBorder="1"/>
    <xf numFmtId="0" fontId="81" fillId="0" borderId="0" xfId="0" applyFont="1" applyAlignment="1">
      <alignment vertical="center"/>
    </xf>
    <xf numFmtId="0" fontId="80" fillId="0" borderId="0" xfId="0" applyFont="1"/>
    <xf numFmtId="0" fontId="32" fillId="0" borderId="6" xfId="0" applyFont="1" applyBorder="1" applyAlignment="1">
      <alignment vertical="center"/>
    </xf>
    <xf numFmtId="0" fontId="64" fillId="0" borderId="0" xfId="0" applyFont="1" applyAlignment="1">
      <alignment horizontal="left" vertical="center"/>
    </xf>
    <xf numFmtId="0" fontId="12" fillId="0" borderId="0" xfId="0" applyFont="1"/>
    <xf numFmtId="0" fontId="66" fillId="0" borderId="0" xfId="0" applyFont="1" applyAlignment="1">
      <alignment horizontal="left" vertical="center"/>
    </xf>
    <xf numFmtId="0" fontId="52" fillId="0" borderId="0" xfId="0" applyFont="1" applyAlignment="1">
      <alignment horizontal="center" vertical="center"/>
    </xf>
    <xf numFmtId="0" fontId="18" fillId="0" borderId="0" xfId="0" applyFont="1"/>
    <xf numFmtId="0" fontId="16" fillId="8" borderId="11" xfId="0" applyFont="1" applyFill="1" applyBorder="1" applyAlignment="1">
      <alignment horizontal="center"/>
    </xf>
    <xf numFmtId="0" fontId="16" fillId="8" borderId="7" xfId="0" applyFont="1" applyFill="1" applyBorder="1" applyAlignment="1">
      <alignment horizontal="center"/>
    </xf>
    <xf numFmtId="0" fontId="16" fillId="8" borderId="57" xfId="0" applyFont="1" applyFill="1" applyBorder="1" applyAlignment="1">
      <alignment horizontal="center" wrapText="1"/>
    </xf>
    <xf numFmtId="0" fontId="16" fillId="8" borderId="1" xfId="0" applyFont="1" applyFill="1" applyBorder="1" applyAlignment="1">
      <alignment horizontal="center" wrapText="1"/>
    </xf>
    <xf numFmtId="0" fontId="16" fillId="8" borderId="3" xfId="0" applyFont="1" applyFill="1" applyBorder="1" applyAlignment="1">
      <alignment horizontal="center" wrapText="1"/>
    </xf>
    <xf numFmtId="0" fontId="13" fillId="0" borderId="3" xfId="0" applyFont="1" applyBorder="1" applyAlignment="1">
      <alignment horizontal="center" vertical="center"/>
    </xf>
    <xf numFmtId="0" fontId="12" fillId="11" borderId="57" xfId="0" applyFont="1" applyFill="1" applyBorder="1" applyAlignment="1" applyProtection="1">
      <alignment horizontal="center"/>
      <protection locked="0"/>
    </xf>
    <xf numFmtId="0" fontId="12" fillId="11" borderId="1" xfId="0" applyFont="1" applyFill="1" applyBorder="1" applyAlignment="1" applyProtection="1">
      <alignment horizontal="center"/>
      <protection locked="0"/>
    </xf>
    <xf numFmtId="2" fontId="13" fillId="12" borderId="1" xfId="0" applyNumberFormat="1" applyFont="1" applyFill="1" applyBorder="1" applyAlignment="1">
      <alignment horizontal="center"/>
    </xf>
    <xf numFmtId="0" fontId="29" fillId="0" borderId="0" xfId="0" applyFont="1" applyAlignment="1">
      <alignment vertical="center"/>
    </xf>
    <xf numFmtId="4" fontId="12" fillId="3" borderId="1" xfId="0" applyNumberFormat="1" applyFont="1" applyFill="1" applyBorder="1" applyAlignment="1" applyProtection="1">
      <alignment horizontal="center" vertical="center"/>
      <protection locked="0"/>
    </xf>
    <xf numFmtId="0" fontId="30" fillId="0" borderId="0" xfId="0" applyFont="1" applyAlignment="1">
      <alignment horizontal="left" vertical="center"/>
    </xf>
    <xf numFmtId="10" fontId="13" fillId="0" borderId="1" xfId="0" applyNumberFormat="1" applyFont="1" applyBorder="1" applyAlignment="1">
      <alignment vertical="center"/>
    </xf>
    <xf numFmtId="4" fontId="13" fillId="0" borderId="1" xfId="0" applyNumberFormat="1" applyFont="1" applyBorder="1" applyAlignment="1">
      <alignment vertical="center"/>
    </xf>
    <xf numFmtId="10" fontId="13" fillId="0" borderId="0" xfId="0" applyNumberFormat="1" applyFont="1" applyAlignment="1">
      <alignment vertical="center"/>
    </xf>
    <xf numFmtId="2" fontId="83" fillId="0" borderId="0" xfId="0" applyNumberFormat="1" applyFont="1" applyAlignment="1">
      <alignment vertical="center"/>
    </xf>
    <xf numFmtId="2" fontId="31" fillId="0" borderId="0" xfId="0" applyNumberFormat="1" applyFont="1" applyAlignment="1">
      <alignment vertical="center"/>
    </xf>
    <xf numFmtId="0" fontId="22" fillId="0" borderId="63" xfId="0" applyFont="1" applyBorder="1" applyAlignment="1">
      <alignment horizontal="center" vertical="center"/>
    </xf>
    <xf numFmtId="10" fontId="0" fillId="0" borderId="0" xfId="0" applyNumberFormat="1"/>
    <xf numFmtId="10" fontId="12" fillId="3" borderId="0" xfId="0" applyNumberFormat="1" applyFont="1" applyFill="1"/>
    <xf numFmtId="2" fontId="12" fillId="3" borderId="0" xfId="0" applyNumberFormat="1" applyFont="1" applyFill="1"/>
    <xf numFmtId="4" fontId="2" fillId="0" borderId="35" xfId="0" applyNumberFormat="1" applyFont="1" applyBorder="1"/>
    <xf numFmtId="10" fontId="85" fillId="0" borderId="0" xfId="0" applyNumberFormat="1" applyFont="1"/>
    <xf numFmtId="0" fontId="86" fillId="0" borderId="0" xfId="0" applyFont="1" applyAlignment="1">
      <alignment vertical="center"/>
    </xf>
    <xf numFmtId="0" fontId="86" fillId="0" borderId="0" xfId="0" applyFont="1"/>
    <xf numFmtId="10" fontId="87" fillId="0" borderId="0" xfId="0" applyNumberFormat="1" applyFont="1" applyAlignment="1">
      <alignment vertical="center"/>
    </xf>
    <xf numFmtId="49" fontId="87" fillId="0" borderId="0" xfId="0" applyNumberFormat="1" applyFont="1"/>
    <xf numFmtId="10" fontId="87" fillId="0" borderId="0" xfId="0" applyNumberFormat="1" applyFont="1"/>
    <xf numFmtId="0" fontId="69" fillId="14" borderId="0" xfId="0" applyFont="1" applyFill="1" applyAlignment="1">
      <alignment horizontal="left" vertical="center"/>
    </xf>
    <xf numFmtId="0" fontId="75" fillId="0" borderId="0" xfId="0" applyFont="1" applyAlignment="1">
      <alignment horizontal="left" vertical="center" wrapText="1"/>
    </xf>
    <xf numFmtId="2" fontId="87" fillId="0" borderId="0" xfId="0" applyNumberFormat="1" applyFont="1" applyAlignment="1" applyProtection="1">
      <alignment horizontal="center" vertical="center"/>
      <protection locked="0"/>
    </xf>
    <xf numFmtId="3" fontId="87" fillId="0" borderId="0" xfId="0" applyNumberFormat="1" applyFont="1" applyAlignment="1" applyProtection="1">
      <alignment horizontal="center" vertical="center"/>
      <protection locked="0"/>
    </xf>
    <xf numFmtId="0" fontId="88" fillId="0" borderId="0" xfId="0" applyFont="1" applyAlignment="1" applyProtection="1">
      <alignment horizontal="center" vertical="center"/>
      <protection locked="0"/>
    </xf>
    <xf numFmtId="0" fontId="32" fillId="0" borderId="6" xfId="0" applyFont="1" applyBorder="1" applyAlignment="1">
      <alignment horizontal="left" vertical="center"/>
    </xf>
    <xf numFmtId="168" fontId="12" fillId="3" borderId="1" xfId="0" applyNumberFormat="1" applyFont="1" applyFill="1" applyBorder="1" applyAlignment="1" applyProtection="1">
      <alignment horizontal="center" vertical="center"/>
      <protection locked="0"/>
    </xf>
    <xf numFmtId="0" fontId="21" fillId="0" borderId="6" xfId="0" applyFont="1" applyBorder="1" applyAlignment="1">
      <alignment horizontal="left" vertical="center"/>
    </xf>
    <xf numFmtId="2" fontId="23" fillId="0" borderId="2" xfId="0" applyNumberFormat="1" applyFont="1" applyBorder="1" applyAlignment="1">
      <alignment horizontal="center" vertical="center"/>
    </xf>
    <xf numFmtId="14" fontId="24" fillId="0" borderId="15" xfId="0" applyNumberFormat="1" applyFont="1" applyBorder="1" applyAlignment="1" applyProtection="1">
      <alignment horizontal="center" vertical="center"/>
      <protection locked="0"/>
    </xf>
    <xf numFmtId="0" fontId="90" fillId="0" borderId="0" xfId="0" applyFont="1" applyAlignment="1">
      <alignment vertical="center"/>
    </xf>
    <xf numFmtId="185" fontId="24" fillId="0" borderId="15" xfId="0" applyNumberFormat="1" applyFont="1" applyBorder="1" applyAlignment="1" applyProtection="1">
      <alignment horizontal="center" vertical="center"/>
      <protection locked="0"/>
    </xf>
    <xf numFmtId="185" fontId="24" fillId="0" borderId="15" xfId="0" applyNumberFormat="1" applyFont="1" applyBorder="1" applyAlignment="1">
      <alignment horizontal="center" vertical="center"/>
    </xf>
    <xf numFmtId="0" fontId="13" fillId="0" borderId="0" xfId="0" applyFont="1" applyAlignment="1" applyProtection="1">
      <alignment horizontal="left" vertical="center"/>
      <protection locked="0"/>
    </xf>
    <xf numFmtId="0" fontId="13" fillId="0" borderId="0" xfId="0" applyFont="1" applyAlignment="1" applyProtection="1">
      <alignment horizontal="center" vertical="center"/>
      <protection locked="0"/>
    </xf>
    <xf numFmtId="186" fontId="13" fillId="0" borderId="0" xfId="0" applyNumberFormat="1" applyFont="1" applyAlignment="1" applyProtection="1">
      <alignment horizontal="center" vertical="center"/>
      <protection locked="0"/>
    </xf>
    <xf numFmtId="0" fontId="92" fillId="0" borderId="0" xfId="0" applyFont="1"/>
    <xf numFmtId="0" fontId="92" fillId="0" borderId="14" xfId="0" applyFont="1" applyBorder="1"/>
    <xf numFmtId="0" fontId="92" fillId="0" borderId="34" xfId="0" applyFont="1" applyBorder="1" applyAlignment="1">
      <alignment horizontal="right"/>
    </xf>
    <xf numFmtId="0" fontId="92" fillId="0" borderId="35" xfId="0" applyFont="1" applyBorder="1" applyAlignment="1">
      <alignment horizontal="right"/>
    </xf>
    <xf numFmtId="0" fontId="92" fillId="0" borderId="35" xfId="0" applyFont="1" applyBorder="1" applyAlignment="1">
      <alignment horizontal="center"/>
    </xf>
    <xf numFmtId="0" fontId="92" fillId="0" borderId="73" xfId="0" applyFont="1" applyBorder="1" applyAlignment="1">
      <alignment horizontal="right"/>
    </xf>
    <xf numFmtId="0" fontId="93" fillId="3" borderId="35" xfId="0" applyFont="1" applyFill="1" applyBorder="1" applyAlignment="1" applyProtection="1">
      <alignment horizontal="center"/>
      <protection locked="0"/>
    </xf>
    <xf numFmtId="0" fontId="94" fillId="0" borderId="35" xfId="0" applyFont="1" applyBorder="1" applyAlignment="1">
      <alignment horizontal="center"/>
    </xf>
    <xf numFmtId="0" fontId="94" fillId="0" borderId="73" xfId="0" applyFont="1" applyBorder="1" applyAlignment="1">
      <alignment horizontal="center"/>
    </xf>
    <xf numFmtId="0" fontId="94" fillId="0" borderId="35" xfId="0" applyFont="1" applyBorder="1" applyAlignment="1">
      <alignment horizontal="left"/>
    </xf>
    <xf numFmtId="187" fontId="93" fillId="3" borderId="35" xfId="0" applyNumberFormat="1" applyFont="1" applyFill="1" applyBorder="1" applyAlignment="1" applyProtection="1">
      <alignment horizontal="center"/>
      <protection locked="0"/>
    </xf>
    <xf numFmtId="183" fontId="93" fillId="3" borderId="35" xfId="0" applyNumberFormat="1" applyFont="1" applyFill="1" applyBorder="1" applyAlignment="1" applyProtection="1">
      <alignment horizontal="center"/>
      <protection locked="0"/>
    </xf>
    <xf numFmtId="183" fontId="94" fillId="0" borderId="35" xfId="0" applyNumberFormat="1" applyFont="1" applyBorder="1" applyAlignment="1">
      <alignment horizontal="center"/>
    </xf>
    <xf numFmtId="184" fontId="93" fillId="3" borderId="35" xfId="0" applyNumberFormat="1" applyFont="1" applyFill="1" applyBorder="1" applyAlignment="1" applyProtection="1">
      <alignment horizontal="center"/>
      <protection locked="0"/>
    </xf>
    <xf numFmtId="2" fontId="93" fillId="3" borderId="35" xfId="0" applyNumberFormat="1" applyFont="1" applyFill="1" applyBorder="1" applyAlignment="1" applyProtection="1">
      <alignment horizontal="center"/>
      <protection locked="0"/>
    </xf>
    <xf numFmtId="188" fontId="93" fillId="3" borderId="35" xfId="0" applyNumberFormat="1" applyFont="1" applyFill="1" applyBorder="1" applyAlignment="1" applyProtection="1">
      <alignment horizontal="center"/>
      <protection locked="0"/>
    </xf>
    <xf numFmtId="188" fontId="94" fillId="0" borderId="35" xfId="0" applyNumberFormat="1" applyFont="1" applyBorder="1" applyAlignment="1">
      <alignment horizontal="center"/>
    </xf>
    <xf numFmtId="0" fontId="93" fillId="3" borderId="35" xfId="0" applyFont="1" applyFill="1" applyBorder="1" applyAlignment="1" applyProtection="1">
      <alignment horizontal="left"/>
      <protection locked="0"/>
    </xf>
    <xf numFmtId="189" fontId="94" fillId="0" borderId="35" xfId="0" applyNumberFormat="1" applyFont="1" applyBorder="1" applyAlignment="1">
      <alignment horizontal="center"/>
    </xf>
    <xf numFmtId="0" fontId="95" fillId="14" borderId="0" xfId="0" applyFont="1" applyFill="1" applyAlignment="1">
      <alignment horizontal="left" vertical="center"/>
    </xf>
    <xf numFmtId="0" fontId="92" fillId="0" borderId="35" xfId="0" applyFont="1" applyBorder="1" applyAlignment="1">
      <alignment horizontal="center" vertical="center" wrapText="1"/>
    </xf>
    <xf numFmtId="0" fontId="13" fillId="0" borderId="35" xfId="0" applyFont="1" applyBorder="1" applyAlignment="1">
      <alignment horizontal="center" vertical="center"/>
    </xf>
    <xf numFmtId="0" fontId="13" fillId="0" borderId="35" xfId="0" applyFont="1" applyBorder="1" applyAlignment="1">
      <alignment horizontal="left" vertical="center"/>
    </xf>
    <xf numFmtId="3" fontId="13" fillId="0" borderId="35" xfId="0" applyNumberFormat="1" applyFont="1" applyBorder="1" applyAlignment="1">
      <alignment horizontal="center" vertical="center"/>
    </xf>
    <xf numFmtId="190" fontId="13" fillId="0" borderId="35" xfId="0" applyNumberFormat="1" applyFont="1" applyBorder="1" applyAlignment="1">
      <alignment horizontal="center" vertical="center"/>
    </xf>
    <xf numFmtId="191" fontId="13" fillId="0" borderId="35" xfId="0" applyNumberFormat="1" applyFont="1" applyBorder="1" applyAlignment="1">
      <alignment horizontal="center" vertical="center"/>
    </xf>
    <xf numFmtId="184" fontId="13" fillId="0" borderId="35" xfId="0" applyNumberFormat="1" applyFont="1" applyBorder="1" applyAlignment="1">
      <alignment horizontal="center" vertical="center"/>
    </xf>
    <xf numFmtId="0" fontId="1" fillId="0" borderId="0" xfId="0" applyFont="1"/>
    <xf numFmtId="0" fontId="5" fillId="7" borderId="0" xfId="0" applyFont="1" applyFill="1"/>
    <xf numFmtId="49" fontId="91" fillId="0" borderId="0" xfId="0" applyNumberFormat="1" applyFont="1"/>
    <xf numFmtId="49" fontId="12" fillId="3" borderId="1" xfId="0" applyNumberFormat="1" applyFont="1" applyFill="1" applyBorder="1" applyAlignment="1" applyProtection="1">
      <alignment horizontal="left" vertical="center"/>
      <protection locked="0"/>
    </xf>
    <xf numFmtId="182" fontId="16" fillId="0" borderId="0" xfId="0" applyNumberFormat="1" applyFont="1" applyAlignment="1">
      <alignment vertical="center"/>
    </xf>
    <xf numFmtId="172" fontId="16" fillId="0" borderId="0" xfId="0" applyNumberFormat="1" applyFont="1" applyAlignment="1">
      <alignment vertical="center"/>
    </xf>
    <xf numFmtId="4" fontId="2" fillId="0" borderId="0" xfId="0" applyNumberFormat="1" applyFont="1" applyAlignment="1">
      <alignment vertical="center"/>
    </xf>
    <xf numFmtId="4" fontId="26" fillId="0" borderId="0" xfId="0" applyNumberFormat="1" applyFont="1" applyAlignment="1">
      <alignment vertical="center"/>
    </xf>
    <xf numFmtId="4" fontId="2" fillId="0" borderId="0" xfId="0" applyNumberFormat="1" applyFont="1"/>
    <xf numFmtId="4" fontId="22" fillId="0" borderId="0" xfId="0" applyNumberFormat="1" applyFont="1" applyAlignment="1">
      <alignment horizontal="center" wrapText="1"/>
    </xf>
    <xf numFmtId="4" fontId="13" fillId="12" borderId="1" xfId="0" applyNumberFormat="1" applyFont="1" applyFill="1" applyBorder="1" applyAlignment="1">
      <alignment vertical="center"/>
    </xf>
    <xf numFmtId="2" fontId="7" fillId="0" borderId="0" xfId="0" applyNumberFormat="1" applyFont="1" applyAlignment="1">
      <alignment vertical="center"/>
    </xf>
    <xf numFmtId="3" fontId="78" fillId="0" borderId="0" xfId="0" applyNumberFormat="1" applyFont="1"/>
    <xf numFmtId="180" fontId="78" fillId="0" borderId="0" xfId="0" applyNumberFormat="1" applyFont="1"/>
    <xf numFmtId="10" fontId="78" fillId="0" borderId="0" xfId="0" applyNumberFormat="1" applyFont="1"/>
    <xf numFmtId="170" fontId="13" fillId="0" borderId="1" xfId="0" applyNumberFormat="1" applyFont="1" applyBorder="1" applyAlignment="1">
      <alignment horizontal="center" vertical="center"/>
    </xf>
    <xf numFmtId="3" fontId="16" fillId="0" borderId="0" xfId="0" applyNumberFormat="1" applyFont="1" applyAlignment="1">
      <alignment vertical="center"/>
    </xf>
    <xf numFmtId="0" fontId="13" fillId="0" borderId="3" xfId="0" applyFont="1" applyBorder="1" applyAlignment="1">
      <alignment horizontal="left" vertical="center"/>
    </xf>
    <xf numFmtId="2" fontId="2" fillId="0" borderId="0" xfId="0" applyNumberFormat="1" applyFont="1" applyAlignment="1">
      <alignment vertical="center"/>
    </xf>
    <xf numFmtId="2" fontId="77" fillId="0" borderId="0" xfId="0" applyNumberFormat="1" applyFont="1"/>
    <xf numFmtId="2" fontId="0" fillId="0" borderId="0" xfId="0" applyNumberFormat="1"/>
    <xf numFmtId="0" fontId="10" fillId="0" borderId="0" xfId="0" applyFont="1" applyAlignment="1">
      <alignment vertical="center"/>
    </xf>
    <xf numFmtId="0" fontId="5" fillId="0" borderId="0" xfId="0" applyFont="1"/>
    <xf numFmtId="9" fontId="13" fillId="12" borderId="1" xfId="1" applyFont="1" applyFill="1" applyBorder="1" applyAlignment="1" applyProtection="1">
      <alignment horizontal="center" vertical="center"/>
      <protection locked="0"/>
    </xf>
    <xf numFmtId="0" fontId="12" fillId="3" borderId="1" xfId="0" applyFont="1" applyFill="1" applyBorder="1" applyAlignment="1" applyProtection="1">
      <alignment horizontal="center"/>
      <protection locked="0"/>
    </xf>
    <xf numFmtId="0" fontId="12" fillId="3" borderId="10"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vertical="center"/>
      <protection locked="0"/>
    </xf>
    <xf numFmtId="0" fontId="12" fillId="3" borderId="0" xfId="0" applyFont="1" applyFill="1" applyAlignment="1" applyProtection="1">
      <alignment vertical="center"/>
      <protection locked="0"/>
    </xf>
    <xf numFmtId="178" fontId="12" fillId="3" borderId="1" xfId="0" applyNumberFormat="1" applyFont="1" applyFill="1" applyBorder="1" applyAlignment="1" applyProtection="1">
      <alignment vertical="center"/>
      <protection locked="0"/>
    </xf>
    <xf numFmtId="2" fontId="71" fillId="3" borderId="1" xfId="0" applyNumberFormat="1" applyFont="1" applyFill="1" applyBorder="1" applyAlignment="1" applyProtection="1">
      <alignment horizontal="center" vertical="center"/>
      <protection locked="0"/>
    </xf>
    <xf numFmtId="0" fontId="21" fillId="0" borderId="0" xfId="0" applyFont="1" applyAlignment="1">
      <alignment horizontal="left" vertical="center"/>
    </xf>
    <xf numFmtId="0" fontId="18" fillId="14" borderId="1" xfId="0" applyFont="1" applyFill="1" applyBorder="1" applyAlignment="1">
      <alignment horizontal="left" vertical="center"/>
    </xf>
    <xf numFmtId="0" fontId="21" fillId="0" borderId="0" xfId="0" applyFont="1" applyAlignment="1">
      <alignment horizontal="left"/>
    </xf>
    <xf numFmtId="192" fontId="13" fillId="0" borderId="1" xfId="0" applyNumberFormat="1" applyFont="1" applyBorder="1" applyAlignment="1">
      <alignment horizontal="center" vertical="center"/>
    </xf>
    <xf numFmtId="4" fontId="13" fillId="0" borderId="3" xfId="0" applyNumberFormat="1" applyFont="1" applyBorder="1" applyAlignment="1">
      <alignment horizontal="left" vertical="center"/>
    </xf>
    <xf numFmtId="4" fontId="13" fillId="0" borderId="3" xfId="0" applyNumberFormat="1" applyFont="1" applyBorder="1" applyAlignment="1">
      <alignment horizontal="left"/>
    </xf>
    <xf numFmtId="4" fontId="13" fillId="0" borderId="13" xfId="0" applyNumberFormat="1" applyFont="1" applyBorder="1" applyAlignment="1">
      <alignment horizontal="left" vertical="center"/>
    </xf>
    <xf numFmtId="4" fontId="7" fillId="0" borderId="0" xfId="0" applyNumberFormat="1" applyFont="1" applyAlignment="1">
      <alignment vertical="center"/>
    </xf>
    <xf numFmtId="4" fontId="7" fillId="0" borderId="0" xfId="0" applyNumberFormat="1" applyFont="1"/>
    <xf numFmtId="4" fontId="7" fillId="0" borderId="0" xfId="0" applyNumberFormat="1" applyFont="1" applyAlignment="1">
      <alignment horizontal="center"/>
    </xf>
    <xf numFmtId="4" fontId="7" fillId="0" borderId="0" xfId="0" applyNumberFormat="1" applyFont="1" applyAlignment="1">
      <alignment horizontal="center" vertical="center"/>
    </xf>
    <xf numFmtId="1" fontId="77" fillId="0" borderId="0" xfId="0" applyNumberFormat="1" applyFont="1"/>
    <xf numFmtId="3" fontId="94" fillId="0" borderId="0" xfId="0" applyNumberFormat="1" applyFont="1" applyAlignment="1">
      <alignment horizontal="center" vertical="center"/>
    </xf>
    <xf numFmtId="3" fontId="71" fillId="3" borderId="1" xfId="0" applyNumberFormat="1" applyFont="1" applyFill="1" applyBorder="1" applyAlignment="1" applyProtection="1">
      <alignment horizontal="center" vertical="center"/>
      <protection locked="0"/>
    </xf>
    <xf numFmtId="3" fontId="94" fillId="0" borderId="0" xfId="0" applyNumberFormat="1" applyFont="1" applyAlignment="1" applyProtection="1">
      <alignment horizontal="center" vertical="center"/>
      <protection locked="0"/>
    </xf>
    <xf numFmtId="0" fontId="43" fillId="14" borderId="0" xfId="0" applyFont="1" applyFill="1"/>
    <xf numFmtId="0" fontId="12" fillId="3" borderId="1" xfId="0" applyFont="1" applyFill="1" applyBorder="1" applyAlignment="1">
      <alignment horizontal="center" vertical="center"/>
    </xf>
    <xf numFmtId="190" fontId="13" fillId="0" borderId="1" xfId="0" applyNumberFormat="1" applyFont="1" applyBorder="1" applyAlignment="1">
      <alignment horizontal="center" vertical="center"/>
    </xf>
    <xf numFmtId="193" fontId="12" fillId="3" borderId="1" xfId="0" applyNumberFormat="1" applyFont="1" applyFill="1" applyBorder="1" applyAlignment="1" applyProtection="1">
      <alignment horizontal="center" vertical="center"/>
      <protection locked="0"/>
    </xf>
    <xf numFmtId="194" fontId="13" fillId="0" borderId="1" xfId="0" applyNumberFormat="1" applyFont="1" applyBorder="1" applyAlignment="1">
      <alignment horizontal="center" vertical="center"/>
    </xf>
    <xf numFmtId="190" fontId="12" fillId="3" borderId="1" xfId="0" applyNumberFormat="1" applyFont="1" applyFill="1" applyBorder="1" applyAlignment="1" applyProtection="1">
      <alignment horizontal="center" vertical="center"/>
      <protection locked="0"/>
    </xf>
    <xf numFmtId="0" fontId="39" fillId="0" borderId="0" xfId="0" applyFont="1"/>
    <xf numFmtId="0" fontId="70" fillId="0" borderId="1" xfId="0" applyFont="1" applyBorder="1" applyAlignment="1">
      <alignment horizontal="center" vertical="center"/>
    </xf>
    <xf numFmtId="4" fontId="0" fillId="0" borderId="0" xfId="0" applyNumberFormat="1"/>
    <xf numFmtId="4" fontId="94" fillId="0" borderId="0" xfId="0" applyNumberFormat="1" applyFont="1" applyAlignment="1">
      <alignment horizontal="center" vertical="center"/>
    </xf>
    <xf numFmtId="0" fontId="99" fillId="0" borderId="0" xfId="0" applyFont="1"/>
    <xf numFmtId="49" fontId="24" fillId="0" borderId="53" xfId="0" applyNumberFormat="1" applyFont="1" applyBorder="1" applyAlignment="1">
      <alignment horizontal="center" vertical="top"/>
    </xf>
    <xf numFmtId="0" fontId="102" fillId="0" borderId="54" xfId="2" applyFont="1" applyBorder="1" applyAlignment="1">
      <alignment vertical="top" wrapText="1"/>
    </xf>
    <xf numFmtId="0" fontId="0" fillId="0" borderId="0" xfId="0" applyAlignment="1">
      <alignment wrapText="1"/>
    </xf>
    <xf numFmtId="4" fontId="13" fillId="0" borderId="4" xfId="0" applyNumberFormat="1" applyFont="1" applyBorder="1" applyAlignment="1">
      <alignment horizontal="center" vertical="center"/>
    </xf>
    <xf numFmtId="4" fontId="13" fillId="0" borderId="35" xfId="0" applyNumberFormat="1" applyFont="1" applyBorder="1" applyAlignment="1">
      <alignment horizontal="center" vertical="center"/>
    </xf>
    <xf numFmtId="0" fontId="94" fillId="0" borderId="0" xfId="0" applyFont="1" applyAlignment="1" applyProtection="1">
      <alignment horizontal="left" vertical="center"/>
      <protection locked="0"/>
    </xf>
    <xf numFmtId="0" fontId="94" fillId="0" borderId="0" xfId="0" applyFont="1" applyAlignment="1" applyProtection="1">
      <alignment horizontal="center" vertical="center"/>
      <protection locked="0"/>
    </xf>
    <xf numFmtId="186" fontId="94" fillId="0" borderId="0" xfId="0" applyNumberFormat="1" applyFont="1" applyAlignment="1" applyProtection="1">
      <alignment horizontal="center" vertical="center"/>
      <protection locked="0"/>
    </xf>
    <xf numFmtId="0" fontId="21" fillId="0" borderId="6" xfId="0" applyFont="1" applyBorder="1" applyAlignment="1">
      <alignment horizontal="left" vertical="top" wrapText="1"/>
    </xf>
    <xf numFmtId="0" fontId="21" fillId="0" borderId="0" xfId="0" applyFont="1" applyAlignment="1">
      <alignment horizontal="left" vertical="top" wrapText="1"/>
    </xf>
    <xf numFmtId="0" fontId="21" fillId="0" borderId="5" xfId="0" applyFont="1" applyBorder="1" applyAlignment="1">
      <alignment horizontal="left" vertical="top" wrapText="1"/>
    </xf>
    <xf numFmtId="0" fontId="43" fillId="13" borderId="2" xfId="0" applyFont="1" applyFill="1" applyBorder="1" applyAlignment="1">
      <alignment horizontal="left" vertical="center" wrapText="1"/>
    </xf>
    <xf numFmtId="0" fontId="43" fillId="13" borderId="4" xfId="0" applyFont="1" applyFill="1" applyBorder="1" applyAlignment="1">
      <alignment vertical="center" wrapText="1"/>
    </xf>
    <xf numFmtId="0" fontId="18" fillId="13" borderId="3" xfId="0" applyFont="1" applyFill="1" applyBorder="1" applyAlignment="1">
      <alignment horizontal="left" vertical="center"/>
    </xf>
    <xf numFmtId="0" fontId="18" fillId="13" borderId="2" xfId="0" applyFont="1" applyFill="1" applyBorder="1" applyAlignment="1">
      <alignment horizontal="left" vertical="center"/>
    </xf>
    <xf numFmtId="0" fontId="18" fillId="13" borderId="4" xfId="0" applyFont="1" applyFill="1" applyBorder="1" applyAlignment="1">
      <alignment horizontal="left" vertical="center" wrapText="1"/>
    </xf>
    <xf numFmtId="0" fontId="19" fillId="13" borderId="3" xfId="0" applyFont="1" applyFill="1" applyBorder="1" applyAlignment="1">
      <alignment horizontal="left" vertical="center"/>
    </xf>
    <xf numFmtId="0" fontId="19" fillId="13" borderId="2" xfId="0" applyFont="1" applyFill="1" applyBorder="1" applyAlignment="1">
      <alignment horizontal="left" vertical="center"/>
    </xf>
    <xf numFmtId="0" fontId="19" fillId="13" borderId="4" xfId="0" applyFont="1" applyFill="1" applyBorder="1" applyAlignment="1">
      <alignment horizontal="left" vertical="center"/>
    </xf>
    <xf numFmtId="0" fontId="34" fillId="0" borderId="6" xfId="0" applyFont="1" applyBorder="1" applyAlignment="1">
      <alignment horizontal="left" vertical="top" wrapText="1"/>
    </xf>
    <xf numFmtId="0" fontId="34" fillId="0" borderId="0" xfId="0" applyFont="1" applyAlignment="1">
      <alignment horizontal="left" vertical="top" wrapText="1"/>
    </xf>
    <xf numFmtId="0" fontId="34" fillId="0" borderId="5" xfId="0" applyFont="1" applyBorder="1" applyAlignment="1">
      <alignment horizontal="left" vertical="top" wrapText="1"/>
    </xf>
    <xf numFmtId="0" fontId="34" fillId="0" borderId="16" xfId="0" applyFont="1" applyBorder="1" applyAlignment="1">
      <alignment horizontal="left" vertical="top" wrapText="1"/>
    </xf>
    <xf numFmtId="0" fontId="34" fillId="0" borderId="17" xfId="0" applyFont="1" applyBorder="1" applyAlignment="1">
      <alignment horizontal="left" vertical="top" wrapText="1"/>
    </xf>
    <xf numFmtId="0" fontId="34" fillId="0" borderId="18" xfId="0" applyFont="1" applyBorder="1" applyAlignment="1">
      <alignment horizontal="left" vertical="top" wrapText="1"/>
    </xf>
    <xf numFmtId="0" fontId="21" fillId="0" borderId="13" xfId="0" applyFont="1" applyBorder="1" applyAlignment="1">
      <alignment horizontal="left" vertical="top" wrapText="1"/>
    </xf>
    <xf numFmtId="0" fontId="21" fillId="0" borderId="14" xfId="0" applyFont="1" applyBorder="1" applyAlignment="1">
      <alignment horizontal="left" vertical="top" wrapText="1"/>
    </xf>
    <xf numFmtId="0" fontId="21" fillId="0" borderId="12" xfId="0" applyFont="1" applyBorder="1" applyAlignment="1">
      <alignment horizontal="left" vertical="top" wrapText="1"/>
    </xf>
    <xf numFmtId="0" fontId="21" fillId="0" borderId="7" xfId="0" applyFont="1" applyBorder="1" applyAlignment="1">
      <alignment horizontal="left" vertical="top" wrapText="1"/>
    </xf>
    <xf numFmtId="0" fontId="21" fillId="0" borderId="9" xfId="0" applyFont="1" applyBorder="1" applyAlignment="1">
      <alignment horizontal="left" vertical="top" wrapText="1"/>
    </xf>
    <xf numFmtId="0" fontId="21" fillId="0" borderId="8" xfId="0" applyFont="1" applyBorder="1" applyAlignment="1">
      <alignment horizontal="left" vertical="top" wrapText="1"/>
    </xf>
    <xf numFmtId="0" fontId="21" fillId="0" borderId="27" xfId="0" applyFont="1" applyBorder="1" applyAlignment="1">
      <alignment horizontal="left" vertical="top" wrapText="1"/>
    </xf>
    <xf numFmtId="0" fontId="21" fillId="0" borderId="28" xfId="0" applyFont="1" applyBorder="1" applyAlignment="1">
      <alignment horizontal="left" vertical="top" wrapText="1"/>
    </xf>
    <xf numFmtId="0" fontId="21" fillId="0" borderId="29" xfId="0" applyFont="1" applyBorder="1" applyAlignment="1">
      <alignment horizontal="left" vertical="top" wrapText="1"/>
    </xf>
    <xf numFmtId="0" fontId="18" fillId="13" borderId="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0" xfId="0" applyFont="1" applyFill="1" applyAlignment="1">
      <alignment horizontal="left" vertical="center"/>
    </xf>
    <xf numFmtId="0" fontId="18" fillId="13" borderId="6" xfId="0" applyFont="1" applyFill="1" applyBorder="1" applyAlignment="1">
      <alignment horizontal="left" vertical="center"/>
    </xf>
    <xf numFmtId="0" fontId="18" fillId="13" borderId="0" xfId="0" applyFont="1" applyFill="1" applyAlignment="1">
      <alignment horizontal="left" vertical="center"/>
    </xf>
    <xf numFmtId="0" fontId="21" fillId="0" borderId="0" xfId="0" applyFont="1" applyAlignment="1">
      <alignment horizontal="left" vertical="center"/>
    </xf>
    <xf numFmtId="0" fontId="22" fillId="0" borderId="1" xfId="0" applyFont="1" applyBorder="1" applyAlignment="1">
      <alignment horizontal="left" vertical="center"/>
    </xf>
    <xf numFmtId="0" fontId="51" fillId="0" borderId="0" xfId="0" applyFont="1" applyAlignment="1">
      <alignment vertical="center"/>
    </xf>
    <xf numFmtId="0" fontId="22" fillId="0" borderId="0" xfId="0" applyFont="1" applyAlignment="1">
      <alignment horizontal="center" wrapText="1"/>
    </xf>
    <xf numFmtId="0" fontId="55" fillId="14" borderId="1" xfId="0" applyFont="1" applyFill="1" applyBorder="1" applyAlignment="1">
      <alignment horizontal="left" vertical="center"/>
    </xf>
    <xf numFmtId="0" fontId="47" fillId="0" borderId="14" xfId="0" applyFont="1" applyBorder="1" applyAlignment="1">
      <alignment horizontal="left" vertical="top" wrapText="1"/>
    </xf>
    <xf numFmtId="0" fontId="57" fillId="0" borderId="14" xfId="0" applyFont="1" applyBorder="1" applyAlignment="1">
      <alignment horizontal="left"/>
    </xf>
    <xf numFmtId="0" fontId="47" fillId="0" borderId="0" xfId="0" applyFont="1" applyAlignment="1">
      <alignment horizontal="left" vertical="top" wrapText="1"/>
    </xf>
    <xf numFmtId="0" fontId="40" fillId="0" borderId="1" xfId="0" applyFont="1" applyBorder="1" applyAlignment="1">
      <alignment horizontal="left" vertical="center"/>
    </xf>
    <xf numFmtId="0" fontId="22" fillId="0" borderId="9" xfId="0" applyFont="1" applyBorder="1" applyAlignment="1">
      <alignment horizontal="center"/>
    </xf>
    <xf numFmtId="0" fontId="94" fillId="0" borderId="34" xfId="0" applyFont="1" applyBorder="1" applyAlignment="1">
      <alignment horizontal="left"/>
    </xf>
    <xf numFmtId="0" fontId="94" fillId="0" borderId="68" xfId="0" applyFont="1" applyBorder="1" applyAlignment="1">
      <alignment horizontal="left"/>
    </xf>
    <xf numFmtId="0" fontId="94" fillId="0" borderId="38" xfId="0" applyFont="1" applyBorder="1" applyAlignment="1">
      <alignment horizontal="left"/>
    </xf>
    <xf numFmtId="0" fontId="12" fillId="3" borderId="1" xfId="0" applyFont="1" applyFill="1" applyBorder="1" applyAlignment="1" applyProtection="1">
      <alignment horizontal="left" vertical="center"/>
      <protection locked="0"/>
    </xf>
    <xf numFmtId="0" fontId="13" fillId="0" borderId="0" xfId="0" applyFont="1" applyAlignment="1">
      <alignment vertical="center"/>
    </xf>
    <xf numFmtId="0" fontId="18" fillId="13" borderId="8" xfId="0" applyFont="1" applyFill="1" applyBorder="1" applyAlignment="1">
      <alignment horizontal="left" vertical="center"/>
    </xf>
    <xf numFmtId="0" fontId="18" fillId="13" borderId="11" xfId="0" applyFont="1" applyFill="1" applyBorder="1" applyAlignment="1">
      <alignment horizontal="left" vertical="center"/>
    </xf>
    <xf numFmtId="0" fontId="18" fillId="13" borderId="7" xfId="0" applyFont="1" applyFill="1" applyBorder="1" applyAlignment="1">
      <alignment horizontal="left" vertical="center"/>
    </xf>
    <xf numFmtId="0" fontId="13" fillId="0" borderId="14" xfId="0" applyFont="1" applyBorder="1" applyAlignment="1">
      <alignment horizontal="center" wrapText="1"/>
    </xf>
    <xf numFmtId="0" fontId="13" fillId="0" borderId="0" xfId="0" applyFont="1" applyAlignment="1">
      <alignment horizontal="center" wrapText="1"/>
    </xf>
    <xf numFmtId="0" fontId="13" fillId="0" borderId="1" xfId="0" applyFont="1" applyBorder="1" applyAlignment="1">
      <alignment horizontal="left" vertical="center"/>
    </xf>
    <xf numFmtId="2" fontId="23" fillId="9" borderId="1" xfId="0" applyNumberFormat="1" applyFont="1" applyFill="1" applyBorder="1" applyAlignment="1">
      <alignment horizontal="left" vertical="center"/>
    </xf>
    <xf numFmtId="3" fontId="13" fillId="0" borderId="1" xfId="0" applyNumberFormat="1" applyFont="1" applyBorder="1" applyAlignment="1">
      <alignment horizontal="left" vertical="center"/>
    </xf>
    <xf numFmtId="0" fontId="2" fillId="0" borderId="0" xfId="0" applyFont="1" applyAlignment="1">
      <alignment horizontal="right" vertical="center"/>
    </xf>
    <xf numFmtId="0" fontId="2" fillId="0" borderId="5" xfId="0" applyFont="1" applyBorder="1" applyAlignment="1">
      <alignment horizontal="right" vertical="center"/>
    </xf>
    <xf numFmtId="0" fontId="21" fillId="0" borderId="0" xfId="0" applyFont="1" applyAlignment="1">
      <alignment horizontal="left"/>
    </xf>
    <xf numFmtId="0" fontId="22" fillId="0" borderId="9" xfId="0" applyFont="1" applyBorder="1" applyAlignment="1">
      <alignment horizontal="center" wrapText="1"/>
    </xf>
    <xf numFmtId="0" fontId="13" fillId="0" borderId="9" xfId="0" applyFont="1" applyBorder="1" applyAlignment="1">
      <alignment horizontal="center" wrapText="1"/>
    </xf>
    <xf numFmtId="0" fontId="89" fillId="13" borderId="6" xfId="0" applyFont="1" applyFill="1" applyBorder="1" applyAlignment="1">
      <alignment horizontal="left" vertical="center"/>
    </xf>
    <xf numFmtId="0" fontId="89" fillId="13" borderId="0" xfId="0" applyFont="1" applyFill="1" applyAlignment="1">
      <alignment horizontal="left" vertical="center"/>
    </xf>
    <xf numFmtId="0" fontId="18" fillId="13" borderId="9" xfId="0" applyFont="1" applyFill="1" applyBorder="1" applyAlignment="1">
      <alignment horizontal="left" vertical="center"/>
    </xf>
    <xf numFmtId="0" fontId="18" fillId="13" borderId="13" xfId="0" applyFont="1" applyFill="1" applyBorder="1" applyAlignment="1">
      <alignment horizontal="left" vertical="center"/>
    </xf>
    <xf numFmtId="0" fontId="18" fillId="13" borderId="14" xfId="0" applyFont="1" applyFill="1" applyBorder="1" applyAlignment="1">
      <alignment horizontal="left" vertical="center"/>
    </xf>
    <xf numFmtId="0" fontId="18" fillId="13" borderId="12" xfId="0" applyFont="1" applyFill="1" applyBorder="1" applyAlignment="1">
      <alignment horizontal="left" vertical="center"/>
    </xf>
    <xf numFmtId="0" fontId="18" fillId="14" borderId="13" xfId="0" applyFont="1" applyFill="1" applyBorder="1" applyAlignment="1">
      <alignment horizontal="left" vertical="center"/>
    </xf>
    <xf numFmtId="0" fontId="18" fillId="14" borderId="14" xfId="0" applyFont="1" applyFill="1" applyBorder="1" applyAlignment="1">
      <alignment horizontal="left" vertical="center"/>
    </xf>
    <xf numFmtId="0" fontId="18" fillId="14" borderId="12" xfId="0" applyFont="1" applyFill="1" applyBorder="1" applyAlignment="1">
      <alignment horizontal="left" vertical="center"/>
    </xf>
    <xf numFmtId="0" fontId="18" fillId="14" borderId="7" xfId="0" applyFont="1" applyFill="1" applyBorder="1" applyAlignment="1">
      <alignment horizontal="left" vertical="center"/>
    </xf>
    <xf numFmtId="0" fontId="18" fillId="14" borderId="9" xfId="0" applyFont="1" applyFill="1" applyBorder="1" applyAlignment="1">
      <alignment horizontal="left" vertical="center"/>
    </xf>
    <xf numFmtId="0" fontId="18" fillId="14" borderId="8" xfId="0" applyFont="1" applyFill="1" applyBorder="1" applyAlignment="1">
      <alignment horizontal="left" vertical="center"/>
    </xf>
    <xf numFmtId="0" fontId="89" fillId="13" borderId="13" xfId="0" applyFont="1" applyFill="1" applyBorder="1" applyAlignment="1">
      <alignment horizontal="left" vertical="center"/>
    </xf>
    <xf numFmtId="0" fontId="89" fillId="13" borderId="14" xfId="0" applyFont="1" applyFill="1" applyBorder="1" applyAlignment="1">
      <alignment horizontal="left" vertical="center"/>
    </xf>
    <xf numFmtId="0" fontId="89" fillId="13" borderId="12" xfId="0" applyFont="1" applyFill="1" applyBorder="1" applyAlignment="1">
      <alignment horizontal="left" vertical="center"/>
    </xf>
    <xf numFmtId="0" fontId="89" fillId="13" borderId="7" xfId="0" applyFont="1" applyFill="1" applyBorder="1" applyAlignment="1">
      <alignment horizontal="left" vertical="center"/>
    </xf>
    <xf numFmtId="0" fontId="89" fillId="13" borderId="9" xfId="0" applyFont="1" applyFill="1" applyBorder="1" applyAlignment="1">
      <alignment horizontal="left" vertical="center"/>
    </xf>
    <xf numFmtId="0" fontId="89" fillId="13" borderId="8" xfId="0" applyFont="1" applyFill="1" applyBorder="1" applyAlignment="1">
      <alignment horizontal="left" vertical="center"/>
    </xf>
    <xf numFmtId="0" fontId="12" fillId="11" borderId="3" xfId="0" applyFont="1" applyFill="1" applyBorder="1" applyAlignment="1" applyProtection="1">
      <alignment horizontal="left" vertical="center"/>
      <protection locked="0"/>
    </xf>
    <xf numFmtId="0" fontId="12" fillId="11" borderId="4" xfId="0" applyFont="1" applyFill="1" applyBorder="1" applyAlignment="1" applyProtection="1">
      <alignment horizontal="left" vertical="center"/>
      <protection locked="0"/>
    </xf>
    <xf numFmtId="0" fontId="18" fillId="13" borderId="4" xfId="0" applyFont="1" applyFill="1" applyBorder="1" applyAlignment="1">
      <alignment horizontal="left" vertical="center"/>
    </xf>
    <xf numFmtId="0" fontId="32" fillId="0" borderId="0" xfId="0" applyFont="1" applyAlignment="1">
      <alignment horizontal="left" vertical="center"/>
    </xf>
    <xf numFmtId="0" fontId="32" fillId="0" borderId="6" xfId="0" applyFont="1" applyBorder="1" applyAlignment="1">
      <alignment horizontal="left" vertical="center"/>
    </xf>
    <xf numFmtId="0" fontId="19" fillId="13" borderId="1" xfId="0" applyFont="1" applyFill="1" applyBorder="1" applyAlignment="1">
      <alignment horizontal="left" vertical="center"/>
    </xf>
    <xf numFmtId="0" fontId="37" fillId="13" borderId="4" xfId="0" applyFont="1" applyFill="1" applyBorder="1" applyAlignment="1">
      <alignment horizontal="left" vertical="center"/>
    </xf>
    <xf numFmtId="0" fontId="37" fillId="13" borderId="1" xfId="0" applyFont="1" applyFill="1" applyBorder="1" applyAlignment="1">
      <alignment horizontal="left" vertical="center"/>
    </xf>
    <xf numFmtId="0" fontId="38" fillId="13" borderId="3" xfId="0" applyFont="1" applyFill="1" applyBorder="1" applyAlignment="1">
      <alignment horizontal="left" vertical="center"/>
    </xf>
    <xf numFmtId="0" fontId="38" fillId="13" borderId="2" xfId="0" applyFont="1" applyFill="1" applyBorder="1" applyAlignment="1">
      <alignment horizontal="left" vertical="center"/>
    </xf>
    <xf numFmtId="0" fontId="38" fillId="13" borderId="4" xfId="0" applyFont="1" applyFill="1" applyBorder="1" applyAlignment="1">
      <alignment horizontal="left" vertical="center"/>
    </xf>
    <xf numFmtId="0" fontId="37" fillId="13" borderId="2" xfId="0" applyFont="1" applyFill="1" applyBorder="1" applyAlignment="1">
      <alignment horizontal="left" vertical="center"/>
    </xf>
    <xf numFmtId="0" fontId="21" fillId="0" borderId="6" xfId="0" applyFont="1" applyBorder="1" applyAlignment="1">
      <alignment horizontal="left" vertical="center"/>
    </xf>
    <xf numFmtId="0" fontId="22" fillId="0" borderId="14" xfId="0" applyFont="1" applyBorder="1" applyAlignment="1">
      <alignment horizontal="left" vertical="center"/>
    </xf>
    <xf numFmtId="0" fontId="34" fillId="0" borderId="14" xfId="0" applyFont="1" applyBorder="1" applyAlignment="1">
      <alignment horizontal="left" vertical="center" wrapText="1"/>
    </xf>
    <xf numFmtId="0" fontId="7" fillId="0" borderId="14" xfId="0" applyFont="1" applyBorder="1" applyAlignment="1">
      <alignment vertical="center"/>
    </xf>
    <xf numFmtId="4" fontId="21" fillId="0" borderId="0" xfId="0" applyNumberFormat="1" applyFont="1" applyAlignment="1">
      <alignment horizontal="left"/>
    </xf>
    <xf numFmtId="0" fontId="9" fillId="0" borderId="0" xfId="0" applyFont="1" applyAlignment="1">
      <alignment horizontal="left" vertical="center"/>
    </xf>
    <xf numFmtId="0" fontId="13" fillId="0" borderId="0" xfId="0" applyFont="1" applyAlignment="1">
      <alignment horizontal="left" vertical="center"/>
    </xf>
    <xf numFmtId="4" fontId="13" fillId="0" borderId="1" xfId="0" applyNumberFormat="1" applyFont="1" applyBorder="1" applyAlignment="1">
      <alignment horizontal="left" vertical="center"/>
    </xf>
    <xf numFmtId="0" fontId="18" fillId="14" borderId="1" xfId="0" applyFont="1" applyFill="1" applyBorder="1" applyAlignment="1">
      <alignment horizontal="left" vertical="center"/>
    </xf>
    <xf numFmtId="4" fontId="18" fillId="14" borderId="1" xfId="0" applyNumberFormat="1" applyFont="1" applyFill="1" applyBorder="1" applyAlignment="1">
      <alignment horizontal="left" vertical="center"/>
    </xf>
    <xf numFmtId="0" fontId="62" fillId="0" borderId="0" xfId="0" applyFont="1" applyAlignment="1">
      <alignment horizontal="center" wrapText="1"/>
    </xf>
    <xf numFmtId="0" fontId="22" fillId="0" borderId="63" xfId="0" applyFont="1" applyBorder="1" applyAlignment="1">
      <alignment horizontal="center" wrapText="1"/>
    </xf>
    <xf numFmtId="0" fontId="75" fillId="0" borderId="33" xfId="0" applyFont="1" applyBorder="1" applyAlignment="1">
      <alignment horizontal="left" vertical="top" wrapText="1"/>
    </xf>
    <xf numFmtId="0" fontId="75" fillId="0" borderId="33" xfId="0" applyFont="1" applyBorder="1" applyAlignment="1">
      <alignment horizontal="left" vertical="center" wrapText="1"/>
    </xf>
    <xf numFmtId="0" fontId="75" fillId="0" borderId="60" xfId="0" applyFont="1" applyBorder="1" applyAlignment="1">
      <alignment horizontal="left" vertical="center" wrapText="1"/>
    </xf>
    <xf numFmtId="0" fontId="22" fillId="0" borderId="70" xfId="0" applyFont="1" applyBorder="1" applyAlignment="1">
      <alignment horizontal="center" vertical="center"/>
    </xf>
    <xf numFmtId="0" fontId="22" fillId="0" borderId="71" xfId="0" applyFont="1" applyBorder="1" applyAlignment="1">
      <alignment horizontal="center" vertical="center"/>
    </xf>
    <xf numFmtId="0" fontId="22" fillId="0" borderId="72" xfId="0" applyFont="1" applyBorder="1" applyAlignment="1">
      <alignment horizontal="center" vertical="center"/>
    </xf>
    <xf numFmtId="0" fontId="72" fillId="0" borderId="63" xfId="0" applyFont="1" applyBorder="1" applyAlignment="1">
      <alignment horizontal="center" wrapText="1"/>
    </xf>
    <xf numFmtId="0" fontId="69" fillId="14" borderId="34" xfId="0" applyFont="1" applyFill="1" applyBorder="1" applyAlignment="1">
      <alignment horizontal="left" vertical="center"/>
    </xf>
    <xf numFmtId="0" fontId="69" fillId="14" borderId="68" xfId="0" applyFont="1" applyFill="1" applyBorder="1" applyAlignment="1">
      <alignment horizontal="left" vertical="center"/>
    </xf>
    <xf numFmtId="0" fontId="69" fillId="14" borderId="38" xfId="0" applyFont="1" applyFill="1" applyBorder="1" applyAlignment="1">
      <alignment horizontal="left" vertical="center"/>
    </xf>
    <xf numFmtId="0" fontId="22" fillId="0" borderId="63" xfId="0" applyFont="1" applyBorder="1" applyAlignment="1">
      <alignment horizontal="center" vertical="center"/>
    </xf>
    <xf numFmtId="0" fontId="62" fillId="0" borderId="63" xfId="0" applyFont="1" applyBorder="1" applyAlignment="1">
      <alignment horizontal="center" wrapTex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4" xfId="0" applyFont="1" applyBorder="1" applyAlignment="1">
      <alignment horizontal="center" vertical="center"/>
    </xf>
    <xf numFmtId="0" fontId="19" fillId="14" borderId="0" xfId="0" applyFont="1" applyFill="1" applyAlignment="1">
      <alignment horizontal="left" vertical="center"/>
    </xf>
    <xf numFmtId="0" fontId="24" fillId="0" borderId="9" xfId="0" applyFont="1" applyBorder="1" applyAlignment="1">
      <alignment horizontal="left" vertical="top" wrapText="1"/>
    </xf>
    <xf numFmtId="0" fontId="19" fillId="14" borderId="3" xfId="0" applyFont="1" applyFill="1" applyBorder="1" applyAlignment="1">
      <alignment horizontal="left" vertical="center"/>
    </xf>
    <xf numFmtId="0" fontId="19" fillId="14" borderId="2" xfId="0" applyFont="1" applyFill="1" applyBorder="1" applyAlignment="1">
      <alignment horizontal="left" vertical="center"/>
    </xf>
    <xf numFmtId="0" fontId="19" fillId="14" borderId="4" xfId="0" applyFont="1" applyFill="1" applyBorder="1" applyAlignment="1">
      <alignment horizontal="left" vertical="center"/>
    </xf>
    <xf numFmtId="0" fontId="24" fillId="0" borderId="1" xfId="0" applyFont="1" applyBorder="1" applyAlignment="1">
      <alignment horizontal="center" wrapText="1"/>
    </xf>
    <xf numFmtId="0" fontId="24" fillId="0" borderId="10" xfId="0" applyFont="1" applyBorder="1" applyAlignment="1">
      <alignment horizontal="center" vertical="center"/>
    </xf>
    <xf numFmtId="0" fontId="0" fillId="0" borderId="10" xfId="0" applyBorder="1"/>
    <xf numFmtId="0" fontId="24" fillId="0" borderId="3" xfId="0" applyFont="1" applyBorder="1" applyAlignment="1">
      <alignment horizontal="center" wrapText="1"/>
    </xf>
    <xf numFmtId="0" fontId="24" fillId="0" borderId="4" xfId="0" applyFont="1" applyBorder="1" applyAlignment="1">
      <alignment horizontal="center" wrapText="1"/>
    </xf>
    <xf numFmtId="0" fontId="76" fillId="0" borderId="0" xfId="0" applyFont="1" applyAlignment="1">
      <alignment vertical="top" wrapText="1"/>
    </xf>
    <xf numFmtId="0" fontId="16" fillId="7" borderId="0" xfId="0" applyFont="1" applyFill="1" applyAlignment="1">
      <alignment vertical="top" wrapText="1"/>
    </xf>
    <xf numFmtId="0" fontId="2" fillId="0" borderId="1" xfId="0" applyFont="1" applyBorder="1" applyAlignment="1">
      <alignment horizontal="center" wrapText="1"/>
    </xf>
    <xf numFmtId="0" fontId="45" fillId="13" borderId="1" xfId="0" applyFont="1" applyFill="1" applyBorder="1" applyAlignment="1">
      <alignment vertical="center"/>
    </xf>
    <xf numFmtId="0" fontId="9" fillId="0" borderId="0" xfId="0" applyFont="1" applyAlignment="1">
      <alignment vertical="center"/>
    </xf>
    <xf numFmtId="0" fontId="46" fillId="13" borderId="1" xfId="0" applyFont="1" applyFill="1" applyBorder="1" applyAlignment="1">
      <alignment vertical="center"/>
    </xf>
    <xf numFmtId="0" fontId="34" fillId="0" borderId="0" xfId="0" applyFont="1" applyAlignment="1">
      <alignment horizontal="left"/>
    </xf>
    <xf numFmtId="0" fontId="35" fillId="0" borderId="0" xfId="0" applyFont="1" applyAlignment="1">
      <alignment horizontal="left"/>
    </xf>
    <xf numFmtId="0" fontId="69" fillId="14" borderId="3" xfId="0" applyFont="1" applyFill="1" applyBorder="1" applyAlignment="1">
      <alignment horizontal="left" vertical="center"/>
    </xf>
    <xf numFmtId="0" fontId="0" fillId="0" borderId="2" xfId="0" applyBorder="1"/>
    <xf numFmtId="0" fontId="0" fillId="0" borderId="4" xfId="0" applyBorder="1"/>
    <xf numFmtId="0" fontId="72" fillId="0" borderId="9" xfId="0" applyFont="1" applyBorder="1" applyAlignment="1">
      <alignment horizontal="left" vertical="top" wrapText="1"/>
    </xf>
    <xf numFmtId="0" fontId="0" fillId="0" borderId="0" xfId="0"/>
    <xf numFmtId="0" fontId="0" fillId="0" borderId="9" xfId="0" applyBorder="1"/>
    <xf numFmtId="0" fontId="70" fillId="0" borderId="14" xfId="0" applyFont="1" applyBorder="1" applyAlignment="1">
      <alignment horizontal="right" vertical="center"/>
    </xf>
    <xf numFmtId="0" fontId="68" fillId="0" borderId="14" xfId="0" applyFont="1" applyBorder="1" applyAlignment="1">
      <alignment vertical="center"/>
    </xf>
    <xf numFmtId="0" fontId="72" fillId="0" borderId="10" xfId="0" applyFont="1" applyBorder="1" applyAlignment="1">
      <alignment horizontal="center" vertical="center"/>
    </xf>
    <xf numFmtId="0" fontId="72" fillId="0" borderId="1" xfId="0" applyFont="1" applyBorder="1" applyAlignment="1">
      <alignment horizontal="center" vertical="center"/>
    </xf>
    <xf numFmtId="0" fontId="53" fillId="0" borderId="42" xfId="0" applyFont="1" applyBorder="1" applyAlignment="1">
      <alignment horizontal="center" vertical="top"/>
    </xf>
    <xf numFmtId="0" fontId="53" fillId="0" borderId="43" xfId="0" applyFont="1" applyBorder="1" applyAlignment="1">
      <alignment horizontal="center" vertical="top"/>
    </xf>
    <xf numFmtId="0" fontId="53" fillId="0" borderId="44" xfId="0" applyFont="1" applyBorder="1" applyAlignment="1">
      <alignment horizontal="center" vertical="top"/>
    </xf>
    <xf numFmtId="0" fontId="53" fillId="0" borderId="45" xfId="0" applyFont="1" applyBorder="1" applyAlignment="1">
      <alignment horizontal="center" vertical="top"/>
    </xf>
    <xf numFmtId="0" fontId="53" fillId="0" borderId="46" xfId="0" applyFont="1" applyBorder="1" applyAlignment="1">
      <alignment horizontal="center" vertical="top"/>
    </xf>
    <xf numFmtId="0" fontId="53" fillId="0" borderId="47" xfId="0" applyFont="1" applyBorder="1" applyAlignment="1">
      <alignment horizontal="center" vertical="top"/>
    </xf>
    <xf numFmtId="0" fontId="21" fillId="0" borderId="0" xfId="0" applyFont="1" applyAlignment="1">
      <alignment horizontal="center" vertical="top"/>
    </xf>
    <xf numFmtId="0" fontId="19" fillId="13" borderId="0" xfId="0" applyFont="1" applyFill="1" applyAlignment="1">
      <alignment vertical="center"/>
    </xf>
    <xf numFmtId="0" fontId="21" fillId="0" borderId="0" xfId="0" applyFont="1" applyAlignment="1">
      <alignment vertical="center"/>
    </xf>
    <xf numFmtId="0" fontId="18" fillId="14" borderId="0" xfId="0" applyFont="1" applyFill="1" applyAlignment="1">
      <alignment vertical="center"/>
    </xf>
    <xf numFmtId="169" fontId="13" fillId="0" borderId="1" xfId="0" applyNumberFormat="1" applyFont="1" applyBorder="1" applyAlignment="1">
      <alignment horizontal="left" vertical="center"/>
    </xf>
    <xf numFmtId="2" fontId="13" fillId="0" borderId="1" xfId="0" applyNumberFormat="1" applyFont="1" applyBorder="1" applyAlignment="1">
      <alignment horizontal="left" vertical="center"/>
    </xf>
    <xf numFmtId="0" fontId="18" fillId="13" borderId="5" xfId="0" applyFont="1" applyFill="1" applyBorder="1" applyAlignment="1">
      <alignment horizontal="left" vertical="center"/>
    </xf>
    <xf numFmtId="0" fontId="12" fillId="11" borderId="1" xfId="0" applyFont="1" applyFill="1" applyBorder="1" applyAlignment="1" applyProtection="1">
      <alignment horizontal="left" vertical="center"/>
      <protection locked="0"/>
    </xf>
    <xf numFmtId="0" fontId="12" fillId="3" borderId="75" xfId="0" applyFont="1" applyFill="1" applyBorder="1" applyAlignment="1" applyProtection="1">
      <alignment horizontal="center" vertical="center"/>
      <protection locked="0"/>
    </xf>
    <xf numFmtId="0" fontId="46" fillId="13" borderId="3" xfId="0" applyFont="1" applyFill="1" applyBorder="1" applyAlignment="1">
      <alignment horizontal="left" vertical="center"/>
    </xf>
    <xf numFmtId="0" fontId="46" fillId="13" borderId="2" xfId="0" applyFont="1" applyFill="1" applyBorder="1" applyAlignment="1">
      <alignment horizontal="left" vertical="center"/>
    </xf>
    <xf numFmtId="0" fontId="46" fillId="13" borderId="4" xfId="0" applyFont="1" applyFill="1" applyBorder="1" applyAlignment="1">
      <alignment horizontal="left" vertical="center"/>
    </xf>
    <xf numFmtId="0" fontId="16" fillId="8" borderId="3" xfId="0" applyFont="1" applyFill="1" applyBorder="1" applyAlignment="1">
      <alignment horizontal="center"/>
    </xf>
    <xf numFmtId="0" fontId="16" fillId="8" borderId="4" xfId="0" applyFont="1" applyFill="1" applyBorder="1" applyAlignment="1">
      <alignment horizontal="center"/>
    </xf>
    <xf numFmtId="0" fontId="101" fillId="0" borderId="6" xfId="0" applyFont="1" applyBorder="1" applyAlignment="1">
      <alignment horizontal="center"/>
    </xf>
    <xf numFmtId="0" fontId="101" fillId="0" borderId="0" xfId="0" applyFont="1" applyAlignment="1">
      <alignment horizontal="center"/>
    </xf>
    <xf numFmtId="0" fontId="12" fillId="3" borderId="74" xfId="0" applyFont="1" applyFill="1" applyBorder="1" applyAlignment="1" applyProtection="1">
      <alignment horizontal="center" vertical="center"/>
      <protection locked="0"/>
    </xf>
    <xf numFmtId="0" fontId="19" fillId="13" borderId="13" xfId="0" applyFont="1" applyFill="1" applyBorder="1" applyAlignment="1">
      <alignment horizontal="left" vertical="center"/>
    </xf>
    <xf numFmtId="0" fontId="19" fillId="13" borderId="14" xfId="0" applyFont="1" applyFill="1" applyBorder="1" applyAlignment="1">
      <alignment horizontal="left" vertical="center"/>
    </xf>
    <xf numFmtId="0" fontId="19" fillId="13" borderId="12" xfId="0" applyFont="1" applyFill="1" applyBorder="1" applyAlignment="1">
      <alignment horizontal="left" vertical="center"/>
    </xf>
    <xf numFmtId="0" fontId="38" fillId="13" borderId="1" xfId="0" applyFont="1" applyFill="1" applyBorder="1" applyAlignment="1">
      <alignment horizontal="left" vertical="center"/>
    </xf>
    <xf numFmtId="0" fontId="64" fillId="13" borderId="0" xfId="0" applyFont="1" applyFill="1" applyAlignment="1">
      <alignment horizontal="left" vertical="center"/>
    </xf>
    <xf numFmtId="0" fontId="32" fillId="0" borderId="5" xfId="0" applyFont="1" applyBorder="1" applyAlignment="1">
      <alignment horizontal="left" vertical="center"/>
    </xf>
    <xf numFmtId="3" fontId="93" fillId="3" borderId="34" xfId="0" applyNumberFormat="1" applyFont="1" applyFill="1" applyBorder="1" applyAlignment="1" applyProtection="1">
      <alignment horizontal="center" vertical="center"/>
      <protection locked="0"/>
    </xf>
    <xf numFmtId="0" fontId="16" fillId="8" borderId="3" xfId="0" applyFont="1" applyFill="1" applyBorder="1" applyAlignment="1">
      <alignment horizontal="left"/>
    </xf>
    <xf numFmtId="0" fontId="16" fillId="8" borderId="4" xfId="0" applyFont="1" applyFill="1" applyBorder="1" applyAlignment="1">
      <alignment horizontal="left"/>
    </xf>
    <xf numFmtId="0" fontId="18" fillId="14" borderId="3" xfId="0" applyFont="1" applyFill="1" applyBorder="1" applyAlignment="1">
      <alignment horizontal="left" vertical="center"/>
    </xf>
    <xf numFmtId="0" fontId="18" fillId="14" borderId="2" xfId="0" applyFont="1" applyFill="1" applyBorder="1" applyAlignment="1">
      <alignment horizontal="left" vertical="center"/>
    </xf>
    <xf numFmtId="0" fontId="18" fillId="14" borderId="4" xfId="0" applyFont="1" applyFill="1" applyBorder="1" applyAlignment="1">
      <alignment horizontal="left" vertical="center"/>
    </xf>
    <xf numFmtId="0" fontId="12" fillId="11" borderId="56" xfId="0" applyFont="1" applyFill="1" applyBorder="1" applyAlignment="1" applyProtection="1">
      <alignment horizontal="left" vertical="center"/>
      <protection locked="0"/>
    </xf>
    <xf numFmtId="0" fontId="12" fillId="11" borderId="26" xfId="0" applyFont="1" applyFill="1" applyBorder="1" applyAlignment="1" applyProtection="1">
      <alignment horizontal="left" vertical="center"/>
      <protection locked="0"/>
    </xf>
    <xf numFmtId="0" fontId="12" fillId="11" borderId="7" xfId="0" applyFont="1" applyFill="1" applyBorder="1" applyAlignment="1" applyProtection="1">
      <alignment horizontal="left" vertical="center"/>
      <protection locked="0"/>
    </xf>
    <xf numFmtId="0" fontId="12" fillId="11" borderId="8" xfId="0" applyFont="1" applyFill="1" applyBorder="1" applyAlignment="1" applyProtection="1">
      <alignment horizontal="left" vertical="center"/>
      <protection locked="0"/>
    </xf>
    <xf numFmtId="0" fontId="8" fillId="6" borderId="0" xfId="0" applyFont="1" applyFill="1" applyAlignment="1">
      <alignment horizontal="left"/>
    </xf>
    <xf numFmtId="0" fontId="19" fillId="6" borderId="0" xfId="0" applyFont="1" applyFill="1" applyAlignment="1">
      <alignment vertical="center"/>
    </xf>
    <xf numFmtId="0" fontId="48" fillId="0" borderId="0" xfId="0" applyFont="1"/>
    <xf numFmtId="0" fontId="8" fillId="7" borderId="0" xfId="0" applyFont="1" applyFill="1" applyAlignment="1">
      <alignment vertical="center"/>
    </xf>
    <xf numFmtId="0" fontId="2" fillId="0" borderId="0" xfId="0" applyFont="1" applyAlignment="1">
      <alignment wrapText="1"/>
    </xf>
    <xf numFmtId="3" fontId="94" fillId="0" borderId="0" xfId="0" applyNumberFormat="1" applyFont="1" applyAlignment="1" applyProtection="1">
      <alignment horizontal="center" vertical="center"/>
    </xf>
    <xf numFmtId="49" fontId="94" fillId="0" borderId="0" xfId="0" applyNumberFormat="1" applyFont="1" applyAlignment="1" applyProtection="1">
      <alignment horizontal="center" vertical="center"/>
    </xf>
    <xf numFmtId="0" fontId="24" fillId="0" borderId="10" xfId="0" applyFont="1" applyBorder="1" applyAlignment="1">
      <alignment horizontal="center" wrapText="1"/>
    </xf>
    <xf numFmtId="0" fontId="23" fillId="9" borderId="15" xfId="0" applyNumberFormat="1" applyFont="1" applyFill="1" applyBorder="1" applyAlignment="1">
      <alignment horizontal="left" vertical="center"/>
    </xf>
    <xf numFmtId="3" fontId="93" fillId="3" borderId="68" xfId="0" applyNumberFormat="1" applyFont="1" applyFill="1" applyBorder="1" applyAlignment="1" applyProtection="1">
      <alignment horizontal="center" vertical="center"/>
      <protection locked="0"/>
    </xf>
    <xf numFmtId="0" fontId="12" fillId="3" borderId="49" xfId="0" applyFont="1" applyFill="1" applyBorder="1" applyAlignment="1" applyProtection="1">
      <alignment horizontal="center" vertical="center"/>
      <protection locked="0"/>
    </xf>
    <xf numFmtId="0" fontId="98" fillId="14" borderId="76" xfId="0" applyFont="1" applyFill="1" applyBorder="1" applyAlignment="1">
      <alignment horizontal="left" vertical="center"/>
    </xf>
    <xf numFmtId="0" fontId="24" fillId="0" borderId="35" xfId="0" applyFont="1" applyBorder="1" applyAlignment="1">
      <alignment horizontal="right" vertical="center" indent="1"/>
    </xf>
    <xf numFmtId="172" fontId="13" fillId="0" borderId="35" xfId="0" applyNumberFormat="1" applyFont="1" applyBorder="1" applyAlignment="1">
      <alignment horizontal="left" vertical="center"/>
    </xf>
    <xf numFmtId="182" fontId="13" fillId="0" borderId="35" xfId="0" applyNumberFormat="1" applyFont="1" applyBorder="1" applyAlignment="1">
      <alignment horizontal="left" vertical="center"/>
    </xf>
    <xf numFmtId="0" fontId="12" fillId="3" borderId="35" xfId="0" applyFont="1" applyFill="1" applyBorder="1" applyAlignment="1" applyProtection="1">
      <alignment horizontal="left" vertical="center"/>
      <protection locked="0"/>
    </xf>
    <xf numFmtId="3" fontId="13" fillId="0" borderId="35" xfId="0" applyNumberFormat="1" applyFont="1" applyBorder="1" applyAlignment="1" applyProtection="1">
      <alignment horizontal="left" vertical="center"/>
    </xf>
    <xf numFmtId="0" fontId="98" fillId="14" borderId="33" xfId="0" applyFont="1" applyFill="1" applyBorder="1" applyAlignment="1">
      <alignment horizontal="left" vertical="center"/>
    </xf>
    <xf numFmtId="0" fontId="19" fillId="0" borderId="0" xfId="0" applyFont="1" applyBorder="1" applyAlignment="1">
      <alignment horizontal="left" vertical="center"/>
    </xf>
    <xf numFmtId="0" fontId="25" fillId="0" borderId="0" xfId="0" applyFont="1" applyBorder="1"/>
    <xf numFmtId="0" fontId="38" fillId="14" borderId="10" xfId="0" applyFont="1" applyFill="1" applyBorder="1" applyAlignment="1">
      <alignment horizontal="left" vertical="center"/>
    </xf>
    <xf numFmtId="0" fontId="12" fillId="3" borderId="68" xfId="0" applyFont="1" applyFill="1" applyBorder="1" applyAlignment="1" applyProtection="1">
      <alignment horizontal="center" vertical="center"/>
      <protection locked="0"/>
    </xf>
    <xf numFmtId="0" fontId="38" fillId="14" borderId="13" xfId="0" applyFont="1" applyFill="1" applyBorder="1" applyAlignment="1">
      <alignment horizontal="left" vertical="center"/>
    </xf>
    <xf numFmtId="10" fontId="13" fillId="0" borderId="35" xfId="0" applyNumberFormat="1" applyFont="1" applyBorder="1" applyAlignment="1">
      <alignment horizontal="left" vertical="center"/>
    </xf>
    <xf numFmtId="0" fontId="22" fillId="0" borderId="35" xfId="0" applyFont="1" applyBorder="1" applyAlignment="1">
      <alignment horizontal="right"/>
    </xf>
    <xf numFmtId="0" fontId="22" fillId="0" borderId="35" xfId="0" applyFont="1" applyBorder="1" applyAlignment="1">
      <alignment horizontal="center"/>
    </xf>
    <xf numFmtId="0" fontId="2" fillId="0" borderId="35" xfId="0" applyFont="1" applyBorder="1" applyAlignment="1">
      <alignment horizontal="right" vertical="center"/>
    </xf>
    <xf numFmtId="172" fontId="13" fillId="0" borderId="35" xfId="0" applyNumberFormat="1" applyFont="1" applyBorder="1" applyAlignment="1">
      <alignment horizontal="center" vertical="center"/>
    </xf>
    <xf numFmtId="182" fontId="13" fillId="0" borderId="35" xfId="0" applyNumberFormat="1" applyFont="1" applyBorder="1" applyAlignment="1">
      <alignment horizontal="center" vertical="center"/>
    </xf>
    <xf numFmtId="0" fontId="66" fillId="14" borderId="14" xfId="0" applyFont="1" applyFill="1" applyBorder="1" applyAlignment="1">
      <alignment horizontal="left" vertical="center"/>
    </xf>
    <xf numFmtId="0" fontId="66" fillId="14" borderId="12" xfId="0" applyFont="1" applyFill="1" applyBorder="1" applyAlignment="1">
      <alignment horizontal="left" vertical="center"/>
    </xf>
    <xf numFmtId="0" fontId="13" fillId="0" borderId="35" xfId="0" applyFont="1" applyBorder="1" applyAlignment="1">
      <alignment horizontal="right" vertical="center"/>
    </xf>
    <xf numFmtId="0" fontId="13" fillId="3" borderId="35" xfId="0" applyFont="1" applyFill="1" applyBorder="1" applyAlignment="1" applyProtection="1">
      <alignment horizontal="right" vertical="center"/>
      <protection locked="0"/>
    </xf>
    <xf numFmtId="172" fontId="13" fillId="3" borderId="35" xfId="0" applyNumberFormat="1" applyFont="1" applyFill="1" applyBorder="1" applyAlignment="1" applyProtection="1">
      <alignment horizontal="center" vertical="center"/>
      <protection locked="0"/>
    </xf>
    <xf numFmtId="0" fontId="49" fillId="0" borderId="35" xfId="0" applyFont="1" applyBorder="1" applyAlignment="1">
      <alignment horizontal="right" vertical="center"/>
    </xf>
    <xf numFmtId="172" fontId="50" fillId="0" borderId="35" xfId="0" applyNumberFormat="1" applyFont="1" applyBorder="1" applyAlignment="1">
      <alignment horizontal="center" vertical="center"/>
    </xf>
    <xf numFmtId="4"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66" fillId="14" borderId="10" xfId="0" applyFont="1" applyFill="1" applyBorder="1" applyAlignment="1">
      <alignment horizontal="left" vertical="center"/>
    </xf>
    <xf numFmtId="0" fontId="24" fillId="0" borderId="73" xfId="0" applyFont="1" applyBorder="1" applyAlignment="1">
      <alignment horizontal="right" vertical="center" indent="1"/>
    </xf>
    <xf numFmtId="0" fontId="0" fillId="0" borderId="0" xfId="0" applyBorder="1"/>
    <xf numFmtId="0" fontId="32" fillId="0" borderId="0" xfId="0" applyFont="1" applyBorder="1" applyAlignment="1">
      <alignment horizontal="left" vertical="top"/>
    </xf>
    <xf numFmtId="0" fontId="32" fillId="0" borderId="0" xfId="0" applyFont="1" applyBorder="1" applyAlignment="1">
      <alignment horizontal="left" vertical="top" wrapText="1"/>
    </xf>
    <xf numFmtId="2" fontId="93" fillId="3" borderId="35" xfId="0" applyNumberFormat="1" applyFont="1" applyFill="1" applyBorder="1" applyAlignment="1" applyProtection="1">
      <alignment horizontal="center" vertical="center"/>
      <protection locked="0"/>
    </xf>
    <xf numFmtId="9" fontId="93" fillId="3" borderId="35" xfId="0" applyNumberFormat="1" applyFont="1" applyFill="1" applyBorder="1" applyAlignment="1" applyProtection="1">
      <alignment horizontal="center" vertical="center"/>
      <protection locked="0"/>
    </xf>
    <xf numFmtId="0" fontId="103" fillId="0" borderId="33" xfId="0" applyFont="1" applyBorder="1" applyAlignment="1">
      <alignment horizontal="left" vertical="top"/>
    </xf>
    <xf numFmtId="9" fontId="93" fillId="3" borderId="73" xfId="0" applyNumberFormat="1" applyFont="1" applyFill="1" applyBorder="1" applyAlignment="1" applyProtection="1">
      <alignment horizontal="center" vertical="center"/>
      <protection locked="0"/>
    </xf>
    <xf numFmtId="0" fontId="38" fillId="14" borderId="77" xfId="0" applyFont="1" applyFill="1" applyBorder="1" applyAlignment="1">
      <alignment horizontal="left" vertical="center"/>
    </xf>
    <xf numFmtId="0" fontId="38" fillId="14" borderId="78" xfId="0" applyFont="1" applyFill="1" applyBorder="1" applyAlignment="1">
      <alignment horizontal="left" vertical="center"/>
    </xf>
    <xf numFmtId="1" fontId="12" fillId="0" borderId="0" xfId="0" applyNumberFormat="1" applyFont="1" applyBorder="1" applyAlignment="1" applyProtection="1">
      <alignment horizontal="center" vertical="center"/>
      <protection locked="0"/>
    </xf>
    <xf numFmtId="0" fontId="12" fillId="0" borderId="0" xfId="0" applyFont="1" applyBorder="1" applyAlignment="1" applyProtection="1">
      <alignment horizontal="center" vertical="center"/>
      <protection locked="0"/>
    </xf>
    <xf numFmtId="0" fontId="13" fillId="0" borderId="0" xfId="0" applyFont="1" applyBorder="1" applyAlignment="1">
      <alignment horizontal="center" vertical="center"/>
    </xf>
    <xf numFmtId="3" fontId="13" fillId="0" borderId="0" xfId="0" applyNumberFormat="1" applyFont="1" applyBorder="1" applyAlignment="1">
      <alignment horizontal="center" vertical="center"/>
    </xf>
    <xf numFmtId="1" fontId="13" fillId="0" borderId="0" xfId="0" applyNumberFormat="1" applyFont="1" applyBorder="1" applyAlignment="1">
      <alignment horizontal="center" vertical="center"/>
    </xf>
    <xf numFmtId="3" fontId="13" fillId="0" borderId="0" xfId="0" applyNumberFormat="1" applyFont="1" applyFill="1" applyBorder="1" applyAlignment="1" applyProtection="1">
      <alignment horizontal="center" vertical="center"/>
    </xf>
    <xf numFmtId="0" fontId="13" fillId="0" borderId="0" xfId="0" applyFont="1" applyFill="1" applyBorder="1" applyAlignment="1" applyProtection="1">
      <alignment horizontal="center" vertical="center"/>
    </xf>
    <xf numFmtId="10" fontId="13" fillId="0" borderId="0" xfId="0" applyNumberFormat="1" applyFont="1" applyBorder="1" applyAlignment="1">
      <alignment horizontal="center" vertical="center"/>
    </xf>
    <xf numFmtId="0" fontId="13" fillId="0" borderId="0" xfId="0" applyFont="1" applyBorder="1" applyAlignment="1">
      <alignment horizontal="left" vertical="center"/>
    </xf>
    <xf numFmtId="0" fontId="12" fillId="0" borderId="0" xfId="0" applyFont="1" applyBorder="1" applyAlignment="1" applyProtection="1">
      <alignment horizontal="left" vertical="center"/>
      <protection locked="0"/>
    </xf>
    <xf numFmtId="0" fontId="2" fillId="0" borderId="0" xfId="0" applyFont="1" applyAlignment="1" applyProtection="1">
      <alignment vertical="center"/>
      <protection hidden="1"/>
    </xf>
    <xf numFmtId="0" fontId="22" fillId="0" borderId="0" xfId="0" applyFont="1" applyAlignment="1" applyProtection="1">
      <alignment vertical="center"/>
      <protection hidden="1"/>
    </xf>
    <xf numFmtId="0" fontId="2" fillId="0" borderId="0" xfId="0" applyFont="1" applyProtection="1">
      <protection hidden="1"/>
    </xf>
    <xf numFmtId="0" fontId="13" fillId="0" borderId="0" xfId="0" applyFont="1" applyAlignment="1" applyProtection="1">
      <alignment vertical="center"/>
      <protection hidden="1"/>
    </xf>
  </cellXfs>
  <cellStyles count="3">
    <cellStyle name="Hyperlink" xfId="2" builtinId="8"/>
    <cellStyle name="Normal" xfId="0" builtinId="0"/>
    <cellStyle name="Percent" xfId="1" builtinId="5"/>
  </cellStyles>
  <dxfs count="799">
    <dxf>
      <border>
        <left style="thin">
          <color rgb="FF000000"/>
        </left>
        <right style="thin">
          <color rgb="FF000000"/>
        </right>
        <top style="thin">
          <color rgb="FF000000"/>
        </top>
        <bottom style="thin">
          <color rgb="FF000000"/>
        </bottom>
      </border>
    </dxf>
    <dxf>
      <font>
        <color rgb="FFFF0000"/>
      </font>
      <fill>
        <patternFill patternType="solid">
          <fgColor indexed="64"/>
          <bgColor rgb="FFFFC7CE"/>
        </patternFill>
      </fill>
    </dxf>
    <dxf>
      <fill>
        <patternFill patternType="solid">
          <fgColor indexed="64"/>
          <bgColor rgb="FFFFF2CC"/>
        </patternFill>
      </fill>
    </dxf>
    <dxf>
      <font>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ont>
        <b/>
        <i val="0"/>
        <color rgb="FFFFFFFF"/>
      </font>
      <fill>
        <patternFill patternType="solid">
          <fgColor indexed="64"/>
          <bgColor rgb="FFC00000"/>
        </patternFill>
      </fill>
    </dxf>
    <dxf>
      <font>
        <color rgb="FF808080"/>
      </font>
      <fill>
        <patternFill patternType="solid">
          <fgColor indexed="64"/>
          <bgColor rgb="FFBFBFBF"/>
        </patternFill>
      </fill>
    </dxf>
    <dxf>
      <font>
        <color rgb="FF808080"/>
      </font>
      <fill>
        <patternFill patternType="solid">
          <fgColor indexed="64"/>
          <bgColor rgb="FFBFBFBF"/>
        </patternFill>
      </fill>
    </dxf>
    <dxf>
      <font>
        <color rgb="FFFF0000"/>
      </font>
      <fill>
        <patternFill patternType="solid">
          <fgColor indexed="64"/>
          <bgColor rgb="FFFFC7CE"/>
        </patternFill>
      </fill>
    </dxf>
    <dxf>
      <fill>
        <patternFill patternType="solid">
          <fgColor indexed="64"/>
          <bgColor rgb="FFFFF2CC"/>
        </patternFill>
      </fill>
    </dxf>
    <dxf>
      <font>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ont>
        <color rgb="FF808080"/>
      </font>
      <fill>
        <patternFill patternType="solid">
          <fgColor indexed="64"/>
          <bgColor rgb="FFBFBFBF"/>
        </patternFill>
      </fill>
    </dxf>
    <dxf>
      <font>
        <b/>
        <i val="0"/>
        <color rgb="FFFFFFFF"/>
      </font>
      <fill>
        <patternFill patternType="solid">
          <fgColor indexed="64"/>
          <bgColor rgb="FFC00000"/>
        </patternFill>
      </fill>
    </dxf>
    <dxf>
      <font>
        <color rgb="FF808080"/>
      </font>
      <fill>
        <patternFill patternType="solid">
          <fgColor indexed="64"/>
          <bgColor rgb="FFBFBFBF"/>
        </patternFill>
      </fill>
    </dxf>
    <dxf>
      <font>
        <color rgb="FF808080"/>
      </font>
      <fill>
        <patternFill patternType="solid">
          <fgColor indexed="64"/>
          <bgColor rgb="FFBFBFBF"/>
        </patternFill>
      </fill>
    </dxf>
    <dxf>
      <font>
        <color rgb="FFFF0000"/>
      </font>
      <fill>
        <patternFill patternType="solid">
          <fgColor indexed="64"/>
          <bgColor rgb="FFFFC7CE"/>
        </patternFill>
      </fill>
    </dxf>
    <dxf>
      <fill>
        <patternFill patternType="solid">
          <fgColor indexed="64"/>
          <bgColor rgb="FFFFF2CC"/>
        </patternFill>
      </fill>
    </dxf>
    <dxf>
      <font>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ill>
        <patternFill patternType="solid">
          <fgColor indexed="64"/>
          <bgColor rgb="FFFFF2CC"/>
        </patternFill>
      </fill>
    </dxf>
    <dxf>
      <font>
        <b/>
        <i val="0"/>
        <color rgb="FF9C0006"/>
      </font>
      <fill>
        <patternFill patternType="solid">
          <fgColor indexed="64"/>
          <bgColor rgb="FFFFC7CE"/>
        </patternFill>
      </fill>
    </dxf>
    <dxf>
      <font>
        <b/>
        <i val="0"/>
        <color rgb="FFFFFFFF"/>
      </font>
      <fill>
        <patternFill patternType="solid">
          <fgColor indexed="64"/>
          <bgColor rgb="FFC00000"/>
        </patternFill>
      </fill>
    </dxf>
    <dxf>
      <font>
        <color rgb="FF808080"/>
      </font>
      <fill>
        <patternFill patternType="solid">
          <fgColor indexed="64"/>
          <bgColor rgb="FFBFBFBF"/>
        </patternFill>
      </fill>
    </dxf>
    <dxf>
      <font>
        <color rgb="FF808080"/>
      </font>
      <fill>
        <patternFill patternType="solid">
          <fgColor indexed="64"/>
          <bgColor rgb="FFBFBFBF"/>
        </patternFill>
      </fill>
    </dxf>
    <dxf>
      <font>
        <color rgb="FFFFFFFF"/>
      </font>
      <fill>
        <patternFill patternType="solid">
          <fgColor indexed="64"/>
          <bgColor rgb="FFCA7F39"/>
        </patternFill>
      </fill>
    </dxf>
    <dxf>
      <font>
        <color rgb="FF000000"/>
      </font>
      <fill>
        <patternFill patternType="solid">
          <fgColor indexed="64"/>
          <bgColor rgb="FFF1B92A"/>
        </patternFill>
      </fill>
    </dxf>
    <dxf>
      <font>
        <color rgb="FF000000"/>
      </font>
      <fill>
        <patternFill patternType="solid">
          <fgColor indexed="64"/>
          <bgColor rgb="FFF1B92A"/>
        </patternFill>
      </fill>
    </dxf>
    <dxf>
      <font>
        <color rgb="FF000000"/>
      </font>
      <fill>
        <patternFill patternType="solid">
          <fgColor indexed="64"/>
          <bgColor rgb="FFF1B92A"/>
        </patternFill>
      </fill>
    </dxf>
    <dxf>
      <border>
        <left style="thin">
          <color rgb="FF000000"/>
        </left>
        <right style="thin">
          <color rgb="FF000000"/>
        </right>
        <top style="thin">
          <color rgb="FF000000"/>
        </top>
        <bottom style="thin">
          <color rgb="FF000000"/>
        </bottom>
      </border>
    </dxf>
    <dxf>
      <font>
        <color rgb="FFFFFFFF"/>
      </font>
      <fill>
        <patternFill patternType="solid">
          <fgColor indexed="64"/>
          <bgColor rgb="FFCA7F39"/>
        </patternFill>
      </fill>
    </dxf>
    <dxf>
      <font>
        <color rgb="FF000000"/>
      </font>
      <fill>
        <patternFill patternType="solid">
          <fgColor indexed="64"/>
          <bgColor rgb="FFF1B92A"/>
        </patternFill>
      </fill>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FFFFFF"/>
      </font>
      <fill>
        <patternFill patternType="solid">
          <fgColor indexed="64"/>
          <bgColor rgb="FFCA7F39"/>
        </patternFill>
      </fill>
    </dxf>
    <dxf>
      <font>
        <color rgb="FF000000"/>
      </font>
      <fill>
        <patternFill patternType="solid">
          <fgColor indexed="64"/>
          <bgColor rgb="FFF1B92A"/>
        </patternFill>
      </fill>
    </dxf>
    <dxf>
      <font>
        <color rgb="FF000000"/>
      </font>
      <fill>
        <patternFill patternType="solid">
          <fgColor indexed="64"/>
          <bgColor rgb="FFF1B92A"/>
        </patternFill>
      </fill>
    </dxf>
    <dxf>
      <font>
        <color rgb="FF000000"/>
      </font>
      <fill>
        <patternFill patternType="solid">
          <fgColor indexed="64"/>
          <bgColor rgb="FFF1B92A"/>
        </patternFill>
      </fill>
    </dxf>
    <dxf>
      <font>
        <color rgb="FF0000FF"/>
      </font>
      <fill>
        <patternFill patternType="solid">
          <fgColor indexed="64"/>
          <bgColor rgb="FFD9D9D9"/>
        </patternFill>
      </fill>
    </dxf>
    <dxf>
      <font>
        <color rgb="FF0000FF"/>
      </font>
      <fill>
        <patternFill patternType="solid">
          <fgColor indexed="64"/>
          <bgColor rgb="FFD9D9D9"/>
        </patternFill>
      </fill>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000000"/>
      </font>
      <fill>
        <patternFill patternType="solid">
          <fgColor indexed="64"/>
          <bgColor rgb="FFF1B92A"/>
        </patternFill>
      </fill>
    </dxf>
    <dxf>
      <font>
        <color rgb="FF000000"/>
      </font>
      <fill>
        <patternFill patternType="solid">
          <fgColor indexed="64"/>
          <bgColor rgb="FFF1B92A"/>
        </patternFill>
      </fill>
    </dxf>
    <dxf>
      <font>
        <color rgb="FF0000FF"/>
      </font>
      <fill>
        <patternFill patternType="solid">
          <fgColor indexed="64"/>
          <bgColor rgb="FFD9D9D9"/>
        </patternFill>
      </fill>
    </dxf>
    <dxf>
      <font>
        <color rgb="FF0000FF"/>
      </font>
      <fill>
        <patternFill patternType="solid">
          <fgColor indexed="64"/>
          <bgColor rgb="FFD9D9D9"/>
        </patternFill>
      </fill>
    </dxf>
    <dxf>
      <font>
        <color rgb="FF000000"/>
      </font>
      <fill>
        <patternFill patternType="solid">
          <fgColor indexed="64"/>
          <bgColor rgb="FFF1B92A"/>
        </patternFill>
      </fill>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000000"/>
      </font>
      <fill>
        <patternFill patternType="solid">
          <fgColor indexed="64"/>
          <bgColor rgb="FFF1B92A"/>
        </patternFill>
      </fill>
    </dxf>
    <dxf>
      <font>
        <color rgb="FF0000FF"/>
      </font>
      <fill>
        <patternFill patternType="solid">
          <fgColor indexed="64"/>
          <bgColor rgb="FFD9D9D9"/>
        </patternFill>
      </fill>
    </dxf>
    <dxf>
      <font>
        <color rgb="FF000000"/>
      </font>
      <fill>
        <patternFill patternType="solid">
          <fgColor indexed="64"/>
          <bgColor rgb="FFF1B92A"/>
        </patternFill>
      </fill>
    </dxf>
    <dxf>
      <border>
        <left style="thin">
          <color rgb="FF000000"/>
        </left>
        <right style="thin">
          <color rgb="FF000000"/>
        </right>
        <top style="thin">
          <color rgb="FF000000"/>
        </top>
        <bottom style="thin">
          <color rgb="FF000000"/>
        </bottom>
      </border>
    </dxf>
    <dxf>
      <fill>
        <patternFill patternType="solid">
          <fgColor indexed="64"/>
          <bgColor rgb="FFF1B92A"/>
        </patternFill>
      </fill>
    </dxf>
    <dxf>
      <font>
        <color rgb="FF2E7D32"/>
      </font>
    </dxf>
    <dxf>
      <font>
        <color rgb="FFB8860B"/>
      </font>
    </dxf>
    <dxf>
      <font>
        <color rgb="FFC55A11"/>
      </font>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b val="0"/>
        <i/>
        <color rgb="FFD9D9D9"/>
      </font>
      <fill>
        <patternFill patternType="solid">
          <fgColor indexed="64"/>
          <bgColor rgb="FF7E868C"/>
        </patternFill>
      </fill>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font>
        <color rgb="FF2E7D32"/>
      </font>
    </dxf>
    <dxf>
      <font>
        <color rgb="FFB8860B"/>
      </font>
    </dxf>
    <dxf>
      <font>
        <color rgb="FFC55A11"/>
      </font>
    </dxf>
    <dxf>
      <border>
        <left style="thin">
          <color rgb="FF000000"/>
        </left>
        <right style="thin">
          <color rgb="FF000000"/>
        </right>
        <top style="thin">
          <color rgb="FF000000"/>
        </top>
        <bottom style="thin">
          <color rgb="FF000000"/>
        </bottom>
      </border>
    </dxf>
    <dxf>
      <font>
        <color rgb="FFC55A11"/>
      </font>
    </dxf>
    <dxf>
      <font>
        <color rgb="FF008000"/>
      </font>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FFFFFF"/>
      </font>
      <fill>
        <patternFill patternType="solid">
          <fgColor indexed="64"/>
          <bgColor rgb="FFCA7F39"/>
        </patternFill>
      </fill>
    </dxf>
    <dxf>
      <font>
        <color rgb="FF000000"/>
      </font>
      <fill>
        <patternFill patternType="solid">
          <fgColor indexed="64"/>
          <bgColor rgb="FFF1B92A"/>
        </patternFill>
      </fill>
    </dxf>
    <dxf>
      <font>
        <color rgb="FF0000FF"/>
      </font>
      <fill>
        <patternFill patternType="solid">
          <fgColor indexed="64"/>
          <bgColor rgb="FFD9D9D9"/>
        </patternFill>
      </fill>
    </dxf>
    <dxf>
      <font>
        <color rgb="FF0000FF"/>
      </font>
      <fill>
        <patternFill patternType="solid">
          <fgColor indexed="64"/>
          <bgColor rgb="FFD9D9D9"/>
        </patternFill>
      </fill>
    </dxf>
    <dxf>
      <font>
        <color rgb="FF0000FF"/>
      </font>
      <fill>
        <patternFill patternType="solid">
          <fgColor indexed="64"/>
          <bgColor rgb="FFD9D9D9"/>
        </patternFill>
      </fill>
    </dxf>
    <dxf>
      <border>
        <left style="thin">
          <color rgb="FF000000"/>
        </left>
        <right style="thin">
          <color rgb="FF000000"/>
        </right>
        <top style="thin">
          <color rgb="FF000000"/>
        </top>
        <bottom style="thin">
          <color rgb="FF000000"/>
        </bottom>
      </border>
    </dxf>
    <dxf>
      <font>
        <color rgb="FF7E5109"/>
      </font>
      <fill>
        <patternFill patternType="solid">
          <fgColor indexed="64"/>
          <bgColor rgb="FFFDF3D6"/>
        </patternFill>
      </fill>
    </dxf>
    <dxf>
      <font>
        <color rgb="FF2E7D32"/>
      </font>
      <fill>
        <patternFill patternType="solid">
          <fgColor indexed="64"/>
          <bgColor rgb="FFE2EFDA"/>
        </patternFill>
      </fill>
    </dxf>
    <dxf>
      <font>
        <color rgb="FFFFFFFF"/>
      </font>
      <fill>
        <patternFill patternType="solid">
          <fgColor indexed="64"/>
          <bgColor rgb="FFC00000"/>
        </patternFill>
      </fill>
    </dxf>
    <dxf>
      <font>
        <b/>
        <i val="0"/>
        <color rgb="FF7E868C"/>
      </font>
      <fill>
        <patternFill patternType="solid">
          <fgColor indexed="64"/>
          <bgColor rgb="FFF2F2F2"/>
        </patternFill>
      </fill>
    </dxf>
    <dxf>
      <font>
        <b/>
        <i val="0"/>
        <color rgb="FFC00000"/>
      </font>
      <fill>
        <patternFill patternType="solid">
          <fgColor indexed="64"/>
          <bgColor rgb="FFF8CBAD"/>
        </patternFill>
      </fill>
    </dxf>
    <dxf>
      <font>
        <b/>
        <i val="0"/>
        <color rgb="FF7F6000"/>
      </font>
      <fill>
        <patternFill patternType="solid">
          <fgColor indexed="64"/>
          <bgColor rgb="FFFFF2CC"/>
        </patternFill>
      </fill>
    </dxf>
    <dxf>
      <font>
        <b/>
        <i val="0"/>
        <color rgb="FF2E7D32"/>
      </font>
      <fill>
        <patternFill patternType="solid">
          <fgColor indexed="64"/>
          <bgColor rgb="FFE2EFDA"/>
        </patternFill>
      </fill>
    </dxf>
    <dxf>
      <font>
        <b val="0"/>
        <i val="0"/>
        <strike val="0"/>
        <condense val="0"/>
        <extend val="0"/>
        <outline val="0"/>
        <shadow val="0"/>
        <u val="none"/>
        <vertAlign val="baseline"/>
        <sz val="10"/>
        <color theme="1"/>
        <name val="Segoe UI"/>
        <family val="2"/>
        <scheme val="none"/>
      </font>
      <fill>
        <patternFill patternType="solid">
          <fgColor indexed="64"/>
          <bgColor theme="0" tint="-0.14999847407452621"/>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theme="0" tint="-0.14999847407452621"/>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FF0000"/>
        <name val="Segoe UI"/>
        <family val="2"/>
        <scheme val="none"/>
      </font>
      <numFmt numFmtId="4" formatCode="#,##0.00"/>
      <fill>
        <patternFill patternType="solid">
          <fgColor indexed="64"/>
          <bgColor rgb="FFFFFFFF"/>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FF"/>
        <name val="Segoe UI"/>
        <family val="2"/>
        <scheme val="none"/>
      </font>
      <fill>
        <patternFill patternType="solid">
          <fgColor indexed="64"/>
          <bgColor theme="0" tint="-0.14999847407452621"/>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theme="0" tint="-0.14999847407452621"/>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theme="0" tint="-0.14999847407452621"/>
        </patternFill>
      </fill>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Segoe UI"/>
        <family val="2"/>
        <scheme val="none"/>
      </font>
      <alignment vertical="center" textRotation="0" wrapText="0" indent="0" justifyLastLine="0" shrinkToFit="0" readingOrder="0"/>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FF0000"/>
        <name val="Segoe UI"/>
        <family val="2"/>
        <scheme val="none"/>
      </font>
      <numFmt numFmtId="4" formatCode="#,##0.00"/>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FF0000"/>
        <name val="Segoe UI"/>
        <family val="2"/>
        <scheme val="none"/>
      </font>
      <numFmt numFmtId="4" formatCode="#,##0.00"/>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Segoe U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3"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FF0000"/>
        <name val="Segoe UI"/>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FF0000"/>
        <name val="Segoe U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FF"/>
        <name val="Segoe UI"/>
        <family val="2"/>
        <scheme val="none"/>
      </font>
      <numFmt numFmtId="3" formatCode="#,##0"/>
      <fill>
        <patternFill patternType="solid">
          <fgColor indexed="64"/>
          <bgColor rgb="FFD9D9D9"/>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0000FF"/>
        <name val="Segoe UI"/>
        <family val="2"/>
        <scheme val="none"/>
      </font>
      <numFmt numFmtId="3" formatCode="#,##0"/>
      <fill>
        <patternFill patternType="solid">
          <fgColor indexed="64"/>
          <bgColor rgb="FFD9D9D9"/>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rgb="FFBFBFBF"/>
        </left>
        <right style="thin">
          <color rgb="FFBFBFBF"/>
        </right>
        <top style="thin">
          <color rgb="FFBFBFBF"/>
        </top>
        <bottom style="thin">
          <color rgb="FF000000"/>
        </bottom>
      </border>
    </dxf>
    <dxf>
      <border outline="0">
        <bottom style="thin">
          <color indexed="64"/>
        </bottom>
      </border>
    </dxf>
    <dxf>
      <font>
        <b val="0"/>
        <i val="0"/>
        <strike val="0"/>
        <condense val="0"/>
        <extend val="0"/>
        <outline val="0"/>
        <shadow val="0"/>
        <u val="none"/>
        <vertAlign val="baseline"/>
        <sz val="10"/>
        <color auto="1"/>
        <name val="Segoe U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top style="thin">
          <color indexed="64"/>
        </top>
      </border>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FF"/>
        <name val="Segoe UI"/>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auto="1"/>
        </vertical>
        <horizontal style="thin">
          <color rgb="FF000000"/>
        </horizontal>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FF0000"/>
        <name val="Segoe UI"/>
        <family val="2"/>
        <scheme val="none"/>
      </font>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strike val="0"/>
        <outline val="0"/>
        <shadow val="0"/>
        <u val="none"/>
        <vertAlign val="baseline"/>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192" formatCode="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2"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2" formatCode="0.00"/>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rgb="FFFF0000"/>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Segoe U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0" formatCode="General"/>
      <fill>
        <patternFill patternType="solid">
          <fgColor indexed="64"/>
          <bgColor rgb="FFD9D9D9"/>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FF"/>
        <name val="Segoe UI"/>
        <family val="2"/>
        <scheme val="none"/>
      </font>
      <numFmt numFmtId="30" formatCode="@"/>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strike val="0"/>
        <outline val="0"/>
        <shadow val="0"/>
        <u val="none"/>
        <vertAlign val="baseline"/>
        <name val="Segoe UI"/>
        <family val="2"/>
        <scheme val="none"/>
      </font>
    </dxf>
    <dxf>
      <font>
        <b val="0"/>
        <i val="0"/>
        <strike val="0"/>
        <condense val="0"/>
        <extend val="0"/>
        <outline val="0"/>
        <shadow val="0"/>
        <u val="none"/>
        <vertAlign val="baseline"/>
        <sz val="10"/>
        <color rgb="FFFF0000"/>
        <name val="Segoe UI"/>
        <family val="2"/>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auto="1"/>
        <name val="Segoe UI"/>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top style="thin">
          <color rgb="FF000000"/>
        </top>
        <bottom/>
      </border>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0"/>
        <color rgb="FF0000FF"/>
        <name val="Segoe UI"/>
        <family val="2"/>
        <scheme val="none"/>
      </font>
      <numFmt numFmtId="13" formatCode="0%"/>
      <fill>
        <patternFill patternType="solid">
          <fgColor indexed="64"/>
          <bgColor rgb="FFD9D9D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0"/>
        <color rgb="FFFF0000"/>
        <name val="Segoe UI"/>
        <family val="2"/>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0"/>
        <color rgb="FFFF0000"/>
        <name val="Segoe U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Segoe UI"/>
        <family val="2"/>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0"/>
        <color rgb="FF0000FF"/>
        <name val="Segoe UI"/>
        <family val="2"/>
        <scheme val="none"/>
      </font>
      <numFmt numFmtId="1" formatCode="0"/>
      <fill>
        <patternFill patternType="solid">
          <fgColor indexed="64"/>
          <bgColor rgb="FFD9D9D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Segoe UI"/>
        <family val="2"/>
        <scheme val="none"/>
      </font>
      <alignment horizontal="right" vertical="center" textRotation="0" wrapText="0" indent="0" justifyLastLine="0" shrinkToFit="0" readingOrder="0"/>
      <border diagonalUp="0" diagonalDown="0" outline="0">
        <left/>
        <right style="thin">
          <color auto="1"/>
        </right>
        <top style="thin">
          <color rgb="FF000000"/>
        </top>
        <bottom/>
      </border>
    </dxf>
    <dxf>
      <font>
        <b val="0"/>
        <i val="0"/>
        <strike val="0"/>
        <condense val="0"/>
        <extend val="0"/>
        <outline val="0"/>
        <shadow val="0"/>
        <u val="none"/>
        <vertAlign val="baseline"/>
        <sz val="10"/>
        <color rgb="FF0000FF"/>
        <name val="Segoe UI"/>
        <family val="2"/>
        <scheme val="none"/>
      </font>
      <fill>
        <patternFill patternType="solid">
          <fgColor indexed="64"/>
          <bgColor rgb="FFD9D9D9"/>
        </patternFill>
      </fill>
      <alignment horizontal="righ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top style="thin">
          <color rgb="FF000000"/>
        </top>
      </border>
    </dxf>
    <dxf>
      <font>
        <b val="0"/>
        <strike val="0"/>
        <outline val="0"/>
        <shadow val="0"/>
        <u val="none"/>
        <vertAlign val="baseline"/>
        <sz val="10"/>
        <color rgb="FFFF0000"/>
        <name val="Segoe UI"/>
        <scheme val="none"/>
      </font>
      <alignment horizontal="center"/>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dxf>
    <dxf>
      <border>
        <bottom style="thin">
          <color indexed="64"/>
        </bottom>
      </border>
    </dxf>
    <dxf>
      <font>
        <b val="0"/>
        <i val="0"/>
        <strike val="0"/>
        <condense val="0"/>
        <extend val="0"/>
        <outline val="0"/>
        <shadow val="0"/>
        <u val="none"/>
        <vertAlign val="baseline"/>
        <sz val="10"/>
        <color theme="1"/>
        <name val="Segoe U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Peak Demand by Billing Cycle (kVA) with 125% Mark</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'Utility Demand'!$D$50</c:f>
              <c:strCache>
                <c:ptCount val="1"/>
                <c:pt idx="0">
                  <c:v>Peak kVA</c:v>
                </c:pt>
              </c:strCache>
            </c:strRef>
          </c:tx>
          <c:spPr>
            <a:solidFill>
              <a:srgbClr val="7E868C"/>
            </a:solidFill>
            <a:ln>
              <a:noFill/>
            </a:ln>
            <a:effectLst/>
          </c:spPr>
          <c:invertIfNegative val="0"/>
          <c:cat>
            <c:strRef>
              <c:f>'Utility Demand'!$C$51:$C$62</c:f>
              <c:strCache>
                <c:ptCount val="12"/>
                <c:pt idx="0">
                  <c:v>Cycle 1</c:v>
                </c:pt>
                <c:pt idx="1">
                  <c:v>Cycle 2</c:v>
                </c:pt>
                <c:pt idx="2">
                  <c:v>Cycle 3</c:v>
                </c:pt>
                <c:pt idx="3">
                  <c:v>Cycle 4</c:v>
                </c:pt>
                <c:pt idx="4">
                  <c:v>Cycle 5</c:v>
                </c:pt>
                <c:pt idx="5">
                  <c:v>Cycle 6</c:v>
                </c:pt>
                <c:pt idx="6">
                  <c:v>Cycle 7</c:v>
                </c:pt>
                <c:pt idx="7">
                  <c:v>Cycle 8</c:v>
                </c:pt>
                <c:pt idx="8">
                  <c:v>Cycle 9</c:v>
                </c:pt>
                <c:pt idx="9">
                  <c:v>Cycle 10</c:v>
                </c:pt>
                <c:pt idx="10">
                  <c:v>Cycle 11</c:v>
                </c:pt>
                <c:pt idx="11">
                  <c:v>Cycle 12</c:v>
                </c:pt>
              </c:strCache>
            </c:strRef>
          </c:cat>
          <c:val>
            <c:numRef>
              <c:f>'Utility Demand'!$D$51:$D$62</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869-444E-A181-CC60B3564FB6}"/>
            </c:ext>
          </c:extLst>
        </c:ser>
        <c:ser>
          <c:idx val="1"/>
          <c:order val="1"/>
          <c:tx>
            <c:v>Peak cycle</c:v>
          </c:tx>
          <c:spPr>
            <a:solidFill>
              <a:srgbClr val="F0B32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'Utility Demand'!$C$51:$C$62</c:f>
              <c:strCache>
                <c:ptCount val="12"/>
                <c:pt idx="0">
                  <c:v>Cycle 1</c:v>
                </c:pt>
                <c:pt idx="1">
                  <c:v>Cycle 2</c:v>
                </c:pt>
                <c:pt idx="2">
                  <c:v>Cycle 3</c:v>
                </c:pt>
                <c:pt idx="3">
                  <c:v>Cycle 4</c:v>
                </c:pt>
                <c:pt idx="4">
                  <c:v>Cycle 5</c:v>
                </c:pt>
                <c:pt idx="5">
                  <c:v>Cycle 6</c:v>
                </c:pt>
                <c:pt idx="6">
                  <c:v>Cycle 7</c:v>
                </c:pt>
                <c:pt idx="7">
                  <c:v>Cycle 8</c:v>
                </c:pt>
                <c:pt idx="8">
                  <c:v>Cycle 9</c:v>
                </c:pt>
                <c:pt idx="9">
                  <c:v>Cycle 10</c:v>
                </c:pt>
                <c:pt idx="10">
                  <c:v>Cycle 11</c:v>
                </c:pt>
                <c:pt idx="11">
                  <c:v>Cycle 12</c:v>
                </c:pt>
              </c:strCache>
            </c:strRef>
          </c:cat>
          <c:val>
            <c:numRef>
              <c:f>'Utility Demand'!$E$51:$E$62</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869-444E-A181-CC60B3564FB6}"/>
            </c:ext>
          </c:extLst>
        </c:ser>
        <c:dLbls>
          <c:showLegendKey val="0"/>
          <c:showVal val="0"/>
          <c:showCatName val="0"/>
          <c:showSerName val="0"/>
          <c:showPercent val="0"/>
          <c:showBubbleSize val="0"/>
        </c:dLbls>
        <c:gapWidth val="60"/>
        <c:overlap val="100"/>
        <c:axId val="1456117184"/>
        <c:axId val="1456109984"/>
      </c:barChart>
      <c:lineChart>
        <c:grouping val="standard"/>
        <c:varyColors val="0"/>
        <c:ser>
          <c:idx val="2"/>
          <c:order val="2"/>
          <c:tx>
            <c:v>125% mark — NEC 220.87 existing load</c:v>
          </c:tx>
          <c:spPr>
            <a:ln w="25400" cap="rnd">
              <a:solidFill>
                <a:srgbClr val="C00000"/>
              </a:solidFill>
              <a:prstDash val="lgDash"/>
              <a:round/>
            </a:ln>
            <a:effectLst/>
          </c:spPr>
          <c:marker>
            <c:symbol val="none"/>
          </c:marker>
          <c:cat>
            <c:strRef>
              <c:f>'Utility Demand'!$C$51:$C$62</c:f>
              <c:strCache>
                <c:ptCount val="12"/>
                <c:pt idx="0">
                  <c:v>Cycle 1</c:v>
                </c:pt>
                <c:pt idx="1">
                  <c:v>Cycle 2</c:v>
                </c:pt>
                <c:pt idx="2">
                  <c:v>Cycle 3</c:v>
                </c:pt>
                <c:pt idx="3">
                  <c:v>Cycle 4</c:v>
                </c:pt>
                <c:pt idx="4">
                  <c:v>Cycle 5</c:v>
                </c:pt>
                <c:pt idx="5">
                  <c:v>Cycle 6</c:v>
                </c:pt>
                <c:pt idx="6">
                  <c:v>Cycle 7</c:v>
                </c:pt>
                <c:pt idx="7">
                  <c:v>Cycle 8</c:v>
                </c:pt>
                <c:pt idx="8">
                  <c:v>Cycle 9</c:v>
                </c:pt>
                <c:pt idx="9">
                  <c:v>Cycle 10</c:v>
                </c:pt>
                <c:pt idx="10">
                  <c:v>Cycle 11</c:v>
                </c:pt>
                <c:pt idx="11">
                  <c:v>Cycle 12</c:v>
                </c:pt>
              </c:strCache>
            </c:strRef>
          </c:cat>
          <c:val>
            <c:numRef>
              <c:f>'Utility Demand'!$F$51:$F$62</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3869-444E-A181-CC60B3564FB6}"/>
            </c:ext>
          </c:extLst>
        </c:ser>
        <c:dLbls>
          <c:showLegendKey val="0"/>
          <c:showVal val="0"/>
          <c:showCatName val="0"/>
          <c:showSerName val="0"/>
          <c:showPercent val="0"/>
          <c:showBubbleSize val="0"/>
        </c:dLbls>
        <c:marker val="1"/>
        <c:smooth val="0"/>
        <c:axId val="1456117184"/>
        <c:axId val="1456109984"/>
      </c:lineChart>
      <c:catAx>
        <c:axId val="145611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Billing cycle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09984"/>
        <c:crosses val="autoZero"/>
        <c:auto val="1"/>
        <c:lblAlgn val="ctr"/>
        <c:lblOffset val="100"/>
        <c:noMultiLvlLbl val="0"/>
      </c:catAx>
      <c:valAx>
        <c:axId val="145610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Demand (kVA)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1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Load Duration Curve — kW against % of recorded time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'Logging Demand'!$N$78</c:f>
              <c:strCache>
                <c:ptCount val="1"/>
                <c:pt idx="0">
                  <c:v>kW (sorted desc)</c:v>
                </c:pt>
              </c:strCache>
            </c:strRef>
          </c:tx>
          <c:spPr>
            <a:ln w="19050" cap="rnd">
              <a:solidFill>
                <a:schemeClr val="accent1"/>
              </a:solidFill>
              <a:round/>
            </a:ln>
            <a:effectLst/>
          </c:spPr>
          <c:marker>
            <c:symbol val="none"/>
          </c:marker>
          <c:xVal>
            <c:numRef>
              <c:f>'Logging Demand'!$M$79:$M$425</c:f>
            </c:numRef>
          </c:xVal>
          <c:yVal>
            <c:numRef>
              <c:f>'Logging Demand'!$N$79:$N$425</c:f>
            </c:numRef>
          </c:yVal>
          <c:smooth val="0"/>
          <c:extLst>
            <c:ext xmlns:c16="http://schemas.microsoft.com/office/drawing/2014/chart" uri="{C3380CC4-5D6E-409C-BE32-E72D297353CC}">
              <c16:uniqueId val="{00000000-AD4D-4F85-B1E3-CFD85D20098E}"/>
            </c:ext>
          </c:extLst>
        </c:ser>
        <c:dLbls>
          <c:showLegendKey val="0"/>
          <c:showVal val="0"/>
          <c:showCatName val="0"/>
          <c:showSerName val="0"/>
          <c:showPercent val="0"/>
          <c:showBubbleSize val="0"/>
        </c:dLbls>
        <c:axId val="1266022304"/>
        <c:axId val="56885712"/>
      </c:scatterChart>
      <c:valAx>
        <c:axId val="1266022304"/>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recorded time at or above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5712"/>
        <c:crosses val="autoZero"/>
        <c:crossBetween val="midCat"/>
      </c:valAx>
      <c:valAx>
        <c:axId val="5688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Demand (kW)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02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48</xdr:row>
      <xdr:rowOff>0</xdr:rowOff>
    </xdr:from>
    <xdr:to>
      <xdr:col>15</xdr:col>
      <xdr:colOff>0</xdr:colOff>
      <xdr:row>67</xdr:row>
      <xdr:rowOff>0</xdr:rowOff>
    </xdr:to>
    <xdr:graphicFrame macro="">
      <xdr:nvGraphicFramePr>
        <xdr:cNvPr id="5" name="UtilityPeakDemand">
          <a:extLst>
            <a:ext uri="{FF2B5EF4-FFF2-40B4-BE49-F238E27FC236}">
              <a16:creationId xmlns:a16="http://schemas.microsoft.com/office/drawing/2014/main" id="{8E840C3A-F783-4EF1-ED12-2D1D29951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55</xdr:row>
      <xdr:rowOff>0</xdr:rowOff>
    </xdr:from>
    <xdr:to>
      <xdr:col>15</xdr:col>
      <xdr:colOff>0</xdr:colOff>
      <xdr:row>74</xdr:row>
      <xdr:rowOff>0</xdr:rowOff>
    </xdr:to>
    <xdr:graphicFrame macro="">
      <xdr:nvGraphicFramePr>
        <xdr:cNvPr id="3" name="LoadDurationCurve">
          <a:extLst>
            <a:ext uri="{FF2B5EF4-FFF2-40B4-BE49-F238E27FC236}">
              <a16:creationId xmlns:a16="http://schemas.microsoft.com/office/drawing/2014/main" id="{C8A104F6-5C57-2C71-756A-791581788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53652-6BFD-4D3E-A51C-C1C7D6617C22}" name="LC_WSF" displayName="LC_WSF" ref="B24:G29" totalsRowCount="1" headerRowDxfId="798" dataDxfId="796" totalsRowDxfId="794" headerRowBorderDxfId="797" tableBorderDxfId="795" totalsRowBorderDxfId="793">
  <autoFilter ref="B24:G28" xr:uid="{93553652-6BFD-4D3E-A51C-C1C7D6617C22}"/>
  <tableColumns count="6">
    <tableColumn id="1" xr3:uid="{905B6C4A-DECD-4EA9-ACD3-C4101AAB715D}" name="Category" totalsRowLabel="TOTAL W/SF LOADS" dataDxfId="792" totalsRowDxfId="791"/>
    <tableColumn id="2" xr3:uid="{EA534F19-1249-46C3-89A1-D385BB36CA80}" name="W/SF" dataDxfId="790" totalsRowDxfId="789"/>
    <tableColumn id="3" xr3:uid="{FEB398FC-EB6F-4260-867C-8E292B908C14}" name="Applies to SF" dataDxfId="788" totalsRowDxfId="787">
      <calculatedColumnFormula>SUM(LC_Areas[Total SF])</calculatedColumnFormula>
    </tableColumn>
    <tableColumn id="4" xr3:uid="{F01BD4CA-E401-4346-A12F-BB09328E6915}" name="Connected kVA" totalsRowFunction="custom" dataDxfId="786" totalsRowDxfId="785">
      <calculatedColumnFormula>IF(OR(LC_WSF[[#This Row],[W/SF]]="",LC_WSF[[#This Row],[Applies to SF]]=""),"",LC_WSF[[#This Row],[W/SF]]*LC_WSF[[#This Row],[Applies to SF]]/1000)</calculatedColumnFormula>
      <totalsRowFormula>SUM(LC_WSF[Connected kVA])</totalsRowFormula>
    </tableColumn>
    <tableColumn id="5" xr3:uid="{96D4B954-B97B-4FBF-9EC6-726C97CB2A4C}" name="Demand Factor" dataDxfId="784" totalsRowDxfId="783" dataCellStyle="Percent">
      <calculatedColumnFormula>IF(OR(E25="",E25=0),"",(MIN(E25*1000,Rcpt_Thresh_VA)+MAX(0,E25*1000-Rcpt_Thresh_VA)*Rcpt_Rem_DF)/1000/E25)</calculatedColumnFormula>
    </tableColumn>
    <tableColumn id="6" xr3:uid="{66E2B19D-1347-4F78-A347-BC574E7A1A4F}" name="Demand kVA" totalsRowFunction="custom" dataDxfId="782" totalsRowDxfId="781">
      <calculatedColumnFormula>IF(LC_WSF[[#This Row],[Connected kVA]]="","",LC_WSF[[#This Row],[Connected kVA]]*IF(LC_WSF[[#This Row],[Demand Factor]]="",1,LC_WSF[[#This Row],[Demand Factor]]))</calculatedColumnFormula>
      <totalsRowFormula>SUM(LC_WSF[Demand kVA])</totalsRow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52B17B-BB9B-49DF-B9CF-24597617211C}" name="LC_House" displayName="LC_House" ref="A50:X51" headerRowDxfId="780" dataDxfId="779" totalsRowDxfId="778">
  <autoFilter ref="A50:X51" xr:uid="{A452B17B-BB9B-49DF-B9CF-24597617211C}"/>
  <tableColumns count="24">
    <tableColumn id="1" xr3:uid="{6DA8328A-7044-45A8-B30D-8553C017F7E4}" name="No." totalsRowLabel="Total" dataDxfId="777" totalsRowDxfId="776"/>
    <tableColumn id="2" xr3:uid="{C59279DD-9CF8-4E9F-8601-1156D00E914A}" name="Description" totalsRowLabel="SECTION TOTAL (connected kVA)" dataDxfId="775" totalsRowDxfId="774"/>
    <tableColumn id="3" xr3:uid="{AA3B2573-7462-4B69-A5A8-73BAA66AF99C}" name="Qty" dataDxfId="773" totalsRowDxfId="772"/>
    <tableColumn id="4" xr3:uid="{63359CE6-88DA-4C4D-BC50-4EE186CE0CAB}" name="Connection" dataDxfId="771" totalsRowDxfId="770"/>
    <tableColumn id="22" xr3:uid="{777F33E1-04E9-4696-88FA-A9360D909AF0}" name="Disc NEMA" dataDxfId="769" totalsRowDxfId="768"/>
    <tableColumn id="23" xr3:uid="{EDB4EEDB-8AE0-4C46-9997-94B71EADCC38}" name="Disc Frame (A)" dataDxfId="767" totalsRowDxfId="766"/>
    <tableColumn id="24" xr3:uid="{D44758B1-5C6D-46F5-A95E-47BF9EB1B73F}" name="Disc Fuse (A)" dataDxfId="765" totalsRowDxfId="764"/>
    <tableColumn id="25" xr3:uid="{C39F8166-3E31-43DD-BD48-EC61A6C76277}" name="Disc Supplied By" dataDxfId="763" totalsRowDxfId="762"/>
    <tableColumn id="5" xr3:uid="{D4B71CDE-1C92-4D51-A1D0-B46AB4760C80}" name="Recept Type" dataDxfId="761" totalsRowDxfId="760"/>
    <tableColumn id="6" xr3:uid="{63F7AD72-E0B0-4686-AC3E-F3A34C7DFC2E}" name="Load Value" dataDxfId="759" totalsRowDxfId="758"/>
    <tableColumn id="7" xr3:uid="{597C4FFF-CDC6-4452-85BE-5FA061789424}" name="Unit" dataDxfId="757" totalsRowDxfId="756"/>
    <tableColumn id="8" xr3:uid="{71992458-73EC-4361-8999-8958BD0C3A05}" name="Volts" dataDxfId="755" totalsRowDxfId="754"/>
    <tableColumn id="9" xr3:uid="{8FF4363D-0307-4848-B8E5-3C3B18EE3C3E}" name="Ph" dataDxfId="753" totalsRowDxfId="752"/>
    <tableColumn id="10" xr3:uid="{474B936B-0D9E-41B9-B083-F0E9A12B9F63}" name="PF" dataDxfId="751" totalsRowDxfId="750"/>
    <tableColumn id="11" xr3:uid="{27A62172-0051-43C6-A4B7-DCC7E842BF8A}" name="kVA Each" dataDxfId="749" totalsRowDxfId="748">
      <calculatedColumnFormula array="1">IF(OR(LC_House[[#This Row],[Qty]]="",LC_House[[#This Row],[Load Value]]="",LC_House[[#This Row],[Unit]]=""),"",IFERROR(_xlfn.SWITCH(LC_House[[#This Row],[Unit]],"HP",IF(LC_House[[#This Row],[Ph]]=3,VLOOKUP(LC_House[[#This Row],[Load Value]],Motor3_Table,IF(LC_House[[#This Row],[Volts]]&lt;=215,2,IF(LC_House[[#This Row],[Volts]]&lt;=245,3,IF(LC_House[[#This Row],[Volts]]&lt;=500,4,5))),TRUE)*LC_House[[#This Row],[Volts]]*SQRT3/1000,VLOOKUP(LC_House[[#This Row],[Load Value]],Motor1_Table,IF(LC_House[[#This Row],[Volts]]&lt;=130,2,3),TRUE)*LC_House[[#This Row],[Volts]]/1000),"kW",LC_House[[#This Row],[Load Value]]/IF(LC_House[[#This Row],[PF]]="",0.9,LC_House[[#This Row],[PF]]),"kVA",LC_House[[#This Row],[Load Value]],"A",LC_House[[#This Row],[Load Value]]*LC_House[[#This Row],[Volts]]*IF(LC_House[[#This Row],[Ph]]=3,SQRT3,1)/1000,"W",LC_House[[#This Row],[Load Value]]/IF(LC_House[[#This Row],[PF]]="",0.9,LC_House[[#This Row],[PF]])/1000,"VA",LC_House[[#This Row],[Load Value]]/1000),"chk"))</calculatedColumnFormula>
    </tableColumn>
    <tableColumn id="12" xr3:uid="{D3464788-563E-4CCE-B932-410475F983CD}" name="Total kVA" totalsRowFunction="sum" dataDxfId="747" totalsRowDxfId="746">
      <calculatedColumnFormula>IF(NOT(ISNUMBER(LC_House[[#This Row],[kVA Each]])),"",LC_House[[#This Row],[Qty]]*LC_House[[#This Row],[kVA Each]])</calculatedColumnFormula>
    </tableColumn>
    <tableColumn id="13" xr3:uid="{E52194BF-21CF-4612-A3BE-48AEF9F75D26}" name="Ded. Ckt" dataDxfId="745" totalsRowDxfId="744"/>
    <tableColumn id="14" xr3:uid="{07C25362-5597-4E7A-B675-D26445D48D55}" name="Gen" dataDxfId="743" totalsRowDxfId="742"/>
    <tableColumn id="15" xr3:uid="{17938DAC-F854-460D-B40C-2350654D1FBC}" name="UPS" dataDxfId="741" totalsRowDxfId="740"/>
    <tableColumn id="16" xr3:uid="{94E80093-4161-4540-B2DF-83228D160BB9}" name="Panel Tag" dataDxfId="739" totalsRowDxfId="738"/>
    <tableColumn id="17" xr3:uid="{5D48B660-1B60-4917-97BA-95AA4C37BC66}" name="Notes" dataDxfId="737" totalsRowDxfId="736"/>
    <tableColumn id="18" xr3:uid="{B3A2ED02-5914-4AEC-990F-F97D5432A051}" name="Ckts" dataDxfId="735" totalsRowDxfId="734"/>
    <tableColumn id="19" xr3:uid="{29F4FB34-BFF9-4B08-83E6-6931D514A37D}" name="Placed" dataDxfId="733" totalsRowDxfId="732"/>
    <tableColumn id="20" xr3:uid="{4E65E8D2-8790-45D2-AEF8-B2441931BA0D}" name="Status" dataDxfId="731" totalsRowDxfId="730">
      <calculatedColumnFormula>IF(LC_House[[#This Row],[Description]]="","",IF(N(LC_House[[#This Row],[Placed]])=0,"Unplaced",IF(LC_House[[#This Row],[Placed]]&gt;=IF(LC_House[[#This Row],[Ded. Ckt]]="N",1,MAX(1,N(LC_House[[#This Row],[Qty]]))),"Placed","Partial")))</calculatedColumnFormula>
    </tableColumn>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3BB717-ED2A-4A12-8643-A96100F23DD9}" name="LC_Dept" displayName="LC_Dept" ref="A57:X58" headerRowDxfId="729" dataDxfId="728" totalsRowDxfId="727">
  <autoFilter ref="A57:X58" xr:uid="{6F3BB717-ED2A-4A12-8643-A96100F23DD9}"/>
  <tableColumns count="24">
    <tableColumn id="1" xr3:uid="{D63C74C0-8B4F-45B2-A033-8E868080F5F2}" name="No." totalsRowLabel="Total" dataDxfId="726" totalsRowDxfId="725"/>
    <tableColumn id="2" xr3:uid="{D86D2FA5-8159-4A02-B0C1-59A8741C754E}" name="Description" totalsRowLabel="SECTION TOTAL (connected kVA)" dataDxfId="724" totalsRowDxfId="723"/>
    <tableColumn id="3" xr3:uid="{32E8A580-6544-404E-9ED2-3C15A27DA88C}" name="Qty" dataDxfId="722" totalsRowDxfId="721"/>
    <tableColumn id="4" xr3:uid="{0285B000-BE74-4B61-B8F1-8DA1222B9B92}" name="Connection" dataDxfId="720" totalsRowDxfId="719"/>
    <tableColumn id="22" xr3:uid="{4475B432-D47F-4206-865F-D500EF00609A}" name="Disc NEMA" dataDxfId="718" totalsRowDxfId="717"/>
    <tableColumn id="23" xr3:uid="{044E6F07-09AE-44BB-A3D1-DA838A503358}" name="Disc Frame (A)" dataDxfId="716" totalsRowDxfId="715"/>
    <tableColumn id="24" xr3:uid="{8BC7C3B8-C34C-45F0-9341-B6FDD23460C7}" name="Disc Fuse (A)" dataDxfId="714" totalsRowDxfId="713"/>
    <tableColumn id="25" xr3:uid="{DCDC050C-A13E-46B5-A53F-8B0BB0E0E858}" name="Disc Supplied By" dataDxfId="712" totalsRowDxfId="711"/>
    <tableColumn id="5" xr3:uid="{D19F31D5-D533-4E33-81F9-A2618C0C75CE}" name="Recept Type" dataDxfId="710" totalsRowDxfId="709"/>
    <tableColumn id="6" xr3:uid="{BB2E3592-5CC4-4B20-A2DC-44C64E1BF690}" name="Load Value" dataDxfId="708" totalsRowDxfId="707"/>
    <tableColumn id="7" xr3:uid="{B9F3E7D7-5A6C-47CF-9C7E-B698287DF153}" name="Unit" dataDxfId="706" totalsRowDxfId="705"/>
    <tableColumn id="8" xr3:uid="{14AD8AB2-1124-4458-809F-D9C3C7424B5D}" name="Volts" dataDxfId="704" totalsRowDxfId="703"/>
    <tableColumn id="9" xr3:uid="{DDE7547B-8C63-433D-86A1-2EF87A9D0570}" name="Ph" dataDxfId="702" totalsRowDxfId="701"/>
    <tableColumn id="10" xr3:uid="{EFC24B0B-EA57-4E7F-AB0B-9935D9995136}" name="PF" dataDxfId="700" totalsRowDxfId="699"/>
    <tableColumn id="11" xr3:uid="{49E7DDE4-37D9-4B41-BEA8-402D55A05B93}" name="kVA Each" dataDxfId="698" totalsRowDxfId="697">
      <calculatedColumnFormula array="1">IF(OR(LC_Dept[[#This Row],[Qty]]="",LC_Dept[[#This Row],[Load Value]]="",LC_Dept[[#This Row],[Unit]]=""),"",IFERROR(_xlfn.SWITCH(LC_Dept[[#This Row],[Unit]],"HP",IF(LC_Dept[[#This Row],[Ph]]=3,VLOOKUP(LC_Dept[[#This Row],[Load Value]],Motor3_Table,IF(LC_Dept[[#This Row],[Volts]]&lt;=215,2,IF(LC_Dept[[#This Row],[Volts]]&lt;=245,3,IF(LC_Dept[[#This Row],[Volts]]&lt;=500,4,5))),TRUE)*LC_Dept[[#This Row],[Volts]]*SQRT3/1000,VLOOKUP(LC_Dept[[#This Row],[Load Value]],Motor1_Table,IF(LC_Dept[[#This Row],[Volts]]&lt;=130,2,3),TRUE)*LC_Dept[[#This Row],[Volts]]/1000),"kW",LC_Dept[[#This Row],[Load Value]]/IF(LC_Dept[[#This Row],[PF]]="",0.9,LC_Dept[[#This Row],[PF]]),"kVA",LC_Dept[[#This Row],[Load Value]],"A",LC_Dept[[#This Row],[Load Value]]*LC_Dept[[#This Row],[Volts]]*IF(LC_Dept[[#This Row],[Ph]]=3,SQRT3,1)/1000,"W",LC_Dept[[#This Row],[Load Value]]/IF(LC_Dept[[#This Row],[PF]]="",0.9,LC_Dept[[#This Row],[PF]])/1000,"VA",LC_Dept[[#This Row],[Load Value]]/1000),"chk"))</calculatedColumnFormula>
    </tableColumn>
    <tableColumn id="12" xr3:uid="{993ED08C-7EC9-4116-B91F-CDEFE96D0FBB}" name="Total kVA" totalsRowFunction="sum" dataDxfId="696" totalsRowDxfId="695">
      <calculatedColumnFormula>IF(NOT(ISNUMBER(LC_Dept[[#This Row],[kVA Each]])),"",LC_Dept[[#This Row],[Qty]]*LC_Dept[[#This Row],[kVA Each]])</calculatedColumnFormula>
    </tableColumn>
    <tableColumn id="13" xr3:uid="{2833C78A-6C05-48AF-888B-A0B9674112FC}" name="Ded. Ckt" dataDxfId="694" totalsRowDxfId="693"/>
    <tableColumn id="14" xr3:uid="{E7338487-4BA9-4725-A921-A6009CDA5709}" name="Gen" dataDxfId="692" totalsRowDxfId="691"/>
    <tableColumn id="15" xr3:uid="{CCE91652-F3B7-42A9-B4FD-C931D5D6F713}" name="UPS" dataDxfId="690" totalsRowDxfId="689"/>
    <tableColumn id="16" xr3:uid="{4F9F346C-59E3-4C24-A868-386E6616CBF0}" name="Panel Tag" dataDxfId="688" totalsRowDxfId="687"/>
    <tableColumn id="17" xr3:uid="{CFD11B3F-D97C-42B5-90F3-77E99F59E1ED}" name="Notes" dataDxfId="686" totalsRowDxfId="685"/>
    <tableColumn id="18" xr3:uid="{AD80CCEB-B229-46CB-AAC0-54C112250145}" name="Ckts" dataDxfId="684" totalsRowDxfId="683"/>
    <tableColumn id="19" xr3:uid="{93DA2D0B-5925-49C5-AA61-FA60BE2120C4}" name="Placed" dataDxfId="682" totalsRowDxfId="681"/>
    <tableColumn id="20" xr3:uid="{8F477A71-9DB3-44CA-AA64-8E9EB71FC094}" name="Status" dataDxfId="680" totalsRowDxfId="679">
      <calculatedColumnFormula>IF(LC_Dept[[#This Row],[Description]]="","",IF(N(LC_Dept[[#This Row],[Placed]])=0,"Unplaced",IF(LC_Dept[[#This Row],[Placed]]&gt;=IF(LC_Dept[[#This Row],[Ded. Ckt]]="N",1,MAX(1,N(LC_Dept[[#This Row],[Qty]]))),"Placed","Partial")))</calculatedColumnFormula>
    </tableColum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EB0102-9588-45D0-8B1C-21460088B8F2}" name="LC_Refrig" displayName="LC_Refrig" ref="A64:X65" headerRowDxfId="678" dataDxfId="677" totalsRowDxfId="676" totalsRowBorderDxfId="675">
  <autoFilter ref="A64:X65" xr:uid="{E7EB0102-9588-45D0-8B1C-21460088B8F2}"/>
  <tableColumns count="24">
    <tableColumn id="1" xr3:uid="{AED3FC14-0C7B-48B8-BF08-0F3817E93630}" name="No." totalsRowLabel="Total" dataDxfId="674" totalsRowDxfId="673"/>
    <tableColumn id="2" xr3:uid="{8E084928-BD74-422A-95E7-AEA531AB93E8}" name="Description" totalsRowLabel="SECTION TOTAL (connected kVA)" dataDxfId="672" totalsRowDxfId="671"/>
    <tableColumn id="3" xr3:uid="{03F38878-EEDB-4F92-BFCA-6A71BE857C06}" name="Qty" dataDxfId="670" totalsRowDxfId="669"/>
    <tableColumn id="4" xr3:uid="{0FB0969D-3197-4EA1-8D84-9D5C3FD2BDE1}" name="Connection" dataDxfId="668" totalsRowDxfId="667"/>
    <tableColumn id="22" xr3:uid="{3E184C3E-055F-4B42-A913-9177EAB3B151}" name="Disc NEMA" dataDxfId="666" totalsRowDxfId="665"/>
    <tableColumn id="23" xr3:uid="{DACDC8A9-4D5C-473C-8DBA-A43A937F18E2}" name="Disc Frame (A)" dataDxfId="664" totalsRowDxfId="663"/>
    <tableColumn id="24" xr3:uid="{93D0BD5C-0F11-428D-ADE9-19E4F55F08FF}" name="Disc Fuse (A)" dataDxfId="662" totalsRowDxfId="661"/>
    <tableColumn id="25" xr3:uid="{F4DBCBBB-7D4C-44B7-90F3-9F8D3CB35768}" name="Disc Supplied By" dataDxfId="660" totalsRowDxfId="659"/>
    <tableColumn id="5" xr3:uid="{E0E7C26E-7FF4-4967-B03D-CBE620D459FE}" name="Recept Type" dataDxfId="658" totalsRowDxfId="657"/>
    <tableColumn id="6" xr3:uid="{30EA5EA9-A40A-4AC7-B6A2-DE45F0A64933}" name="Load Value" dataDxfId="656" totalsRowDxfId="655"/>
    <tableColumn id="7" xr3:uid="{7277E8DB-AB13-449A-B7E1-0793B1DC94E4}" name="Unit" dataDxfId="654" totalsRowDxfId="653"/>
    <tableColumn id="8" xr3:uid="{05C69783-4DBB-4D25-AED3-4970AB9092D5}" name="Volts" dataDxfId="652" totalsRowDxfId="651"/>
    <tableColumn id="9" xr3:uid="{4145239B-109C-4EBB-AEBA-DAEB00F8C6E5}" name="Ph" dataDxfId="650" totalsRowDxfId="649"/>
    <tableColumn id="10" xr3:uid="{29AF9C79-72C3-49A2-AD48-079802BEED39}" name="PF" dataDxfId="648" totalsRowDxfId="647"/>
    <tableColumn id="11" xr3:uid="{3029D932-0756-40E4-B049-B3CE2A318274}" name="kVA Each" dataDxfId="646" totalsRowDxfId="645">
      <calculatedColumnFormula array="1">IF(OR(LC_Refrig[[#This Row],[Qty]]="",LC_Refrig[[#This Row],[Load Value]]="",LC_Refrig[[#This Row],[Unit]]=""),"",IFERROR(_xlfn.SWITCH(LC_Refrig[[#This Row],[Unit]],"HP",IF(LC_Refrig[[#This Row],[Ph]]=3,VLOOKUP(LC_Refrig[[#This Row],[Load Value]],Motor3_Table,IF(LC_Refrig[[#This Row],[Volts]]&lt;=215,2,IF(LC_Refrig[[#This Row],[Volts]]&lt;=245,3,IF(LC_Refrig[[#This Row],[Volts]]&lt;=500,4,5))),TRUE)*LC_Refrig[[#This Row],[Volts]]*SQRT3/1000,VLOOKUP(LC_Refrig[[#This Row],[Load Value]],Motor1_Table,IF(LC_Refrig[[#This Row],[Volts]]&lt;=130,2,3),TRUE)*LC_Refrig[[#This Row],[Volts]]/1000),"kW",LC_Refrig[[#This Row],[Load Value]]/IF(LC_Refrig[[#This Row],[PF]]="",0.9,LC_Refrig[[#This Row],[PF]]),"kVA",LC_Refrig[[#This Row],[Load Value]],"A",LC_Refrig[[#This Row],[Load Value]]*LC_Refrig[[#This Row],[Volts]]*IF(LC_Refrig[[#This Row],[Ph]]=3,SQRT3,1)/1000,"W",LC_Refrig[[#This Row],[Load Value]]/IF(LC_Refrig[[#This Row],[PF]]="",0.9,LC_Refrig[[#This Row],[PF]])/1000,"VA",LC_Refrig[[#This Row],[Load Value]]/1000),"chk"))</calculatedColumnFormula>
    </tableColumn>
    <tableColumn id="12" xr3:uid="{538D1B6B-65A0-42F7-892B-D261FB92EE5A}" name="Total kVA" totalsRowFunction="sum" dataDxfId="644" totalsRowDxfId="643">
      <calculatedColumnFormula>IF(NOT(ISNUMBER(LC_Refrig[[#This Row],[kVA Each]])),"",LC_Refrig[[#This Row],[Qty]]*LC_Refrig[[#This Row],[kVA Each]])</calculatedColumnFormula>
    </tableColumn>
    <tableColumn id="13" xr3:uid="{99310501-301B-4526-A16E-A60185ECDE4F}" name="Ded. Ckt" dataDxfId="642" totalsRowDxfId="641"/>
    <tableColumn id="14" xr3:uid="{BA171EC4-B228-490C-A742-107B51573DA1}" name="Gen" dataDxfId="640" totalsRowDxfId="639"/>
    <tableColumn id="15" xr3:uid="{65931577-80E2-40EC-8614-8DD8EE9B8F54}" name="UPS" dataDxfId="638" totalsRowDxfId="637"/>
    <tableColumn id="16" xr3:uid="{E0DA8D0F-5502-457B-A05F-9B986F4104A8}" name="Panel Tag" dataDxfId="636" totalsRowDxfId="635"/>
    <tableColumn id="17" xr3:uid="{0FD5D5D4-E601-40D5-B597-CA1DC8EF70C8}" name="Notes" dataDxfId="634" totalsRowDxfId="633"/>
    <tableColumn id="18" xr3:uid="{800B550B-BC94-42F5-887A-EAFD6E05933B}" name="Ckts" dataDxfId="632" totalsRowDxfId="631"/>
    <tableColumn id="19" xr3:uid="{DC81A9A1-29AD-44FB-8D59-E680A8707887}" name="Placed" dataDxfId="630" totalsRowDxfId="629"/>
    <tableColumn id="20" xr3:uid="{E0EF2E92-2415-4F89-826E-F836F1F5C36D}" name="Status" dataDxfId="628" totalsRowDxfId="627">
      <calculatedColumnFormula>IF(LC_Refrig[[#This Row],[Description]]="","",IF(N(LC_Refrig[[#This Row],[Placed]])=0,"Unplaced",IF(LC_Refrig[[#This Row],[Placed]]&gt;=IF(LC_Refrig[[#This Row],[Ded. Ckt]]="N",1,MAX(1,N(LC_Refrig[[#This Row],[Qty]]))),"Placed","Partial")))</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80330F-D575-44A2-BF3E-79E43E57BACF}" name="LC_Mech" displayName="LC_Mech" ref="A71:X72" headerRowDxfId="626" dataDxfId="625" totalsRowDxfId="624">
  <autoFilter ref="A71:X72" xr:uid="{D880330F-D575-44A2-BF3E-79E43E57BACF}"/>
  <tableColumns count="24">
    <tableColumn id="1" xr3:uid="{752434C4-7850-4775-A34E-93F143D3B3D2}" name="No." totalsRowLabel="Total" dataDxfId="623" totalsRowDxfId="622"/>
    <tableColumn id="2" xr3:uid="{BE994D9F-2C8F-417B-A144-78B9A10407B1}" name="Description" totalsRowLabel="SECTION TOTAL (connected kVA)" dataDxfId="621" totalsRowDxfId="620"/>
    <tableColumn id="3" xr3:uid="{97D17200-14AD-4F4D-B2C4-C2C62491D28E}" name="Qty" dataDxfId="619" totalsRowDxfId="618"/>
    <tableColumn id="4" xr3:uid="{16A94EC5-5392-4750-8D0E-204E38D4E867}" name="Connection" dataDxfId="617" totalsRowDxfId="616"/>
    <tableColumn id="22" xr3:uid="{401CD0AB-7E9B-4D98-B7E4-9BFA7AECF5E7}" name="Disc NEMA" dataDxfId="615" totalsRowDxfId="614"/>
    <tableColumn id="23" xr3:uid="{36E5C9B4-1451-427E-8AC2-E71C32C126D9}" name="Disc Frame (A)" dataDxfId="613" totalsRowDxfId="612"/>
    <tableColumn id="24" xr3:uid="{7CAFE491-46A8-4CB0-9074-7B66E5E110A9}" name="Disc Fuse (A)" dataDxfId="611" totalsRowDxfId="610"/>
    <tableColumn id="25" xr3:uid="{99AA51B4-070E-4B5B-A10B-260A4406B4D1}" name="Disc Supplied By" dataDxfId="609" totalsRowDxfId="608"/>
    <tableColumn id="5" xr3:uid="{C0BE0C3E-4F3A-4449-9A9B-E8B3A565DFB8}" name="Recept Type" dataDxfId="607" totalsRowDxfId="606"/>
    <tableColumn id="6" xr3:uid="{9EED5B56-264F-452E-9433-EBD3E0A26A30}" name="Load Value" dataDxfId="605" totalsRowDxfId="604"/>
    <tableColumn id="7" xr3:uid="{F429FFD9-6DB3-4FF6-A867-3B3360ED9E71}" name="Unit" dataDxfId="603" totalsRowDxfId="602"/>
    <tableColumn id="8" xr3:uid="{8BDA0064-642B-4CF4-BB7D-2E9846072C84}" name="Volts" dataDxfId="601" totalsRowDxfId="600"/>
    <tableColumn id="9" xr3:uid="{C2F04E1D-DEA9-4947-B040-148B92EBB06A}" name="Ph" dataDxfId="599" totalsRowDxfId="598"/>
    <tableColumn id="10" xr3:uid="{8F6C12B4-6D77-44C0-8B3F-37909B105AC8}" name="PF" dataDxfId="597" totalsRowDxfId="596"/>
    <tableColumn id="11" xr3:uid="{64ED1D50-7D0F-4790-BF86-B34EC4091A75}" name="kVA Each" dataDxfId="595" totalsRowDxfId="594">
      <calculatedColumnFormula array="1">IF(OR(LC_Mech[[#This Row],[Qty]]="",LC_Mech[[#This Row],[Load Value]]="",LC_Mech[[#This Row],[Unit]]=""),"",IFERROR(_xlfn.SWITCH(LC_Mech[[#This Row],[Unit]],"HP",IF(LC_Mech[[#This Row],[Ph]]=3,VLOOKUP(LC_Mech[[#This Row],[Load Value]],Motor3_Table,IF(LC_Mech[[#This Row],[Volts]]&lt;=215,2,IF(LC_Mech[[#This Row],[Volts]]&lt;=245,3,IF(LC_Mech[[#This Row],[Volts]]&lt;=500,4,5))),TRUE)*LC_Mech[[#This Row],[Volts]]*SQRT3/1000,VLOOKUP(LC_Mech[[#This Row],[Load Value]],Motor1_Table,IF(LC_Mech[[#This Row],[Volts]]&lt;=130,2,3),TRUE)*LC_Mech[[#This Row],[Volts]]/1000),"kW",LC_Mech[[#This Row],[Load Value]]/IF(LC_Mech[[#This Row],[PF]]="",0.9,LC_Mech[[#This Row],[PF]]),"kVA",LC_Mech[[#This Row],[Load Value]],"A",LC_Mech[[#This Row],[Load Value]]*LC_Mech[[#This Row],[Volts]]*IF(LC_Mech[[#This Row],[Ph]]=3,SQRT3,1)/1000,"W",LC_Mech[[#This Row],[Load Value]]/IF(LC_Mech[[#This Row],[PF]]="",0.9,LC_Mech[[#This Row],[PF]])/1000,"VA",LC_Mech[[#This Row],[Load Value]]/1000),"chk"))</calculatedColumnFormula>
    </tableColumn>
    <tableColumn id="12" xr3:uid="{F8A2792D-227A-45B5-8515-ECA3F2E9A7D7}" name="Total kVA" totalsRowFunction="sum" dataDxfId="593" totalsRowDxfId="592">
      <calculatedColumnFormula>IF(NOT(ISNUMBER(LC_Mech[[#This Row],[kVA Each]])),"",LC_Mech[[#This Row],[Qty]]*LC_Mech[[#This Row],[kVA Each]])</calculatedColumnFormula>
    </tableColumn>
    <tableColumn id="13" xr3:uid="{0BE68B35-A63F-489C-A023-74902A44874E}" name="Ded. Ckt" dataDxfId="591" totalsRowDxfId="590"/>
    <tableColumn id="14" xr3:uid="{6F051DAC-FD82-43FB-9B74-1EAD7096EEFE}" name="Gen" dataDxfId="589" totalsRowDxfId="588"/>
    <tableColumn id="15" xr3:uid="{80A28141-689F-4BD9-89D8-BD1A137DBC28}" name="UPS" dataDxfId="587" totalsRowDxfId="586"/>
    <tableColumn id="16" xr3:uid="{DB8B8B54-C17D-419A-BADD-A0F925408C9D}" name="Panel Tag" dataDxfId="585" totalsRowDxfId="584"/>
    <tableColumn id="17" xr3:uid="{A88496B6-0D2F-410C-8467-F4579C15632C}" name="Notes" dataDxfId="583" totalsRowDxfId="582"/>
    <tableColumn id="18" xr3:uid="{F153A056-13AA-4236-944E-16D7E8423DE6}" name="Ckts" dataDxfId="581" totalsRowDxfId="580"/>
    <tableColumn id="19" xr3:uid="{0354B83D-30D5-490E-BD50-196A6DE60E4C}" name="Placed" dataDxfId="579" totalsRowDxfId="578"/>
    <tableColumn id="20" xr3:uid="{A3150A47-9B4A-4BD6-A062-646AF97668DB}" name="Status" dataDxfId="577" totalsRowDxfId="576">
      <calculatedColumnFormula>IF(LC_Mech[[#This Row],[Description]]="","",IF(N(LC_Mech[[#This Row],[Placed]])=0,"Unplaced",IF(LC_Mech[[#This Row],[Placed]]&gt;=IF(LC_Mech[[#This Row],[Ded. Ckt]]="N",1,MAX(1,N(LC_Mech[[#This Row],[Qty]]))),"Placed","Partial")))</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C22D07-63C4-4632-9B57-F58B94E54E09}" name="LC_Plumb" displayName="LC_Plumb" ref="A78:X79" headerRowDxfId="575" dataDxfId="574" totalsRowDxfId="573" totalsRowBorderDxfId="572">
  <autoFilter ref="A78:X79" xr:uid="{3AC22D07-63C4-4632-9B57-F58B94E54E09}"/>
  <tableColumns count="24">
    <tableColumn id="1" xr3:uid="{B6D946B0-D530-4C67-AB2B-01E1D3F03941}" name="No." totalsRowLabel="Total" dataDxfId="571" totalsRowDxfId="570"/>
    <tableColumn id="2" xr3:uid="{57B271DD-5E9F-42EF-AB97-D2D3377F57D4}" name="Description" totalsRowLabel="SECTION TOTAL (connected kVA)" dataDxfId="569" totalsRowDxfId="568"/>
    <tableColumn id="3" xr3:uid="{7039A57D-3110-418F-84DE-117956DEE2AB}" name="Qty" dataDxfId="567" totalsRowDxfId="566"/>
    <tableColumn id="4" xr3:uid="{F49DD5DE-B8EB-4EC7-B952-A937FAD2116B}" name="Connection" dataDxfId="565" totalsRowDxfId="564"/>
    <tableColumn id="22" xr3:uid="{8C30F731-2856-455F-9617-DCD944450266}" name="Disc NEMA" dataDxfId="563" totalsRowDxfId="562"/>
    <tableColumn id="23" xr3:uid="{8918DBED-73BE-45BF-84BD-4B8EE4DB1A30}" name="Disc Frame (A)" dataDxfId="561" totalsRowDxfId="560"/>
    <tableColumn id="24" xr3:uid="{62E34626-BEBA-4B75-A06A-3DA451110AB7}" name="Disc Fuse (A)" dataDxfId="559" totalsRowDxfId="558"/>
    <tableColumn id="25" xr3:uid="{73F82F2B-AB8B-4966-A303-ED293617278C}" name="Disc Supplied By" dataDxfId="557" totalsRowDxfId="556"/>
    <tableColumn id="5" xr3:uid="{9F920907-EEB4-40C0-A0CA-93342B9ADDBE}" name="Recept Type" dataDxfId="555" totalsRowDxfId="554"/>
    <tableColumn id="6" xr3:uid="{584068DC-AC77-47CD-956E-441C7ADB3697}" name="Load Value" dataDxfId="553" totalsRowDxfId="552"/>
    <tableColumn id="7" xr3:uid="{ECF30CD4-B07E-425C-9EF8-327D52A2FA2B}" name="Unit" dataDxfId="551" totalsRowDxfId="550"/>
    <tableColumn id="8" xr3:uid="{FEC00466-EDBA-4263-B0C5-98AA2A26CE32}" name="Volts" dataDxfId="549" totalsRowDxfId="548"/>
    <tableColumn id="9" xr3:uid="{419F4308-50C7-4FFA-9E22-75DA03B68728}" name="Ph" dataDxfId="547" totalsRowDxfId="546"/>
    <tableColumn id="10" xr3:uid="{8F25648D-44B4-4649-8B85-15D6203C9EF5}" name="PF" dataDxfId="545" totalsRowDxfId="544"/>
    <tableColumn id="11" xr3:uid="{A556C900-D119-42AF-8A0E-2BC85FC8B7AA}" name="kVA Each" dataDxfId="543" totalsRowDxfId="542">
      <calculatedColumnFormula array="1">IF(OR(LC_Plumb[[#This Row],[Qty]]="",LC_Plumb[[#This Row],[Load Value]]="",LC_Plumb[[#This Row],[Unit]]=""),"",IFERROR(_xlfn.SWITCH(LC_Plumb[[#This Row],[Unit]],"HP",IF(LC_Plumb[[#This Row],[Ph]]=3,VLOOKUP(LC_Plumb[[#This Row],[Load Value]],Motor3_Table,IF(LC_Plumb[[#This Row],[Volts]]&lt;=215,2,IF(LC_Plumb[[#This Row],[Volts]]&lt;=245,3,IF(LC_Plumb[[#This Row],[Volts]]&lt;=500,4,5))),TRUE)*LC_Plumb[[#This Row],[Volts]]*SQRT3/1000,VLOOKUP(LC_Plumb[[#This Row],[Load Value]],Motor1_Table,IF(LC_Plumb[[#This Row],[Volts]]&lt;=130,2,3),TRUE)*LC_Plumb[[#This Row],[Volts]]/1000),"kW",LC_Plumb[[#This Row],[Load Value]]/IF(LC_Plumb[[#This Row],[PF]]="",0.9,LC_Plumb[[#This Row],[PF]]),"kVA",LC_Plumb[[#This Row],[Load Value]],"A",LC_Plumb[[#This Row],[Load Value]]*LC_Plumb[[#This Row],[Volts]]*IF(LC_Plumb[[#This Row],[Ph]]=3,SQRT3,1)/1000,"W",LC_Plumb[[#This Row],[Load Value]]/IF(LC_Plumb[[#This Row],[PF]]="",0.9,LC_Plumb[[#This Row],[PF]])/1000,"VA",LC_Plumb[[#This Row],[Load Value]]/1000),"chk"))</calculatedColumnFormula>
    </tableColumn>
    <tableColumn id="12" xr3:uid="{98A5A14D-3348-4270-9703-B1466203E891}" name="Total kVA" totalsRowFunction="sum" dataDxfId="541" totalsRowDxfId="540">
      <calculatedColumnFormula>IF(NOT(ISNUMBER(LC_Plumb[[#This Row],[kVA Each]])),"",LC_Plumb[[#This Row],[Qty]]*LC_Plumb[[#This Row],[kVA Each]])</calculatedColumnFormula>
    </tableColumn>
    <tableColumn id="13" xr3:uid="{4C441AD7-8FE3-43DF-9A44-F8C69F42EAD6}" name="Ded. Ckt" dataDxfId="539" totalsRowDxfId="538"/>
    <tableColumn id="14" xr3:uid="{6577F542-5F67-4224-AB43-5F04D7E915A9}" name="Gen" dataDxfId="537" totalsRowDxfId="536"/>
    <tableColumn id="15" xr3:uid="{119EB4E9-BFD3-4BB0-978C-095A4816A606}" name="UPS" dataDxfId="535" totalsRowDxfId="534"/>
    <tableColumn id="16" xr3:uid="{9550BA6E-BAB3-45DB-9D6E-EE5A20B921DA}" name="Panel Tag" dataDxfId="533" totalsRowDxfId="532"/>
    <tableColumn id="17" xr3:uid="{853522A0-42B0-4069-8E81-ED2D4F5F5314}" name="Notes" dataDxfId="531" totalsRowDxfId="530"/>
    <tableColumn id="18" xr3:uid="{1ED39110-7685-4934-9B24-09C33A32F152}" name="Ckts" dataDxfId="529" totalsRowDxfId="528"/>
    <tableColumn id="19" xr3:uid="{9176B2AF-9BC8-4575-95AE-375B97DBEC57}" name="Placed" dataDxfId="527" totalsRowDxfId="526"/>
    <tableColumn id="20" xr3:uid="{4D5A9A49-BC85-4CB7-82FD-57B5B2E1AE77}" name="Status" dataDxfId="525" totalsRowDxfId="524">
      <calculatedColumnFormula>IF(LC_Plumb[[#This Row],[Description]]="","",IF(N(LC_Plumb[[#This Row],[Placed]])=0,"Unplaced",IF(LC_Plumb[[#This Row],[Placed]]&gt;=IF(LC_Plumb[[#This Row],[Ded. Ckt]]="N",1,MAX(1,N(LC_Plumb[[#This Row],[Qty]]))),"Placed","Partial")))</calculatedColumnFormula>
    </tableColumn>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05B7BC-28EF-41B4-9849-4E9A533F6C15}" name="LC_Kitchen" displayName="LC_Kitchen" ref="A85:X86" headerRowDxfId="523" dataDxfId="522" totalsRowDxfId="521" totalsRowBorderDxfId="520">
  <autoFilter ref="A85:X86" xr:uid="{EE05B7BC-28EF-41B4-9849-4E9A533F6C15}"/>
  <tableColumns count="24">
    <tableColumn id="1" xr3:uid="{B7B94589-2203-46B5-A240-89D93D1C3C08}" name="No." totalsRowLabel="Total" dataDxfId="519" totalsRowDxfId="518"/>
    <tableColumn id="2" xr3:uid="{AF9AC862-DDBB-42C8-8003-FBFA36BD7C01}" name="Description" totalsRowLabel="SECTION TOTAL (connected kVA)" dataDxfId="517" totalsRowDxfId="516"/>
    <tableColumn id="3" xr3:uid="{1518C18B-EA3D-460B-A2D1-DF4A88C44395}" name="Qty" dataDxfId="515" totalsRowDxfId="514"/>
    <tableColumn id="4" xr3:uid="{428FE6AD-851B-4874-81C8-60EFA9AD7E3F}" name="Connection" dataDxfId="513" totalsRowDxfId="512"/>
    <tableColumn id="22" xr3:uid="{E0CD5304-2F2E-4933-84FA-2349010D2068}" name="Disc NEMA" dataDxfId="511" totalsRowDxfId="510"/>
    <tableColumn id="23" xr3:uid="{95B4B21F-515E-4525-8496-619F9904FBFF}" name="Disc Frame (A)" dataDxfId="509" totalsRowDxfId="508"/>
    <tableColumn id="24" xr3:uid="{6258AEB5-8644-4C6F-B012-889BACB3E8EA}" name="Disc Fuse (A)" dataDxfId="507" totalsRowDxfId="506"/>
    <tableColumn id="25" xr3:uid="{F01ECC41-342C-48BA-B2E6-5F07D764B711}" name="Disc Supplied By" dataDxfId="505" totalsRowDxfId="504"/>
    <tableColumn id="5" xr3:uid="{9AF7B851-1AC7-46CD-BDCD-69DF3B2F820E}" name="Recept Type" dataDxfId="503" totalsRowDxfId="502"/>
    <tableColumn id="6" xr3:uid="{83005AB2-59E3-4E15-9608-3EB6EC0B73B5}" name="Load Value" dataDxfId="501" totalsRowDxfId="500"/>
    <tableColumn id="7" xr3:uid="{D3A36801-469E-4277-BCE7-DA9EC7F4398E}" name="Unit" dataDxfId="499" totalsRowDxfId="498"/>
    <tableColumn id="8" xr3:uid="{3EEC9222-2FD0-47B0-8367-9E19C676E0A2}" name="Volts" dataDxfId="497" totalsRowDxfId="496"/>
    <tableColumn id="9" xr3:uid="{04E7E794-2DC8-47E2-98A7-2B14FEF5861E}" name="Ph" dataDxfId="495" totalsRowDxfId="494"/>
    <tableColumn id="10" xr3:uid="{C6955861-ACF5-4AB8-BF74-CEC8D82F3D0D}" name="PF" dataDxfId="493" totalsRowDxfId="492"/>
    <tableColumn id="11" xr3:uid="{F87AA520-8164-4B9C-9136-441E897C10D3}" name="kVA Each" dataDxfId="491" totalsRowDxfId="490">
      <calculatedColumnFormula array="1">IF(OR(LC_Kitchen[[#This Row],[Qty]]="",LC_Kitchen[[#This Row],[Load Value]]="",LC_Kitchen[[#This Row],[Unit]]=""),"",IFERROR(_xlfn.SWITCH(LC_Kitchen[[#This Row],[Unit]],"HP",IF(LC_Kitchen[[#This Row],[Ph]]=3,VLOOKUP(LC_Kitchen[[#This Row],[Load Value]],Motor3_Table,IF(LC_Kitchen[[#This Row],[Volts]]&lt;=215,2,IF(LC_Kitchen[[#This Row],[Volts]]&lt;=245,3,IF(LC_Kitchen[[#This Row],[Volts]]&lt;=500,4,5))),TRUE)*LC_Kitchen[[#This Row],[Volts]]*SQRT3/1000,VLOOKUP(LC_Kitchen[[#This Row],[Load Value]],Motor1_Table,IF(LC_Kitchen[[#This Row],[Volts]]&lt;=130,2,3),TRUE)*LC_Kitchen[[#This Row],[Volts]]/1000),"kW",LC_Kitchen[[#This Row],[Load Value]]/IF(LC_Kitchen[[#This Row],[PF]]="",0.9,LC_Kitchen[[#This Row],[PF]]),"kVA",LC_Kitchen[[#This Row],[Load Value]],"A",LC_Kitchen[[#This Row],[Load Value]]*LC_Kitchen[[#This Row],[Volts]]*IF(LC_Kitchen[[#This Row],[Ph]]=3,SQRT3,1)/1000,"W",LC_Kitchen[[#This Row],[Load Value]]/IF(LC_Kitchen[[#This Row],[PF]]="",0.9,LC_Kitchen[[#This Row],[PF]])/1000,"VA",LC_Kitchen[[#This Row],[Load Value]]/1000),"chk"))</calculatedColumnFormula>
    </tableColumn>
    <tableColumn id="12" xr3:uid="{E618E514-123D-4423-90FB-51B7F69A3033}" name="Total kVA" totalsRowFunction="sum" dataDxfId="489" totalsRowDxfId="488">
      <calculatedColumnFormula>IF(NOT(ISNUMBER(LC_Kitchen[[#This Row],[kVA Each]])),"",LC_Kitchen[[#This Row],[Qty]]*LC_Kitchen[[#This Row],[kVA Each]])</calculatedColumnFormula>
    </tableColumn>
    <tableColumn id="13" xr3:uid="{18DD6881-58EB-499C-B208-AC477E5FC6DB}" name="Ded. Ckt" dataDxfId="487" totalsRowDxfId="486"/>
    <tableColumn id="14" xr3:uid="{37EB4A9F-061A-44F3-AB1F-DD77129E5FB5}" name="Gen" dataDxfId="485" totalsRowDxfId="484"/>
    <tableColumn id="15" xr3:uid="{A8EDDFBD-7F67-47FD-A4A4-57BA0020A15F}" name="UPS" dataDxfId="483" totalsRowDxfId="482"/>
    <tableColumn id="16" xr3:uid="{4FE8E0B4-7F6E-421D-9097-686BC6673087}" name="Panel Tag" dataDxfId="481" totalsRowDxfId="480"/>
    <tableColumn id="17" xr3:uid="{5E4D83CA-A76E-4B28-BE82-0208517E373F}" name="Notes" dataDxfId="479" totalsRowDxfId="478"/>
    <tableColumn id="18" xr3:uid="{9D60C156-F3A9-4386-8A15-08F5BE9E1843}" name="Ckts" dataDxfId="477" totalsRowDxfId="476"/>
    <tableColumn id="19" xr3:uid="{C6CD3F36-0E07-40BB-A55D-1EFE14A00B10}" name="Placed" dataDxfId="475" totalsRowDxfId="474"/>
    <tableColumn id="20" xr3:uid="{383CC647-B3CA-4869-81CC-0B353EBC9959}" name="Status" dataDxfId="473" totalsRowDxfId="472">
      <calculatedColumnFormula>IF(LC_Kitchen[[#This Row],[Description]]="","",IF(N(LC_Kitchen[[#This Row],[Placed]])=0,"Unplaced",IF(LC_Kitchen[[#This Row],[Placed]]&gt;=IF(LC_Kitchen[[#This Row],[Ded. Ckt]]="N",1,MAX(1,N(LC_Kitchen[[#This Row],[Qty]]))),"Placed","Partial")))</calculatedColumnFormula>
    </tableColumn>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A08C2D-AA9C-4676-9539-7BA588050F30}" name="LC_Elev" displayName="LC_Elev" ref="A92:X93" headerRowDxfId="471" dataDxfId="470" totalsRowDxfId="469" totalsRowBorderDxfId="468">
  <autoFilter ref="A92:X93" xr:uid="{1EA08C2D-AA9C-4676-9539-7BA588050F30}"/>
  <tableColumns count="24">
    <tableColumn id="1" xr3:uid="{87752149-D9C9-4854-B984-C9C960754828}" name="No." totalsRowLabel="Total" dataDxfId="467" totalsRowDxfId="466"/>
    <tableColumn id="2" xr3:uid="{FA4AA3DF-1C81-4D9A-A6F5-6C82FBEA99F9}" name="Description" totalsRowLabel="SECTION TOTAL (connected kVA)" dataDxfId="465" totalsRowDxfId="464"/>
    <tableColumn id="3" xr3:uid="{D5E6756F-537A-4E74-9FD5-407FA35015C1}" name="Qty" dataDxfId="463" totalsRowDxfId="462"/>
    <tableColumn id="4" xr3:uid="{69E64F9C-5488-4618-A1D6-D69519814093}" name="Connection" dataDxfId="461" totalsRowDxfId="460"/>
    <tableColumn id="22" xr3:uid="{472755EE-1BA0-41EF-B739-B31368968BC5}" name="Disc NEMA" dataDxfId="459" totalsRowDxfId="458"/>
    <tableColumn id="23" xr3:uid="{D35B7EF8-F53A-4DF8-B281-1A24141D9F6E}" name="Disc Frame (A)" dataDxfId="457" totalsRowDxfId="456"/>
    <tableColumn id="24" xr3:uid="{1576C0CA-8BB4-4D59-9961-ECBCC4E1B502}" name="Disc Fuse (A)" dataDxfId="455" totalsRowDxfId="454"/>
    <tableColumn id="25" xr3:uid="{00EBF42C-AF08-4E5E-9E51-54D5F908E6A8}" name="Disc Supplied By" dataDxfId="453" totalsRowDxfId="452"/>
    <tableColumn id="5" xr3:uid="{2DC3C776-4500-4286-BBC8-729B239EE0D4}" name="Recept Type" dataDxfId="451" totalsRowDxfId="450"/>
    <tableColumn id="6" xr3:uid="{D7DBE4B4-73FE-4F00-B0F6-3D373A3F396B}" name="Load Value" dataDxfId="449" totalsRowDxfId="448"/>
    <tableColumn id="7" xr3:uid="{9BFF2D88-E7C9-459E-882D-CAA53F5AB471}" name="Unit" dataDxfId="447" totalsRowDxfId="446"/>
    <tableColumn id="8" xr3:uid="{C7B85924-9D40-4F5C-8FA4-D69588E2CE76}" name="Volts" dataDxfId="445" totalsRowDxfId="444"/>
    <tableColumn id="9" xr3:uid="{FF9D8141-0E49-4A7A-838E-35DCA4F5E3E5}" name="Ph" dataDxfId="443" totalsRowDxfId="442"/>
    <tableColumn id="10" xr3:uid="{E069E76F-7467-4996-86B5-48E8AF19C2A8}" name="PF" dataDxfId="441" totalsRowDxfId="440"/>
    <tableColumn id="11" xr3:uid="{9AF8E3CC-3B43-4BC2-836E-7D964ABBFAC6}" name="kVA Each" dataDxfId="439" totalsRowDxfId="438">
      <calculatedColumnFormula array="1">IF(OR(LC_Elev[[#This Row],[Qty]]="",LC_Elev[[#This Row],[Load Value]]="",LC_Elev[[#This Row],[Unit]]=""),"",IFERROR(_xlfn.SWITCH(LC_Elev[[#This Row],[Unit]],"HP",IF(LC_Elev[[#This Row],[Ph]]=3,VLOOKUP(LC_Elev[[#This Row],[Load Value]],Motor3_Table,IF(LC_Elev[[#This Row],[Volts]]&lt;=215,2,IF(LC_Elev[[#This Row],[Volts]]&lt;=245,3,IF(LC_Elev[[#This Row],[Volts]]&lt;=500,4,5))),TRUE)*LC_Elev[[#This Row],[Volts]]*SQRT3/1000,VLOOKUP(LC_Elev[[#This Row],[Load Value]],Motor1_Table,IF(LC_Elev[[#This Row],[Volts]]&lt;=130,2,3),TRUE)*LC_Elev[[#This Row],[Volts]]/1000),"kW",LC_Elev[[#This Row],[Load Value]]/IF(LC_Elev[[#This Row],[PF]]="",0.9,LC_Elev[[#This Row],[PF]]),"kVA",LC_Elev[[#This Row],[Load Value]],"A",LC_Elev[[#This Row],[Load Value]]*LC_Elev[[#This Row],[Volts]]*IF(LC_Elev[[#This Row],[Ph]]=3,SQRT3,1)/1000,"W",LC_Elev[[#This Row],[Load Value]]/IF(LC_Elev[[#This Row],[PF]]="",0.9,LC_Elev[[#This Row],[PF]])/1000,"VA",LC_Elev[[#This Row],[Load Value]]/1000),"chk"))</calculatedColumnFormula>
    </tableColumn>
    <tableColumn id="12" xr3:uid="{72FCC781-A5FA-45D7-84DE-A849B5FCBDBB}" name="Total kVA" totalsRowFunction="sum" dataDxfId="437" totalsRowDxfId="436">
      <calculatedColumnFormula>IF(NOT(ISNUMBER(LC_Elev[[#This Row],[kVA Each]])),"",LC_Elev[[#This Row],[Qty]]*LC_Elev[[#This Row],[kVA Each]])</calculatedColumnFormula>
    </tableColumn>
    <tableColumn id="13" xr3:uid="{56EE0DEA-9F8D-418A-9A4A-67DBBFF9C2AF}" name="Ded. Ckt" dataDxfId="435" totalsRowDxfId="434"/>
    <tableColumn id="14" xr3:uid="{46A91A01-313C-4FED-92E5-66212F57FA8E}" name="Gen" dataDxfId="433" totalsRowDxfId="432"/>
    <tableColumn id="15" xr3:uid="{1F40982C-8408-43BF-A87D-514062FD8711}" name="UPS" dataDxfId="431" totalsRowDxfId="430"/>
    <tableColumn id="16" xr3:uid="{F9B08280-F074-43EB-B3A5-E7CAE4B9BE4F}" name="Panel Tag" dataDxfId="429" totalsRowDxfId="428"/>
    <tableColumn id="17" xr3:uid="{0160E217-A0D5-4277-A78A-08CBE75D8FF1}" name="Notes" dataDxfId="427" totalsRowDxfId="426"/>
    <tableColumn id="18" xr3:uid="{9AF0C8C0-F4D0-4FC6-B70B-FD13C9234329}" name="Ckts" dataDxfId="425" totalsRowDxfId="424"/>
    <tableColumn id="19" xr3:uid="{82E618F1-C85E-4FCB-83E0-1D453279EC18}" name="Placed" dataDxfId="423" totalsRowDxfId="422"/>
    <tableColumn id="20" xr3:uid="{C05EF251-D7D4-4655-9C22-8E117DA85367}" name="Status" dataDxfId="421" totalsRowDxfId="420">
      <calculatedColumnFormula>IF(LC_Elev[[#This Row],[Description]]="","",IF(N(LC_Elev[[#This Row],[Placed]])=0,"Unplaced",IF(LC_Elev[[#This Row],[Placed]]&gt;=IF(LC_Elev[[#This Row],[Ded. Ckt]]="N",1,MAX(1,N(LC_Elev[[#This Row],[Qty]]))),"Placed","Partial")))</calculatedColumnFormula>
    </tableColumn>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A6B7CA-777E-47B9-BF5D-80FF51497606}" name="LC_EV" displayName="LC_EV" ref="A99:X100" headerRowDxfId="419" dataDxfId="418" totalsRowDxfId="417" totalsRowBorderDxfId="416">
  <autoFilter ref="A99:X100" xr:uid="{DAA6B7CA-777E-47B9-BF5D-80FF51497606}"/>
  <tableColumns count="24">
    <tableColumn id="1" xr3:uid="{5735BB1B-7095-4F14-8449-85DAA69963BC}" name="No." totalsRowLabel="Total" dataDxfId="415" totalsRowDxfId="414"/>
    <tableColumn id="2" xr3:uid="{D5ED26F5-9CF6-44F5-9433-0607D14BA65B}" name="Description" totalsRowLabel="SECTION TOTAL (connected kVA)" dataDxfId="413" totalsRowDxfId="412"/>
    <tableColumn id="3" xr3:uid="{563CFDBA-06DD-4185-9AC6-92A2E30133A3}" name="Qty" dataDxfId="411" totalsRowDxfId="410"/>
    <tableColumn id="4" xr3:uid="{77D63B85-DF93-4B6B-97B4-D0DDC521D84B}" name="Connection" dataDxfId="409" totalsRowDxfId="408"/>
    <tableColumn id="22" xr3:uid="{CA91EC76-AC29-4CDD-901F-59F451050369}" name="Disc NEMA" dataDxfId="407" totalsRowDxfId="406"/>
    <tableColumn id="23" xr3:uid="{22157580-8235-45FF-ABA3-A30FF0460C7D}" name="Disc Frame (A)" dataDxfId="405" totalsRowDxfId="404"/>
    <tableColumn id="24" xr3:uid="{0FA534C2-088C-4216-A4B5-AA7A84D52892}" name="Disc Fuse (A)" dataDxfId="403" totalsRowDxfId="402"/>
    <tableColumn id="25" xr3:uid="{9DB76553-BFA1-41DE-93F2-C7D77B438589}" name="Disc Supplied By" dataDxfId="401" totalsRowDxfId="400"/>
    <tableColumn id="5" xr3:uid="{49636860-44FA-4AFA-887C-177AC828FD27}" name="Recept Type" dataDxfId="399" totalsRowDxfId="398"/>
    <tableColumn id="6" xr3:uid="{95428F47-B207-4F47-BB8A-53BD3AE81F98}" name="Load Value" dataDxfId="397" totalsRowDxfId="396"/>
    <tableColumn id="7" xr3:uid="{D7CFE6A4-2F47-4DE0-9B8F-C5EB8BD4CA3C}" name="Unit" dataDxfId="395" totalsRowDxfId="394"/>
    <tableColumn id="8" xr3:uid="{CDDDDA46-8EF6-42D1-91E5-D9EA89A02F6F}" name="Volts" dataDxfId="393" totalsRowDxfId="392"/>
    <tableColumn id="9" xr3:uid="{B31B93B3-CF3C-4D01-B356-783B6A0A82EA}" name="Ph" dataDxfId="391" totalsRowDxfId="390"/>
    <tableColumn id="10" xr3:uid="{14F254E3-8833-44A9-9792-564059EB4F50}" name="PF" dataDxfId="389" totalsRowDxfId="388"/>
    <tableColumn id="11" xr3:uid="{0B25430C-3800-4FE4-9375-CB6BAF665C7F}" name="kVA Each" dataDxfId="387" totalsRowDxfId="386">
      <calculatedColumnFormula array="1">IF(OR(LC_EV[[#This Row],[Qty]]="",LC_EV[[#This Row],[Load Value]]="",LC_EV[[#This Row],[Unit]]=""),"",IFERROR(_xlfn.SWITCH(LC_EV[[#This Row],[Unit]],"HP",IF(LC_EV[[#This Row],[Ph]]=3,VLOOKUP(LC_EV[[#This Row],[Load Value]],Motor3_Table,IF(LC_EV[[#This Row],[Volts]]&lt;=215,2,IF(LC_EV[[#This Row],[Volts]]&lt;=245,3,IF(LC_EV[[#This Row],[Volts]]&lt;=500,4,5))),TRUE)*LC_EV[[#This Row],[Volts]]*SQRT3/1000,VLOOKUP(LC_EV[[#This Row],[Load Value]],Motor1_Table,IF(LC_EV[[#This Row],[Volts]]&lt;=130,2,3),TRUE)*LC_EV[[#This Row],[Volts]]/1000),"kW",LC_EV[[#This Row],[Load Value]]/IF(LC_EV[[#This Row],[PF]]="",0.9,LC_EV[[#This Row],[PF]]),"kVA",LC_EV[[#This Row],[Load Value]],"A",LC_EV[[#This Row],[Load Value]]*LC_EV[[#This Row],[Volts]]*IF(LC_EV[[#This Row],[Ph]]=3,SQRT3,1)/1000,"W",LC_EV[[#This Row],[Load Value]]/IF(LC_EV[[#This Row],[PF]]="",0.9,LC_EV[[#This Row],[PF]])/1000,"VA",LC_EV[[#This Row],[Load Value]]/1000),"chk"))</calculatedColumnFormula>
    </tableColumn>
    <tableColumn id="12" xr3:uid="{92742E96-F7E5-43E4-B58A-BCF5D495FD2A}" name="Total kVA" totalsRowFunction="sum" dataDxfId="385" totalsRowDxfId="384">
      <calculatedColumnFormula>IF(NOT(ISNUMBER(LC_EV[[#This Row],[kVA Each]])),"",LC_EV[[#This Row],[Qty]]*LC_EV[[#This Row],[kVA Each]])</calculatedColumnFormula>
    </tableColumn>
    <tableColumn id="13" xr3:uid="{3BA59375-A2F5-4818-9281-2051992906B8}" name="Ded. Ckt" dataDxfId="383" totalsRowDxfId="382"/>
    <tableColumn id="14" xr3:uid="{3E0D08D8-BA0B-48D4-9C84-0B7691CCAAB0}" name="Gen" dataDxfId="381" totalsRowDxfId="380"/>
    <tableColumn id="15" xr3:uid="{339128D9-4C81-4054-8FD7-5438FE43BB4C}" name="UPS" dataDxfId="379" totalsRowDxfId="378"/>
    <tableColumn id="16" xr3:uid="{3D91C9FD-8EAF-4716-BA62-97CEC1CE6AC1}" name="Panel Tag" dataDxfId="377" totalsRowDxfId="376"/>
    <tableColumn id="17" xr3:uid="{7F254AE2-578E-4668-B6C8-F043EE5017F1}" name="Notes" dataDxfId="375" totalsRowDxfId="374"/>
    <tableColumn id="18" xr3:uid="{BB5083C2-2786-43D2-8610-19FBDD76C033}" name="Ckts" dataDxfId="373" totalsRowDxfId="372"/>
    <tableColumn id="19" xr3:uid="{D255550E-4ED2-489E-B84A-6F6D3EC214C2}" name="Placed" dataDxfId="371" totalsRowDxfId="370"/>
    <tableColumn id="20" xr3:uid="{8A9CF83C-2DE2-4C46-A984-536E82639392}" name="Status" dataDxfId="369" totalsRowDxfId="368">
      <calculatedColumnFormula>IF(LC_EV[[#This Row],[Description]]="","",IF(N(LC_EV[[#This Row],[Placed]])=0,"Unplaced",IF(LC_EV[[#This Row],[Placed]]&gt;=IF(LC_EV[[#This Row],[Ded. Ckt]]="N",1,MAX(1,N(LC_EV[[#This Row],[Qty]]))),"Placed","Partial")))</calculatedColumnFormula>
    </tableColumn>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C5772-466E-4884-8334-81F1FF7CA961}" name="LC_Areas" displayName="LC_Areas" ref="B7:G8" totalsRowShown="0" headerRowDxfId="367" headerRowBorderDxfId="366" tableBorderDxfId="365" totalsRowBorderDxfId="364">
  <autoFilter ref="B7:G8" xr:uid="{239C5772-466E-4884-8334-81F1FF7CA961}"/>
  <tableColumns count="6">
    <tableColumn id="1" xr3:uid="{6EE697F8-B621-4521-A5FA-F656E8937BA6}" name="Space Type" dataDxfId="363"/>
    <tableColumn id="2" xr3:uid="{52872C7D-554E-4349-B6AA-968D16A63F6D}" name="SF per Floor" dataDxfId="362"/>
    <tableColumn id="3" xr3:uid="{EA2B263D-74E8-4195-8EB2-922E4CD25540}" name="Floors" dataDxfId="361"/>
    <tableColumn id="4" xr3:uid="{78212452-9060-4D2D-9757-5B634B1C3DCC}" name="Total SF" dataDxfId="360">
      <calculatedColumnFormula>IF(OR(LC_Areas[[#This Row],[SF per Floor]]="",LC_Areas[[#This Row],[Floors]]=""),"",LC_Areas[[#This Row],[SF per Floor]]*LC_Areas[[#This Row],[Floors]])</calculatedColumnFormula>
    </tableColumn>
    <tableColumn id="5" xr3:uid="{FFAF965D-97C8-4CF7-869B-E261BA7E1CCC}" name="LPD (W/ft²)" dataDxfId="359">
      <calculatedColumnFormula>IF(LC_Areas[[#This Row],[Space Type]]="","",_xlfn.LET(_xlpm.k,IF(Cfg_Energy_Code="SEC (Seattle)",3,2),_xlpm.v,IFERROR(VLOOKUP(LC_Areas[[#This Row],[Space Type]],LPD_BldgArea_Table,_xlpm.k,FALSE),IFERROR(VLOOKUP(LC_Areas[[#This Row],[Space Type]],LPD_Space_Table,_xlpm.k,FALSE),"")),IF(_xlpm.v="","not listed in "&amp;Cfg_Energy_Code,_xlpm.v)))</calculatedColumnFormula>
    </tableColumn>
    <tableColumn id="6" xr3:uid="{84C83EA4-FE34-4099-88A8-90EF69BEA701}" name="Lighting W" dataDxfId="358">
      <calculatedColumnFormula>IF(OR(LC_Areas[[#This Row],[Total SF]]="",NOT(ISNUMBER(LC_Areas[[#This Row],[LPD (W/ft²)]]))),"",LC_Areas[[#This Row],[Total SF]]*LC_Areas[[#This Row],[LPD (W/ft²)]])</calculatedColumnFormula>
    </tableColumn>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A6B1F3-43CB-4527-B3DF-1FFE56FC112E}" name="LC_Data" displayName="LC_Data" ref="A106:X107" headerRowDxfId="357" dataDxfId="356" totalsRowDxfId="355" totalsRowBorderDxfId="354">
  <autoFilter ref="A106:X107" xr:uid="{AFA6B1F3-43CB-4527-B3DF-1FFE56FC112E}"/>
  <tableColumns count="24">
    <tableColumn id="1" xr3:uid="{03F63D50-620C-4F7C-896C-BDD6588B8DAA}" name="No." totalsRowLabel="Total" dataDxfId="353" totalsRowDxfId="352"/>
    <tableColumn id="2" xr3:uid="{D4CB9DDD-854A-4883-BE5C-CE913626B08B}" name="Description" totalsRowLabel="SECTION TOTAL (connected kVA)" dataDxfId="351" totalsRowDxfId="350"/>
    <tableColumn id="3" xr3:uid="{5B53DA2C-7690-41C1-9E5E-E075B4CAA35B}" name="Qty" dataDxfId="349" totalsRowDxfId="348"/>
    <tableColumn id="4" xr3:uid="{B81B265A-8F38-4ECC-90C6-C18B2E911946}" name="Connection" dataDxfId="347" totalsRowDxfId="346"/>
    <tableColumn id="22" xr3:uid="{3A337D66-77CE-43C1-9E98-51DADA361AC5}" name="Disc NEMA" dataDxfId="345" totalsRowDxfId="344"/>
    <tableColumn id="23" xr3:uid="{5185CC62-ECFD-4B5C-8F5C-5C6F4C24CA11}" name="Disc Frame (A)" dataDxfId="343" totalsRowDxfId="342"/>
    <tableColumn id="24" xr3:uid="{30ADFDDD-963C-488C-A411-8B362CD1034B}" name="Disc Fuse (A)" dataDxfId="341" totalsRowDxfId="340"/>
    <tableColumn id="25" xr3:uid="{D795D520-9DC6-4AF2-9626-5956C43FAD21}" name="Disc Supplied By" dataDxfId="339" totalsRowDxfId="338"/>
    <tableColumn id="5" xr3:uid="{9FAE8EE8-F2CE-466C-9AAF-5412EDD5A7EF}" name="Recept Type" dataDxfId="337" totalsRowDxfId="336"/>
    <tableColumn id="6" xr3:uid="{431F2A4E-196E-46AC-BEAD-0BF4FA89E491}" name="Load Value" dataDxfId="335" totalsRowDxfId="334"/>
    <tableColumn id="7" xr3:uid="{F3E3C1AB-C390-474B-840C-60E6C2715333}" name="Unit" dataDxfId="333" totalsRowDxfId="332"/>
    <tableColumn id="8" xr3:uid="{D191A160-1D3D-4F92-AE28-80567364F5DC}" name="Volts" dataDxfId="331" totalsRowDxfId="330"/>
    <tableColumn id="9" xr3:uid="{84168F19-4904-477B-84AC-FA8893558EB6}" name="Ph" dataDxfId="329" totalsRowDxfId="328"/>
    <tableColumn id="10" xr3:uid="{A8A7F61A-CB8F-4437-82D9-D3ADDD9E62A0}" name="PF" dataDxfId="327" totalsRowDxfId="326"/>
    <tableColumn id="11" xr3:uid="{C6A36C43-E4EB-4E6D-A5BF-B09D41855F41}" name="kVA Each" dataDxfId="325" totalsRowDxfId="324">
      <calculatedColumnFormula array="1">IF(OR(LC_Data[[#This Row],[Qty]]="",LC_Data[[#This Row],[Load Value]]="",LC_Data[[#This Row],[Unit]]=""),"",IFERROR(_xlfn.SWITCH(LC_Data[[#This Row],[Unit]],"HP",IF(LC_Data[[#This Row],[Ph]]=3,VLOOKUP(LC_Data[[#This Row],[Load Value]],Motor3_Table,IF(LC_Data[[#This Row],[Volts]]&lt;=215,2,IF(LC_Data[[#This Row],[Volts]]&lt;=245,3,IF(LC_Data[[#This Row],[Volts]]&lt;=500,4,5))),TRUE)*LC_Data[[#This Row],[Volts]]*SQRT3/1000,VLOOKUP(LC_Data[[#This Row],[Load Value]],Motor1_Table,IF(LC_Data[[#This Row],[Volts]]&lt;=130,2,3),TRUE)*LC_Data[[#This Row],[Volts]]/1000),"kW",LC_Data[[#This Row],[Load Value]]/IF(LC_Data[[#This Row],[PF]]="",0.9,LC_Data[[#This Row],[PF]]),"kVA",LC_Data[[#This Row],[Load Value]],"A",LC_Data[[#This Row],[Load Value]]*LC_Data[[#This Row],[Volts]]*IF(LC_Data[[#This Row],[Ph]]=3,SQRT3,1)/1000,"W",LC_Data[[#This Row],[Load Value]]/IF(LC_Data[[#This Row],[PF]]="",0.9,LC_Data[[#This Row],[PF]])/1000,"VA",LC_Data[[#This Row],[Load Value]]/1000),"chk"))</calculatedColumnFormula>
    </tableColumn>
    <tableColumn id="12" xr3:uid="{AFB345A4-38C1-4D20-9739-61992B197EB8}" name="Total kVA" totalsRowFunction="sum" dataDxfId="323" totalsRowDxfId="322">
      <calculatedColumnFormula>IF(NOT(ISNUMBER(LC_Data[[#This Row],[kVA Each]])),"",LC_Data[[#This Row],[Qty]]*LC_Data[[#This Row],[kVA Each]])</calculatedColumnFormula>
    </tableColumn>
    <tableColumn id="13" xr3:uid="{4D996F22-9322-44D2-B88C-C3906F1E0861}" name="Ded. Ckt" dataDxfId="321" totalsRowDxfId="320"/>
    <tableColumn id="14" xr3:uid="{AAD79D25-146B-4654-94B8-65F35FFC4CA4}" name="Gen" dataDxfId="319" totalsRowDxfId="318"/>
    <tableColumn id="15" xr3:uid="{5FAB8FC0-FFBF-45DA-B6F5-F63F75B4BEFA}" name="UPS" dataDxfId="317" totalsRowDxfId="316"/>
    <tableColumn id="16" xr3:uid="{3D36B80C-E418-4368-849C-56A23CAAAC5D}" name="Panel Tag" dataDxfId="315" totalsRowDxfId="314"/>
    <tableColumn id="17" xr3:uid="{41323FF5-9767-4A1C-BBDC-0A1FB515FB7B}" name="Notes" dataDxfId="313" totalsRowDxfId="312"/>
    <tableColumn id="18" xr3:uid="{3C48FCF8-7271-4010-B773-B5C71B6B11BF}" name="Ckts" dataDxfId="311" totalsRowDxfId="310"/>
    <tableColumn id="19" xr3:uid="{515D81AD-CD58-444B-B1F9-3B4CBDDBFEFC}" name="Placed" dataDxfId="309" totalsRowDxfId="308"/>
    <tableColumn id="20" xr3:uid="{A5DF7B75-7532-4862-9833-30CA955DD48F}" name="Status" dataDxfId="307" totalsRowDxfId="306">
      <calculatedColumnFormula>IF(LC_Data[[#This Row],[Description]]="","",IF(N(LC_Data[[#This Row],[Placed]])=0,"Unplaced",IF(LC_Data[[#This Row],[Placed]]&gt;=IF(LC_Data[[#This Row],[Ded. Ckt]]="N",1,MAX(1,N(LC_Data[[#This Row],[Qty]]))),"Placed","Partial")))</calculatedColumnFormula>
    </tableColumn>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ED0B2E7-C497-4832-8B4D-6F192B4239A1}" name="LC_Site" displayName="LC_Site" ref="A43:X44" headerRowDxfId="305" dataDxfId="304" totalsRowDxfId="303" totalsRowBorderDxfId="302">
  <autoFilter ref="A43:X44" xr:uid="{DED0B2E7-C497-4832-8B4D-6F192B4239A1}"/>
  <tableColumns count="24">
    <tableColumn id="1" xr3:uid="{4BFC9AE8-36AE-4645-BDC7-FF3D37BDFC1E}" name="No." totalsRowLabel="Total" dataDxfId="301" totalsRowDxfId="300"/>
    <tableColumn id="2" xr3:uid="{0233A380-B458-4CFD-9E13-95B5E44DA4F7}" name="Description" totalsRowLabel="SECTION TOTAL (connected kVA)" dataDxfId="299" totalsRowDxfId="298"/>
    <tableColumn id="3" xr3:uid="{CFD57BE3-7C1A-4A25-AF23-D8147E824523}" name="Qty" dataDxfId="297" totalsRowDxfId="296"/>
    <tableColumn id="4" xr3:uid="{C7231E63-8913-4205-9D8E-29001290B897}" name="Connection" dataDxfId="295" totalsRowDxfId="294"/>
    <tableColumn id="22" xr3:uid="{C6CCF052-6F77-4BE2-B449-D75E909A4D4E}" name="Disc NEMA" dataDxfId="293" totalsRowDxfId="292"/>
    <tableColumn id="23" xr3:uid="{9300A36C-316D-4936-9473-3ED77FAE3A06}" name="Disc Frame (A)" dataDxfId="291" totalsRowDxfId="290"/>
    <tableColumn id="24" xr3:uid="{DF99FA2C-D616-4F30-B233-00CA60A09146}" name="Disc Fuse (A)" dataDxfId="289" totalsRowDxfId="288"/>
    <tableColumn id="25" xr3:uid="{48EA548F-CD05-4987-B285-6B665C4BFB80}" name="Disc Supplied By" dataDxfId="287" totalsRowDxfId="286"/>
    <tableColumn id="5" xr3:uid="{97DB81D4-666E-4C93-82EC-09808D498B11}" name="Recept Type" dataDxfId="285" totalsRowDxfId="284"/>
    <tableColumn id="6" xr3:uid="{3EA90CF7-B518-4ED5-B0F3-349DC866FF0D}" name="Load Value" dataDxfId="283" totalsRowDxfId="282"/>
    <tableColumn id="7" xr3:uid="{564471D3-6972-41C2-A72E-DCABD50BCE38}" name="Unit" dataDxfId="281" totalsRowDxfId="280"/>
    <tableColumn id="8" xr3:uid="{28F32EE8-7C9A-4F86-A89D-DCD6A56FAF69}" name="Volts" dataDxfId="279" totalsRowDxfId="278"/>
    <tableColumn id="9" xr3:uid="{88ED3074-D40E-4369-BB41-41C21B2F4126}" name="Ph" dataDxfId="277" totalsRowDxfId="276"/>
    <tableColumn id="10" xr3:uid="{D1342ED9-09EA-42E5-85DA-681FB011CB16}" name="PF" dataDxfId="275" totalsRowDxfId="274"/>
    <tableColumn id="11" xr3:uid="{F17C6BC6-83DD-4719-A5AD-117199785B9B}" name="kVA Each" dataDxfId="273" totalsRowDxfId="272">
      <calculatedColumnFormula array="1">IF(OR(LC_Site[[#This Row],[Qty]]="",LC_Site[[#This Row],[Load Value]]="",LC_Site[[#This Row],[Unit]]=""),"",IFERROR(_xlfn.SWITCH(LC_Site[[#This Row],[Unit]],"HP",IF(LC_Site[[#This Row],[Ph]]=3,VLOOKUP(LC_Site[[#This Row],[Load Value]],Motor3_Table,IF(LC_Site[[#This Row],[Volts]]&lt;=215,2,IF(LC_Site[[#This Row],[Volts]]&lt;=245,3,IF(LC_Site[[#This Row],[Volts]]&lt;=500,4,5))),TRUE)*LC_Site[[#This Row],[Volts]]*SQRT3/1000,VLOOKUP(LC_Site[[#This Row],[Load Value]],Motor1_Table,IF(LC_Site[[#This Row],[Volts]]&lt;=130,2,3),TRUE)*LC_Site[[#This Row],[Volts]]/1000),"kW",LC_Site[[#This Row],[Load Value]]/IF(LC_Site[[#This Row],[PF]]="",0.9,LC_Site[[#This Row],[PF]]),"kVA",LC_Site[[#This Row],[Load Value]],"A",LC_Site[[#This Row],[Load Value]]*LC_Site[[#This Row],[Volts]]*IF(LC_Site[[#This Row],[Ph]]=3,SQRT3,1)/1000,"W",LC_Site[[#This Row],[Load Value]]/IF(LC_Site[[#This Row],[PF]]="",0.9,LC_Site[[#This Row],[PF]])/1000,"VA",LC_Site[[#This Row],[Load Value]]/1000),"chk"))</calculatedColumnFormula>
    </tableColumn>
    <tableColumn id="12" xr3:uid="{0195AE9A-6D8A-4532-9C84-97B8E398BCB5}" name="Total kVA" totalsRowFunction="sum" dataDxfId="271" totalsRowDxfId="270">
      <calculatedColumnFormula>IF(NOT(ISNUMBER(LC_Site[[#This Row],[kVA Each]])),"",LC_Site[[#This Row],[Qty]]*LC_Site[[#This Row],[kVA Each]])</calculatedColumnFormula>
    </tableColumn>
    <tableColumn id="13" xr3:uid="{4159A5E1-562F-4DA2-8E1B-180D868B7454}" name="Ded. Ckt" dataDxfId="269" totalsRowDxfId="268"/>
    <tableColumn id="14" xr3:uid="{F082808F-236A-4505-B465-8FA2AC37F13E}" name="Gen" dataDxfId="267" totalsRowDxfId="266"/>
    <tableColumn id="15" xr3:uid="{F48AC439-14AB-4D89-A492-B4999F9B0B39}" name="UPS" dataDxfId="265" totalsRowDxfId="264"/>
    <tableColumn id="16" xr3:uid="{5595FF11-1744-4609-BA4C-9070FA999F9B}" name="Panel Tag" dataDxfId="263" totalsRowDxfId="262"/>
    <tableColumn id="17" xr3:uid="{BE6E1B7A-CD2C-40F8-AC1B-4A540A4B4B57}" name="Notes" dataDxfId="261" totalsRowDxfId="260"/>
    <tableColumn id="18" xr3:uid="{D72212A3-F046-4B71-A172-BDD14EF518A9}" name="Ckts" dataDxfId="259" totalsRowDxfId="258"/>
    <tableColumn id="19" xr3:uid="{1BD5AC8A-87DA-442E-A0CC-E28EFEC7E144}" name="Placed" dataDxfId="257" totalsRowDxfId="256"/>
    <tableColumn id="20" xr3:uid="{B7A5D0FD-4C0F-42AD-9D6A-EDFC4EF668CE}" name="Status" dataDxfId="255" totalsRowDxfId="254">
      <calculatedColumnFormula>IF(LC_Site[[#This Row],[Description]]="","",IF(N(LC_Site[[#This Row],[Placed]])=0,"Unplaced",IF(LC_Site[[#This Row],[Placed]]&gt;=IF(LC_Site[[#This Row],[Ded. Ckt]]="N",1,MAX(1,N(LC_Site[[#This Row],[Qty]]))),"Placed","Partial")))</calculatedColumnFormula>
    </tableColumn>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F351347-8A00-4737-AF5A-FC52F0CB8B06}" name="LC_Fire" displayName="LC_Fire" ref="A113:X114" headerRowDxfId="253" dataDxfId="252" totalsRowDxfId="251" totalsRowBorderDxfId="250">
  <autoFilter ref="A113:X114" xr:uid="{AF351347-8A00-4737-AF5A-FC52F0CB8B06}"/>
  <tableColumns count="24">
    <tableColumn id="1" xr3:uid="{5838AAC8-6172-40B2-B9DF-A74F8CF23452}" name="No." totalsRowLabel="Total" dataDxfId="249" totalsRowDxfId="248"/>
    <tableColumn id="2" xr3:uid="{917773CB-A188-4816-A167-BE4806EB22E8}" name="Description" totalsRowLabel="SECTION TOTAL (connected kVA)" dataDxfId="247" totalsRowDxfId="246"/>
    <tableColumn id="3" xr3:uid="{C1F25CD7-1A58-4933-AC36-41A63235CF8A}" name="Qty" dataDxfId="245" totalsRowDxfId="244"/>
    <tableColumn id="4" xr3:uid="{C2D24DD2-59C1-4908-88FB-859ABC808B4D}" name="Connection" dataDxfId="243" totalsRowDxfId="242"/>
    <tableColumn id="22" xr3:uid="{DE099EE0-C4C7-478A-BC4C-8407FD556A4D}" name="Disc NEMA" dataDxfId="241" totalsRowDxfId="240"/>
    <tableColumn id="23" xr3:uid="{69AFE981-507C-4E71-A55E-50AAC64DF19D}" name="Disc Frame (A)" dataDxfId="239" totalsRowDxfId="238"/>
    <tableColumn id="24" xr3:uid="{FA4C025B-B69F-4013-999D-B004E050B92B}" name="Disc Fuse (A)" dataDxfId="237" totalsRowDxfId="236"/>
    <tableColumn id="25" xr3:uid="{9EE3F9E6-0343-463D-BD13-C6E2AD022537}" name="Disc Supplied By" dataDxfId="235" totalsRowDxfId="234"/>
    <tableColumn id="5" xr3:uid="{D7939393-9329-44EE-BF3B-18E09E6B78E0}" name="Recept Type" dataDxfId="233" totalsRowDxfId="232"/>
    <tableColumn id="6" xr3:uid="{A30162BE-9F2A-4DE7-B1D2-4007CB10552C}" name="Load Value" dataDxfId="231" totalsRowDxfId="230"/>
    <tableColumn id="7" xr3:uid="{0A7255C2-29F2-4887-B2D9-C09B5F53AC30}" name="Unit" dataDxfId="229" totalsRowDxfId="228"/>
    <tableColumn id="8" xr3:uid="{1D3EB1F8-5AC0-4097-BDAE-C46C69E92C17}" name="Volts" dataDxfId="227" totalsRowDxfId="226"/>
    <tableColumn id="9" xr3:uid="{0714142C-CAAB-47BE-9DDF-D26C3F658340}" name="Ph" dataDxfId="225" totalsRowDxfId="224"/>
    <tableColumn id="10" xr3:uid="{B4AEC133-97F2-4B0A-87FB-E352E05D1D49}" name="PF" dataDxfId="223" totalsRowDxfId="222"/>
    <tableColumn id="11" xr3:uid="{401421C9-0AC6-4784-9DB0-146825412821}" name="kVA Each" dataDxfId="221" totalsRowDxfId="220">
      <calculatedColumnFormula array="1">IF(OR(LC_Fire[[#This Row],[Qty]]="",LC_Fire[[#This Row],[Load Value]]="",LC_Fire[[#This Row],[Unit]]=""),"",IFERROR(_xlfn.SWITCH(LC_Fire[[#This Row],[Unit]],"HP",IF(LC_Fire[[#This Row],[Ph]]=3,VLOOKUP(LC_Fire[[#This Row],[Load Value]],Motor3_Table,IF(LC_Fire[[#This Row],[Volts]]&lt;=215,2,IF(LC_Fire[[#This Row],[Volts]]&lt;=245,3,IF(LC_Fire[[#This Row],[Volts]]&lt;=500,4,5))),TRUE)*LC_Fire[[#This Row],[Volts]]*SQRT3/1000,VLOOKUP(LC_Fire[[#This Row],[Load Value]],Motor1_Table,IF(LC_Fire[[#This Row],[Volts]]&lt;=130,2,3),TRUE)*LC_Fire[[#This Row],[Volts]]/1000),"kW",LC_Fire[[#This Row],[Load Value]]/IF(LC_Fire[[#This Row],[PF]]="",0.9,LC_Fire[[#This Row],[PF]]),"kVA",LC_Fire[[#This Row],[Load Value]],"A",LC_Fire[[#This Row],[Load Value]]*LC_Fire[[#This Row],[Volts]]*IF(LC_Fire[[#This Row],[Ph]]=3,SQRT3,1)/1000,"W",LC_Fire[[#This Row],[Load Value]]/IF(LC_Fire[[#This Row],[PF]]="",0.9,LC_Fire[[#This Row],[PF]])/1000,"VA",LC_Fire[[#This Row],[Load Value]]/1000),"chk"))</calculatedColumnFormula>
    </tableColumn>
    <tableColumn id="12" xr3:uid="{66F3455F-24CB-4AD1-8958-B201EC50C4F8}" name="Total kVA" totalsRowFunction="sum" dataDxfId="219" totalsRowDxfId="218">
      <calculatedColumnFormula>IF(NOT(ISNUMBER(LC_Fire[[#This Row],[kVA Each]])),"",LC_Fire[[#This Row],[Qty]]*LC_Fire[[#This Row],[kVA Each]])</calculatedColumnFormula>
    </tableColumn>
    <tableColumn id="13" xr3:uid="{4C30E551-2CBC-48E4-869A-A850B8C10B51}" name="Ded. Ckt" dataDxfId="217" totalsRowDxfId="216"/>
    <tableColumn id="14" xr3:uid="{FAD68507-E6D5-4389-8618-43DB0A64ABF9}" name="Gen" dataDxfId="215" totalsRowDxfId="214"/>
    <tableColumn id="15" xr3:uid="{60A65889-C4CA-4432-A157-171DD245860E}" name="UPS" dataDxfId="213" totalsRowDxfId="212"/>
    <tableColumn id="16" xr3:uid="{5DBDD0B7-1167-4CE1-8381-FDC2DB5D015A}" name="Panel Tag" dataDxfId="211" totalsRowDxfId="210"/>
    <tableColumn id="17" xr3:uid="{679FA6CA-BFC0-42EB-BC1C-17AA3355EA9C}" name="Notes" dataDxfId="209" totalsRowDxfId="208"/>
    <tableColumn id="18" xr3:uid="{85E15BF3-3BB0-42FE-AC91-DCFF778ED82F}" name="Ckts" dataDxfId="207" totalsRowDxfId="206"/>
    <tableColumn id="19" xr3:uid="{36648127-2D09-4AD0-AAEF-6978866802A5}" name="Placed" dataDxfId="205" totalsRowDxfId="204"/>
    <tableColumn id="20" xr3:uid="{81C832D4-51B5-4622-87D1-116DC2E608E5}" name="Status" dataDxfId="203" totalsRowDxfId="202">
      <calculatedColumnFormula>IF(LC_Fire[[#This Row],[Description]]="","",IF(N(LC_Fire[[#This Row],[Placed]])=0,"Unplaced",IF(LC_Fire[[#This Row],[Placed]]&gt;=IF(LC_Fire[[#This Row],[Ded. Ckt]]="N",1,MAX(1,N(LC_Fire[[#This Row],[Qty]]))),"Placed","Partial")))</calculatedColumnFormula>
    </tableColumn>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224764F-479D-4F9C-BD26-2AB66837294B}" name="LC_Process" displayName="LC_Process" ref="A120:X121" headerRowDxfId="201" dataDxfId="200" totalsRowDxfId="199" totalsRowBorderDxfId="198">
  <autoFilter ref="A120:X121" xr:uid="{6224764F-479D-4F9C-BD26-2AB66837294B}"/>
  <tableColumns count="24">
    <tableColumn id="1" xr3:uid="{CE168C8B-86A5-4D68-8871-937BDCDF5A49}" name="No." totalsRowLabel="Total" dataDxfId="197" totalsRowDxfId="196"/>
    <tableColumn id="2" xr3:uid="{F6E2851E-BE8A-4686-B1C7-364CF3002659}" name="Description" totalsRowLabel="SECTION TOTAL (connected kVA)" dataDxfId="195" totalsRowDxfId="194"/>
    <tableColumn id="3" xr3:uid="{37ED2841-B7DA-453E-B3BF-CE4BD1341C18}" name="Qty" dataDxfId="193" totalsRowDxfId="192"/>
    <tableColumn id="4" xr3:uid="{F0FF9561-025A-4C15-A94D-952A2AA8813C}" name="Connection" dataDxfId="191" totalsRowDxfId="190"/>
    <tableColumn id="22" xr3:uid="{64CC4A06-D3E9-4223-8FFF-5F55BBC90630}" name="Disc NEMA" dataDxfId="189" totalsRowDxfId="188"/>
    <tableColumn id="23" xr3:uid="{DF9AEA4E-B5BE-4674-B5D1-0F0CB09522D5}" name="Disc Frame (A)" dataDxfId="187" totalsRowDxfId="186"/>
    <tableColumn id="24" xr3:uid="{B9FBDE4B-6731-4CC9-8055-ACD10CE2C39E}" name="Disc Fuse (A)" dataDxfId="185" totalsRowDxfId="184"/>
    <tableColumn id="25" xr3:uid="{D4963B7A-5A9B-4B14-999E-1B8DD55041B6}" name="Disc Supplied By" dataDxfId="183" totalsRowDxfId="182"/>
    <tableColumn id="5" xr3:uid="{2DB94565-3B6C-4B0A-8F0F-7D96E876F31F}" name="Recept Type" dataDxfId="181" totalsRowDxfId="180"/>
    <tableColumn id="6" xr3:uid="{089D2272-CC20-44CC-B67D-2BFD7FE2421D}" name="Load Value" dataDxfId="179" totalsRowDxfId="178"/>
    <tableColumn id="7" xr3:uid="{C601F9A3-E30F-4888-A777-E342FA47FA14}" name="Unit" dataDxfId="177" totalsRowDxfId="176"/>
    <tableColumn id="8" xr3:uid="{71C18576-1621-4378-B24D-0D8CCF0A496B}" name="Volts" dataDxfId="175" totalsRowDxfId="174"/>
    <tableColumn id="9" xr3:uid="{07BDC9C2-47CB-42EB-B5F1-27C84F48AEB4}" name="Ph" dataDxfId="173" totalsRowDxfId="172"/>
    <tableColumn id="10" xr3:uid="{9BE88F22-D805-421F-A7CA-4E298210E396}" name="PF" dataDxfId="171" totalsRowDxfId="170"/>
    <tableColumn id="11" xr3:uid="{426651A2-68DC-4156-8F3B-448DCDEA5658}" name="kVA Each" dataDxfId="169" totalsRowDxfId="168">
      <calculatedColumnFormula array="1">IF(OR(LC_Process[[#This Row],[Qty]]="",LC_Process[[#This Row],[Load Value]]="",LC_Process[[#This Row],[Unit]]=""),"",IFERROR(_xlfn.SWITCH(LC_Process[[#This Row],[Unit]],"HP",IF(LC_Process[[#This Row],[Ph]]=3,VLOOKUP(LC_Process[[#This Row],[Load Value]],Motor3_Table,IF(LC_Process[[#This Row],[Volts]]&lt;=215,2,IF(LC_Process[[#This Row],[Volts]]&lt;=245,3,IF(LC_Process[[#This Row],[Volts]]&lt;=500,4,5))),TRUE)*LC_Process[[#This Row],[Volts]]*SQRT3/1000,VLOOKUP(LC_Process[[#This Row],[Load Value]],Motor1_Table,IF(LC_Process[[#This Row],[Volts]]&lt;=130,2,3),TRUE)*LC_Process[[#This Row],[Volts]]/1000),"kW",LC_Process[[#This Row],[Load Value]]/IF(LC_Process[[#This Row],[PF]]="",0.9,LC_Process[[#This Row],[PF]]),"kVA",LC_Process[[#This Row],[Load Value]],"A",LC_Process[[#This Row],[Load Value]]*LC_Process[[#This Row],[Volts]]*IF(LC_Process[[#This Row],[Ph]]=3,SQRT3,1)/1000,"W",LC_Process[[#This Row],[Load Value]]/IF(LC_Process[[#This Row],[PF]]="",0.9,LC_Process[[#This Row],[PF]])/1000,"VA",LC_Process[[#This Row],[Load Value]]/1000),"chk"))</calculatedColumnFormula>
    </tableColumn>
    <tableColumn id="12" xr3:uid="{2996D607-27B3-4BDF-A539-DACFED827210}" name="Total kVA" totalsRowFunction="sum" dataDxfId="167" totalsRowDxfId="166">
      <calculatedColumnFormula>IF(NOT(ISNUMBER(LC_Process[[#This Row],[kVA Each]])),"",LC_Process[[#This Row],[Qty]]*LC_Process[[#This Row],[kVA Each]])</calculatedColumnFormula>
    </tableColumn>
    <tableColumn id="13" xr3:uid="{6E310C02-C4D1-4DEE-9443-B618869B118E}" name="Ded. Ckt" dataDxfId="165" totalsRowDxfId="164"/>
    <tableColumn id="14" xr3:uid="{03380B4C-5AF4-4F38-A8C8-1A2C9C387DFF}" name="Gen" dataDxfId="163" totalsRowDxfId="162"/>
    <tableColumn id="15" xr3:uid="{2069F6F5-2041-4176-81A6-53121FC41260}" name="UPS" dataDxfId="161" totalsRowDxfId="160"/>
    <tableColumn id="16" xr3:uid="{D05829A3-652C-498A-A399-1C054C2E0075}" name="Panel Tag" dataDxfId="159" totalsRowDxfId="158"/>
    <tableColumn id="17" xr3:uid="{89A13AA2-4E91-4BB2-AF68-3BCC50EED177}" name="Notes" dataDxfId="157" totalsRowDxfId="156"/>
    <tableColumn id="18" xr3:uid="{50C8E65B-D70A-4801-A631-15A7C4EA910E}" name="Ckts" dataDxfId="155" totalsRowDxfId="154"/>
    <tableColumn id="19" xr3:uid="{F990FE31-2EE9-4384-924C-27E8A41D6FEE}" name="Placed" dataDxfId="153" totalsRowDxfId="152"/>
    <tableColumn id="20" xr3:uid="{DC8819A6-DE11-4B97-8D68-525ED7F1E981}" name="Status" dataDxfId="151" totalsRowDxfId="150">
      <calculatedColumnFormula>IF(LC_Process[[#This Row],[Description]]="","",IF(N(LC_Process[[#This Row],[Placed]])=0,"Unplaced",IF(LC_Process[[#This Row],[Placed]]&gt;=IF(LC_Process[[#This Row],[Ded. Ckt]]="N",1,MAX(1,N(LC_Process[[#This Row],[Qty]]))),"Placed","Partial")))</calculatedColumnFormula>
    </tableColumn>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4986A36-6F19-4E3B-ABE3-C85DDCD6086B}" name="GEN_Loads" displayName="GEN_Loads" ref="B26:L36" totalsRowShown="0" headerRowDxfId="149" dataDxfId="148">
  <autoFilter ref="B26:L36" xr:uid="{84986A36-6F19-4E3B-ABE3-C85DDCD6086B}"/>
  <tableColumns count="11">
    <tableColumn id="1" xr3:uid="{A1AF4296-8D0B-49ED-BFB6-171D10EF8BDA}" name="Description" dataDxfId="147"/>
    <tableColumn id="2" xr3:uid="{13428470-40E3-4699-9FCD-882DF908C880}" name="Load Class" dataDxfId="146"/>
    <tableColumn id="3" xr3:uid="{47E0D223-74B6-42EF-9096-D06BF5F9952D}" name="Qty" dataDxfId="145"/>
    <tableColumn id="4" xr3:uid="{95494A31-E5B5-472A-83B3-016007D6BF0D}" name="kW each" dataDxfId="144"/>
    <tableColumn id="5" xr3:uid="{C1A77152-2698-43A6-BD8A-99826417108B}" name="PF" dataDxfId="143"/>
    <tableColumn id="6" xr3:uid="{979798EA-3927-43C8-AEC8-E000FE0B5B8B}" name="kW total" dataDxfId="142">
      <calculatedColumnFormula>IF(OR(GEN_Loads[[#This Row],[Qty]]="",GEN_Loads[[#This Row],[kW each]]=""),"",GEN_Loads[[#This Row],[Qty]]*GEN_Loads[[#This Row],[kW each]])</calculatedColumnFormula>
    </tableColumn>
    <tableColumn id="7" xr3:uid="{83450A9B-5CDD-4FEA-819B-CC92683ABB73}" name="kVA" dataDxfId="141">
      <calculatedColumnFormula>IF(GEN_Loads[[#This Row],[kW total]]="","",GEN_Loads[[#This Row],[kW total]]/IF(GEN_Loads[[#This Row],[PF]]="",0.8,GEN_Loads[[#This Row],[PF]]))</calculatedColumnFormula>
    </tableColumn>
    <tableColumn id="8" xr3:uid="{136BA552-0415-46BF-B8E5-D7A7B1543EF4}" name="Start Method" dataDxfId="140"/>
    <tableColumn id="9" xr3:uid="{1D99F22E-52D4-4FB4-B012-CCACA24A6118}" name="Start kVA" dataDxfId="139">
      <calculatedColumnFormula array="1">IF(GEN_Loads[[#This Row],[kVA]]="","",GEN_Loads[[#This Row],[kVA]]*_xlfn.SWITCH(GEN_Loads[[#This Row],[Start Method]],"Across-the-Line",6,"Soft Start",3,"VFD",1.5,"None",1,1))</calculatedColumnFormula>
    </tableColumn>
    <tableColumn id="10" xr3:uid="{05A90798-7F0B-4567-933F-D853EB28AFFD}" name="Notes" dataDxfId="138"/>
    <tableColumn id="11" xr3:uid="{1BC8AB5B-0600-4F1B-A4E0-0368E59B790B}" name="Unit" dataDxfId="137"/>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338D409-0F85-4E4B-B2EA-A8673E0BAAC0}" name="UPS_Loads" displayName="UPS_Loads" ref="B26:G34" totalsRowShown="0" headerRowDxfId="136" dataDxfId="135">
  <autoFilter ref="B26:G34" xr:uid="{6338D409-0F85-4E4B-B2EA-A8673E0BAAC0}"/>
  <tableColumns count="6">
    <tableColumn id="1" xr3:uid="{2C2AC59F-031D-473F-82ED-3BD42E875FD7}" name="Description" dataDxfId="134"/>
    <tableColumn id="2" xr3:uid="{4012547F-4E41-4D7D-9A5D-BF19B5A3B791}" name="Qty" dataDxfId="133"/>
    <tableColumn id="3" xr3:uid="{2D3C4C4B-CBCB-4FFB-8746-224A074E3EC5}" name="kVA each" dataDxfId="132"/>
    <tableColumn id="4" xr3:uid="{86D5A44A-A90E-4FB9-90A2-B9930CF1CDE3}" name="kVA total" dataDxfId="131">
      <calculatedColumnFormula>IF(OR(UPS_Loads[[#This Row],[Qty]]="",UPS_Loads[[#This Row],[kVA each]]=""),"",UPS_Loads[[#This Row],[Qty]]*UPS_Loads[[#This Row],[kVA each]])</calculatedColumnFormula>
    </tableColumn>
    <tableColumn id="5" xr3:uid="{85120B86-C4E6-4563-9068-4FA9A6C146BE}" name="Notes" dataDxfId="130"/>
    <tableColumn id="6" xr3:uid="{CADCFE2A-E752-46A0-B59B-CBA22B68BC45}" name="Unit" dataDxfId="129"/>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61BF5AF-3AE5-46CD-81E7-6297D9EEAC01}">
  <we:reference id="WA200009404" version="1.0.0.8" store="Omex" storeType="OMEX"/>
  <we:alternateReferences>
    <we:reference id="WA200009404" version="1.0.0.8" store="WA200009404" storeType="OMEX"/>
  </we:alternateReferences>
  <we:properties>
    <we:property name="claude.fileId" value="&quot;02177c4b-83c8-4276-8dd2-e4bae0e093a4&quot;"/>
  </we:properties>
  <we:bindings/>
  <we:snapshot xmlns:r="http://schemas.openxmlformats.org/officeDocument/2006/relationships"/>
</we:webextension>
</file>

<file path=xl/webextensions/webextension2.xml><?xml version="1.0" encoding="utf-8"?>
<we:webextension xmlns:we="http://schemas.microsoft.com/office/webextensions/webextension/2010/11" id="{F86BA32F-37F3-4552-A712-077D7E2AF56D}">
  <we:reference id="WA200010847" version="1.0.0.0" store="Omex" storeType="OMEX"/>
  <we:alternateReferences>
    <we:reference id="WA200010847" version="1.0.0.0" store="WA200010847"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F278DCE8-47A6-4853-BC19-ABBF59097568}">
  <we:reference id="8f1a2c34-5b6d-4e7f-9a01-2b3c4d5e6f70" version="2.4.0.0" store="\\SGI-CMcKinnon\SazanAddin" storeType="Filesystem"/>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1F29-624E-41A7-BE03-4525E8A7DA2F}">
  <sheetPr codeName="Sheet1">
    <tabColor rgb="FFFFC000"/>
  </sheetPr>
  <dimension ref="A1:D400"/>
  <sheetViews>
    <sheetView showGridLines="0" showRowColHeaders="0" tabSelected="1" zoomScaleNormal="100" workbookViewId="0">
      <pane ySplit="1" topLeftCell="A2" activePane="bottomLeft" state="frozen"/>
      <selection pane="bottomLeft" sqref="A1:C1"/>
    </sheetView>
  </sheetViews>
  <sheetFormatPr defaultRowHeight="14.5" x14ac:dyDescent="0.35"/>
  <cols>
    <col min="1" max="1" width="6.453125" customWidth="1"/>
    <col min="2" max="2" width="36.1796875" customWidth="1"/>
    <col min="3" max="3" width="118.1796875" customWidth="1"/>
    <col min="4" max="6" width="9.1796875" customWidth="1"/>
  </cols>
  <sheetData>
    <row r="1" spans="1:4" ht="30" customHeight="1" x14ac:dyDescent="0.35">
      <c r="A1" s="594" t="s">
        <v>1640</v>
      </c>
      <c r="B1" s="595"/>
      <c r="C1" s="596"/>
      <c r="D1" s="158"/>
    </row>
    <row r="2" spans="1:4" ht="15" customHeight="1" x14ac:dyDescent="0.35">
      <c r="A2" s="597" t="s">
        <v>908</v>
      </c>
      <c r="B2" s="598"/>
      <c r="C2" s="599"/>
    </row>
    <row r="3" spans="1:4" ht="15" customHeight="1" x14ac:dyDescent="0.35">
      <c r="A3" s="597" t="s">
        <v>2105</v>
      </c>
      <c r="B3" s="598"/>
      <c r="C3" s="599"/>
    </row>
    <row r="4" spans="1:4" ht="24" customHeight="1" x14ac:dyDescent="0.35">
      <c r="A4" s="591" t="s">
        <v>1957</v>
      </c>
      <c r="B4" s="592"/>
      <c r="C4" s="593"/>
    </row>
    <row r="5" spans="1:4" ht="16" x14ac:dyDescent="0.35">
      <c r="A5" s="578" t="s">
        <v>2106</v>
      </c>
      <c r="B5" s="579" t="s">
        <v>2102</v>
      </c>
      <c r="C5" s="112" t="s">
        <v>1959</v>
      </c>
    </row>
    <row r="6" spans="1:4" ht="16" x14ac:dyDescent="0.35">
      <c r="A6" s="578" t="s">
        <v>2107</v>
      </c>
      <c r="B6" s="579" t="s">
        <v>2103</v>
      </c>
      <c r="C6" s="112" t="s">
        <v>1969</v>
      </c>
    </row>
    <row r="7" spans="1:4" ht="16" x14ac:dyDescent="0.35">
      <c r="A7" s="578" t="s">
        <v>2108</v>
      </c>
      <c r="B7" s="579" t="s">
        <v>244</v>
      </c>
      <c r="C7" s="112" t="s">
        <v>1974</v>
      </c>
    </row>
    <row r="8" spans="1:4" ht="16" x14ac:dyDescent="0.35">
      <c r="A8" s="578" t="s">
        <v>2109</v>
      </c>
      <c r="B8" s="579" t="s">
        <v>1261</v>
      </c>
      <c r="C8" s="112" t="s">
        <v>1991</v>
      </c>
    </row>
    <row r="9" spans="1:4" ht="16" x14ac:dyDescent="0.35">
      <c r="A9" s="578" t="s">
        <v>2110</v>
      </c>
      <c r="B9" s="579" t="s">
        <v>250</v>
      </c>
      <c r="C9" s="112" t="s">
        <v>1996</v>
      </c>
    </row>
    <row r="10" spans="1:4" ht="16" x14ac:dyDescent="0.35">
      <c r="A10" s="578" t="s">
        <v>2111</v>
      </c>
      <c r="B10" s="579" t="s">
        <v>1285</v>
      </c>
      <c r="C10" s="112" t="s">
        <v>2019</v>
      </c>
    </row>
    <row r="11" spans="1:4" ht="16" x14ac:dyDescent="0.35">
      <c r="A11" s="578" t="s">
        <v>2112</v>
      </c>
      <c r="B11" s="579" t="s">
        <v>1266</v>
      </c>
      <c r="C11" s="112" t="s">
        <v>2023</v>
      </c>
    </row>
    <row r="12" spans="1:4" ht="16" x14ac:dyDescent="0.35">
      <c r="A12" s="578" t="s">
        <v>2113</v>
      </c>
      <c r="B12" s="579" t="s">
        <v>2104</v>
      </c>
      <c r="C12" s="112" t="s">
        <v>2041</v>
      </c>
    </row>
    <row r="13" spans="1:4" ht="16" x14ac:dyDescent="0.35">
      <c r="A13" s="578" t="s">
        <v>2114</v>
      </c>
      <c r="B13" s="579" t="s">
        <v>74</v>
      </c>
      <c r="C13" s="112" t="s">
        <v>2046</v>
      </c>
    </row>
    <row r="14" spans="1:4" ht="16" x14ac:dyDescent="0.35">
      <c r="A14" s="578" t="s">
        <v>120</v>
      </c>
      <c r="B14" s="579" t="s">
        <v>252</v>
      </c>
      <c r="C14" s="112" t="s">
        <v>2052</v>
      </c>
    </row>
    <row r="15" spans="1:4" ht="16" x14ac:dyDescent="0.35">
      <c r="A15" s="578" t="s">
        <v>2115</v>
      </c>
      <c r="B15" s="579" t="s">
        <v>386</v>
      </c>
      <c r="C15" s="112" t="s">
        <v>2058</v>
      </c>
    </row>
    <row r="16" spans="1:4" ht="16" x14ac:dyDescent="0.35">
      <c r="A16" s="578" t="s">
        <v>119</v>
      </c>
      <c r="B16" s="579" t="s">
        <v>1273</v>
      </c>
      <c r="C16" s="112" t="s">
        <v>2064</v>
      </c>
    </row>
    <row r="17" spans="1:3" ht="16" x14ac:dyDescent="0.35">
      <c r="A17" s="578" t="s">
        <v>2116</v>
      </c>
      <c r="B17" s="579" t="s">
        <v>2099</v>
      </c>
      <c r="C17" s="112" t="s">
        <v>2072</v>
      </c>
    </row>
    <row r="18" spans="1:3" ht="16" x14ac:dyDescent="0.35">
      <c r="A18" s="578" t="s">
        <v>118</v>
      </c>
      <c r="B18" s="579" t="s">
        <v>2100</v>
      </c>
      <c r="C18" s="112" t="s">
        <v>2076</v>
      </c>
    </row>
    <row r="19" spans="1:3" ht="16" x14ac:dyDescent="0.35">
      <c r="A19" s="578" t="s">
        <v>2117</v>
      </c>
      <c r="B19" s="579" t="s">
        <v>2101</v>
      </c>
      <c r="C19" s="112" t="s">
        <v>2090</v>
      </c>
    </row>
    <row r="20" spans="1:3" x14ac:dyDescent="0.35">
      <c r="C20" s="580"/>
    </row>
    <row r="21" spans="1:3" ht="24" customHeight="1" x14ac:dyDescent="0.35">
      <c r="A21" s="591" t="s">
        <v>1958</v>
      </c>
      <c r="B21" s="592"/>
      <c r="C21" s="593"/>
    </row>
    <row r="22" spans="1:3" ht="30" customHeight="1" x14ac:dyDescent="0.35">
      <c r="A22" s="586" t="s">
        <v>1959</v>
      </c>
      <c r="B22" s="587"/>
      <c r="C22" s="588"/>
    </row>
    <row r="23" spans="1:3" ht="24" customHeight="1" x14ac:dyDescent="0.35">
      <c r="A23" s="109"/>
      <c r="B23" s="589" t="s">
        <v>1960</v>
      </c>
      <c r="C23" s="590"/>
    </row>
    <row r="24" spans="1:3" ht="48" x14ac:dyDescent="0.35">
      <c r="A24" s="96"/>
      <c r="B24" s="97" t="s">
        <v>909</v>
      </c>
      <c r="C24" s="98" t="s">
        <v>1642</v>
      </c>
    </row>
    <row r="25" spans="1:3" ht="64" x14ac:dyDescent="0.35">
      <c r="A25" s="99"/>
      <c r="B25" s="100" t="s">
        <v>1643</v>
      </c>
      <c r="C25" s="101" t="s">
        <v>1644</v>
      </c>
    </row>
    <row r="26" spans="1:3" ht="48" x14ac:dyDescent="0.35">
      <c r="A26" s="99"/>
      <c r="B26" s="100" t="s">
        <v>1645</v>
      </c>
      <c r="C26" s="101" t="s">
        <v>1646</v>
      </c>
    </row>
    <row r="27" spans="1:3" ht="48" x14ac:dyDescent="0.35">
      <c r="A27" s="99"/>
      <c r="B27" s="100" t="s">
        <v>910</v>
      </c>
      <c r="C27" s="101" t="s">
        <v>1647</v>
      </c>
    </row>
    <row r="28" spans="1:3" ht="64" x14ac:dyDescent="0.35">
      <c r="A28" s="99"/>
      <c r="B28" s="100" t="s">
        <v>911</v>
      </c>
      <c r="C28" s="101" t="s">
        <v>1648</v>
      </c>
    </row>
    <row r="29" spans="1:3" ht="48" x14ac:dyDescent="0.35">
      <c r="A29" s="99"/>
      <c r="B29" s="100" t="s">
        <v>912</v>
      </c>
      <c r="C29" s="101" t="s">
        <v>1649</v>
      </c>
    </row>
    <row r="30" spans="1:3" ht="48" x14ac:dyDescent="0.35">
      <c r="A30" s="99"/>
      <c r="B30" s="100" t="s">
        <v>895</v>
      </c>
      <c r="C30" s="101" t="s">
        <v>1650</v>
      </c>
    </row>
    <row r="31" spans="1:3" ht="32" x14ac:dyDescent="0.35">
      <c r="A31" s="99"/>
      <c r="B31" s="100" t="s">
        <v>913</v>
      </c>
      <c r="C31" s="101" t="s">
        <v>914</v>
      </c>
    </row>
    <row r="32" spans="1:3" ht="24" customHeight="1" x14ac:dyDescent="0.35">
      <c r="A32" s="109"/>
      <c r="B32" s="589" t="s">
        <v>1961</v>
      </c>
      <c r="C32" s="590"/>
    </row>
    <row r="33" spans="1:3" ht="32" x14ac:dyDescent="0.35">
      <c r="A33" s="104">
        <v>1</v>
      </c>
      <c r="B33" s="105" t="s">
        <v>1651</v>
      </c>
      <c r="C33" s="106" t="s">
        <v>1652</v>
      </c>
    </row>
    <row r="34" spans="1:3" ht="64" x14ac:dyDescent="0.35">
      <c r="A34" s="107">
        <v>2</v>
      </c>
      <c r="B34" s="100" t="s">
        <v>1653</v>
      </c>
      <c r="C34" s="101" t="s">
        <v>1654</v>
      </c>
    </row>
    <row r="35" spans="1:3" ht="32" x14ac:dyDescent="0.35">
      <c r="A35" s="107">
        <v>3</v>
      </c>
      <c r="B35" s="100" t="s">
        <v>1655</v>
      </c>
      <c r="C35" s="101" t="s">
        <v>1656</v>
      </c>
    </row>
    <row r="36" spans="1:3" ht="32" x14ac:dyDescent="0.35">
      <c r="A36" s="107">
        <v>4</v>
      </c>
      <c r="B36" s="100" t="s">
        <v>1657</v>
      </c>
      <c r="C36" s="101" t="s">
        <v>1658</v>
      </c>
    </row>
    <row r="37" spans="1:3" ht="32" x14ac:dyDescent="0.35">
      <c r="A37" s="107">
        <v>5</v>
      </c>
      <c r="B37" s="100" t="s">
        <v>1659</v>
      </c>
      <c r="C37" s="101" t="s">
        <v>1660</v>
      </c>
    </row>
    <row r="38" spans="1:3" ht="32" x14ac:dyDescent="0.35">
      <c r="A38" s="107">
        <v>6</v>
      </c>
      <c r="B38" s="100" t="s">
        <v>1661</v>
      </c>
      <c r="C38" s="101" t="s">
        <v>1662</v>
      </c>
    </row>
    <row r="39" spans="1:3" ht="24" customHeight="1" x14ac:dyDescent="0.35">
      <c r="A39" s="109"/>
      <c r="B39" s="589" t="s">
        <v>1962</v>
      </c>
      <c r="C39" s="590"/>
    </row>
    <row r="40" spans="1:3" ht="32" x14ac:dyDescent="0.35">
      <c r="A40" s="104">
        <v>1</v>
      </c>
      <c r="B40" s="105" t="s">
        <v>1666</v>
      </c>
      <c r="C40" s="106" t="s">
        <v>1667</v>
      </c>
    </row>
    <row r="41" spans="1:3" ht="16" x14ac:dyDescent="0.35">
      <c r="A41" s="107">
        <v>2</v>
      </c>
      <c r="B41" s="100" t="s">
        <v>916</v>
      </c>
      <c r="C41" s="101" t="s">
        <v>917</v>
      </c>
    </row>
    <row r="42" spans="1:3" ht="32" x14ac:dyDescent="0.35">
      <c r="A42" s="107">
        <v>3</v>
      </c>
      <c r="B42" s="100" t="s">
        <v>918</v>
      </c>
      <c r="C42" s="101" t="s">
        <v>919</v>
      </c>
    </row>
    <row r="43" spans="1:3" ht="48" x14ac:dyDescent="0.35">
      <c r="A43" s="107">
        <v>4</v>
      </c>
      <c r="B43" s="100" t="s">
        <v>920</v>
      </c>
      <c r="C43" s="101" t="s">
        <v>1770</v>
      </c>
    </row>
    <row r="44" spans="1:3" ht="32" x14ac:dyDescent="0.35">
      <c r="A44" s="107">
        <v>5</v>
      </c>
      <c r="B44" s="100" t="s">
        <v>921</v>
      </c>
      <c r="C44" s="101" t="s">
        <v>1714</v>
      </c>
    </row>
    <row r="45" spans="1:3" ht="32" x14ac:dyDescent="0.35">
      <c r="A45" s="107">
        <v>6</v>
      </c>
      <c r="B45" s="100" t="s">
        <v>922</v>
      </c>
      <c r="C45" s="101" t="s">
        <v>923</v>
      </c>
    </row>
    <row r="46" spans="1:3" ht="32" x14ac:dyDescent="0.35">
      <c r="A46" s="107">
        <v>7</v>
      </c>
      <c r="B46" s="100" t="s">
        <v>924</v>
      </c>
      <c r="C46" s="101" t="s">
        <v>925</v>
      </c>
    </row>
    <row r="47" spans="1:3" ht="48" x14ac:dyDescent="0.35">
      <c r="A47" s="107">
        <v>8</v>
      </c>
      <c r="B47" s="100" t="s">
        <v>926</v>
      </c>
      <c r="C47" s="101" t="s">
        <v>1948</v>
      </c>
    </row>
    <row r="48" spans="1:3" ht="48" x14ac:dyDescent="0.35">
      <c r="A48" s="107">
        <v>9</v>
      </c>
      <c r="B48" s="100" t="s">
        <v>927</v>
      </c>
      <c r="C48" s="101" t="s">
        <v>1949</v>
      </c>
    </row>
    <row r="49" spans="1:3" ht="32" x14ac:dyDescent="0.35">
      <c r="A49" s="107">
        <v>10</v>
      </c>
      <c r="B49" s="100" t="s">
        <v>928</v>
      </c>
      <c r="C49" s="101" t="s">
        <v>1950</v>
      </c>
    </row>
    <row r="50" spans="1:3" ht="24" customHeight="1" x14ac:dyDescent="0.35">
      <c r="A50" s="109"/>
      <c r="B50" s="589" t="s">
        <v>1963</v>
      </c>
      <c r="C50" s="590"/>
    </row>
    <row r="51" spans="1:3" ht="16" x14ac:dyDescent="0.35">
      <c r="A51" s="108"/>
      <c r="B51" s="105" t="s">
        <v>929</v>
      </c>
      <c r="C51" s="106" t="s">
        <v>930</v>
      </c>
    </row>
    <row r="52" spans="1:3" ht="32" x14ac:dyDescent="0.35">
      <c r="A52" s="99"/>
      <c r="B52" s="100" t="s">
        <v>439</v>
      </c>
      <c r="C52" s="101" t="s">
        <v>931</v>
      </c>
    </row>
    <row r="53" spans="1:3" ht="16" x14ac:dyDescent="0.35">
      <c r="A53" s="99"/>
      <c r="B53" s="100" t="s">
        <v>932</v>
      </c>
      <c r="C53" s="101" t="s">
        <v>933</v>
      </c>
    </row>
    <row r="54" spans="1:3" ht="16" x14ac:dyDescent="0.35">
      <c r="A54" s="99"/>
      <c r="B54" s="100" t="s">
        <v>934</v>
      </c>
      <c r="C54" s="101" t="s">
        <v>935</v>
      </c>
    </row>
    <row r="55" spans="1:3" ht="16" x14ac:dyDescent="0.35">
      <c r="A55" s="99"/>
      <c r="B55" s="100" t="s">
        <v>936</v>
      </c>
      <c r="C55" s="101" t="s">
        <v>937</v>
      </c>
    </row>
    <row r="56" spans="1:3" ht="16" x14ac:dyDescent="0.35">
      <c r="A56" s="99"/>
      <c r="B56" s="100" t="s">
        <v>938</v>
      </c>
      <c r="C56" s="101" t="s">
        <v>939</v>
      </c>
    </row>
    <row r="57" spans="1:3" ht="16" x14ac:dyDescent="0.35">
      <c r="A57" s="99"/>
      <c r="B57" s="100" t="s">
        <v>940</v>
      </c>
      <c r="C57" s="101" t="s">
        <v>941</v>
      </c>
    </row>
    <row r="58" spans="1:3" ht="32" x14ac:dyDescent="0.35">
      <c r="A58" s="99"/>
      <c r="B58" s="100" t="s">
        <v>942</v>
      </c>
      <c r="C58" s="101" t="s">
        <v>943</v>
      </c>
    </row>
    <row r="59" spans="1:3" ht="16" x14ac:dyDescent="0.35">
      <c r="A59" s="99"/>
      <c r="B59" s="100" t="s">
        <v>944</v>
      </c>
      <c r="C59" s="101" t="s">
        <v>945</v>
      </c>
    </row>
    <row r="60" spans="1:3" ht="24" customHeight="1" x14ac:dyDescent="0.35">
      <c r="A60" s="109"/>
      <c r="B60" s="589" t="s">
        <v>1964</v>
      </c>
      <c r="C60" s="590"/>
    </row>
    <row r="61" spans="1:3" ht="64" x14ac:dyDescent="0.35">
      <c r="A61" s="110"/>
      <c r="B61" s="111" t="s">
        <v>1256</v>
      </c>
      <c r="C61" s="112" t="s">
        <v>1965</v>
      </c>
    </row>
    <row r="62" spans="1:3" ht="16" x14ac:dyDescent="0.35">
      <c r="A62" s="110"/>
      <c r="B62" s="111" t="s">
        <v>1966</v>
      </c>
      <c r="C62" s="112" t="s">
        <v>1967</v>
      </c>
    </row>
    <row r="63" spans="1:3" x14ac:dyDescent="0.35">
      <c r="C63" s="580"/>
    </row>
    <row r="64" spans="1:3" ht="24" customHeight="1" x14ac:dyDescent="0.35">
      <c r="A64" s="591" t="s">
        <v>1968</v>
      </c>
      <c r="B64" s="592"/>
      <c r="C64" s="593"/>
    </row>
    <row r="65" spans="1:3" ht="30" customHeight="1" x14ac:dyDescent="0.35">
      <c r="A65" s="586" t="s">
        <v>1969</v>
      </c>
      <c r="B65" s="587"/>
      <c r="C65" s="588"/>
    </row>
    <row r="66" spans="1:3" ht="24" customHeight="1" x14ac:dyDescent="0.35">
      <c r="A66" s="109"/>
      <c r="B66" s="589" t="s">
        <v>1970</v>
      </c>
      <c r="C66" s="590"/>
    </row>
    <row r="67" spans="1:3" ht="16" x14ac:dyDescent="0.35">
      <c r="A67" s="110"/>
      <c r="B67" s="111" t="s">
        <v>915</v>
      </c>
      <c r="C67" s="112" t="s">
        <v>915</v>
      </c>
    </row>
    <row r="68" spans="1:3" ht="16" x14ac:dyDescent="0.35">
      <c r="A68" s="110"/>
      <c r="B68" s="111" t="s">
        <v>442</v>
      </c>
      <c r="C68" s="112" t="s">
        <v>442</v>
      </c>
    </row>
    <row r="69" spans="1:3" ht="16" x14ac:dyDescent="0.35">
      <c r="A69" s="110"/>
      <c r="B69" s="111" t="s">
        <v>1258</v>
      </c>
      <c r="C69" s="112" t="s">
        <v>1258</v>
      </c>
    </row>
    <row r="70" spans="1:3" ht="24" customHeight="1" x14ac:dyDescent="0.35">
      <c r="A70" s="109"/>
      <c r="B70" s="589" t="s">
        <v>1971</v>
      </c>
      <c r="C70" s="590"/>
    </row>
    <row r="71" spans="1:3" ht="32" x14ac:dyDescent="0.35">
      <c r="A71" s="107"/>
      <c r="B71" s="100" t="s">
        <v>952</v>
      </c>
      <c r="C71" s="101" t="s">
        <v>1771</v>
      </c>
    </row>
    <row r="72" spans="1:3" ht="224" x14ac:dyDescent="0.35">
      <c r="A72" s="107"/>
      <c r="B72" s="117" t="s">
        <v>953</v>
      </c>
      <c r="C72" s="101" t="s">
        <v>1854</v>
      </c>
    </row>
    <row r="73" spans="1:3" ht="48" x14ac:dyDescent="0.35">
      <c r="A73" s="107"/>
      <c r="B73" s="117" t="s">
        <v>954</v>
      </c>
      <c r="C73" s="101" t="s">
        <v>955</v>
      </c>
    </row>
    <row r="74" spans="1:3" ht="32" x14ac:dyDescent="0.35">
      <c r="A74" s="107"/>
      <c r="B74" s="117" t="s">
        <v>537</v>
      </c>
      <c r="C74" s="101" t="s">
        <v>956</v>
      </c>
    </row>
    <row r="75" spans="1:3" ht="80" x14ac:dyDescent="0.35">
      <c r="A75" s="107"/>
      <c r="B75" s="117" t="s">
        <v>957</v>
      </c>
      <c r="C75" s="101" t="s">
        <v>1612</v>
      </c>
    </row>
    <row r="76" spans="1:3" ht="16" x14ac:dyDescent="0.35">
      <c r="A76" s="107"/>
      <c r="B76" s="117" t="s">
        <v>958</v>
      </c>
      <c r="C76" s="101" t="s">
        <v>959</v>
      </c>
    </row>
    <row r="77" spans="1:3" ht="16" x14ac:dyDescent="0.35">
      <c r="A77" s="128"/>
      <c r="B77" s="129" t="s">
        <v>538</v>
      </c>
      <c r="C77" s="115" t="s">
        <v>960</v>
      </c>
    </row>
    <row r="78" spans="1:3" ht="24" customHeight="1" x14ac:dyDescent="0.35">
      <c r="A78" s="109"/>
      <c r="B78" s="589" t="s">
        <v>1972</v>
      </c>
      <c r="C78" s="590"/>
    </row>
    <row r="79" spans="1:3" ht="30" customHeight="1" x14ac:dyDescent="0.35">
      <c r="A79" s="600" t="s">
        <v>1038</v>
      </c>
      <c r="B79" s="601"/>
      <c r="C79" s="602"/>
    </row>
    <row r="80" spans="1:3" ht="16" x14ac:dyDescent="0.35">
      <c r="A80" s="107">
        <v>1</v>
      </c>
      <c r="B80" s="100" t="s">
        <v>578</v>
      </c>
      <c r="C80" s="101" t="s">
        <v>1039</v>
      </c>
    </row>
    <row r="81" spans="1:3" ht="16" x14ac:dyDescent="0.35">
      <c r="A81" s="107">
        <v>2</v>
      </c>
      <c r="B81" s="100" t="s">
        <v>580</v>
      </c>
      <c r="C81" s="101" t="s">
        <v>1040</v>
      </c>
    </row>
    <row r="82" spans="1:3" ht="16" x14ac:dyDescent="0.35">
      <c r="A82" s="107">
        <v>3</v>
      </c>
      <c r="B82" s="100" t="s">
        <v>581</v>
      </c>
      <c r="C82" s="101" t="s">
        <v>1041</v>
      </c>
    </row>
    <row r="83" spans="1:3" ht="16" x14ac:dyDescent="0.35">
      <c r="A83" s="107">
        <v>4</v>
      </c>
      <c r="B83" s="100" t="s">
        <v>582</v>
      </c>
      <c r="C83" s="101" t="s">
        <v>1042</v>
      </c>
    </row>
    <row r="84" spans="1:3" ht="16" x14ac:dyDescent="0.35">
      <c r="A84" s="107">
        <v>5</v>
      </c>
      <c r="B84" s="100" t="s">
        <v>583</v>
      </c>
      <c r="C84" s="101" t="s">
        <v>1043</v>
      </c>
    </row>
    <row r="85" spans="1:3" ht="16" x14ac:dyDescent="0.35">
      <c r="A85" s="107">
        <v>6</v>
      </c>
      <c r="B85" s="100" t="s">
        <v>584</v>
      </c>
      <c r="C85" s="101" t="s">
        <v>1044</v>
      </c>
    </row>
    <row r="86" spans="1:3" ht="16" x14ac:dyDescent="0.35">
      <c r="A86" s="107">
        <v>7</v>
      </c>
      <c r="B86" s="100" t="s">
        <v>585</v>
      </c>
      <c r="C86" s="101" t="s">
        <v>1045</v>
      </c>
    </row>
    <row r="87" spans="1:3" ht="16" x14ac:dyDescent="0.35">
      <c r="A87" s="107">
        <v>8</v>
      </c>
      <c r="B87" s="100" t="s">
        <v>586</v>
      </c>
      <c r="C87" s="101" t="s">
        <v>1046</v>
      </c>
    </row>
    <row r="88" spans="1:3" ht="16" x14ac:dyDescent="0.35">
      <c r="A88" s="107">
        <v>9</v>
      </c>
      <c r="B88" s="100" t="s">
        <v>587</v>
      </c>
      <c r="C88" s="101" t="s">
        <v>1047</v>
      </c>
    </row>
    <row r="89" spans="1:3" ht="16" x14ac:dyDescent="0.35">
      <c r="A89" s="107">
        <v>10</v>
      </c>
      <c r="B89" s="100" t="s">
        <v>589</v>
      </c>
      <c r="C89" s="101" t="s">
        <v>1048</v>
      </c>
    </row>
    <row r="90" spans="1:3" ht="16" x14ac:dyDescent="0.35">
      <c r="A90" s="107">
        <v>11</v>
      </c>
      <c r="B90" s="100" t="s">
        <v>590</v>
      </c>
      <c r="C90" s="101" t="s">
        <v>1049</v>
      </c>
    </row>
    <row r="91" spans="1:3" ht="16" x14ac:dyDescent="0.35">
      <c r="A91" s="107">
        <v>12</v>
      </c>
      <c r="B91" s="100" t="s">
        <v>591</v>
      </c>
      <c r="C91" s="101" t="s">
        <v>1050</v>
      </c>
    </row>
    <row r="92" spans="1:3" ht="16" x14ac:dyDescent="0.35">
      <c r="A92" s="107">
        <v>13</v>
      </c>
      <c r="B92" s="100" t="s">
        <v>606</v>
      </c>
      <c r="C92" s="101" t="s">
        <v>1801</v>
      </c>
    </row>
    <row r="93" spans="1:3" x14ac:dyDescent="0.35">
      <c r="C93" s="580"/>
    </row>
    <row r="94" spans="1:3" ht="24" customHeight="1" x14ac:dyDescent="0.35">
      <c r="A94" s="591" t="s">
        <v>1973</v>
      </c>
      <c r="B94" s="592"/>
      <c r="C94" s="593"/>
    </row>
    <row r="95" spans="1:3" ht="30" customHeight="1" x14ac:dyDescent="0.35">
      <c r="A95" s="586" t="s">
        <v>1974</v>
      </c>
      <c r="B95" s="587"/>
      <c r="C95" s="588"/>
    </row>
    <row r="96" spans="1:3" ht="24" customHeight="1" x14ac:dyDescent="0.35">
      <c r="A96" s="109"/>
      <c r="B96" s="589" t="s">
        <v>1975</v>
      </c>
      <c r="C96" s="590"/>
    </row>
    <row r="97" spans="1:3" ht="16" x14ac:dyDescent="0.35">
      <c r="A97" s="110"/>
      <c r="B97" s="111" t="s">
        <v>1259</v>
      </c>
      <c r="C97" s="112" t="s">
        <v>1259</v>
      </c>
    </row>
    <row r="98" spans="1:3" ht="16" x14ac:dyDescent="0.35">
      <c r="A98" s="110"/>
      <c r="B98" s="111" t="s">
        <v>1260</v>
      </c>
      <c r="C98" s="112" t="s">
        <v>1260</v>
      </c>
    </row>
    <row r="99" spans="1:3" ht="16" x14ac:dyDescent="0.35">
      <c r="A99" s="110"/>
      <c r="B99" s="111" t="s">
        <v>1976</v>
      </c>
      <c r="C99" s="112" t="s">
        <v>1977</v>
      </c>
    </row>
    <row r="100" spans="1:3" ht="16" x14ac:dyDescent="0.35">
      <c r="A100" s="110"/>
      <c r="B100" s="111" t="s">
        <v>1978</v>
      </c>
      <c r="C100" s="112" t="s">
        <v>1979</v>
      </c>
    </row>
    <row r="101" spans="1:3" ht="32" x14ac:dyDescent="0.35">
      <c r="A101" s="110"/>
      <c r="B101" s="111" t="s">
        <v>1980</v>
      </c>
      <c r="C101" s="112" t="s">
        <v>1981</v>
      </c>
    </row>
    <row r="102" spans="1:3" ht="32" x14ac:dyDescent="0.35">
      <c r="A102" s="110"/>
      <c r="B102" s="111" t="s">
        <v>1982</v>
      </c>
      <c r="C102" s="112" t="s">
        <v>1983</v>
      </c>
    </row>
    <row r="103" spans="1:3" ht="16" x14ac:dyDescent="0.35">
      <c r="A103" s="110"/>
      <c r="B103" s="111" t="s">
        <v>1984</v>
      </c>
      <c r="C103" s="112" t="s">
        <v>1985</v>
      </c>
    </row>
    <row r="104" spans="1:3" ht="32" x14ac:dyDescent="0.35">
      <c r="A104" s="110"/>
      <c r="B104" s="111" t="s">
        <v>1986</v>
      </c>
      <c r="C104" s="112" t="s">
        <v>1987</v>
      </c>
    </row>
    <row r="105" spans="1:3" ht="24" customHeight="1" x14ac:dyDescent="0.35">
      <c r="A105" s="109"/>
      <c r="B105" s="589" t="s">
        <v>1988</v>
      </c>
      <c r="C105" s="590"/>
    </row>
    <row r="106" spans="1:3" ht="32" x14ac:dyDescent="0.35">
      <c r="A106" s="104"/>
      <c r="B106" s="105" t="s">
        <v>961</v>
      </c>
      <c r="C106" s="106" t="s">
        <v>1715</v>
      </c>
    </row>
    <row r="107" spans="1:3" ht="32" x14ac:dyDescent="0.35">
      <c r="A107" s="107"/>
      <c r="B107" s="117" t="s">
        <v>962</v>
      </c>
      <c r="C107" s="101" t="s">
        <v>1614</v>
      </c>
    </row>
    <row r="108" spans="1:3" ht="64" x14ac:dyDescent="0.35">
      <c r="A108" s="107"/>
      <c r="B108" s="117" t="s">
        <v>1617</v>
      </c>
      <c r="C108" s="101" t="s">
        <v>1615</v>
      </c>
    </row>
    <row r="109" spans="1:3" ht="48" x14ac:dyDescent="0.35">
      <c r="A109" s="107"/>
      <c r="B109" s="117" t="s">
        <v>963</v>
      </c>
      <c r="C109" s="101" t="s">
        <v>1616</v>
      </c>
    </row>
    <row r="110" spans="1:3" ht="96" x14ac:dyDescent="0.35">
      <c r="A110" s="107"/>
      <c r="B110" s="117" t="s">
        <v>964</v>
      </c>
      <c r="C110" s="101" t="s">
        <v>1796</v>
      </c>
    </row>
    <row r="111" spans="1:3" ht="48" x14ac:dyDescent="0.35">
      <c r="A111" s="107"/>
      <c r="B111" s="117" t="s">
        <v>965</v>
      </c>
      <c r="C111" s="101" t="s">
        <v>966</v>
      </c>
    </row>
    <row r="112" spans="1:3" ht="96" x14ac:dyDescent="0.35">
      <c r="A112" s="107"/>
      <c r="B112" s="117" t="s">
        <v>954</v>
      </c>
      <c r="C112" s="101" t="s">
        <v>1618</v>
      </c>
    </row>
    <row r="113" spans="1:3" ht="48" x14ac:dyDescent="0.35">
      <c r="A113" s="107"/>
      <c r="B113" s="117" t="s">
        <v>537</v>
      </c>
      <c r="C113" s="101" t="s">
        <v>1619</v>
      </c>
    </row>
    <row r="114" spans="1:3" ht="32" x14ac:dyDescent="0.35">
      <c r="A114" s="107"/>
      <c r="B114" s="117" t="s">
        <v>831</v>
      </c>
      <c r="C114" s="101" t="s">
        <v>967</v>
      </c>
    </row>
    <row r="115" spans="1:3" ht="80" x14ac:dyDescent="0.35">
      <c r="A115" s="107"/>
      <c r="B115" s="117" t="s">
        <v>968</v>
      </c>
      <c r="C115" s="101" t="s">
        <v>1716</v>
      </c>
    </row>
    <row r="116" spans="1:3" ht="32" x14ac:dyDescent="0.35">
      <c r="A116" s="128"/>
      <c r="B116" s="129" t="s">
        <v>969</v>
      </c>
      <c r="C116" s="115" t="s">
        <v>970</v>
      </c>
    </row>
    <row r="117" spans="1:3" ht="24" customHeight="1" x14ac:dyDescent="0.35">
      <c r="A117" s="109"/>
      <c r="B117" s="589" t="s">
        <v>1989</v>
      </c>
      <c r="C117" s="590"/>
    </row>
    <row r="118" spans="1:3" ht="48" x14ac:dyDescent="0.35">
      <c r="A118" s="108"/>
      <c r="B118" s="105" t="s">
        <v>1051</v>
      </c>
      <c r="C118" s="106" t="s">
        <v>1718</v>
      </c>
    </row>
    <row r="119" spans="1:3" ht="32" x14ac:dyDescent="0.35">
      <c r="A119" s="99"/>
      <c r="B119" s="100" t="s">
        <v>1052</v>
      </c>
      <c r="C119" s="101" t="s">
        <v>1053</v>
      </c>
    </row>
    <row r="120" spans="1:3" ht="32" x14ac:dyDescent="0.35">
      <c r="A120" s="99"/>
      <c r="B120" s="100" t="s">
        <v>1054</v>
      </c>
      <c r="C120" s="101" t="s">
        <v>1055</v>
      </c>
    </row>
    <row r="121" spans="1:3" ht="16" x14ac:dyDescent="0.35">
      <c r="A121" s="99"/>
      <c r="B121" s="100" t="s">
        <v>1056</v>
      </c>
      <c r="C121" s="101" t="s">
        <v>1057</v>
      </c>
    </row>
    <row r="122" spans="1:3" ht="32" x14ac:dyDescent="0.35">
      <c r="A122" s="102"/>
      <c r="B122" s="116" t="s">
        <v>441</v>
      </c>
      <c r="C122" s="103" t="s">
        <v>1613</v>
      </c>
    </row>
    <row r="123" spans="1:3" x14ac:dyDescent="0.35">
      <c r="C123" s="580"/>
    </row>
    <row r="124" spans="1:3" ht="24" customHeight="1" x14ac:dyDescent="0.35">
      <c r="A124" s="591" t="s">
        <v>1990</v>
      </c>
      <c r="B124" s="592"/>
      <c r="C124" s="593"/>
    </row>
    <row r="125" spans="1:3" ht="30" customHeight="1" x14ac:dyDescent="0.35">
      <c r="A125" s="586" t="s">
        <v>1991</v>
      </c>
      <c r="B125" s="587"/>
      <c r="C125" s="588"/>
    </row>
    <row r="126" spans="1:3" ht="24" customHeight="1" x14ac:dyDescent="0.35">
      <c r="A126" s="109"/>
      <c r="B126" s="589" t="s">
        <v>1992</v>
      </c>
      <c r="C126" s="590"/>
    </row>
    <row r="127" spans="1:3" ht="16" x14ac:dyDescent="0.35">
      <c r="A127" s="110"/>
      <c r="B127" s="111" t="s">
        <v>1262</v>
      </c>
      <c r="C127" s="112" t="s">
        <v>1262</v>
      </c>
    </row>
    <row r="128" spans="1:3" ht="16" x14ac:dyDescent="0.35">
      <c r="A128" s="110"/>
      <c r="B128" s="111" t="s">
        <v>1263</v>
      </c>
      <c r="C128" s="112" t="s">
        <v>1263</v>
      </c>
    </row>
    <row r="129" spans="1:3" ht="16" x14ac:dyDescent="0.35">
      <c r="A129" s="110"/>
      <c r="B129" s="111" t="s">
        <v>1264</v>
      </c>
      <c r="C129" s="112" t="s">
        <v>1264</v>
      </c>
    </row>
    <row r="130" spans="1:3" ht="16" x14ac:dyDescent="0.35">
      <c r="A130" s="110"/>
      <c r="B130" s="111" t="s">
        <v>1265</v>
      </c>
      <c r="C130" s="112" t="s">
        <v>1265</v>
      </c>
    </row>
    <row r="131" spans="1:3" ht="16" x14ac:dyDescent="0.35">
      <c r="A131" s="110"/>
      <c r="B131" s="111" t="s">
        <v>946</v>
      </c>
      <c r="C131" s="112" t="s">
        <v>946</v>
      </c>
    </row>
    <row r="132" spans="1:3" ht="24" customHeight="1" x14ac:dyDescent="0.35">
      <c r="A132" s="109"/>
      <c r="B132" s="589" t="s">
        <v>1993</v>
      </c>
      <c r="C132" s="590"/>
    </row>
    <row r="133" spans="1:3" ht="32" x14ac:dyDescent="0.35">
      <c r="A133" s="104"/>
      <c r="B133" s="130" t="s">
        <v>971</v>
      </c>
      <c r="C133" s="106" t="s">
        <v>972</v>
      </c>
    </row>
    <row r="134" spans="1:3" ht="32" x14ac:dyDescent="0.35">
      <c r="A134" s="107"/>
      <c r="B134" s="117" t="s">
        <v>953</v>
      </c>
      <c r="C134" s="101" t="s">
        <v>973</v>
      </c>
    </row>
    <row r="135" spans="1:3" ht="64" x14ac:dyDescent="0.35">
      <c r="A135" s="107"/>
      <c r="B135" s="117" t="s">
        <v>954</v>
      </c>
      <c r="C135" s="101" t="s">
        <v>1626</v>
      </c>
    </row>
    <row r="136" spans="1:3" ht="16" x14ac:dyDescent="0.35">
      <c r="A136" s="107"/>
      <c r="B136" s="117" t="s">
        <v>537</v>
      </c>
      <c r="C136" s="101" t="s">
        <v>1627</v>
      </c>
    </row>
    <row r="137" spans="1:3" ht="16" x14ac:dyDescent="0.35">
      <c r="A137" s="128"/>
      <c r="B137" s="129" t="s">
        <v>969</v>
      </c>
      <c r="C137" s="115" t="s">
        <v>974</v>
      </c>
    </row>
    <row r="138" spans="1:3" ht="24" customHeight="1" x14ac:dyDescent="0.35">
      <c r="A138" s="109"/>
      <c r="B138" s="589" t="s">
        <v>1994</v>
      </c>
      <c r="C138" s="590"/>
    </row>
    <row r="139" spans="1:3" ht="32" x14ac:dyDescent="0.35">
      <c r="A139" s="104"/>
      <c r="B139" s="130" t="s">
        <v>975</v>
      </c>
      <c r="C139" s="106" t="s">
        <v>976</v>
      </c>
    </row>
    <row r="140" spans="1:3" ht="48" x14ac:dyDescent="0.35">
      <c r="A140" s="107"/>
      <c r="B140" s="117" t="s">
        <v>953</v>
      </c>
      <c r="C140" s="101" t="s">
        <v>1628</v>
      </c>
    </row>
    <row r="141" spans="1:3" ht="32" x14ac:dyDescent="0.35">
      <c r="A141" s="107"/>
      <c r="B141" s="117" t="s">
        <v>954</v>
      </c>
      <c r="C141" s="101" t="s">
        <v>1629</v>
      </c>
    </row>
    <row r="142" spans="1:3" ht="16" x14ac:dyDescent="0.35">
      <c r="A142" s="107"/>
      <c r="B142" s="117" t="s">
        <v>537</v>
      </c>
      <c r="C142" s="101" t="s">
        <v>977</v>
      </c>
    </row>
    <row r="143" spans="1:3" ht="32" x14ac:dyDescent="0.35">
      <c r="A143" s="128"/>
      <c r="B143" s="129" t="s">
        <v>969</v>
      </c>
      <c r="C143" s="115" t="s">
        <v>978</v>
      </c>
    </row>
    <row r="144" spans="1:3" x14ac:dyDescent="0.35">
      <c r="C144" s="580"/>
    </row>
    <row r="145" spans="1:3" ht="24" customHeight="1" x14ac:dyDescent="0.35">
      <c r="A145" s="591" t="s">
        <v>1995</v>
      </c>
      <c r="B145" s="592"/>
      <c r="C145" s="593"/>
    </row>
    <row r="146" spans="1:3" ht="30" customHeight="1" x14ac:dyDescent="0.35">
      <c r="A146" s="586" t="s">
        <v>1996</v>
      </c>
      <c r="B146" s="587"/>
      <c r="C146" s="588"/>
    </row>
    <row r="147" spans="1:3" ht="24" customHeight="1" x14ac:dyDescent="0.35">
      <c r="A147" s="109"/>
      <c r="B147" s="589" t="s">
        <v>1997</v>
      </c>
      <c r="C147" s="590"/>
    </row>
    <row r="148" spans="1:3" ht="16" x14ac:dyDescent="0.35">
      <c r="A148" s="110"/>
      <c r="B148" s="111" t="s">
        <v>947</v>
      </c>
      <c r="C148" s="112" t="s">
        <v>947</v>
      </c>
    </row>
    <row r="149" spans="1:3" ht="16" x14ac:dyDescent="0.35">
      <c r="A149" s="110"/>
      <c r="B149" s="111" t="s">
        <v>949</v>
      </c>
      <c r="C149" s="112" t="s">
        <v>949</v>
      </c>
    </row>
    <row r="150" spans="1:3" ht="16" x14ac:dyDescent="0.35">
      <c r="A150" s="110"/>
      <c r="B150" s="111" t="s">
        <v>948</v>
      </c>
      <c r="C150" s="112" t="s">
        <v>948</v>
      </c>
    </row>
    <row r="151" spans="1:3" ht="32" x14ac:dyDescent="0.35">
      <c r="A151" s="110"/>
      <c r="B151" s="111" t="s">
        <v>1998</v>
      </c>
      <c r="C151" s="112" t="s">
        <v>1999</v>
      </c>
    </row>
    <row r="152" spans="1:3" ht="16" x14ac:dyDescent="0.35">
      <c r="A152" s="110"/>
      <c r="B152" s="111" t="s">
        <v>950</v>
      </c>
      <c r="C152" s="112" t="s">
        <v>2000</v>
      </c>
    </row>
    <row r="153" spans="1:3" ht="16" x14ac:dyDescent="0.35">
      <c r="A153" s="110"/>
      <c r="B153" s="111" t="s">
        <v>2001</v>
      </c>
      <c r="C153" s="112" t="s">
        <v>2002</v>
      </c>
    </row>
    <row r="154" spans="1:3" ht="16" x14ac:dyDescent="0.35">
      <c r="A154" s="110"/>
      <c r="B154" s="111" t="s">
        <v>2003</v>
      </c>
      <c r="C154" s="112" t="s">
        <v>2004</v>
      </c>
    </row>
    <row r="155" spans="1:3" ht="24" customHeight="1" x14ac:dyDescent="0.35">
      <c r="A155" s="109"/>
      <c r="B155" s="589" t="s">
        <v>2005</v>
      </c>
      <c r="C155" s="590"/>
    </row>
    <row r="156" spans="1:3" ht="64" x14ac:dyDescent="0.35">
      <c r="A156" s="110"/>
      <c r="B156" s="111" t="s">
        <v>2006</v>
      </c>
      <c r="C156" s="112" t="s">
        <v>2007</v>
      </c>
    </row>
    <row r="157" spans="1:3" ht="16" x14ac:dyDescent="0.35">
      <c r="A157" s="110"/>
      <c r="B157" s="111" t="s">
        <v>2008</v>
      </c>
      <c r="C157" s="112" t="s">
        <v>2009</v>
      </c>
    </row>
    <row r="158" spans="1:3" ht="32" x14ac:dyDescent="0.35">
      <c r="A158" s="110"/>
      <c r="B158" s="111" t="s">
        <v>2010</v>
      </c>
      <c r="C158" s="112" t="s">
        <v>2011</v>
      </c>
    </row>
    <row r="159" spans="1:3" ht="16" x14ac:dyDescent="0.35">
      <c r="A159" s="110"/>
      <c r="B159" s="111" t="s">
        <v>2012</v>
      </c>
      <c r="C159" s="112" t="s">
        <v>2013</v>
      </c>
    </row>
    <row r="160" spans="1:3" ht="32" x14ac:dyDescent="0.35">
      <c r="A160" s="110"/>
      <c r="B160" s="111" t="s">
        <v>2014</v>
      </c>
      <c r="C160" s="112" t="s">
        <v>2015</v>
      </c>
    </row>
    <row r="161" spans="1:3" ht="24" customHeight="1" x14ac:dyDescent="0.35">
      <c r="A161" s="109"/>
      <c r="B161" s="589" t="s">
        <v>2016</v>
      </c>
      <c r="C161" s="590"/>
    </row>
    <row r="162" spans="1:3" ht="32" x14ac:dyDescent="0.35">
      <c r="A162" s="104"/>
      <c r="B162" s="130" t="s">
        <v>979</v>
      </c>
      <c r="C162" s="106" t="s">
        <v>1693</v>
      </c>
    </row>
    <row r="163" spans="1:3" ht="16" x14ac:dyDescent="0.35">
      <c r="A163" s="107"/>
      <c r="B163" s="117" t="s">
        <v>980</v>
      </c>
      <c r="C163" s="101" t="s">
        <v>981</v>
      </c>
    </row>
    <row r="164" spans="1:3" ht="48" x14ac:dyDescent="0.35">
      <c r="A164" s="107"/>
      <c r="B164" s="117" t="s">
        <v>982</v>
      </c>
      <c r="C164" s="101" t="s">
        <v>983</v>
      </c>
    </row>
    <row r="165" spans="1:3" ht="48" x14ac:dyDescent="0.35">
      <c r="A165" s="107"/>
      <c r="B165" s="117" t="s">
        <v>954</v>
      </c>
      <c r="C165" s="101" t="s">
        <v>984</v>
      </c>
    </row>
    <row r="166" spans="1:3" ht="32" x14ac:dyDescent="0.35">
      <c r="A166" s="107"/>
      <c r="B166" s="117" t="s">
        <v>537</v>
      </c>
      <c r="C166" s="101" t="s">
        <v>985</v>
      </c>
    </row>
    <row r="167" spans="1:3" ht="16" x14ac:dyDescent="0.35">
      <c r="A167" s="107"/>
      <c r="B167" s="117" t="s">
        <v>986</v>
      </c>
      <c r="C167" s="101" t="s">
        <v>987</v>
      </c>
    </row>
    <row r="168" spans="1:3" ht="32" x14ac:dyDescent="0.35">
      <c r="A168" s="128"/>
      <c r="B168" s="129" t="s">
        <v>969</v>
      </c>
      <c r="C168" s="115" t="s">
        <v>988</v>
      </c>
    </row>
    <row r="169" spans="1:3" ht="24" customHeight="1" x14ac:dyDescent="0.35">
      <c r="A169" s="109"/>
      <c r="B169" s="589" t="s">
        <v>2017</v>
      </c>
      <c r="C169" s="590"/>
    </row>
    <row r="170" spans="1:3" ht="32" x14ac:dyDescent="0.35">
      <c r="A170" s="108"/>
      <c r="B170" s="105" t="s">
        <v>1058</v>
      </c>
      <c r="C170" s="106" t="s">
        <v>1059</v>
      </c>
    </row>
    <row r="171" spans="1:3" ht="32" x14ac:dyDescent="0.35">
      <c r="A171" s="99"/>
      <c r="B171" s="100" t="s">
        <v>1060</v>
      </c>
      <c r="C171" s="101" t="s">
        <v>1719</v>
      </c>
    </row>
    <row r="172" spans="1:3" ht="32" x14ac:dyDescent="0.35">
      <c r="A172" s="99"/>
      <c r="B172" s="100" t="s">
        <v>1061</v>
      </c>
      <c r="C172" s="101" t="s">
        <v>1062</v>
      </c>
    </row>
    <row r="173" spans="1:3" ht="48" x14ac:dyDescent="0.35">
      <c r="A173" s="99"/>
      <c r="B173" s="100" t="s">
        <v>1063</v>
      </c>
      <c r="C173" s="101" t="s">
        <v>1064</v>
      </c>
    </row>
    <row r="174" spans="1:3" ht="32" x14ac:dyDescent="0.35">
      <c r="A174" s="99"/>
      <c r="B174" s="100" t="s">
        <v>1065</v>
      </c>
      <c r="C174" s="101" t="s">
        <v>1066</v>
      </c>
    </row>
    <row r="175" spans="1:3" ht="16" x14ac:dyDescent="0.35">
      <c r="A175" s="102"/>
      <c r="B175" s="116" t="s">
        <v>1067</v>
      </c>
      <c r="C175" s="103" t="s">
        <v>1068</v>
      </c>
    </row>
    <row r="176" spans="1:3" ht="24" customHeight="1" x14ac:dyDescent="0.35">
      <c r="A176" s="109"/>
      <c r="B176" s="589" t="s">
        <v>606</v>
      </c>
      <c r="C176" s="590"/>
    </row>
    <row r="177" spans="1:3" ht="32" x14ac:dyDescent="0.35">
      <c r="A177" s="104"/>
      <c r="B177" s="130" t="s">
        <v>832</v>
      </c>
      <c r="C177" s="106" t="s">
        <v>1623</v>
      </c>
    </row>
    <row r="178" spans="1:3" ht="48" x14ac:dyDescent="0.35">
      <c r="A178" s="107"/>
      <c r="B178" s="117" t="s">
        <v>954</v>
      </c>
      <c r="C178" s="101" t="s">
        <v>1624</v>
      </c>
    </row>
    <row r="179" spans="1:3" ht="64" x14ac:dyDescent="0.35">
      <c r="A179" s="107"/>
      <c r="B179" s="117" t="s">
        <v>953</v>
      </c>
      <c r="C179" s="101" t="s">
        <v>1625</v>
      </c>
    </row>
    <row r="180" spans="1:3" ht="16" x14ac:dyDescent="0.35">
      <c r="A180" s="107"/>
      <c r="B180" s="117" t="s">
        <v>537</v>
      </c>
      <c r="C180" s="101" t="s">
        <v>1024</v>
      </c>
    </row>
    <row r="181" spans="1:3" ht="16" x14ac:dyDescent="0.35">
      <c r="A181" s="128"/>
      <c r="B181" s="129" t="s">
        <v>1025</v>
      </c>
      <c r="C181" s="115" t="s">
        <v>1026</v>
      </c>
    </row>
    <row r="182" spans="1:3" x14ac:dyDescent="0.35">
      <c r="C182" s="580"/>
    </row>
    <row r="183" spans="1:3" ht="24" customHeight="1" x14ac:dyDescent="0.35">
      <c r="A183" s="591" t="s">
        <v>2018</v>
      </c>
      <c r="B183" s="592"/>
      <c r="C183" s="593"/>
    </row>
    <row r="184" spans="1:3" ht="30" customHeight="1" x14ac:dyDescent="0.35">
      <c r="A184" s="586" t="s">
        <v>2019</v>
      </c>
      <c r="B184" s="587"/>
      <c r="C184" s="588"/>
    </row>
    <row r="185" spans="1:3" ht="24" customHeight="1" x14ac:dyDescent="0.35">
      <c r="A185" s="109"/>
      <c r="B185" s="589" t="s">
        <v>2020</v>
      </c>
      <c r="C185" s="590"/>
    </row>
    <row r="186" spans="1:3" ht="16" x14ac:dyDescent="0.35">
      <c r="A186" s="110"/>
      <c r="B186" s="111" t="s">
        <v>1271</v>
      </c>
      <c r="C186" s="112" t="s">
        <v>1271</v>
      </c>
    </row>
    <row r="187" spans="1:3" ht="16" x14ac:dyDescent="0.35">
      <c r="A187" s="110"/>
      <c r="B187" s="111" t="s">
        <v>1272</v>
      </c>
      <c r="C187" s="112" t="s">
        <v>1272</v>
      </c>
    </row>
    <row r="188" spans="1:3" ht="24" customHeight="1" x14ac:dyDescent="0.35">
      <c r="A188" s="109"/>
      <c r="B188" s="589" t="s">
        <v>2021</v>
      </c>
      <c r="C188" s="590"/>
    </row>
    <row r="189" spans="1:3" ht="16" x14ac:dyDescent="0.35">
      <c r="A189" s="104"/>
      <c r="B189" s="130" t="s">
        <v>989</v>
      </c>
      <c r="C189" s="106" t="s">
        <v>1697</v>
      </c>
    </row>
    <row r="190" spans="1:3" ht="32" x14ac:dyDescent="0.35">
      <c r="A190" s="107"/>
      <c r="B190" s="117" t="s">
        <v>953</v>
      </c>
      <c r="C190" s="101" t="s">
        <v>990</v>
      </c>
    </row>
    <row r="191" spans="1:3" ht="48" x14ac:dyDescent="0.35">
      <c r="A191" s="107"/>
      <c r="B191" s="117" t="s">
        <v>954</v>
      </c>
      <c r="C191" s="101" t="s">
        <v>1698</v>
      </c>
    </row>
    <row r="192" spans="1:3" ht="16" x14ac:dyDescent="0.35">
      <c r="A192" s="107"/>
      <c r="B192" s="117" t="s">
        <v>537</v>
      </c>
      <c r="C192" s="101" t="s">
        <v>991</v>
      </c>
    </row>
    <row r="193" spans="1:3" ht="16" x14ac:dyDescent="0.35">
      <c r="A193" s="128"/>
      <c r="B193" s="129" t="s">
        <v>969</v>
      </c>
      <c r="C193" s="115" t="s">
        <v>992</v>
      </c>
    </row>
    <row r="194" spans="1:3" x14ac:dyDescent="0.35">
      <c r="C194" s="580"/>
    </row>
    <row r="195" spans="1:3" ht="24" customHeight="1" x14ac:dyDescent="0.35">
      <c r="A195" s="591" t="s">
        <v>2022</v>
      </c>
      <c r="B195" s="592"/>
      <c r="C195" s="593"/>
    </row>
    <row r="196" spans="1:3" ht="30" customHeight="1" x14ac:dyDescent="0.35">
      <c r="A196" s="586" t="s">
        <v>2023</v>
      </c>
      <c r="B196" s="587"/>
      <c r="C196" s="588"/>
    </row>
    <row r="197" spans="1:3" ht="24" customHeight="1" x14ac:dyDescent="0.35">
      <c r="A197" s="109"/>
      <c r="B197" s="589" t="s">
        <v>2024</v>
      </c>
      <c r="C197" s="590"/>
    </row>
    <row r="198" spans="1:3" ht="16" x14ac:dyDescent="0.35">
      <c r="A198" s="110"/>
      <c r="B198" s="111" t="s">
        <v>1267</v>
      </c>
      <c r="C198" s="112" t="s">
        <v>1267</v>
      </c>
    </row>
    <row r="199" spans="1:3" ht="16" x14ac:dyDescent="0.35">
      <c r="A199" s="110"/>
      <c r="B199" s="111" t="s">
        <v>1268</v>
      </c>
      <c r="C199" s="112" t="s">
        <v>1268</v>
      </c>
    </row>
    <row r="200" spans="1:3" ht="32" x14ac:dyDescent="0.35">
      <c r="A200" s="110"/>
      <c r="B200" s="111" t="s">
        <v>2025</v>
      </c>
      <c r="C200" s="112" t="s">
        <v>2026</v>
      </c>
    </row>
    <row r="201" spans="1:3" ht="16" x14ac:dyDescent="0.35">
      <c r="A201" s="110"/>
      <c r="B201" s="111" t="s">
        <v>1269</v>
      </c>
      <c r="C201" s="112" t="s">
        <v>1269</v>
      </c>
    </row>
    <row r="202" spans="1:3" ht="16" x14ac:dyDescent="0.35">
      <c r="A202" s="110"/>
      <c r="B202" s="111" t="s">
        <v>1270</v>
      </c>
      <c r="C202" s="112" t="s">
        <v>1270</v>
      </c>
    </row>
    <row r="203" spans="1:3" ht="32" x14ac:dyDescent="0.35">
      <c r="A203" s="110"/>
      <c r="B203" s="111" t="s">
        <v>2027</v>
      </c>
      <c r="C203" s="112" t="s">
        <v>2028</v>
      </c>
    </row>
    <row r="204" spans="1:3" ht="24" customHeight="1" x14ac:dyDescent="0.35">
      <c r="A204" s="109"/>
      <c r="B204" s="589" t="s">
        <v>2029</v>
      </c>
      <c r="C204" s="590"/>
    </row>
    <row r="205" spans="1:3" ht="32" x14ac:dyDescent="0.35">
      <c r="A205" s="110"/>
      <c r="B205" s="111" t="s">
        <v>2030</v>
      </c>
      <c r="C205" s="112" t="s">
        <v>2031</v>
      </c>
    </row>
    <row r="206" spans="1:3" ht="48" x14ac:dyDescent="0.35">
      <c r="A206" s="110"/>
      <c r="B206" s="111" t="s">
        <v>2032</v>
      </c>
      <c r="C206" s="112" t="s">
        <v>2033</v>
      </c>
    </row>
    <row r="207" spans="1:3" ht="16" x14ac:dyDescent="0.35">
      <c r="A207" s="110"/>
      <c r="B207" s="111" t="s">
        <v>2034</v>
      </c>
      <c r="C207" s="112" t="s">
        <v>2035</v>
      </c>
    </row>
    <row r="208" spans="1:3" ht="16" x14ac:dyDescent="0.35">
      <c r="A208" s="110"/>
      <c r="B208" s="111" t="s">
        <v>2036</v>
      </c>
      <c r="C208" s="112" t="s">
        <v>2037</v>
      </c>
    </row>
    <row r="209" spans="1:3" ht="24" customHeight="1" x14ac:dyDescent="0.35">
      <c r="A209" s="109"/>
      <c r="B209" s="589" t="s">
        <v>2038</v>
      </c>
      <c r="C209" s="590"/>
    </row>
    <row r="210" spans="1:3" ht="16" x14ac:dyDescent="0.35">
      <c r="A210" s="104"/>
      <c r="B210" s="130" t="s">
        <v>993</v>
      </c>
      <c r="C210" s="106" t="s">
        <v>994</v>
      </c>
    </row>
    <row r="211" spans="1:3" ht="64" x14ac:dyDescent="0.35">
      <c r="A211" s="107"/>
      <c r="B211" s="117" t="s">
        <v>953</v>
      </c>
      <c r="C211" s="101" t="s">
        <v>1784</v>
      </c>
    </row>
    <row r="212" spans="1:3" ht="64" x14ac:dyDescent="0.35">
      <c r="A212" s="107"/>
      <c r="B212" s="117" t="s">
        <v>954</v>
      </c>
      <c r="C212" s="101" t="s">
        <v>1621</v>
      </c>
    </row>
    <row r="213" spans="1:3" ht="16" x14ac:dyDescent="0.35">
      <c r="A213" s="107"/>
      <c r="B213" s="117" t="s">
        <v>537</v>
      </c>
      <c r="C213" s="101" t="s">
        <v>995</v>
      </c>
    </row>
    <row r="214" spans="1:3" ht="16" x14ac:dyDescent="0.35">
      <c r="A214" s="128"/>
      <c r="B214" s="129" t="s">
        <v>969</v>
      </c>
      <c r="C214" s="115" t="s">
        <v>996</v>
      </c>
    </row>
    <row r="215" spans="1:3" ht="24" customHeight="1" x14ac:dyDescent="0.35">
      <c r="A215" s="109"/>
      <c r="B215" s="589" t="s">
        <v>2039</v>
      </c>
      <c r="C215" s="590"/>
    </row>
    <row r="216" spans="1:3" ht="16" x14ac:dyDescent="0.35">
      <c r="A216" s="104"/>
      <c r="B216" s="130" t="s">
        <v>997</v>
      </c>
      <c r="C216" s="106" t="s">
        <v>998</v>
      </c>
    </row>
    <row r="217" spans="1:3" ht="48" x14ac:dyDescent="0.35">
      <c r="A217" s="107"/>
      <c r="B217" s="117" t="s">
        <v>953</v>
      </c>
      <c r="C217" s="101" t="s">
        <v>1785</v>
      </c>
    </row>
    <row r="218" spans="1:3" ht="48" x14ac:dyDescent="0.35">
      <c r="A218" s="107"/>
      <c r="B218" s="117" t="s">
        <v>954</v>
      </c>
      <c r="C218" s="101" t="s">
        <v>1622</v>
      </c>
    </row>
    <row r="219" spans="1:3" ht="16" x14ac:dyDescent="0.35">
      <c r="A219" s="107"/>
      <c r="B219" s="117" t="s">
        <v>537</v>
      </c>
      <c r="C219" s="101" t="s">
        <v>999</v>
      </c>
    </row>
    <row r="220" spans="1:3" ht="32" x14ac:dyDescent="0.35">
      <c r="A220" s="128"/>
      <c r="B220" s="129" t="s">
        <v>1000</v>
      </c>
      <c r="C220" s="115" t="s">
        <v>1001</v>
      </c>
    </row>
    <row r="221" spans="1:3" x14ac:dyDescent="0.35">
      <c r="C221" s="580"/>
    </row>
    <row r="222" spans="1:3" ht="24" customHeight="1" x14ac:dyDescent="0.35">
      <c r="A222" s="591" t="s">
        <v>2040</v>
      </c>
      <c r="B222" s="592"/>
      <c r="C222" s="593"/>
    </row>
    <row r="223" spans="1:3" ht="30" customHeight="1" x14ac:dyDescent="0.35">
      <c r="A223" s="586" t="s">
        <v>2041</v>
      </c>
      <c r="B223" s="587"/>
      <c r="C223" s="588"/>
    </row>
    <row r="224" spans="1:3" ht="24" customHeight="1" x14ac:dyDescent="0.35">
      <c r="A224" s="109"/>
      <c r="B224" s="589" t="s">
        <v>2042</v>
      </c>
      <c r="C224" s="590"/>
    </row>
    <row r="225" spans="1:3" ht="16" x14ac:dyDescent="0.35">
      <c r="A225" s="110"/>
      <c r="B225" s="111" t="s">
        <v>1280</v>
      </c>
      <c r="C225" s="112" t="s">
        <v>1280</v>
      </c>
    </row>
    <row r="226" spans="1:3" ht="16" x14ac:dyDescent="0.35">
      <c r="A226" s="110"/>
      <c r="B226" s="111" t="s">
        <v>1281</v>
      </c>
      <c r="C226" s="112" t="s">
        <v>1281</v>
      </c>
    </row>
    <row r="227" spans="1:3" ht="16" x14ac:dyDescent="0.35">
      <c r="A227" s="110"/>
      <c r="B227" s="111" t="s">
        <v>951</v>
      </c>
      <c r="C227" s="112" t="s">
        <v>2043</v>
      </c>
    </row>
    <row r="228" spans="1:3" ht="24" customHeight="1" x14ac:dyDescent="0.35">
      <c r="A228" s="109"/>
      <c r="B228" s="589" t="s">
        <v>2044</v>
      </c>
      <c r="C228" s="590"/>
    </row>
    <row r="229" spans="1:3" ht="48" x14ac:dyDescent="0.35">
      <c r="A229" s="104"/>
      <c r="B229" s="130" t="s">
        <v>1017</v>
      </c>
      <c r="C229" s="106" t="s">
        <v>1708</v>
      </c>
    </row>
    <row r="230" spans="1:3" ht="48" x14ac:dyDescent="0.35">
      <c r="A230" s="107"/>
      <c r="B230" s="117" t="s">
        <v>953</v>
      </c>
      <c r="C230" s="101" t="s">
        <v>1709</v>
      </c>
    </row>
    <row r="231" spans="1:3" ht="48" x14ac:dyDescent="0.35">
      <c r="A231" s="107"/>
      <c r="B231" s="117" t="s">
        <v>954</v>
      </c>
      <c r="C231" s="101" t="s">
        <v>1710</v>
      </c>
    </row>
    <row r="232" spans="1:3" ht="16" x14ac:dyDescent="0.35">
      <c r="A232" s="107"/>
      <c r="B232" s="117" t="s">
        <v>537</v>
      </c>
      <c r="C232" s="101" t="s">
        <v>1018</v>
      </c>
    </row>
    <row r="233" spans="1:3" ht="32" x14ac:dyDescent="0.35">
      <c r="A233" s="128"/>
      <c r="B233" s="129" t="s">
        <v>969</v>
      </c>
      <c r="C233" s="115" t="s">
        <v>1019</v>
      </c>
    </row>
    <row r="234" spans="1:3" x14ac:dyDescent="0.35">
      <c r="C234" s="580"/>
    </row>
    <row r="235" spans="1:3" ht="24" customHeight="1" x14ac:dyDescent="0.35">
      <c r="A235" s="591" t="s">
        <v>2045</v>
      </c>
      <c r="B235" s="592"/>
      <c r="C235" s="593"/>
    </row>
    <row r="236" spans="1:3" ht="30" customHeight="1" x14ac:dyDescent="0.35">
      <c r="A236" s="586" t="s">
        <v>2046</v>
      </c>
      <c r="B236" s="587"/>
      <c r="C236" s="588"/>
    </row>
    <row r="237" spans="1:3" ht="24" customHeight="1" x14ac:dyDescent="0.35">
      <c r="A237" s="109"/>
      <c r="B237" s="589" t="s">
        <v>2047</v>
      </c>
      <c r="C237" s="590"/>
    </row>
    <row r="238" spans="1:3" ht="16" x14ac:dyDescent="0.35">
      <c r="A238" s="110"/>
      <c r="B238" s="111" t="s">
        <v>1276</v>
      </c>
      <c r="C238" s="112" t="s">
        <v>1276</v>
      </c>
    </row>
    <row r="239" spans="1:3" ht="16" x14ac:dyDescent="0.35">
      <c r="A239" s="110"/>
      <c r="B239" s="111" t="s">
        <v>1277</v>
      </c>
      <c r="C239" s="112" t="s">
        <v>1277</v>
      </c>
    </row>
    <row r="240" spans="1:3" ht="16" x14ac:dyDescent="0.35">
      <c r="A240" s="110"/>
      <c r="B240" s="111" t="s">
        <v>2048</v>
      </c>
      <c r="C240" s="112" t="s">
        <v>2049</v>
      </c>
    </row>
    <row r="241" spans="1:3" ht="24" customHeight="1" x14ac:dyDescent="0.35">
      <c r="A241" s="109"/>
      <c r="B241" s="589" t="s">
        <v>2050</v>
      </c>
      <c r="C241" s="590"/>
    </row>
    <row r="242" spans="1:3" ht="32" x14ac:dyDescent="0.35">
      <c r="A242" s="104"/>
      <c r="B242" s="130" t="s">
        <v>1006</v>
      </c>
      <c r="C242" s="106" t="s">
        <v>1703</v>
      </c>
    </row>
    <row r="243" spans="1:3" ht="32" x14ac:dyDescent="0.35">
      <c r="A243" s="107"/>
      <c r="B243" s="117" t="s">
        <v>1704</v>
      </c>
      <c r="C243" s="101" t="s">
        <v>1705</v>
      </c>
    </row>
    <row r="244" spans="1:3" ht="32" x14ac:dyDescent="0.35">
      <c r="A244" s="107"/>
      <c r="B244" s="117" t="s">
        <v>953</v>
      </c>
      <c r="C244" s="101" t="s">
        <v>1706</v>
      </c>
    </row>
    <row r="245" spans="1:3" ht="48" x14ac:dyDescent="0.35">
      <c r="A245" s="107"/>
      <c r="B245" s="117" t="s">
        <v>954</v>
      </c>
      <c r="C245" s="101" t="s">
        <v>1707</v>
      </c>
    </row>
    <row r="246" spans="1:3" ht="16" x14ac:dyDescent="0.35">
      <c r="A246" s="107"/>
      <c r="B246" s="117" t="s">
        <v>537</v>
      </c>
      <c r="C246" s="101" t="s">
        <v>1007</v>
      </c>
    </row>
    <row r="247" spans="1:3" ht="32" x14ac:dyDescent="0.35">
      <c r="A247" s="128"/>
      <c r="B247" s="129" t="s">
        <v>969</v>
      </c>
      <c r="C247" s="115" t="s">
        <v>1008</v>
      </c>
    </row>
    <row r="248" spans="1:3" x14ac:dyDescent="0.35">
      <c r="C248" s="580"/>
    </row>
    <row r="249" spans="1:3" ht="24" customHeight="1" x14ac:dyDescent="0.35">
      <c r="A249" s="591" t="s">
        <v>2051</v>
      </c>
      <c r="B249" s="592"/>
      <c r="C249" s="593"/>
    </row>
    <row r="250" spans="1:3" ht="30" customHeight="1" x14ac:dyDescent="0.35">
      <c r="A250" s="586" t="s">
        <v>2052</v>
      </c>
      <c r="B250" s="587"/>
      <c r="C250" s="588"/>
    </row>
    <row r="251" spans="1:3" ht="24" customHeight="1" x14ac:dyDescent="0.35">
      <c r="A251" s="109"/>
      <c r="B251" s="589" t="s">
        <v>2053</v>
      </c>
      <c r="C251" s="590"/>
    </row>
    <row r="252" spans="1:3" ht="16" x14ac:dyDescent="0.35">
      <c r="A252" s="110"/>
      <c r="B252" s="111" t="s">
        <v>1274</v>
      </c>
      <c r="C252" s="112" t="s">
        <v>1274</v>
      </c>
    </row>
    <row r="253" spans="1:3" ht="16" x14ac:dyDescent="0.35">
      <c r="A253" s="110"/>
      <c r="B253" s="111" t="s">
        <v>1275</v>
      </c>
      <c r="C253" s="112" t="s">
        <v>1275</v>
      </c>
    </row>
    <row r="254" spans="1:3" ht="32" x14ac:dyDescent="0.35">
      <c r="A254" s="110"/>
      <c r="B254" s="111" t="s">
        <v>2054</v>
      </c>
      <c r="C254" s="112" t="s">
        <v>2055</v>
      </c>
    </row>
    <row r="255" spans="1:3" ht="24" customHeight="1" x14ac:dyDescent="0.35">
      <c r="A255" s="109"/>
      <c r="B255" s="589" t="s">
        <v>2056</v>
      </c>
      <c r="C255" s="590"/>
    </row>
    <row r="256" spans="1:3" ht="32" x14ac:dyDescent="0.35">
      <c r="A256" s="104"/>
      <c r="B256" s="130" t="s">
        <v>1002</v>
      </c>
      <c r="C256" s="106" t="s">
        <v>1699</v>
      </c>
    </row>
    <row r="257" spans="1:3" ht="32" x14ac:dyDescent="0.35">
      <c r="A257" s="107"/>
      <c r="B257" s="117" t="s">
        <v>953</v>
      </c>
      <c r="C257" s="101" t="s">
        <v>1003</v>
      </c>
    </row>
    <row r="258" spans="1:3" ht="48" x14ac:dyDescent="0.35">
      <c r="A258" s="107"/>
      <c r="B258" s="117" t="s">
        <v>1700</v>
      </c>
      <c r="C258" s="101" t="s">
        <v>1701</v>
      </c>
    </row>
    <row r="259" spans="1:3" ht="64" x14ac:dyDescent="0.35">
      <c r="A259" s="107"/>
      <c r="B259" s="117" t="s">
        <v>954</v>
      </c>
      <c r="C259" s="101" t="s">
        <v>1702</v>
      </c>
    </row>
    <row r="260" spans="1:3" ht="16" x14ac:dyDescent="0.35">
      <c r="A260" s="107"/>
      <c r="B260" s="117" t="s">
        <v>537</v>
      </c>
      <c r="C260" s="101" t="s">
        <v>1004</v>
      </c>
    </row>
    <row r="261" spans="1:3" ht="16" x14ac:dyDescent="0.35">
      <c r="A261" s="128"/>
      <c r="B261" s="129" t="s">
        <v>969</v>
      </c>
      <c r="C261" s="115" t="s">
        <v>1005</v>
      </c>
    </row>
    <row r="262" spans="1:3" x14ac:dyDescent="0.35">
      <c r="C262" s="580"/>
    </row>
    <row r="263" spans="1:3" ht="24" customHeight="1" x14ac:dyDescent="0.35">
      <c r="A263" s="591" t="s">
        <v>2057</v>
      </c>
      <c r="B263" s="592"/>
      <c r="C263" s="593"/>
    </row>
    <row r="264" spans="1:3" ht="30" customHeight="1" x14ac:dyDescent="0.35">
      <c r="A264" s="586" t="s">
        <v>2058</v>
      </c>
      <c r="B264" s="587"/>
      <c r="C264" s="588"/>
    </row>
    <row r="265" spans="1:3" ht="24" customHeight="1" x14ac:dyDescent="0.35">
      <c r="A265" s="109"/>
      <c r="B265" s="589" t="s">
        <v>2059</v>
      </c>
      <c r="C265" s="590"/>
    </row>
    <row r="266" spans="1:3" ht="16" x14ac:dyDescent="0.35">
      <c r="A266" s="110"/>
      <c r="B266" s="111" t="s">
        <v>1278</v>
      </c>
      <c r="C266" s="112" t="s">
        <v>1278</v>
      </c>
    </row>
    <row r="267" spans="1:3" ht="16" x14ac:dyDescent="0.35">
      <c r="A267" s="110"/>
      <c r="B267" s="111" t="s">
        <v>1279</v>
      </c>
      <c r="C267" s="112" t="s">
        <v>1279</v>
      </c>
    </row>
    <row r="268" spans="1:3" ht="32" x14ac:dyDescent="0.35">
      <c r="A268" s="110"/>
      <c r="B268" s="111" t="s">
        <v>2060</v>
      </c>
      <c r="C268" s="112" t="s">
        <v>2061</v>
      </c>
    </row>
    <row r="269" spans="1:3" ht="24" customHeight="1" x14ac:dyDescent="0.35">
      <c r="A269" s="109"/>
      <c r="B269" s="589" t="s">
        <v>2062</v>
      </c>
      <c r="C269" s="590"/>
    </row>
    <row r="270" spans="1:3" ht="16" x14ac:dyDescent="0.35">
      <c r="A270" s="104"/>
      <c r="B270" s="130" t="s">
        <v>1009</v>
      </c>
      <c r="C270" s="106" t="s">
        <v>1010</v>
      </c>
    </row>
    <row r="271" spans="1:3" ht="16" x14ac:dyDescent="0.35">
      <c r="A271" s="107"/>
      <c r="B271" s="117" t="s">
        <v>1011</v>
      </c>
      <c r="C271" s="101" t="s">
        <v>1012</v>
      </c>
    </row>
    <row r="272" spans="1:3" ht="48" x14ac:dyDescent="0.35">
      <c r="A272" s="107"/>
      <c r="B272" s="117" t="s">
        <v>953</v>
      </c>
      <c r="C272" s="101" t="s">
        <v>1013</v>
      </c>
    </row>
    <row r="273" spans="1:3" ht="32" x14ac:dyDescent="0.35">
      <c r="A273" s="107"/>
      <c r="B273" s="117" t="s">
        <v>954</v>
      </c>
      <c r="C273" s="101" t="s">
        <v>1014</v>
      </c>
    </row>
    <row r="274" spans="1:3" ht="16" x14ac:dyDescent="0.35">
      <c r="A274" s="107"/>
      <c r="B274" s="117" t="s">
        <v>537</v>
      </c>
      <c r="C274" s="101" t="s">
        <v>1015</v>
      </c>
    </row>
    <row r="275" spans="1:3" ht="32" x14ac:dyDescent="0.35">
      <c r="A275" s="128"/>
      <c r="B275" s="129" t="s">
        <v>1000</v>
      </c>
      <c r="C275" s="115" t="s">
        <v>1016</v>
      </c>
    </row>
    <row r="276" spans="1:3" x14ac:dyDescent="0.35">
      <c r="C276" s="580"/>
    </row>
    <row r="277" spans="1:3" ht="24" customHeight="1" x14ac:dyDescent="0.35">
      <c r="A277" s="591" t="s">
        <v>2063</v>
      </c>
      <c r="B277" s="592"/>
      <c r="C277" s="593"/>
    </row>
    <row r="278" spans="1:3" ht="30" customHeight="1" x14ac:dyDescent="0.35">
      <c r="A278" s="586" t="s">
        <v>2064</v>
      </c>
      <c r="B278" s="587"/>
      <c r="C278" s="588"/>
    </row>
    <row r="279" spans="1:3" ht="24" customHeight="1" x14ac:dyDescent="0.35">
      <c r="A279" s="109"/>
      <c r="B279" s="589" t="s">
        <v>2065</v>
      </c>
      <c r="C279" s="590"/>
    </row>
    <row r="280" spans="1:3" ht="16" x14ac:dyDescent="0.35">
      <c r="A280" s="110"/>
      <c r="B280" s="111" t="s">
        <v>1595</v>
      </c>
      <c r="C280" s="112" t="s">
        <v>2066</v>
      </c>
    </row>
    <row r="281" spans="1:3" ht="16" x14ac:dyDescent="0.35">
      <c r="A281" s="110"/>
      <c r="B281" s="111" t="s">
        <v>440</v>
      </c>
      <c r="C281" s="112" t="s">
        <v>2067</v>
      </c>
    </row>
    <row r="282" spans="1:3" ht="24" customHeight="1" x14ac:dyDescent="0.35">
      <c r="A282" s="109"/>
      <c r="B282" s="589" t="s">
        <v>2068</v>
      </c>
      <c r="C282" s="590"/>
    </row>
    <row r="283" spans="1:3" ht="32" x14ac:dyDescent="0.35">
      <c r="A283" s="96"/>
      <c r="B283" s="97" t="s">
        <v>1069</v>
      </c>
      <c r="C283" s="98" t="s">
        <v>1070</v>
      </c>
    </row>
    <row r="284" spans="1:3" ht="32" x14ac:dyDescent="0.35">
      <c r="A284" s="99"/>
      <c r="B284" s="100" t="s">
        <v>1071</v>
      </c>
      <c r="C284" s="101" t="s">
        <v>1711</v>
      </c>
    </row>
    <row r="285" spans="1:3" ht="32" x14ac:dyDescent="0.35">
      <c r="A285" s="99"/>
      <c r="B285" s="100" t="s">
        <v>1072</v>
      </c>
      <c r="C285" s="101" t="s">
        <v>1073</v>
      </c>
    </row>
    <row r="286" spans="1:3" ht="32" x14ac:dyDescent="0.35">
      <c r="A286" s="99"/>
      <c r="B286" s="100" t="s">
        <v>951</v>
      </c>
      <c r="C286" s="101" t="s">
        <v>1712</v>
      </c>
    </row>
    <row r="287" spans="1:3" ht="32" x14ac:dyDescent="0.35">
      <c r="A287" s="102"/>
      <c r="B287" s="116" t="s">
        <v>1074</v>
      </c>
      <c r="C287" s="103" t="s">
        <v>1075</v>
      </c>
    </row>
    <row r="288" spans="1:3" ht="32" x14ac:dyDescent="0.35">
      <c r="A288" s="110"/>
      <c r="B288" s="111" t="s">
        <v>2069</v>
      </c>
      <c r="C288" s="112" t="s">
        <v>2070</v>
      </c>
    </row>
    <row r="289" spans="1:3" x14ac:dyDescent="0.35">
      <c r="C289" s="580"/>
    </row>
    <row r="290" spans="1:3" ht="24" customHeight="1" x14ac:dyDescent="0.35">
      <c r="A290" s="591" t="s">
        <v>2071</v>
      </c>
      <c r="B290" s="592"/>
      <c r="C290" s="593"/>
    </row>
    <row r="291" spans="1:3" ht="30" customHeight="1" x14ac:dyDescent="0.35">
      <c r="A291" s="586" t="s">
        <v>2072</v>
      </c>
      <c r="B291" s="587"/>
      <c r="C291" s="588"/>
    </row>
    <row r="292" spans="1:3" ht="24" customHeight="1" x14ac:dyDescent="0.35">
      <c r="A292" s="109"/>
      <c r="B292" s="589" t="s">
        <v>2073</v>
      </c>
      <c r="C292" s="590"/>
    </row>
    <row r="293" spans="1:3" ht="16" x14ac:dyDescent="0.35">
      <c r="A293" s="110"/>
      <c r="B293" s="111" t="s">
        <v>1282</v>
      </c>
      <c r="C293" s="112" t="s">
        <v>1282</v>
      </c>
    </row>
    <row r="294" spans="1:3" ht="16" x14ac:dyDescent="0.35">
      <c r="A294" s="110"/>
      <c r="B294" s="111" t="s">
        <v>1283</v>
      </c>
      <c r="C294" s="112" t="s">
        <v>1283</v>
      </c>
    </row>
    <row r="295" spans="1:3" ht="16" x14ac:dyDescent="0.35">
      <c r="A295" s="110"/>
      <c r="B295" s="111" t="s">
        <v>1284</v>
      </c>
      <c r="C295" s="112" t="s">
        <v>1284</v>
      </c>
    </row>
    <row r="296" spans="1:3" ht="24" customHeight="1" x14ac:dyDescent="0.35">
      <c r="A296" s="109"/>
      <c r="B296" s="589" t="s">
        <v>2074</v>
      </c>
      <c r="C296" s="590"/>
    </row>
    <row r="297" spans="1:3" ht="32" x14ac:dyDescent="0.35">
      <c r="A297" s="104"/>
      <c r="B297" s="130" t="s">
        <v>1020</v>
      </c>
      <c r="C297" s="106" t="s">
        <v>1021</v>
      </c>
    </row>
    <row r="298" spans="1:3" ht="16" x14ac:dyDescent="0.35">
      <c r="A298" s="107"/>
      <c r="B298" s="117" t="s">
        <v>953</v>
      </c>
      <c r="C298" s="101" t="s">
        <v>1022</v>
      </c>
    </row>
    <row r="299" spans="1:3" ht="32" x14ac:dyDescent="0.35">
      <c r="A299" s="128"/>
      <c r="B299" s="129" t="s">
        <v>1023</v>
      </c>
      <c r="C299" s="115" t="s">
        <v>1951</v>
      </c>
    </row>
    <row r="300" spans="1:3" x14ac:dyDescent="0.35">
      <c r="C300" s="580"/>
    </row>
    <row r="301" spans="1:3" ht="24" customHeight="1" x14ac:dyDescent="0.35">
      <c r="A301" s="591" t="s">
        <v>2075</v>
      </c>
      <c r="B301" s="592"/>
      <c r="C301" s="593"/>
    </row>
    <row r="302" spans="1:3" ht="30" customHeight="1" x14ac:dyDescent="0.35">
      <c r="A302" s="586" t="s">
        <v>2076</v>
      </c>
      <c r="B302" s="587"/>
      <c r="C302" s="588"/>
    </row>
    <row r="303" spans="1:3" ht="24" customHeight="1" x14ac:dyDescent="0.35">
      <c r="A303" s="109"/>
      <c r="B303" s="589" t="s">
        <v>2077</v>
      </c>
      <c r="C303" s="590"/>
    </row>
    <row r="304" spans="1:3" ht="16" x14ac:dyDescent="0.35">
      <c r="A304" s="110"/>
      <c r="B304" s="111" t="s">
        <v>1367</v>
      </c>
      <c r="C304" s="112" t="s">
        <v>2078</v>
      </c>
    </row>
    <row r="305" spans="1:3" ht="32" x14ac:dyDescent="0.35">
      <c r="A305" s="110"/>
      <c r="B305" s="111" t="s">
        <v>2079</v>
      </c>
      <c r="C305" s="112" t="s">
        <v>2080</v>
      </c>
    </row>
    <row r="306" spans="1:3" ht="16" x14ac:dyDescent="0.35">
      <c r="A306" s="110"/>
      <c r="B306" s="111" t="s">
        <v>2081</v>
      </c>
      <c r="C306" s="112" t="s">
        <v>2082</v>
      </c>
    </row>
    <row r="307" spans="1:3" ht="32" x14ac:dyDescent="0.35">
      <c r="A307" s="110"/>
      <c r="B307" s="111" t="s">
        <v>2083</v>
      </c>
      <c r="C307" s="112" t="s">
        <v>2084</v>
      </c>
    </row>
    <row r="308" spans="1:3" ht="16" x14ac:dyDescent="0.35">
      <c r="A308" s="110"/>
      <c r="B308" s="111" t="s">
        <v>2085</v>
      </c>
      <c r="C308" s="112" t="s">
        <v>2086</v>
      </c>
    </row>
    <row r="309" spans="1:3" ht="16" x14ac:dyDescent="0.35">
      <c r="A309" s="110"/>
      <c r="B309" s="111" t="s">
        <v>2087</v>
      </c>
      <c r="C309" s="112" t="s">
        <v>2088</v>
      </c>
    </row>
    <row r="310" spans="1:3" x14ac:dyDescent="0.35">
      <c r="C310" s="580"/>
    </row>
    <row r="311" spans="1:3" ht="24" customHeight="1" x14ac:dyDescent="0.35">
      <c r="A311" s="591" t="s">
        <v>2089</v>
      </c>
      <c r="B311" s="592"/>
      <c r="C311" s="593"/>
    </row>
    <row r="312" spans="1:3" ht="30" customHeight="1" x14ac:dyDescent="0.35">
      <c r="A312" s="586" t="s">
        <v>2090</v>
      </c>
      <c r="B312" s="587"/>
      <c r="C312" s="588"/>
    </row>
    <row r="313" spans="1:3" ht="24" customHeight="1" x14ac:dyDescent="0.35">
      <c r="A313" s="109"/>
      <c r="B313" s="589" t="s">
        <v>2091</v>
      </c>
      <c r="C313" s="590"/>
    </row>
    <row r="314" spans="1:3" ht="48" x14ac:dyDescent="0.35">
      <c r="A314" s="108"/>
      <c r="B314" s="105" t="s">
        <v>1027</v>
      </c>
      <c r="C314" s="106" t="s">
        <v>1028</v>
      </c>
    </row>
    <row r="315" spans="1:3" ht="32" x14ac:dyDescent="0.35">
      <c r="A315" s="99"/>
      <c r="B315" s="100" t="s">
        <v>1029</v>
      </c>
      <c r="C315" s="101" t="s">
        <v>1030</v>
      </c>
    </row>
    <row r="316" spans="1:3" ht="32" x14ac:dyDescent="0.35">
      <c r="A316" s="99"/>
      <c r="B316" s="100" t="s">
        <v>895</v>
      </c>
      <c r="C316" s="101" t="s">
        <v>1031</v>
      </c>
    </row>
    <row r="317" spans="1:3" ht="32" x14ac:dyDescent="0.35">
      <c r="A317" s="99"/>
      <c r="B317" s="100" t="s">
        <v>1032</v>
      </c>
      <c r="C317" s="101" t="s">
        <v>1033</v>
      </c>
    </row>
    <row r="318" spans="1:3" ht="32" x14ac:dyDescent="0.35">
      <c r="A318" s="99"/>
      <c r="B318" s="100" t="s">
        <v>1034</v>
      </c>
      <c r="C318" s="101" t="s">
        <v>1035</v>
      </c>
    </row>
    <row r="319" spans="1:3" ht="16" x14ac:dyDescent="0.35">
      <c r="A319" s="102"/>
      <c r="B319" s="116" t="s">
        <v>1036</v>
      </c>
      <c r="C319" s="103" t="s">
        <v>1037</v>
      </c>
    </row>
    <row r="320" spans="1:3" ht="24" customHeight="1" x14ac:dyDescent="0.35">
      <c r="A320" s="109"/>
      <c r="B320" s="589" t="s">
        <v>2092</v>
      </c>
      <c r="C320" s="590"/>
    </row>
    <row r="321" spans="1:3" ht="32" x14ac:dyDescent="0.35">
      <c r="A321" s="108"/>
      <c r="B321" s="105" t="s">
        <v>1076</v>
      </c>
      <c r="C321" s="106" t="s">
        <v>1077</v>
      </c>
    </row>
    <row r="322" spans="1:3" ht="32" x14ac:dyDescent="0.35">
      <c r="A322" s="99"/>
      <c r="B322" s="100" t="s">
        <v>1078</v>
      </c>
      <c r="C322" s="101" t="s">
        <v>1079</v>
      </c>
    </row>
    <row r="323" spans="1:3" ht="16" x14ac:dyDescent="0.35">
      <c r="A323" s="99"/>
      <c r="B323" s="100" t="s">
        <v>1080</v>
      </c>
      <c r="C323" s="101" t="s">
        <v>1081</v>
      </c>
    </row>
    <row r="324" spans="1:3" ht="32" x14ac:dyDescent="0.35">
      <c r="A324" s="99"/>
      <c r="B324" s="100" t="s">
        <v>1082</v>
      </c>
      <c r="C324" s="101" t="s">
        <v>1083</v>
      </c>
    </row>
    <row r="325" spans="1:3" ht="16" x14ac:dyDescent="0.35">
      <c r="A325" s="99"/>
      <c r="B325" s="100" t="s">
        <v>1084</v>
      </c>
      <c r="C325" s="101" t="s">
        <v>1085</v>
      </c>
    </row>
    <row r="326" spans="1:3" ht="16" x14ac:dyDescent="0.35">
      <c r="A326" s="99"/>
      <c r="B326" s="100" t="s">
        <v>1086</v>
      </c>
      <c r="C326" s="101" t="s">
        <v>1087</v>
      </c>
    </row>
    <row r="327" spans="1:3" ht="16" x14ac:dyDescent="0.35">
      <c r="A327" s="99"/>
      <c r="B327" s="100" t="s">
        <v>1088</v>
      </c>
      <c r="C327" s="101" t="s">
        <v>1089</v>
      </c>
    </row>
    <row r="328" spans="1:3" ht="32" x14ac:dyDescent="0.35">
      <c r="A328" s="113"/>
      <c r="B328" s="114" t="s">
        <v>1090</v>
      </c>
      <c r="C328" s="115" t="s">
        <v>1091</v>
      </c>
    </row>
    <row r="329" spans="1:3" ht="24" customHeight="1" x14ac:dyDescent="0.35">
      <c r="A329" s="109"/>
      <c r="B329" s="589" t="s">
        <v>2093</v>
      </c>
      <c r="C329" s="590"/>
    </row>
    <row r="330" spans="1:3" ht="48" x14ac:dyDescent="0.35">
      <c r="A330" s="118"/>
      <c r="B330" s="119" t="s">
        <v>1092</v>
      </c>
      <c r="C330" s="120" t="s">
        <v>1663</v>
      </c>
    </row>
    <row r="331" spans="1:3" ht="48" x14ac:dyDescent="0.35">
      <c r="A331" s="121"/>
      <c r="B331" s="122" t="s">
        <v>1093</v>
      </c>
      <c r="C331" s="123" t="s">
        <v>1664</v>
      </c>
    </row>
    <row r="332" spans="1:3" ht="32" x14ac:dyDescent="0.35">
      <c r="A332" s="121"/>
      <c r="B332" s="122" t="s">
        <v>1094</v>
      </c>
      <c r="C332" s="123" t="s">
        <v>1665</v>
      </c>
    </row>
    <row r="333" spans="1:3" ht="16" x14ac:dyDescent="0.35">
      <c r="A333" s="121"/>
      <c r="B333" s="122" t="s">
        <v>1095</v>
      </c>
      <c r="C333" s="123" t="s">
        <v>1096</v>
      </c>
    </row>
    <row r="334" spans="1:3" ht="16" x14ac:dyDescent="0.35">
      <c r="A334" s="121"/>
      <c r="B334" s="122" t="s">
        <v>1097</v>
      </c>
      <c r="C334" s="123" t="s">
        <v>1098</v>
      </c>
    </row>
    <row r="335" spans="1:3" ht="80" x14ac:dyDescent="0.35">
      <c r="A335" s="121"/>
      <c r="B335" s="122" t="s">
        <v>1099</v>
      </c>
      <c r="C335" s="123" t="s">
        <v>1713</v>
      </c>
    </row>
    <row r="336" spans="1:3" ht="16" x14ac:dyDescent="0.35">
      <c r="A336" s="121"/>
      <c r="B336" s="122" t="s">
        <v>1100</v>
      </c>
      <c r="C336" s="123" t="s">
        <v>1101</v>
      </c>
    </row>
    <row r="337" spans="1:3" ht="16" x14ac:dyDescent="0.35">
      <c r="A337" s="121"/>
      <c r="B337" s="122" t="s">
        <v>1102</v>
      </c>
      <c r="C337" s="123" t="s">
        <v>1103</v>
      </c>
    </row>
    <row r="338" spans="1:3" ht="16" x14ac:dyDescent="0.35">
      <c r="A338" s="121"/>
      <c r="B338" s="122" t="s">
        <v>1104</v>
      </c>
      <c r="C338" s="123" t="s">
        <v>1105</v>
      </c>
    </row>
    <row r="339" spans="1:3" ht="32" x14ac:dyDescent="0.35">
      <c r="A339" s="121"/>
      <c r="B339" s="122" t="s">
        <v>1106</v>
      </c>
      <c r="C339" s="123" t="s">
        <v>1107</v>
      </c>
    </row>
    <row r="340" spans="1:3" ht="32" x14ac:dyDescent="0.35">
      <c r="A340" s="121"/>
      <c r="B340" s="122" t="s">
        <v>1108</v>
      </c>
      <c r="C340" s="123" t="s">
        <v>1620</v>
      </c>
    </row>
    <row r="341" spans="1:3" ht="32" x14ac:dyDescent="0.35">
      <c r="A341" s="121"/>
      <c r="B341" s="122" t="s">
        <v>1109</v>
      </c>
      <c r="C341" s="123" t="s">
        <v>1717</v>
      </c>
    </row>
    <row r="342" spans="1:3" ht="16" x14ac:dyDescent="0.35">
      <c r="A342" s="124"/>
      <c r="B342" s="125" t="s">
        <v>1110</v>
      </c>
      <c r="C342" s="126" t="s">
        <v>1162</v>
      </c>
    </row>
    <row r="343" spans="1:3" ht="24" customHeight="1" x14ac:dyDescent="0.35">
      <c r="A343" s="109"/>
      <c r="B343" s="589" t="s">
        <v>2094</v>
      </c>
      <c r="C343" s="590"/>
    </row>
    <row r="344" spans="1:3" ht="48" x14ac:dyDescent="0.35">
      <c r="A344" s="118"/>
      <c r="B344" s="119" t="s">
        <v>539</v>
      </c>
      <c r="C344" s="120" t="s">
        <v>1111</v>
      </c>
    </row>
    <row r="345" spans="1:3" ht="16" x14ac:dyDescent="0.35">
      <c r="A345" s="121"/>
      <c r="B345" s="122" t="s">
        <v>1112</v>
      </c>
      <c r="C345" s="123" t="s">
        <v>1113</v>
      </c>
    </row>
    <row r="346" spans="1:3" ht="16" x14ac:dyDescent="0.35">
      <c r="A346" s="121"/>
      <c r="B346" s="122" t="s">
        <v>1114</v>
      </c>
      <c r="C346" s="123" t="s">
        <v>1679</v>
      </c>
    </row>
    <row r="347" spans="1:3" ht="32" x14ac:dyDescent="0.35">
      <c r="A347" s="121"/>
      <c r="B347" s="122" t="s">
        <v>1115</v>
      </c>
      <c r="C347" s="123" t="s">
        <v>1680</v>
      </c>
    </row>
    <row r="348" spans="1:3" ht="32" x14ac:dyDescent="0.35">
      <c r="A348" s="121"/>
      <c r="B348" s="122" t="s">
        <v>1116</v>
      </c>
      <c r="C348" s="123" t="s">
        <v>1681</v>
      </c>
    </row>
    <row r="349" spans="1:3" ht="32" x14ac:dyDescent="0.35">
      <c r="A349" s="124"/>
      <c r="B349" s="125" t="s">
        <v>540</v>
      </c>
      <c r="C349" s="126" t="s">
        <v>1682</v>
      </c>
    </row>
    <row r="350" spans="1:3" ht="24" customHeight="1" x14ac:dyDescent="0.35">
      <c r="A350" s="109"/>
      <c r="B350" s="589" t="s">
        <v>2095</v>
      </c>
      <c r="C350" s="590"/>
    </row>
    <row r="351" spans="1:3" ht="32" x14ac:dyDescent="0.35">
      <c r="A351" s="118"/>
      <c r="B351" s="119" t="s">
        <v>1117</v>
      </c>
      <c r="C351" s="120" t="s">
        <v>1118</v>
      </c>
    </row>
    <row r="352" spans="1:3" ht="16" x14ac:dyDescent="0.35">
      <c r="A352" s="121"/>
      <c r="B352" s="122" t="s">
        <v>1119</v>
      </c>
      <c r="C352" s="123" t="s">
        <v>1120</v>
      </c>
    </row>
    <row r="353" spans="1:3" ht="16" x14ac:dyDescent="0.35">
      <c r="A353" s="121"/>
      <c r="B353" s="122" t="s">
        <v>1121</v>
      </c>
      <c r="C353" s="123" t="s">
        <v>1122</v>
      </c>
    </row>
    <row r="354" spans="1:3" ht="16" x14ac:dyDescent="0.35">
      <c r="A354" s="121"/>
      <c r="B354" s="122" t="s">
        <v>1123</v>
      </c>
      <c r="C354" s="123" t="s">
        <v>1124</v>
      </c>
    </row>
    <row r="355" spans="1:3" ht="16" x14ac:dyDescent="0.35">
      <c r="A355" s="121"/>
      <c r="B355" s="122" t="s">
        <v>1125</v>
      </c>
      <c r="C355" s="123" t="s">
        <v>1126</v>
      </c>
    </row>
    <row r="356" spans="1:3" ht="16" x14ac:dyDescent="0.35">
      <c r="A356" s="121"/>
      <c r="B356" s="122" t="s">
        <v>1127</v>
      </c>
      <c r="C356" s="123" t="s">
        <v>1128</v>
      </c>
    </row>
    <row r="357" spans="1:3" ht="16" x14ac:dyDescent="0.35">
      <c r="A357" s="121"/>
      <c r="B357" s="122" t="s">
        <v>1129</v>
      </c>
      <c r="C357" s="123" t="s">
        <v>1130</v>
      </c>
    </row>
    <row r="358" spans="1:3" ht="16" x14ac:dyDescent="0.35">
      <c r="A358" s="121"/>
      <c r="B358" s="122" t="s">
        <v>1131</v>
      </c>
      <c r="C358" s="123" t="s">
        <v>1132</v>
      </c>
    </row>
    <row r="359" spans="1:3" ht="16" x14ac:dyDescent="0.35">
      <c r="A359" s="121"/>
      <c r="B359" s="122" t="s">
        <v>1133</v>
      </c>
      <c r="C359" s="123" t="s">
        <v>1134</v>
      </c>
    </row>
    <row r="360" spans="1:3" ht="16" x14ac:dyDescent="0.35">
      <c r="A360" s="121"/>
      <c r="B360" s="122" t="s">
        <v>1135</v>
      </c>
      <c r="C360" s="123" t="s">
        <v>1136</v>
      </c>
    </row>
    <row r="361" spans="1:3" ht="16" x14ac:dyDescent="0.35">
      <c r="A361" s="121"/>
      <c r="B361" s="122" t="s">
        <v>1137</v>
      </c>
      <c r="C361" s="123" t="s">
        <v>1138</v>
      </c>
    </row>
    <row r="362" spans="1:3" ht="16" x14ac:dyDescent="0.35">
      <c r="A362" s="121"/>
      <c r="B362" s="122" t="s">
        <v>1139</v>
      </c>
      <c r="C362" s="123" t="s">
        <v>1140</v>
      </c>
    </row>
    <row r="363" spans="1:3" ht="16" x14ac:dyDescent="0.35">
      <c r="A363" s="124"/>
      <c r="B363" s="125" t="s">
        <v>1141</v>
      </c>
      <c r="C363" s="126" t="s">
        <v>1142</v>
      </c>
    </row>
    <row r="364" spans="1:3" ht="24" customHeight="1" x14ac:dyDescent="0.35">
      <c r="A364" s="109"/>
      <c r="B364" s="589" t="s">
        <v>2096</v>
      </c>
      <c r="C364" s="590"/>
    </row>
    <row r="365" spans="1:3" ht="30" customHeight="1" x14ac:dyDescent="0.35">
      <c r="A365" s="609" t="s">
        <v>1694</v>
      </c>
      <c r="B365" s="610"/>
      <c r="C365" s="611"/>
    </row>
    <row r="366" spans="1:3" ht="16" x14ac:dyDescent="0.35">
      <c r="A366" s="121"/>
      <c r="B366" s="122" t="s">
        <v>896</v>
      </c>
      <c r="C366" s="123" t="s">
        <v>1683</v>
      </c>
    </row>
    <row r="367" spans="1:3" ht="16" x14ac:dyDescent="0.35">
      <c r="A367" s="121"/>
      <c r="B367" s="122" t="s">
        <v>897</v>
      </c>
      <c r="C367" s="123" t="s">
        <v>1684</v>
      </c>
    </row>
    <row r="368" spans="1:3" ht="16" x14ac:dyDescent="0.35">
      <c r="A368" s="121"/>
      <c r="B368" s="122" t="s">
        <v>898</v>
      </c>
      <c r="C368" s="123" t="s">
        <v>1685</v>
      </c>
    </row>
    <row r="369" spans="1:3" ht="16" x14ac:dyDescent="0.35">
      <c r="A369" s="121"/>
      <c r="B369" s="122" t="s">
        <v>899</v>
      </c>
      <c r="C369" s="123" t="s">
        <v>1686</v>
      </c>
    </row>
    <row r="370" spans="1:3" ht="16" x14ac:dyDescent="0.35">
      <c r="A370" s="121"/>
      <c r="B370" s="122" t="s">
        <v>900</v>
      </c>
      <c r="C370" s="123" t="s">
        <v>1687</v>
      </c>
    </row>
    <row r="371" spans="1:3" ht="16" x14ac:dyDescent="0.35">
      <c r="A371" s="121"/>
      <c r="B371" s="122" t="s">
        <v>901</v>
      </c>
      <c r="C371" s="123" t="s">
        <v>1688</v>
      </c>
    </row>
    <row r="372" spans="1:3" ht="16" x14ac:dyDescent="0.35">
      <c r="A372" s="121"/>
      <c r="B372" s="122" t="s">
        <v>902</v>
      </c>
      <c r="C372" s="123" t="s">
        <v>1689</v>
      </c>
    </row>
    <row r="373" spans="1:3" ht="16" x14ac:dyDescent="0.35">
      <c r="A373" s="121"/>
      <c r="B373" s="122" t="s">
        <v>903</v>
      </c>
      <c r="C373" s="123" t="s">
        <v>1690</v>
      </c>
    </row>
    <row r="374" spans="1:3" ht="16" x14ac:dyDescent="0.35">
      <c r="A374" s="121"/>
      <c r="B374" s="122" t="s">
        <v>904</v>
      </c>
      <c r="C374" s="123" t="s">
        <v>1691</v>
      </c>
    </row>
    <row r="375" spans="1:3" ht="16" x14ac:dyDescent="0.35">
      <c r="A375" s="121"/>
      <c r="B375" s="122" t="s">
        <v>905</v>
      </c>
      <c r="C375" s="123" t="s">
        <v>1692</v>
      </c>
    </row>
    <row r="376" spans="1:3" ht="48" x14ac:dyDescent="0.35">
      <c r="A376" s="121"/>
      <c r="B376" s="122" t="s">
        <v>1143</v>
      </c>
      <c r="C376" s="123" t="s">
        <v>1695</v>
      </c>
    </row>
    <row r="377" spans="1:3" ht="48" x14ac:dyDescent="0.35">
      <c r="A377" s="124"/>
      <c r="B377" s="125" t="s">
        <v>1144</v>
      </c>
      <c r="C377" s="126" t="s">
        <v>1696</v>
      </c>
    </row>
    <row r="378" spans="1:3" ht="24" customHeight="1" x14ac:dyDescent="0.35">
      <c r="A378" s="109"/>
      <c r="B378" s="589" t="s">
        <v>2097</v>
      </c>
      <c r="C378" s="590"/>
    </row>
    <row r="379" spans="1:3" ht="48" x14ac:dyDescent="0.35">
      <c r="A379" s="108"/>
      <c r="B379" s="119" t="s">
        <v>1145</v>
      </c>
      <c r="C379" s="106" t="s">
        <v>1772</v>
      </c>
    </row>
    <row r="380" spans="1:3" ht="16" x14ac:dyDescent="0.35">
      <c r="A380" s="99"/>
      <c r="B380" s="122" t="s">
        <v>1146</v>
      </c>
      <c r="C380" s="101" t="s">
        <v>1147</v>
      </c>
    </row>
    <row r="381" spans="1:3" ht="16" x14ac:dyDescent="0.35">
      <c r="A381" s="99"/>
      <c r="B381" s="122" t="s">
        <v>1148</v>
      </c>
      <c r="C381" s="101" t="s">
        <v>1149</v>
      </c>
    </row>
    <row r="382" spans="1:3" ht="16" x14ac:dyDescent="0.35">
      <c r="A382" s="99"/>
      <c r="B382" s="122" t="s">
        <v>1150</v>
      </c>
      <c r="C382" s="101" t="s">
        <v>1151</v>
      </c>
    </row>
    <row r="383" spans="1:3" ht="48" x14ac:dyDescent="0.35">
      <c r="A383" s="99"/>
      <c r="B383" s="122" t="s">
        <v>1152</v>
      </c>
      <c r="C383" s="101" t="s">
        <v>1153</v>
      </c>
    </row>
    <row r="384" spans="1:3" ht="16" x14ac:dyDescent="0.35">
      <c r="A384" s="99"/>
      <c r="B384" s="122" t="s">
        <v>1154</v>
      </c>
      <c r="C384" s="101" t="s">
        <v>1802</v>
      </c>
    </row>
    <row r="385" spans="1:3" ht="16" x14ac:dyDescent="0.35">
      <c r="A385" s="99"/>
      <c r="B385" s="122" t="s">
        <v>1155</v>
      </c>
      <c r="C385" s="101" t="s">
        <v>1156</v>
      </c>
    </row>
    <row r="386" spans="1:3" ht="16" x14ac:dyDescent="0.35">
      <c r="A386" s="99"/>
      <c r="B386" s="122" t="s">
        <v>895</v>
      </c>
      <c r="C386" s="101" t="s">
        <v>1157</v>
      </c>
    </row>
    <row r="387" spans="1:3" ht="16" x14ac:dyDescent="0.35">
      <c r="A387" s="102"/>
      <c r="B387" s="125" t="s">
        <v>1158</v>
      </c>
      <c r="C387" s="103" t="s">
        <v>1159</v>
      </c>
    </row>
    <row r="388" spans="1:3" ht="24" customHeight="1" x14ac:dyDescent="0.35">
      <c r="A388" s="109"/>
      <c r="B388" s="589" t="s">
        <v>2098</v>
      </c>
      <c r="C388" s="590"/>
    </row>
    <row r="389" spans="1:3" ht="32" x14ac:dyDescent="0.35">
      <c r="A389" s="108"/>
      <c r="B389" s="119" t="s">
        <v>225</v>
      </c>
      <c r="C389" s="106" t="s">
        <v>1668</v>
      </c>
    </row>
    <row r="390" spans="1:3" ht="32" x14ac:dyDescent="0.35">
      <c r="A390" s="108"/>
      <c r="B390" s="119" t="s">
        <v>1669</v>
      </c>
      <c r="C390" s="106" t="s">
        <v>1670</v>
      </c>
    </row>
    <row r="391" spans="1:3" ht="32" x14ac:dyDescent="0.35">
      <c r="A391" s="108"/>
      <c r="B391" s="119" t="s">
        <v>1671</v>
      </c>
      <c r="C391" s="106" t="s">
        <v>1672</v>
      </c>
    </row>
    <row r="392" spans="1:3" ht="32" x14ac:dyDescent="0.35">
      <c r="A392" s="108"/>
      <c r="B392" s="119" t="s">
        <v>1673</v>
      </c>
      <c r="C392" s="106" t="s">
        <v>1674</v>
      </c>
    </row>
    <row r="393" spans="1:3" ht="48" x14ac:dyDescent="0.35">
      <c r="A393" s="108"/>
      <c r="B393" s="119" t="s">
        <v>1675</v>
      </c>
      <c r="C393" s="106" t="s">
        <v>1676</v>
      </c>
    </row>
    <row r="394" spans="1:3" ht="48" x14ac:dyDescent="0.35">
      <c r="A394" s="108"/>
      <c r="B394" s="119" t="s">
        <v>1677</v>
      </c>
      <c r="C394" s="106" t="s">
        <v>1678</v>
      </c>
    </row>
    <row r="395" spans="1:3" ht="24" customHeight="1" x14ac:dyDescent="0.35">
      <c r="A395" s="109"/>
      <c r="B395" s="589" t="s">
        <v>1160</v>
      </c>
      <c r="C395" s="590"/>
    </row>
    <row r="396" spans="1:3" ht="64" x14ac:dyDescent="0.35">
      <c r="A396" s="110"/>
      <c r="B396" s="127" t="s">
        <v>1163</v>
      </c>
      <c r="C396" s="112" t="s">
        <v>1161</v>
      </c>
    </row>
    <row r="397" spans="1:3" ht="96" x14ac:dyDescent="0.35">
      <c r="A397" s="110"/>
      <c r="B397" s="127" t="s">
        <v>1630</v>
      </c>
      <c r="C397" s="112" t="s">
        <v>1631</v>
      </c>
    </row>
    <row r="398" spans="1:3" ht="160" x14ac:dyDescent="0.35">
      <c r="A398" s="110"/>
      <c r="B398" s="127" t="s">
        <v>1720</v>
      </c>
      <c r="C398" s="112" t="s">
        <v>1721</v>
      </c>
    </row>
    <row r="399" spans="1:3" ht="30" customHeight="1" x14ac:dyDescent="0.35">
      <c r="A399" s="603" t="s">
        <v>1641</v>
      </c>
      <c r="B399" s="604"/>
      <c r="C399" s="605"/>
    </row>
    <row r="400" spans="1:3" ht="30" customHeight="1" x14ac:dyDescent="0.35">
      <c r="A400" s="606"/>
      <c r="B400" s="607"/>
      <c r="C400" s="608"/>
    </row>
  </sheetData>
  <sheetProtection sheet="1" objects="1" scenarios="1"/>
  <mergeCells count="84">
    <mergeCell ref="A399:C400"/>
    <mergeCell ref="B364:C364"/>
    <mergeCell ref="A365:C365"/>
    <mergeCell ref="B378:C378"/>
    <mergeCell ref="B388:C388"/>
    <mergeCell ref="B395:C395"/>
    <mergeCell ref="B313:C313"/>
    <mergeCell ref="B320:C320"/>
    <mergeCell ref="B329:C329"/>
    <mergeCell ref="B343:C343"/>
    <mergeCell ref="B350:C350"/>
    <mergeCell ref="A301:C301"/>
    <mergeCell ref="A302:C302"/>
    <mergeCell ref="B303:C303"/>
    <mergeCell ref="A311:C311"/>
    <mergeCell ref="A312:C312"/>
    <mergeCell ref="B282:C282"/>
    <mergeCell ref="A290:C290"/>
    <mergeCell ref="A291:C291"/>
    <mergeCell ref="B292:C292"/>
    <mergeCell ref="B296:C296"/>
    <mergeCell ref="A264:C264"/>
    <mergeCell ref="B265:C265"/>
    <mergeCell ref="B269:C269"/>
    <mergeCell ref="A278:C278"/>
    <mergeCell ref="B279:C279"/>
    <mergeCell ref="A277:C277"/>
    <mergeCell ref="A249:C249"/>
    <mergeCell ref="A250:C250"/>
    <mergeCell ref="B251:C251"/>
    <mergeCell ref="B255:C255"/>
    <mergeCell ref="A263:C263"/>
    <mergeCell ref="B197:C197"/>
    <mergeCell ref="B204:C204"/>
    <mergeCell ref="B209:C209"/>
    <mergeCell ref="B215:C215"/>
    <mergeCell ref="A222:C222"/>
    <mergeCell ref="A183:C183"/>
    <mergeCell ref="A184:C184"/>
    <mergeCell ref="B185:C185"/>
    <mergeCell ref="B188:C188"/>
    <mergeCell ref="A195:C195"/>
    <mergeCell ref="B147:C147"/>
    <mergeCell ref="B155:C155"/>
    <mergeCell ref="B161:C161"/>
    <mergeCell ref="B169:C169"/>
    <mergeCell ref="B176:C176"/>
    <mergeCell ref="B70:C70"/>
    <mergeCell ref="B78:C78"/>
    <mergeCell ref="A79:C79"/>
    <mergeCell ref="A94:C94"/>
    <mergeCell ref="A95:C95"/>
    <mergeCell ref="A4:C4"/>
    <mergeCell ref="A22:C22"/>
    <mergeCell ref="B23:C23"/>
    <mergeCell ref="B32:C32"/>
    <mergeCell ref="B39:C39"/>
    <mergeCell ref="A223:C223"/>
    <mergeCell ref="B224:C224"/>
    <mergeCell ref="B228:C228"/>
    <mergeCell ref="A235:C235"/>
    <mergeCell ref="A236:C236"/>
    <mergeCell ref="B237:C237"/>
    <mergeCell ref="B241:C241"/>
    <mergeCell ref="A196:C196"/>
    <mergeCell ref="A1:C1"/>
    <mergeCell ref="A21:C21"/>
    <mergeCell ref="A2:C2"/>
    <mergeCell ref="A3:C3"/>
    <mergeCell ref="B50:C50"/>
    <mergeCell ref="B60:C60"/>
    <mergeCell ref="A64:C64"/>
    <mergeCell ref="A65:C65"/>
    <mergeCell ref="B66:C66"/>
    <mergeCell ref="B96:C96"/>
    <mergeCell ref="B105:C105"/>
    <mergeCell ref="B117:C117"/>
    <mergeCell ref="A124:C124"/>
    <mergeCell ref="A146:C146"/>
    <mergeCell ref="A125:C125"/>
    <mergeCell ref="B126:C126"/>
    <mergeCell ref="B132:C132"/>
    <mergeCell ref="B138:C138"/>
    <mergeCell ref="A145:C145"/>
  </mergeCells>
  <hyperlinks>
    <hyperlink ref="B5" location="'Instructions'!A21" tooltip="Go to chapter 01" display="Getting Started" xr:uid="{A7E6D92E-A6A2-479D-8749-DD128F1E0D2F}"/>
    <hyperlink ref="B6" location="'Instructions'!A64" tooltip="Go to chapter 02" display="Project" xr:uid="{DE5B44EF-AA44-4203-9989-D878EC027F3F}"/>
    <hyperlink ref="B7" location="'Instructions'!A94" tooltip="Go to chapter 03" display="Load Calc" xr:uid="{340F6999-B834-4B1F-9045-14E148AA8155}"/>
    <hyperlink ref="B8" location="'Instructions'!A124" tooltip="Go to chapter 04" display="Existing Demand" xr:uid="{E2B04CC8-F674-4ACC-8ACA-C0370339DE5D}"/>
    <hyperlink ref="B9" location="'Instructions'!A145" tooltip="Go to chapter 05" display="Panel Schedules" xr:uid="{33C615F6-9E3F-4EBC-8ED2-A1BC03936F3A}"/>
    <hyperlink ref="B10" location="'Instructions'!A183" tooltip="Go to chapter 06" display="Transformers" xr:uid="{0CF7395B-5480-4C91-A127-10B97E990879}"/>
    <hyperlink ref="B11" location="'Instructions'!A195" tooltip="Go to chapter 07" display="Backup Power" xr:uid="{D0F1A354-795A-4111-98F4-F129805105EA}"/>
    <hyperlink ref="B12" location="'Instructions'!A222" tooltip="Go to chapter 08" display="Feeders" xr:uid="{E1384887-8B5F-4FCA-A573-4618A883BCCD}"/>
    <hyperlink ref="B13" location="'Instructions'!A235" tooltip="Go to chapter 09" display="Voltage Drop" xr:uid="{70B1F0A3-AABD-42D1-BF28-DDD265B8C6BB}"/>
    <hyperlink ref="B14" location="'Instructions'!A249" tooltip="Go to chapter 10" display="Short Circuit" xr:uid="{4D40B420-7BC8-4962-8A7D-A998B01BB21F}"/>
    <hyperlink ref="B15" location="'Instructions'!A263" tooltip="Go to chapter 11" display="Arc Flash" xr:uid="{FA6F80D4-18A9-4362-B03D-B42B17FA03D0}"/>
    <hyperlink ref="B16" location="'Instructions'!A277" tooltip="Go to chapter 12" display="Studies" xr:uid="{8141BA7D-57CD-40EB-814E-2256E864D0A0}"/>
    <hyperlink ref="B17" location="'Instructions'!A290" tooltip="Go to chapter 13" display="Reports" xr:uid="{AB2CC02B-8349-41BE-BBCB-EF6FDC33DCE9}"/>
    <hyperlink ref="B18" location="'Instructions'!A301" tooltip="Go to chapter 14" display="Distribution Map" xr:uid="{D8B79AF6-CEFD-4BAE-BA71-A720CF96EFB6}"/>
    <hyperlink ref="B19" location="'Instructions'!A311" tooltip="Go to chapter 15" display="Reference &amp; Troubleshooting" xr:uid="{DED32E37-3791-430D-AB32-2DF6D4B2517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48356-B3DB-479B-AD78-7E21F24EFD1C}">
  <sheetPr codeName="Sheet2">
    <tabColor rgb="FF4DAB51"/>
    <pageSetUpPr fitToPage="1"/>
  </sheetPr>
  <dimension ref="A1:Z608"/>
  <sheetViews>
    <sheetView showGridLines="0" showRowColHeaders="0" workbookViewId="0">
      <selection activeCell="B7" sqref="B7"/>
    </sheetView>
  </sheetViews>
  <sheetFormatPr defaultColWidth="8.7265625" defaultRowHeight="16" x14ac:dyDescent="0.35"/>
  <cols>
    <col min="1" max="1" width="25.7265625" style="10" customWidth="1"/>
    <col min="2" max="2" width="45.7265625" style="10" customWidth="1"/>
    <col min="3" max="6" width="21" style="10" customWidth="1"/>
    <col min="7" max="7" width="15.7265625" style="10" customWidth="1"/>
    <col min="8" max="8" width="40.7265625" style="10" customWidth="1"/>
    <col min="9" max="10" width="18.26953125" style="10" customWidth="1"/>
    <col min="11" max="11" width="15.7265625" style="10" customWidth="1"/>
    <col min="12" max="16384" width="8.7265625" style="10"/>
  </cols>
  <sheetData>
    <row r="1" spans="1:26" ht="30" customHeight="1" x14ac:dyDescent="0.35">
      <c r="A1" s="613" t="s">
        <v>239</v>
      </c>
      <c r="B1" s="614"/>
      <c r="C1" s="614"/>
      <c r="D1" s="614"/>
      <c r="E1" s="614"/>
      <c r="F1" s="614"/>
      <c r="G1" s="614"/>
      <c r="H1" s="614"/>
      <c r="I1" s="614"/>
      <c r="J1" s="614"/>
      <c r="K1" s="614"/>
      <c r="L1" s="20"/>
      <c r="M1" s="20"/>
      <c r="N1" s="20"/>
      <c r="O1" s="20"/>
      <c r="P1" s="20"/>
      <c r="Q1" s="20"/>
      <c r="R1" s="20"/>
      <c r="S1" s="20"/>
      <c r="T1" s="20"/>
      <c r="U1" s="20"/>
      <c r="V1" s="20"/>
      <c r="W1" s="20"/>
      <c r="X1" s="20"/>
      <c r="Y1" s="20"/>
      <c r="Z1" s="20"/>
    </row>
    <row r="2" spans="1:26" ht="15" customHeight="1" x14ac:dyDescent="0.35">
      <c r="A2" s="617" t="s">
        <v>96</v>
      </c>
      <c r="B2" s="617"/>
      <c r="C2" s="617"/>
      <c r="D2" s="617"/>
      <c r="E2" s="617"/>
      <c r="F2" s="617"/>
      <c r="G2" s="617"/>
      <c r="H2" s="617"/>
    </row>
    <row r="3" spans="1:26" ht="15" customHeight="1" x14ac:dyDescent="0.35"/>
    <row r="4" spans="1:26" ht="30" customHeight="1" x14ac:dyDescent="0.35">
      <c r="A4" s="612" t="s">
        <v>51</v>
      </c>
      <c r="B4" s="612"/>
      <c r="C4" s="612"/>
      <c r="D4" s="612"/>
      <c r="E4" s="612"/>
      <c r="F4" s="612"/>
      <c r="G4" s="612"/>
      <c r="H4" s="612"/>
      <c r="I4" s="612"/>
      <c r="J4" s="612"/>
      <c r="K4" s="612"/>
    </row>
    <row r="5" spans="1:26" ht="15" customHeight="1" x14ac:dyDescent="0.35">
      <c r="A5" s="257"/>
      <c r="B5" s="257"/>
      <c r="C5" s="257"/>
      <c r="D5" s="257"/>
      <c r="E5" s="258"/>
      <c r="F5" s="258"/>
      <c r="G5" s="258"/>
      <c r="H5" s="258"/>
    </row>
    <row r="6" spans="1:26" ht="15" customHeight="1" x14ac:dyDescent="0.45">
      <c r="A6" s="257"/>
      <c r="B6" s="257"/>
      <c r="C6" s="257"/>
      <c r="F6" s="259" t="s">
        <v>240</v>
      </c>
      <c r="G6" s="24" t="s">
        <v>225</v>
      </c>
      <c r="H6" s="24" t="s">
        <v>241</v>
      </c>
      <c r="I6" s="24" t="s">
        <v>242</v>
      </c>
    </row>
    <row r="7" spans="1:26" ht="15" customHeight="1" x14ac:dyDescent="0.35">
      <c r="A7" s="249" t="s">
        <v>52</v>
      </c>
      <c r="B7" s="131"/>
      <c r="F7" s="260" t="s">
        <v>243</v>
      </c>
      <c r="G7" s="261" t="str">
        <f>IFERROR(IF(N(LC_DemandTotal)&gt;0,"● Active","○ Pending"),"○ Pending")</f>
        <v>○ Pending</v>
      </c>
      <c r="H7" s="262" t="str">
        <f>IFERROR(IF(N(LC_DemandTotal)&gt;0,TEXT(LC_DemandTotal,"#,##0.0")&amp;" kVA"&amp;IF(ISNUMBER(LC_DemandAmps),"  /  "&amp;TEXT(LC_DemandAmps,"#,##0")&amp;" A demand",""),"—"),"—")</f>
        <v>—</v>
      </c>
      <c r="I7" s="263" t="s">
        <v>244</v>
      </c>
    </row>
    <row r="8" spans="1:26" ht="15" customHeight="1" x14ac:dyDescent="0.35">
      <c r="A8" s="249" t="s">
        <v>53</v>
      </c>
      <c r="B8" s="132"/>
      <c r="F8" s="260" t="str" cm="1">
        <f t="array" ref="F8">"Utility Bills "&amp;NECREF("220.87")&amp;" (12-Month)"</f>
        <v>Utility Bills 220.87 (12-Month)</v>
      </c>
      <c r="G8" s="261" t="str">
        <f>IFERROR(IF(N('Utility Demand'!$G$36)&gt;0,"● Active","○ Pending"),"○ Pending")</f>
        <v>○ Pending</v>
      </c>
      <c r="H8" s="262" t="str">
        <f>IFERROR(IF(N('Utility Demand'!$G$36)&gt;0,TEXT('Utility Demand'!$G$36,"#,##0.0")&amp;" kW peak / "&amp;TEXT('Utility Demand'!$G$42,"#,##0.0")&amp;" kVA spare","—"),"—")</f>
        <v>—</v>
      </c>
      <c r="I8" s="263" t="s">
        <v>245</v>
      </c>
    </row>
    <row r="9" spans="1:26" ht="15" customHeight="1" x14ac:dyDescent="0.35">
      <c r="A9" s="249" t="s">
        <v>54</v>
      </c>
      <c r="B9" s="131"/>
      <c r="F9" s="260" t="str" cm="1">
        <f t="array" ref="F9">"Logging "&amp;NECREF("220.87")&amp;" (30-Day)"</f>
        <v>Logging 220.87 (30-Day)</v>
      </c>
      <c r="G9" s="261" t="str">
        <f>IFERROR(IF(N('Logging Demand'!$C$45)&gt;0,"● Active","○ Pending"),"○ Pending")</f>
        <v>○ Pending</v>
      </c>
      <c r="H9" s="262" t="str" cm="1">
        <f t="array" ref="H9">IFERROR(IF(N('Logging Demand'!$C$45)&gt;0,TEXT('Logging Demand'!$C$45,"#,##0.0")&amp;" kW peak / "&amp;TEXT('Logging Demand'!$C$48,"#,##0.0")&amp;(" kVA per "&amp;NECREF("220.87")),"—"),"—")</f>
        <v>—</v>
      </c>
      <c r="I9" s="263" t="s">
        <v>438</v>
      </c>
    </row>
    <row r="10" spans="1:26" ht="15" customHeight="1" x14ac:dyDescent="0.35">
      <c r="A10" s="249" t="s">
        <v>55</v>
      </c>
      <c r="B10" s="131"/>
      <c r="F10" s="260" t="s">
        <v>246</v>
      </c>
      <c r="G10" s="261" t="str">
        <f>IF(Tog_Gen&lt;&gt;"ON","— not in project",IF(N(Generator!$D$40)&gt;0,"● Active","◐ Incomplete"))</f>
        <v>— not in project</v>
      </c>
      <c r="H10" s="262" t="str">
        <f>IF(Tog_Gen&lt;&gt;"ON",IF(N(LC_GenTotal)&gt;0,TEXT(LC_GenTotal,"#,##0.0")&amp;" kVA tagged Gen — add Generator (ribbon)","— not in project"),IF(N(Generator!$D$40)&gt;0,IF(ISNUMBER(Generator!$D$45),TEXT(Generator!$D$45,"#,##0")&amp;" kW gen","—")&amp;IF(COUNTIF(Generator!$B$62:$B$69,"?*")&gt;0," · "&amp;COUNTIF(Generator!$B$62:$B$69,"?*")&amp;" transfer switch(es)",""),IF(COUNTIF(Generator!$B$53:$B$58,"?*")=0,"Missing: generator unit tag (Generator ▸ Units)","Missing: loads — tag Gen on Load Calc or add manual loads")))</f>
        <v>— not in project</v>
      </c>
      <c r="I10" s="263" t="s">
        <v>247</v>
      </c>
    </row>
    <row r="11" spans="1:26" ht="15" customHeight="1" x14ac:dyDescent="0.35">
      <c r="A11" s="249" t="s">
        <v>56</v>
      </c>
      <c r="B11" s="131"/>
      <c r="F11" s="260" t="s">
        <v>248</v>
      </c>
      <c r="G11" s="261" t="str">
        <f>IF(Tog_UPS&lt;&gt;"ON","— not in project",IF(OR(N(UPS!$C$38)&gt;0,COUNT(UPS!$L$57:$L$64)&gt;0),"● Active","◐ Incomplete"))</f>
        <v>— not in project</v>
      </c>
      <c r="H11" s="262" t="str">
        <f>IF(Tog_UPS&lt;&gt;"ON",IF(N(LC_UPSTotal)&gt;0,TEXT(LC_UPSTotal,"#,##0.0")&amp;" kVA tagged UPS — add UPS (ribbon)","— not in project"),IF(OR(N(UPS!$C$38)&gt;0,COUNT(UPS!$L$57:$L$64)&gt;0),IF(ISNUMBER(UPS!$C$41),TEXT(UPS!$C$41,"#,##0")&amp;" kVA module",IF(COUNT(UPS!$L$57:$L$64)&gt;0,TEXT(SUM(UPS!$L$57:$L$64),"#,##0")&amp;" kVA placed","—"))&amp;IF(COUNTIF(UPS!$B$57:$B$64,"?*")&gt;0," · "&amp;COUNTIF(UPS!$B$57:$B$64,"?*")&amp;" UPS system(s)",""),IF(COUNTIF(UPS!$B$48:$B$53,"?*")=0,"Missing: UPS unit tag (UPS ▸ Units)","Missing: loads — tag UPS on Load Calc, add manual loads, or place a UPS system")))</f>
        <v>— not in project</v>
      </c>
      <c r="I11" s="263" t="s">
        <v>249</v>
      </c>
    </row>
    <row r="12" spans="1:26" ht="15" customHeight="1" x14ac:dyDescent="0.35">
      <c r="A12" s="249" t="s">
        <v>57</v>
      </c>
      <c r="B12" s="133"/>
      <c r="F12" s="260" t="s">
        <v>250</v>
      </c>
      <c r="G12" s="261" t="str">
        <f>IF(COUNTA(Equip_List)&gt;0,"● Active","○ Pending")</f>
        <v>○ Pending</v>
      </c>
      <c r="H12" s="262" t="str">
        <f>COUNTA(Equip_List)&amp;" equipment in registry"</f>
        <v>0 equipment in registry</v>
      </c>
      <c r="I12" s="263" t="s">
        <v>251</v>
      </c>
    </row>
    <row r="13" spans="1:26" ht="15" customHeight="1" x14ac:dyDescent="0.35">
      <c r="A13" s="249" t="s">
        <v>58</v>
      </c>
      <c r="B13" s="131"/>
      <c r="F13" s="260" t="s">
        <v>75</v>
      </c>
      <c r="G13" s="261" t="str">
        <f>IFERROR(_xlfn.LET(_xlpm.b,COUNTA(Equip_List),_xlpm.n,COUNTIFS('Short Circuit'!$A$6:$A$255,"?*",'Short Circuit'!$C$6:$C$255,"&lt;&gt;0")-COUNTIFS('Short Circuit'!$A$6:$A$255,"T-*",'Short Circuit'!$R$6:$R$255,""),_xlpm.s,COUNT('Short Circuit'!$S$6:$S$255),IF(_xlpm.b=0,"○ Pending",IF(AND(_xlpm.s&gt;0,_xlpm.s&gt;=_xlpm.n),"● Active","◐ Incomplete"))),"◐ Incomplete")</f>
        <v>○ Pending</v>
      </c>
      <c r="H13" s="262" t="str">
        <f>IFERROR(_xlfn.LET(_xlpm.b,COUNTA(Equip_List),_xlpm.n,COUNTIFS('Short Circuit'!$A$6:$A$255,"?*",'Short Circuit'!$C$6:$C$255,"&lt;&gt;0")-COUNTIFS('Short Circuit'!$A$6:$A$255,"T-*",'Short Circuit'!$R$6:$R$255,""),_xlpm.s,COUNT('Short Circuit'!$S$6:$S$255),_xlpm.fm,COUNTIF('Short Circuit'!$T$6:$T$255,"*feeder data missing*"),IF(_xlpm.b=0,"— no equipment yet",IF(_xlpm.s&gt;0,TEXT(MIN('Short Circuit'!$S$6:$S$255),"#,##0")&amp;" A min AIC margin"&amp;IF(_xlpm.s&lt;_xlpm.n," · "&amp;(_xlpm.n-_xlpm.s)&amp;" of "&amp;_xlpm.n&amp;" bus(es) missing data",""),IF(COUNT(Util_SCAEff)=0,"Missing: utility fault current (Dashboard ▸ Utility Sources)",IF(_xlpm.n=0,"Missing: Fed From on equipment (Distribution Map)",IF(_xlpm.fm&gt;0,"Missing: feeder load / length on "&amp;_xlpm.fm&amp;" feeder(s) (Feeder Schedule)","Missing: device AIC on "&amp;_xlpm.n&amp;" bus(es)")))))),"—")</f>
        <v>— no equipment yet</v>
      </c>
      <c r="I13" s="263" t="s">
        <v>252</v>
      </c>
    </row>
    <row r="14" spans="1:26" ht="15" customHeight="1" x14ac:dyDescent="0.35">
      <c r="A14" s="249" t="s">
        <v>1852</v>
      </c>
      <c r="B14" s="525">
        <v>2023</v>
      </c>
      <c r="F14" s="260" t="s">
        <v>74</v>
      </c>
      <c r="G14" s="261" t="str">
        <f>IFERROR(IF(COUNTIFS('Voltage Drop'!$A$6:$A$255,"&lt;&gt;",'Voltage Drop'!$C$6:$C$255,"&gt;0")&gt;0,"● Active","○ Pending"),"○ Pending")</f>
        <v>○ Pending</v>
      </c>
      <c r="H14" s="262" t="str">
        <f>IFERROR(IF(COUNTIFS('Voltage Drop'!$A$6:$A$255,"&lt;&gt;",'Voltage Drop'!$C$6:$C$255,"&gt;0")=0,"—",TEXT(MAX('Voltage Drop'!$H$6:$H$255),"0.00%")&amp;" worst cumulative VD"),"—")</f>
        <v>—</v>
      </c>
      <c r="I14" s="263" t="s">
        <v>74</v>
      </c>
    </row>
    <row r="15" spans="1:26" ht="15" customHeight="1" x14ac:dyDescent="0.35">
      <c r="F15" s="260" t="s">
        <v>385</v>
      </c>
      <c r="G15" s="261" t="str">
        <f>IFERROR(_xlfn.LET(_xlpm.b,COUNTA(Equip_List),_xlpm.n,COUNTIFS('Short Circuit'!$A$6:$A$255,"?*",'Short Circuit'!$C$6:$C$255,"&lt;&gt;0"),_xlpm.r,COUNT('Arc Flash'!$B$24:$B$296),_xlpm.m,COUNT('Arc Flash'!$M$24:$M$296),IF(_xlpm.b=0,"○ Pending",IF(AND(_xlpm.m&gt;0,_xlpm.m&gt;=_xlpm.r,_xlpm.r&gt;=_xlpm.n),"● Active","◐ Incomplete"))),"◐ Incomplete")</f>
        <v>○ Pending</v>
      </c>
      <c r="H15" s="262" t="str">
        <f>IFERROR(_xlfn.LET(_xlpm.b,COUNTA(Equip_List),_xlpm.n,COUNTIFS('Short Circuit'!$A$6:$A$255,"?*",'Short Circuit'!$C$6:$C$255,"&lt;&gt;0"),_xlpm.r,COUNT('Arc Flash'!$B$24:$B$296),_xlpm.m,COUNT('Arc Flash'!$M$24:$M$296),_xlpm.c,COUNT('Arc Flash'!$C$24:$C$296),IF(_xlpm.b=0,"— no equipment yet",IF(_xlpm.m&gt;0,TEXT(MAX('Arc Flash'!$M$24:$M$296),"0.00")&amp;" cal/cm² worst case"&amp;IF(_xlpm.r&lt;_xlpm.n," · run Refresh Studies ("&amp;_xlpm.r&amp;" of "&amp;_xlpm.n&amp;" buses listed)",IF(_xlpm.m&lt;_xlpm.r," · "&amp;(_xlpm.r-_xlpm.m)&amp;" bus(es) missing data","")),IF(_xlpm.r&lt;_xlpm.n,"Missing: run Refresh Studies ("&amp;_xlpm.r&amp;" of "&amp;_xlpm.n&amp;" buses listed)",IF(_xlpm.c&lt;_xlpm.r,"Missing: bus fault from Short Circuit on "&amp;(_xlpm.r-_xlpm.c)&amp;" bus(es)","Missing: equipment class / clearing time (Arc Flash)"))))),"—")</f>
        <v>— no equipment yet</v>
      </c>
      <c r="I15" s="263" t="s">
        <v>386</v>
      </c>
    </row>
    <row r="16" spans="1:26" ht="15" customHeight="1" x14ac:dyDescent="0.35">
      <c r="D16" s="260"/>
      <c r="E16" s="260"/>
      <c r="F16" s="264"/>
      <c r="G16" s="264"/>
    </row>
    <row r="17" spans="1:11" ht="30" customHeight="1" x14ac:dyDescent="0.35">
      <c r="A17" s="612" t="s">
        <v>574</v>
      </c>
      <c r="B17" s="612"/>
      <c r="C17" s="612"/>
      <c r="D17" s="612"/>
      <c r="E17" s="612"/>
      <c r="F17" s="612"/>
      <c r="G17" s="612"/>
      <c r="H17" s="612"/>
      <c r="I17" s="612"/>
      <c r="J17" s="612"/>
      <c r="K17" s="612"/>
    </row>
    <row r="18" spans="1:11" ht="15" customHeight="1" x14ac:dyDescent="0.35">
      <c r="A18" s="619" t="str">
        <f>COUNTIF($E$21:$E$34,"✔*")&amp;" pass  ·  "&amp;COUNTIF($E$21:$E$34,"⚠*")&amp;" review  ·  "&amp;COUNTIF($E$21:$E$34,"✘*")&amp;" fail  ·  "&amp;COUNTIF($E$21:$E$34,"—*")&amp;" pending"</f>
        <v>0 pass  ·  2 review  ·  0 fail  ·  12 pending</v>
      </c>
      <c r="B18" s="619"/>
      <c r="C18" s="619"/>
      <c r="D18" s="619"/>
      <c r="E18" s="619"/>
      <c r="F18" s="619"/>
      <c r="G18" s="619"/>
      <c r="H18" s="619"/>
    </row>
    <row r="19" spans="1:11" ht="15" customHeight="1" x14ac:dyDescent="0.35">
      <c r="A19" s="265"/>
      <c r="B19" s="265"/>
      <c r="C19" s="265"/>
      <c r="D19" s="265"/>
      <c r="E19" s="265"/>
      <c r="F19" s="265"/>
      <c r="G19" s="265"/>
      <c r="H19" s="265"/>
    </row>
    <row r="20" spans="1:11" s="57" customFormat="1" ht="15" customHeight="1" x14ac:dyDescent="0.45">
      <c r="A20" s="266" t="s">
        <v>575</v>
      </c>
      <c r="B20" s="267" t="s">
        <v>576</v>
      </c>
      <c r="C20" s="626" t="s">
        <v>577</v>
      </c>
      <c r="D20" s="626"/>
      <c r="E20" s="626" t="s">
        <v>229</v>
      </c>
      <c r="F20" s="626"/>
      <c r="G20" s="626"/>
    </row>
    <row r="21" spans="1:11" ht="15" customHeight="1" x14ac:dyDescent="0.45">
      <c r="A21" s="268">
        <v>1</v>
      </c>
      <c r="B21" s="269" t="s">
        <v>578</v>
      </c>
      <c r="C21" s="618" t="s">
        <v>579</v>
      </c>
      <c r="D21" s="618"/>
      <c r="E21" s="625" t="str">
        <f>IF(N(Cfg_Volt)&gt;0,"✔ "&amp;TEXT(Cfg_Volt,"#,##0")&amp;" V set","⚠ Set System Voltage on Dashboard")</f>
        <v>⚠ Set System Voltage on Dashboard</v>
      </c>
      <c r="F21" s="625"/>
      <c r="G21" s="625"/>
      <c r="H21" s="9"/>
    </row>
    <row r="22" spans="1:11" ht="15" customHeight="1" x14ac:dyDescent="0.45">
      <c r="A22" s="268">
        <v>2</v>
      </c>
      <c r="B22" s="269" t="s">
        <v>580</v>
      </c>
      <c r="C22" s="618" t="str" cm="1">
        <f t="array" ref="C22">"NEC "&amp;NECREF("220")</f>
        <v>NEC 220</v>
      </c>
      <c r="D22" s="618"/>
      <c r="E22" s="625" t="str">
        <f>IF(N(LC_TotalSF)&gt;0,"✔ "&amp;TEXT(LC_TotalSF,"#,##0")&amp;" SF","⚠ Enter areas on Load Calc")</f>
        <v>⚠ Enter areas on Load Calc</v>
      </c>
      <c r="F22" s="625"/>
      <c r="G22" s="625"/>
      <c r="H22" s="9"/>
    </row>
    <row r="23" spans="1:11" ht="15" customHeight="1" x14ac:dyDescent="0.45">
      <c r="A23" s="268">
        <v>3</v>
      </c>
      <c r="B23" s="269" t="s">
        <v>581</v>
      </c>
      <c r="C23" s="618" t="str" cm="1">
        <f t="array" ref="C23">"NEC "&amp;NECREF("220")</f>
        <v>NEC 220</v>
      </c>
      <c r="D23" s="618"/>
      <c r="E23" s="625" t="str">
        <f>IF(N(LC_AdjustedDemand)&gt;0,"✔ "&amp;TEXT(LC_AdjustedDemand,"#,##0.0")&amp;" kVA adj. demand","— No load entered yet")</f>
        <v>— No load entered yet</v>
      </c>
      <c r="F23" s="625"/>
      <c r="G23" s="625"/>
      <c r="H23" s="9"/>
    </row>
    <row r="24" spans="1:11" ht="15" customHeight="1" x14ac:dyDescent="0.45">
      <c r="A24" s="268">
        <v>4</v>
      </c>
      <c r="B24" s="269" t="s">
        <v>582</v>
      </c>
      <c r="C24" s="618" t="str" cm="1">
        <f t="array" ref="C24">"NEC "&amp;NECREF("240.6")</f>
        <v>NEC 240.6</v>
      </c>
      <c r="D24" s="618"/>
      <c r="E24" s="625" t="str">
        <f>IF(N(LC_ServiceSize)&gt;0,"✔ "&amp;TEXT(LC_ServiceSize,"#,##0")&amp;" A","— pending load")</f>
        <v>— pending load</v>
      </c>
      <c r="F24" s="625"/>
      <c r="G24" s="625"/>
      <c r="H24" s="9"/>
    </row>
    <row r="25" spans="1:11" ht="15" customHeight="1" x14ac:dyDescent="0.45">
      <c r="A25" s="268">
        <v>5</v>
      </c>
      <c r="B25" s="269" t="s">
        <v>583</v>
      </c>
      <c r="C25" s="618" t="str" cm="1">
        <f t="array" ref="C25">"NEC "&amp;NECREF("240.4")</f>
        <v>NEC 240.4</v>
      </c>
      <c r="D25" s="618"/>
      <c r="E25" s="625" t="str">
        <f>IF(N(LC_ServiceSize)=0,"— n/a",IF(LC_DesignAmps&lt;=LC_ServiceSize,"✔ "&amp;TEXT(LC_DesignAmps,"#,##0")&amp;" A ≤ service","✘ "&amp;TEXT(LC_DesignAmps,"#,##0")&amp;" A exceeds service"))</f>
        <v>— n/a</v>
      </c>
      <c r="F25" s="625"/>
      <c r="G25" s="625"/>
      <c r="H25" s="9"/>
    </row>
    <row r="26" spans="1:11" ht="15" customHeight="1" x14ac:dyDescent="0.45">
      <c r="A26" s="268">
        <v>6</v>
      </c>
      <c r="B26" s="269" t="s">
        <v>584</v>
      </c>
      <c r="C26" s="618" t="str" cm="1">
        <f t="array" ref="C26">"NEC "&amp;NECREF("220.87")</f>
        <v>NEC 220.87</v>
      </c>
      <c r="D26" s="618"/>
      <c r="E26" s="625" t="str">
        <f>IF(N(LC_ExistingLoad125)=0,"— n/a (new building)",IF(LC_ExistingSpare&gt;=0,"✔ "&amp;TEXT(LC_ExistingSpare,"#,##0.0")&amp;" kVA spare","✘ Existing service overloaded"))</f>
        <v>— n/a (new building)</v>
      </c>
      <c r="F26" s="625"/>
      <c r="G26" s="625"/>
      <c r="H26" s="9"/>
    </row>
    <row r="27" spans="1:11" ht="15" customHeight="1" x14ac:dyDescent="0.45">
      <c r="A27" s="268">
        <v>7</v>
      </c>
      <c r="B27" s="269" t="s">
        <v>585</v>
      </c>
      <c r="C27" s="618" t="str" cm="1">
        <f t="array" ref="C27">"NEC "&amp;NECREF("110.9")&amp;" / "&amp;NECREF("110.10")</f>
        <v>NEC 110.9 / 110.10</v>
      </c>
      <c r="D27" s="618"/>
      <c r="E27" s="625" t="str">
        <f>IFERROR(IF(COUNT('Short Circuit'!$S$6:$S$255)=0,IF(COUNTA(Equip_List)=0,"— no equipment yet","⚠ "&amp;$H$13),IF(MIN('Short Circuit'!$S$6:$S$255)&gt;=0,"✔ "&amp;TEXT(MIN('Short Circuit'!$S$6:$S$255),"#,##0")&amp;" A min margin ("&amp;COUNT('Short Circuit'!$S$6:$S$255)&amp;" buses)"&amp;IF(COUNT('Short Circuit'!$S$6:$S$255)&lt;(COUNTIFS('Short Circuit'!$A$6:$A$255,"?*",'Short Circuit'!$C$6:$C$255,"&lt;&gt;0")-COUNTIFS('Short Circuit'!$A$6:$A$255,"T-*",'Short Circuit'!$R$6:$R$255,""))," · ⚠ "&amp;((COUNTIFS('Short Circuit'!$A$6:$A$255,"?*",'Short Circuit'!$C$6:$C$255,"&lt;&gt;0")-COUNTIFS('Short Circuit'!$A$6:$A$255,"T-*",'Short Circuit'!$R$6:$R$255,""))-COUNT('Short Circuit'!$S$6:$S$255))&amp;" missing",""),"✘ AIC exceeded at "&amp;COUNTIF('Short Circuit'!$S$6:$S$255,"&lt;0")&amp;" bus(es)")),"— run study")</f>
        <v>— no equipment yet</v>
      </c>
      <c r="F27" s="625"/>
      <c r="G27" s="625"/>
      <c r="H27" s="9"/>
    </row>
    <row r="28" spans="1:11" ht="15" customHeight="1" x14ac:dyDescent="0.45">
      <c r="A28" s="268">
        <v>8</v>
      </c>
      <c r="B28" s="269" t="s">
        <v>586</v>
      </c>
      <c r="C28" s="618" t="str" cm="1">
        <f t="array" ref="C28">"NEC "&amp;NECREF("210.19")&amp;" / "&amp;NECREF("215.2")&amp;" IN"</f>
        <v>NEC 210.19 / 215.2 IN</v>
      </c>
      <c r="D28" s="618"/>
      <c r="E28" s="625" t="str">
        <f>IFERROR(_xlfn.LET(_xlpm.n,COUNTIFS('Voltage Drop'!$A$6:$A$255,"?*",'Voltage Drop'!$C$6:$C$255,"&gt;0"),_xlpm.m,COUNT('Voltage Drop'!$H$6:$H$255)-COUNTIFS('Voltage Drop'!$C$6:$C$255,0),_xlpm.w,MAX('Voltage Drop'!$H$6:$H$255),IF(_xlpm.n=0,IF(COUNTA(Equip_List)=0,"— no equipment yet","— run study"),IF(_xlpm.m&lt;=0,"⚠ Missing: feeder load / length (Feeder Schedule)",IF(_xlpm.w&lt;=Cfg_VDTotal,"✔ "&amp;TEXT(_xlpm.w,"0.0%")&amp;" worst cumulative ≤ "&amp;TEXT(Cfg_VDTotal,"0%"),"⚠ "&amp;TEXT(_xlpm.w,"0.0%")&amp;" worst cumulative &gt; "&amp;TEXT(Cfg_VDTotal,"0%"))&amp;IF(_xlpm.m&lt;_xlpm.n," · "&amp;(_xlpm.n-_xlpm.m)&amp;" bus(es) missing data","")))),"— run study")</f>
        <v>— no equipment yet</v>
      </c>
      <c r="F28" s="625"/>
      <c r="G28" s="625"/>
      <c r="H28" s="9"/>
    </row>
    <row r="29" spans="1:11" ht="15" customHeight="1" x14ac:dyDescent="0.45">
      <c r="A29" s="268">
        <v>9</v>
      </c>
      <c r="B29" s="269" t="s">
        <v>587</v>
      </c>
      <c r="C29" s="618" t="s">
        <v>588</v>
      </c>
      <c r="D29" s="618"/>
      <c r="E29" s="625" t="str">
        <f>IFERROR(IF(COUNT('Arc Flash'!$M$24:$M$296)=0,IF(COUNTA(Equip_List)=0,"— no equipment yet","⚠ "&amp;$H$15),IF(MAX('Arc Flash'!$M$24:$M$296)&lt;=40,"✔ "&amp;TEXT(MAX('Arc Flash'!$M$24:$M$296),"0.0")&amp;" cal/cm² worst case","✘ "&amp;TEXT(MAX('Arc Flash'!$M$24:$M$296),"0.0")&amp;" cal/cm² &gt;40")),"— run study")</f>
        <v>— no equipment yet</v>
      </c>
      <c r="F29" s="625"/>
      <c r="G29" s="625"/>
      <c r="H29" s="9"/>
    </row>
    <row r="30" spans="1:11" ht="15" customHeight="1" x14ac:dyDescent="0.45">
      <c r="A30" s="268">
        <v>10</v>
      </c>
      <c r="B30" s="269" t="s">
        <v>589</v>
      </c>
      <c r="C30" s="618" t="str" cm="1">
        <f t="array" ref="C30">"NEC "&amp;NECREF("310.16")&amp;" / "&amp;NECREF("240.6")</f>
        <v>NEC 310.16 / 240.6</v>
      </c>
      <c r="D30" s="618"/>
      <c r="E30" s="625" t="str">
        <f>IF('Feeder Schedule'!$B$5="","— add feeders",IF(N('Feeder Schedule'!$I$5)=0,"— enter feeder load","✔ "&amp;COUNT('Feeder Schedule'!$I$5:$I$254)&amp;" feeder(s) · first "&amp;'Feeder Schedule'!$P$5&amp;" / "&amp;TEXT('Feeder Schedule'!$R$5,"#,##0")&amp;" A"))</f>
        <v>— add feeders</v>
      </c>
      <c r="F30" s="625"/>
      <c r="G30" s="625"/>
      <c r="H30" s="9"/>
    </row>
    <row r="31" spans="1:11" ht="15" customHeight="1" x14ac:dyDescent="0.45">
      <c r="A31" s="268">
        <v>11</v>
      </c>
      <c r="B31" s="269" t="s">
        <v>590</v>
      </c>
      <c r="C31" s="618" t="str" cm="1">
        <f t="array" ref="C31">"NEC "&amp;NECREF("700")&amp;" / 701 / 702"</f>
        <v>NEC 700 / 701 / 702</v>
      </c>
      <c r="D31" s="618"/>
      <c r="E31" s="625" t="str">
        <f>IF(Tog_Gen&lt;&gt;"ON",IF(N(LC_GenTotal)&gt;0,"⚠ "&amp;TEXT(LC_GenTotal,"#,##0.0")&amp;" kVA tagged Gen — add Generator (ribbon)","— not in project"),IFERROR(IF(N(Generator!$D$40)=0,"⚠ "&amp;$H$10,IF(ISNUMBER(Generator!$D$45),"✔ "&amp;TEXT(Generator!$D$45,"#,##0")&amp;" kW","⚠ above largest standard size")),"— n/a"))</f>
        <v>— not in project</v>
      </c>
      <c r="F31" s="625"/>
      <c r="G31" s="625"/>
      <c r="H31" s="9"/>
    </row>
    <row r="32" spans="1:11" ht="15" customHeight="1" x14ac:dyDescent="0.45">
      <c r="A32" s="268">
        <v>12</v>
      </c>
      <c r="B32" s="269" t="s">
        <v>591</v>
      </c>
      <c r="C32" s="618" t="s">
        <v>592</v>
      </c>
      <c r="D32" s="618"/>
      <c r="E32" s="625" t="str">
        <f>IF(Tog_UPS&lt;&gt;"ON",IF(N(LC_UPSTotal)&gt;0,"⚠ "&amp;TEXT(LC_UPSTotal,"#,##0.0")&amp;" kVA tagged UPS — add UPS (ribbon)","— not in project"),IFERROR(IF($G$11="◐ Incomplete","⚠ "&amp;$H$11,"✔ "&amp;$H$11),"— n/a"))</f>
        <v>— not in project</v>
      </c>
      <c r="F32" s="625"/>
      <c r="G32" s="625"/>
      <c r="H32" s="9"/>
    </row>
    <row r="33" spans="1:11" ht="15" customHeight="1" x14ac:dyDescent="0.45">
      <c r="A33" s="268">
        <v>13</v>
      </c>
      <c r="B33" s="269" t="s">
        <v>606</v>
      </c>
      <c r="C33" s="618" t="s">
        <v>836</v>
      </c>
      <c r="D33" s="618"/>
      <c r="E33" s="625" t="str">
        <f>_xlfn.LET(_xlpm.f,$F$359:$F$398,_xlpm.n,COUNTIF(_xlpm.f,"OK")+COUNTIF(_xlpm.f,"CHECK")+COUNTIF(_xlpm.f,"link not set"),_xlpm.bad,COUNTIF(_xlpm.f,"CHECK"),_xlpm.uns,COUNTIF(_xlpm.f,"link not set"),IF(_xlpm.n=0,"— no panels yet",IF(_xlpm.bad&gt;0,"✘ "&amp;_xlpm.bad&amp;" panel(s) mismatch",IF(_xlpm.uns&gt;0,"⚠ "&amp;_xlpm.uns&amp;" panel link(s) not set","✔ "&amp;_xlpm.n&amp;" panels reconcile"))))</f>
        <v>— no panels yet</v>
      </c>
      <c r="F33" s="625"/>
      <c r="G33" s="625"/>
      <c r="H33" s="9"/>
    </row>
    <row r="34" spans="1:11" ht="15" customHeight="1" x14ac:dyDescent="0.45">
      <c r="A34" s="268">
        <v>14</v>
      </c>
      <c r="B34" s="269" t="s">
        <v>1890</v>
      </c>
      <c r="C34" s="618" t="s">
        <v>1891</v>
      </c>
      <c r="D34" s="618"/>
      <c r="E34" s="625" t="str">
        <f>_xlfn.LET(_xlpm.n,SUM('Load Calc'!$AG$7:$AG$40),_xlpm.k,SUM('Load Calc'!$AH$7:$AH$40),_xlpm.p,COUNTIF('Load Calc'!$X$41:$X$601,"Placed"),IF(_xlpm.n&gt;0,"⚠ "&amp;_xlpm.n&amp;" load(s) not fully placed — "&amp;TEXT(_xlpm.k,"#,##0.0")&amp;" kVA",IF(_xlpm.p&gt;0,"✔ "&amp;_xlpm.p&amp;" load(s) placed on panels","— no loads entered")))</f>
        <v>— no loads entered</v>
      </c>
      <c r="F34" s="625"/>
      <c r="G34" s="625"/>
      <c r="H34" s="9"/>
    </row>
    <row r="35" spans="1:11" customFormat="1" ht="15" customHeight="1" x14ac:dyDescent="0.35"/>
    <row r="36" spans="1:11" s="22" customFormat="1" ht="30" customHeight="1" x14ac:dyDescent="0.35">
      <c r="A36" s="612" t="s">
        <v>59</v>
      </c>
      <c r="B36" s="612"/>
      <c r="C36" s="612"/>
      <c r="D36" s="612"/>
      <c r="E36" s="612"/>
      <c r="F36" s="612"/>
      <c r="G36" s="612"/>
      <c r="H36" s="612"/>
      <c r="I36" s="612"/>
      <c r="J36" s="612"/>
      <c r="K36" s="612"/>
    </row>
    <row r="37" spans="1:11" s="22" customFormat="1" ht="15" customHeight="1" x14ac:dyDescent="0.35">
      <c r="A37" s="257"/>
      <c r="B37" s="257"/>
      <c r="C37" s="271"/>
      <c r="D37"/>
      <c r="E37"/>
      <c r="F37"/>
      <c r="G37"/>
      <c r="H37"/>
    </row>
    <row r="38" spans="1:11" ht="15" customHeight="1" x14ac:dyDescent="0.35">
      <c r="B38" s="249" t="s">
        <v>60</v>
      </c>
      <c r="C38" s="134"/>
      <c r="D38"/>
      <c r="E38"/>
      <c r="F38"/>
      <c r="G38"/>
      <c r="H38"/>
    </row>
    <row r="39" spans="1:11" ht="15" customHeight="1" x14ac:dyDescent="0.35">
      <c r="B39" s="249" t="s">
        <v>61</v>
      </c>
      <c r="C39" s="59" t="str">
        <f>IFERROR(VLOOKUP($C$38,Volt_Table,2,FALSE),"")</f>
        <v/>
      </c>
      <c r="D39"/>
      <c r="E39"/>
      <c r="F39"/>
      <c r="G39"/>
      <c r="H39"/>
    </row>
    <row r="40" spans="1:11" ht="15" customHeight="1" x14ac:dyDescent="0.35">
      <c r="B40" s="249" t="s">
        <v>5</v>
      </c>
      <c r="C40" s="60" t="str">
        <f>IFERROR(VLOOKUP($C$38,Volt_Table,3,FALSE),"")</f>
        <v/>
      </c>
      <c r="D40"/>
      <c r="E40"/>
      <c r="F40"/>
      <c r="G40"/>
      <c r="H40"/>
    </row>
    <row r="41" spans="1:11" ht="15" customHeight="1" x14ac:dyDescent="0.35">
      <c r="B41" s="249" t="s">
        <v>6</v>
      </c>
      <c r="C41" s="61" t="str">
        <f>IFERROR(VLOOKUP($C$38,Volt_Table,4,FALSE),"")</f>
        <v/>
      </c>
      <c r="D41"/>
      <c r="E41"/>
      <c r="F41"/>
      <c r="G41"/>
      <c r="H41"/>
    </row>
    <row r="42" spans="1:11" ht="15" customHeight="1" x14ac:dyDescent="0.35">
      <c r="B42" s="249" t="s">
        <v>62</v>
      </c>
      <c r="C42" s="59" t="str">
        <f>IFERROR(VLOOKUP($C$38,Volt_Table,5,FALSE),"")</f>
        <v/>
      </c>
      <c r="D42"/>
      <c r="E42"/>
      <c r="F42"/>
      <c r="G42"/>
      <c r="H42"/>
    </row>
    <row r="43" spans="1:11" ht="15" customHeight="1" x14ac:dyDescent="0.35">
      <c r="B43" s="249" t="s">
        <v>63</v>
      </c>
      <c r="C43" s="16" t="str">
        <f>IFERROR(VLOOKUP($C$38,Volt_Table,6,FALSE),"")</f>
        <v/>
      </c>
      <c r="D43"/>
      <c r="E43"/>
      <c r="F43"/>
      <c r="G43"/>
      <c r="H43"/>
    </row>
    <row r="44" spans="1:11" ht="15" customHeight="1" x14ac:dyDescent="0.35">
      <c r="D44"/>
      <c r="E44"/>
      <c r="F44"/>
      <c r="G44"/>
      <c r="H44"/>
    </row>
    <row r="45" spans="1:11" s="22" customFormat="1" ht="30" customHeight="1" x14ac:dyDescent="0.35">
      <c r="A45" s="612" t="s">
        <v>64</v>
      </c>
      <c r="B45" s="612"/>
      <c r="C45" s="612"/>
      <c r="D45" s="612"/>
      <c r="E45" s="612"/>
      <c r="F45" s="612"/>
      <c r="G45" s="612"/>
      <c r="H45" s="612"/>
      <c r="I45" s="612"/>
      <c r="J45" s="612"/>
      <c r="K45" s="612"/>
    </row>
    <row r="46" spans="1:11" s="22" customFormat="1" ht="15" customHeight="1" x14ac:dyDescent="0.35">
      <c r="A46" s="257"/>
      <c r="B46" s="257"/>
      <c r="C46" s="271"/>
      <c r="D46"/>
      <c r="E46"/>
      <c r="F46"/>
      <c r="G46"/>
      <c r="H46"/>
    </row>
    <row r="47" spans="1:11" ht="15" customHeight="1" x14ac:dyDescent="0.35">
      <c r="B47" s="249" t="s">
        <v>65</v>
      </c>
      <c r="C47" s="134" t="s">
        <v>42</v>
      </c>
      <c r="D47"/>
      <c r="E47"/>
      <c r="F47"/>
      <c r="G47"/>
      <c r="H47"/>
    </row>
    <row r="48" spans="1:11" ht="15" customHeight="1" x14ac:dyDescent="0.35">
      <c r="B48" s="249" t="s">
        <v>66</v>
      </c>
      <c r="C48" s="134" t="s">
        <v>42</v>
      </c>
      <c r="D48"/>
      <c r="E48"/>
      <c r="F48"/>
      <c r="G48"/>
      <c r="H48"/>
    </row>
    <row r="49" spans="1:11" ht="15" customHeight="1" x14ac:dyDescent="0.35">
      <c r="B49" s="249" t="s">
        <v>67</v>
      </c>
      <c r="C49" s="135">
        <v>75</v>
      </c>
      <c r="D49"/>
      <c r="E49"/>
      <c r="F49"/>
      <c r="G49"/>
      <c r="H49"/>
    </row>
    <row r="50" spans="1:11" ht="15" customHeight="1" x14ac:dyDescent="0.35">
      <c r="B50" s="249" t="s">
        <v>68</v>
      </c>
      <c r="C50" s="134" t="s">
        <v>1601</v>
      </c>
      <c r="D50"/>
      <c r="E50"/>
      <c r="F50"/>
      <c r="G50"/>
      <c r="H50"/>
    </row>
    <row r="51" spans="1:11" ht="15" customHeight="1" x14ac:dyDescent="0.35">
      <c r="D51"/>
      <c r="E51"/>
      <c r="F51"/>
      <c r="G51"/>
      <c r="H51"/>
    </row>
    <row r="52" spans="1:11" s="22" customFormat="1" ht="30" customHeight="1" x14ac:dyDescent="0.35">
      <c r="A52" s="615" t="s">
        <v>69</v>
      </c>
      <c r="B52" s="616"/>
      <c r="C52" s="616"/>
      <c r="D52" s="616"/>
      <c r="E52" s="616"/>
      <c r="F52" s="616"/>
      <c r="G52" s="616"/>
      <c r="H52" s="616"/>
      <c r="I52" s="616"/>
      <c r="J52" s="616"/>
      <c r="K52" s="616"/>
    </row>
    <row r="53" spans="1:11" s="22" customFormat="1" ht="15" customHeight="1" x14ac:dyDescent="0.35">
      <c r="A53" s="257"/>
      <c r="B53" s="257"/>
      <c r="C53" s="271"/>
      <c r="D53" s="257"/>
      <c r="E53" s="257"/>
      <c r="F53" s="257"/>
      <c r="G53" s="257"/>
      <c r="H53" s="257"/>
    </row>
    <row r="54" spans="1:11" ht="15" customHeight="1" x14ac:dyDescent="0.35">
      <c r="B54" s="249" t="s">
        <v>70</v>
      </c>
      <c r="C54" s="272" t="s">
        <v>71</v>
      </c>
      <c r="D54" s="273" t="s">
        <v>72</v>
      </c>
    </row>
    <row r="55" spans="1:11" ht="15" customHeight="1" x14ac:dyDescent="0.35">
      <c r="B55" s="249" t="s">
        <v>73</v>
      </c>
      <c r="C55" s="134" t="s">
        <v>71</v>
      </c>
    </row>
    <row r="56" spans="1:11" ht="15" customHeight="1" x14ac:dyDescent="0.35">
      <c r="B56" s="249" t="s">
        <v>74</v>
      </c>
      <c r="C56" s="134" t="s">
        <v>71</v>
      </c>
    </row>
    <row r="57" spans="1:11" ht="15" customHeight="1" x14ac:dyDescent="0.35">
      <c r="B57" s="249" t="s">
        <v>75</v>
      </c>
      <c r="C57" s="134" t="s">
        <v>71</v>
      </c>
    </row>
    <row r="58" spans="1:11" ht="15" customHeight="1" x14ac:dyDescent="0.35">
      <c r="B58" s="249" t="s">
        <v>1797</v>
      </c>
      <c r="C58" s="272" t="s">
        <v>1798</v>
      </c>
      <c r="D58" s="273" t="s">
        <v>1799</v>
      </c>
    </row>
    <row r="59" spans="1:11" ht="15" customHeight="1" x14ac:dyDescent="0.35">
      <c r="B59" s="249" t="s">
        <v>249</v>
      </c>
      <c r="C59" s="272" t="s">
        <v>1798</v>
      </c>
      <c r="D59" s="273" t="s">
        <v>1800</v>
      </c>
    </row>
    <row r="60" spans="1:11" ht="15" customHeight="1" x14ac:dyDescent="0.35"/>
    <row r="61" spans="1:11" s="22" customFormat="1" ht="30" customHeight="1" x14ac:dyDescent="0.35">
      <c r="A61" s="612" t="s">
        <v>1748</v>
      </c>
      <c r="B61" s="612"/>
      <c r="C61" s="612"/>
      <c r="D61" s="612"/>
      <c r="E61" s="612"/>
      <c r="F61" s="612"/>
      <c r="G61" s="612"/>
      <c r="H61" s="612"/>
      <c r="I61" s="612"/>
      <c r="J61" s="612"/>
      <c r="K61" s="612"/>
    </row>
    <row r="62" spans="1:11" s="22" customFormat="1" ht="15" customHeight="1" x14ac:dyDescent="0.45">
      <c r="A62" s="496"/>
      <c r="B62" s="496"/>
      <c r="C62" s="496"/>
      <c r="D62" s="496"/>
      <c r="E62" s="496"/>
      <c r="F62" s="496"/>
      <c r="G62" s="496"/>
      <c r="H62" s="496"/>
      <c r="I62" s="496"/>
      <c r="J62" s="496"/>
      <c r="K62" s="496"/>
    </row>
    <row r="63" spans="1:11" ht="15" customHeight="1" x14ac:dyDescent="0.45">
      <c r="A63" s="495"/>
      <c r="B63" s="498" t="s">
        <v>1749</v>
      </c>
      <c r="C63" s="499" t="s">
        <v>1750</v>
      </c>
      <c r="D63" s="499" t="s">
        <v>1751</v>
      </c>
      <c r="E63" s="499" t="s">
        <v>1752</v>
      </c>
      <c r="F63" s="499" t="s">
        <v>1753</v>
      </c>
      <c r="G63" s="495"/>
      <c r="H63" s="495"/>
      <c r="I63" s="495"/>
      <c r="J63" s="495"/>
      <c r="K63" s="495"/>
    </row>
    <row r="64" spans="1:11" ht="15" customHeight="1" x14ac:dyDescent="0.45">
      <c r="A64" s="495"/>
      <c r="B64" s="498" t="s">
        <v>1754</v>
      </c>
      <c r="C64" s="501"/>
      <c r="D64" s="501"/>
      <c r="E64" s="501"/>
      <c r="F64" s="501"/>
      <c r="G64" s="495"/>
      <c r="H64" s="495"/>
      <c r="I64" s="495"/>
      <c r="J64" s="495"/>
      <c r="K64" s="495"/>
    </row>
    <row r="65" spans="1:11" customFormat="1" ht="15" customHeight="1" x14ac:dyDescent="0.45">
      <c r="A65" s="495"/>
      <c r="B65" s="498" t="s">
        <v>1733</v>
      </c>
      <c r="C65" s="501"/>
      <c r="D65" s="501"/>
      <c r="E65" s="501"/>
      <c r="F65" s="501"/>
      <c r="G65" s="495"/>
      <c r="H65" s="495"/>
      <c r="I65" s="495"/>
      <c r="J65" s="495"/>
      <c r="K65" s="495"/>
    </row>
    <row r="66" spans="1:11" customFormat="1" ht="15" customHeight="1" x14ac:dyDescent="0.45">
      <c r="A66" s="495"/>
      <c r="B66" s="498" t="s">
        <v>1755</v>
      </c>
      <c r="C66" s="501"/>
      <c r="D66" s="501"/>
      <c r="E66" s="501"/>
      <c r="F66" s="501"/>
      <c r="G66" s="495"/>
      <c r="H66" s="495"/>
      <c r="I66" s="495"/>
      <c r="J66" s="495"/>
      <c r="K66" s="495"/>
    </row>
    <row r="67" spans="1:11" ht="15" customHeight="1" x14ac:dyDescent="0.45">
      <c r="A67" s="495"/>
      <c r="B67" s="498" t="s">
        <v>1734</v>
      </c>
      <c r="C67" s="505"/>
      <c r="D67" s="505"/>
      <c r="E67" s="505"/>
      <c r="F67" s="505"/>
      <c r="G67" s="495"/>
      <c r="H67" s="495"/>
      <c r="I67" s="495"/>
      <c r="J67" s="495"/>
      <c r="K67" s="495"/>
    </row>
    <row r="68" spans="1:11" ht="15" customHeight="1" x14ac:dyDescent="0.45">
      <c r="A68" s="495"/>
      <c r="B68" s="498" t="s">
        <v>1735</v>
      </c>
      <c r="C68" s="506"/>
      <c r="D68" s="506"/>
      <c r="E68" s="506"/>
      <c r="F68" s="506"/>
      <c r="G68" s="495"/>
      <c r="H68" s="495"/>
      <c r="I68" s="495"/>
      <c r="J68" s="495"/>
      <c r="K68" s="495"/>
    </row>
    <row r="69" spans="1:11" ht="15" customHeight="1" x14ac:dyDescent="0.45">
      <c r="A69" s="495"/>
      <c r="B69" s="498" t="s">
        <v>1736</v>
      </c>
      <c r="C69" s="507" t="str">
        <f>IF(OR(C$64="",Cfg_Volt=""),"",Cfg_Volt)</f>
        <v/>
      </c>
      <c r="D69" s="507" t="str">
        <f>IF(OR(D$64="",Cfg_Volt=""),"",Cfg_Volt)</f>
        <v/>
      </c>
      <c r="E69" s="507" t="str">
        <f>IF(OR(E$64="",Cfg_Volt=""),"",Cfg_Volt)</f>
        <v/>
      </c>
      <c r="F69" s="507" t="str">
        <f>IF(OR(F$64="",Cfg_Volt=""),"",Cfg_Volt)</f>
        <v/>
      </c>
      <c r="G69" s="495"/>
      <c r="H69" s="495"/>
      <c r="I69" s="495"/>
      <c r="J69" s="495"/>
      <c r="K69" s="495"/>
    </row>
    <row r="70" spans="1:11" ht="15" customHeight="1" x14ac:dyDescent="0.45">
      <c r="A70" s="495"/>
      <c r="B70" s="498" t="s">
        <v>1737</v>
      </c>
      <c r="C70" s="508"/>
      <c r="D70" s="508"/>
      <c r="E70" s="508"/>
      <c r="F70" s="508"/>
      <c r="G70" s="495"/>
      <c r="H70" s="495"/>
      <c r="I70" s="495"/>
      <c r="J70" s="495"/>
      <c r="K70" s="495"/>
    </row>
    <row r="71" spans="1:11" ht="15" customHeight="1" x14ac:dyDescent="0.45">
      <c r="A71" s="495"/>
      <c r="B71" s="498" t="s">
        <v>1738</v>
      </c>
      <c r="C71" s="509"/>
      <c r="D71" s="509"/>
      <c r="E71" s="509"/>
      <c r="F71" s="509"/>
      <c r="G71" s="495"/>
      <c r="H71" s="495"/>
      <c r="I71" s="495"/>
      <c r="J71" s="495"/>
      <c r="K71" s="495"/>
    </row>
    <row r="72" spans="1:11" ht="15" customHeight="1" x14ac:dyDescent="0.45">
      <c r="A72" s="495"/>
      <c r="B72" s="498" t="s">
        <v>1756</v>
      </c>
      <c r="C72" s="510"/>
      <c r="D72" s="510"/>
      <c r="E72" s="510"/>
      <c r="F72" s="510"/>
      <c r="G72" s="495"/>
      <c r="H72" s="495"/>
      <c r="I72" s="495"/>
      <c r="J72" s="495"/>
      <c r="K72" s="495"/>
    </row>
    <row r="73" spans="1:11" ht="15" customHeight="1" x14ac:dyDescent="0.45">
      <c r="A73" s="495"/>
      <c r="B73" s="498" t="s">
        <v>1739</v>
      </c>
      <c r="C73" s="511" t="str">
        <f>IF(OR(C$64="",C$67="",C$69=""),"",C$67*1000/(IF(Cfg_Phase=1,1,SQRT(3))*C$69))</f>
        <v/>
      </c>
      <c r="D73" s="511" t="str">
        <f>IF(OR(D$64="",D$67="",D$69=""),"",D$67*1000/(IF(Cfg_Phase=1,1,SQRT(3))*D$69))</f>
        <v/>
      </c>
      <c r="E73" s="511" t="str">
        <f>IF(OR(E$64="",E$67="",E$69=""),"",E$67*1000/(IF(Cfg_Phase=1,1,SQRT(3))*E$69))</f>
        <v/>
      </c>
      <c r="F73" s="511" t="str">
        <f>IF(OR(F$64="",F$67="",F$69=""),"",F$67*1000/(IF(Cfg_Phase=1,1,SQRT(3))*F$69))</f>
        <v/>
      </c>
      <c r="G73" s="495"/>
      <c r="H73" s="495"/>
      <c r="I73" s="495"/>
      <c r="J73" s="495"/>
      <c r="K73" s="495"/>
    </row>
    <row r="74" spans="1:11" ht="15" customHeight="1" x14ac:dyDescent="0.45">
      <c r="A74" s="495"/>
      <c r="B74" s="498" t="s">
        <v>1740</v>
      </c>
      <c r="C74" s="511" t="str">
        <f>IF(OR(C$64="",C$67="",C$69="",C$70="",C$70=0),"",C$67*1000/(IF(Cfg_Phase=1,1,SQRT(3))*C$69*C$70/100))</f>
        <v/>
      </c>
      <c r="D74" s="511" t="str">
        <f>IF(OR(D$64="",D$67="",D$69="",D$70="",D$70=0),"",D$67*1000/(IF(Cfg_Phase=1,1,SQRT(3))*D$69*D$70/100))</f>
        <v/>
      </c>
      <c r="E74" s="511" t="str">
        <f>IF(OR(E$64="",E$67="",E$69="",E$70="",E$70=0),"",E$67*1000/(IF(Cfg_Phase=1,1,SQRT(3))*E$69*E$70/100))</f>
        <v/>
      </c>
      <c r="F74" s="511" t="str">
        <f>IF(OR(F$64="",F$67="",F$69="",F$70="",F$70=0),"",F$67*1000/(IF(Cfg_Phase=1,1,SQRT(3))*F$69*F$70/100))</f>
        <v/>
      </c>
      <c r="G74" s="495"/>
      <c r="H74" s="495"/>
      <c r="I74" s="495"/>
      <c r="J74" s="495"/>
      <c r="K74" s="495"/>
    </row>
    <row r="75" spans="1:11" ht="15" customHeight="1" x14ac:dyDescent="0.45">
      <c r="A75" s="495"/>
      <c r="B75" s="498" t="s">
        <v>1757</v>
      </c>
      <c r="C75" s="511" t="str" cm="1">
        <f t="array" ref="C75">IF(OR(C$64="",C$72=""),"",_xlfn.LET(_xlpm.s,C$64,_xlpm.own,C$72,_xlpm.a,Tie_SrcA,_xlpm.b,Tie_SrcB,_xlpm.act,(Tie_Tags&lt;&gt;"")*(_xlpm.a&lt;&gt;"")*(_xlpm.b&lt;&gt;"")*(_xlpm.a&lt;&gt;_xlpm.b)*((_xlpm.a=_xlpm.s)+(_xlpm.b=_xlpm.s)),_xlpm.oth,IF(_xlpm.a=_xlpm.s,_xlpm.b,_xlpm.a),_xlpm.os,IFERROR(_xlfn.XLOOKUP(_xlpm.oth,Util_Tags,Util_SCA),0),_xlpm.o,IF(ISNUMBER(_xlpm.os),_xlpm.os,0),_xlpm.par,Tie_Par*1,MAX(_xlpm.own+SUM(_xlpm.act*_xlpm.par*_xlpm.o),MAX(_xlpm.act*(1-_xlpm.par)*_xlpm.o))))</f>
        <v/>
      </c>
      <c r="D75" s="511" t="str" cm="1">
        <f t="array" ref="D75">IF(OR(D$64="",D$72=""),"",_xlfn.LET(_xlpm.s,D$64,_xlpm.own,D$72,_xlpm.a,Tie_SrcA,_xlpm.b,Tie_SrcB,_xlpm.act,(Tie_Tags&lt;&gt;"")*(_xlpm.a&lt;&gt;"")*(_xlpm.b&lt;&gt;"")*(_xlpm.a&lt;&gt;_xlpm.b)*((_xlpm.a=_xlpm.s)+(_xlpm.b=_xlpm.s)),_xlpm.oth,IF(_xlpm.a=_xlpm.s,_xlpm.b,_xlpm.a),_xlpm.os,IFERROR(_xlfn.XLOOKUP(_xlpm.oth,Util_Tags,Util_SCA),0),_xlpm.o,IF(ISNUMBER(_xlpm.os),_xlpm.os,0),_xlpm.par,Tie_Par*1,MAX(_xlpm.own+SUM(_xlpm.act*_xlpm.par*_xlpm.o),MAX(_xlpm.act*(1-_xlpm.par)*_xlpm.o))))</f>
        <v/>
      </c>
      <c r="E75" s="511" t="str" cm="1">
        <f t="array" ref="E75">IF(OR(E$64="",E$72=""),"",_xlfn.LET(_xlpm.s,E$64,_xlpm.own,E$72,_xlpm.a,Tie_SrcA,_xlpm.b,Tie_SrcB,_xlpm.act,(Tie_Tags&lt;&gt;"")*(_xlpm.a&lt;&gt;"")*(_xlpm.b&lt;&gt;"")*(_xlpm.a&lt;&gt;_xlpm.b)*((_xlpm.a=_xlpm.s)+(_xlpm.b=_xlpm.s)),_xlpm.oth,IF(_xlpm.a=_xlpm.s,_xlpm.b,_xlpm.a),_xlpm.os,IFERROR(_xlfn.XLOOKUP(_xlpm.oth,Util_Tags,Util_SCA),0),_xlpm.o,IF(ISNUMBER(_xlpm.os),_xlpm.os,0),_xlpm.par,Tie_Par*1,MAX(_xlpm.own+SUM(_xlpm.act*_xlpm.par*_xlpm.o),MAX(_xlpm.act*(1-_xlpm.par)*_xlpm.o))))</f>
        <v/>
      </c>
      <c r="F75" s="511" t="str" cm="1">
        <f t="array" ref="F75">IF(OR(F$64="",F$72=""),"",_xlfn.LET(_xlpm.s,F$64,_xlpm.own,F$72,_xlpm.a,Tie_SrcA,_xlpm.b,Tie_SrcB,_xlpm.act,(Tie_Tags&lt;&gt;"")*(_xlpm.a&lt;&gt;"")*(_xlpm.b&lt;&gt;"")*(_xlpm.a&lt;&gt;_xlpm.b)*((_xlpm.a=_xlpm.s)+(_xlpm.b=_xlpm.s)),_xlpm.oth,IF(_xlpm.a=_xlpm.s,_xlpm.b,_xlpm.a),_xlpm.os,IFERROR(_xlfn.XLOOKUP(_xlpm.oth,Util_Tags,Util_SCA),0),_xlpm.o,IF(ISNUMBER(_xlpm.os),_xlpm.os,0),_xlpm.par,Tie_Par*1,MAX(_xlpm.own+SUM(_xlpm.act*_xlpm.par*_xlpm.o),MAX(_xlpm.act*(1-_xlpm.par)*_xlpm.o))))</f>
        <v/>
      </c>
      <c r="G75" s="495"/>
      <c r="H75" s="495"/>
      <c r="I75" s="495"/>
      <c r="J75" s="495"/>
      <c r="K75" s="495"/>
    </row>
    <row r="76" spans="1:11" ht="15" customHeight="1" x14ac:dyDescent="0.45">
      <c r="A76" s="495"/>
      <c r="B76" s="498" t="s">
        <v>1758</v>
      </c>
      <c r="C76" s="502" t="str">
        <f>IF(C$64="","",_xlfn.LET(_xlpm.n,COUNTIF(Equip_FedFrom,C$64),IF(_xlpm.n=0,"— none linked",_xlpm.n&amp;" board"&amp;IF(_xlpm.n=1,"","s"))))</f>
        <v/>
      </c>
      <c r="D76" s="502" t="str">
        <f>IF(D$64="","",_xlfn.LET(_xlpm.n,COUNTIF(Equip_FedFrom,D$64),IF(_xlpm.n=0,"— none linked",_xlpm.n&amp;" board"&amp;IF(_xlpm.n=1,"","s"))))</f>
        <v/>
      </c>
      <c r="E76" s="502" t="str">
        <f>IF(E$64="","",_xlfn.LET(_xlpm.n,COUNTIF(Equip_FedFrom,E$64),IF(_xlpm.n=0,"— none linked",_xlpm.n&amp;" board"&amp;IF(_xlpm.n=1,"","s"))))</f>
        <v/>
      </c>
      <c r="F76" s="502" t="str">
        <f>IF(F$64="","",_xlfn.LET(_xlpm.n,COUNTIF(Equip_FedFrom,F$64),IF(_xlpm.n=0,"— none linked",_xlpm.n&amp;" board"&amp;IF(_xlpm.n=1,"","s"))))</f>
        <v/>
      </c>
      <c r="G76" s="495"/>
      <c r="H76" s="495"/>
      <c r="I76" s="495"/>
      <c r="J76" s="495"/>
      <c r="K76" s="495"/>
    </row>
    <row r="77" spans="1:11" ht="15" customHeight="1" x14ac:dyDescent="0.45">
      <c r="A77" s="495"/>
      <c r="B77" s="500" t="s">
        <v>1759</v>
      </c>
      <c r="C77" s="503" t="str">
        <f>IF(C$64="","",IF(C$72="","⚠ enter fault A",IF(C$74="","—",IF(C$72&gt;C$74*1.001,"⚠ &gt; infinite bus","✔ ≤ infinite bus"))))</f>
        <v/>
      </c>
      <c r="D77" s="503" t="str">
        <f>IF(D$64="","",IF(D$72="","⚠ enter fault A",IF(D$74="","—",IF(D$72&gt;D$74*1.001,"⚠ &gt; infinite bus","✔ ≤ infinite bus"))))</f>
        <v/>
      </c>
      <c r="E77" s="503" t="str">
        <f>IF(E$64="","",IF(E$72="","⚠ enter fault A",IF(E$74="","—",IF(E$72&gt;E$74*1.001,"⚠ &gt; infinite bus","✔ ≤ infinite bus"))))</f>
        <v/>
      </c>
      <c r="F77" s="503" t="str">
        <f>IF(F$64="","",IF(F$72="","⚠ enter fault A",IF(F$74="","—",IF(F$72&gt;F$74*1.001,"⚠ &gt; infinite bus","✔ ≤ infinite bus"))))</f>
        <v/>
      </c>
      <c r="G77" s="495"/>
      <c r="H77" s="495"/>
      <c r="I77" s="495"/>
      <c r="J77" s="495"/>
      <c r="K77" s="495"/>
    </row>
    <row r="78" spans="1:11" ht="15" customHeight="1" x14ac:dyDescent="0.45">
      <c r="A78" s="495"/>
      <c r="B78" s="497" t="str" cm="1">
        <f t="array" ref="B78">"Multiple Services (NEC "&amp;NECREF("230.2")&amp;")"</f>
        <v>Multiple Services (NEC 230.2)</v>
      </c>
      <c r="C78" s="627" t="str" cm="1">
        <f t="array" ref="C78">_xlfn.LET(_xlpm.n,COUNTIFS($C$64:$F$64,"&lt;&gt;",$C$66:$F$66,"&lt;&gt;Owner"),IF(_xlpm.n=0,"— no source tagged",IF(_xlpm.n=1,"✔ single service","⚠ "&amp;_xlpm.n&amp;(" services — confirm "&amp;NECREF("230.2")&amp;"(A)–(D) condition + "&amp;NECREF("230.2")&amp;"(E) directory"))))</f>
        <v>— no source tagged</v>
      </c>
      <c r="D78" s="628"/>
      <c r="E78" s="628"/>
      <c r="F78" s="629"/>
      <c r="G78" s="495"/>
      <c r="H78" s="495"/>
      <c r="I78" s="495"/>
      <c r="J78" s="495"/>
      <c r="K78" s="495"/>
    </row>
    <row r="79" spans="1:11" ht="15" customHeight="1" x14ac:dyDescent="0.45">
      <c r="A79" s="495"/>
      <c r="B79" s="495"/>
      <c r="C79" s="495"/>
      <c r="D79" s="495"/>
      <c r="E79" s="495"/>
      <c r="F79" s="495"/>
      <c r="G79" s="495"/>
      <c r="H79" s="495"/>
      <c r="I79" s="495"/>
      <c r="J79" s="495"/>
      <c r="K79" s="495"/>
    </row>
    <row r="80" spans="1:11" ht="30" customHeight="1" x14ac:dyDescent="0.35">
      <c r="A80" s="612" t="s">
        <v>1760</v>
      </c>
      <c r="B80" s="612"/>
      <c r="C80" s="612"/>
      <c r="D80" s="612"/>
      <c r="E80" s="612"/>
      <c r="F80" s="612"/>
      <c r="G80" s="612"/>
      <c r="H80" s="612"/>
      <c r="I80" s="612"/>
      <c r="J80" s="612"/>
      <c r="K80" s="612"/>
    </row>
    <row r="81" spans="1:11" ht="15" customHeight="1" x14ac:dyDescent="0.45">
      <c r="A81" s="496"/>
      <c r="B81" s="496"/>
      <c r="C81" s="496"/>
      <c r="D81" s="496"/>
      <c r="E81" s="496"/>
      <c r="F81" s="496"/>
      <c r="G81" s="496"/>
      <c r="H81" s="496"/>
      <c r="I81" s="496"/>
      <c r="J81" s="496"/>
      <c r="K81" s="496"/>
    </row>
    <row r="82" spans="1:11" ht="15" customHeight="1" x14ac:dyDescent="0.45">
      <c r="A82" s="499" t="s">
        <v>575</v>
      </c>
      <c r="B82" s="499" t="s">
        <v>1761</v>
      </c>
      <c r="C82" s="499" t="s">
        <v>1762</v>
      </c>
      <c r="D82" s="499" t="s">
        <v>1763</v>
      </c>
      <c r="E82" s="499" t="s">
        <v>1764</v>
      </c>
      <c r="F82" s="499" t="s">
        <v>1765</v>
      </c>
      <c r="G82" s="499" t="s">
        <v>1766</v>
      </c>
      <c r="H82" s="499" t="s">
        <v>576</v>
      </c>
      <c r="I82" s="499" t="s">
        <v>1767</v>
      </c>
      <c r="J82" s="499" t="s">
        <v>1768</v>
      </c>
      <c r="K82" s="495"/>
    </row>
    <row r="83" spans="1:11" ht="15" customHeight="1" x14ac:dyDescent="0.45">
      <c r="A83" s="499">
        <v>1</v>
      </c>
      <c r="B83" s="512"/>
      <c r="C83" s="501"/>
      <c r="D83" s="501"/>
      <c r="E83" s="501"/>
      <c r="F83" s="501"/>
      <c r="G83" s="502" t="str" cm="1">
        <f t="array" ref="G83">IF($B83="","",_xlfn.LET(_xlpm.a,INDEX(Tie_SrcA,$A83),_xlpm.b,INDEX(Tie_SrcB,$A83),IF(_xlpm.a="","?",_xlpm.a)&amp;" ↔ "&amp;IF(_xlpm.b="","?",_xlpm.b)))</f>
        <v/>
      </c>
      <c r="H83" s="504" t="str" cm="1">
        <f t="array" ref="H83">IF($B83="","",_xlfn.LET(_xlpm.a,INDEX(Tie_SrcA,$A83),_xlpm.b,INDEX(Tie_SrcB,$A83),IF(OR($C83="",$D83=""),"⚠ select Bus A and Bus B",IF(OR(_xlpm.a="",_xlpm.b=""),"⚠ a bus does not trace back to a utility source",IF(_xlpm.a=_xlpm.b,"⚠ both buses on "&amp;_xlpm.a&amp;" — no source redundancy",_xlfn.LET(_xlpm.ka,N(_xlfn.XLOOKUP(_xlpm.a,Util_Tags,Util_KVA)),_xlpm.kb,N(_xlfn.XLOOKUP(_xlpm.b,Util_Tags,Util_KVA)),IF(OR(_xlpm.ka=0,_xlpm.kb=0),"⚠ enter source kVA",IF(MIN(_xlpm.ka,_xlpm.kb)&gt;=N($J83),"✔ either source carries both buses","⚠ "&amp;IF(_xlpm.ka=_xlpm.kb,_xlpm.a&amp;" / "&amp;_xlpm.b,IF(_xlpm.ka&lt;_xlpm.kb,_xlpm.a,_xlpm.b))&amp;" "&amp;TEXT(MIN(_xlpm.ka,_xlpm.kb),"#,##0")&amp;" kVA &lt; "&amp;TEXT($J83,"#,##0")&amp;" kVA combined"))))))))</f>
        <v/>
      </c>
      <c r="I83" s="511" t="str" cm="1">
        <f t="array" ref="I83">IF($B83="","",_xlfn.LET(_xlpm.a,INDEX(Tie_SrcA,$A83),_xlpm.b,INDEX(Tie_SrcB,$A83),_xlpm.fa,N(IFERROR(_xlfn.XLOOKUP(_xlpm.a,Util_Tags,Util_SCA),0)),_xlpm.fb,N(IFERROR(_xlfn.XLOOKUP(_xlpm.b,Util_Tags,Util_SCA),0)),IF(OR(_xlpm.a="",_xlpm.b="",_xlpm.a=_xlpm.b,_xlpm.fa=0,_xlpm.fb=0),"",IF(INDEX(Tie_Par,$A83),_xlpm.fa+_xlpm.fb,MAX(_xlpm.fa,_xlpm.fb)))))</f>
        <v/>
      </c>
      <c r="J83" s="513" t="str">
        <f>IF(OR($B83="",$C83="",$D83=""),"",SUMIFS(Equip_Demand,Equip_List,$C83)+SUMIFS(Equip_Demand,Equip_List,$D83))</f>
        <v/>
      </c>
      <c r="K83" s="495"/>
    </row>
    <row r="84" spans="1:11" ht="15" customHeight="1" x14ac:dyDescent="0.45">
      <c r="A84" s="499">
        <v>2</v>
      </c>
      <c r="B84" s="512"/>
      <c r="C84" s="501"/>
      <c r="D84" s="501"/>
      <c r="E84" s="501"/>
      <c r="F84" s="501"/>
      <c r="G84" s="502" t="str" cm="1">
        <f t="array" ref="G84">IF($B84="","",_xlfn.LET(_xlpm.a,INDEX(Tie_SrcA,$A84),_xlpm.b,INDEX(Tie_SrcB,$A84),IF(_xlpm.a="","?",_xlpm.a)&amp;" ↔ "&amp;IF(_xlpm.b="","?",_xlpm.b)))</f>
        <v/>
      </c>
      <c r="H84" s="504" t="str" cm="1">
        <f t="array" ref="H84">IF($B84="","",_xlfn.LET(_xlpm.a,INDEX(Tie_SrcA,$A84),_xlpm.b,INDEX(Tie_SrcB,$A84),IF(OR($C84="",$D84=""),"⚠ select Bus A and Bus B",IF(OR(_xlpm.a="",_xlpm.b=""),"⚠ a bus does not trace back to a utility source",IF(_xlpm.a=_xlpm.b,"⚠ both buses on "&amp;_xlpm.a&amp;" — no source redundancy",_xlfn.LET(_xlpm.ka,N(_xlfn.XLOOKUP(_xlpm.a,Util_Tags,Util_KVA)),_xlpm.kb,N(_xlfn.XLOOKUP(_xlpm.b,Util_Tags,Util_KVA)),IF(OR(_xlpm.ka=0,_xlpm.kb=0),"⚠ enter source kVA",IF(MIN(_xlpm.ka,_xlpm.kb)&gt;=N($J84),"✔ either source carries both buses","⚠ "&amp;IF(_xlpm.ka=_xlpm.kb,_xlpm.a&amp;" / "&amp;_xlpm.b,IF(_xlpm.ka&lt;_xlpm.kb,_xlpm.a,_xlpm.b))&amp;" "&amp;TEXT(MIN(_xlpm.ka,_xlpm.kb),"#,##0")&amp;" kVA &lt; "&amp;TEXT($J84,"#,##0")&amp;" kVA combined"))))))))</f>
        <v/>
      </c>
      <c r="I84" s="511" t="str" cm="1">
        <f t="array" ref="I84">IF($B84="","",_xlfn.LET(_xlpm.a,INDEX(Tie_SrcA,$A84),_xlpm.b,INDEX(Tie_SrcB,$A84),_xlpm.fa,N(IFERROR(_xlfn.XLOOKUP(_xlpm.a,Util_Tags,Util_SCA),0)),_xlpm.fb,N(IFERROR(_xlfn.XLOOKUP(_xlpm.b,Util_Tags,Util_SCA),0)),IF(OR(_xlpm.a="",_xlpm.b="",_xlpm.a=_xlpm.b,_xlpm.fa=0,_xlpm.fb=0),"",IF(INDEX(Tie_Par,$A84),_xlpm.fa+_xlpm.fb,MAX(_xlpm.fa,_xlpm.fb)))))</f>
        <v/>
      </c>
      <c r="J84" s="513" t="str">
        <f>IF(OR($B84="",$C84="",$D84=""),"",SUMIFS(Equip_Demand,Equip_List,$C84)+SUMIFS(Equip_Demand,Equip_List,$D84))</f>
        <v/>
      </c>
      <c r="K84" s="495"/>
    </row>
    <row r="85" spans="1:11" ht="15" customHeight="1" x14ac:dyDescent="0.45">
      <c r="A85" s="499">
        <v>3</v>
      </c>
      <c r="B85" s="512"/>
      <c r="C85" s="501"/>
      <c r="D85" s="501"/>
      <c r="E85" s="501"/>
      <c r="F85" s="501"/>
      <c r="G85" s="502" t="str" cm="1">
        <f t="array" ref="G85">IF($B85="","",_xlfn.LET(_xlpm.a,INDEX(Tie_SrcA,$A85),_xlpm.b,INDEX(Tie_SrcB,$A85),IF(_xlpm.a="","?",_xlpm.a)&amp;" ↔ "&amp;IF(_xlpm.b="","?",_xlpm.b)))</f>
        <v/>
      </c>
      <c r="H85" s="504" t="str" cm="1">
        <f t="array" ref="H85">IF($B85="","",_xlfn.LET(_xlpm.a,INDEX(Tie_SrcA,$A85),_xlpm.b,INDEX(Tie_SrcB,$A85),IF(OR($C85="",$D85=""),"⚠ select Bus A and Bus B",IF(OR(_xlpm.a="",_xlpm.b=""),"⚠ a bus does not trace back to a utility source",IF(_xlpm.a=_xlpm.b,"⚠ both buses on "&amp;_xlpm.a&amp;" — no source redundancy",_xlfn.LET(_xlpm.ka,N(_xlfn.XLOOKUP(_xlpm.a,Util_Tags,Util_KVA)),_xlpm.kb,N(_xlfn.XLOOKUP(_xlpm.b,Util_Tags,Util_KVA)),IF(OR(_xlpm.ka=0,_xlpm.kb=0),"⚠ enter source kVA",IF(MIN(_xlpm.ka,_xlpm.kb)&gt;=N($J85),"✔ either source carries both buses","⚠ "&amp;IF(_xlpm.ka=_xlpm.kb,_xlpm.a&amp;" / "&amp;_xlpm.b,IF(_xlpm.ka&lt;_xlpm.kb,_xlpm.a,_xlpm.b))&amp;" "&amp;TEXT(MIN(_xlpm.ka,_xlpm.kb),"#,##0")&amp;" kVA &lt; "&amp;TEXT($J85,"#,##0")&amp;" kVA combined"))))))))</f>
        <v/>
      </c>
      <c r="I85" s="511" t="str" cm="1">
        <f t="array" ref="I85">IF($B85="","",_xlfn.LET(_xlpm.a,INDEX(Tie_SrcA,$A85),_xlpm.b,INDEX(Tie_SrcB,$A85),_xlpm.fa,N(IFERROR(_xlfn.XLOOKUP(_xlpm.a,Util_Tags,Util_SCA),0)),_xlpm.fb,N(IFERROR(_xlfn.XLOOKUP(_xlpm.b,Util_Tags,Util_SCA),0)),IF(OR(_xlpm.a="",_xlpm.b="",_xlpm.a=_xlpm.b,_xlpm.fa=0,_xlpm.fb=0),"",IF(INDEX(Tie_Par,$A85),_xlpm.fa+_xlpm.fb,MAX(_xlpm.fa,_xlpm.fb)))))</f>
        <v/>
      </c>
      <c r="J85" s="513" t="str">
        <f>IF(OR($B85="",$C85="",$D85=""),"",SUMIFS(Equip_Demand,Equip_List,$C85)+SUMIFS(Equip_Demand,Equip_List,$D85))</f>
        <v/>
      </c>
      <c r="K85" s="495"/>
    </row>
    <row r="86" spans="1:11" ht="15" customHeight="1" x14ac:dyDescent="0.45">
      <c r="A86" s="499">
        <v>4</v>
      </c>
      <c r="B86" s="512"/>
      <c r="C86" s="501"/>
      <c r="D86" s="501"/>
      <c r="E86" s="501"/>
      <c r="F86" s="501"/>
      <c r="G86" s="502" t="str" cm="1">
        <f t="array" ref="G86">IF($B86="","",_xlfn.LET(_xlpm.a,INDEX(Tie_SrcA,$A86),_xlpm.b,INDEX(Tie_SrcB,$A86),IF(_xlpm.a="","?",_xlpm.a)&amp;" ↔ "&amp;IF(_xlpm.b="","?",_xlpm.b)))</f>
        <v/>
      </c>
      <c r="H86" s="504" t="str" cm="1">
        <f t="array" ref="H86">IF($B86="","",_xlfn.LET(_xlpm.a,INDEX(Tie_SrcA,$A86),_xlpm.b,INDEX(Tie_SrcB,$A86),IF(OR($C86="",$D86=""),"⚠ select Bus A and Bus B",IF(OR(_xlpm.a="",_xlpm.b=""),"⚠ a bus does not trace back to a utility source",IF(_xlpm.a=_xlpm.b,"⚠ both buses on "&amp;_xlpm.a&amp;" — no source redundancy",_xlfn.LET(_xlpm.ka,N(_xlfn.XLOOKUP(_xlpm.a,Util_Tags,Util_KVA)),_xlpm.kb,N(_xlfn.XLOOKUP(_xlpm.b,Util_Tags,Util_KVA)),IF(OR(_xlpm.ka=0,_xlpm.kb=0),"⚠ enter source kVA",IF(MIN(_xlpm.ka,_xlpm.kb)&gt;=N($J86),"✔ either source carries both buses","⚠ "&amp;IF(_xlpm.ka=_xlpm.kb,_xlpm.a&amp;" / "&amp;_xlpm.b,IF(_xlpm.ka&lt;_xlpm.kb,_xlpm.a,_xlpm.b))&amp;" "&amp;TEXT(MIN(_xlpm.ka,_xlpm.kb),"#,##0")&amp;" kVA &lt; "&amp;TEXT($J86,"#,##0")&amp;" kVA combined"))))))))</f>
        <v/>
      </c>
      <c r="I86" s="511" t="str" cm="1">
        <f t="array" ref="I86">IF($B86="","",_xlfn.LET(_xlpm.a,INDEX(Tie_SrcA,$A86),_xlpm.b,INDEX(Tie_SrcB,$A86),_xlpm.fa,N(IFERROR(_xlfn.XLOOKUP(_xlpm.a,Util_Tags,Util_SCA),0)),_xlpm.fb,N(IFERROR(_xlfn.XLOOKUP(_xlpm.b,Util_Tags,Util_SCA),0)),IF(OR(_xlpm.a="",_xlpm.b="",_xlpm.a=_xlpm.b,_xlpm.fa=0,_xlpm.fb=0),"",IF(INDEX(Tie_Par,$A86),_xlpm.fa+_xlpm.fb,MAX(_xlpm.fa,_xlpm.fb)))))</f>
        <v/>
      </c>
      <c r="J86" s="513" t="str">
        <f>IF(OR($B86="",$C86="",$D86=""),"",SUMIFS(Equip_Demand,Equip_List,$C86)+SUMIFS(Equip_Demand,Equip_List,$D86))</f>
        <v/>
      </c>
      <c r="K86" s="495"/>
    </row>
    <row r="87" spans="1:11" ht="15" customHeight="1" x14ac:dyDescent="0.45">
      <c r="A87" s="495"/>
      <c r="B87" s="495"/>
      <c r="C87" s="495"/>
      <c r="D87" s="495"/>
      <c r="E87" s="495"/>
      <c r="F87" s="495"/>
      <c r="G87" s="495"/>
      <c r="H87" s="495"/>
      <c r="I87" s="495"/>
      <c r="J87" s="495"/>
      <c r="K87" s="495"/>
    </row>
    <row r="88" spans="1:11" s="22" customFormat="1" ht="30" customHeight="1" x14ac:dyDescent="0.35">
      <c r="A88" s="612" t="s">
        <v>97</v>
      </c>
      <c r="B88" s="612"/>
      <c r="C88" s="612"/>
      <c r="D88" s="612"/>
      <c r="E88" s="612"/>
      <c r="F88" s="612"/>
      <c r="G88" s="612"/>
      <c r="H88" s="612"/>
      <c r="I88" s="612"/>
      <c r="J88" s="612"/>
      <c r="K88" s="612"/>
    </row>
    <row r="89" spans="1:11" s="22" customFormat="1" ht="15" customHeight="1" x14ac:dyDescent="0.35">
      <c r="A89" s="257"/>
      <c r="B89" s="257"/>
      <c r="C89" s="271"/>
      <c r="D89" s="257"/>
      <c r="E89" s="257"/>
      <c r="F89" s="257"/>
      <c r="G89" s="257"/>
      <c r="H89" s="257"/>
    </row>
    <row r="90" spans="1:11" ht="15" customHeight="1" x14ac:dyDescent="0.35">
      <c r="B90" s="249" t="s">
        <v>237</v>
      </c>
      <c r="C90" s="272">
        <f>IF(Cfg_BranchMat="Cu",IF(Cfg_Temp=60,3,IF(Cfg_Temp=75,4,5)),IF(Cfg_Temp=60,6,IF(Cfg_Temp=75,7,8)))</f>
        <v>4</v>
      </c>
    </row>
    <row r="91" spans="1:11" ht="15" customHeight="1" x14ac:dyDescent="0.35">
      <c r="B91" s="249" t="s">
        <v>238</v>
      </c>
      <c r="C91" s="16">
        <f>IF(Cfg_FeederMat="Cu",IF(Cfg_Temp=60,3,IF(Cfg_Temp=75,4,5)),IF(Cfg_Temp=60,6,IF(Cfg_Temp=75,7,8)))</f>
        <v>4</v>
      </c>
    </row>
    <row r="92" spans="1:11" ht="15" customHeight="1" x14ac:dyDescent="0.35">
      <c r="B92" s="249" t="s">
        <v>98</v>
      </c>
      <c r="C92" s="30">
        <f>IF(Cfg_BranchMat="Cu",K_Cu,K_Al)</f>
        <v>12.9</v>
      </c>
    </row>
    <row r="93" spans="1:11" ht="15" customHeight="1" x14ac:dyDescent="0.35">
      <c r="B93" s="249" t="s">
        <v>99</v>
      </c>
      <c r="C93" s="30">
        <f>IF(Cfg_FeederMat="Cu",K_Cu,K_Al)</f>
        <v>12.9</v>
      </c>
    </row>
    <row r="94" spans="1:11" ht="15" customHeight="1" x14ac:dyDescent="0.35">
      <c r="B94" s="249" t="s">
        <v>100</v>
      </c>
      <c r="C94" s="16">
        <f>IF(Cfg_BranchMat="Cu",IF($C$96=1,9,11),IF($C$96=1,10,12))</f>
        <v>9</v>
      </c>
    </row>
    <row r="95" spans="1:11" ht="15" customHeight="1" x14ac:dyDescent="0.35">
      <c r="B95" s="249" t="s">
        <v>101</v>
      </c>
      <c r="C95" s="16">
        <f>IF(Cfg_FeederMat="Cu",IF($C$96=1,9,11),IF($C$96=1,10,12))</f>
        <v>9</v>
      </c>
    </row>
    <row r="96" spans="1:11" ht="15" customHeight="1" x14ac:dyDescent="0.35">
      <c r="B96" s="249" t="s">
        <v>1603</v>
      </c>
      <c r="C96" s="16">
        <f>IF(IFERROR(_xlfn.XLOOKUP(Cfg_Conduit,Race_Raceway,Race_Mag),"Y")="Y",1,0)</f>
        <v>1</v>
      </c>
    </row>
    <row r="97" spans="1:23" ht="15" customHeight="1" x14ac:dyDescent="0.45">
      <c r="A97" s="495"/>
      <c r="B97" s="495"/>
      <c r="C97" s="495"/>
      <c r="D97" s="495"/>
      <c r="E97" s="495"/>
      <c r="F97" s="495"/>
      <c r="G97" s="495"/>
      <c r="H97" s="495"/>
      <c r="I97" s="495"/>
      <c r="J97" s="495"/>
      <c r="K97" s="495"/>
    </row>
    <row r="98" spans="1:23" ht="30" customHeight="1" x14ac:dyDescent="0.35">
      <c r="A98" s="612" t="s">
        <v>231</v>
      </c>
      <c r="B98" s="612"/>
      <c r="C98" s="612"/>
      <c r="D98" s="612"/>
      <c r="E98" s="612"/>
      <c r="F98" s="612"/>
      <c r="G98" s="612"/>
      <c r="H98" s="612"/>
      <c r="I98" s="612"/>
      <c r="J98" s="612"/>
      <c r="K98" s="612"/>
    </row>
    <row r="99" spans="1:23" ht="15" customHeight="1" x14ac:dyDescent="0.35">
      <c r="A99" s="257"/>
      <c r="B99" s="257"/>
      <c r="C99" s="257"/>
      <c r="D99" s="257"/>
      <c r="E99" s="257"/>
      <c r="F99" s="257"/>
      <c r="G99" s="257"/>
      <c r="H99" s="257"/>
    </row>
    <row r="100" spans="1:23" s="9" customFormat="1" ht="15" customHeight="1" x14ac:dyDescent="0.45">
      <c r="A100" s="274" t="s">
        <v>198</v>
      </c>
      <c r="B100" s="274" t="s">
        <v>207</v>
      </c>
      <c r="C100" s="274" t="s">
        <v>208</v>
      </c>
      <c r="D100" s="274" t="s">
        <v>104</v>
      </c>
      <c r="E100" s="274" t="s">
        <v>209</v>
      </c>
      <c r="F100" s="274" t="s">
        <v>210</v>
      </c>
      <c r="G100" s="274" t="s">
        <v>211</v>
      </c>
      <c r="H100" s="274" t="s">
        <v>206</v>
      </c>
      <c r="I100" s="274" t="s">
        <v>1254</v>
      </c>
      <c r="J100" s="274" t="s">
        <v>1255</v>
      </c>
      <c r="K100" s="9" t="s">
        <v>1896</v>
      </c>
      <c r="L100" s="9" t="s">
        <v>1920</v>
      </c>
      <c r="M100" s="9" t="s">
        <v>1953</v>
      </c>
      <c r="N100" s="9" t="s">
        <v>2118</v>
      </c>
      <c r="O100" s="9" t="s">
        <v>1954</v>
      </c>
      <c r="P100" s="9" t="s">
        <v>1955</v>
      </c>
      <c r="Q100" s="9" t="s">
        <v>1956</v>
      </c>
      <c r="R100" s="774" t="s">
        <v>109</v>
      </c>
      <c r="S100" s="774" t="s">
        <v>2119</v>
      </c>
      <c r="T100" s="774" t="s">
        <v>2120</v>
      </c>
      <c r="U100" s="774" t="s">
        <v>2121</v>
      </c>
      <c r="V100" s="774" t="s">
        <v>68</v>
      </c>
      <c r="W100" s="774" t="s">
        <v>2122</v>
      </c>
    </row>
    <row r="101" spans="1:23" ht="15" customHeight="1" x14ac:dyDescent="0.35">
      <c r="A101" s="583"/>
      <c r="B101" s="583"/>
      <c r="C101" s="584"/>
      <c r="D101" s="583"/>
      <c r="E101" s="584"/>
      <c r="F101" s="585"/>
      <c r="G101" s="583"/>
      <c r="H101" s="583"/>
      <c r="I101" s="584"/>
      <c r="J101" s="584"/>
      <c r="K101" s="564"/>
      <c r="L101" s="566"/>
      <c r="M101" s="576"/>
      <c r="O101" s="564"/>
      <c r="P101" s="564"/>
      <c r="Q101" s="576"/>
      <c r="R101" s="775"/>
      <c r="S101" s="775"/>
      <c r="T101" s="775"/>
      <c r="U101" s="776"/>
      <c r="V101" s="776"/>
      <c r="W101" s="776"/>
    </row>
    <row r="102" spans="1:23" ht="15" customHeight="1" x14ac:dyDescent="0.35">
      <c r="A102" s="583"/>
      <c r="B102" s="583"/>
      <c r="C102" s="584"/>
      <c r="D102" s="583"/>
      <c r="E102" s="584"/>
      <c r="F102" s="585"/>
      <c r="G102" s="583"/>
      <c r="H102" s="583"/>
      <c r="I102" s="584"/>
      <c r="J102" s="584"/>
      <c r="K102" s="564"/>
      <c r="L102" s="566"/>
      <c r="M102" s="576"/>
      <c r="O102" s="564"/>
      <c r="P102" s="564"/>
      <c r="Q102" s="576"/>
      <c r="R102" s="775"/>
      <c r="S102" s="775"/>
      <c r="T102" s="775"/>
      <c r="U102" s="776"/>
      <c r="V102" s="776"/>
      <c r="W102" s="776"/>
    </row>
    <row r="103" spans="1:23" ht="15" customHeight="1" x14ac:dyDescent="0.35">
      <c r="A103" s="583"/>
      <c r="B103" s="583"/>
      <c r="C103" s="584"/>
      <c r="D103" s="583"/>
      <c r="E103" s="566"/>
      <c r="F103" s="585"/>
      <c r="G103" s="583"/>
      <c r="H103" s="583"/>
      <c r="I103" s="584"/>
      <c r="J103" s="584"/>
      <c r="K103" s="564"/>
      <c r="L103" s="566"/>
      <c r="M103" s="576"/>
      <c r="O103" s="564"/>
      <c r="P103" s="564"/>
      <c r="Q103" s="576"/>
      <c r="R103" s="775"/>
      <c r="S103" s="775"/>
      <c r="T103" s="775"/>
      <c r="U103" s="776"/>
      <c r="V103" s="776"/>
      <c r="W103" s="776"/>
    </row>
    <row r="104" spans="1:23" ht="15" customHeight="1" x14ac:dyDescent="0.35">
      <c r="A104" s="583"/>
      <c r="B104" s="583"/>
      <c r="C104" s="584"/>
      <c r="D104" s="583"/>
      <c r="E104" s="566"/>
      <c r="F104" s="585"/>
      <c r="G104" s="583"/>
      <c r="H104" s="583"/>
      <c r="I104" s="584"/>
      <c r="J104" s="584"/>
      <c r="K104" s="564"/>
      <c r="L104" s="566"/>
      <c r="M104" s="576"/>
      <c r="O104" s="564"/>
      <c r="P104" s="564"/>
      <c r="Q104" s="576"/>
      <c r="R104" s="775"/>
      <c r="S104" s="775"/>
      <c r="T104" s="775"/>
      <c r="U104" s="776"/>
      <c r="V104" s="776"/>
      <c r="W104" s="776"/>
    </row>
    <row r="105" spans="1:23" ht="15" customHeight="1" x14ac:dyDescent="0.35">
      <c r="A105" s="583"/>
      <c r="B105" s="583"/>
      <c r="C105" s="584"/>
      <c r="D105" s="583"/>
      <c r="E105" s="566"/>
      <c r="F105" s="585"/>
      <c r="G105" s="583"/>
      <c r="H105" s="583"/>
      <c r="I105" s="584"/>
      <c r="J105" s="584"/>
      <c r="K105" s="564"/>
      <c r="L105" s="566"/>
      <c r="M105" s="576"/>
      <c r="O105" s="564"/>
      <c r="P105" s="564"/>
      <c r="Q105" s="576"/>
      <c r="R105" s="775"/>
      <c r="S105" s="775"/>
      <c r="T105" s="775"/>
      <c r="U105" s="776"/>
      <c r="V105" s="776"/>
      <c r="W105" s="776"/>
    </row>
    <row r="106" spans="1:23" ht="15" customHeight="1" x14ac:dyDescent="0.35">
      <c r="A106" s="583"/>
      <c r="B106" s="583"/>
      <c r="C106" s="584"/>
      <c r="D106" s="583"/>
      <c r="E106" s="566"/>
      <c r="F106" s="585"/>
      <c r="G106" s="583"/>
      <c r="H106" s="583"/>
      <c r="I106" s="584"/>
      <c r="J106" s="584"/>
      <c r="K106" s="564"/>
      <c r="L106" s="566"/>
      <c r="M106" s="576"/>
      <c r="O106" s="564"/>
      <c r="P106" s="564"/>
      <c r="Q106" s="576"/>
      <c r="R106" s="775"/>
      <c r="S106" s="775"/>
      <c r="T106" s="775"/>
      <c r="U106" s="776"/>
      <c r="V106" s="776"/>
      <c r="W106" s="776"/>
    </row>
    <row r="107" spans="1:23" ht="15" customHeight="1" x14ac:dyDescent="0.35">
      <c r="A107" s="583"/>
      <c r="B107" s="583"/>
      <c r="C107" s="584"/>
      <c r="D107" s="583"/>
      <c r="E107" s="584"/>
      <c r="F107" s="585"/>
      <c r="G107" s="583"/>
      <c r="H107" s="583"/>
      <c r="I107" s="584"/>
      <c r="J107" s="584"/>
      <c r="K107" s="564"/>
      <c r="L107" s="566"/>
      <c r="M107" s="576"/>
      <c r="O107" s="564"/>
      <c r="P107" s="564"/>
      <c r="Q107" s="576"/>
      <c r="R107" s="775"/>
      <c r="S107" s="775"/>
      <c r="T107" s="775"/>
      <c r="U107" s="776"/>
      <c r="V107" s="776"/>
      <c r="W107" s="776"/>
    </row>
    <row r="108" spans="1:23" ht="15" customHeight="1" x14ac:dyDescent="0.35">
      <c r="A108" s="492"/>
      <c r="B108" s="492"/>
      <c r="C108" s="493"/>
      <c r="D108" s="492"/>
      <c r="E108" s="493"/>
      <c r="F108" s="494"/>
      <c r="G108" s="492"/>
      <c r="H108" s="492"/>
      <c r="I108" s="493"/>
      <c r="J108" s="493"/>
      <c r="K108" s="564"/>
      <c r="L108" s="566"/>
      <c r="M108" s="576"/>
      <c r="O108" s="564"/>
      <c r="P108" s="564"/>
      <c r="Q108" s="576"/>
      <c r="R108" s="775"/>
      <c r="S108" s="775"/>
      <c r="T108" s="775"/>
      <c r="U108" s="776"/>
      <c r="V108" s="776"/>
      <c r="W108" s="776"/>
    </row>
    <row r="109" spans="1:23" ht="15" customHeight="1" x14ac:dyDescent="0.35">
      <c r="A109" s="492"/>
      <c r="B109" s="492"/>
      <c r="C109" s="493"/>
      <c r="D109" s="492"/>
      <c r="E109" s="493"/>
      <c r="F109" s="494"/>
      <c r="G109" s="492"/>
      <c r="H109" s="492"/>
      <c r="I109" s="493"/>
      <c r="J109" s="493"/>
      <c r="K109" s="564"/>
      <c r="L109" s="566"/>
      <c r="M109" s="576"/>
      <c r="O109" s="564"/>
      <c r="P109" s="564"/>
      <c r="Q109" s="576"/>
      <c r="R109" s="775"/>
      <c r="S109" s="775"/>
      <c r="T109" s="775"/>
      <c r="U109" s="776"/>
      <c r="V109" s="776"/>
      <c r="W109" s="776"/>
    </row>
    <row r="110" spans="1:23" ht="15" customHeight="1" x14ac:dyDescent="0.35">
      <c r="A110" s="492"/>
      <c r="B110" s="492"/>
      <c r="C110" s="493"/>
      <c r="D110" s="492"/>
      <c r="E110" s="493"/>
      <c r="F110" s="494"/>
      <c r="G110" s="492"/>
      <c r="H110" s="492"/>
      <c r="I110" s="493"/>
      <c r="J110" s="493"/>
      <c r="K110" s="564"/>
      <c r="L110" s="566"/>
      <c r="M110" s="576"/>
      <c r="O110" s="564"/>
      <c r="P110" s="564"/>
      <c r="Q110" s="576"/>
      <c r="R110" s="775"/>
      <c r="S110" s="775"/>
      <c r="T110" s="775"/>
      <c r="U110" s="776"/>
      <c r="V110" s="776"/>
      <c r="W110" s="776"/>
    </row>
    <row r="111" spans="1:23" ht="15" customHeight="1" x14ac:dyDescent="0.35">
      <c r="A111" s="492"/>
      <c r="B111" s="492"/>
      <c r="C111" s="493"/>
      <c r="D111" s="492"/>
      <c r="E111" s="493"/>
      <c r="F111" s="494"/>
      <c r="G111" s="492"/>
      <c r="H111" s="492"/>
      <c r="I111" s="493"/>
      <c r="J111" s="493"/>
      <c r="K111" s="564"/>
      <c r="L111" s="566"/>
      <c r="M111" s="576"/>
      <c r="O111" s="564"/>
      <c r="P111" s="564"/>
      <c r="Q111" s="576"/>
      <c r="R111" s="775"/>
      <c r="S111" s="775"/>
      <c r="T111" s="775"/>
      <c r="U111" s="776"/>
      <c r="V111" s="776"/>
      <c r="W111" s="776"/>
    </row>
    <row r="112" spans="1:23" ht="15" customHeight="1" x14ac:dyDescent="0.35">
      <c r="A112" s="492"/>
      <c r="B112" s="492"/>
      <c r="C112" s="493"/>
      <c r="D112" s="492"/>
      <c r="E112" s="493"/>
      <c r="F112" s="494"/>
      <c r="G112" s="492"/>
      <c r="H112" s="492"/>
      <c r="I112" s="493"/>
      <c r="J112" s="493"/>
      <c r="K112" s="564"/>
      <c r="L112" s="566"/>
      <c r="M112" s="576"/>
      <c r="O112" s="564"/>
      <c r="P112" s="564"/>
      <c r="Q112" s="576"/>
      <c r="R112" s="775"/>
      <c r="S112" s="775"/>
      <c r="T112" s="775"/>
      <c r="U112" s="776"/>
      <c r="V112" s="776"/>
      <c r="W112" s="776"/>
    </row>
    <row r="113" spans="1:23" ht="15" customHeight="1" x14ac:dyDescent="0.35">
      <c r="A113" s="492"/>
      <c r="B113" s="492"/>
      <c r="C113" s="493"/>
      <c r="D113" s="492"/>
      <c r="E113" s="493"/>
      <c r="F113" s="494"/>
      <c r="G113" s="492"/>
      <c r="H113" s="492"/>
      <c r="I113" s="493"/>
      <c r="J113" s="493"/>
      <c r="K113" s="564"/>
      <c r="L113" s="566"/>
      <c r="M113" s="576"/>
      <c r="O113" s="564"/>
      <c r="P113" s="564"/>
      <c r="Q113" s="576"/>
      <c r="R113" s="775"/>
      <c r="S113" s="775"/>
      <c r="T113" s="775"/>
      <c r="U113" s="776"/>
      <c r="V113" s="776"/>
      <c r="W113" s="776"/>
    </row>
    <row r="114" spans="1:23" ht="15" customHeight="1" x14ac:dyDescent="0.35">
      <c r="A114" s="492"/>
      <c r="B114" s="492"/>
      <c r="C114" s="493"/>
      <c r="D114" s="492"/>
      <c r="E114" s="493"/>
      <c r="F114" s="494"/>
      <c r="G114" s="492"/>
      <c r="H114" s="492"/>
      <c r="I114" s="493"/>
      <c r="J114" s="493"/>
      <c r="K114" s="564"/>
      <c r="L114" s="566"/>
      <c r="M114" s="576"/>
      <c r="O114" s="564"/>
      <c r="P114" s="564"/>
      <c r="Q114" s="576"/>
      <c r="R114" s="775"/>
      <c r="S114" s="775"/>
      <c r="T114" s="775"/>
      <c r="U114" s="776"/>
      <c r="V114" s="776"/>
      <c r="W114" s="776"/>
    </row>
    <row r="115" spans="1:23" ht="15" customHeight="1" x14ac:dyDescent="0.35">
      <c r="A115" s="492"/>
      <c r="B115" s="492"/>
      <c r="C115" s="493"/>
      <c r="D115" s="492"/>
      <c r="E115" s="493"/>
      <c r="F115" s="494"/>
      <c r="G115" s="492"/>
      <c r="H115" s="492"/>
      <c r="I115" s="493"/>
      <c r="J115" s="493"/>
      <c r="K115" s="564"/>
      <c r="L115" s="566"/>
      <c r="M115" s="576"/>
      <c r="O115" s="564"/>
      <c r="P115" s="564"/>
      <c r="Q115" s="576"/>
      <c r="R115" s="775"/>
      <c r="S115" s="775"/>
      <c r="T115" s="775"/>
      <c r="U115" s="776"/>
      <c r="V115" s="776"/>
      <c r="W115" s="776"/>
    </row>
    <row r="116" spans="1:23" ht="15" customHeight="1" x14ac:dyDescent="0.35">
      <c r="A116" s="492"/>
      <c r="B116" s="492"/>
      <c r="C116" s="493"/>
      <c r="D116" s="492"/>
      <c r="E116" s="493"/>
      <c r="F116" s="494"/>
      <c r="G116" s="492"/>
      <c r="H116" s="492"/>
      <c r="I116" s="493"/>
      <c r="J116" s="493"/>
      <c r="K116" s="564"/>
      <c r="L116" s="566"/>
      <c r="M116" s="576"/>
      <c r="O116" s="564"/>
      <c r="P116" s="564"/>
      <c r="Q116" s="576"/>
      <c r="R116" s="775"/>
      <c r="S116" s="775"/>
      <c r="T116" s="775"/>
      <c r="U116" s="776"/>
      <c r="V116" s="776"/>
      <c r="W116" s="776"/>
    </row>
    <row r="117" spans="1:23" ht="15" customHeight="1" x14ac:dyDescent="0.35">
      <c r="A117" s="492"/>
      <c r="B117" s="492"/>
      <c r="C117" s="493"/>
      <c r="D117" s="492"/>
      <c r="E117" s="493"/>
      <c r="F117" s="494"/>
      <c r="G117" s="492"/>
      <c r="H117" s="492"/>
      <c r="I117" s="493"/>
      <c r="J117" s="493"/>
      <c r="K117" s="564"/>
      <c r="L117" s="566"/>
      <c r="M117" s="576"/>
      <c r="O117" s="564"/>
      <c r="P117" s="564"/>
      <c r="Q117" s="576"/>
      <c r="R117" s="775"/>
      <c r="S117" s="775"/>
      <c r="T117" s="775"/>
      <c r="U117" s="776"/>
      <c r="V117" s="776"/>
      <c r="W117" s="776"/>
    </row>
    <row r="118" spans="1:23" ht="15" customHeight="1" x14ac:dyDescent="0.35">
      <c r="A118" s="492"/>
      <c r="B118" s="492"/>
      <c r="C118" s="493"/>
      <c r="D118" s="492"/>
      <c r="E118" s="493"/>
      <c r="F118" s="494"/>
      <c r="G118" s="492"/>
      <c r="H118" s="492"/>
      <c r="I118" s="493"/>
      <c r="J118" s="493"/>
      <c r="K118" s="564"/>
      <c r="L118" s="566"/>
      <c r="M118" s="576"/>
      <c r="O118" s="564"/>
      <c r="P118" s="564"/>
      <c r="Q118" s="576"/>
      <c r="R118" s="775"/>
      <c r="S118" s="775"/>
      <c r="T118" s="775"/>
      <c r="U118" s="776"/>
      <c r="V118" s="776"/>
      <c r="W118" s="776"/>
    </row>
    <row r="119" spans="1:23" ht="15" customHeight="1" x14ac:dyDescent="0.35">
      <c r="A119" s="492"/>
      <c r="B119" s="492"/>
      <c r="C119" s="493"/>
      <c r="D119" s="492"/>
      <c r="E119" s="493"/>
      <c r="F119" s="494"/>
      <c r="G119" s="492"/>
      <c r="H119" s="492"/>
      <c r="I119" s="493"/>
      <c r="J119" s="493"/>
      <c r="K119" s="564"/>
      <c r="L119" s="566"/>
      <c r="M119" s="576"/>
      <c r="O119" s="564"/>
      <c r="P119" s="564"/>
      <c r="Q119" s="576"/>
      <c r="R119" s="775"/>
      <c r="S119" s="775"/>
      <c r="T119" s="775"/>
      <c r="U119" s="776"/>
      <c r="V119" s="776"/>
      <c r="W119" s="776"/>
    </row>
    <row r="120" spans="1:23" ht="15" customHeight="1" x14ac:dyDescent="0.35">
      <c r="A120" s="492"/>
      <c r="B120" s="492"/>
      <c r="C120" s="493"/>
      <c r="D120" s="492"/>
      <c r="E120" s="493"/>
      <c r="F120" s="494"/>
      <c r="G120" s="492"/>
      <c r="H120" s="492"/>
      <c r="I120" s="493"/>
      <c r="J120" s="493"/>
      <c r="K120" s="564"/>
      <c r="L120" s="566"/>
      <c r="M120" s="576"/>
      <c r="O120" s="564"/>
      <c r="P120" s="564"/>
      <c r="Q120" s="576"/>
      <c r="R120" s="775"/>
      <c r="S120" s="775"/>
      <c r="T120" s="775"/>
      <c r="U120" s="776"/>
      <c r="V120" s="776"/>
      <c r="W120" s="776"/>
    </row>
    <row r="121" spans="1:23" ht="15" customHeight="1" x14ac:dyDescent="0.35">
      <c r="A121" s="492"/>
      <c r="B121" s="492"/>
      <c r="C121" s="493"/>
      <c r="D121" s="492"/>
      <c r="E121" s="493"/>
      <c r="F121" s="494"/>
      <c r="G121" s="492"/>
      <c r="H121" s="492"/>
      <c r="I121" s="493"/>
      <c r="J121" s="493"/>
      <c r="K121" s="564"/>
      <c r="L121" s="566"/>
      <c r="M121" s="576"/>
      <c r="O121" s="564"/>
      <c r="P121" s="564"/>
      <c r="Q121" s="576"/>
      <c r="R121" s="775"/>
      <c r="S121" s="775"/>
      <c r="T121" s="775"/>
      <c r="U121" s="776"/>
      <c r="V121" s="776"/>
      <c r="W121" s="776"/>
    </row>
    <row r="122" spans="1:23" ht="15" customHeight="1" x14ac:dyDescent="0.35">
      <c r="A122" s="492"/>
      <c r="B122" s="492"/>
      <c r="C122" s="493"/>
      <c r="D122" s="492"/>
      <c r="E122" s="493"/>
      <c r="F122" s="494"/>
      <c r="G122" s="492"/>
      <c r="H122" s="492"/>
      <c r="I122" s="493"/>
      <c r="J122" s="493"/>
      <c r="K122" s="564"/>
      <c r="L122" s="566"/>
      <c r="M122" s="576"/>
      <c r="O122" s="564"/>
      <c r="P122" s="564"/>
      <c r="Q122" s="576"/>
      <c r="R122" s="775"/>
      <c r="S122" s="775"/>
      <c r="T122" s="775"/>
      <c r="U122" s="776"/>
      <c r="V122" s="776"/>
      <c r="W122" s="776"/>
    </row>
    <row r="123" spans="1:23" ht="15" customHeight="1" x14ac:dyDescent="0.35">
      <c r="A123" s="492"/>
      <c r="B123" s="492"/>
      <c r="C123" s="493"/>
      <c r="D123" s="492"/>
      <c r="E123" s="493"/>
      <c r="F123" s="494"/>
      <c r="G123" s="492"/>
      <c r="H123" s="492"/>
      <c r="I123" s="493"/>
      <c r="J123" s="493"/>
      <c r="K123" s="564"/>
      <c r="L123" s="566"/>
      <c r="M123" s="576"/>
      <c r="O123" s="564"/>
      <c r="P123" s="564"/>
      <c r="Q123" s="576"/>
      <c r="R123" s="775"/>
      <c r="S123" s="775"/>
      <c r="T123" s="775"/>
      <c r="U123" s="776"/>
      <c r="V123" s="776"/>
      <c r="W123" s="776"/>
    </row>
    <row r="124" spans="1:23" ht="15" customHeight="1" x14ac:dyDescent="0.35">
      <c r="A124" s="492"/>
      <c r="B124" s="492"/>
      <c r="C124" s="493"/>
      <c r="D124" s="492"/>
      <c r="E124" s="493"/>
      <c r="F124" s="494"/>
      <c r="G124" s="492"/>
      <c r="H124" s="492"/>
      <c r="I124" s="493"/>
      <c r="J124" s="493"/>
      <c r="K124" s="564"/>
      <c r="L124" s="566"/>
      <c r="M124" s="576"/>
      <c r="O124" s="564"/>
      <c r="P124" s="564"/>
      <c r="Q124" s="576"/>
      <c r="R124" s="775"/>
      <c r="S124" s="775"/>
      <c r="T124" s="775"/>
      <c r="U124" s="776"/>
      <c r="V124" s="776"/>
      <c r="W124" s="776"/>
    </row>
    <row r="125" spans="1:23" ht="15" customHeight="1" x14ac:dyDescent="0.35">
      <c r="A125" s="492"/>
      <c r="B125" s="492"/>
      <c r="C125" s="493"/>
      <c r="D125" s="492"/>
      <c r="E125" s="493"/>
      <c r="F125" s="494"/>
      <c r="G125" s="492"/>
      <c r="H125" s="492"/>
      <c r="I125" s="493"/>
      <c r="J125" s="493"/>
      <c r="K125" s="564"/>
      <c r="L125" s="566"/>
      <c r="M125" s="576"/>
      <c r="O125" s="564"/>
      <c r="P125" s="564"/>
      <c r="Q125" s="576"/>
      <c r="R125" s="775"/>
      <c r="S125" s="775"/>
      <c r="T125" s="775"/>
      <c r="U125" s="776"/>
      <c r="V125" s="776"/>
      <c r="W125" s="776"/>
    </row>
    <row r="126" spans="1:23" ht="15" customHeight="1" x14ac:dyDescent="0.35">
      <c r="A126" s="492"/>
      <c r="B126" s="492"/>
      <c r="C126" s="493"/>
      <c r="D126" s="492"/>
      <c r="E126" s="493"/>
      <c r="F126" s="494"/>
      <c r="G126" s="492"/>
      <c r="H126" s="492"/>
      <c r="I126" s="493"/>
      <c r="J126" s="493"/>
      <c r="K126" s="564"/>
      <c r="L126" s="566"/>
      <c r="M126" s="576"/>
      <c r="O126" s="564"/>
      <c r="P126" s="564"/>
      <c r="Q126" s="576"/>
      <c r="R126" s="775"/>
      <c r="S126" s="775"/>
      <c r="T126" s="775"/>
      <c r="U126" s="776"/>
      <c r="V126" s="776"/>
      <c r="W126" s="776"/>
    </row>
    <row r="127" spans="1:23" ht="15" customHeight="1" x14ac:dyDescent="0.35">
      <c r="A127" s="492"/>
      <c r="B127" s="492"/>
      <c r="C127" s="493"/>
      <c r="D127" s="492"/>
      <c r="E127" s="493"/>
      <c r="F127" s="494"/>
      <c r="G127" s="492"/>
      <c r="H127" s="492"/>
      <c r="I127" s="493"/>
      <c r="J127" s="493"/>
      <c r="K127" s="564"/>
      <c r="L127" s="566"/>
      <c r="M127" s="576"/>
      <c r="O127" s="564"/>
      <c r="P127" s="564"/>
      <c r="Q127" s="576"/>
      <c r="R127" s="775"/>
      <c r="S127" s="775"/>
      <c r="T127" s="775"/>
      <c r="U127" s="776"/>
      <c r="V127" s="776"/>
      <c r="W127" s="776"/>
    </row>
    <row r="128" spans="1:23" ht="15" customHeight="1" x14ac:dyDescent="0.35">
      <c r="A128" s="492"/>
      <c r="B128" s="492"/>
      <c r="C128" s="493"/>
      <c r="D128" s="492"/>
      <c r="E128" s="493"/>
      <c r="F128" s="494"/>
      <c r="G128" s="492"/>
      <c r="H128" s="492"/>
      <c r="I128" s="493"/>
      <c r="J128" s="493"/>
      <c r="K128" s="564"/>
      <c r="L128" s="566"/>
      <c r="M128" s="576"/>
      <c r="O128" s="564"/>
      <c r="P128" s="564"/>
      <c r="Q128" s="576"/>
      <c r="R128" s="775"/>
      <c r="S128" s="775"/>
      <c r="T128" s="775"/>
      <c r="U128" s="776"/>
      <c r="V128" s="776"/>
      <c r="W128" s="776"/>
    </row>
    <row r="129" spans="1:23" ht="15" customHeight="1" x14ac:dyDescent="0.35">
      <c r="A129" s="492"/>
      <c r="B129" s="492"/>
      <c r="C129" s="493"/>
      <c r="D129" s="492"/>
      <c r="E129" s="493"/>
      <c r="F129" s="494"/>
      <c r="G129" s="492"/>
      <c r="H129" s="492"/>
      <c r="I129" s="493"/>
      <c r="J129" s="493"/>
      <c r="K129" s="564"/>
      <c r="L129" s="566"/>
      <c r="M129" s="576"/>
      <c r="O129" s="564"/>
      <c r="P129" s="564"/>
      <c r="Q129" s="576"/>
      <c r="R129" s="775"/>
      <c r="S129" s="775"/>
      <c r="T129" s="775"/>
      <c r="U129" s="776"/>
      <c r="V129" s="776"/>
      <c r="W129" s="776"/>
    </row>
    <row r="130" spans="1:23" ht="15" customHeight="1" x14ac:dyDescent="0.35">
      <c r="A130" s="492"/>
      <c r="B130" s="492"/>
      <c r="C130" s="493"/>
      <c r="D130" s="492"/>
      <c r="E130" s="493"/>
      <c r="F130" s="494"/>
      <c r="G130" s="492"/>
      <c r="H130" s="492"/>
      <c r="I130" s="493"/>
      <c r="J130" s="493"/>
      <c r="K130" s="564"/>
      <c r="L130" s="566"/>
      <c r="M130" s="576"/>
      <c r="O130" s="564"/>
      <c r="P130" s="564"/>
      <c r="Q130" s="576"/>
      <c r="R130" s="775"/>
      <c r="S130" s="775"/>
      <c r="T130" s="775"/>
      <c r="U130" s="776"/>
      <c r="V130" s="776"/>
      <c r="W130" s="776"/>
    </row>
    <row r="131" spans="1:23" ht="15" customHeight="1" x14ac:dyDescent="0.35">
      <c r="A131" s="492"/>
      <c r="B131" s="492"/>
      <c r="C131" s="493"/>
      <c r="D131" s="492"/>
      <c r="E131" s="493"/>
      <c r="F131" s="494"/>
      <c r="G131" s="492"/>
      <c r="H131" s="492"/>
      <c r="I131" s="493"/>
      <c r="J131" s="493"/>
      <c r="K131" s="564"/>
      <c r="L131" s="566"/>
      <c r="M131" s="576"/>
      <c r="O131" s="564"/>
      <c r="P131" s="564"/>
      <c r="Q131" s="576"/>
      <c r="R131" s="775"/>
      <c r="S131" s="775"/>
      <c r="T131" s="775"/>
      <c r="U131" s="776"/>
      <c r="V131" s="776"/>
      <c r="W131" s="776"/>
    </row>
    <row r="132" spans="1:23" ht="15" customHeight="1" x14ac:dyDescent="0.35">
      <c r="A132" s="492"/>
      <c r="B132" s="492"/>
      <c r="C132" s="493"/>
      <c r="D132" s="492"/>
      <c r="E132" s="493"/>
      <c r="F132" s="494"/>
      <c r="G132" s="492"/>
      <c r="H132" s="492"/>
      <c r="I132" s="493"/>
      <c r="J132" s="493"/>
      <c r="K132" s="564"/>
      <c r="L132" s="566"/>
      <c r="M132" s="576"/>
      <c r="O132" s="564"/>
      <c r="P132" s="564"/>
      <c r="Q132" s="576"/>
      <c r="R132" s="775"/>
      <c r="S132" s="775"/>
      <c r="T132" s="775"/>
      <c r="U132" s="776"/>
      <c r="V132" s="776"/>
      <c r="W132" s="776"/>
    </row>
    <row r="133" spans="1:23" ht="15" customHeight="1" x14ac:dyDescent="0.35">
      <c r="A133" s="492"/>
      <c r="B133" s="492"/>
      <c r="C133" s="493"/>
      <c r="D133" s="492"/>
      <c r="E133" s="493"/>
      <c r="F133" s="494"/>
      <c r="G133" s="492"/>
      <c r="H133" s="492"/>
      <c r="I133" s="493"/>
      <c r="J133" s="493"/>
      <c r="K133" s="564"/>
      <c r="L133" s="566"/>
      <c r="M133" s="576"/>
      <c r="O133" s="564"/>
      <c r="P133" s="564"/>
      <c r="Q133" s="576"/>
      <c r="R133" s="775"/>
      <c r="S133" s="775"/>
      <c r="T133" s="775"/>
      <c r="U133" s="776"/>
      <c r="V133" s="776"/>
      <c r="W133" s="776"/>
    </row>
    <row r="134" spans="1:23" ht="15" customHeight="1" x14ac:dyDescent="0.35">
      <c r="A134" s="492"/>
      <c r="B134" s="492"/>
      <c r="C134" s="493"/>
      <c r="D134" s="492"/>
      <c r="E134" s="493"/>
      <c r="F134" s="494"/>
      <c r="G134" s="492"/>
      <c r="H134" s="492"/>
      <c r="I134" s="493"/>
      <c r="J134" s="493"/>
      <c r="K134" s="564"/>
      <c r="L134" s="566"/>
      <c r="M134" s="576"/>
      <c r="O134" s="564"/>
      <c r="P134" s="564"/>
      <c r="Q134" s="576"/>
      <c r="R134" s="775"/>
      <c r="S134" s="775"/>
      <c r="T134" s="775"/>
      <c r="U134" s="776"/>
      <c r="V134" s="776"/>
      <c r="W134" s="776"/>
    </row>
    <row r="135" spans="1:23" ht="15" customHeight="1" x14ac:dyDescent="0.35">
      <c r="A135" s="492"/>
      <c r="B135" s="492"/>
      <c r="C135" s="493"/>
      <c r="D135" s="492"/>
      <c r="E135" s="493"/>
      <c r="F135" s="494"/>
      <c r="G135" s="492"/>
      <c r="H135" s="492"/>
      <c r="I135" s="493"/>
      <c r="J135" s="493"/>
      <c r="K135" s="564"/>
      <c r="L135" s="566"/>
      <c r="M135" s="576"/>
      <c r="O135" s="564"/>
      <c r="P135" s="564"/>
      <c r="Q135" s="576"/>
      <c r="R135" s="775"/>
      <c r="S135" s="775"/>
      <c r="T135" s="775"/>
      <c r="U135" s="776"/>
      <c r="V135" s="776"/>
      <c r="W135" s="776"/>
    </row>
    <row r="136" spans="1:23" ht="15" customHeight="1" x14ac:dyDescent="0.35">
      <c r="A136" s="492"/>
      <c r="B136" s="492"/>
      <c r="C136" s="493"/>
      <c r="D136" s="492"/>
      <c r="E136" s="493"/>
      <c r="F136" s="494"/>
      <c r="G136" s="492"/>
      <c r="H136" s="492"/>
      <c r="I136" s="493"/>
      <c r="J136" s="493"/>
      <c r="K136" s="564"/>
      <c r="L136" s="566"/>
      <c r="M136" s="576"/>
      <c r="O136" s="564"/>
      <c r="P136" s="564"/>
      <c r="Q136" s="576"/>
      <c r="R136" s="775"/>
      <c r="S136" s="775"/>
      <c r="T136" s="775"/>
      <c r="U136" s="776"/>
      <c r="V136" s="776"/>
      <c r="W136" s="776"/>
    </row>
    <row r="137" spans="1:23" ht="15" customHeight="1" x14ac:dyDescent="0.35">
      <c r="A137" s="492"/>
      <c r="B137" s="492"/>
      <c r="C137" s="493"/>
      <c r="D137" s="492"/>
      <c r="E137" s="493"/>
      <c r="F137" s="494"/>
      <c r="G137" s="492"/>
      <c r="H137" s="492"/>
      <c r="I137" s="493"/>
      <c r="J137" s="493"/>
      <c r="K137" s="564"/>
      <c r="L137" s="566"/>
      <c r="M137" s="576"/>
      <c r="O137" s="564"/>
      <c r="P137" s="564"/>
      <c r="Q137" s="576"/>
      <c r="R137" s="775"/>
      <c r="S137" s="775"/>
      <c r="T137" s="775"/>
      <c r="U137" s="776"/>
      <c r="V137" s="776"/>
      <c r="W137" s="776"/>
    </row>
    <row r="138" spans="1:23" ht="15" customHeight="1" x14ac:dyDescent="0.35">
      <c r="A138" s="492"/>
      <c r="B138" s="492"/>
      <c r="C138" s="493"/>
      <c r="D138" s="492"/>
      <c r="E138" s="493"/>
      <c r="F138" s="494"/>
      <c r="G138" s="492"/>
      <c r="H138" s="492"/>
      <c r="I138" s="493"/>
      <c r="J138" s="493"/>
      <c r="K138" s="564"/>
      <c r="L138" s="566"/>
      <c r="M138" s="576"/>
      <c r="O138" s="564"/>
      <c r="P138" s="564"/>
      <c r="Q138" s="576"/>
      <c r="R138" s="775"/>
      <c r="S138" s="775"/>
      <c r="T138" s="775"/>
      <c r="U138" s="776"/>
      <c r="V138" s="776"/>
      <c r="W138" s="776"/>
    </row>
    <row r="139" spans="1:23" ht="15" customHeight="1" x14ac:dyDescent="0.35">
      <c r="A139" s="492"/>
      <c r="B139" s="492"/>
      <c r="C139" s="493"/>
      <c r="D139" s="492"/>
      <c r="E139" s="493"/>
      <c r="F139" s="494"/>
      <c r="G139" s="492"/>
      <c r="H139" s="492"/>
      <c r="I139" s="493"/>
      <c r="J139" s="493"/>
      <c r="K139" s="564"/>
      <c r="L139" s="566"/>
      <c r="M139" s="576"/>
      <c r="O139" s="564"/>
      <c r="P139" s="564"/>
      <c r="Q139" s="576"/>
      <c r="R139" s="775"/>
      <c r="S139" s="775"/>
      <c r="T139" s="775"/>
      <c r="U139" s="776"/>
      <c r="V139" s="776"/>
      <c r="W139" s="776"/>
    </row>
    <row r="140" spans="1:23" ht="15" customHeight="1" x14ac:dyDescent="0.35">
      <c r="A140" s="492"/>
      <c r="B140" s="492"/>
      <c r="C140" s="493"/>
      <c r="D140" s="492"/>
      <c r="E140" s="493"/>
      <c r="F140" s="494"/>
      <c r="G140" s="492"/>
      <c r="H140" s="492"/>
      <c r="I140" s="493"/>
      <c r="J140" s="493"/>
      <c r="K140" s="564"/>
      <c r="L140" s="566"/>
      <c r="M140" s="576"/>
      <c r="O140" s="564"/>
      <c r="P140" s="564"/>
      <c r="Q140" s="576"/>
      <c r="R140" s="775"/>
      <c r="S140" s="775"/>
      <c r="T140" s="775"/>
      <c r="U140" s="776"/>
      <c r="V140" s="776"/>
      <c r="W140" s="776"/>
    </row>
    <row r="141" spans="1:23" ht="15" customHeight="1" x14ac:dyDescent="0.35">
      <c r="A141" s="492"/>
      <c r="B141" s="492"/>
      <c r="C141" s="493"/>
      <c r="D141" s="492"/>
      <c r="E141" s="493"/>
      <c r="F141" s="494"/>
      <c r="G141" s="492"/>
      <c r="H141" s="492"/>
      <c r="I141" s="493"/>
      <c r="J141" s="493"/>
      <c r="K141" s="564"/>
      <c r="L141" s="566"/>
      <c r="M141" s="576"/>
      <c r="O141" s="564"/>
      <c r="P141" s="564"/>
      <c r="Q141" s="576"/>
      <c r="R141" s="775"/>
      <c r="S141" s="775"/>
      <c r="T141" s="775"/>
      <c r="U141" s="776"/>
      <c r="V141" s="776"/>
      <c r="W141" s="776"/>
    </row>
    <row r="142" spans="1:23" ht="15" customHeight="1" x14ac:dyDescent="0.35">
      <c r="A142" s="492"/>
      <c r="B142" s="492"/>
      <c r="C142" s="493"/>
      <c r="D142" s="492"/>
      <c r="E142" s="493"/>
      <c r="F142" s="494"/>
      <c r="G142" s="492"/>
      <c r="H142" s="492"/>
      <c r="I142" s="493"/>
      <c r="J142" s="493"/>
      <c r="K142" s="564"/>
      <c r="L142" s="566"/>
      <c r="M142" s="576"/>
      <c r="O142" s="564"/>
      <c r="P142" s="564"/>
      <c r="Q142" s="576"/>
      <c r="R142" s="775"/>
      <c r="S142" s="775"/>
      <c r="T142" s="775"/>
      <c r="U142" s="776"/>
      <c r="V142" s="776"/>
      <c r="W142" s="776"/>
    </row>
    <row r="143" spans="1:23" ht="15" customHeight="1" x14ac:dyDescent="0.35">
      <c r="A143" s="492"/>
      <c r="B143" s="492"/>
      <c r="C143" s="493"/>
      <c r="D143" s="492"/>
      <c r="E143" s="493"/>
      <c r="F143" s="494"/>
      <c r="G143" s="492"/>
      <c r="H143" s="492"/>
      <c r="I143" s="493"/>
      <c r="J143" s="493"/>
      <c r="K143" s="564"/>
      <c r="L143" s="566"/>
      <c r="M143" s="576"/>
      <c r="O143" s="564"/>
      <c r="P143" s="564"/>
      <c r="Q143" s="576"/>
      <c r="R143" s="775"/>
      <c r="S143" s="775"/>
      <c r="T143" s="775"/>
      <c r="U143" s="776"/>
      <c r="V143" s="776"/>
      <c r="W143" s="776"/>
    </row>
    <row r="144" spans="1:23" ht="15" customHeight="1" x14ac:dyDescent="0.35">
      <c r="A144" s="492"/>
      <c r="B144" s="492"/>
      <c r="C144" s="493"/>
      <c r="D144" s="492"/>
      <c r="E144" s="493"/>
      <c r="F144" s="494"/>
      <c r="G144" s="492"/>
      <c r="H144" s="492"/>
      <c r="I144" s="493"/>
      <c r="J144" s="493"/>
      <c r="K144" s="564"/>
      <c r="L144" s="566"/>
      <c r="M144" s="576"/>
      <c r="O144" s="564"/>
      <c r="P144" s="564"/>
      <c r="Q144" s="576"/>
      <c r="R144" s="775"/>
      <c r="S144" s="775"/>
      <c r="T144" s="775"/>
      <c r="U144" s="776"/>
      <c r="V144" s="776"/>
      <c r="W144" s="776"/>
    </row>
    <row r="145" spans="1:23" ht="15" customHeight="1" x14ac:dyDescent="0.35">
      <c r="A145" s="492"/>
      <c r="B145" s="492"/>
      <c r="C145" s="493"/>
      <c r="D145" s="492"/>
      <c r="E145" s="493"/>
      <c r="F145" s="494"/>
      <c r="G145" s="492"/>
      <c r="H145" s="492"/>
      <c r="I145" s="493"/>
      <c r="J145" s="493"/>
      <c r="K145" s="564"/>
      <c r="L145" s="566"/>
      <c r="M145" s="576"/>
      <c r="O145" s="564"/>
      <c r="P145" s="564"/>
      <c r="Q145" s="576"/>
      <c r="R145" s="775"/>
      <c r="S145" s="775"/>
      <c r="T145" s="775"/>
      <c r="U145" s="776"/>
      <c r="V145" s="776"/>
      <c r="W145" s="776"/>
    </row>
    <row r="146" spans="1:23" ht="15" customHeight="1" x14ac:dyDescent="0.35">
      <c r="A146" s="492"/>
      <c r="B146" s="492"/>
      <c r="C146" s="493"/>
      <c r="D146" s="492"/>
      <c r="E146" s="493"/>
      <c r="F146" s="494"/>
      <c r="G146" s="492"/>
      <c r="H146" s="492"/>
      <c r="I146" s="493"/>
      <c r="J146" s="493"/>
      <c r="K146" s="564"/>
      <c r="L146" s="566"/>
      <c r="M146" s="576"/>
      <c r="O146" s="564"/>
      <c r="P146" s="564"/>
      <c r="Q146" s="576"/>
      <c r="R146" s="775"/>
      <c r="S146" s="775"/>
      <c r="T146" s="775"/>
      <c r="U146" s="776"/>
      <c r="V146" s="776"/>
      <c r="W146" s="776"/>
    </row>
    <row r="147" spans="1:23" ht="15" customHeight="1" x14ac:dyDescent="0.35">
      <c r="A147" s="492"/>
      <c r="B147" s="492"/>
      <c r="C147" s="493"/>
      <c r="D147" s="492"/>
      <c r="E147" s="493"/>
      <c r="F147" s="494"/>
      <c r="G147" s="492"/>
      <c r="H147" s="492"/>
      <c r="I147" s="493"/>
      <c r="J147" s="493"/>
      <c r="K147" s="564"/>
      <c r="L147" s="566"/>
      <c r="M147" s="576"/>
      <c r="O147" s="564"/>
      <c r="P147" s="564"/>
      <c r="Q147" s="576"/>
      <c r="R147" s="775"/>
      <c r="S147" s="775"/>
      <c r="T147" s="775"/>
      <c r="U147" s="776"/>
      <c r="V147" s="776"/>
      <c r="W147" s="776"/>
    </row>
    <row r="148" spans="1:23" ht="15" customHeight="1" x14ac:dyDescent="0.35">
      <c r="A148" s="492"/>
      <c r="B148" s="492"/>
      <c r="C148" s="493"/>
      <c r="D148" s="492"/>
      <c r="E148" s="493"/>
      <c r="F148" s="494"/>
      <c r="G148" s="492"/>
      <c r="H148" s="492"/>
      <c r="I148" s="493"/>
      <c r="J148" s="493"/>
      <c r="K148" s="564"/>
      <c r="L148" s="566"/>
      <c r="M148" s="576"/>
      <c r="O148" s="564"/>
      <c r="P148" s="564"/>
      <c r="Q148" s="576"/>
      <c r="R148" s="775"/>
      <c r="S148" s="775"/>
      <c r="T148" s="775"/>
      <c r="U148" s="776"/>
      <c r="V148" s="776"/>
      <c r="W148" s="776"/>
    </row>
    <row r="149" spans="1:23" ht="15" customHeight="1" x14ac:dyDescent="0.35">
      <c r="A149" s="492"/>
      <c r="B149" s="492"/>
      <c r="C149" s="493"/>
      <c r="D149" s="492"/>
      <c r="E149" s="493"/>
      <c r="F149" s="494"/>
      <c r="G149" s="492"/>
      <c r="H149" s="492"/>
      <c r="I149" s="493"/>
      <c r="J149" s="493"/>
      <c r="K149" s="564"/>
      <c r="L149" s="566"/>
      <c r="M149" s="576"/>
      <c r="O149" s="564"/>
      <c r="P149" s="564"/>
      <c r="Q149" s="576"/>
      <c r="R149" s="775"/>
      <c r="S149" s="775"/>
      <c r="T149" s="775"/>
      <c r="U149" s="776"/>
      <c r="V149" s="776"/>
      <c r="W149" s="776"/>
    </row>
    <row r="150" spans="1:23" ht="15" customHeight="1" x14ac:dyDescent="0.35">
      <c r="A150" s="492"/>
      <c r="B150" s="492"/>
      <c r="C150" s="493"/>
      <c r="D150" s="492"/>
      <c r="E150" s="493"/>
      <c r="F150" s="494"/>
      <c r="G150" s="492"/>
      <c r="H150" s="492"/>
      <c r="I150" s="493"/>
      <c r="J150" s="493"/>
      <c r="K150" s="564"/>
      <c r="L150" s="566"/>
      <c r="M150" s="576"/>
      <c r="O150" s="564"/>
      <c r="P150" s="564"/>
      <c r="Q150" s="576"/>
      <c r="R150" s="775"/>
      <c r="S150" s="775"/>
      <c r="T150" s="775"/>
      <c r="U150" s="776"/>
      <c r="V150" s="776"/>
      <c r="W150" s="776"/>
    </row>
    <row r="151" spans="1:23" ht="15" customHeight="1" x14ac:dyDescent="0.35">
      <c r="A151" s="492"/>
      <c r="B151" s="492"/>
      <c r="C151" s="493"/>
      <c r="D151" s="492"/>
      <c r="E151" s="493"/>
      <c r="F151" s="494"/>
      <c r="G151" s="492"/>
      <c r="H151" s="492"/>
      <c r="I151" s="493"/>
      <c r="J151" s="493"/>
      <c r="K151" s="564"/>
      <c r="L151" s="566"/>
      <c r="M151" s="576"/>
      <c r="O151" s="564"/>
      <c r="P151" s="564"/>
      <c r="Q151" s="576"/>
      <c r="R151" s="775"/>
      <c r="S151" s="775"/>
      <c r="T151" s="775"/>
      <c r="U151" s="776"/>
      <c r="V151" s="776"/>
      <c r="W151" s="776"/>
    </row>
    <row r="152" spans="1:23" ht="15" customHeight="1" x14ac:dyDescent="0.35">
      <c r="A152" s="492"/>
      <c r="B152" s="492"/>
      <c r="C152" s="493"/>
      <c r="D152" s="492"/>
      <c r="E152" s="493"/>
      <c r="F152" s="494"/>
      <c r="G152" s="492"/>
      <c r="H152" s="492"/>
      <c r="I152" s="493"/>
      <c r="J152" s="493"/>
      <c r="K152" s="564"/>
      <c r="L152" s="566"/>
      <c r="M152" s="576"/>
      <c r="O152" s="564"/>
      <c r="P152" s="564"/>
      <c r="Q152" s="576"/>
      <c r="R152" s="775"/>
      <c r="S152" s="775"/>
      <c r="T152" s="775"/>
      <c r="U152" s="776"/>
      <c r="V152" s="776"/>
      <c r="W152" s="776"/>
    </row>
    <row r="153" spans="1:23" ht="15" customHeight="1" x14ac:dyDescent="0.35">
      <c r="A153" s="492"/>
      <c r="B153" s="492"/>
      <c r="C153" s="493"/>
      <c r="D153" s="492"/>
      <c r="E153" s="493"/>
      <c r="F153" s="494"/>
      <c r="G153" s="492"/>
      <c r="H153" s="492"/>
      <c r="I153" s="493"/>
      <c r="J153" s="493"/>
      <c r="K153" s="564"/>
      <c r="L153" s="566"/>
      <c r="M153" s="576"/>
      <c r="O153" s="564"/>
      <c r="P153" s="564"/>
      <c r="Q153" s="576"/>
      <c r="R153" s="775"/>
      <c r="S153" s="775"/>
      <c r="T153" s="775"/>
      <c r="U153" s="776"/>
      <c r="V153" s="776"/>
      <c r="W153" s="776"/>
    </row>
    <row r="154" spans="1:23" ht="15" customHeight="1" x14ac:dyDescent="0.35">
      <c r="A154" s="492"/>
      <c r="B154" s="492"/>
      <c r="C154" s="493"/>
      <c r="D154" s="492"/>
      <c r="E154" s="493"/>
      <c r="F154" s="494"/>
      <c r="G154" s="492"/>
      <c r="H154" s="492"/>
      <c r="I154" s="493"/>
      <c r="J154" s="493"/>
      <c r="K154" s="564"/>
      <c r="L154" s="566"/>
      <c r="M154" s="576"/>
      <c r="O154" s="564"/>
      <c r="P154" s="564"/>
      <c r="Q154" s="576"/>
      <c r="R154" s="775"/>
      <c r="S154" s="775"/>
      <c r="T154" s="775"/>
      <c r="U154" s="776"/>
      <c r="V154" s="776"/>
      <c r="W154" s="776"/>
    </row>
    <row r="155" spans="1:23" ht="15" customHeight="1" x14ac:dyDescent="0.35">
      <c r="A155" s="492"/>
      <c r="B155" s="492"/>
      <c r="C155" s="493"/>
      <c r="D155" s="492"/>
      <c r="E155" s="493"/>
      <c r="F155" s="494"/>
      <c r="G155" s="492"/>
      <c r="H155" s="492"/>
      <c r="I155" s="493"/>
      <c r="J155" s="493"/>
      <c r="K155" s="564"/>
      <c r="L155" s="566"/>
      <c r="M155" s="576"/>
      <c r="O155" s="564"/>
      <c r="P155" s="564"/>
      <c r="Q155" s="576"/>
      <c r="R155" s="775"/>
      <c r="S155" s="775"/>
      <c r="T155" s="775"/>
      <c r="U155" s="776"/>
      <c r="V155" s="776"/>
      <c r="W155" s="776"/>
    </row>
    <row r="156" spans="1:23" ht="15" customHeight="1" x14ac:dyDescent="0.35">
      <c r="A156" s="492"/>
      <c r="B156" s="492"/>
      <c r="C156" s="493"/>
      <c r="D156" s="492"/>
      <c r="E156" s="493"/>
      <c r="F156" s="494"/>
      <c r="G156" s="492"/>
      <c r="H156" s="492"/>
      <c r="I156" s="493"/>
      <c r="J156" s="493"/>
      <c r="K156" s="564"/>
      <c r="L156" s="566"/>
      <c r="M156" s="576"/>
      <c r="O156" s="564"/>
      <c r="P156" s="564"/>
      <c r="Q156" s="576"/>
      <c r="R156" s="775"/>
      <c r="S156" s="775"/>
      <c r="T156" s="775"/>
      <c r="U156" s="776"/>
      <c r="V156" s="776"/>
      <c r="W156" s="776"/>
    </row>
    <row r="157" spans="1:23" ht="15" customHeight="1" x14ac:dyDescent="0.35">
      <c r="A157" s="492"/>
      <c r="B157" s="492"/>
      <c r="C157" s="493"/>
      <c r="D157" s="492"/>
      <c r="E157" s="493"/>
      <c r="F157" s="494"/>
      <c r="G157" s="492"/>
      <c r="H157" s="492"/>
      <c r="I157" s="493"/>
      <c r="J157" s="493"/>
      <c r="K157" s="564"/>
      <c r="L157" s="566"/>
      <c r="M157" s="576"/>
      <c r="O157" s="564"/>
      <c r="P157" s="564"/>
      <c r="Q157" s="576"/>
      <c r="R157" s="775"/>
      <c r="S157" s="775"/>
      <c r="T157" s="775"/>
      <c r="U157" s="776"/>
      <c r="V157" s="776"/>
      <c r="W157" s="776"/>
    </row>
    <row r="158" spans="1:23" ht="15" customHeight="1" x14ac:dyDescent="0.35">
      <c r="A158" s="492"/>
      <c r="B158" s="492"/>
      <c r="C158" s="493"/>
      <c r="D158" s="492"/>
      <c r="E158" s="493"/>
      <c r="F158" s="494"/>
      <c r="G158" s="492"/>
      <c r="H158" s="492"/>
      <c r="I158" s="493"/>
      <c r="J158" s="493"/>
      <c r="K158" s="564"/>
      <c r="L158" s="566"/>
      <c r="M158" s="576"/>
      <c r="O158" s="564"/>
      <c r="P158" s="564"/>
      <c r="Q158" s="576"/>
      <c r="R158" s="775"/>
      <c r="S158" s="775"/>
      <c r="T158" s="775"/>
      <c r="U158" s="776"/>
      <c r="V158" s="776"/>
      <c r="W158" s="776"/>
    </row>
    <row r="159" spans="1:23" ht="15" customHeight="1" x14ac:dyDescent="0.35">
      <c r="A159" s="492"/>
      <c r="B159" s="492"/>
      <c r="C159" s="493"/>
      <c r="D159" s="492"/>
      <c r="E159" s="493"/>
      <c r="F159" s="494"/>
      <c r="G159" s="492"/>
      <c r="H159" s="492"/>
      <c r="I159" s="493"/>
      <c r="J159" s="493"/>
      <c r="K159" s="564"/>
      <c r="L159" s="566"/>
      <c r="M159" s="576"/>
      <c r="O159" s="564"/>
      <c r="P159" s="564"/>
      <c r="Q159" s="576"/>
      <c r="R159" s="775"/>
      <c r="S159" s="775"/>
      <c r="T159" s="775"/>
      <c r="U159" s="776"/>
      <c r="V159" s="776"/>
      <c r="W159" s="776"/>
    </row>
    <row r="160" spans="1:23" ht="15" customHeight="1" x14ac:dyDescent="0.35">
      <c r="A160" s="492"/>
      <c r="B160" s="492"/>
      <c r="C160" s="493"/>
      <c r="D160" s="492"/>
      <c r="E160" s="493"/>
      <c r="F160" s="494"/>
      <c r="G160" s="492"/>
      <c r="H160" s="492"/>
      <c r="I160" s="493"/>
      <c r="J160" s="493"/>
      <c r="K160" s="564"/>
      <c r="L160" s="566"/>
      <c r="M160" s="576"/>
      <c r="O160" s="564"/>
      <c r="P160" s="564"/>
      <c r="Q160" s="576"/>
      <c r="R160" s="775"/>
      <c r="S160" s="775"/>
      <c r="T160" s="775"/>
      <c r="U160" s="776"/>
      <c r="V160" s="776"/>
      <c r="W160" s="776"/>
    </row>
    <row r="161" spans="1:23" ht="15" customHeight="1" x14ac:dyDescent="0.35">
      <c r="A161" s="492"/>
      <c r="B161" s="492"/>
      <c r="C161" s="493"/>
      <c r="D161" s="492"/>
      <c r="E161" s="493"/>
      <c r="F161" s="494"/>
      <c r="G161" s="492"/>
      <c r="H161" s="492"/>
      <c r="I161" s="493"/>
      <c r="J161" s="493"/>
      <c r="K161" s="564"/>
      <c r="L161" s="566"/>
      <c r="M161" s="576"/>
      <c r="O161" s="564"/>
      <c r="P161" s="564"/>
      <c r="Q161" s="576"/>
      <c r="R161" s="775"/>
      <c r="S161" s="775"/>
      <c r="T161" s="775"/>
      <c r="U161" s="776"/>
      <c r="V161" s="776"/>
      <c r="W161" s="776"/>
    </row>
    <row r="162" spans="1:23" ht="15" customHeight="1" x14ac:dyDescent="0.35">
      <c r="A162" s="492"/>
      <c r="B162" s="492"/>
      <c r="C162" s="493"/>
      <c r="D162" s="492"/>
      <c r="E162" s="493"/>
      <c r="F162" s="494"/>
      <c r="G162" s="492"/>
      <c r="H162" s="492"/>
      <c r="I162" s="493"/>
      <c r="J162" s="493"/>
      <c r="K162" s="564"/>
      <c r="L162" s="566"/>
      <c r="M162" s="576"/>
      <c r="O162" s="564"/>
      <c r="P162" s="564"/>
      <c r="Q162" s="576"/>
      <c r="R162" s="775"/>
      <c r="S162" s="775"/>
      <c r="T162" s="775"/>
      <c r="U162" s="776"/>
      <c r="V162" s="776"/>
      <c r="W162" s="776"/>
    </row>
    <row r="163" spans="1:23" ht="15" customHeight="1" x14ac:dyDescent="0.35">
      <c r="A163" s="492"/>
      <c r="B163" s="492"/>
      <c r="C163" s="493"/>
      <c r="D163" s="492"/>
      <c r="E163" s="493"/>
      <c r="F163" s="494"/>
      <c r="G163" s="492"/>
      <c r="H163" s="492"/>
      <c r="I163" s="493"/>
      <c r="J163" s="493"/>
      <c r="K163" s="564"/>
      <c r="L163" s="566"/>
      <c r="M163" s="576"/>
      <c r="O163" s="564"/>
      <c r="P163" s="564"/>
      <c r="Q163" s="576"/>
      <c r="R163" s="775"/>
      <c r="S163" s="775"/>
      <c r="T163" s="775"/>
      <c r="U163" s="776"/>
      <c r="V163" s="776"/>
      <c r="W163" s="776"/>
    </row>
    <row r="164" spans="1:23" ht="15" customHeight="1" x14ac:dyDescent="0.35">
      <c r="A164" s="492"/>
      <c r="B164" s="492"/>
      <c r="C164" s="493"/>
      <c r="D164" s="492"/>
      <c r="E164" s="493"/>
      <c r="F164" s="494"/>
      <c r="G164" s="492"/>
      <c r="H164" s="492"/>
      <c r="I164" s="493"/>
      <c r="J164" s="493"/>
      <c r="K164" s="564"/>
      <c r="L164" s="566"/>
      <c r="M164" s="576"/>
      <c r="O164" s="564"/>
      <c r="P164" s="564"/>
      <c r="Q164" s="576"/>
      <c r="R164" s="775"/>
      <c r="S164" s="775"/>
      <c r="T164" s="775"/>
      <c r="U164" s="776"/>
      <c r="V164" s="776"/>
      <c r="W164" s="776"/>
    </row>
    <row r="165" spans="1:23" ht="15" customHeight="1" x14ac:dyDescent="0.35">
      <c r="A165" s="492"/>
      <c r="B165" s="492"/>
      <c r="C165" s="493"/>
      <c r="D165" s="492"/>
      <c r="E165" s="493"/>
      <c r="F165" s="494"/>
      <c r="G165" s="492"/>
      <c r="H165" s="492"/>
      <c r="I165" s="493"/>
      <c r="J165" s="493"/>
      <c r="K165" s="564"/>
      <c r="L165" s="566"/>
      <c r="M165" s="576"/>
      <c r="O165" s="564"/>
      <c r="P165" s="564"/>
      <c r="Q165" s="576"/>
      <c r="R165" s="775"/>
      <c r="S165" s="775"/>
      <c r="T165" s="775"/>
      <c r="U165" s="776"/>
      <c r="V165" s="776"/>
      <c r="W165" s="776"/>
    </row>
    <row r="166" spans="1:23" ht="15" customHeight="1" x14ac:dyDescent="0.35">
      <c r="A166" s="492"/>
      <c r="B166" s="492"/>
      <c r="C166" s="493"/>
      <c r="D166" s="492"/>
      <c r="E166" s="493"/>
      <c r="F166" s="494"/>
      <c r="G166" s="492"/>
      <c r="H166" s="492"/>
      <c r="I166" s="493"/>
      <c r="J166" s="493"/>
      <c r="K166" s="564"/>
      <c r="L166" s="566"/>
      <c r="M166" s="576"/>
      <c r="O166" s="564"/>
      <c r="P166" s="564"/>
      <c r="Q166" s="576"/>
      <c r="R166" s="775"/>
      <c r="S166" s="775"/>
      <c r="T166" s="775"/>
      <c r="U166" s="776"/>
      <c r="V166" s="776"/>
      <c r="W166" s="776"/>
    </row>
    <row r="167" spans="1:23" ht="15" customHeight="1" x14ac:dyDescent="0.35">
      <c r="A167" s="492"/>
      <c r="B167" s="492"/>
      <c r="C167" s="493"/>
      <c r="D167" s="492"/>
      <c r="E167" s="493"/>
      <c r="F167" s="494"/>
      <c r="G167" s="492"/>
      <c r="H167" s="492"/>
      <c r="I167" s="493"/>
      <c r="J167" s="493"/>
      <c r="K167" s="564"/>
      <c r="L167" s="566"/>
      <c r="M167" s="576"/>
      <c r="O167" s="564"/>
      <c r="P167" s="564"/>
      <c r="Q167" s="576"/>
      <c r="R167" s="775"/>
      <c r="S167" s="775"/>
      <c r="T167" s="775"/>
      <c r="U167" s="776"/>
      <c r="V167" s="776"/>
      <c r="W167" s="776"/>
    </row>
    <row r="168" spans="1:23" ht="15" customHeight="1" x14ac:dyDescent="0.35">
      <c r="A168" s="492"/>
      <c r="B168" s="492"/>
      <c r="C168" s="493"/>
      <c r="D168" s="492"/>
      <c r="E168" s="493"/>
      <c r="F168" s="494"/>
      <c r="G168" s="492"/>
      <c r="H168" s="492"/>
      <c r="I168" s="493"/>
      <c r="J168" s="493"/>
      <c r="K168" s="564"/>
      <c r="L168" s="566"/>
      <c r="M168" s="576"/>
      <c r="O168" s="564"/>
      <c r="P168" s="564"/>
      <c r="Q168" s="576"/>
      <c r="R168" s="775"/>
      <c r="S168" s="775"/>
      <c r="T168" s="775"/>
      <c r="U168" s="776"/>
      <c r="V168" s="776"/>
      <c r="W168" s="776"/>
    </row>
    <row r="169" spans="1:23" ht="15" customHeight="1" x14ac:dyDescent="0.35">
      <c r="A169" s="492"/>
      <c r="B169" s="492"/>
      <c r="C169" s="493"/>
      <c r="D169" s="492"/>
      <c r="E169" s="493"/>
      <c r="F169" s="494"/>
      <c r="G169" s="492"/>
      <c r="H169" s="492"/>
      <c r="I169" s="493"/>
      <c r="J169" s="493"/>
      <c r="K169" s="564"/>
      <c r="L169" s="566"/>
      <c r="M169" s="576"/>
      <c r="O169" s="564"/>
      <c r="P169" s="564"/>
      <c r="Q169" s="576"/>
      <c r="R169" s="775"/>
      <c r="S169" s="775"/>
      <c r="T169" s="775"/>
      <c r="U169" s="776"/>
      <c r="V169" s="776"/>
      <c r="W169" s="776"/>
    </row>
    <row r="170" spans="1:23" ht="15" customHeight="1" x14ac:dyDescent="0.35">
      <c r="A170" s="492"/>
      <c r="B170" s="492"/>
      <c r="C170" s="493"/>
      <c r="D170" s="492"/>
      <c r="E170" s="493"/>
      <c r="F170" s="494"/>
      <c r="G170" s="492"/>
      <c r="H170" s="492"/>
      <c r="I170" s="493"/>
      <c r="J170" s="493"/>
      <c r="K170" s="564"/>
      <c r="L170" s="566"/>
      <c r="M170" s="576"/>
      <c r="O170" s="564"/>
      <c r="P170" s="564"/>
      <c r="Q170" s="576"/>
      <c r="R170" s="775"/>
      <c r="S170" s="775"/>
      <c r="T170" s="775"/>
      <c r="U170" s="776"/>
      <c r="V170" s="776"/>
      <c r="W170" s="776"/>
    </row>
    <row r="171" spans="1:23" ht="15" customHeight="1" x14ac:dyDescent="0.35">
      <c r="A171" s="492"/>
      <c r="B171" s="492"/>
      <c r="C171" s="493"/>
      <c r="D171" s="492"/>
      <c r="E171" s="493"/>
      <c r="F171" s="494"/>
      <c r="G171" s="492"/>
      <c r="H171" s="492"/>
      <c r="I171" s="493"/>
      <c r="J171" s="493"/>
      <c r="K171" s="564"/>
      <c r="L171" s="566"/>
      <c r="M171" s="576"/>
      <c r="O171" s="564"/>
      <c r="P171" s="564"/>
      <c r="Q171" s="576"/>
      <c r="R171" s="775"/>
      <c r="S171" s="775"/>
      <c r="T171" s="775"/>
      <c r="U171" s="776"/>
      <c r="V171" s="776"/>
      <c r="W171" s="776"/>
    </row>
    <row r="172" spans="1:23" ht="15" customHeight="1" x14ac:dyDescent="0.35">
      <c r="A172" s="492"/>
      <c r="B172" s="492"/>
      <c r="C172" s="493"/>
      <c r="D172" s="492"/>
      <c r="E172" s="493"/>
      <c r="F172" s="494"/>
      <c r="G172" s="492"/>
      <c r="H172" s="492"/>
      <c r="I172" s="493"/>
      <c r="J172" s="493"/>
      <c r="K172" s="564"/>
      <c r="L172" s="566"/>
      <c r="M172" s="576"/>
      <c r="O172" s="564"/>
      <c r="P172" s="564"/>
      <c r="Q172" s="576"/>
      <c r="R172" s="775"/>
      <c r="S172" s="775"/>
      <c r="T172" s="775"/>
      <c r="U172" s="776"/>
      <c r="V172" s="776"/>
      <c r="W172" s="776"/>
    </row>
    <row r="173" spans="1:23" ht="15" customHeight="1" x14ac:dyDescent="0.35">
      <c r="A173" s="492"/>
      <c r="B173" s="492"/>
      <c r="C173" s="493"/>
      <c r="D173" s="492"/>
      <c r="E173" s="493"/>
      <c r="F173" s="494"/>
      <c r="G173" s="492"/>
      <c r="H173" s="492"/>
      <c r="I173" s="493"/>
      <c r="J173" s="493"/>
      <c r="K173" s="564"/>
      <c r="L173" s="566"/>
      <c r="M173" s="576"/>
      <c r="O173" s="564"/>
      <c r="P173" s="564"/>
      <c r="Q173" s="576"/>
      <c r="R173" s="775"/>
      <c r="S173" s="775"/>
      <c r="T173" s="775"/>
      <c r="U173" s="776"/>
      <c r="V173" s="776"/>
      <c r="W173" s="776"/>
    </row>
    <row r="174" spans="1:23" ht="15" customHeight="1" x14ac:dyDescent="0.35">
      <c r="A174" s="492"/>
      <c r="B174" s="492"/>
      <c r="C174" s="493"/>
      <c r="D174" s="492"/>
      <c r="E174" s="493"/>
      <c r="F174" s="494"/>
      <c r="G174" s="492"/>
      <c r="H174" s="492"/>
      <c r="I174" s="493"/>
      <c r="J174" s="493"/>
      <c r="K174" s="564"/>
      <c r="L174" s="566"/>
      <c r="M174" s="576"/>
      <c r="O174" s="564"/>
      <c r="P174" s="564"/>
      <c r="Q174" s="576"/>
      <c r="R174" s="775"/>
      <c r="S174" s="775"/>
      <c r="T174" s="775"/>
      <c r="U174" s="776"/>
      <c r="V174" s="776"/>
      <c r="W174" s="776"/>
    </row>
    <row r="175" spans="1:23" ht="15" customHeight="1" x14ac:dyDescent="0.35">
      <c r="A175" s="492"/>
      <c r="B175" s="492"/>
      <c r="C175" s="493"/>
      <c r="D175" s="492"/>
      <c r="E175" s="493"/>
      <c r="F175" s="494"/>
      <c r="G175" s="492"/>
      <c r="H175" s="492"/>
      <c r="I175" s="493"/>
      <c r="J175" s="493"/>
      <c r="K175" s="564"/>
      <c r="L175" s="566"/>
      <c r="M175" s="576"/>
      <c r="O175" s="564"/>
      <c r="P175" s="564"/>
      <c r="Q175" s="576"/>
      <c r="R175" s="775"/>
      <c r="S175" s="775"/>
      <c r="T175" s="775"/>
      <c r="U175" s="776"/>
      <c r="V175" s="776"/>
      <c r="W175" s="776"/>
    </row>
    <row r="176" spans="1:23" ht="15" customHeight="1" x14ac:dyDescent="0.35">
      <c r="A176" s="492"/>
      <c r="B176" s="492"/>
      <c r="C176" s="493"/>
      <c r="D176" s="492"/>
      <c r="E176" s="493"/>
      <c r="F176" s="494"/>
      <c r="G176" s="492"/>
      <c r="H176" s="492"/>
      <c r="I176" s="493"/>
      <c r="J176" s="493"/>
      <c r="K176" s="564"/>
      <c r="L176" s="566"/>
      <c r="M176" s="576"/>
      <c r="O176" s="564"/>
      <c r="P176" s="564"/>
      <c r="Q176" s="576"/>
      <c r="R176" s="775"/>
      <c r="S176" s="775"/>
      <c r="T176" s="775"/>
      <c r="U176" s="776"/>
      <c r="V176" s="776"/>
      <c r="W176" s="776"/>
    </row>
    <row r="177" spans="1:23" ht="15" customHeight="1" x14ac:dyDescent="0.35">
      <c r="A177" s="492"/>
      <c r="B177" s="492"/>
      <c r="C177" s="493"/>
      <c r="D177" s="492"/>
      <c r="E177" s="493"/>
      <c r="F177" s="494"/>
      <c r="G177" s="492"/>
      <c r="H177" s="492"/>
      <c r="I177" s="493"/>
      <c r="J177" s="493"/>
      <c r="K177" s="564"/>
      <c r="L177" s="566"/>
      <c r="M177" s="576"/>
      <c r="O177" s="564"/>
      <c r="P177" s="564"/>
      <c r="Q177" s="576"/>
      <c r="R177" s="775"/>
      <c r="S177" s="775"/>
      <c r="T177" s="775"/>
      <c r="U177" s="776"/>
      <c r="V177" s="776"/>
      <c r="W177" s="776"/>
    </row>
    <row r="178" spans="1:23" ht="15" customHeight="1" x14ac:dyDescent="0.35">
      <c r="A178" s="492"/>
      <c r="B178" s="492"/>
      <c r="C178" s="493"/>
      <c r="D178" s="492"/>
      <c r="E178" s="493"/>
      <c r="F178" s="494"/>
      <c r="G178" s="492"/>
      <c r="H178" s="492"/>
      <c r="I178" s="493"/>
      <c r="J178" s="493"/>
      <c r="K178" s="564"/>
      <c r="L178" s="566"/>
      <c r="M178" s="576"/>
      <c r="O178" s="564"/>
      <c r="P178" s="564"/>
      <c r="Q178" s="576"/>
      <c r="R178" s="775"/>
      <c r="S178" s="775"/>
      <c r="T178" s="775"/>
      <c r="U178" s="776"/>
      <c r="V178" s="776"/>
      <c r="W178" s="776"/>
    </row>
    <row r="179" spans="1:23" ht="15" customHeight="1" x14ac:dyDescent="0.35">
      <c r="A179" s="492"/>
      <c r="B179" s="492"/>
      <c r="C179" s="493"/>
      <c r="D179" s="492"/>
      <c r="E179" s="493"/>
      <c r="F179" s="494"/>
      <c r="G179" s="492"/>
      <c r="H179" s="492"/>
      <c r="I179" s="493"/>
      <c r="J179" s="493"/>
      <c r="K179" s="564"/>
      <c r="L179" s="566"/>
      <c r="M179" s="576"/>
      <c r="O179" s="564"/>
      <c r="P179" s="564"/>
      <c r="Q179" s="576"/>
      <c r="R179" s="775"/>
      <c r="S179" s="775"/>
      <c r="T179" s="775"/>
      <c r="U179" s="776"/>
      <c r="V179" s="776"/>
      <c r="W179" s="776"/>
    </row>
    <row r="180" spans="1:23" ht="15" customHeight="1" x14ac:dyDescent="0.35">
      <c r="A180" s="492"/>
      <c r="B180" s="492"/>
      <c r="C180" s="493"/>
      <c r="D180" s="492"/>
      <c r="E180" s="493"/>
      <c r="F180" s="494"/>
      <c r="G180" s="492"/>
      <c r="H180" s="492"/>
      <c r="I180" s="493"/>
      <c r="J180" s="493"/>
      <c r="K180" s="564"/>
      <c r="L180" s="566"/>
      <c r="M180" s="576"/>
      <c r="O180" s="564"/>
      <c r="P180" s="564"/>
      <c r="Q180" s="576"/>
      <c r="R180" s="775"/>
      <c r="S180" s="775"/>
      <c r="T180" s="775"/>
      <c r="U180" s="776"/>
      <c r="V180" s="776"/>
      <c r="W180" s="776"/>
    </row>
    <row r="181" spans="1:23" ht="15" customHeight="1" x14ac:dyDescent="0.35">
      <c r="A181" s="492"/>
      <c r="B181" s="492"/>
      <c r="C181" s="493"/>
      <c r="D181" s="492"/>
      <c r="E181" s="493"/>
      <c r="F181" s="494"/>
      <c r="G181" s="492"/>
      <c r="H181" s="492"/>
      <c r="I181" s="493"/>
      <c r="J181" s="493"/>
      <c r="K181" s="564"/>
      <c r="L181" s="566"/>
      <c r="M181" s="576"/>
      <c r="O181" s="564"/>
      <c r="P181" s="564"/>
      <c r="Q181" s="576"/>
      <c r="R181" s="775"/>
      <c r="S181" s="775"/>
      <c r="T181" s="775"/>
      <c r="U181" s="776"/>
      <c r="V181" s="776"/>
      <c r="W181" s="776"/>
    </row>
    <row r="182" spans="1:23" ht="15" customHeight="1" x14ac:dyDescent="0.35">
      <c r="A182" s="492"/>
      <c r="B182" s="492"/>
      <c r="C182" s="493"/>
      <c r="D182" s="492"/>
      <c r="E182" s="493"/>
      <c r="F182" s="494"/>
      <c r="G182" s="492"/>
      <c r="H182" s="492"/>
      <c r="I182" s="493"/>
      <c r="J182" s="493"/>
      <c r="K182" s="564"/>
      <c r="L182" s="566"/>
      <c r="M182" s="576"/>
      <c r="O182" s="564"/>
      <c r="P182" s="564"/>
      <c r="Q182" s="576"/>
      <c r="R182" s="775"/>
      <c r="S182" s="775"/>
      <c r="T182" s="775"/>
      <c r="U182" s="776"/>
      <c r="V182" s="776"/>
      <c r="W182" s="776"/>
    </row>
    <row r="183" spans="1:23" ht="15" customHeight="1" x14ac:dyDescent="0.35">
      <c r="A183" s="492"/>
      <c r="B183" s="492"/>
      <c r="C183" s="493"/>
      <c r="D183" s="492"/>
      <c r="E183" s="493"/>
      <c r="F183" s="494"/>
      <c r="G183" s="492"/>
      <c r="H183" s="492"/>
      <c r="I183" s="493"/>
      <c r="J183" s="493"/>
      <c r="K183" s="564"/>
      <c r="L183" s="566"/>
      <c r="M183" s="576"/>
      <c r="O183" s="564"/>
      <c r="P183" s="564"/>
      <c r="Q183" s="576"/>
      <c r="R183" s="775"/>
      <c r="S183" s="775"/>
      <c r="T183" s="775"/>
      <c r="U183" s="776"/>
      <c r="V183" s="776"/>
      <c r="W183" s="776"/>
    </row>
    <row r="184" spans="1:23" ht="15" customHeight="1" x14ac:dyDescent="0.35">
      <c r="A184" s="492"/>
      <c r="B184" s="492"/>
      <c r="C184" s="493"/>
      <c r="D184" s="492"/>
      <c r="E184" s="493"/>
      <c r="F184" s="494"/>
      <c r="G184" s="492"/>
      <c r="H184" s="492"/>
      <c r="I184" s="493"/>
      <c r="J184" s="493"/>
      <c r="K184" s="564"/>
      <c r="L184" s="566"/>
      <c r="M184" s="576"/>
      <c r="O184" s="564"/>
      <c r="P184" s="564"/>
      <c r="Q184" s="576"/>
      <c r="R184" s="775"/>
      <c r="S184" s="775"/>
      <c r="T184" s="775"/>
      <c r="U184" s="776"/>
      <c r="V184" s="776"/>
      <c r="W184" s="776"/>
    </row>
    <row r="185" spans="1:23" ht="15" customHeight="1" x14ac:dyDescent="0.35">
      <c r="A185" s="492"/>
      <c r="B185" s="492"/>
      <c r="C185" s="493"/>
      <c r="D185" s="492"/>
      <c r="E185" s="493"/>
      <c r="F185" s="494"/>
      <c r="G185" s="492"/>
      <c r="H185" s="492"/>
      <c r="I185" s="493"/>
      <c r="J185" s="493"/>
      <c r="K185" s="564"/>
      <c r="L185" s="566"/>
      <c r="M185" s="576"/>
      <c r="O185" s="564"/>
      <c r="P185" s="564"/>
      <c r="Q185" s="576"/>
      <c r="R185" s="775"/>
      <c r="S185" s="775"/>
      <c r="T185" s="775"/>
      <c r="U185" s="776"/>
      <c r="V185" s="776"/>
      <c r="W185" s="776"/>
    </row>
    <row r="186" spans="1:23" ht="15" customHeight="1" x14ac:dyDescent="0.35">
      <c r="A186" s="492"/>
      <c r="B186" s="492"/>
      <c r="C186" s="493"/>
      <c r="D186" s="492"/>
      <c r="E186" s="493"/>
      <c r="F186" s="494"/>
      <c r="G186" s="492"/>
      <c r="H186" s="492"/>
      <c r="I186" s="493"/>
      <c r="J186" s="493"/>
      <c r="K186" s="564"/>
      <c r="L186" s="566"/>
      <c r="M186" s="576"/>
      <c r="O186" s="564"/>
      <c r="P186" s="564"/>
      <c r="Q186" s="576"/>
      <c r="R186" s="775"/>
      <c r="S186" s="775"/>
      <c r="T186" s="775"/>
      <c r="U186" s="776"/>
      <c r="V186" s="776"/>
      <c r="W186" s="776"/>
    </row>
    <row r="187" spans="1:23" ht="15" customHeight="1" x14ac:dyDescent="0.35">
      <c r="A187" s="492"/>
      <c r="B187" s="492"/>
      <c r="C187" s="493"/>
      <c r="D187" s="492"/>
      <c r="E187" s="493"/>
      <c r="F187" s="494"/>
      <c r="G187" s="492"/>
      <c r="H187" s="492"/>
      <c r="I187" s="493"/>
      <c r="J187" s="493"/>
      <c r="K187" s="564"/>
      <c r="L187" s="566"/>
      <c r="M187" s="576"/>
      <c r="O187" s="564"/>
      <c r="P187" s="564"/>
      <c r="Q187" s="576"/>
      <c r="R187" s="775"/>
      <c r="S187" s="775"/>
      <c r="T187" s="775"/>
      <c r="U187" s="776"/>
      <c r="V187" s="776"/>
      <c r="W187" s="776"/>
    </row>
    <row r="188" spans="1:23" ht="15" customHeight="1" x14ac:dyDescent="0.35">
      <c r="A188" s="492"/>
      <c r="B188" s="492"/>
      <c r="C188" s="493"/>
      <c r="D188" s="492"/>
      <c r="E188" s="493"/>
      <c r="F188" s="494"/>
      <c r="G188" s="492"/>
      <c r="H188" s="492"/>
      <c r="I188" s="493"/>
      <c r="J188" s="493"/>
      <c r="K188" s="564"/>
      <c r="L188" s="566"/>
      <c r="M188" s="576"/>
      <c r="O188" s="564"/>
      <c r="P188" s="564"/>
      <c r="Q188" s="576"/>
      <c r="R188" s="775"/>
      <c r="S188" s="775"/>
      <c r="T188" s="775"/>
      <c r="U188" s="776"/>
      <c r="V188" s="776"/>
      <c r="W188" s="776"/>
    </row>
    <row r="189" spans="1:23" ht="15" customHeight="1" x14ac:dyDescent="0.35">
      <c r="A189" s="492"/>
      <c r="B189" s="492"/>
      <c r="C189" s="493"/>
      <c r="D189" s="492"/>
      <c r="E189" s="493"/>
      <c r="F189" s="494"/>
      <c r="G189" s="492"/>
      <c r="H189" s="492"/>
      <c r="I189" s="493"/>
      <c r="J189" s="493"/>
      <c r="K189" s="564"/>
      <c r="L189" s="566"/>
      <c r="M189" s="576"/>
      <c r="O189" s="564"/>
      <c r="P189" s="564"/>
      <c r="Q189" s="576"/>
      <c r="R189" s="775"/>
      <c r="S189" s="775"/>
      <c r="T189" s="775"/>
      <c r="U189" s="776"/>
      <c r="V189" s="776"/>
      <c r="W189" s="776"/>
    </row>
    <row r="190" spans="1:23" ht="15" customHeight="1" x14ac:dyDescent="0.35">
      <c r="A190" s="492"/>
      <c r="B190" s="492"/>
      <c r="C190" s="493"/>
      <c r="D190" s="492"/>
      <c r="E190" s="493"/>
      <c r="F190" s="494"/>
      <c r="G190" s="492"/>
      <c r="H190" s="492"/>
      <c r="I190" s="493"/>
      <c r="J190" s="493"/>
      <c r="K190" s="564"/>
      <c r="L190" s="566"/>
      <c r="M190" s="576"/>
      <c r="O190" s="564"/>
      <c r="P190" s="564"/>
      <c r="Q190" s="576"/>
      <c r="R190" s="775"/>
      <c r="S190" s="775"/>
      <c r="T190" s="775"/>
      <c r="U190" s="776"/>
      <c r="V190" s="776"/>
      <c r="W190" s="776"/>
    </row>
    <row r="191" spans="1:23" ht="15" customHeight="1" x14ac:dyDescent="0.35">
      <c r="A191" s="492"/>
      <c r="B191" s="492"/>
      <c r="C191" s="493"/>
      <c r="D191" s="492"/>
      <c r="E191" s="493"/>
      <c r="F191" s="494"/>
      <c r="G191" s="492"/>
      <c r="H191" s="492"/>
      <c r="I191" s="493"/>
      <c r="J191" s="493"/>
      <c r="K191" s="564"/>
      <c r="L191" s="566"/>
      <c r="M191" s="576"/>
      <c r="O191" s="564"/>
      <c r="P191" s="564"/>
      <c r="Q191" s="576"/>
      <c r="R191" s="775"/>
      <c r="S191" s="775"/>
      <c r="T191" s="775"/>
      <c r="U191" s="776"/>
      <c r="V191" s="776"/>
      <c r="W191" s="776"/>
    </row>
    <row r="192" spans="1:23" ht="15" customHeight="1" x14ac:dyDescent="0.35">
      <c r="A192" s="492"/>
      <c r="B192" s="492"/>
      <c r="C192" s="493"/>
      <c r="D192" s="492"/>
      <c r="E192" s="493"/>
      <c r="F192" s="494"/>
      <c r="G192" s="492"/>
      <c r="H192" s="492"/>
      <c r="I192" s="493"/>
      <c r="J192" s="493"/>
      <c r="K192" s="564"/>
      <c r="L192" s="566"/>
      <c r="M192" s="576"/>
      <c r="O192" s="564"/>
      <c r="P192" s="564"/>
      <c r="Q192" s="576"/>
      <c r="R192" s="775"/>
      <c r="S192" s="775"/>
      <c r="T192" s="775"/>
      <c r="U192" s="776"/>
      <c r="V192" s="776"/>
      <c r="W192" s="776"/>
    </row>
    <row r="193" spans="1:23" ht="15" customHeight="1" x14ac:dyDescent="0.35">
      <c r="A193" s="492"/>
      <c r="B193" s="492"/>
      <c r="C193" s="493"/>
      <c r="D193" s="492"/>
      <c r="E193" s="493"/>
      <c r="F193" s="494"/>
      <c r="G193" s="492"/>
      <c r="H193" s="492"/>
      <c r="I193" s="493"/>
      <c r="J193" s="493"/>
      <c r="K193" s="564"/>
      <c r="L193" s="566"/>
      <c r="M193" s="576"/>
      <c r="O193" s="564"/>
      <c r="P193" s="564"/>
      <c r="Q193" s="576"/>
      <c r="R193" s="775"/>
      <c r="S193" s="775"/>
      <c r="T193" s="775"/>
      <c r="U193" s="776"/>
      <c r="V193" s="776"/>
      <c r="W193" s="776"/>
    </row>
    <row r="194" spans="1:23" ht="15" customHeight="1" x14ac:dyDescent="0.35">
      <c r="A194" s="492"/>
      <c r="B194" s="492"/>
      <c r="C194" s="493"/>
      <c r="D194" s="492"/>
      <c r="E194" s="493"/>
      <c r="F194" s="494"/>
      <c r="G194" s="492"/>
      <c r="H194" s="492"/>
      <c r="I194" s="493"/>
      <c r="J194" s="493"/>
      <c r="K194" s="564"/>
      <c r="L194" s="566"/>
      <c r="M194" s="576"/>
      <c r="O194" s="564"/>
      <c r="P194" s="564"/>
      <c r="Q194" s="576"/>
      <c r="R194" s="775"/>
      <c r="S194" s="775"/>
      <c r="T194" s="775"/>
      <c r="U194" s="776"/>
      <c r="V194" s="776"/>
      <c r="W194" s="776"/>
    </row>
    <row r="195" spans="1:23" ht="15" customHeight="1" x14ac:dyDescent="0.35">
      <c r="A195" s="492"/>
      <c r="B195" s="492"/>
      <c r="C195" s="493"/>
      <c r="D195" s="492"/>
      <c r="E195" s="493"/>
      <c r="F195" s="494"/>
      <c r="G195" s="492"/>
      <c r="H195" s="492"/>
      <c r="I195" s="493"/>
      <c r="J195" s="493"/>
      <c r="K195" s="564"/>
      <c r="L195" s="566"/>
      <c r="M195" s="576"/>
      <c r="O195" s="564"/>
      <c r="P195" s="564"/>
      <c r="Q195" s="576"/>
      <c r="R195" s="775"/>
      <c r="S195" s="775"/>
      <c r="T195" s="775"/>
      <c r="U195" s="776"/>
      <c r="V195" s="776"/>
      <c r="W195" s="776"/>
    </row>
    <row r="196" spans="1:23" ht="15" customHeight="1" x14ac:dyDescent="0.35">
      <c r="A196" s="492"/>
      <c r="B196" s="492"/>
      <c r="C196" s="493"/>
      <c r="D196" s="492"/>
      <c r="E196" s="493"/>
      <c r="F196" s="494"/>
      <c r="G196" s="492"/>
      <c r="H196" s="492"/>
      <c r="I196" s="493"/>
      <c r="J196" s="493"/>
      <c r="K196" s="564"/>
      <c r="L196" s="566"/>
      <c r="M196" s="576"/>
      <c r="O196" s="564"/>
      <c r="P196" s="564"/>
      <c r="Q196" s="576"/>
      <c r="R196" s="775"/>
      <c r="S196" s="775"/>
      <c r="T196" s="775"/>
      <c r="U196" s="776"/>
      <c r="V196" s="776"/>
      <c r="W196" s="776"/>
    </row>
    <row r="197" spans="1:23" ht="15" customHeight="1" x14ac:dyDescent="0.35">
      <c r="A197" s="492"/>
      <c r="B197" s="492"/>
      <c r="C197" s="493"/>
      <c r="D197" s="492"/>
      <c r="E197" s="493"/>
      <c r="F197" s="494"/>
      <c r="G197" s="492"/>
      <c r="H197" s="492"/>
      <c r="I197" s="493"/>
      <c r="J197" s="493"/>
      <c r="K197" s="564"/>
      <c r="L197" s="566"/>
      <c r="M197" s="576"/>
      <c r="O197" s="564"/>
      <c r="P197" s="564"/>
      <c r="Q197" s="576"/>
      <c r="R197" s="775"/>
      <c r="S197" s="775"/>
      <c r="T197" s="775"/>
      <c r="U197" s="776"/>
      <c r="V197" s="776"/>
      <c r="W197" s="776"/>
    </row>
    <row r="198" spans="1:23" ht="15" customHeight="1" x14ac:dyDescent="0.35">
      <c r="A198" s="492"/>
      <c r="B198" s="492"/>
      <c r="C198" s="493"/>
      <c r="D198" s="492"/>
      <c r="E198" s="493"/>
      <c r="F198" s="494"/>
      <c r="G198" s="492"/>
      <c r="H198" s="492"/>
      <c r="I198" s="493"/>
      <c r="J198" s="493"/>
      <c r="K198" s="564"/>
      <c r="L198" s="566"/>
      <c r="M198" s="576"/>
      <c r="O198" s="564"/>
      <c r="P198" s="564"/>
      <c r="Q198" s="576"/>
      <c r="R198" s="775"/>
      <c r="S198" s="775"/>
      <c r="T198" s="775"/>
      <c r="U198" s="776"/>
      <c r="V198" s="776"/>
      <c r="W198" s="776"/>
    </row>
    <row r="199" spans="1:23" ht="15" customHeight="1" x14ac:dyDescent="0.35">
      <c r="A199" s="492"/>
      <c r="B199" s="492"/>
      <c r="C199" s="493"/>
      <c r="D199" s="492"/>
      <c r="E199" s="493"/>
      <c r="F199" s="494"/>
      <c r="G199" s="492"/>
      <c r="H199" s="492"/>
      <c r="I199" s="493"/>
      <c r="J199" s="493"/>
      <c r="K199" s="564"/>
      <c r="L199" s="566"/>
      <c r="M199" s="576"/>
      <c r="O199" s="564"/>
      <c r="P199" s="564"/>
      <c r="Q199" s="576"/>
      <c r="R199" s="775"/>
      <c r="S199" s="775"/>
      <c r="T199" s="775"/>
      <c r="U199" s="776"/>
      <c r="V199" s="776"/>
      <c r="W199" s="776"/>
    </row>
    <row r="200" spans="1:23" ht="15" customHeight="1" x14ac:dyDescent="0.35">
      <c r="A200" s="492"/>
      <c r="B200" s="492"/>
      <c r="C200" s="493"/>
      <c r="D200" s="492"/>
      <c r="E200" s="493"/>
      <c r="F200" s="494"/>
      <c r="G200" s="492"/>
      <c r="H200" s="492"/>
      <c r="I200" s="493"/>
      <c r="J200" s="493"/>
      <c r="K200" s="564"/>
      <c r="L200" s="566"/>
      <c r="M200" s="576"/>
      <c r="O200" s="564"/>
      <c r="P200" s="564"/>
      <c r="Q200" s="576"/>
      <c r="R200" s="775"/>
      <c r="S200" s="775"/>
      <c r="T200" s="775"/>
      <c r="U200" s="776"/>
      <c r="V200" s="776"/>
      <c r="W200" s="776"/>
    </row>
    <row r="201" spans="1:23" ht="15" customHeight="1" x14ac:dyDescent="0.35">
      <c r="A201" s="492"/>
      <c r="B201" s="492"/>
      <c r="C201" s="493"/>
      <c r="D201" s="492"/>
      <c r="E201" s="493"/>
      <c r="F201" s="494"/>
      <c r="G201" s="492"/>
      <c r="H201" s="492"/>
      <c r="I201" s="493"/>
      <c r="J201" s="493"/>
      <c r="K201" s="564"/>
      <c r="L201" s="566"/>
      <c r="M201" s="576"/>
      <c r="O201" s="564"/>
      <c r="P201" s="564"/>
      <c r="Q201" s="576"/>
      <c r="R201" s="775"/>
      <c r="S201" s="775"/>
      <c r="T201" s="775"/>
      <c r="U201" s="776"/>
      <c r="V201" s="776"/>
      <c r="W201" s="776"/>
    </row>
    <row r="202" spans="1:23" ht="15" customHeight="1" x14ac:dyDescent="0.35">
      <c r="A202" s="492"/>
      <c r="B202" s="492"/>
      <c r="C202" s="493"/>
      <c r="D202" s="492"/>
      <c r="E202" s="493"/>
      <c r="F202" s="494"/>
      <c r="G202" s="492"/>
      <c r="H202" s="492"/>
      <c r="I202" s="493"/>
      <c r="J202" s="493"/>
      <c r="K202" s="564"/>
      <c r="L202" s="566"/>
      <c r="M202" s="576"/>
      <c r="O202" s="564"/>
      <c r="P202" s="564"/>
      <c r="Q202" s="576"/>
      <c r="R202" s="775"/>
      <c r="S202" s="775"/>
      <c r="T202" s="775"/>
      <c r="U202" s="776"/>
      <c r="V202" s="776"/>
      <c r="W202" s="776"/>
    </row>
    <row r="203" spans="1:23" ht="15" customHeight="1" x14ac:dyDescent="0.35">
      <c r="A203" s="492"/>
      <c r="B203" s="492"/>
      <c r="C203" s="493"/>
      <c r="D203" s="492"/>
      <c r="E203" s="493"/>
      <c r="F203" s="494"/>
      <c r="G203" s="492"/>
      <c r="H203" s="492"/>
      <c r="I203" s="493"/>
      <c r="J203" s="493"/>
      <c r="K203" s="564"/>
      <c r="L203" s="566"/>
      <c r="M203" s="576"/>
      <c r="O203" s="564"/>
      <c r="P203" s="564"/>
      <c r="Q203" s="576"/>
      <c r="R203" s="775"/>
      <c r="S203" s="775"/>
      <c r="T203" s="775"/>
      <c r="U203" s="776"/>
      <c r="V203" s="776"/>
      <c r="W203" s="776"/>
    </row>
    <row r="204" spans="1:23" ht="15" customHeight="1" x14ac:dyDescent="0.35">
      <c r="A204" s="492"/>
      <c r="B204" s="492"/>
      <c r="C204" s="493"/>
      <c r="D204" s="492"/>
      <c r="E204" s="493"/>
      <c r="F204" s="494"/>
      <c r="G204" s="492"/>
      <c r="H204" s="492"/>
      <c r="I204" s="493"/>
      <c r="J204" s="493"/>
      <c r="K204" s="564"/>
      <c r="L204" s="566"/>
      <c r="M204" s="576"/>
      <c r="O204" s="564"/>
      <c r="P204" s="564"/>
      <c r="Q204" s="576"/>
      <c r="R204" s="775"/>
      <c r="S204" s="775"/>
      <c r="T204" s="775"/>
      <c r="U204" s="776"/>
      <c r="V204" s="776"/>
      <c r="W204" s="776"/>
    </row>
    <row r="205" spans="1:23" ht="15" customHeight="1" x14ac:dyDescent="0.35">
      <c r="A205" s="492"/>
      <c r="B205" s="492"/>
      <c r="C205" s="493"/>
      <c r="D205" s="492"/>
      <c r="E205" s="493"/>
      <c r="F205" s="494"/>
      <c r="G205" s="492"/>
      <c r="H205" s="492"/>
      <c r="I205" s="493"/>
      <c r="J205" s="493"/>
      <c r="K205" s="564"/>
      <c r="L205" s="566"/>
      <c r="M205" s="576"/>
      <c r="O205" s="564"/>
      <c r="P205" s="564"/>
      <c r="Q205" s="576"/>
      <c r="R205" s="775"/>
      <c r="S205" s="775"/>
      <c r="T205" s="775"/>
      <c r="U205" s="776"/>
      <c r="V205" s="776"/>
      <c r="W205" s="776"/>
    </row>
    <row r="206" spans="1:23" ht="15" customHeight="1" x14ac:dyDescent="0.35">
      <c r="A206" s="492"/>
      <c r="B206" s="492"/>
      <c r="C206" s="493"/>
      <c r="D206" s="492"/>
      <c r="E206" s="493"/>
      <c r="F206" s="494"/>
      <c r="G206" s="492"/>
      <c r="H206" s="492"/>
      <c r="I206" s="493"/>
      <c r="J206" s="493"/>
      <c r="K206" s="564"/>
      <c r="L206" s="566"/>
      <c r="M206" s="576"/>
      <c r="O206" s="564"/>
      <c r="P206" s="564"/>
      <c r="Q206" s="576"/>
      <c r="R206" s="775"/>
      <c r="S206" s="775"/>
      <c r="T206" s="775"/>
      <c r="U206" s="776"/>
      <c r="V206" s="776"/>
      <c r="W206" s="776"/>
    </row>
    <row r="207" spans="1:23" ht="15" customHeight="1" x14ac:dyDescent="0.35">
      <c r="A207" s="492"/>
      <c r="B207" s="492"/>
      <c r="C207" s="493"/>
      <c r="D207" s="492"/>
      <c r="E207" s="493"/>
      <c r="F207" s="494"/>
      <c r="G207" s="492"/>
      <c r="H207" s="492"/>
      <c r="I207" s="493"/>
      <c r="J207" s="493"/>
      <c r="K207" s="564"/>
      <c r="L207" s="566"/>
      <c r="M207" s="576"/>
      <c r="O207" s="564"/>
      <c r="P207" s="564"/>
      <c r="Q207" s="576"/>
      <c r="R207" s="775"/>
      <c r="S207" s="775"/>
      <c r="T207" s="775"/>
      <c r="U207" s="776"/>
      <c r="V207" s="776"/>
      <c r="W207" s="776"/>
    </row>
    <row r="208" spans="1:23" ht="15" customHeight="1" x14ac:dyDescent="0.35">
      <c r="A208" s="492"/>
      <c r="B208" s="492"/>
      <c r="C208" s="493"/>
      <c r="D208" s="492"/>
      <c r="E208" s="493"/>
      <c r="F208" s="494"/>
      <c r="G208" s="492"/>
      <c r="H208" s="492"/>
      <c r="I208" s="493"/>
      <c r="J208" s="493"/>
      <c r="K208" s="564"/>
      <c r="L208" s="566"/>
      <c r="M208" s="576"/>
      <c r="O208" s="564"/>
      <c r="P208" s="564"/>
      <c r="Q208" s="576"/>
      <c r="R208" s="775"/>
      <c r="S208" s="775"/>
      <c r="T208" s="775"/>
      <c r="U208" s="776"/>
      <c r="V208" s="776"/>
      <c r="W208" s="776"/>
    </row>
    <row r="209" spans="1:23" ht="15" customHeight="1" x14ac:dyDescent="0.35">
      <c r="A209" s="492"/>
      <c r="B209" s="492"/>
      <c r="C209" s="493"/>
      <c r="D209" s="492"/>
      <c r="E209" s="493"/>
      <c r="F209" s="494"/>
      <c r="G209" s="492"/>
      <c r="H209" s="492"/>
      <c r="I209" s="493"/>
      <c r="J209" s="493"/>
      <c r="K209" s="564"/>
      <c r="L209" s="566"/>
      <c r="M209" s="576"/>
      <c r="O209" s="564"/>
      <c r="P209" s="564"/>
      <c r="Q209" s="576"/>
      <c r="R209" s="775"/>
      <c r="S209" s="775"/>
      <c r="T209" s="775"/>
      <c r="U209" s="776"/>
      <c r="V209" s="776"/>
      <c r="W209" s="776"/>
    </row>
    <row r="210" spans="1:23" ht="15" customHeight="1" x14ac:dyDescent="0.35">
      <c r="A210" s="492"/>
      <c r="B210" s="492"/>
      <c r="C210" s="493"/>
      <c r="D210" s="492"/>
      <c r="E210" s="493"/>
      <c r="F210" s="494"/>
      <c r="G210" s="492"/>
      <c r="H210" s="492"/>
      <c r="I210" s="493"/>
      <c r="J210" s="493"/>
      <c r="K210" s="564"/>
      <c r="L210" s="566"/>
      <c r="M210" s="576"/>
      <c r="O210" s="564"/>
      <c r="P210" s="564"/>
      <c r="Q210" s="576"/>
      <c r="R210" s="775"/>
      <c r="S210" s="775"/>
      <c r="T210" s="775"/>
      <c r="U210" s="776"/>
      <c r="V210" s="776"/>
      <c r="W210" s="776"/>
    </row>
    <row r="211" spans="1:23" ht="15" customHeight="1" x14ac:dyDescent="0.35">
      <c r="A211" s="492"/>
      <c r="B211" s="492"/>
      <c r="C211" s="493"/>
      <c r="D211" s="492"/>
      <c r="E211" s="493"/>
      <c r="F211" s="494"/>
      <c r="G211" s="492"/>
      <c r="H211" s="492"/>
      <c r="I211" s="493"/>
      <c r="J211" s="493"/>
      <c r="K211" s="564"/>
      <c r="L211" s="566"/>
      <c r="M211" s="576"/>
      <c r="O211" s="564"/>
      <c r="P211" s="564"/>
      <c r="Q211" s="576"/>
      <c r="R211" s="775"/>
      <c r="S211" s="775"/>
      <c r="T211" s="775"/>
      <c r="U211" s="776"/>
      <c r="V211" s="776"/>
      <c r="W211" s="776"/>
    </row>
    <row r="212" spans="1:23" ht="15" customHeight="1" x14ac:dyDescent="0.35">
      <c r="A212" s="492"/>
      <c r="B212" s="492"/>
      <c r="C212" s="493"/>
      <c r="D212" s="492"/>
      <c r="E212" s="493"/>
      <c r="F212" s="494"/>
      <c r="G212" s="492"/>
      <c r="H212" s="492"/>
      <c r="I212" s="493"/>
      <c r="J212" s="493"/>
      <c r="K212" s="564"/>
      <c r="L212" s="566"/>
      <c r="M212" s="576"/>
      <c r="O212" s="564"/>
      <c r="P212" s="564"/>
      <c r="Q212" s="576"/>
      <c r="R212" s="775"/>
      <c r="S212" s="775"/>
      <c r="T212" s="775"/>
      <c r="U212" s="776"/>
      <c r="V212" s="776"/>
      <c r="W212" s="776"/>
    </row>
    <row r="213" spans="1:23" ht="15" customHeight="1" x14ac:dyDescent="0.35">
      <c r="A213" s="492"/>
      <c r="B213" s="492"/>
      <c r="C213" s="493"/>
      <c r="D213" s="492"/>
      <c r="E213" s="493"/>
      <c r="F213" s="494"/>
      <c r="G213" s="492"/>
      <c r="H213" s="492"/>
      <c r="I213" s="493"/>
      <c r="J213" s="493"/>
      <c r="K213" s="564"/>
      <c r="L213" s="566"/>
      <c r="M213" s="576"/>
      <c r="O213" s="564"/>
      <c r="P213" s="564"/>
      <c r="Q213" s="576"/>
      <c r="R213" s="775"/>
      <c r="S213" s="775"/>
      <c r="T213" s="775"/>
      <c r="U213" s="776"/>
      <c r="V213" s="776"/>
      <c r="W213" s="776"/>
    </row>
    <row r="214" spans="1:23" ht="15" customHeight="1" x14ac:dyDescent="0.35">
      <c r="A214" s="492"/>
      <c r="B214" s="492"/>
      <c r="C214" s="493"/>
      <c r="D214" s="492"/>
      <c r="E214" s="493"/>
      <c r="F214" s="494"/>
      <c r="G214" s="492"/>
      <c r="H214" s="492"/>
      <c r="I214" s="493"/>
      <c r="J214" s="493"/>
      <c r="K214" s="564"/>
      <c r="L214" s="566"/>
      <c r="M214" s="576"/>
      <c r="O214" s="564"/>
      <c r="P214" s="564"/>
      <c r="Q214" s="576"/>
      <c r="R214" s="775"/>
      <c r="S214" s="775"/>
      <c r="T214" s="775"/>
      <c r="U214" s="776"/>
      <c r="V214" s="776"/>
      <c r="W214" s="776"/>
    </row>
    <row r="215" spans="1:23" ht="15" customHeight="1" x14ac:dyDescent="0.35">
      <c r="A215" s="492"/>
      <c r="B215" s="492"/>
      <c r="C215" s="493"/>
      <c r="D215" s="492"/>
      <c r="E215" s="493"/>
      <c r="F215" s="494"/>
      <c r="G215" s="492"/>
      <c r="H215" s="492"/>
      <c r="I215" s="493"/>
      <c r="J215" s="493"/>
      <c r="K215" s="564"/>
      <c r="L215" s="566"/>
      <c r="M215" s="576"/>
      <c r="O215" s="564"/>
      <c r="P215" s="564"/>
      <c r="Q215" s="576"/>
      <c r="R215" s="775"/>
      <c r="S215" s="775"/>
      <c r="T215" s="775"/>
      <c r="U215" s="776"/>
      <c r="V215" s="776"/>
      <c r="W215" s="776"/>
    </row>
    <row r="216" spans="1:23" ht="15" customHeight="1" x14ac:dyDescent="0.35">
      <c r="A216" s="492"/>
      <c r="B216" s="492"/>
      <c r="C216" s="493"/>
      <c r="D216" s="492"/>
      <c r="E216" s="493"/>
      <c r="F216" s="494"/>
      <c r="G216" s="492"/>
      <c r="H216" s="492"/>
      <c r="I216" s="493"/>
      <c r="J216" s="493"/>
      <c r="K216" s="564"/>
      <c r="L216" s="566"/>
      <c r="M216" s="576"/>
      <c r="O216" s="564"/>
      <c r="P216" s="564"/>
      <c r="Q216" s="576"/>
      <c r="R216" s="775"/>
      <c r="S216" s="775"/>
      <c r="T216" s="775"/>
      <c r="U216" s="776"/>
      <c r="V216" s="776"/>
      <c r="W216" s="776"/>
    </row>
    <row r="217" spans="1:23" ht="15" customHeight="1" x14ac:dyDescent="0.35">
      <c r="A217" s="492"/>
      <c r="B217" s="492"/>
      <c r="C217" s="493"/>
      <c r="D217" s="492"/>
      <c r="E217" s="493"/>
      <c r="F217" s="494"/>
      <c r="G217" s="492"/>
      <c r="H217" s="492"/>
      <c r="I217" s="493"/>
      <c r="J217" s="493"/>
      <c r="K217" s="564"/>
      <c r="L217" s="566"/>
      <c r="M217" s="576"/>
      <c r="O217" s="564"/>
      <c r="P217" s="564"/>
      <c r="Q217" s="576"/>
      <c r="R217" s="775"/>
      <c r="S217" s="775"/>
      <c r="T217" s="775"/>
      <c r="U217" s="776"/>
      <c r="V217" s="776"/>
      <c r="W217" s="776"/>
    </row>
    <row r="218" spans="1:23" ht="15" customHeight="1" x14ac:dyDescent="0.35">
      <c r="A218" s="492"/>
      <c r="B218" s="492"/>
      <c r="C218" s="493"/>
      <c r="D218" s="492"/>
      <c r="E218" s="493"/>
      <c r="F218" s="494"/>
      <c r="G218" s="492"/>
      <c r="H218" s="492"/>
      <c r="I218" s="493"/>
      <c r="J218" s="493"/>
      <c r="K218" s="564"/>
      <c r="L218" s="566"/>
      <c r="M218" s="576"/>
      <c r="O218" s="564"/>
      <c r="P218" s="564"/>
      <c r="Q218" s="576"/>
      <c r="R218" s="775"/>
      <c r="S218" s="775"/>
      <c r="T218" s="775"/>
      <c r="U218" s="776"/>
      <c r="V218" s="776"/>
      <c r="W218" s="776"/>
    </row>
    <row r="219" spans="1:23" ht="15" customHeight="1" x14ac:dyDescent="0.35">
      <c r="A219" s="492"/>
      <c r="B219" s="492"/>
      <c r="C219" s="493"/>
      <c r="D219" s="492"/>
      <c r="E219" s="493"/>
      <c r="F219" s="494"/>
      <c r="G219" s="492"/>
      <c r="H219" s="492"/>
      <c r="I219" s="493"/>
      <c r="J219" s="493"/>
      <c r="K219" s="564"/>
      <c r="L219" s="566"/>
      <c r="M219" s="576"/>
      <c r="O219" s="564"/>
      <c r="P219" s="564"/>
      <c r="Q219" s="576"/>
      <c r="R219" s="775"/>
      <c r="S219" s="775"/>
      <c r="T219" s="775"/>
      <c r="U219" s="776"/>
      <c r="V219" s="776"/>
      <c r="W219" s="776"/>
    </row>
    <row r="220" spans="1:23" ht="15" customHeight="1" x14ac:dyDescent="0.35">
      <c r="A220" s="492"/>
      <c r="B220" s="492"/>
      <c r="C220" s="493"/>
      <c r="D220" s="492"/>
      <c r="E220" s="493"/>
      <c r="F220" s="494"/>
      <c r="G220" s="492"/>
      <c r="H220" s="492"/>
      <c r="I220" s="493"/>
      <c r="J220" s="493"/>
      <c r="K220" s="564"/>
      <c r="L220" s="566"/>
      <c r="M220" s="576"/>
      <c r="O220" s="564"/>
      <c r="P220" s="564"/>
      <c r="Q220" s="576"/>
      <c r="R220" s="775"/>
      <c r="S220" s="775"/>
      <c r="T220" s="775"/>
      <c r="U220" s="776"/>
      <c r="V220" s="776"/>
      <c r="W220" s="776"/>
    </row>
    <row r="221" spans="1:23" ht="15" customHeight="1" x14ac:dyDescent="0.35">
      <c r="A221" s="492"/>
      <c r="B221" s="492"/>
      <c r="C221" s="493"/>
      <c r="D221" s="492"/>
      <c r="E221" s="493"/>
      <c r="F221" s="494"/>
      <c r="G221" s="492"/>
      <c r="H221" s="492"/>
      <c r="I221" s="493"/>
      <c r="J221" s="493"/>
      <c r="K221" s="564"/>
      <c r="L221" s="566"/>
      <c r="M221" s="576"/>
      <c r="O221" s="564"/>
      <c r="P221" s="564"/>
      <c r="Q221" s="576"/>
      <c r="R221" s="775"/>
      <c r="S221" s="775"/>
      <c r="T221" s="775"/>
      <c r="U221" s="776"/>
      <c r="V221" s="776"/>
      <c r="W221" s="776"/>
    </row>
    <row r="222" spans="1:23" ht="15" customHeight="1" x14ac:dyDescent="0.35">
      <c r="A222" s="492"/>
      <c r="B222" s="492"/>
      <c r="C222" s="493"/>
      <c r="D222" s="492"/>
      <c r="E222" s="493"/>
      <c r="F222" s="494"/>
      <c r="G222" s="492"/>
      <c r="H222" s="492"/>
      <c r="I222" s="493"/>
      <c r="J222" s="493"/>
      <c r="K222" s="564"/>
      <c r="L222" s="566"/>
      <c r="M222" s="576"/>
      <c r="O222" s="564"/>
      <c r="P222" s="564"/>
      <c r="Q222" s="576"/>
      <c r="R222" s="775"/>
      <c r="S222" s="775"/>
      <c r="T222" s="775"/>
      <c r="U222" s="776"/>
      <c r="V222" s="776"/>
      <c r="W222" s="776"/>
    </row>
    <row r="223" spans="1:23" ht="15" customHeight="1" x14ac:dyDescent="0.35">
      <c r="A223" s="492"/>
      <c r="B223" s="492"/>
      <c r="C223" s="493"/>
      <c r="D223" s="492"/>
      <c r="E223" s="493"/>
      <c r="F223" s="494"/>
      <c r="G223" s="492"/>
      <c r="H223" s="492"/>
      <c r="I223" s="493"/>
      <c r="J223" s="493"/>
      <c r="K223" s="564"/>
      <c r="L223" s="566"/>
      <c r="M223" s="576"/>
      <c r="O223" s="564"/>
      <c r="P223" s="564"/>
      <c r="Q223" s="576"/>
      <c r="R223" s="775"/>
      <c r="S223" s="775"/>
      <c r="T223" s="775"/>
      <c r="U223" s="776"/>
      <c r="V223" s="776"/>
      <c r="W223" s="776"/>
    </row>
    <row r="224" spans="1:23" ht="15" customHeight="1" x14ac:dyDescent="0.35">
      <c r="A224" s="492"/>
      <c r="B224" s="492"/>
      <c r="C224" s="493"/>
      <c r="D224" s="492"/>
      <c r="E224" s="493"/>
      <c r="F224" s="494"/>
      <c r="G224" s="492"/>
      <c r="H224" s="492"/>
      <c r="I224" s="493"/>
      <c r="J224" s="493"/>
      <c r="K224" s="564"/>
      <c r="L224" s="566"/>
      <c r="M224" s="576"/>
      <c r="O224" s="564"/>
      <c r="P224" s="564"/>
      <c r="Q224" s="576"/>
      <c r="R224" s="775"/>
      <c r="S224" s="775"/>
      <c r="T224" s="775"/>
      <c r="U224" s="776"/>
      <c r="V224" s="776"/>
      <c r="W224" s="776"/>
    </row>
    <row r="225" spans="1:23" ht="15" customHeight="1" x14ac:dyDescent="0.35">
      <c r="A225" s="492"/>
      <c r="B225" s="492"/>
      <c r="C225" s="493"/>
      <c r="D225" s="492"/>
      <c r="E225" s="493"/>
      <c r="F225" s="494"/>
      <c r="G225" s="492"/>
      <c r="H225" s="492"/>
      <c r="I225" s="493"/>
      <c r="J225" s="493"/>
      <c r="K225" s="564"/>
      <c r="L225" s="566"/>
      <c r="M225" s="576"/>
      <c r="O225" s="564"/>
      <c r="P225" s="564"/>
      <c r="Q225" s="576"/>
      <c r="R225" s="775"/>
      <c r="S225" s="775"/>
      <c r="T225" s="775"/>
      <c r="U225" s="776"/>
      <c r="V225" s="776"/>
      <c r="W225" s="776"/>
    </row>
    <row r="226" spans="1:23" ht="15" customHeight="1" x14ac:dyDescent="0.35">
      <c r="A226" s="492"/>
      <c r="B226" s="492"/>
      <c r="C226" s="493"/>
      <c r="D226" s="492"/>
      <c r="E226" s="493"/>
      <c r="F226" s="494"/>
      <c r="G226" s="492"/>
      <c r="H226" s="492"/>
      <c r="I226" s="493"/>
      <c r="J226" s="493"/>
      <c r="K226" s="564"/>
      <c r="L226" s="566"/>
      <c r="M226" s="576"/>
      <c r="O226" s="564"/>
      <c r="P226" s="564"/>
      <c r="Q226" s="576"/>
      <c r="R226" s="775"/>
      <c r="S226" s="775"/>
      <c r="T226" s="775"/>
      <c r="U226" s="776"/>
      <c r="V226" s="776"/>
      <c r="W226" s="776"/>
    </row>
    <row r="227" spans="1:23" ht="15" customHeight="1" x14ac:dyDescent="0.35">
      <c r="A227" s="492"/>
      <c r="B227" s="492"/>
      <c r="C227" s="493"/>
      <c r="D227" s="492"/>
      <c r="E227" s="493"/>
      <c r="F227" s="494"/>
      <c r="G227" s="492"/>
      <c r="H227" s="492"/>
      <c r="I227" s="493"/>
      <c r="J227" s="493"/>
      <c r="K227" s="564"/>
      <c r="L227" s="566"/>
      <c r="M227" s="576"/>
      <c r="O227" s="564"/>
      <c r="P227" s="564"/>
      <c r="Q227" s="576"/>
      <c r="R227" s="775"/>
      <c r="S227" s="775"/>
      <c r="T227" s="775"/>
      <c r="U227" s="776"/>
      <c r="V227" s="776"/>
      <c r="W227" s="776"/>
    </row>
    <row r="228" spans="1:23" ht="15" customHeight="1" x14ac:dyDescent="0.35">
      <c r="A228" s="492"/>
      <c r="B228" s="492"/>
      <c r="C228" s="493"/>
      <c r="D228" s="492"/>
      <c r="E228" s="493"/>
      <c r="F228" s="494"/>
      <c r="G228" s="492"/>
      <c r="H228" s="492"/>
      <c r="I228" s="493"/>
      <c r="J228" s="493"/>
      <c r="K228" s="564"/>
      <c r="L228" s="566"/>
      <c r="M228" s="576"/>
      <c r="O228" s="564"/>
      <c r="P228" s="564"/>
      <c r="Q228" s="576"/>
      <c r="R228" s="775"/>
      <c r="S228" s="775"/>
      <c r="T228" s="775"/>
      <c r="U228" s="776"/>
      <c r="V228" s="776"/>
      <c r="W228" s="776"/>
    </row>
    <row r="229" spans="1:23" ht="15" customHeight="1" x14ac:dyDescent="0.35">
      <c r="A229" s="492"/>
      <c r="B229" s="492"/>
      <c r="C229" s="493"/>
      <c r="D229" s="492"/>
      <c r="E229" s="493"/>
      <c r="F229" s="494"/>
      <c r="G229" s="492"/>
      <c r="H229" s="492"/>
      <c r="I229" s="493"/>
      <c r="J229" s="493"/>
      <c r="K229" s="564"/>
      <c r="L229" s="566"/>
      <c r="M229" s="576"/>
      <c r="O229" s="564"/>
      <c r="P229" s="564"/>
      <c r="Q229" s="576"/>
      <c r="R229" s="775"/>
      <c r="S229" s="775"/>
      <c r="T229" s="775"/>
      <c r="U229" s="776"/>
      <c r="V229" s="776"/>
      <c r="W229" s="776"/>
    </row>
    <row r="230" spans="1:23" ht="15" customHeight="1" x14ac:dyDescent="0.35">
      <c r="A230" s="492"/>
      <c r="B230" s="492"/>
      <c r="C230" s="493"/>
      <c r="D230" s="492"/>
      <c r="E230" s="493"/>
      <c r="F230" s="494"/>
      <c r="G230" s="492"/>
      <c r="H230" s="492"/>
      <c r="I230" s="493"/>
      <c r="J230" s="493"/>
      <c r="K230" s="564"/>
      <c r="L230" s="566"/>
      <c r="M230" s="576"/>
      <c r="O230" s="564"/>
      <c r="P230" s="564"/>
      <c r="Q230" s="576"/>
      <c r="R230" s="775"/>
      <c r="S230" s="775"/>
      <c r="T230" s="775"/>
      <c r="U230" s="776"/>
      <c r="V230" s="776"/>
      <c r="W230" s="776"/>
    </row>
    <row r="231" spans="1:23" ht="15" customHeight="1" x14ac:dyDescent="0.35">
      <c r="A231" s="492"/>
      <c r="B231" s="492"/>
      <c r="C231" s="493"/>
      <c r="D231" s="492"/>
      <c r="E231" s="493"/>
      <c r="F231" s="494"/>
      <c r="G231" s="492"/>
      <c r="H231" s="492"/>
      <c r="I231" s="493"/>
      <c r="J231" s="493"/>
      <c r="K231" s="564"/>
      <c r="L231" s="566"/>
      <c r="M231" s="576"/>
      <c r="O231" s="564"/>
      <c r="P231" s="564"/>
      <c r="Q231" s="576"/>
      <c r="R231" s="775"/>
      <c r="S231" s="775"/>
      <c r="T231" s="775"/>
      <c r="U231" s="776"/>
      <c r="V231" s="776"/>
      <c r="W231" s="776"/>
    </row>
    <row r="232" spans="1:23" ht="15" customHeight="1" x14ac:dyDescent="0.35">
      <c r="A232" s="492"/>
      <c r="B232" s="492"/>
      <c r="C232" s="493"/>
      <c r="D232" s="492"/>
      <c r="E232" s="493"/>
      <c r="F232" s="494"/>
      <c r="G232" s="492"/>
      <c r="H232" s="492"/>
      <c r="I232" s="493"/>
      <c r="J232" s="493"/>
      <c r="K232" s="564"/>
      <c r="L232" s="566"/>
      <c r="M232" s="576"/>
      <c r="O232" s="564"/>
      <c r="P232" s="564"/>
      <c r="Q232" s="576"/>
      <c r="R232" s="775"/>
      <c r="S232" s="775"/>
      <c r="T232" s="775"/>
      <c r="U232" s="776"/>
      <c r="V232" s="776"/>
      <c r="W232" s="776"/>
    </row>
    <row r="233" spans="1:23" ht="15" customHeight="1" x14ac:dyDescent="0.35">
      <c r="A233" s="492"/>
      <c r="B233" s="492"/>
      <c r="C233" s="493"/>
      <c r="D233" s="492"/>
      <c r="E233" s="493"/>
      <c r="F233" s="494"/>
      <c r="G233" s="492"/>
      <c r="H233" s="492"/>
      <c r="I233" s="493"/>
      <c r="J233" s="493"/>
      <c r="K233" s="564"/>
      <c r="L233" s="566"/>
      <c r="M233" s="576"/>
      <c r="O233" s="564"/>
      <c r="P233" s="564"/>
      <c r="Q233" s="576"/>
      <c r="R233" s="775"/>
      <c r="S233" s="775"/>
      <c r="T233" s="775"/>
      <c r="U233" s="776"/>
      <c r="V233" s="776"/>
      <c r="W233" s="776"/>
    </row>
    <row r="234" spans="1:23" ht="15" customHeight="1" x14ac:dyDescent="0.35">
      <c r="A234" s="492"/>
      <c r="B234" s="492"/>
      <c r="C234" s="493"/>
      <c r="D234" s="492"/>
      <c r="E234" s="493"/>
      <c r="F234" s="494"/>
      <c r="G234" s="492"/>
      <c r="H234" s="492"/>
      <c r="I234" s="493"/>
      <c r="J234" s="493"/>
      <c r="K234" s="564"/>
      <c r="L234" s="566"/>
      <c r="M234" s="576"/>
      <c r="O234" s="564"/>
      <c r="P234" s="564"/>
      <c r="Q234" s="576"/>
      <c r="R234" s="775"/>
      <c r="S234" s="775"/>
      <c r="T234" s="775"/>
      <c r="U234" s="776"/>
      <c r="V234" s="776"/>
      <c r="W234" s="776"/>
    </row>
    <row r="235" spans="1:23" ht="15" customHeight="1" x14ac:dyDescent="0.35">
      <c r="A235" s="492"/>
      <c r="B235" s="492"/>
      <c r="C235" s="493"/>
      <c r="D235" s="492"/>
      <c r="E235" s="493"/>
      <c r="F235" s="494"/>
      <c r="G235" s="492"/>
      <c r="H235" s="492"/>
      <c r="I235" s="493"/>
      <c r="J235" s="493"/>
      <c r="K235" s="564"/>
      <c r="L235" s="566"/>
      <c r="M235" s="576"/>
      <c r="O235" s="564"/>
      <c r="P235" s="564"/>
      <c r="Q235" s="576"/>
      <c r="R235" s="775"/>
      <c r="S235" s="775"/>
      <c r="T235" s="775"/>
      <c r="U235" s="776"/>
      <c r="V235" s="776"/>
      <c r="W235" s="776"/>
    </row>
    <row r="236" spans="1:23" ht="15" customHeight="1" x14ac:dyDescent="0.35">
      <c r="A236" s="492"/>
      <c r="B236" s="492"/>
      <c r="C236" s="493"/>
      <c r="D236" s="492"/>
      <c r="E236" s="493"/>
      <c r="F236" s="494"/>
      <c r="G236" s="492"/>
      <c r="H236" s="492"/>
      <c r="I236" s="493"/>
      <c r="J236" s="493"/>
      <c r="K236" s="564"/>
      <c r="L236" s="566"/>
      <c r="M236" s="576"/>
      <c r="O236" s="564"/>
      <c r="P236" s="564"/>
      <c r="Q236" s="576"/>
      <c r="R236" s="775"/>
      <c r="S236" s="775"/>
      <c r="T236" s="775"/>
      <c r="U236" s="776"/>
      <c r="V236" s="776"/>
      <c r="W236" s="776"/>
    </row>
    <row r="237" spans="1:23" ht="15" customHeight="1" x14ac:dyDescent="0.35">
      <c r="A237" s="492"/>
      <c r="B237" s="492"/>
      <c r="C237" s="493"/>
      <c r="D237" s="492"/>
      <c r="E237" s="493"/>
      <c r="F237" s="494"/>
      <c r="G237" s="492"/>
      <c r="H237" s="492"/>
      <c r="I237" s="493"/>
      <c r="J237" s="493"/>
      <c r="K237" s="564"/>
      <c r="L237" s="566"/>
      <c r="M237" s="576"/>
      <c r="O237" s="564"/>
      <c r="P237" s="564"/>
      <c r="Q237" s="576"/>
      <c r="R237" s="775"/>
      <c r="S237" s="775"/>
      <c r="T237" s="775"/>
      <c r="U237" s="776"/>
      <c r="V237" s="776"/>
      <c r="W237" s="776"/>
    </row>
    <row r="238" spans="1:23" ht="15" customHeight="1" x14ac:dyDescent="0.35">
      <c r="A238" s="492"/>
      <c r="B238" s="492"/>
      <c r="C238" s="493"/>
      <c r="D238" s="492"/>
      <c r="E238" s="493"/>
      <c r="F238" s="494"/>
      <c r="G238" s="492"/>
      <c r="H238" s="492"/>
      <c r="I238" s="493"/>
      <c r="J238" s="493"/>
      <c r="K238" s="564"/>
      <c r="L238" s="566"/>
      <c r="M238" s="576"/>
      <c r="O238" s="564"/>
      <c r="P238" s="564"/>
      <c r="Q238" s="576"/>
      <c r="R238" s="775"/>
      <c r="S238" s="775"/>
      <c r="T238" s="775"/>
      <c r="U238" s="776"/>
      <c r="V238" s="776"/>
      <c r="W238" s="776"/>
    </row>
    <row r="239" spans="1:23" ht="15" customHeight="1" x14ac:dyDescent="0.35">
      <c r="A239" s="492"/>
      <c r="B239" s="492"/>
      <c r="C239" s="493"/>
      <c r="D239" s="492"/>
      <c r="E239" s="493"/>
      <c r="F239" s="494"/>
      <c r="G239" s="492"/>
      <c r="H239" s="492"/>
      <c r="I239" s="493"/>
      <c r="J239" s="493"/>
      <c r="K239" s="564"/>
      <c r="L239" s="566"/>
      <c r="M239" s="576"/>
      <c r="O239" s="564"/>
      <c r="P239" s="564"/>
      <c r="Q239" s="576"/>
      <c r="R239" s="775"/>
      <c r="S239" s="775"/>
      <c r="T239" s="775"/>
      <c r="U239" s="776"/>
      <c r="V239" s="776"/>
      <c r="W239" s="776"/>
    </row>
    <row r="240" spans="1:23" ht="15" customHeight="1" x14ac:dyDescent="0.35">
      <c r="A240" s="492"/>
      <c r="B240" s="492"/>
      <c r="C240" s="493"/>
      <c r="D240" s="492"/>
      <c r="E240" s="493"/>
      <c r="F240" s="494"/>
      <c r="G240" s="492"/>
      <c r="H240" s="492"/>
      <c r="I240" s="493"/>
      <c r="J240" s="493"/>
      <c r="K240" s="564"/>
      <c r="L240" s="566"/>
      <c r="M240" s="576"/>
      <c r="O240" s="564"/>
      <c r="P240" s="564"/>
      <c r="Q240" s="576"/>
      <c r="R240" s="775"/>
      <c r="S240" s="775"/>
      <c r="T240" s="775"/>
      <c r="U240" s="776"/>
      <c r="V240" s="776"/>
      <c r="W240" s="776"/>
    </row>
    <row r="241" spans="1:23" ht="15" customHeight="1" x14ac:dyDescent="0.35">
      <c r="A241" s="492"/>
      <c r="B241" s="492"/>
      <c r="C241" s="493"/>
      <c r="D241" s="492"/>
      <c r="E241" s="493"/>
      <c r="F241" s="494"/>
      <c r="G241" s="492"/>
      <c r="H241" s="492"/>
      <c r="I241" s="493"/>
      <c r="J241" s="493"/>
      <c r="K241" s="564"/>
      <c r="L241" s="566"/>
      <c r="M241" s="576"/>
      <c r="O241" s="564"/>
      <c r="P241" s="564"/>
      <c r="Q241" s="576"/>
      <c r="R241" s="775"/>
      <c r="S241" s="775"/>
      <c r="T241" s="775"/>
      <c r="U241" s="776"/>
      <c r="V241" s="776"/>
      <c r="W241" s="776"/>
    </row>
    <row r="242" spans="1:23" ht="15" customHeight="1" x14ac:dyDescent="0.35">
      <c r="A242" s="492"/>
      <c r="B242" s="492"/>
      <c r="C242" s="493"/>
      <c r="D242" s="492"/>
      <c r="E242" s="493"/>
      <c r="F242" s="494"/>
      <c r="G242" s="492"/>
      <c r="H242" s="492"/>
      <c r="I242" s="493"/>
      <c r="J242" s="493"/>
      <c r="K242" s="564"/>
      <c r="L242" s="566"/>
      <c r="M242" s="576"/>
      <c r="O242" s="564"/>
      <c r="P242" s="564"/>
      <c r="Q242" s="576"/>
      <c r="R242" s="775"/>
      <c r="S242" s="775"/>
      <c r="T242" s="775"/>
      <c r="U242" s="776"/>
      <c r="V242" s="776"/>
      <c r="W242" s="776"/>
    </row>
    <row r="243" spans="1:23" ht="15" customHeight="1" x14ac:dyDescent="0.35">
      <c r="A243" s="492"/>
      <c r="B243" s="492"/>
      <c r="C243" s="493"/>
      <c r="D243" s="492"/>
      <c r="E243" s="493"/>
      <c r="F243" s="494"/>
      <c r="G243" s="492"/>
      <c r="H243" s="492"/>
      <c r="I243" s="493"/>
      <c r="J243" s="493"/>
      <c r="K243" s="564"/>
      <c r="L243" s="566"/>
      <c r="M243" s="576"/>
      <c r="O243" s="564"/>
      <c r="P243" s="564"/>
      <c r="Q243" s="576"/>
      <c r="R243" s="775"/>
      <c r="S243" s="775"/>
      <c r="T243" s="775"/>
      <c r="U243" s="776"/>
      <c r="V243" s="776"/>
      <c r="W243" s="776"/>
    </row>
    <row r="244" spans="1:23" ht="15" customHeight="1" x14ac:dyDescent="0.35">
      <c r="A244" s="492"/>
      <c r="B244" s="492"/>
      <c r="C244" s="493"/>
      <c r="D244" s="492"/>
      <c r="E244" s="493"/>
      <c r="F244" s="494"/>
      <c r="G244" s="492"/>
      <c r="H244" s="492"/>
      <c r="I244" s="493"/>
      <c r="J244" s="493"/>
      <c r="K244" s="564"/>
      <c r="L244" s="566"/>
      <c r="M244" s="576"/>
      <c r="O244" s="564"/>
      <c r="P244" s="564"/>
      <c r="Q244" s="576"/>
      <c r="R244" s="775"/>
      <c r="S244" s="775"/>
      <c r="T244" s="775"/>
      <c r="U244" s="776"/>
      <c r="V244" s="776"/>
      <c r="W244" s="776"/>
    </row>
    <row r="245" spans="1:23" ht="15" customHeight="1" x14ac:dyDescent="0.35">
      <c r="A245" s="492"/>
      <c r="B245" s="492"/>
      <c r="C245" s="493"/>
      <c r="D245" s="492"/>
      <c r="E245" s="493"/>
      <c r="F245" s="494"/>
      <c r="G245" s="492"/>
      <c r="H245" s="492"/>
      <c r="I245" s="493"/>
      <c r="J245" s="493"/>
      <c r="K245" s="564"/>
      <c r="L245" s="566"/>
      <c r="M245" s="576"/>
      <c r="O245" s="564"/>
      <c r="P245" s="564"/>
      <c r="Q245" s="576"/>
      <c r="R245" s="775"/>
      <c r="S245" s="775"/>
      <c r="T245" s="775"/>
      <c r="U245" s="776"/>
      <c r="V245" s="776"/>
      <c r="W245" s="776"/>
    </row>
    <row r="246" spans="1:23" ht="15" customHeight="1" x14ac:dyDescent="0.35">
      <c r="A246" s="492"/>
      <c r="B246" s="492"/>
      <c r="C246" s="493"/>
      <c r="D246" s="492"/>
      <c r="E246" s="493"/>
      <c r="F246" s="494"/>
      <c r="G246" s="492"/>
      <c r="H246" s="492"/>
      <c r="I246" s="493"/>
      <c r="J246" s="493"/>
      <c r="K246" s="564"/>
      <c r="L246" s="566"/>
      <c r="M246" s="576"/>
      <c r="O246" s="564"/>
      <c r="P246" s="564"/>
      <c r="Q246" s="576"/>
      <c r="R246" s="775"/>
      <c r="S246" s="775"/>
      <c r="T246" s="775"/>
      <c r="U246" s="776"/>
      <c r="V246" s="776"/>
      <c r="W246" s="776"/>
    </row>
    <row r="247" spans="1:23" ht="15" customHeight="1" x14ac:dyDescent="0.35">
      <c r="A247" s="492"/>
      <c r="B247" s="492"/>
      <c r="C247" s="493"/>
      <c r="D247" s="492"/>
      <c r="E247" s="493"/>
      <c r="F247" s="494"/>
      <c r="G247" s="492"/>
      <c r="H247" s="492"/>
      <c r="I247" s="493"/>
      <c r="J247" s="493"/>
      <c r="K247" s="564"/>
      <c r="L247" s="566"/>
      <c r="M247" s="576"/>
      <c r="O247" s="564"/>
      <c r="P247" s="564"/>
      <c r="Q247" s="576"/>
      <c r="R247" s="775"/>
      <c r="S247" s="775"/>
      <c r="T247" s="775"/>
      <c r="U247" s="776"/>
      <c r="V247" s="776"/>
      <c r="W247" s="776"/>
    </row>
    <row r="248" spans="1:23" ht="15" customHeight="1" x14ac:dyDescent="0.35">
      <c r="A248" s="492"/>
      <c r="B248" s="492"/>
      <c r="C248" s="493"/>
      <c r="D248" s="492"/>
      <c r="E248" s="493"/>
      <c r="F248" s="494"/>
      <c r="G248" s="492"/>
      <c r="H248" s="492"/>
      <c r="I248" s="493"/>
      <c r="J248" s="493"/>
      <c r="K248" s="564"/>
      <c r="L248" s="566"/>
      <c r="M248" s="576"/>
      <c r="O248" s="564"/>
      <c r="P248" s="564"/>
      <c r="Q248" s="576"/>
      <c r="R248" s="775"/>
      <c r="S248" s="775"/>
      <c r="T248" s="775"/>
      <c r="U248" s="776"/>
      <c r="V248" s="776"/>
      <c r="W248" s="776"/>
    </row>
    <row r="249" spans="1:23" ht="15" customHeight="1" x14ac:dyDescent="0.35">
      <c r="A249" s="492"/>
      <c r="B249" s="492"/>
      <c r="C249" s="493"/>
      <c r="D249" s="492"/>
      <c r="E249" s="493"/>
      <c r="F249" s="494"/>
      <c r="G249" s="492"/>
      <c r="H249" s="492"/>
      <c r="I249" s="493"/>
      <c r="J249" s="493"/>
      <c r="K249" s="564"/>
      <c r="L249" s="566"/>
      <c r="M249" s="576"/>
      <c r="O249" s="564"/>
      <c r="P249" s="564"/>
      <c r="Q249" s="576"/>
      <c r="R249" s="775"/>
      <c r="S249" s="775"/>
      <c r="T249" s="775"/>
      <c r="U249" s="776"/>
      <c r="V249" s="776"/>
      <c r="W249" s="776"/>
    </row>
    <row r="250" spans="1:23" ht="15" customHeight="1" x14ac:dyDescent="0.35">
      <c r="A250" s="492"/>
      <c r="B250" s="492"/>
      <c r="C250" s="493"/>
      <c r="D250" s="492"/>
      <c r="E250" s="493"/>
      <c r="F250" s="494"/>
      <c r="G250" s="492"/>
      <c r="H250" s="492"/>
      <c r="I250" s="493"/>
      <c r="J250" s="493"/>
      <c r="K250" s="564"/>
      <c r="L250" s="566"/>
      <c r="M250" s="576"/>
      <c r="O250" s="564"/>
      <c r="P250" s="564"/>
      <c r="Q250" s="576"/>
      <c r="R250" s="775"/>
      <c r="S250" s="775"/>
      <c r="T250" s="775"/>
      <c r="U250" s="776"/>
      <c r="V250" s="776"/>
      <c r="W250" s="776"/>
    </row>
    <row r="251" spans="1:23" ht="15" customHeight="1" x14ac:dyDescent="0.35">
      <c r="A251" s="492"/>
      <c r="B251" s="492"/>
      <c r="C251" s="493"/>
      <c r="D251" s="492"/>
      <c r="E251" s="493"/>
      <c r="F251" s="494"/>
      <c r="G251" s="492"/>
      <c r="H251" s="492"/>
      <c r="I251" s="493"/>
      <c r="J251" s="493"/>
      <c r="K251" s="564"/>
      <c r="L251" s="566"/>
      <c r="M251" s="576"/>
      <c r="O251" s="564"/>
      <c r="P251" s="564"/>
      <c r="Q251" s="576"/>
      <c r="R251" s="775"/>
      <c r="S251" s="775"/>
      <c r="T251" s="775"/>
      <c r="U251" s="776"/>
      <c r="V251" s="776"/>
      <c r="W251" s="776"/>
    </row>
    <row r="252" spans="1:23" ht="15" customHeight="1" x14ac:dyDescent="0.35">
      <c r="A252" s="492"/>
      <c r="B252" s="492"/>
      <c r="C252" s="493"/>
      <c r="D252" s="492"/>
      <c r="E252" s="493"/>
      <c r="F252" s="494"/>
      <c r="G252" s="492"/>
      <c r="H252" s="492"/>
      <c r="I252" s="493"/>
      <c r="J252" s="493"/>
      <c r="K252" s="564"/>
      <c r="L252" s="566"/>
      <c r="M252" s="576"/>
      <c r="O252" s="564"/>
      <c r="P252" s="564"/>
      <c r="Q252" s="576"/>
      <c r="R252" s="775"/>
      <c r="S252" s="775"/>
      <c r="T252" s="775"/>
      <c r="U252" s="776"/>
      <c r="V252" s="776"/>
      <c r="W252" s="776"/>
    </row>
    <row r="253" spans="1:23" ht="15" customHeight="1" x14ac:dyDescent="0.35">
      <c r="A253" s="492"/>
      <c r="B253" s="492"/>
      <c r="C253" s="493"/>
      <c r="D253" s="492"/>
      <c r="E253" s="493"/>
      <c r="F253" s="494"/>
      <c r="G253" s="492"/>
      <c r="H253" s="492"/>
      <c r="I253" s="493"/>
      <c r="J253" s="493"/>
      <c r="K253" s="564"/>
      <c r="L253" s="566"/>
      <c r="M253" s="576"/>
      <c r="O253" s="564"/>
      <c r="P253" s="564"/>
      <c r="Q253" s="576"/>
      <c r="R253" s="775"/>
      <c r="S253" s="775"/>
      <c r="T253" s="775"/>
      <c r="U253" s="776"/>
      <c r="V253" s="776"/>
      <c r="W253" s="776"/>
    </row>
    <row r="254" spans="1:23" ht="15" customHeight="1" x14ac:dyDescent="0.35">
      <c r="A254" s="492"/>
      <c r="B254" s="492"/>
      <c r="C254" s="493"/>
      <c r="D254" s="492"/>
      <c r="E254" s="493"/>
      <c r="F254" s="494"/>
      <c r="G254" s="492"/>
      <c r="H254" s="492"/>
      <c r="I254" s="493"/>
      <c r="J254" s="493"/>
      <c r="K254" s="564"/>
      <c r="L254" s="566"/>
      <c r="M254" s="576"/>
      <c r="O254" s="564"/>
      <c r="P254" s="564"/>
      <c r="Q254" s="576"/>
      <c r="R254" s="775"/>
      <c r="S254" s="775"/>
      <c r="T254" s="775"/>
      <c r="U254" s="776"/>
      <c r="V254" s="776"/>
      <c r="W254" s="776"/>
    </row>
    <row r="255" spans="1:23" ht="15" customHeight="1" x14ac:dyDescent="0.35">
      <c r="A255" s="492"/>
      <c r="B255" s="492"/>
      <c r="C255" s="493"/>
      <c r="D255" s="492"/>
      <c r="E255" s="493"/>
      <c r="F255" s="494"/>
      <c r="G255" s="492"/>
      <c r="H255" s="492"/>
      <c r="I255" s="493"/>
      <c r="J255" s="493"/>
      <c r="K255" s="564"/>
      <c r="L255" s="566"/>
      <c r="M255" s="576"/>
      <c r="O255" s="564"/>
      <c r="P255" s="564"/>
      <c r="Q255" s="576"/>
      <c r="R255" s="775"/>
      <c r="S255" s="775"/>
      <c r="T255" s="775"/>
      <c r="U255" s="776"/>
      <c r="V255" s="776"/>
      <c r="W255" s="776"/>
    </row>
    <row r="256" spans="1:23" ht="15" customHeight="1" x14ac:dyDescent="0.35">
      <c r="A256" s="492"/>
      <c r="B256" s="492"/>
      <c r="C256" s="493"/>
      <c r="D256" s="492"/>
      <c r="E256" s="493"/>
      <c r="F256" s="494"/>
      <c r="G256" s="492"/>
      <c r="H256" s="492"/>
      <c r="I256" s="493"/>
      <c r="J256" s="493"/>
      <c r="K256" s="564"/>
      <c r="L256" s="566"/>
      <c r="M256" s="576"/>
      <c r="O256" s="564"/>
      <c r="P256" s="564"/>
      <c r="Q256" s="576"/>
      <c r="R256" s="775"/>
      <c r="S256" s="775"/>
      <c r="T256" s="775"/>
      <c r="U256" s="776"/>
      <c r="V256" s="776"/>
      <c r="W256" s="776"/>
    </row>
    <row r="257" spans="1:23" ht="15" customHeight="1" x14ac:dyDescent="0.35">
      <c r="A257" s="492"/>
      <c r="B257" s="492"/>
      <c r="C257" s="493"/>
      <c r="D257" s="492"/>
      <c r="E257" s="493"/>
      <c r="F257" s="494"/>
      <c r="G257" s="492"/>
      <c r="H257" s="492"/>
      <c r="I257" s="493"/>
      <c r="J257" s="493"/>
      <c r="K257" s="564"/>
      <c r="L257" s="566"/>
      <c r="M257" s="576"/>
      <c r="O257" s="564"/>
      <c r="P257" s="564"/>
      <c r="Q257" s="576"/>
      <c r="R257" s="775"/>
      <c r="S257" s="775"/>
      <c r="T257" s="775"/>
      <c r="U257" s="776"/>
      <c r="V257" s="776"/>
      <c r="W257" s="776"/>
    </row>
    <row r="258" spans="1:23" ht="15" customHeight="1" x14ac:dyDescent="0.35">
      <c r="A258" s="492"/>
      <c r="B258" s="492"/>
      <c r="C258" s="493"/>
      <c r="D258" s="492"/>
      <c r="E258" s="493"/>
      <c r="F258" s="494"/>
      <c r="G258" s="492"/>
      <c r="H258" s="492"/>
      <c r="I258" s="493"/>
      <c r="J258" s="493"/>
      <c r="K258" s="564"/>
      <c r="L258" s="566"/>
      <c r="M258" s="576"/>
      <c r="O258" s="564"/>
      <c r="P258" s="564"/>
      <c r="Q258" s="576"/>
      <c r="R258" s="775"/>
      <c r="S258" s="775"/>
      <c r="T258" s="775"/>
      <c r="U258" s="776"/>
      <c r="V258" s="776"/>
      <c r="W258" s="776"/>
    </row>
    <row r="259" spans="1:23" ht="15" customHeight="1" x14ac:dyDescent="0.35">
      <c r="A259" s="492"/>
      <c r="B259" s="492"/>
      <c r="C259" s="493"/>
      <c r="D259" s="492"/>
      <c r="E259" s="493"/>
      <c r="F259" s="494"/>
      <c r="G259" s="492"/>
      <c r="H259" s="492"/>
      <c r="I259" s="493"/>
      <c r="J259" s="493"/>
      <c r="K259" s="564"/>
      <c r="L259" s="566"/>
      <c r="M259" s="576"/>
      <c r="O259" s="564"/>
      <c r="P259" s="564"/>
      <c r="Q259" s="576"/>
      <c r="R259" s="775"/>
      <c r="S259" s="775"/>
      <c r="T259" s="775"/>
      <c r="U259" s="776"/>
      <c r="V259" s="776"/>
      <c r="W259" s="776"/>
    </row>
    <row r="260" spans="1:23" ht="15" customHeight="1" x14ac:dyDescent="0.35">
      <c r="A260" s="492"/>
      <c r="B260" s="492"/>
      <c r="C260" s="493"/>
      <c r="D260" s="492"/>
      <c r="E260" s="493"/>
      <c r="F260" s="494"/>
      <c r="G260" s="492"/>
      <c r="H260" s="492"/>
      <c r="I260" s="493"/>
      <c r="J260" s="493"/>
      <c r="K260" s="564"/>
      <c r="L260" s="566"/>
      <c r="M260" s="576"/>
      <c r="O260" s="564"/>
      <c r="P260" s="564"/>
      <c r="Q260" s="576"/>
      <c r="R260" s="775"/>
      <c r="S260" s="775"/>
      <c r="T260" s="775"/>
      <c r="U260" s="776"/>
      <c r="V260" s="776"/>
      <c r="W260" s="776"/>
    </row>
    <row r="261" spans="1:23" ht="15" customHeight="1" x14ac:dyDescent="0.35">
      <c r="A261" s="492"/>
      <c r="B261" s="492"/>
      <c r="C261" s="493"/>
      <c r="D261" s="492"/>
      <c r="E261" s="493"/>
      <c r="F261" s="494"/>
      <c r="G261" s="492"/>
      <c r="H261" s="492"/>
      <c r="I261" s="493"/>
      <c r="J261" s="493"/>
      <c r="K261" s="564"/>
      <c r="L261" s="566"/>
      <c r="M261" s="576"/>
      <c r="O261" s="564"/>
      <c r="P261" s="564"/>
      <c r="Q261" s="576"/>
      <c r="R261" s="775"/>
      <c r="S261" s="775"/>
      <c r="T261" s="775"/>
      <c r="U261" s="776"/>
      <c r="V261" s="776"/>
      <c r="W261" s="776"/>
    </row>
    <row r="262" spans="1:23" ht="15" customHeight="1" x14ac:dyDescent="0.35">
      <c r="A262" s="492"/>
      <c r="B262" s="492"/>
      <c r="C262" s="493"/>
      <c r="D262" s="492"/>
      <c r="E262" s="493"/>
      <c r="F262" s="494"/>
      <c r="G262" s="492"/>
      <c r="H262" s="492"/>
      <c r="I262" s="493"/>
      <c r="J262" s="493"/>
      <c r="K262" s="564"/>
      <c r="L262" s="566"/>
      <c r="M262" s="576"/>
      <c r="O262" s="564"/>
      <c r="P262" s="564"/>
      <c r="Q262" s="576"/>
      <c r="R262" s="775"/>
      <c r="S262" s="775"/>
      <c r="T262" s="775"/>
      <c r="U262" s="776"/>
      <c r="V262" s="776"/>
      <c r="W262" s="776"/>
    </row>
    <row r="263" spans="1:23" ht="15" customHeight="1" x14ac:dyDescent="0.35">
      <c r="A263" s="492"/>
      <c r="B263" s="492"/>
      <c r="C263" s="493"/>
      <c r="D263" s="492"/>
      <c r="E263" s="493"/>
      <c r="F263" s="494"/>
      <c r="G263" s="492"/>
      <c r="H263" s="492"/>
      <c r="I263" s="493"/>
      <c r="J263" s="493"/>
      <c r="K263" s="564"/>
      <c r="L263" s="566"/>
      <c r="M263" s="576"/>
      <c r="O263" s="564"/>
      <c r="P263" s="564"/>
      <c r="Q263" s="576"/>
      <c r="R263" s="775"/>
      <c r="S263" s="775"/>
      <c r="T263" s="775"/>
      <c r="U263" s="776"/>
      <c r="V263" s="776"/>
      <c r="W263" s="776"/>
    </row>
    <row r="264" spans="1:23" ht="15" customHeight="1" x14ac:dyDescent="0.35">
      <c r="A264" s="492"/>
      <c r="B264" s="492"/>
      <c r="C264" s="493"/>
      <c r="D264" s="492"/>
      <c r="E264" s="493"/>
      <c r="F264" s="494"/>
      <c r="G264" s="492"/>
      <c r="H264" s="492"/>
      <c r="I264" s="493"/>
      <c r="J264" s="493"/>
      <c r="K264" s="564"/>
      <c r="L264" s="566"/>
      <c r="M264" s="576"/>
      <c r="O264" s="564"/>
      <c r="P264" s="564"/>
      <c r="Q264" s="576"/>
      <c r="R264" s="775"/>
      <c r="S264" s="775"/>
      <c r="T264" s="775"/>
      <c r="U264" s="776"/>
      <c r="V264" s="776"/>
      <c r="W264" s="776"/>
    </row>
    <row r="265" spans="1:23" ht="15" customHeight="1" x14ac:dyDescent="0.35">
      <c r="A265" s="492"/>
      <c r="B265" s="492"/>
      <c r="C265" s="493"/>
      <c r="D265" s="492"/>
      <c r="E265" s="493"/>
      <c r="F265" s="494"/>
      <c r="G265" s="492"/>
      <c r="H265" s="492"/>
      <c r="I265" s="493"/>
      <c r="J265" s="493"/>
      <c r="K265" s="564"/>
      <c r="L265" s="566"/>
      <c r="M265" s="576"/>
      <c r="O265" s="564"/>
      <c r="P265" s="564"/>
      <c r="Q265" s="576"/>
      <c r="R265" s="775"/>
      <c r="S265" s="775"/>
      <c r="T265" s="775"/>
      <c r="U265" s="776"/>
      <c r="V265" s="776"/>
      <c r="W265" s="776"/>
    </row>
    <row r="266" spans="1:23" ht="15" customHeight="1" x14ac:dyDescent="0.35">
      <c r="A266" s="492"/>
      <c r="B266" s="492"/>
      <c r="C266" s="493"/>
      <c r="D266" s="492"/>
      <c r="E266" s="493"/>
      <c r="F266" s="494"/>
      <c r="G266" s="492"/>
      <c r="H266" s="492"/>
      <c r="I266" s="493"/>
      <c r="J266" s="493"/>
      <c r="K266" s="564"/>
      <c r="L266" s="566"/>
      <c r="M266" s="576"/>
      <c r="O266" s="564"/>
      <c r="P266" s="564"/>
      <c r="Q266" s="576"/>
      <c r="R266" s="775"/>
      <c r="S266" s="775"/>
      <c r="T266" s="775"/>
      <c r="U266" s="776"/>
      <c r="V266" s="776"/>
      <c r="W266" s="776"/>
    </row>
    <row r="267" spans="1:23" ht="15" customHeight="1" x14ac:dyDescent="0.35">
      <c r="A267" s="492"/>
      <c r="B267" s="492"/>
      <c r="C267" s="493"/>
      <c r="D267" s="492"/>
      <c r="E267" s="493"/>
      <c r="F267" s="494"/>
      <c r="G267" s="492"/>
      <c r="H267" s="492"/>
      <c r="I267" s="493"/>
      <c r="J267" s="493"/>
      <c r="K267" s="564"/>
      <c r="L267" s="566"/>
      <c r="M267" s="576"/>
      <c r="O267" s="564"/>
      <c r="P267" s="564"/>
      <c r="Q267" s="576"/>
      <c r="R267" s="775"/>
      <c r="S267" s="775"/>
      <c r="T267" s="775"/>
      <c r="U267" s="776"/>
      <c r="V267" s="776"/>
      <c r="W267" s="776"/>
    </row>
    <row r="268" spans="1:23" ht="15" customHeight="1" x14ac:dyDescent="0.35">
      <c r="A268" s="492"/>
      <c r="B268" s="492"/>
      <c r="C268" s="493"/>
      <c r="D268" s="492"/>
      <c r="E268" s="493"/>
      <c r="F268" s="494"/>
      <c r="G268" s="492"/>
      <c r="H268" s="492"/>
      <c r="I268" s="493"/>
      <c r="J268" s="493"/>
      <c r="K268" s="564"/>
      <c r="L268" s="566"/>
      <c r="M268" s="576"/>
      <c r="O268" s="564"/>
      <c r="P268" s="564"/>
      <c r="Q268" s="576"/>
      <c r="R268" s="775"/>
      <c r="S268" s="775"/>
      <c r="T268" s="775"/>
      <c r="U268" s="776"/>
      <c r="V268" s="776"/>
      <c r="W268" s="776"/>
    </row>
    <row r="269" spans="1:23" ht="15" customHeight="1" x14ac:dyDescent="0.35">
      <c r="A269" s="492"/>
      <c r="B269" s="492"/>
      <c r="C269" s="493"/>
      <c r="D269" s="492"/>
      <c r="E269" s="493"/>
      <c r="F269" s="494"/>
      <c r="G269" s="492"/>
      <c r="H269" s="492"/>
      <c r="I269" s="493"/>
      <c r="J269" s="493"/>
      <c r="K269" s="564"/>
      <c r="L269" s="566"/>
      <c r="M269" s="576"/>
      <c r="O269" s="564"/>
      <c r="P269" s="564"/>
      <c r="Q269" s="576"/>
      <c r="R269" s="775"/>
      <c r="S269" s="775"/>
      <c r="T269" s="775"/>
      <c r="U269" s="776"/>
      <c r="V269" s="776"/>
      <c r="W269" s="776"/>
    </row>
    <row r="270" spans="1:23" ht="15" customHeight="1" x14ac:dyDescent="0.35">
      <c r="A270" s="492"/>
      <c r="B270" s="492"/>
      <c r="C270" s="493"/>
      <c r="D270" s="492"/>
      <c r="E270" s="493"/>
      <c r="F270" s="494"/>
      <c r="G270" s="492"/>
      <c r="H270" s="492"/>
      <c r="I270" s="493"/>
      <c r="J270" s="493"/>
      <c r="K270" s="564"/>
      <c r="L270" s="566"/>
      <c r="M270" s="576"/>
      <c r="O270" s="564"/>
      <c r="P270" s="564"/>
      <c r="Q270" s="576"/>
      <c r="R270" s="775"/>
      <c r="S270" s="775"/>
      <c r="T270" s="775"/>
      <c r="U270" s="776"/>
      <c r="V270" s="776"/>
      <c r="W270" s="776"/>
    </row>
    <row r="271" spans="1:23" ht="15" customHeight="1" x14ac:dyDescent="0.35">
      <c r="A271" s="492"/>
      <c r="B271" s="492"/>
      <c r="C271" s="493"/>
      <c r="D271" s="492"/>
      <c r="E271" s="493"/>
      <c r="F271" s="494"/>
      <c r="G271" s="492"/>
      <c r="H271" s="492"/>
      <c r="I271" s="493"/>
      <c r="J271" s="493"/>
      <c r="K271" s="564"/>
      <c r="L271" s="566"/>
      <c r="M271" s="576"/>
      <c r="O271" s="564"/>
      <c r="P271" s="564"/>
      <c r="Q271" s="576"/>
      <c r="R271" s="775"/>
      <c r="S271" s="775"/>
      <c r="T271" s="775"/>
      <c r="U271" s="776"/>
      <c r="V271" s="776"/>
      <c r="W271" s="776"/>
    </row>
    <row r="272" spans="1:23" ht="15" customHeight="1" x14ac:dyDescent="0.35">
      <c r="A272" s="492"/>
      <c r="B272" s="492"/>
      <c r="C272" s="493"/>
      <c r="D272" s="492"/>
      <c r="E272" s="493"/>
      <c r="F272" s="494"/>
      <c r="G272" s="492"/>
      <c r="H272" s="492"/>
      <c r="I272" s="493"/>
      <c r="J272" s="493"/>
      <c r="K272" s="564"/>
      <c r="L272" s="566"/>
      <c r="M272" s="576"/>
      <c r="O272" s="564"/>
      <c r="P272" s="564"/>
      <c r="Q272" s="576"/>
      <c r="R272" s="775"/>
      <c r="S272" s="775"/>
      <c r="T272" s="775"/>
      <c r="U272" s="776"/>
      <c r="V272" s="776"/>
      <c r="W272" s="776"/>
    </row>
    <row r="273" spans="1:23" ht="15" customHeight="1" x14ac:dyDescent="0.35">
      <c r="A273" s="492"/>
      <c r="B273" s="492"/>
      <c r="C273" s="493"/>
      <c r="D273" s="492"/>
      <c r="E273" s="493"/>
      <c r="F273" s="494"/>
      <c r="G273" s="492"/>
      <c r="H273" s="492"/>
      <c r="I273" s="493"/>
      <c r="J273" s="493"/>
      <c r="K273" s="564"/>
      <c r="L273" s="566"/>
      <c r="M273" s="576"/>
      <c r="O273" s="564"/>
      <c r="P273" s="564"/>
      <c r="Q273" s="576"/>
      <c r="R273" s="775"/>
      <c r="S273" s="775"/>
      <c r="T273" s="775"/>
      <c r="U273" s="776"/>
      <c r="V273" s="776"/>
      <c r="W273" s="776"/>
    </row>
    <row r="274" spans="1:23" ht="15" customHeight="1" x14ac:dyDescent="0.35">
      <c r="A274" s="492"/>
      <c r="B274" s="492"/>
      <c r="C274" s="493"/>
      <c r="D274" s="492"/>
      <c r="E274" s="493"/>
      <c r="F274" s="494"/>
      <c r="G274" s="492"/>
      <c r="H274" s="492"/>
      <c r="I274" s="493"/>
      <c r="J274" s="493"/>
      <c r="K274" s="564"/>
      <c r="L274" s="566"/>
      <c r="M274" s="576"/>
      <c r="O274" s="564"/>
      <c r="P274" s="564"/>
      <c r="Q274" s="576"/>
      <c r="R274" s="775"/>
      <c r="S274" s="775"/>
      <c r="T274" s="775"/>
      <c r="U274" s="776"/>
      <c r="V274" s="776"/>
      <c r="W274" s="776"/>
    </row>
    <row r="275" spans="1:23" ht="15" customHeight="1" x14ac:dyDescent="0.35">
      <c r="A275" s="492"/>
      <c r="B275" s="492"/>
      <c r="C275" s="493"/>
      <c r="D275" s="492"/>
      <c r="E275" s="493"/>
      <c r="F275" s="494"/>
      <c r="G275" s="492"/>
      <c r="H275" s="492"/>
      <c r="I275" s="493"/>
      <c r="J275" s="493"/>
      <c r="K275" s="564"/>
      <c r="L275" s="566"/>
      <c r="M275" s="576"/>
      <c r="O275" s="564"/>
      <c r="P275" s="564"/>
      <c r="Q275" s="576"/>
      <c r="R275" s="775"/>
      <c r="S275" s="775"/>
      <c r="T275" s="775"/>
      <c r="U275" s="776"/>
      <c r="V275" s="776"/>
      <c r="W275" s="776"/>
    </row>
    <row r="276" spans="1:23" ht="15" customHeight="1" x14ac:dyDescent="0.35">
      <c r="A276" s="492"/>
      <c r="B276" s="492"/>
      <c r="C276" s="493"/>
      <c r="D276" s="492"/>
      <c r="E276" s="493"/>
      <c r="F276" s="494"/>
      <c r="G276" s="492"/>
      <c r="H276" s="492"/>
      <c r="I276" s="493"/>
      <c r="J276" s="493"/>
      <c r="K276" s="564"/>
      <c r="L276" s="566"/>
      <c r="M276" s="576"/>
      <c r="O276" s="564"/>
      <c r="P276" s="564"/>
      <c r="Q276" s="576"/>
      <c r="R276" s="775"/>
      <c r="S276" s="775"/>
      <c r="T276" s="775"/>
      <c r="U276" s="776"/>
      <c r="V276" s="776"/>
      <c r="W276" s="776"/>
    </row>
    <row r="277" spans="1:23" ht="15" customHeight="1" x14ac:dyDescent="0.35">
      <c r="A277" s="492"/>
      <c r="B277" s="492"/>
      <c r="C277" s="493"/>
      <c r="D277" s="492"/>
      <c r="E277" s="493"/>
      <c r="F277" s="494"/>
      <c r="G277" s="492"/>
      <c r="H277" s="492"/>
      <c r="I277" s="493"/>
      <c r="J277" s="493"/>
      <c r="K277" s="564"/>
      <c r="L277" s="566"/>
      <c r="M277" s="576"/>
      <c r="O277" s="564"/>
      <c r="P277" s="564"/>
      <c r="Q277" s="576"/>
      <c r="R277" s="775"/>
      <c r="S277" s="775"/>
      <c r="T277" s="775"/>
      <c r="U277" s="776"/>
      <c r="V277" s="776"/>
      <c r="W277" s="776"/>
    </row>
    <row r="278" spans="1:23" ht="15" customHeight="1" x14ac:dyDescent="0.35">
      <c r="A278" s="492"/>
      <c r="B278" s="492"/>
      <c r="C278" s="493"/>
      <c r="D278" s="492"/>
      <c r="E278" s="493"/>
      <c r="F278" s="494"/>
      <c r="G278" s="492"/>
      <c r="H278" s="492"/>
      <c r="I278" s="493"/>
      <c r="J278" s="493"/>
      <c r="K278" s="564"/>
      <c r="L278" s="566"/>
      <c r="M278" s="576"/>
      <c r="O278" s="564"/>
      <c r="P278" s="564"/>
      <c r="Q278" s="576"/>
      <c r="R278" s="775"/>
      <c r="S278" s="775"/>
      <c r="T278" s="775"/>
      <c r="U278" s="776"/>
      <c r="V278" s="776"/>
      <c r="W278" s="776"/>
    </row>
    <row r="279" spans="1:23" ht="15" customHeight="1" x14ac:dyDescent="0.35">
      <c r="A279" s="492"/>
      <c r="B279" s="492"/>
      <c r="C279" s="493"/>
      <c r="D279" s="492"/>
      <c r="E279" s="493"/>
      <c r="F279" s="494"/>
      <c r="G279" s="492"/>
      <c r="H279" s="492"/>
      <c r="I279" s="493"/>
      <c r="J279" s="493"/>
      <c r="K279" s="564"/>
      <c r="L279" s="566"/>
      <c r="M279" s="576"/>
      <c r="O279" s="564"/>
      <c r="P279" s="564"/>
      <c r="Q279" s="576"/>
      <c r="R279" s="775"/>
      <c r="S279" s="775"/>
      <c r="T279" s="775"/>
      <c r="U279" s="776"/>
      <c r="V279" s="776"/>
      <c r="W279" s="776"/>
    </row>
    <row r="280" spans="1:23" ht="15" customHeight="1" x14ac:dyDescent="0.35">
      <c r="A280" s="492"/>
      <c r="B280" s="492"/>
      <c r="C280" s="493"/>
      <c r="D280" s="492"/>
      <c r="E280" s="493"/>
      <c r="F280" s="494"/>
      <c r="G280" s="492"/>
      <c r="H280" s="492"/>
      <c r="I280" s="493"/>
      <c r="J280" s="493"/>
      <c r="K280" s="564"/>
      <c r="L280" s="566"/>
      <c r="M280" s="576"/>
      <c r="O280" s="564"/>
      <c r="P280" s="564"/>
      <c r="Q280" s="576"/>
      <c r="R280" s="775"/>
      <c r="S280" s="775"/>
      <c r="T280" s="775"/>
      <c r="U280" s="776"/>
      <c r="V280" s="776"/>
      <c r="W280" s="776"/>
    </row>
    <row r="281" spans="1:23" ht="15" customHeight="1" x14ac:dyDescent="0.35">
      <c r="A281" s="492"/>
      <c r="B281" s="492"/>
      <c r="C281" s="493"/>
      <c r="D281" s="492"/>
      <c r="E281" s="493"/>
      <c r="F281" s="494"/>
      <c r="G281" s="492"/>
      <c r="H281" s="492"/>
      <c r="I281" s="493"/>
      <c r="J281" s="493"/>
      <c r="K281" s="564"/>
      <c r="L281" s="566"/>
      <c r="M281" s="576"/>
      <c r="O281" s="564"/>
      <c r="P281" s="564"/>
      <c r="Q281" s="576"/>
      <c r="R281" s="775"/>
      <c r="S281" s="775"/>
      <c r="T281" s="775"/>
      <c r="U281" s="776"/>
      <c r="V281" s="776"/>
      <c r="W281" s="776"/>
    </row>
    <row r="282" spans="1:23" ht="15" customHeight="1" x14ac:dyDescent="0.35">
      <c r="A282" s="492"/>
      <c r="B282" s="492"/>
      <c r="C282" s="493"/>
      <c r="D282" s="492"/>
      <c r="E282" s="493"/>
      <c r="F282" s="494"/>
      <c r="G282" s="492"/>
      <c r="H282" s="492"/>
      <c r="I282" s="493"/>
      <c r="J282" s="493"/>
      <c r="K282" s="564"/>
      <c r="L282" s="566"/>
      <c r="M282" s="576"/>
      <c r="O282" s="564"/>
      <c r="P282" s="564"/>
      <c r="Q282" s="576"/>
      <c r="R282" s="775"/>
      <c r="S282" s="775"/>
      <c r="T282" s="775"/>
      <c r="U282" s="776"/>
      <c r="V282" s="776"/>
      <c r="W282" s="776"/>
    </row>
    <row r="283" spans="1:23" ht="15" customHeight="1" x14ac:dyDescent="0.35">
      <c r="A283" s="492"/>
      <c r="B283" s="492"/>
      <c r="C283" s="493"/>
      <c r="D283" s="492"/>
      <c r="E283" s="493"/>
      <c r="F283" s="494"/>
      <c r="G283" s="492"/>
      <c r="H283" s="492"/>
      <c r="I283" s="493"/>
      <c r="J283" s="493"/>
      <c r="K283" s="564"/>
      <c r="L283" s="566"/>
      <c r="M283" s="576"/>
      <c r="O283" s="564"/>
      <c r="P283" s="564"/>
      <c r="Q283" s="576"/>
      <c r="R283" s="775"/>
      <c r="S283" s="775"/>
      <c r="T283" s="775"/>
      <c r="U283" s="776"/>
      <c r="V283" s="776"/>
      <c r="W283" s="776"/>
    </row>
    <row r="284" spans="1:23" ht="15" customHeight="1" x14ac:dyDescent="0.35">
      <c r="A284" s="492"/>
      <c r="B284" s="492"/>
      <c r="C284" s="493"/>
      <c r="D284" s="492"/>
      <c r="E284" s="493"/>
      <c r="F284" s="494"/>
      <c r="G284" s="492"/>
      <c r="H284" s="492"/>
      <c r="I284" s="493"/>
      <c r="J284" s="493"/>
      <c r="K284" s="564"/>
      <c r="L284" s="566"/>
      <c r="M284" s="576"/>
      <c r="O284" s="564"/>
      <c r="P284" s="564"/>
      <c r="Q284" s="576"/>
      <c r="R284" s="775"/>
      <c r="S284" s="775"/>
      <c r="T284" s="775"/>
      <c r="U284" s="776"/>
      <c r="V284" s="776"/>
      <c r="W284" s="776"/>
    </row>
    <row r="285" spans="1:23" ht="15" customHeight="1" x14ac:dyDescent="0.35">
      <c r="A285" s="492"/>
      <c r="B285" s="492"/>
      <c r="C285" s="493"/>
      <c r="D285" s="492"/>
      <c r="E285" s="493"/>
      <c r="F285" s="494"/>
      <c r="G285" s="492"/>
      <c r="H285" s="492"/>
      <c r="I285" s="493"/>
      <c r="J285" s="493"/>
      <c r="K285" s="564"/>
      <c r="L285" s="566"/>
      <c r="M285" s="576"/>
      <c r="O285" s="564"/>
      <c r="P285" s="564"/>
      <c r="Q285" s="576"/>
      <c r="R285" s="775"/>
      <c r="S285" s="775"/>
      <c r="T285" s="775"/>
      <c r="U285" s="776"/>
      <c r="V285" s="776"/>
      <c r="W285" s="776"/>
    </row>
    <row r="286" spans="1:23" ht="15" customHeight="1" x14ac:dyDescent="0.35">
      <c r="A286" s="492"/>
      <c r="B286" s="492"/>
      <c r="C286" s="493"/>
      <c r="D286" s="492"/>
      <c r="E286" s="493"/>
      <c r="F286" s="494"/>
      <c r="G286" s="492"/>
      <c r="H286" s="492"/>
      <c r="I286" s="493"/>
      <c r="J286" s="493"/>
      <c r="K286" s="564"/>
      <c r="L286" s="566"/>
      <c r="M286" s="576"/>
      <c r="O286" s="564"/>
      <c r="P286" s="564"/>
      <c r="Q286" s="576"/>
      <c r="R286" s="775"/>
      <c r="S286" s="775"/>
      <c r="T286" s="775"/>
      <c r="U286" s="776"/>
      <c r="V286" s="776"/>
      <c r="W286" s="776"/>
    </row>
    <row r="287" spans="1:23" ht="15" customHeight="1" x14ac:dyDescent="0.35">
      <c r="A287" s="492"/>
      <c r="B287" s="492"/>
      <c r="C287" s="493"/>
      <c r="D287" s="492"/>
      <c r="E287" s="493"/>
      <c r="F287" s="494"/>
      <c r="G287" s="492"/>
      <c r="H287" s="492"/>
      <c r="I287" s="493"/>
      <c r="J287" s="493"/>
      <c r="K287" s="564"/>
      <c r="L287" s="566"/>
      <c r="M287" s="576"/>
      <c r="O287" s="564"/>
      <c r="P287" s="564"/>
      <c r="Q287" s="576"/>
      <c r="R287" s="775"/>
      <c r="S287" s="775"/>
      <c r="T287" s="775"/>
      <c r="U287" s="776"/>
      <c r="V287" s="776"/>
      <c r="W287" s="776"/>
    </row>
    <row r="288" spans="1:23" ht="15" customHeight="1" x14ac:dyDescent="0.35">
      <c r="A288" s="492"/>
      <c r="B288" s="492"/>
      <c r="C288" s="493"/>
      <c r="D288" s="492"/>
      <c r="E288" s="493"/>
      <c r="F288" s="494"/>
      <c r="G288" s="492"/>
      <c r="H288" s="492"/>
      <c r="I288" s="493"/>
      <c r="J288" s="493"/>
      <c r="K288" s="564"/>
      <c r="L288" s="566"/>
      <c r="M288" s="576"/>
      <c r="O288" s="564"/>
      <c r="P288" s="564"/>
      <c r="Q288" s="576"/>
      <c r="R288" s="775"/>
      <c r="S288" s="775"/>
      <c r="T288" s="775"/>
      <c r="U288" s="776"/>
      <c r="V288" s="776"/>
      <c r="W288" s="776"/>
    </row>
    <row r="289" spans="1:23" ht="15" customHeight="1" x14ac:dyDescent="0.35">
      <c r="A289" s="492"/>
      <c r="B289" s="492"/>
      <c r="C289" s="493"/>
      <c r="D289" s="492"/>
      <c r="E289" s="493"/>
      <c r="F289" s="494"/>
      <c r="G289" s="492"/>
      <c r="H289" s="492"/>
      <c r="I289" s="493"/>
      <c r="J289" s="493"/>
      <c r="K289" s="564"/>
      <c r="L289" s="566"/>
      <c r="M289" s="576"/>
      <c r="O289" s="564"/>
      <c r="P289" s="564"/>
      <c r="Q289" s="576"/>
      <c r="R289" s="775"/>
      <c r="S289" s="775"/>
      <c r="T289" s="775"/>
      <c r="U289" s="776"/>
      <c r="V289" s="776"/>
      <c r="W289" s="776"/>
    </row>
    <row r="290" spans="1:23" ht="15" customHeight="1" x14ac:dyDescent="0.35">
      <c r="A290" s="492"/>
      <c r="B290" s="492"/>
      <c r="C290" s="493"/>
      <c r="D290" s="492"/>
      <c r="E290" s="493"/>
      <c r="F290" s="494"/>
      <c r="G290" s="492"/>
      <c r="H290" s="492"/>
      <c r="I290" s="493"/>
      <c r="J290" s="493"/>
      <c r="K290" s="564"/>
      <c r="L290" s="566"/>
      <c r="M290" s="576"/>
      <c r="O290" s="564"/>
      <c r="P290" s="564"/>
      <c r="Q290" s="576"/>
      <c r="R290" s="775"/>
      <c r="S290" s="775"/>
      <c r="T290" s="775"/>
      <c r="U290" s="776"/>
      <c r="V290" s="776"/>
      <c r="W290" s="776"/>
    </row>
    <row r="291" spans="1:23" ht="15" customHeight="1" x14ac:dyDescent="0.35">
      <c r="A291" s="492"/>
      <c r="B291" s="492"/>
      <c r="C291" s="493"/>
      <c r="D291" s="492"/>
      <c r="E291" s="493"/>
      <c r="F291" s="494"/>
      <c r="G291" s="492"/>
      <c r="H291" s="492"/>
      <c r="I291" s="493"/>
      <c r="J291" s="493"/>
      <c r="K291" s="564"/>
      <c r="L291" s="566"/>
      <c r="M291" s="576"/>
      <c r="O291" s="564"/>
      <c r="P291" s="564"/>
      <c r="Q291" s="576"/>
      <c r="R291" s="775"/>
      <c r="S291" s="775"/>
      <c r="T291" s="775"/>
      <c r="U291" s="776"/>
      <c r="V291" s="776"/>
      <c r="W291" s="776"/>
    </row>
    <row r="292" spans="1:23" ht="15" customHeight="1" x14ac:dyDescent="0.35">
      <c r="A292" s="492"/>
      <c r="B292" s="492"/>
      <c r="C292" s="493"/>
      <c r="D292" s="492"/>
      <c r="E292" s="493"/>
      <c r="F292" s="494"/>
      <c r="G292" s="492"/>
      <c r="H292" s="492"/>
      <c r="I292" s="493"/>
      <c r="J292" s="493"/>
      <c r="K292" s="564"/>
      <c r="L292" s="566"/>
      <c r="M292" s="576"/>
      <c r="O292" s="564"/>
      <c r="P292" s="564"/>
      <c r="Q292" s="576"/>
      <c r="R292" s="775"/>
      <c r="S292" s="775"/>
      <c r="T292" s="775"/>
      <c r="U292" s="776"/>
      <c r="V292" s="776"/>
      <c r="W292" s="776"/>
    </row>
    <row r="293" spans="1:23" ht="15" customHeight="1" x14ac:dyDescent="0.35">
      <c r="A293" s="492"/>
      <c r="B293" s="492"/>
      <c r="C293" s="493"/>
      <c r="D293" s="492"/>
      <c r="E293" s="493"/>
      <c r="F293" s="494"/>
      <c r="G293" s="492"/>
      <c r="H293" s="492"/>
      <c r="I293" s="493"/>
      <c r="J293" s="493"/>
      <c r="K293" s="564"/>
      <c r="L293" s="566"/>
      <c r="M293" s="576"/>
      <c r="O293" s="564"/>
      <c r="P293" s="564"/>
      <c r="Q293" s="576"/>
      <c r="R293" s="775"/>
      <c r="S293" s="775"/>
      <c r="T293" s="775"/>
      <c r="U293" s="776"/>
      <c r="V293" s="776"/>
      <c r="W293" s="776"/>
    </row>
    <row r="294" spans="1:23" ht="15" customHeight="1" x14ac:dyDescent="0.35">
      <c r="A294" s="492"/>
      <c r="B294" s="492"/>
      <c r="C294" s="493"/>
      <c r="D294" s="492"/>
      <c r="E294" s="493"/>
      <c r="F294" s="494"/>
      <c r="G294" s="492"/>
      <c r="H294" s="492"/>
      <c r="I294" s="493"/>
      <c r="J294" s="493"/>
      <c r="K294" s="564"/>
      <c r="L294" s="566"/>
      <c r="M294" s="576"/>
      <c r="O294" s="564"/>
      <c r="P294" s="564"/>
      <c r="Q294" s="576"/>
      <c r="R294" s="775"/>
      <c r="S294" s="775"/>
      <c r="T294" s="775"/>
      <c r="U294" s="776"/>
      <c r="V294" s="776"/>
      <c r="W294" s="776"/>
    </row>
    <row r="295" spans="1:23" ht="15" customHeight="1" x14ac:dyDescent="0.35">
      <c r="A295" s="492"/>
      <c r="B295" s="492"/>
      <c r="C295" s="493"/>
      <c r="D295" s="492"/>
      <c r="E295" s="493"/>
      <c r="F295" s="494"/>
      <c r="G295" s="492"/>
      <c r="H295" s="492"/>
      <c r="I295" s="493"/>
      <c r="J295" s="493"/>
      <c r="K295" s="564"/>
      <c r="L295" s="566"/>
      <c r="M295" s="576"/>
      <c r="O295" s="564"/>
      <c r="P295" s="564"/>
      <c r="Q295" s="576"/>
      <c r="R295" s="775"/>
      <c r="S295" s="775"/>
      <c r="T295" s="775"/>
      <c r="U295" s="776"/>
      <c r="V295" s="776"/>
      <c r="W295" s="776"/>
    </row>
    <row r="296" spans="1:23" ht="15" customHeight="1" x14ac:dyDescent="0.35">
      <c r="A296" s="492"/>
      <c r="B296" s="492"/>
      <c r="C296" s="493"/>
      <c r="D296" s="492"/>
      <c r="E296" s="493"/>
      <c r="F296" s="494"/>
      <c r="G296" s="492"/>
      <c r="H296" s="492"/>
      <c r="I296" s="493"/>
      <c r="J296" s="493"/>
      <c r="K296" s="564"/>
      <c r="L296" s="566"/>
      <c r="M296" s="576"/>
      <c r="O296" s="564"/>
      <c r="P296" s="564"/>
      <c r="Q296" s="576"/>
      <c r="R296" s="775"/>
      <c r="S296" s="775"/>
      <c r="T296" s="775"/>
      <c r="U296" s="776"/>
      <c r="V296" s="776"/>
      <c r="W296" s="776"/>
    </row>
    <row r="297" spans="1:23" ht="15" customHeight="1" x14ac:dyDescent="0.35">
      <c r="A297" s="492"/>
      <c r="B297" s="492"/>
      <c r="C297" s="493"/>
      <c r="D297" s="492"/>
      <c r="E297" s="493"/>
      <c r="F297" s="494"/>
      <c r="G297" s="492"/>
      <c r="H297" s="492"/>
      <c r="I297" s="493"/>
      <c r="J297" s="493"/>
      <c r="K297" s="564"/>
      <c r="L297" s="566"/>
      <c r="M297" s="576"/>
      <c r="O297" s="564"/>
      <c r="P297" s="564"/>
      <c r="Q297" s="576"/>
      <c r="R297" s="775"/>
      <c r="S297" s="775"/>
      <c r="T297" s="775"/>
      <c r="U297" s="776"/>
      <c r="V297" s="776"/>
      <c r="W297" s="776"/>
    </row>
    <row r="298" spans="1:23" ht="15" customHeight="1" x14ac:dyDescent="0.35">
      <c r="A298" s="492"/>
      <c r="B298" s="492"/>
      <c r="C298" s="493"/>
      <c r="D298" s="492"/>
      <c r="E298" s="493"/>
      <c r="F298" s="494"/>
      <c r="G298" s="492"/>
      <c r="H298" s="492"/>
      <c r="I298" s="493"/>
      <c r="J298" s="493"/>
      <c r="K298" s="564"/>
      <c r="L298" s="566"/>
      <c r="M298" s="576"/>
      <c r="O298" s="564"/>
      <c r="P298" s="564"/>
      <c r="Q298" s="576"/>
      <c r="R298" s="775"/>
      <c r="S298" s="775"/>
      <c r="T298" s="775"/>
      <c r="U298" s="776"/>
      <c r="V298" s="776"/>
      <c r="W298" s="776"/>
    </row>
    <row r="299" spans="1:23" ht="15" customHeight="1" x14ac:dyDescent="0.35">
      <c r="A299" s="492"/>
      <c r="B299" s="492"/>
      <c r="C299" s="493"/>
      <c r="D299" s="492"/>
      <c r="E299" s="493"/>
      <c r="F299" s="494"/>
      <c r="G299" s="492"/>
      <c r="H299" s="492"/>
      <c r="I299" s="493"/>
      <c r="J299" s="493"/>
      <c r="K299" s="564"/>
      <c r="L299" s="566"/>
      <c r="M299" s="576"/>
      <c r="O299" s="564"/>
      <c r="P299" s="564"/>
      <c r="Q299" s="576"/>
      <c r="R299" s="775"/>
      <c r="S299" s="775"/>
      <c r="T299" s="775"/>
      <c r="U299" s="776"/>
      <c r="V299" s="776"/>
      <c r="W299" s="776"/>
    </row>
    <row r="300" spans="1:23" ht="15" customHeight="1" x14ac:dyDescent="0.35">
      <c r="A300" s="492"/>
      <c r="B300" s="492"/>
      <c r="C300" s="493"/>
      <c r="D300" s="492"/>
      <c r="E300" s="493"/>
      <c r="F300" s="494"/>
      <c r="G300" s="492"/>
      <c r="H300" s="492"/>
      <c r="I300" s="493"/>
      <c r="J300" s="493"/>
      <c r="K300" s="564"/>
      <c r="L300" s="566"/>
      <c r="M300" s="576"/>
      <c r="O300" s="564"/>
      <c r="P300" s="564"/>
      <c r="Q300" s="576"/>
      <c r="R300" s="775"/>
      <c r="S300" s="775"/>
      <c r="T300" s="775"/>
      <c r="U300" s="776"/>
      <c r="V300" s="776"/>
      <c r="W300" s="776"/>
    </row>
    <row r="301" spans="1:23" ht="15" customHeight="1" x14ac:dyDescent="0.35">
      <c r="A301" s="492"/>
      <c r="B301" s="492"/>
      <c r="C301" s="493"/>
      <c r="D301" s="492"/>
      <c r="E301" s="493"/>
      <c r="F301" s="494"/>
      <c r="G301" s="492"/>
      <c r="H301" s="492"/>
      <c r="I301" s="493"/>
      <c r="J301" s="493"/>
      <c r="K301" s="564"/>
      <c r="L301" s="566"/>
      <c r="M301" s="576"/>
      <c r="O301" s="564"/>
      <c r="P301" s="564"/>
      <c r="Q301" s="576"/>
      <c r="R301" s="775"/>
      <c r="S301" s="775"/>
      <c r="T301" s="775"/>
      <c r="U301" s="776"/>
      <c r="V301" s="776"/>
      <c r="W301" s="776"/>
    </row>
    <row r="302" spans="1:23" ht="15" customHeight="1" x14ac:dyDescent="0.35">
      <c r="A302" s="492"/>
      <c r="B302" s="492"/>
      <c r="C302" s="493"/>
      <c r="D302" s="492"/>
      <c r="E302" s="493"/>
      <c r="F302" s="494"/>
      <c r="G302" s="492"/>
      <c r="H302" s="492"/>
      <c r="I302" s="493"/>
      <c r="J302" s="493"/>
      <c r="K302" s="564"/>
      <c r="L302" s="566"/>
      <c r="M302" s="576"/>
      <c r="O302" s="564"/>
      <c r="P302" s="564"/>
      <c r="Q302" s="576"/>
      <c r="R302" s="775"/>
      <c r="S302" s="775"/>
      <c r="T302" s="775"/>
      <c r="U302" s="776"/>
      <c r="V302" s="776"/>
      <c r="W302" s="776"/>
    </row>
    <row r="303" spans="1:23" ht="15" customHeight="1" x14ac:dyDescent="0.35">
      <c r="A303" s="492"/>
      <c r="B303" s="492"/>
      <c r="C303" s="493"/>
      <c r="D303" s="492"/>
      <c r="E303" s="493"/>
      <c r="F303" s="494"/>
      <c r="G303" s="492"/>
      <c r="H303" s="492"/>
      <c r="I303" s="493"/>
      <c r="J303" s="493"/>
      <c r="K303" s="564"/>
      <c r="L303" s="566"/>
      <c r="M303" s="576"/>
      <c r="O303" s="564"/>
      <c r="P303" s="564"/>
      <c r="Q303" s="576"/>
      <c r="R303" s="775"/>
      <c r="S303" s="775"/>
      <c r="T303" s="775"/>
      <c r="U303" s="776"/>
      <c r="V303" s="776"/>
      <c r="W303" s="776"/>
    </row>
    <row r="304" spans="1:23" ht="15" customHeight="1" x14ac:dyDescent="0.35">
      <c r="A304" s="492"/>
      <c r="B304" s="492"/>
      <c r="C304" s="493"/>
      <c r="D304" s="492"/>
      <c r="E304" s="493"/>
      <c r="F304" s="494"/>
      <c r="G304" s="492"/>
      <c r="H304" s="492"/>
      <c r="I304" s="493"/>
      <c r="J304" s="493"/>
      <c r="K304" s="564"/>
      <c r="L304" s="566"/>
      <c r="M304" s="576"/>
      <c r="O304" s="564"/>
      <c r="P304" s="564"/>
      <c r="Q304" s="576"/>
      <c r="R304" s="775"/>
      <c r="S304" s="775"/>
      <c r="T304" s="775"/>
      <c r="U304" s="776"/>
      <c r="V304" s="776"/>
      <c r="W304" s="776"/>
    </row>
    <row r="305" spans="1:23" ht="15" customHeight="1" x14ac:dyDescent="0.35">
      <c r="A305" s="492"/>
      <c r="B305" s="492"/>
      <c r="C305" s="493"/>
      <c r="D305" s="492"/>
      <c r="E305" s="493"/>
      <c r="F305" s="494"/>
      <c r="G305" s="492"/>
      <c r="H305" s="492"/>
      <c r="I305" s="493"/>
      <c r="J305" s="493"/>
      <c r="K305" s="564"/>
      <c r="L305" s="566"/>
      <c r="M305" s="576"/>
      <c r="O305" s="564"/>
      <c r="P305" s="564"/>
      <c r="Q305" s="576"/>
      <c r="R305" s="775"/>
      <c r="S305" s="775"/>
      <c r="T305" s="775"/>
      <c r="U305" s="776"/>
      <c r="V305" s="776"/>
      <c r="W305" s="776"/>
    </row>
    <row r="306" spans="1:23" ht="15" customHeight="1" x14ac:dyDescent="0.35">
      <c r="A306" s="492"/>
      <c r="B306" s="492"/>
      <c r="C306" s="493"/>
      <c r="D306" s="492"/>
      <c r="E306" s="493"/>
      <c r="F306" s="494"/>
      <c r="G306" s="492"/>
      <c r="H306" s="492"/>
      <c r="I306" s="493"/>
      <c r="J306" s="493"/>
      <c r="K306" s="564"/>
      <c r="L306" s="566"/>
      <c r="M306" s="576"/>
      <c r="O306" s="564"/>
      <c r="P306" s="564"/>
      <c r="Q306" s="576"/>
      <c r="R306" s="775"/>
      <c r="S306" s="775"/>
      <c r="T306" s="775"/>
      <c r="U306" s="776"/>
      <c r="V306" s="776"/>
      <c r="W306" s="776"/>
    </row>
    <row r="307" spans="1:23" ht="15" customHeight="1" x14ac:dyDescent="0.35">
      <c r="A307" s="492"/>
      <c r="B307" s="492"/>
      <c r="C307" s="493"/>
      <c r="D307" s="492"/>
      <c r="E307" s="493"/>
      <c r="F307" s="494"/>
      <c r="G307" s="492"/>
      <c r="H307" s="492"/>
      <c r="I307" s="493"/>
      <c r="J307" s="493"/>
      <c r="K307" s="564"/>
      <c r="L307" s="566"/>
      <c r="M307" s="576"/>
      <c r="O307" s="564"/>
      <c r="P307" s="564"/>
      <c r="Q307" s="576"/>
      <c r="R307" s="775"/>
      <c r="S307" s="775"/>
      <c r="T307" s="775"/>
      <c r="U307" s="776"/>
      <c r="V307" s="776"/>
      <c r="W307" s="776"/>
    </row>
    <row r="308" spans="1:23" ht="15" customHeight="1" x14ac:dyDescent="0.35">
      <c r="A308" s="492"/>
      <c r="B308" s="492"/>
      <c r="C308" s="493"/>
      <c r="D308" s="492"/>
      <c r="E308" s="493"/>
      <c r="F308" s="494"/>
      <c r="G308" s="492"/>
      <c r="H308" s="492"/>
      <c r="I308" s="493"/>
      <c r="J308" s="493"/>
      <c r="K308" s="564"/>
      <c r="L308" s="566"/>
      <c r="M308" s="576"/>
      <c r="O308" s="564"/>
      <c r="P308" s="564"/>
      <c r="Q308" s="576"/>
      <c r="R308" s="775"/>
      <c r="S308" s="775"/>
      <c r="T308" s="775"/>
      <c r="U308" s="776"/>
      <c r="V308" s="776"/>
      <c r="W308" s="776"/>
    </row>
    <row r="309" spans="1:23" ht="15" customHeight="1" x14ac:dyDescent="0.35">
      <c r="A309" s="492"/>
      <c r="B309" s="492"/>
      <c r="C309" s="493"/>
      <c r="D309" s="492"/>
      <c r="E309" s="493"/>
      <c r="F309" s="494"/>
      <c r="G309" s="492"/>
      <c r="H309" s="492"/>
      <c r="I309" s="493"/>
      <c r="J309" s="493"/>
      <c r="K309" s="564"/>
      <c r="L309" s="566"/>
      <c r="M309" s="576"/>
      <c r="O309" s="564"/>
      <c r="P309" s="564"/>
      <c r="Q309" s="576"/>
      <c r="R309" s="775"/>
      <c r="S309" s="775"/>
      <c r="T309" s="775"/>
      <c r="U309" s="776"/>
      <c r="V309" s="776"/>
      <c r="W309" s="776"/>
    </row>
    <row r="310" spans="1:23" ht="15" customHeight="1" x14ac:dyDescent="0.35">
      <c r="A310" s="492"/>
      <c r="B310" s="492"/>
      <c r="C310" s="493"/>
      <c r="D310" s="492"/>
      <c r="E310" s="493"/>
      <c r="F310" s="494"/>
      <c r="G310" s="492"/>
      <c r="H310" s="492"/>
      <c r="I310" s="493"/>
      <c r="J310" s="493"/>
      <c r="K310" s="564"/>
      <c r="L310" s="566"/>
      <c r="M310" s="576"/>
      <c r="O310" s="564"/>
      <c r="P310" s="564"/>
      <c r="Q310" s="576"/>
      <c r="R310" s="775"/>
      <c r="S310" s="775"/>
      <c r="T310" s="775"/>
      <c r="U310" s="776"/>
      <c r="V310" s="776"/>
      <c r="W310" s="776"/>
    </row>
    <row r="311" spans="1:23" ht="15" customHeight="1" x14ac:dyDescent="0.35">
      <c r="A311" s="492"/>
      <c r="B311" s="492"/>
      <c r="C311" s="493"/>
      <c r="D311" s="492"/>
      <c r="E311" s="493"/>
      <c r="F311" s="494"/>
      <c r="G311" s="492"/>
      <c r="H311" s="492"/>
      <c r="I311" s="493"/>
      <c r="J311" s="493"/>
      <c r="K311" s="564"/>
      <c r="L311" s="566"/>
      <c r="M311" s="576"/>
      <c r="O311" s="564"/>
      <c r="P311" s="564"/>
      <c r="Q311" s="576"/>
      <c r="R311" s="775"/>
      <c r="S311" s="775"/>
      <c r="T311" s="775"/>
      <c r="U311" s="776"/>
      <c r="V311" s="776"/>
      <c r="W311" s="776"/>
    </row>
    <row r="312" spans="1:23" ht="15" customHeight="1" x14ac:dyDescent="0.35">
      <c r="A312" s="492"/>
      <c r="B312" s="492"/>
      <c r="C312" s="493"/>
      <c r="D312" s="492"/>
      <c r="E312" s="493"/>
      <c r="F312" s="494"/>
      <c r="G312" s="492"/>
      <c r="H312" s="492"/>
      <c r="I312" s="493"/>
      <c r="J312" s="493"/>
      <c r="K312" s="564"/>
      <c r="L312" s="566"/>
      <c r="M312" s="576"/>
      <c r="O312" s="564"/>
      <c r="P312" s="564"/>
      <c r="Q312" s="576"/>
      <c r="R312" s="775"/>
      <c r="S312" s="775"/>
      <c r="T312" s="775"/>
      <c r="U312" s="776"/>
      <c r="V312" s="776"/>
      <c r="W312" s="776"/>
    </row>
    <row r="313" spans="1:23" ht="15" customHeight="1" x14ac:dyDescent="0.35">
      <c r="A313" s="492"/>
      <c r="B313" s="492"/>
      <c r="C313" s="493"/>
      <c r="D313" s="492"/>
      <c r="E313" s="493"/>
      <c r="F313" s="494"/>
      <c r="G313" s="492"/>
      <c r="H313" s="492"/>
      <c r="I313" s="493"/>
      <c r="J313" s="493"/>
      <c r="K313" s="564"/>
      <c r="L313" s="566"/>
      <c r="M313" s="576"/>
      <c r="O313" s="564"/>
      <c r="P313" s="564"/>
      <c r="Q313" s="576"/>
      <c r="R313" s="775"/>
      <c r="S313" s="775"/>
      <c r="T313" s="775"/>
      <c r="U313" s="776"/>
      <c r="V313" s="776"/>
      <c r="W313" s="776"/>
    </row>
    <row r="314" spans="1:23" ht="15" customHeight="1" x14ac:dyDescent="0.35">
      <c r="A314" s="492"/>
      <c r="B314" s="492"/>
      <c r="C314" s="493"/>
      <c r="D314" s="492"/>
      <c r="E314" s="493"/>
      <c r="F314" s="494"/>
      <c r="G314" s="492"/>
      <c r="H314" s="492"/>
      <c r="I314" s="493"/>
      <c r="J314" s="493"/>
      <c r="K314" s="564"/>
      <c r="L314" s="566"/>
      <c r="M314" s="576"/>
      <c r="O314" s="564"/>
      <c r="P314" s="564"/>
      <c r="Q314" s="576"/>
      <c r="R314" s="775"/>
      <c r="S314" s="775"/>
      <c r="T314" s="775"/>
      <c r="U314" s="776"/>
      <c r="V314" s="776"/>
      <c r="W314" s="776"/>
    </row>
    <row r="315" spans="1:23" ht="15" customHeight="1" x14ac:dyDescent="0.35">
      <c r="A315" s="492"/>
      <c r="B315" s="492"/>
      <c r="C315" s="493"/>
      <c r="D315" s="492"/>
      <c r="E315" s="493"/>
      <c r="F315" s="494"/>
      <c r="G315" s="492"/>
      <c r="H315" s="492"/>
      <c r="I315" s="493"/>
      <c r="J315" s="493"/>
      <c r="K315" s="564"/>
      <c r="L315" s="566"/>
      <c r="M315" s="576"/>
      <c r="O315" s="564"/>
      <c r="P315" s="564"/>
      <c r="Q315" s="576"/>
      <c r="R315" s="775"/>
      <c r="S315" s="775"/>
      <c r="T315" s="775"/>
      <c r="U315" s="776"/>
      <c r="V315" s="776"/>
      <c r="W315" s="776"/>
    </row>
    <row r="316" spans="1:23" ht="15" customHeight="1" x14ac:dyDescent="0.35">
      <c r="A316" s="492"/>
      <c r="B316" s="492"/>
      <c r="C316" s="493"/>
      <c r="D316" s="492"/>
      <c r="E316" s="493"/>
      <c r="F316" s="494"/>
      <c r="G316" s="492"/>
      <c r="H316" s="492"/>
      <c r="I316" s="493"/>
      <c r="J316" s="493"/>
      <c r="K316" s="564"/>
      <c r="L316" s="566"/>
      <c r="M316" s="576"/>
      <c r="O316" s="564"/>
      <c r="P316" s="564"/>
      <c r="Q316" s="576"/>
      <c r="R316" s="775"/>
      <c r="S316" s="775"/>
      <c r="T316" s="775"/>
      <c r="U316" s="776"/>
      <c r="V316" s="776"/>
      <c r="W316" s="776"/>
    </row>
    <row r="317" spans="1:23" ht="15" customHeight="1" x14ac:dyDescent="0.35">
      <c r="A317" s="492"/>
      <c r="B317" s="492"/>
      <c r="C317" s="493"/>
      <c r="D317" s="492"/>
      <c r="E317" s="493"/>
      <c r="F317" s="494"/>
      <c r="G317" s="492"/>
      <c r="H317" s="492"/>
      <c r="I317" s="493"/>
      <c r="J317" s="493"/>
      <c r="K317" s="564"/>
      <c r="L317" s="566"/>
      <c r="M317" s="576"/>
      <c r="O317" s="564"/>
      <c r="P317" s="564"/>
      <c r="Q317" s="576"/>
      <c r="R317" s="775"/>
      <c r="S317" s="775"/>
      <c r="T317" s="775"/>
      <c r="U317" s="776"/>
      <c r="V317" s="776"/>
      <c r="W317" s="776"/>
    </row>
    <row r="318" spans="1:23" ht="15" customHeight="1" x14ac:dyDescent="0.35">
      <c r="A318" s="492"/>
      <c r="B318" s="492"/>
      <c r="C318" s="493"/>
      <c r="D318" s="492"/>
      <c r="E318" s="493"/>
      <c r="F318" s="494"/>
      <c r="G318" s="492"/>
      <c r="H318" s="492"/>
      <c r="I318" s="493"/>
      <c r="J318" s="493"/>
      <c r="K318" s="564"/>
      <c r="L318" s="566"/>
      <c r="M318" s="576"/>
      <c r="O318" s="564"/>
      <c r="P318" s="564"/>
      <c r="Q318" s="576"/>
      <c r="R318" s="775"/>
      <c r="S318" s="775"/>
      <c r="T318" s="775"/>
      <c r="U318" s="776"/>
      <c r="V318" s="776"/>
      <c r="W318" s="776"/>
    </row>
    <row r="319" spans="1:23" ht="15" customHeight="1" x14ac:dyDescent="0.35">
      <c r="A319" s="492"/>
      <c r="B319" s="492"/>
      <c r="C319" s="493"/>
      <c r="D319" s="492"/>
      <c r="E319" s="493"/>
      <c r="F319" s="494"/>
      <c r="G319" s="492"/>
      <c r="H319" s="492"/>
      <c r="I319" s="493"/>
      <c r="J319" s="493"/>
      <c r="K319" s="564"/>
      <c r="L319" s="566"/>
      <c r="M319" s="576"/>
      <c r="O319" s="564"/>
      <c r="P319" s="564"/>
      <c r="Q319" s="576"/>
      <c r="R319" s="775"/>
      <c r="S319" s="775"/>
      <c r="T319" s="775"/>
      <c r="U319" s="776"/>
      <c r="V319" s="776"/>
      <c r="W319" s="776"/>
    </row>
    <row r="320" spans="1:23" ht="15" customHeight="1" x14ac:dyDescent="0.35">
      <c r="A320" s="492"/>
      <c r="B320" s="492"/>
      <c r="C320" s="493"/>
      <c r="D320" s="492"/>
      <c r="E320" s="493"/>
      <c r="F320" s="494"/>
      <c r="G320" s="492"/>
      <c r="H320" s="492"/>
      <c r="I320" s="493"/>
      <c r="J320" s="493"/>
      <c r="K320" s="564"/>
      <c r="L320" s="566"/>
      <c r="M320" s="576"/>
      <c r="O320" s="564"/>
      <c r="P320" s="564"/>
      <c r="Q320" s="576"/>
      <c r="R320" s="775"/>
      <c r="S320" s="775"/>
      <c r="T320" s="775"/>
      <c r="U320" s="776"/>
      <c r="V320" s="776"/>
      <c r="W320" s="776"/>
    </row>
    <row r="321" spans="1:23" ht="15" customHeight="1" x14ac:dyDescent="0.35">
      <c r="A321" s="492"/>
      <c r="B321" s="492"/>
      <c r="C321" s="493"/>
      <c r="D321" s="492"/>
      <c r="E321" s="493"/>
      <c r="F321" s="494"/>
      <c r="G321" s="492"/>
      <c r="H321" s="492"/>
      <c r="I321" s="493"/>
      <c r="J321" s="493"/>
      <c r="K321" s="564"/>
      <c r="L321" s="566"/>
      <c r="M321" s="576"/>
      <c r="O321" s="564"/>
      <c r="P321" s="564"/>
      <c r="Q321" s="576"/>
      <c r="R321" s="775"/>
      <c r="S321" s="775"/>
      <c r="T321" s="775"/>
      <c r="U321" s="776"/>
      <c r="V321" s="776"/>
      <c r="W321" s="776"/>
    </row>
    <row r="322" spans="1:23" ht="15" customHeight="1" x14ac:dyDescent="0.35">
      <c r="A322" s="492"/>
      <c r="B322" s="492"/>
      <c r="C322" s="493"/>
      <c r="D322" s="492"/>
      <c r="E322" s="493"/>
      <c r="F322" s="494"/>
      <c r="G322" s="492"/>
      <c r="H322" s="492"/>
      <c r="I322" s="493"/>
      <c r="J322" s="493"/>
      <c r="K322" s="564"/>
      <c r="L322" s="566"/>
      <c r="M322" s="576"/>
      <c r="O322" s="564"/>
      <c r="P322" s="564"/>
      <c r="Q322" s="576"/>
      <c r="R322" s="775"/>
      <c r="S322" s="775"/>
      <c r="T322" s="775"/>
      <c r="U322" s="776"/>
      <c r="V322" s="776"/>
      <c r="W322" s="776"/>
    </row>
    <row r="323" spans="1:23" ht="15" customHeight="1" x14ac:dyDescent="0.35">
      <c r="A323" s="492"/>
      <c r="B323" s="492"/>
      <c r="C323" s="493"/>
      <c r="D323" s="492"/>
      <c r="E323" s="493"/>
      <c r="F323" s="494"/>
      <c r="G323" s="492"/>
      <c r="H323" s="492"/>
      <c r="I323" s="493"/>
      <c r="J323" s="493"/>
      <c r="K323" s="564"/>
      <c r="L323" s="566"/>
      <c r="M323" s="576"/>
      <c r="O323" s="564"/>
      <c r="P323" s="564"/>
      <c r="Q323" s="576"/>
      <c r="R323" s="775"/>
      <c r="S323" s="775"/>
      <c r="T323" s="775"/>
      <c r="U323" s="776"/>
      <c r="V323" s="776"/>
      <c r="W323" s="776"/>
    </row>
    <row r="324" spans="1:23" ht="15" customHeight="1" x14ac:dyDescent="0.35">
      <c r="A324" s="492"/>
      <c r="B324" s="492"/>
      <c r="C324" s="493"/>
      <c r="D324" s="492"/>
      <c r="E324" s="493"/>
      <c r="F324" s="494"/>
      <c r="G324" s="492"/>
      <c r="H324" s="492"/>
      <c r="I324" s="493"/>
      <c r="J324" s="493"/>
      <c r="K324" s="564"/>
      <c r="L324" s="566"/>
      <c r="M324" s="576"/>
      <c r="O324" s="564"/>
      <c r="P324" s="564"/>
      <c r="Q324" s="576"/>
      <c r="R324" s="775"/>
      <c r="S324" s="775"/>
      <c r="T324" s="775"/>
      <c r="U324" s="776"/>
      <c r="V324" s="776"/>
      <c r="W324" s="776"/>
    </row>
    <row r="325" spans="1:23" ht="15" customHeight="1" x14ac:dyDescent="0.35">
      <c r="A325" s="492"/>
      <c r="B325" s="492"/>
      <c r="C325" s="493"/>
      <c r="D325" s="492"/>
      <c r="E325" s="493"/>
      <c r="F325" s="494"/>
      <c r="G325" s="492"/>
      <c r="H325" s="492"/>
      <c r="I325" s="493"/>
      <c r="J325" s="493"/>
      <c r="K325" s="564"/>
      <c r="L325" s="566"/>
      <c r="M325" s="576"/>
      <c r="O325" s="564"/>
      <c r="P325" s="564"/>
      <c r="Q325" s="576"/>
      <c r="R325" s="775"/>
      <c r="S325" s="775"/>
      <c r="T325" s="775"/>
      <c r="U325" s="776"/>
      <c r="V325" s="776"/>
      <c r="W325" s="776"/>
    </row>
    <row r="326" spans="1:23" ht="15" customHeight="1" x14ac:dyDescent="0.35">
      <c r="A326" s="492"/>
      <c r="B326" s="492"/>
      <c r="C326" s="493"/>
      <c r="D326" s="492"/>
      <c r="E326" s="493"/>
      <c r="F326" s="494"/>
      <c r="G326" s="492"/>
      <c r="H326" s="492"/>
      <c r="I326" s="493"/>
      <c r="J326" s="493"/>
      <c r="K326" s="564"/>
      <c r="L326" s="566"/>
      <c r="M326" s="576"/>
      <c r="O326" s="564"/>
      <c r="P326" s="564"/>
      <c r="Q326" s="576"/>
      <c r="R326" s="775"/>
      <c r="S326" s="775"/>
      <c r="T326" s="775"/>
      <c r="U326" s="776"/>
      <c r="V326" s="776"/>
      <c r="W326" s="776"/>
    </row>
    <row r="327" spans="1:23" ht="15" customHeight="1" x14ac:dyDescent="0.35">
      <c r="A327" s="492"/>
      <c r="B327" s="492"/>
      <c r="C327" s="493"/>
      <c r="D327" s="492"/>
      <c r="E327" s="493"/>
      <c r="F327" s="494"/>
      <c r="G327" s="492"/>
      <c r="H327" s="492"/>
      <c r="I327" s="493"/>
      <c r="J327" s="493"/>
      <c r="K327" s="564"/>
      <c r="L327" s="566"/>
      <c r="M327" s="576"/>
      <c r="O327" s="564"/>
      <c r="P327" s="564"/>
      <c r="Q327" s="576"/>
      <c r="R327" s="775"/>
      <c r="S327" s="775"/>
      <c r="T327" s="775"/>
      <c r="U327" s="776"/>
      <c r="V327" s="776"/>
      <c r="W327" s="776"/>
    </row>
    <row r="328" spans="1:23" ht="15" customHeight="1" x14ac:dyDescent="0.35">
      <c r="A328" s="492"/>
      <c r="B328" s="492"/>
      <c r="C328" s="493"/>
      <c r="D328" s="492"/>
      <c r="E328" s="493"/>
      <c r="F328" s="494"/>
      <c r="G328" s="492"/>
      <c r="H328" s="492"/>
      <c r="I328" s="493"/>
      <c r="J328" s="493"/>
      <c r="K328" s="564"/>
      <c r="L328" s="566"/>
      <c r="M328" s="576"/>
      <c r="O328" s="564"/>
      <c r="P328" s="564"/>
      <c r="Q328" s="576"/>
      <c r="R328" s="775"/>
      <c r="S328" s="775"/>
      <c r="T328" s="775"/>
      <c r="U328" s="776"/>
      <c r="V328" s="776"/>
      <c r="W328" s="776"/>
    </row>
    <row r="329" spans="1:23" ht="15" customHeight="1" x14ac:dyDescent="0.35">
      <c r="A329" s="492"/>
      <c r="B329" s="492"/>
      <c r="C329" s="493"/>
      <c r="D329" s="492"/>
      <c r="E329" s="493"/>
      <c r="F329" s="494"/>
      <c r="G329" s="492"/>
      <c r="H329" s="492"/>
      <c r="I329" s="493"/>
      <c r="J329" s="493"/>
      <c r="K329" s="564"/>
      <c r="L329" s="566"/>
      <c r="M329" s="576"/>
      <c r="O329" s="564"/>
      <c r="P329" s="564"/>
      <c r="Q329" s="576"/>
      <c r="R329" s="775"/>
      <c r="S329" s="775"/>
      <c r="T329" s="775"/>
      <c r="U329" s="776"/>
      <c r="V329" s="776"/>
      <c r="W329" s="776"/>
    </row>
    <row r="330" spans="1:23" ht="15" customHeight="1" x14ac:dyDescent="0.35">
      <c r="A330" s="492"/>
      <c r="B330" s="492"/>
      <c r="C330" s="493"/>
      <c r="D330" s="492"/>
      <c r="E330" s="493"/>
      <c r="F330" s="494"/>
      <c r="G330" s="492"/>
      <c r="H330" s="492"/>
      <c r="I330" s="493"/>
      <c r="J330" s="493"/>
      <c r="K330" s="564"/>
      <c r="L330" s="566"/>
      <c r="M330" s="576"/>
      <c r="O330" s="564"/>
      <c r="P330" s="564"/>
      <c r="Q330" s="576"/>
      <c r="R330" s="775"/>
      <c r="S330" s="775"/>
      <c r="T330" s="775"/>
      <c r="U330" s="776"/>
      <c r="V330" s="776"/>
      <c r="W330" s="776"/>
    </row>
    <row r="331" spans="1:23" ht="15" customHeight="1" x14ac:dyDescent="0.35">
      <c r="A331" s="492"/>
      <c r="B331" s="492"/>
      <c r="C331" s="493"/>
      <c r="D331" s="492"/>
      <c r="E331" s="493"/>
      <c r="F331" s="494"/>
      <c r="G331" s="492"/>
      <c r="H331" s="492"/>
      <c r="I331" s="493"/>
      <c r="J331" s="493"/>
      <c r="K331" s="564"/>
      <c r="L331" s="566"/>
      <c r="M331" s="576"/>
      <c r="O331" s="564"/>
      <c r="P331" s="564"/>
      <c r="Q331" s="576"/>
      <c r="R331" s="775"/>
      <c r="S331" s="775"/>
      <c r="T331" s="775"/>
      <c r="U331" s="776"/>
      <c r="V331" s="776"/>
      <c r="W331" s="776"/>
    </row>
    <row r="332" spans="1:23" ht="15" customHeight="1" x14ac:dyDescent="0.35">
      <c r="A332" s="492"/>
      <c r="B332" s="492"/>
      <c r="C332" s="493"/>
      <c r="D332" s="492"/>
      <c r="E332" s="493"/>
      <c r="F332" s="494"/>
      <c r="G332" s="492"/>
      <c r="H332" s="492"/>
      <c r="I332" s="493"/>
      <c r="J332" s="493"/>
      <c r="K332" s="564"/>
      <c r="L332" s="566"/>
      <c r="M332" s="576"/>
      <c r="O332" s="564"/>
      <c r="P332" s="564"/>
      <c r="Q332" s="576"/>
      <c r="R332" s="775"/>
      <c r="S332" s="775"/>
      <c r="T332" s="775"/>
      <c r="U332" s="776"/>
      <c r="V332" s="776"/>
      <c r="W332" s="776"/>
    </row>
    <row r="333" spans="1:23" ht="15" customHeight="1" x14ac:dyDescent="0.35">
      <c r="A333" s="492"/>
      <c r="B333" s="492"/>
      <c r="C333" s="493"/>
      <c r="D333" s="492"/>
      <c r="E333" s="493"/>
      <c r="F333" s="494"/>
      <c r="G333" s="492"/>
      <c r="H333" s="492"/>
      <c r="I333" s="493"/>
      <c r="J333" s="493"/>
      <c r="K333" s="564"/>
      <c r="L333" s="566"/>
      <c r="M333" s="576"/>
      <c r="O333" s="564"/>
      <c r="P333" s="564"/>
      <c r="Q333" s="576"/>
      <c r="R333" s="775"/>
      <c r="S333" s="775"/>
      <c r="T333" s="775"/>
      <c r="U333" s="776"/>
      <c r="V333" s="776"/>
      <c r="W333" s="776"/>
    </row>
    <row r="334" spans="1:23" ht="15" customHeight="1" x14ac:dyDescent="0.35">
      <c r="A334" s="492"/>
      <c r="B334" s="492"/>
      <c r="C334" s="493"/>
      <c r="D334" s="492"/>
      <c r="E334" s="493"/>
      <c r="F334" s="494"/>
      <c r="G334" s="492"/>
      <c r="H334" s="492"/>
      <c r="I334" s="493"/>
      <c r="J334" s="493"/>
      <c r="K334" s="564"/>
      <c r="L334" s="566"/>
      <c r="M334" s="576"/>
      <c r="O334" s="564"/>
      <c r="P334" s="564"/>
      <c r="Q334" s="576"/>
      <c r="R334" s="775"/>
      <c r="S334" s="775"/>
      <c r="T334" s="775"/>
      <c r="U334" s="776"/>
      <c r="V334" s="776"/>
      <c r="W334" s="776"/>
    </row>
    <row r="335" spans="1:23" ht="15" customHeight="1" x14ac:dyDescent="0.35">
      <c r="A335" s="492"/>
      <c r="B335" s="492"/>
      <c r="C335" s="493"/>
      <c r="D335" s="492"/>
      <c r="E335" s="493"/>
      <c r="F335" s="494"/>
      <c r="G335" s="492"/>
      <c r="H335" s="492"/>
      <c r="I335" s="493"/>
      <c r="J335" s="493"/>
      <c r="K335" s="564"/>
      <c r="L335" s="566"/>
      <c r="M335" s="576"/>
      <c r="O335" s="564"/>
      <c r="P335" s="564"/>
      <c r="Q335" s="576"/>
      <c r="R335" s="775"/>
      <c r="S335" s="775"/>
      <c r="T335" s="775"/>
      <c r="U335" s="776"/>
      <c r="V335" s="776"/>
      <c r="W335" s="776"/>
    </row>
    <row r="336" spans="1:23" ht="15" customHeight="1" x14ac:dyDescent="0.35">
      <c r="A336" s="492"/>
      <c r="B336" s="492"/>
      <c r="C336" s="493"/>
      <c r="D336" s="492"/>
      <c r="E336" s="493"/>
      <c r="F336" s="494"/>
      <c r="G336" s="492"/>
      <c r="H336" s="492"/>
      <c r="I336" s="493"/>
      <c r="J336" s="493"/>
      <c r="K336" s="564"/>
      <c r="L336" s="566"/>
      <c r="M336" s="576"/>
      <c r="O336" s="564"/>
      <c r="P336" s="564"/>
      <c r="Q336" s="576"/>
      <c r="R336" s="775"/>
      <c r="S336" s="775"/>
      <c r="T336" s="775"/>
      <c r="U336" s="776"/>
      <c r="V336" s="776"/>
      <c r="W336" s="776"/>
    </row>
    <row r="337" spans="1:23" ht="15" customHeight="1" x14ac:dyDescent="0.35">
      <c r="A337" s="492"/>
      <c r="B337" s="492"/>
      <c r="C337" s="493"/>
      <c r="D337" s="492"/>
      <c r="E337" s="493"/>
      <c r="F337" s="494"/>
      <c r="G337" s="492"/>
      <c r="H337" s="492"/>
      <c r="I337" s="493"/>
      <c r="J337" s="493"/>
      <c r="K337" s="564"/>
      <c r="L337" s="566"/>
      <c r="M337" s="576"/>
      <c r="O337" s="564"/>
      <c r="P337" s="564"/>
      <c r="Q337" s="576"/>
      <c r="R337" s="775"/>
      <c r="S337" s="775"/>
      <c r="T337" s="775"/>
      <c r="U337" s="776"/>
      <c r="V337" s="776"/>
      <c r="W337" s="776"/>
    </row>
    <row r="338" spans="1:23" ht="15" customHeight="1" x14ac:dyDescent="0.35">
      <c r="A338" s="492"/>
      <c r="B338" s="492"/>
      <c r="C338" s="493"/>
      <c r="D338" s="492"/>
      <c r="E338" s="493"/>
      <c r="F338" s="494"/>
      <c r="G338" s="492"/>
      <c r="H338" s="492"/>
      <c r="I338" s="493"/>
      <c r="J338" s="493"/>
      <c r="K338" s="564"/>
      <c r="L338" s="566"/>
      <c r="M338" s="576"/>
      <c r="O338" s="564"/>
      <c r="P338" s="564"/>
      <c r="Q338" s="576"/>
      <c r="R338" s="775"/>
      <c r="S338" s="775"/>
      <c r="T338" s="775"/>
      <c r="U338" s="776"/>
      <c r="V338" s="776"/>
      <c r="W338" s="776"/>
    </row>
    <row r="339" spans="1:23" ht="15" customHeight="1" x14ac:dyDescent="0.35">
      <c r="A339" s="492"/>
      <c r="B339" s="492"/>
      <c r="C339" s="493"/>
      <c r="D339" s="492"/>
      <c r="E339" s="493"/>
      <c r="F339" s="494"/>
      <c r="G339" s="492"/>
      <c r="H339" s="492"/>
      <c r="I339" s="493"/>
      <c r="J339" s="493"/>
      <c r="K339" s="564"/>
      <c r="L339" s="566"/>
      <c r="M339" s="576"/>
      <c r="O339" s="564"/>
      <c r="P339" s="564"/>
      <c r="Q339" s="576"/>
      <c r="R339" s="775"/>
      <c r="S339" s="775"/>
      <c r="T339" s="775"/>
      <c r="U339" s="776"/>
      <c r="V339" s="776"/>
      <c r="W339" s="776"/>
    </row>
    <row r="340" spans="1:23" ht="15" customHeight="1" x14ac:dyDescent="0.35">
      <c r="A340" s="492"/>
      <c r="B340" s="492"/>
      <c r="C340" s="493"/>
      <c r="D340" s="492"/>
      <c r="E340" s="493"/>
      <c r="F340" s="494"/>
      <c r="G340" s="492"/>
      <c r="H340" s="492"/>
      <c r="I340" s="493"/>
      <c r="J340" s="493"/>
      <c r="K340" s="564"/>
      <c r="L340" s="566"/>
      <c r="M340" s="576"/>
      <c r="O340" s="564"/>
      <c r="P340" s="564"/>
      <c r="Q340" s="576"/>
      <c r="R340" s="775"/>
      <c r="S340" s="775"/>
      <c r="T340" s="775"/>
      <c r="U340" s="776"/>
      <c r="V340" s="776"/>
      <c r="W340" s="776"/>
    </row>
    <row r="341" spans="1:23" ht="15" customHeight="1" x14ac:dyDescent="0.35">
      <c r="A341" s="492"/>
      <c r="B341" s="492"/>
      <c r="C341" s="493"/>
      <c r="D341" s="492"/>
      <c r="E341" s="493"/>
      <c r="F341" s="494"/>
      <c r="G341" s="492"/>
      <c r="H341" s="492"/>
      <c r="I341" s="493"/>
      <c r="J341" s="493"/>
      <c r="K341" s="564"/>
      <c r="L341" s="566"/>
      <c r="M341" s="576"/>
      <c r="O341" s="564"/>
      <c r="P341" s="564"/>
      <c r="Q341" s="576"/>
      <c r="R341" s="775"/>
      <c r="S341" s="775"/>
      <c r="T341" s="775"/>
      <c r="U341" s="776"/>
      <c r="V341" s="776"/>
      <c r="W341" s="776"/>
    </row>
    <row r="342" spans="1:23" ht="15" customHeight="1" x14ac:dyDescent="0.35">
      <c r="A342" s="492"/>
      <c r="B342" s="492"/>
      <c r="C342" s="493"/>
      <c r="D342" s="492"/>
      <c r="E342" s="493"/>
      <c r="F342" s="494"/>
      <c r="G342" s="492"/>
      <c r="H342" s="492"/>
      <c r="I342" s="493"/>
      <c r="J342" s="493"/>
      <c r="K342" s="564"/>
      <c r="L342" s="566"/>
      <c r="M342" s="576"/>
      <c r="O342" s="564"/>
      <c r="P342" s="564"/>
      <c r="Q342" s="576"/>
      <c r="R342" s="775"/>
      <c r="S342" s="775"/>
      <c r="T342" s="775"/>
      <c r="U342" s="776"/>
      <c r="V342" s="776"/>
      <c r="W342" s="776"/>
    </row>
    <row r="343" spans="1:23" ht="15" customHeight="1" x14ac:dyDescent="0.35">
      <c r="A343" s="492"/>
      <c r="B343" s="492"/>
      <c r="C343" s="493"/>
      <c r="D343" s="492"/>
      <c r="E343" s="493"/>
      <c r="F343" s="494"/>
      <c r="G343" s="492"/>
      <c r="H343" s="492"/>
      <c r="I343" s="493"/>
      <c r="J343" s="493"/>
      <c r="K343" s="564"/>
      <c r="L343" s="566"/>
      <c r="M343" s="576"/>
      <c r="O343" s="564"/>
      <c r="P343" s="564"/>
      <c r="Q343" s="576"/>
      <c r="R343" s="775"/>
      <c r="S343" s="775"/>
      <c r="T343" s="775"/>
      <c r="U343" s="776"/>
      <c r="V343" s="776"/>
      <c r="W343" s="776"/>
    </row>
    <row r="344" spans="1:23" ht="15" customHeight="1" x14ac:dyDescent="0.35">
      <c r="A344" s="492"/>
      <c r="B344" s="492"/>
      <c r="C344" s="493"/>
      <c r="D344" s="492"/>
      <c r="E344" s="493"/>
      <c r="F344" s="494"/>
      <c r="G344" s="492"/>
      <c r="H344" s="492"/>
      <c r="I344" s="493"/>
      <c r="J344" s="493"/>
      <c r="K344" s="564"/>
      <c r="L344" s="566"/>
      <c r="M344" s="576"/>
      <c r="O344" s="564"/>
      <c r="P344" s="564"/>
      <c r="Q344" s="576"/>
      <c r="R344" s="775"/>
      <c r="S344" s="775"/>
      <c r="T344" s="775"/>
      <c r="U344" s="776"/>
      <c r="V344" s="776"/>
      <c r="W344" s="776"/>
    </row>
    <row r="345" spans="1:23" ht="15" customHeight="1" x14ac:dyDescent="0.35">
      <c r="A345" s="492"/>
      <c r="B345" s="492"/>
      <c r="C345" s="493"/>
      <c r="D345" s="492"/>
      <c r="E345" s="493"/>
      <c r="F345" s="494"/>
      <c r="G345" s="492"/>
      <c r="H345" s="492"/>
      <c r="I345" s="493"/>
      <c r="J345" s="493"/>
      <c r="K345" s="564"/>
      <c r="L345" s="566"/>
      <c r="M345" s="576"/>
      <c r="O345" s="564"/>
      <c r="P345" s="564"/>
      <c r="Q345" s="576"/>
      <c r="R345" s="775"/>
      <c r="S345" s="775"/>
      <c r="T345" s="775"/>
      <c r="U345" s="776"/>
      <c r="V345" s="776"/>
      <c r="W345" s="776"/>
    </row>
    <row r="346" spans="1:23" ht="15" customHeight="1" x14ac:dyDescent="0.35">
      <c r="A346" s="492"/>
      <c r="B346" s="492"/>
      <c r="C346" s="493"/>
      <c r="D346" s="492"/>
      <c r="E346" s="493"/>
      <c r="F346" s="494"/>
      <c r="G346" s="492"/>
      <c r="H346" s="492"/>
      <c r="I346" s="493"/>
      <c r="J346" s="493"/>
      <c r="K346" s="564"/>
      <c r="L346" s="566"/>
      <c r="M346" s="576"/>
      <c r="O346" s="564"/>
      <c r="P346" s="564"/>
      <c r="Q346" s="576"/>
      <c r="R346" s="775"/>
      <c r="S346" s="775"/>
      <c r="T346" s="775"/>
      <c r="U346" s="776"/>
      <c r="V346" s="776"/>
      <c r="W346" s="776"/>
    </row>
    <row r="347" spans="1:23" ht="15" customHeight="1" x14ac:dyDescent="0.35">
      <c r="A347" s="492"/>
      <c r="B347" s="492"/>
      <c r="C347" s="493"/>
      <c r="D347" s="492"/>
      <c r="E347" s="493"/>
      <c r="F347" s="494"/>
      <c r="G347" s="492"/>
      <c r="H347" s="492"/>
      <c r="I347" s="493"/>
      <c r="J347" s="493"/>
      <c r="K347" s="564"/>
      <c r="L347" s="566"/>
      <c r="M347" s="576"/>
      <c r="O347" s="564"/>
      <c r="P347" s="564"/>
      <c r="Q347" s="576"/>
      <c r="R347" s="775"/>
      <c r="S347" s="775"/>
      <c r="T347" s="775"/>
      <c r="U347" s="776"/>
      <c r="V347" s="776"/>
      <c r="W347" s="776"/>
    </row>
    <row r="348" spans="1:23" ht="15" customHeight="1" x14ac:dyDescent="0.35">
      <c r="A348" s="492"/>
      <c r="B348" s="492"/>
      <c r="C348" s="493"/>
      <c r="D348" s="492"/>
      <c r="E348" s="493"/>
      <c r="F348" s="494"/>
      <c r="G348" s="492"/>
      <c r="H348" s="492"/>
      <c r="I348" s="493"/>
      <c r="J348" s="493"/>
      <c r="K348" s="564"/>
      <c r="L348" s="566"/>
      <c r="M348" s="576"/>
      <c r="O348" s="564"/>
      <c r="P348" s="564"/>
      <c r="Q348" s="576"/>
      <c r="R348" s="775"/>
      <c r="S348" s="775"/>
      <c r="T348" s="775"/>
      <c r="U348" s="776"/>
      <c r="V348" s="776"/>
      <c r="W348" s="776"/>
    </row>
    <row r="349" spans="1:23" ht="15" customHeight="1" x14ac:dyDescent="0.35">
      <c r="A349" s="492"/>
      <c r="B349" s="492"/>
      <c r="C349" s="493"/>
      <c r="D349" s="492"/>
      <c r="E349" s="493"/>
      <c r="F349" s="494"/>
      <c r="G349" s="492"/>
      <c r="H349" s="492"/>
      <c r="I349" s="493"/>
      <c r="J349" s="493"/>
      <c r="K349" s="564"/>
      <c r="L349" s="566"/>
      <c r="M349" s="576"/>
      <c r="O349" s="564"/>
      <c r="P349" s="564"/>
      <c r="Q349" s="576"/>
      <c r="R349" s="775"/>
      <c r="S349" s="775"/>
      <c r="T349" s="775"/>
      <c r="U349" s="776"/>
      <c r="V349" s="776"/>
      <c r="W349" s="776"/>
    </row>
    <row r="350" spans="1:23" ht="15" customHeight="1" x14ac:dyDescent="0.35">
      <c r="A350" s="492"/>
      <c r="B350" s="492"/>
      <c r="C350" s="493"/>
      <c r="D350" s="492"/>
      <c r="E350" s="493"/>
      <c r="F350" s="494"/>
      <c r="G350" s="492"/>
      <c r="H350" s="492"/>
      <c r="I350" s="493"/>
      <c r="J350" s="493"/>
      <c r="K350" s="564"/>
      <c r="L350" s="566"/>
      <c r="M350" s="576"/>
      <c r="O350" s="564"/>
      <c r="P350" s="564"/>
      <c r="Q350" s="576"/>
      <c r="R350" s="775"/>
      <c r="S350" s="775"/>
      <c r="T350" s="775"/>
      <c r="U350" s="776"/>
      <c r="V350" s="776"/>
      <c r="W350" s="776"/>
    </row>
    <row r="351" spans="1:23" ht="15" customHeight="1" x14ac:dyDescent="0.35">
      <c r="A351"/>
      <c r="B351"/>
      <c r="C351"/>
      <c r="D351"/>
      <c r="E351"/>
      <c r="F351"/>
      <c r="G351"/>
      <c r="H351"/>
    </row>
    <row r="352" spans="1:23" ht="52" customHeight="1" x14ac:dyDescent="0.35">
      <c r="A352" s="624" t="s">
        <v>1419</v>
      </c>
      <c r="B352" s="624"/>
      <c r="C352" s="624"/>
      <c r="D352" s="624"/>
      <c r="E352" s="624"/>
      <c r="F352" s="624"/>
      <c r="G352" s="624"/>
      <c r="H352" s="624"/>
      <c r="I352" s="624"/>
      <c r="J352" s="624"/>
      <c r="K352" s="624"/>
    </row>
    <row r="353" spans="1:11" ht="15" customHeight="1" x14ac:dyDescent="0.35">
      <c r="A353"/>
      <c r="B353"/>
      <c r="C353"/>
      <c r="D353"/>
      <c r="E353"/>
      <c r="F353"/>
      <c r="G353"/>
      <c r="H353"/>
    </row>
    <row r="354" spans="1:11" ht="30" customHeight="1" x14ac:dyDescent="0.35">
      <c r="A354" s="621" t="s">
        <v>832</v>
      </c>
      <c r="B354" s="621"/>
      <c r="C354" s="621"/>
      <c r="D354" s="621"/>
      <c r="E354" s="621"/>
      <c r="F354" s="621"/>
      <c r="G354" s="621"/>
      <c r="H354" s="621"/>
      <c r="I354" s="621"/>
      <c r="J354" s="621"/>
      <c r="K354" s="621"/>
    </row>
    <row r="355" spans="1:11" ht="68.150000000000006" customHeight="1" x14ac:dyDescent="0.45">
      <c r="A355" s="622" t="s">
        <v>1803</v>
      </c>
      <c r="B355" s="623"/>
      <c r="C355" s="623"/>
      <c r="D355" s="623"/>
      <c r="E355" s="623"/>
      <c r="F355" s="623"/>
      <c r="G355" s="623"/>
      <c r="H355" s="623"/>
      <c r="J355" s="276" t="s">
        <v>833</v>
      </c>
    </row>
    <row r="356" spans="1:11" ht="15" customHeight="1" x14ac:dyDescent="0.45">
      <c r="A356" s="277"/>
      <c r="B356"/>
      <c r="C356"/>
      <c r="D356"/>
      <c r="E356"/>
      <c r="F356"/>
      <c r="G356"/>
      <c r="H356"/>
      <c r="J356" s="276"/>
    </row>
    <row r="357" spans="1:11" ht="15" customHeight="1" x14ac:dyDescent="0.35">
      <c r="A357" s="620" t="s">
        <v>286</v>
      </c>
      <c r="B357" s="620" t="s">
        <v>207</v>
      </c>
      <c r="C357" s="620" t="s">
        <v>596</v>
      </c>
      <c r="D357" s="620" t="s">
        <v>597</v>
      </c>
      <c r="E357" s="620" t="s">
        <v>598</v>
      </c>
      <c r="F357" s="620" t="s">
        <v>225</v>
      </c>
      <c r="G357" s="620" t="s">
        <v>605</v>
      </c>
      <c r="H357" s="620" t="s">
        <v>206</v>
      </c>
      <c r="J357" s="276"/>
    </row>
    <row r="358" spans="1:11" s="32" customFormat="1" ht="15" customHeight="1" x14ac:dyDescent="0.35">
      <c r="A358" s="620"/>
      <c r="B358" s="620"/>
      <c r="C358" s="620"/>
      <c r="D358" s="620"/>
      <c r="E358" s="620"/>
      <c r="F358" s="620"/>
      <c r="G358" s="620"/>
      <c r="H358" s="620"/>
      <c r="J358" s="279" t="s">
        <v>207</v>
      </c>
      <c r="K358" s="279" t="s">
        <v>834</v>
      </c>
    </row>
    <row r="359" spans="1:11" ht="15" customHeight="1" x14ac:dyDescent="0.45">
      <c r="A359" s="280" t="str" cm="1">
        <f t="array" ref="A359">_xlfn.LET(_xlpm.t,_xlfn.VSTACK(LC_House[Panel Tag],LC_Dept[Panel Tag],LC_Refrig[Panel Tag],LC_Mech[Panel Tag],LC_Plumb[Panel Tag],LC_Kitchen[Panel Tag],LC_Elev[Panel Tag],LC_EV[Panel Tag],LC_Data[Panel Tag],LC_Site[Panel Tag],LC_Fire[Panel Tag],LC_Process[Panel Tag]),IF(SUMPRODUCT(--(_xlpm.t&lt;&gt;""))=0,"— no panel tags assigned —",_xlfn._xlws.SORT(_xlfn.UNIQUE(_xlfn._xlws.FILTER(_xlpm.t,_xlpm.t&lt;&gt;"")))))</f>
        <v>— no panel tags assigned —</v>
      </c>
      <c r="B359" s="281" t="str">
        <f>IF(OR($A359="",LEFT($A359,1)="—"),"",IFERROR(_xlfn.XLOOKUP($A359,$A$101:$A$350,$B$101:$B$350,"not in registry"),""))</f>
        <v/>
      </c>
      <c r="C359" s="184" t="str">
        <f>IF(OR($A359="",LEFT($A359,1)="—"),"",SUMIF(LC_House[Panel Tag],$A359,LC_House[Total kVA])+SUMIF(LC_Dept[Panel Tag],$A359,LC_Dept[Total kVA])+SUMIF(LC_Refrig[Panel Tag],$A359,LC_Refrig[Total kVA])+SUMIF(LC_Mech[Panel Tag],$A359,LC_Mech[Total kVA])+SUMIF(LC_Plumb[Panel Tag],$A359,LC_Plumb[Total kVA])+SUMIF(LC_Kitchen[Panel Tag],$A359,LC_Kitchen[Total kVA])+SUMIF(LC_Elev[Panel Tag],$A359,LC_Elev[Total kVA])+SUMIF(LC_EV[Panel Tag],$A359,LC_EV[Total kVA])+SUMIF(LC_Data[Panel Tag],$A359,LC_Data[Total kVA])+SUMIF(LC_Site[Panel Tag],$A359,LC_Site[Total kVA])+SUMIF(LC_Fire[Panel Tag],$A359,LC_Fire[Total kVA])+SUMIF(LC_Process[Panel Tag],$A359,LC_Process[Total kVA]))</f>
        <v/>
      </c>
      <c r="D359" s="185" t="str">
        <f>IF(OR($A359="",LEFT($A359,1)="—"),"",IFERROR(_xlfn.XLOOKUP($A359,$A$101:$A$350,$M$101:$M$350,""),""))</f>
        <v/>
      </c>
      <c r="E359" s="186" t="str">
        <f t="shared" ref="E359:E422" si="0">IF(OR(NOT(ISNUMBER($C359)),NOT(ISNUMBER($D359))),"",$C359-$D359)</f>
        <v/>
      </c>
      <c r="F359" s="282" t="str">
        <f t="shared" ref="F359:F422" si="1">IF(NOT(ISNUMBER($C359)),"",IF(NOT(ISNUMBER($D359)),"link not set",IF(ABS($E359)&lt;=$K$363,"OK","CHECK")))</f>
        <v/>
      </c>
      <c r="G359" s="280" t="str">
        <f t="shared" ref="G359:G422" si="2">IF(NOT(ISNUMBER($C359)),"",IF($B359="","← set Type in column B",IFERROR("='"&amp;$A359&amp;"'!"&amp;VLOOKUP($B359,$J$359:$K$361,2,FALSE),"← Type not recognized")))</f>
        <v/>
      </c>
      <c r="H359" s="281"/>
      <c r="J359" s="283" t="s">
        <v>599</v>
      </c>
      <c r="K359" s="283" t="s">
        <v>600</v>
      </c>
    </row>
    <row r="360" spans="1:11" ht="15" customHeight="1" x14ac:dyDescent="0.45">
      <c r="A360" s="284"/>
      <c r="B360" s="285" t="str">
        <f t="shared" ref="B360:B398" si="3">IF(OR($A360="",LEFT($A360,1)="—"),"",IFERROR(_xlfn.XLOOKUP($A360,$A$101:$A$350,$B$101:$B$350,"not in registry"),""))</f>
        <v/>
      </c>
      <c r="C360" s="184" t="str">
        <f>IF(OR($A360="",LEFT($A360,1)="—"),"",SUMIF(LC_House[Panel Tag],$A360,LC_House[Total kVA])+SUMIF(LC_Dept[Panel Tag],$A360,LC_Dept[Total kVA])+SUMIF(LC_Refrig[Panel Tag],$A360,LC_Refrig[Total kVA])+SUMIF(LC_Mech[Panel Tag],$A360,LC_Mech[Total kVA])+SUMIF(LC_Plumb[Panel Tag],$A360,LC_Plumb[Total kVA])+SUMIF(LC_Kitchen[Panel Tag],$A360,LC_Kitchen[Total kVA])+SUMIF(LC_Elev[Panel Tag],$A360,LC_Elev[Total kVA])+SUMIF(LC_EV[Panel Tag],$A360,LC_EV[Total kVA])+SUMIF(LC_Data[Panel Tag],$A360,LC_Data[Total kVA])+SUMIF(LC_Site[Panel Tag],$A360,LC_Site[Total kVA])+SUMIF(LC_Fire[Panel Tag],$A360,LC_Fire[Total kVA])+SUMIF(LC_Process[Panel Tag],$A360,LC_Process[Total kVA]))</f>
        <v/>
      </c>
      <c r="D360" s="187" t="str">
        <f t="shared" ref="D360:D398" si="4">IF(OR($A360="",LEFT($A360,1)="—"),"",IFERROR(_xlfn.XLOOKUP($A360,$A$101:$A$350,$M$101:$M$350,""),""))</f>
        <v/>
      </c>
      <c r="E360" s="188" t="str">
        <f t="shared" si="0"/>
        <v/>
      </c>
      <c r="F360" s="286" t="str">
        <f t="shared" si="1"/>
        <v/>
      </c>
      <c r="G360" s="284" t="str">
        <f t="shared" si="2"/>
        <v/>
      </c>
      <c r="H360" s="285"/>
      <c r="J360" s="283" t="s">
        <v>601</v>
      </c>
      <c r="K360" s="283" t="s">
        <v>602</v>
      </c>
    </row>
    <row r="361" spans="1:11" ht="15" customHeight="1" x14ac:dyDescent="0.45">
      <c r="A361" s="284"/>
      <c r="B361" s="285" t="str">
        <f t="shared" si="3"/>
        <v/>
      </c>
      <c r="C361" s="184" t="str">
        <f>IF(OR($A361="",LEFT($A361,1)="—"),"",SUMIF(LC_House[Panel Tag],$A361,LC_House[Total kVA])+SUMIF(LC_Dept[Panel Tag],$A361,LC_Dept[Total kVA])+SUMIF(LC_Refrig[Panel Tag],$A361,LC_Refrig[Total kVA])+SUMIF(LC_Mech[Panel Tag],$A361,LC_Mech[Total kVA])+SUMIF(LC_Plumb[Panel Tag],$A361,LC_Plumb[Total kVA])+SUMIF(LC_Kitchen[Panel Tag],$A361,LC_Kitchen[Total kVA])+SUMIF(LC_Elev[Panel Tag],$A361,LC_Elev[Total kVA])+SUMIF(LC_EV[Panel Tag],$A361,LC_EV[Total kVA])+SUMIF(LC_Data[Panel Tag],$A361,LC_Data[Total kVA])+SUMIF(LC_Site[Panel Tag],$A361,LC_Site[Total kVA])+SUMIF(LC_Fire[Panel Tag],$A361,LC_Fire[Total kVA])+SUMIF(LC_Process[Panel Tag],$A361,LC_Process[Total kVA]))</f>
        <v/>
      </c>
      <c r="D361" s="187" t="str">
        <f t="shared" si="4"/>
        <v/>
      </c>
      <c r="E361" s="188" t="str">
        <f t="shared" si="0"/>
        <v/>
      </c>
      <c r="F361" s="286" t="str">
        <f t="shared" si="1"/>
        <v/>
      </c>
      <c r="G361" s="284" t="str">
        <f t="shared" si="2"/>
        <v/>
      </c>
      <c r="H361" s="285"/>
      <c r="J361" s="283" t="s">
        <v>603</v>
      </c>
      <c r="K361" s="283" t="s">
        <v>604</v>
      </c>
    </row>
    <row r="362" spans="1:11" ht="15" customHeight="1" x14ac:dyDescent="0.45">
      <c r="A362" s="284"/>
      <c r="B362" s="285" t="str">
        <f t="shared" si="3"/>
        <v/>
      </c>
      <c r="C362" s="184" t="str">
        <f>IF(OR($A362="",LEFT($A362,1)="—"),"",SUMIF(LC_House[Panel Tag],$A362,LC_House[Total kVA])+SUMIF(LC_Dept[Panel Tag],$A362,LC_Dept[Total kVA])+SUMIF(LC_Refrig[Panel Tag],$A362,LC_Refrig[Total kVA])+SUMIF(LC_Mech[Panel Tag],$A362,LC_Mech[Total kVA])+SUMIF(LC_Plumb[Panel Tag],$A362,LC_Plumb[Total kVA])+SUMIF(LC_Kitchen[Panel Tag],$A362,LC_Kitchen[Total kVA])+SUMIF(LC_Elev[Panel Tag],$A362,LC_Elev[Total kVA])+SUMIF(LC_EV[Panel Tag],$A362,LC_EV[Total kVA])+SUMIF(LC_Data[Panel Tag],$A362,LC_Data[Total kVA])+SUMIF(LC_Site[Panel Tag],$A362,LC_Site[Total kVA])+SUMIF(LC_Fire[Panel Tag],$A362,LC_Fire[Total kVA])+SUMIF(LC_Process[Panel Tag],$A362,LC_Process[Total kVA]))</f>
        <v/>
      </c>
      <c r="D362" s="187" t="str">
        <f t="shared" si="4"/>
        <v/>
      </c>
      <c r="E362" s="188" t="str">
        <f t="shared" si="0"/>
        <v/>
      </c>
      <c r="F362" s="286" t="str">
        <f t="shared" si="1"/>
        <v/>
      </c>
      <c r="G362" s="284" t="str">
        <f t="shared" si="2"/>
        <v/>
      </c>
      <c r="H362" s="285"/>
    </row>
    <row r="363" spans="1:11" ht="15" customHeight="1" x14ac:dyDescent="0.45">
      <c r="A363" s="284"/>
      <c r="B363" s="285" t="str">
        <f t="shared" si="3"/>
        <v/>
      </c>
      <c r="C363" s="184" t="str">
        <f>IF(OR($A363="",LEFT($A363,1)="—"),"",SUMIF(LC_House[Panel Tag],$A363,LC_House[Total kVA])+SUMIF(LC_Dept[Panel Tag],$A363,LC_Dept[Total kVA])+SUMIF(LC_Refrig[Panel Tag],$A363,LC_Refrig[Total kVA])+SUMIF(LC_Mech[Panel Tag],$A363,LC_Mech[Total kVA])+SUMIF(LC_Plumb[Panel Tag],$A363,LC_Plumb[Total kVA])+SUMIF(LC_Kitchen[Panel Tag],$A363,LC_Kitchen[Total kVA])+SUMIF(LC_Elev[Panel Tag],$A363,LC_Elev[Total kVA])+SUMIF(LC_EV[Panel Tag],$A363,LC_EV[Total kVA])+SUMIF(LC_Data[Panel Tag],$A363,LC_Data[Total kVA])+SUMIF(LC_Site[Panel Tag],$A363,LC_Site[Total kVA])+SUMIF(LC_Fire[Panel Tag],$A363,LC_Fire[Total kVA])+SUMIF(LC_Process[Panel Tag],$A363,LC_Process[Total kVA]))</f>
        <v/>
      </c>
      <c r="D363" s="187" t="str">
        <f t="shared" si="4"/>
        <v/>
      </c>
      <c r="E363" s="188" t="str">
        <f t="shared" si="0"/>
        <v/>
      </c>
      <c r="F363" s="286" t="str">
        <f t="shared" si="1"/>
        <v/>
      </c>
      <c r="G363" s="284" t="str">
        <f t="shared" si="2"/>
        <v/>
      </c>
      <c r="H363" s="285"/>
      <c r="J363" s="287" t="s">
        <v>835</v>
      </c>
      <c r="K363" s="136">
        <v>0.1</v>
      </c>
    </row>
    <row r="364" spans="1:11" ht="15" customHeight="1" x14ac:dyDescent="0.45">
      <c r="A364" s="284"/>
      <c r="B364" s="285" t="str">
        <f t="shared" si="3"/>
        <v/>
      </c>
      <c r="C364" s="184" t="str">
        <f>IF(OR($A364="",LEFT($A364,1)="—"),"",SUMIF(LC_House[Panel Tag],$A364,LC_House[Total kVA])+SUMIF(LC_Dept[Panel Tag],$A364,LC_Dept[Total kVA])+SUMIF(LC_Refrig[Panel Tag],$A364,LC_Refrig[Total kVA])+SUMIF(LC_Mech[Panel Tag],$A364,LC_Mech[Total kVA])+SUMIF(LC_Plumb[Panel Tag],$A364,LC_Plumb[Total kVA])+SUMIF(LC_Kitchen[Panel Tag],$A364,LC_Kitchen[Total kVA])+SUMIF(LC_Elev[Panel Tag],$A364,LC_Elev[Total kVA])+SUMIF(LC_EV[Panel Tag],$A364,LC_EV[Total kVA])+SUMIF(LC_Data[Panel Tag],$A364,LC_Data[Total kVA])+SUMIF(LC_Site[Panel Tag],$A364,LC_Site[Total kVA])+SUMIF(LC_Fire[Panel Tag],$A364,LC_Fire[Total kVA])+SUMIF(LC_Process[Panel Tag],$A364,LC_Process[Total kVA]))</f>
        <v/>
      </c>
      <c r="D364" s="187" t="str">
        <f t="shared" si="4"/>
        <v/>
      </c>
      <c r="E364" s="188" t="str">
        <f t="shared" si="0"/>
        <v/>
      </c>
      <c r="F364" s="286" t="str">
        <f t="shared" si="1"/>
        <v/>
      </c>
      <c r="G364" s="284" t="str">
        <f t="shared" si="2"/>
        <v/>
      </c>
      <c r="H364" s="285"/>
    </row>
    <row r="365" spans="1:11" ht="15" customHeight="1" x14ac:dyDescent="0.45">
      <c r="A365" s="284"/>
      <c r="B365" s="285" t="str">
        <f t="shared" si="3"/>
        <v/>
      </c>
      <c r="C365" s="184" t="str">
        <f>IF(OR($A365="",LEFT($A365,1)="—"),"",SUMIF(LC_House[Panel Tag],$A365,LC_House[Total kVA])+SUMIF(LC_Dept[Panel Tag],$A365,LC_Dept[Total kVA])+SUMIF(LC_Refrig[Panel Tag],$A365,LC_Refrig[Total kVA])+SUMIF(LC_Mech[Panel Tag],$A365,LC_Mech[Total kVA])+SUMIF(LC_Plumb[Panel Tag],$A365,LC_Plumb[Total kVA])+SUMIF(LC_Kitchen[Panel Tag],$A365,LC_Kitchen[Total kVA])+SUMIF(LC_Elev[Panel Tag],$A365,LC_Elev[Total kVA])+SUMIF(LC_EV[Panel Tag],$A365,LC_EV[Total kVA])+SUMIF(LC_Data[Panel Tag],$A365,LC_Data[Total kVA])+SUMIF(LC_Site[Panel Tag],$A365,LC_Site[Total kVA])+SUMIF(LC_Fire[Panel Tag],$A365,LC_Fire[Total kVA])+SUMIF(LC_Process[Panel Tag],$A365,LC_Process[Total kVA]))</f>
        <v/>
      </c>
      <c r="D365" s="187" t="str">
        <f t="shared" si="4"/>
        <v/>
      </c>
      <c r="E365" s="188" t="str">
        <f t="shared" si="0"/>
        <v/>
      </c>
      <c r="F365" s="286" t="str">
        <f t="shared" si="1"/>
        <v/>
      </c>
      <c r="G365" s="284" t="str">
        <f t="shared" si="2"/>
        <v/>
      </c>
      <c r="H365" s="285"/>
    </row>
    <row r="366" spans="1:11" ht="15" customHeight="1" x14ac:dyDescent="0.45">
      <c r="A366" s="284"/>
      <c r="B366" s="285" t="str">
        <f t="shared" si="3"/>
        <v/>
      </c>
      <c r="C366" s="184" t="str">
        <f>IF(OR($A366="",LEFT($A366,1)="—"),"",SUMIF(LC_House[Panel Tag],$A366,LC_House[Total kVA])+SUMIF(LC_Dept[Panel Tag],$A366,LC_Dept[Total kVA])+SUMIF(LC_Refrig[Panel Tag],$A366,LC_Refrig[Total kVA])+SUMIF(LC_Mech[Panel Tag],$A366,LC_Mech[Total kVA])+SUMIF(LC_Plumb[Panel Tag],$A366,LC_Plumb[Total kVA])+SUMIF(LC_Kitchen[Panel Tag],$A366,LC_Kitchen[Total kVA])+SUMIF(LC_Elev[Panel Tag],$A366,LC_Elev[Total kVA])+SUMIF(LC_EV[Panel Tag],$A366,LC_EV[Total kVA])+SUMIF(LC_Data[Panel Tag],$A366,LC_Data[Total kVA])+SUMIF(LC_Site[Panel Tag],$A366,LC_Site[Total kVA])+SUMIF(LC_Fire[Panel Tag],$A366,LC_Fire[Total kVA])+SUMIF(LC_Process[Panel Tag],$A366,LC_Process[Total kVA]))</f>
        <v/>
      </c>
      <c r="D366" s="187" t="str">
        <f t="shared" si="4"/>
        <v/>
      </c>
      <c r="E366" s="188" t="str">
        <f t="shared" si="0"/>
        <v/>
      </c>
      <c r="F366" s="286" t="str">
        <f t="shared" si="1"/>
        <v/>
      </c>
      <c r="G366" s="284" t="str">
        <f t="shared" si="2"/>
        <v/>
      </c>
      <c r="H366" s="285"/>
    </row>
    <row r="367" spans="1:11" ht="15" customHeight="1" x14ac:dyDescent="0.45">
      <c r="A367" s="284"/>
      <c r="B367" s="285" t="str">
        <f t="shared" si="3"/>
        <v/>
      </c>
      <c r="C367" s="184" t="str">
        <f>IF(OR($A367="",LEFT($A367,1)="—"),"",SUMIF(LC_House[Panel Tag],$A367,LC_House[Total kVA])+SUMIF(LC_Dept[Panel Tag],$A367,LC_Dept[Total kVA])+SUMIF(LC_Refrig[Panel Tag],$A367,LC_Refrig[Total kVA])+SUMIF(LC_Mech[Panel Tag],$A367,LC_Mech[Total kVA])+SUMIF(LC_Plumb[Panel Tag],$A367,LC_Plumb[Total kVA])+SUMIF(LC_Kitchen[Panel Tag],$A367,LC_Kitchen[Total kVA])+SUMIF(LC_Elev[Panel Tag],$A367,LC_Elev[Total kVA])+SUMIF(LC_EV[Panel Tag],$A367,LC_EV[Total kVA])+SUMIF(LC_Data[Panel Tag],$A367,LC_Data[Total kVA])+SUMIF(LC_Site[Panel Tag],$A367,LC_Site[Total kVA])+SUMIF(LC_Fire[Panel Tag],$A367,LC_Fire[Total kVA])+SUMIF(LC_Process[Panel Tag],$A367,LC_Process[Total kVA]))</f>
        <v/>
      </c>
      <c r="D367" s="187" t="str">
        <f t="shared" si="4"/>
        <v/>
      </c>
      <c r="E367" s="188" t="str">
        <f t="shared" si="0"/>
        <v/>
      </c>
      <c r="F367" s="286" t="str">
        <f t="shared" si="1"/>
        <v/>
      </c>
      <c r="G367" s="284" t="str">
        <f t="shared" si="2"/>
        <v/>
      </c>
      <c r="H367" s="285"/>
    </row>
    <row r="368" spans="1:11" ht="15" customHeight="1" x14ac:dyDescent="0.45">
      <c r="A368" s="284"/>
      <c r="B368" s="285" t="str">
        <f t="shared" si="3"/>
        <v/>
      </c>
      <c r="C368" s="184" t="str">
        <f>IF(OR($A368="",LEFT($A368,1)="—"),"",SUMIF(LC_House[Panel Tag],$A368,LC_House[Total kVA])+SUMIF(LC_Dept[Panel Tag],$A368,LC_Dept[Total kVA])+SUMIF(LC_Refrig[Panel Tag],$A368,LC_Refrig[Total kVA])+SUMIF(LC_Mech[Panel Tag],$A368,LC_Mech[Total kVA])+SUMIF(LC_Plumb[Panel Tag],$A368,LC_Plumb[Total kVA])+SUMIF(LC_Kitchen[Panel Tag],$A368,LC_Kitchen[Total kVA])+SUMIF(LC_Elev[Panel Tag],$A368,LC_Elev[Total kVA])+SUMIF(LC_EV[Panel Tag],$A368,LC_EV[Total kVA])+SUMIF(LC_Data[Panel Tag],$A368,LC_Data[Total kVA])+SUMIF(LC_Site[Panel Tag],$A368,LC_Site[Total kVA])+SUMIF(LC_Fire[Panel Tag],$A368,LC_Fire[Total kVA])+SUMIF(LC_Process[Panel Tag],$A368,LC_Process[Total kVA]))</f>
        <v/>
      </c>
      <c r="D368" s="187" t="str">
        <f t="shared" si="4"/>
        <v/>
      </c>
      <c r="E368" s="188" t="str">
        <f t="shared" si="0"/>
        <v/>
      </c>
      <c r="F368" s="286" t="str">
        <f t="shared" si="1"/>
        <v/>
      </c>
      <c r="G368" s="284" t="str">
        <f t="shared" si="2"/>
        <v/>
      </c>
      <c r="H368" s="285"/>
    </row>
    <row r="369" spans="1:8" ht="15" customHeight="1" x14ac:dyDescent="0.45">
      <c r="A369" s="284"/>
      <c r="B369" s="285" t="str">
        <f t="shared" si="3"/>
        <v/>
      </c>
      <c r="C369" s="184" t="str">
        <f>IF(OR($A369="",LEFT($A369,1)="—"),"",SUMIF(LC_House[Panel Tag],$A369,LC_House[Total kVA])+SUMIF(LC_Dept[Panel Tag],$A369,LC_Dept[Total kVA])+SUMIF(LC_Refrig[Panel Tag],$A369,LC_Refrig[Total kVA])+SUMIF(LC_Mech[Panel Tag],$A369,LC_Mech[Total kVA])+SUMIF(LC_Plumb[Panel Tag],$A369,LC_Plumb[Total kVA])+SUMIF(LC_Kitchen[Panel Tag],$A369,LC_Kitchen[Total kVA])+SUMIF(LC_Elev[Panel Tag],$A369,LC_Elev[Total kVA])+SUMIF(LC_EV[Panel Tag],$A369,LC_EV[Total kVA])+SUMIF(LC_Data[Panel Tag],$A369,LC_Data[Total kVA])+SUMIF(LC_Site[Panel Tag],$A369,LC_Site[Total kVA])+SUMIF(LC_Fire[Panel Tag],$A369,LC_Fire[Total kVA])+SUMIF(LC_Process[Panel Tag],$A369,LC_Process[Total kVA]))</f>
        <v/>
      </c>
      <c r="D369" s="187" t="str">
        <f t="shared" si="4"/>
        <v/>
      </c>
      <c r="E369" s="188" t="str">
        <f t="shared" si="0"/>
        <v/>
      </c>
      <c r="F369" s="286" t="str">
        <f t="shared" si="1"/>
        <v/>
      </c>
      <c r="G369" s="284" t="str">
        <f t="shared" si="2"/>
        <v/>
      </c>
      <c r="H369" s="285"/>
    </row>
    <row r="370" spans="1:8" ht="15" customHeight="1" x14ac:dyDescent="0.45">
      <c r="A370" s="284"/>
      <c r="B370" s="285" t="str">
        <f t="shared" si="3"/>
        <v/>
      </c>
      <c r="C370" s="184" t="str">
        <f>IF(OR($A370="",LEFT($A370,1)="—"),"",SUMIF(LC_House[Panel Tag],$A370,LC_House[Total kVA])+SUMIF(LC_Dept[Panel Tag],$A370,LC_Dept[Total kVA])+SUMIF(LC_Refrig[Panel Tag],$A370,LC_Refrig[Total kVA])+SUMIF(LC_Mech[Panel Tag],$A370,LC_Mech[Total kVA])+SUMIF(LC_Plumb[Panel Tag],$A370,LC_Plumb[Total kVA])+SUMIF(LC_Kitchen[Panel Tag],$A370,LC_Kitchen[Total kVA])+SUMIF(LC_Elev[Panel Tag],$A370,LC_Elev[Total kVA])+SUMIF(LC_EV[Panel Tag],$A370,LC_EV[Total kVA])+SUMIF(LC_Data[Panel Tag],$A370,LC_Data[Total kVA])+SUMIF(LC_Site[Panel Tag],$A370,LC_Site[Total kVA])+SUMIF(LC_Fire[Panel Tag],$A370,LC_Fire[Total kVA])+SUMIF(LC_Process[Panel Tag],$A370,LC_Process[Total kVA]))</f>
        <v/>
      </c>
      <c r="D370" s="187" t="str">
        <f t="shared" si="4"/>
        <v/>
      </c>
      <c r="E370" s="188" t="str">
        <f t="shared" si="0"/>
        <v/>
      </c>
      <c r="F370" s="286" t="str">
        <f t="shared" si="1"/>
        <v/>
      </c>
      <c r="G370" s="284" t="str">
        <f t="shared" si="2"/>
        <v/>
      </c>
      <c r="H370" s="285"/>
    </row>
    <row r="371" spans="1:8" ht="15" customHeight="1" x14ac:dyDescent="0.45">
      <c r="A371" s="284"/>
      <c r="B371" s="285" t="str">
        <f t="shared" si="3"/>
        <v/>
      </c>
      <c r="C371" s="184" t="str">
        <f>IF(OR($A371="",LEFT($A371,1)="—"),"",SUMIF(LC_House[Panel Tag],$A371,LC_House[Total kVA])+SUMIF(LC_Dept[Panel Tag],$A371,LC_Dept[Total kVA])+SUMIF(LC_Refrig[Panel Tag],$A371,LC_Refrig[Total kVA])+SUMIF(LC_Mech[Panel Tag],$A371,LC_Mech[Total kVA])+SUMIF(LC_Plumb[Panel Tag],$A371,LC_Plumb[Total kVA])+SUMIF(LC_Kitchen[Panel Tag],$A371,LC_Kitchen[Total kVA])+SUMIF(LC_Elev[Panel Tag],$A371,LC_Elev[Total kVA])+SUMIF(LC_EV[Panel Tag],$A371,LC_EV[Total kVA])+SUMIF(LC_Data[Panel Tag],$A371,LC_Data[Total kVA])+SUMIF(LC_Site[Panel Tag],$A371,LC_Site[Total kVA])+SUMIF(LC_Fire[Panel Tag],$A371,LC_Fire[Total kVA])+SUMIF(LC_Process[Panel Tag],$A371,LC_Process[Total kVA]))</f>
        <v/>
      </c>
      <c r="D371" s="187" t="str">
        <f t="shared" si="4"/>
        <v/>
      </c>
      <c r="E371" s="188" t="str">
        <f t="shared" si="0"/>
        <v/>
      </c>
      <c r="F371" s="286" t="str">
        <f t="shared" si="1"/>
        <v/>
      </c>
      <c r="G371" s="284" t="str">
        <f t="shared" si="2"/>
        <v/>
      </c>
      <c r="H371" s="285"/>
    </row>
    <row r="372" spans="1:8" ht="15" customHeight="1" x14ac:dyDescent="0.45">
      <c r="A372" s="284"/>
      <c r="B372" s="285" t="str">
        <f t="shared" si="3"/>
        <v/>
      </c>
      <c r="C372" s="184" t="str">
        <f>IF(OR($A372="",LEFT($A372,1)="—"),"",SUMIF(LC_House[Panel Tag],$A372,LC_House[Total kVA])+SUMIF(LC_Dept[Panel Tag],$A372,LC_Dept[Total kVA])+SUMIF(LC_Refrig[Panel Tag],$A372,LC_Refrig[Total kVA])+SUMIF(LC_Mech[Panel Tag],$A372,LC_Mech[Total kVA])+SUMIF(LC_Plumb[Panel Tag],$A372,LC_Plumb[Total kVA])+SUMIF(LC_Kitchen[Panel Tag],$A372,LC_Kitchen[Total kVA])+SUMIF(LC_Elev[Panel Tag],$A372,LC_Elev[Total kVA])+SUMIF(LC_EV[Panel Tag],$A372,LC_EV[Total kVA])+SUMIF(LC_Data[Panel Tag],$A372,LC_Data[Total kVA])+SUMIF(LC_Site[Panel Tag],$A372,LC_Site[Total kVA])+SUMIF(LC_Fire[Panel Tag],$A372,LC_Fire[Total kVA])+SUMIF(LC_Process[Panel Tag],$A372,LC_Process[Total kVA]))</f>
        <v/>
      </c>
      <c r="D372" s="187" t="str">
        <f t="shared" si="4"/>
        <v/>
      </c>
      <c r="E372" s="188" t="str">
        <f t="shared" si="0"/>
        <v/>
      </c>
      <c r="F372" s="286" t="str">
        <f t="shared" si="1"/>
        <v/>
      </c>
      <c r="G372" s="284" t="str">
        <f t="shared" si="2"/>
        <v/>
      </c>
      <c r="H372" s="285"/>
    </row>
    <row r="373" spans="1:8" ht="15" customHeight="1" x14ac:dyDescent="0.45">
      <c r="A373" s="284"/>
      <c r="B373" s="285" t="str">
        <f t="shared" si="3"/>
        <v/>
      </c>
      <c r="C373" s="184" t="str">
        <f>IF(OR($A373="",LEFT($A373,1)="—"),"",SUMIF(LC_House[Panel Tag],$A373,LC_House[Total kVA])+SUMIF(LC_Dept[Panel Tag],$A373,LC_Dept[Total kVA])+SUMIF(LC_Refrig[Panel Tag],$A373,LC_Refrig[Total kVA])+SUMIF(LC_Mech[Panel Tag],$A373,LC_Mech[Total kVA])+SUMIF(LC_Plumb[Panel Tag],$A373,LC_Plumb[Total kVA])+SUMIF(LC_Kitchen[Panel Tag],$A373,LC_Kitchen[Total kVA])+SUMIF(LC_Elev[Panel Tag],$A373,LC_Elev[Total kVA])+SUMIF(LC_EV[Panel Tag],$A373,LC_EV[Total kVA])+SUMIF(LC_Data[Panel Tag],$A373,LC_Data[Total kVA])+SUMIF(LC_Site[Panel Tag],$A373,LC_Site[Total kVA])+SUMIF(LC_Fire[Panel Tag],$A373,LC_Fire[Total kVA])+SUMIF(LC_Process[Panel Tag],$A373,LC_Process[Total kVA]))</f>
        <v/>
      </c>
      <c r="D373" s="187" t="str">
        <f t="shared" si="4"/>
        <v/>
      </c>
      <c r="E373" s="188" t="str">
        <f t="shared" si="0"/>
        <v/>
      </c>
      <c r="F373" s="286" t="str">
        <f t="shared" si="1"/>
        <v/>
      </c>
      <c r="G373" s="284" t="str">
        <f t="shared" si="2"/>
        <v/>
      </c>
      <c r="H373" s="285"/>
    </row>
    <row r="374" spans="1:8" ht="15" customHeight="1" x14ac:dyDescent="0.45">
      <c r="A374" s="284"/>
      <c r="B374" s="285" t="str">
        <f t="shared" si="3"/>
        <v/>
      </c>
      <c r="C374" s="184" t="str">
        <f>IF(OR($A374="",LEFT($A374,1)="—"),"",SUMIF(LC_House[Panel Tag],$A374,LC_House[Total kVA])+SUMIF(LC_Dept[Panel Tag],$A374,LC_Dept[Total kVA])+SUMIF(LC_Refrig[Panel Tag],$A374,LC_Refrig[Total kVA])+SUMIF(LC_Mech[Panel Tag],$A374,LC_Mech[Total kVA])+SUMIF(LC_Plumb[Panel Tag],$A374,LC_Plumb[Total kVA])+SUMIF(LC_Kitchen[Panel Tag],$A374,LC_Kitchen[Total kVA])+SUMIF(LC_Elev[Panel Tag],$A374,LC_Elev[Total kVA])+SUMIF(LC_EV[Panel Tag],$A374,LC_EV[Total kVA])+SUMIF(LC_Data[Panel Tag],$A374,LC_Data[Total kVA])+SUMIF(LC_Site[Panel Tag],$A374,LC_Site[Total kVA])+SUMIF(LC_Fire[Panel Tag],$A374,LC_Fire[Total kVA])+SUMIF(LC_Process[Panel Tag],$A374,LC_Process[Total kVA]))</f>
        <v/>
      </c>
      <c r="D374" s="187" t="str">
        <f t="shared" si="4"/>
        <v/>
      </c>
      <c r="E374" s="188" t="str">
        <f t="shared" si="0"/>
        <v/>
      </c>
      <c r="F374" s="286" t="str">
        <f t="shared" si="1"/>
        <v/>
      </c>
      <c r="G374" s="284" t="str">
        <f t="shared" si="2"/>
        <v/>
      </c>
      <c r="H374" s="285"/>
    </row>
    <row r="375" spans="1:8" ht="15" customHeight="1" x14ac:dyDescent="0.45">
      <c r="A375" s="284"/>
      <c r="B375" s="285" t="str">
        <f t="shared" si="3"/>
        <v/>
      </c>
      <c r="C375" s="184" t="str">
        <f>IF(OR($A375="",LEFT($A375,1)="—"),"",SUMIF(LC_House[Panel Tag],$A375,LC_House[Total kVA])+SUMIF(LC_Dept[Panel Tag],$A375,LC_Dept[Total kVA])+SUMIF(LC_Refrig[Panel Tag],$A375,LC_Refrig[Total kVA])+SUMIF(LC_Mech[Panel Tag],$A375,LC_Mech[Total kVA])+SUMIF(LC_Plumb[Panel Tag],$A375,LC_Plumb[Total kVA])+SUMIF(LC_Kitchen[Panel Tag],$A375,LC_Kitchen[Total kVA])+SUMIF(LC_Elev[Panel Tag],$A375,LC_Elev[Total kVA])+SUMIF(LC_EV[Panel Tag],$A375,LC_EV[Total kVA])+SUMIF(LC_Data[Panel Tag],$A375,LC_Data[Total kVA])+SUMIF(LC_Site[Panel Tag],$A375,LC_Site[Total kVA])+SUMIF(LC_Fire[Panel Tag],$A375,LC_Fire[Total kVA])+SUMIF(LC_Process[Panel Tag],$A375,LC_Process[Total kVA]))</f>
        <v/>
      </c>
      <c r="D375" s="187" t="str">
        <f t="shared" si="4"/>
        <v/>
      </c>
      <c r="E375" s="188" t="str">
        <f t="shared" si="0"/>
        <v/>
      </c>
      <c r="F375" s="286" t="str">
        <f t="shared" si="1"/>
        <v/>
      </c>
      <c r="G375" s="284" t="str">
        <f t="shared" si="2"/>
        <v/>
      </c>
      <c r="H375" s="285"/>
    </row>
    <row r="376" spans="1:8" ht="15" customHeight="1" x14ac:dyDescent="0.45">
      <c r="A376" s="284"/>
      <c r="B376" s="285" t="str">
        <f t="shared" si="3"/>
        <v/>
      </c>
      <c r="C376" s="184" t="str">
        <f>IF(OR($A376="",LEFT($A376,1)="—"),"",SUMIF(LC_House[Panel Tag],$A376,LC_House[Total kVA])+SUMIF(LC_Dept[Panel Tag],$A376,LC_Dept[Total kVA])+SUMIF(LC_Refrig[Panel Tag],$A376,LC_Refrig[Total kVA])+SUMIF(LC_Mech[Panel Tag],$A376,LC_Mech[Total kVA])+SUMIF(LC_Plumb[Panel Tag],$A376,LC_Plumb[Total kVA])+SUMIF(LC_Kitchen[Panel Tag],$A376,LC_Kitchen[Total kVA])+SUMIF(LC_Elev[Panel Tag],$A376,LC_Elev[Total kVA])+SUMIF(LC_EV[Panel Tag],$A376,LC_EV[Total kVA])+SUMIF(LC_Data[Panel Tag],$A376,LC_Data[Total kVA])+SUMIF(LC_Site[Panel Tag],$A376,LC_Site[Total kVA])+SUMIF(LC_Fire[Panel Tag],$A376,LC_Fire[Total kVA])+SUMIF(LC_Process[Panel Tag],$A376,LC_Process[Total kVA]))</f>
        <v/>
      </c>
      <c r="D376" s="187" t="str">
        <f t="shared" si="4"/>
        <v/>
      </c>
      <c r="E376" s="188" t="str">
        <f t="shared" si="0"/>
        <v/>
      </c>
      <c r="F376" s="286" t="str">
        <f t="shared" si="1"/>
        <v/>
      </c>
      <c r="G376" s="284" t="str">
        <f t="shared" si="2"/>
        <v/>
      </c>
      <c r="H376" s="285"/>
    </row>
    <row r="377" spans="1:8" ht="15" customHeight="1" x14ac:dyDescent="0.45">
      <c r="A377" s="284"/>
      <c r="B377" s="285" t="str">
        <f t="shared" si="3"/>
        <v/>
      </c>
      <c r="C377" s="184" t="str">
        <f>IF(OR($A377="",LEFT($A377,1)="—"),"",SUMIF(LC_House[Panel Tag],$A377,LC_House[Total kVA])+SUMIF(LC_Dept[Panel Tag],$A377,LC_Dept[Total kVA])+SUMIF(LC_Refrig[Panel Tag],$A377,LC_Refrig[Total kVA])+SUMIF(LC_Mech[Panel Tag],$A377,LC_Mech[Total kVA])+SUMIF(LC_Plumb[Panel Tag],$A377,LC_Plumb[Total kVA])+SUMIF(LC_Kitchen[Panel Tag],$A377,LC_Kitchen[Total kVA])+SUMIF(LC_Elev[Panel Tag],$A377,LC_Elev[Total kVA])+SUMIF(LC_EV[Panel Tag],$A377,LC_EV[Total kVA])+SUMIF(LC_Data[Panel Tag],$A377,LC_Data[Total kVA])+SUMIF(LC_Site[Panel Tag],$A377,LC_Site[Total kVA])+SUMIF(LC_Fire[Panel Tag],$A377,LC_Fire[Total kVA])+SUMIF(LC_Process[Panel Tag],$A377,LC_Process[Total kVA]))</f>
        <v/>
      </c>
      <c r="D377" s="187" t="str">
        <f t="shared" si="4"/>
        <v/>
      </c>
      <c r="E377" s="188" t="str">
        <f t="shared" si="0"/>
        <v/>
      </c>
      <c r="F377" s="286" t="str">
        <f t="shared" si="1"/>
        <v/>
      </c>
      <c r="G377" s="284" t="str">
        <f t="shared" si="2"/>
        <v/>
      </c>
      <c r="H377" s="285"/>
    </row>
    <row r="378" spans="1:8" ht="15" customHeight="1" x14ac:dyDescent="0.45">
      <c r="A378" s="284"/>
      <c r="B378" s="285" t="str">
        <f t="shared" si="3"/>
        <v/>
      </c>
      <c r="C378" s="184" t="str">
        <f>IF(OR($A378="",LEFT($A378,1)="—"),"",SUMIF(LC_House[Panel Tag],$A378,LC_House[Total kVA])+SUMIF(LC_Dept[Panel Tag],$A378,LC_Dept[Total kVA])+SUMIF(LC_Refrig[Panel Tag],$A378,LC_Refrig[Total kVA])+SUMIF(LC_Mech[Panel Tag],$A378,LC_Mech[Total kVA])+SUMIF(LC_Plumb[Panel Tag],$A378,LC_Plumb[Total kVA])+SUMIF(LC_Kitchen[Panel Tag],$A378,LC_Kitchen[Total kVA])+SUMIF(LC_Elev[Panel Tag],$A378,LC_Elev[Total kVA])+SUMIF(LC_EV[Panel Tag],$A378,LC_EV[Total kVA])+SUMIF(LC_Data[Panel Tag],$A378,LC_Data[Total kVA])+SUMIF(LC_Site[Panel Tag],$A378,LC_Site[Total kVA])+SUMIF(LC_Fire[Panel Tag],$A378,LC_Fire[Total kVA])+SUMIF(LC_Process[Panel Tag],$A378,LC_Process[Total kVA]))</f>
        <v/>
      </c>
      <c r="D378" s="187" t="str">
        <f t="shared" si="4"/>
        <v/>
      </c>
      <c r="E378" s="188" t="str">
        <f t="shared" si="0"/>
        <v/>
      </c>
      <c r="F378" s="286" t="str">
        <f t="shared" si="1"/>
        <v/>
      </c>
      <c r="G378" s="284" t="str">
        <f t="shared" si="2"/>
        <v/>
      </c>
      <c r="H378" s="285"/>
    </row>
    <row r="379" spans="1:8" ht="15" customHeight="1" x14ac:dyDescent="0.45">
      <c r="A379" s="284"/>
      <c r="B379" s="285" t="str">
        <f t="shared" si="3"/>
        <v/>
      </c>
      <c r="C379" s="184" t="str">
        <f>IF(OR($A379="",LEFT($A379,1)="—"),"",SUMIF(LC_House[Panel Tag],$A379,LC_House[Total kVA])+SUMIF(LC_Dept[Panel Tag],$A379,LC_Dept[Total kVA])+SUMIF(LC_Refrig[Panel Tag],$A379,LC_Refrig[Total kVA])+SUMIF(LC_Mech[Panel Tag],$A379,LC_Mech[Total kVA])+SUMIF(LC_Plumb[Panel Tag],$A379,LC_Plumb[Total kVA])+SUMIF(LC_Kitchen[Panel Tag],$A379,LC_Kitchen[Total kVA])+SUMIF(LC_Elev[Panel Tag],$A379,LC_Elev[Total kVA])+SUMIF(LC_EV[Panel Tag],$A379,LC_EV[Total kVA])+SUMIF(LC_Data[Panel Tag],$A379,LC_Data[Total kVA])+SUMIF(LC_Site[Panel Tag],$A379,LC_Site[Total kVA])+SUMIF(LC_Fire[Panel Tag],$A379,LC_Fire[Total kVA])+SUMIF(LC_Process[Panel Tag],$A379,LC_Process[Total kVA]))</f>
        <v/>
      </c>
      <c r="D379" s="187" t="str">
        <f t="shared" si="4"/>
        <v/>
      </c>
      <c r="E379" s="188" t="str">
        <f t="shared" si="0"/>
        <v/>
      </c>
      <c r="F379" s="286" t="str">
        <f t="shared" si="1"/>
        <v/>
      </c>
      <c r="G379" s="284" t="str">
        <f t="shared" si="2"/>
        <v/>
      </c>
      <c r="H379" s="285"/>
    </row>
    <row r="380" spans="1:8" ht="15" customHeight="1" x14ac:dyDescent="0.45">
      <c r="A380" s="284"/>
      <c r="B380" s="285" t="str">
        <f t="shared" si="3"/>
        <v/>
      </c>
      <c r="C380" s="184" t="str">
        <f>IF(OR($A380="",LEFT($A380,1)="—"),"",SUMIF(LC_House[Panel Tag],$A380,LC_House[Total kVA])+SUMIF(LC_Dept[Panel Tag],$A380,LC_Dept[Total kVA])+SUMIF(LC_Refrig[Panel Tag],$A380,LC_Refrig[Total kVA])+SUMIF(LC_Mech[Panel Tag],$A380,LC_Mech[Total kVA])+SUMIF(LC_Plumb[Panel Tag],$A380,LC_Plumb[Total kVA])+SUMIF(LC_Kitchen[Panel Tag],$A380,LC_Kitchen[Total kVA])+SUMIF(LC_Elev[Panel Tag],$A380,LC_Elev[Total kVA])+SUMIF(LC_EV[Panel Tag],$A380,LC_EV[Total kVA])+SUMIF(LC_Data[Panel Tag],$A380,LC_Data[Total kVA])+SUMIF(LC_Site[Panel Tag],$A380,LC_Site[Total kVA])+SUMIF(LC_Fire[Panel Tag],$A380,LC_Fire[Total kVA])+SUMIF(LC_Process[Panel Tag],$A380,LC_Process[Total kVA]))</f>
        <v/>
      </c>
      <c r="D380" s="187" t="str">
        <f t="shared" si="4"/>
        <v/>
      </c>
      <c r="E380" s="188" t="str">
        <f t="shared" si="0"/>
        <v/>
      </c>
      <c r="F380" s="286" t="str">
        <f t="shared" si="1"/>
        <v/>
      </c>
      <c r="G380" s="284" t="str">
        <f t="shared" si="2"/>
        <v/>
      </c>
      <c r="H380" s="285"/>
    </row>
    <row r="381" spans="1:8" ht="15" customHeight="1" x14ac:dyDescent="0.45">
      <c r="A381" s="284"/>
      <c r="B381" s="285" t="str">
        <f t="shared" si="3"/>
        <v/>
      </c>
      <c r="C381" s="184" t="str">
        <f>IF(OR($A381="",LEFT($A381,1)="—"),"",SUMIF(LC_House[Panel Tag],$A381,LC_House[Total kVA])+SUMIF(LC_Dept[Panel Tag],$A381,LC_Dept[Total kVA])+SUMIF(LC_Refrig[Panel Tag],$A381,LC_Refrig[Total kVA])+SUMIF(LC_Mech[Panel Tag],$A381,LC_Mech[Total kVA])+SUMIF(LC_Plumb[Panel Tag],$A381,LC_Plumb[Total kVA])+SUMIF(LC_Kitchen[Panel Tag],$A381,LC_Kitchen[Total kVA])+SUMIF(LC_Elev[Panel Tag],$A381,LC_Elev[Total kVA])+SUMIF(LC_EV[Panel Tag],$A381,LC_EV[Total kVA])+SUMIF(LC_Data[Panel Tag],$A381,LC_Data[Total kVA])+SUMIF(LC_Site[Panel Tag],$A381,LC_Site[Total kVA])+SUMIF(LC_Fire[Panel Tag],$A381,LC_Fire[Total kVA])+SUMIF(LC_Process[Panel Tag],$A381,LC_Process[Total kVA]))</f>
        <v/>
      </c>
      <c r="D381" s="187" t="str">
        <f t="shared" si="4"/>
        <v/>
      </c>
      <c r="E381" s="188" t="str">
        <f t="shared" si="0"/>
        <v/>
      </c>
      <c r="F381" s="286" t="str">
        <f t="shared" si="1"/>
        <v/>
      </c>
      <c r="G381" s="284" t="str">
        <f t="shared" si="2"/>
        <v/>
      </c>
      <c r="H381" s="285"/>
    </row>
    <row r="382" spans="1:8" ht="15" customHeight="1" x14ac:dyDescent="0.45">
      <c r="A382" s="288"/>
      <c r="B382" s="289" t="str">
        <f t="shared" si="3"/>
        <v/>
      </c>
      <c r="C382" s="184" t="str">
        <f>IF(OR($A382="",LEFT($A382,1)="—"),"",SUMIF(LC_House[Panel Tag],$A382,LC_House[Total kVA])+SUMIF(LC_Dept[Panel Tag],$A382,LC_Dept[Total kVA])+SUMIF(LC_Refrig[Panel Tag],$A382,LC_Refrig[Total kVA])+SUMIF(LC_Mech[Panel Tag],$A382,LC_Mech[Total kVA])+SUMIF(LC_Plumb[Panel Tag],$A382,LC_Plumb[Total kVA])+SUMIF(LC_Kitchen[Panel Tag],$A382,LC_Kitchen[Total kVA])+SUMIF(LC_Elev[Panel Tag],$A382,LC_Elev[Total kVA])+SUMIF(LC_EV[Panel Tag],$A382,LC_EV[Total kVA])+SUMIF(LC_Data[Panel Tag],$A382,LC_Data[Total kVA])+SUMIF(LC_Site[Panel Tag],$A382,LC_Site[Total kVA])+SUMIF(LC_Fire[Panel Tag],$A382,LC_Fire[Total kVA])+SUMIF(LC_Process[Panel Tag],$A382,LC_Process[Total kVA]))</f>
        <v/>
      </c>
      <c r="D382" s="189" t="str">
        <f t="shared" si="4"/>
        <v/>
      </c>
      <c r="E382" s="190" t="str">
        <f t="shared" si="0"/>
        <v/>
      </c>
      <c r="F382" s="290" t="str">
        <f t="shared" si="1"/>
        <v/>
      </c>
      <c r="G382" s="288" t="str">
        <f t="shared" si="2"/>
        <v/>
      </c>
      <c r="H382" s="289"/>
    </row>
    <row r="383" spans="1:8" ht="15" customHeight="1" x14ac:dyDescent="0.45">
      <c r="A383" s="288"/>
      <c r="B383" s="289" t="str">
        <f t="shared" si="3"/>
        <v/>
      </c>
      <c r="C383" s="184" t="str">
        <f>IF(OR($A383="",LEFT($A383,1)="—"),"",SUMIF(LC_House[Panel Tag],$A383,LC_House[Total kVA])+SUMIF(LC_Dept[Panel Tag],$A383,LC_Dept[Total kVA])+SUMIF(LC_Refrig[Panel Tag],$A383,LC_Refrig[Total kVA])+SUMIF(LC_Mech[Panel Tag],$A383,LC_Mech[Total kVA])+SUMIF(LC_Plumb[Panel Tag],$A383,LC_Plumb[Total kVA])+SUMIF(LC_Kitchen[Panel Tag],$A383,LC_Kitchen[Total kVA])+SUMIF(LC_Elev[Panel Tag],$A383,LC_Elev[Total kVA])+SUMIF(LC_EV[Panel Tag],$A383,LC_EV[Total kVA])+SUMIF(LC_Data[Panel Tag],$A383,LC_Data[Total kVA])+SUMIF(LC_Site[Panel Tag],$A383,LC_Site[Total kVA])+SUMIF(LC_Fire[Panel Tag],$A383,LC_Fire[Total kVA])+SUMIF(LC_Process[Panel Tag],$A383,LC_Process[Total kVA]))</f>
        <v/>
      </c>
      <c r="D383" s="189" t="str">
        <f t="shared" si="4"/>
        <v/>
      </c>
      <c r="E383" s="190" t="str">
        <f t="shared" si="0"/>
        <v/>
      </c>
      <c r="F383" s="290" t="str">
        <f t="shared" si="1"/>
        <v/>
      </c>
      <c r="G383" s="288" t="str">
        <f t="shared" si="2"/>
        <v/>
      </c>
      <c r="H383" s="289"/>
    </row>
    <row r="384" spans="1:8" ht="15" customHeight="1" x14ac:dyDescent="0.45">
      <c r="A384" s="288"/>
      <c r="B384" s="289" t="str">
        <f t="shared" si="3"/>
        <v/>
      </c>
      <c r="C384" s="184" t="str">
        <f>IF(OR($A384="",LEFT($A384,1)="—"),"",SUMIF(LC_House[Panel Tag],$A384,LC_House[Total kVA])+SUMIF(LC_Dept[Panel Tag],$A384,LC_Dept[Total kVA])+SUMIF(LC_Refrig[Panel Tag],$A384,LC_Refrig[Total kVA])+SUMIF(LC_Mech[Panel Tag],$A384,LC_Mech[Total kVA])+SUMIF(LC_Plumb[Panel Tag],$A384,LC_Plumb[Total kVA])+SUMIF(LC_Kitchen[Panel Tag],$A384,LC_Kitchen[Total kVA])+SUMIF(LC_Elev[Panel Tag],$A384,LC_Elev[Total kVA])+SUMIF(LC_EV[Panel Tag],$A384,LC_EV[Total kVA])+SUMIF(LC_Data[Panel Tag],$A384,LC_Data[Total kVA])+SUMIF(LC_Site[Panel Tag],$A384,LC_Site[Total kVA])+SUMIF(LC_Fire[Panel Tag],$A384,LC_Fire[Total kVA])+SUMIF(LC_Process[Panel Tag],$A384,LC_Process[Total kVA]))</f>
        <v/>
      </c>
      <c r="D384" s="189" t="str">
        <f t="shared" si="4"/>
        <v/>
      </c>
      <c r="E384" s="190" t="str">
        <f t="shared" si="0"/>
        <v/>
      </c>
      <c r="F384" s="290" t="str">
        <f t="shared" si="1"/>
        <v/>
      </c>
      <c r="G384" s="288" t="str">
        <f t="shared" si="2"/>
        <v/>
      </c>
      <c r="H384" s="289"/>
    </row>
    <row r="385" spans="1:8" ht="15" customHeight="1" x14ac:dyDescent="0.45">
      <c r="A385" s="288"/>
      <c r="B385" s="289" t="str">
        <f t="shared" si="3"/>
        <v/>
      </c>
      <c r="C385" s="184" t="str">
        <f>IF(OR($A385="",LEFT($A385,1)="—"),"",SUMIF(LC_House[Panel Tag],$A385,LC_House[Total kVA])+SUMIF(LC_Dept[Panel Tag],$A385,LC_Dept[Total kVA])+SUMIF(LC_Refrig[Panel Tag],$A385,LC_Refrig[Total kVA])+SUMIF(LC_Mech[Panel Tag],$A385,LC_Mech[Total kVA])+SUMIF(LC_Plumb[Panel Tag],$A385,LC_Plumb[Total kVA])+SUMIF(LC_Kitchen[Panel Tag],$A385,LC_Kitchen[Total kVA])+SUMIF(LC_Elev[Panel Tag],$A385,LC_Elev[Total kVA])+SUMIF(LC_EV[Panel Tag],$A385,LC_EV[Total kVA])+SUMIF(LC_Data[Panel Tag],$A385,LC_Data[Total kVA])+SUMIF(LC_Site[Panel Tag],$A385,LC_Site[Total kVA])+SUMIF(LC_Fire[Panel Tag],$A385,LC_Fire[Total kVA])+SUMIF(LC_Process[Panel Tag],$A385,LC_Process[Total kVA]))</f>
        <v/>
      </c>
      <c r="D385" s="189" t="str">
        <f t="shared" si="4"/>
        <v/>
      </c>
      <c r="E385" s="190" t="str">
        <f t="shared" si="0"/>
        <v/>
      </c>
      <c r="F385" s="290" t="str">
        <f t="shared" si="1"/>
        <v/>
      </c>
      <c r="G385" s="288" t="str">
        <f t="shared" si="2"/>
        <v/>
      </c>
      <c r="H385" s="289"/>
    </row>
    <row r="386" spans="1:8" ht="15" customHeight="1" x14ac:dyDescent="0.45">
      <c r="A386" s="288"/>
      <c r="B386" s="289" t="str">
        <f t="shared" si="3"/>
        <v/>
      </c>
      <c r="C386" s="184" t="str">
        <f>IF(OR($A386="",LEFT($A386,1)="—"),"",SUMIF(LC_House[Panel Tag],$A386,LC_House[Total kVA])+SUMIF(LC_Dept[Panel Tag],$A386,LC_Dept[Total kVA])+SUMIF(LC_Refrig[Panel Tag],$A386,LC_Refrig[Total kVA])+SUMIF(LC_Mech[Panel Tag],$A386,LC_Mech[Total kVA])+SUMIF(LC_Plumb[Panel Tag],$A386,LC_Plumb[Total kVA])+SUMIF(LC_Kitchen[Panel Tag],$A386,LC_Kitchen[Total kVA])+SUMIF(LC_Elev[Panel Tag],$A386,LC_Elev[Total kVA])+SUMIF(LC_EV[Panel Tag],$A386,LC_EV[Total kVA])+SUMIF(LC_Data[Panel Tag],$A386,LC_Data[Total kVA])+SUMIF(LC_Site[Panel Tag],$A386,LC_Site[Total kVA])+SUMIF(LC_Fire[Panel Tag],$A386,LC_Fire[Total kVA])+SUMIF(LC_Process[Panel Tag],$A386,LC_Process[Total kVA]))</f>
        <v/>
      </c>
      <c r="D386" s="189" t="str">
        <f t="shared" si="4"/>
        <v/>
      </c>
      <c r="E386" s="190" t="str">
        <f t="shared" si="0"/>
        <v/>
      </c>
      <c r="F386" s="290" t="str">
        <f t="shared" si="1"/>
        <v/>
      </c>
      <c r="G386" s="288" t="str">
        <f t="shared" si="2"/>
        <v/>
      </c>
      <c r="H386" s="289"/>
    </row>
    <row r="387" spans="1:8" ht="15" customHeight="1" x14ac:dyDescent="0.45">
      <c r="A387" s="288"/>
      <c r="B387" s="289" t="str">
        <f t="shared" si="3"/>
        <v/>
      </c>
      <c r="C387" s="184" t="str">
        <f>IF(OR($A387="",LEFT($A387,1)="—"),"",SUMIF(LC_House[Panel Tag],$A387,LC_House[Total kVA])+SUMIF(LC_Dept[Panel Tag],$A387,LC_Dept[Total kVA])+SUMIF(LC_Refrig[Panel Tag],$A387,LC_Refrig[Total kVA])+SUMIF(LC_Mech[Panel Tag],$A387,LC_Mech[Total kVA])+SUMIF(LC_Plumb[Panel Tag],$A387,LC_Plumb[Total kVA])+SUMIF(LC_Kitchen[Panel Tag],$A387,LC_Kitchen[Total kVA])+SUMIF(LC_Elev[Panel Tag],$A387,LC_Elev[Total kVA])+SUMIF(LC_EV[Panel Tag],$A387,LC_EV[Total kVA])+SUMIF(LC_Data[Panel Tag],$A387,LC_Data[Total kVA])+SUMIF(LC_Site[Panel Tag],$A387,LC_Site[Total kVA])+SUMIF(LC_Fire[Panel Tag],$A387,LC_Fire[Total kVA])+SUMIF(LC_Process[Panel Tag],$A387,LC_Process[Total kVA]))</f>
        <v/>
      </c>
      <c r="D387" s="189" t="str">
        <f t="shared" si="4"/>
        <v/>
      </c>
      <c r="E387" s="190" t="str">
        <f t="shared" si="0"/>
        <v/>
      </c>
      <c r="F387" s="290" t="str">
        <f t="shared" si="1"/>
        <v/>
      </c>
      <c r="G387" s="288" t="str">
        <f t="shared" si="2"/>
        <v/>
      </c>
      <c r="H387" s="289"/>
    </row>
    <row r="388" spans="1:8" ht="15" customHeight="1" x14ac:dyDescent="0.45">
      <c r="A388" s="288"/>
      <c r="B388" s="289" t="str">
        <f t="shared" si="3"/>
        <v/>
      </c>
      <c r="C388" s="184" t="str">
        <f>IF(OR($A388="",LEFT($A388,1)="—"),"",SUMIF(LC_House[Panel Tag],$A388,LC_House[Total kVA])+SUMIF(LC_Dept[Panel Tag],$A388,LC_Dept[Total kVA])+SUMIF(LC_Refrig[Panel Tag],$A388,LC_Refrig[Total kVA])+SUMIF(LC_Mech[Panel Tag],$A388,LC_Mech[Total kVA])+SUMIF(LC_Plumb[Panel Tag],$A388,LC_Plumb[Total kVA])+SUMIF(LC_Kitchen[Panel Tag],$A388,LC_Kitchen[Total kVA])+SUMIF(LC_Elev[Panel Tag],$A388,LC_Elev[Total kVA])+SUMIF(LC_EV[Panel Tag],$A388,LC_EV[Total kVA])+SUMIF(LC_Data[Panel Tag],$A388,LC_Data[Total kVA])+SUMIF(LC_Site[Panel Tag],$A388,LC_Site[Total kVA])+SUMIF(LC_Fire[Panel Tag],$A388,LC_Fire[Total kVA])+SUMIF(LC_Process[Panel Tag],$A388,LC_Process[Total kVA]))</f>
        <v/>
      </c>
      <c r="D388" s="189" t="str">
        <f t="shared" si="4"/>
        <v/>
      </c>
      <c r="E388" s="190" t="str">
        <f t="shared" si="0"/>
        <v/>
      </c>
      <c r="F388" s="290" t="str">
        <f t="shared" si="1"/>
        <v/>
      </c>
      <c r="G388" s="288" t="str">
        <f t="shared" si="2"/>
        <v/>
      </c>
      <c r="H388" s="289"/>
    </row>
    <row r="389" spans="1:8" ht="15" customHeight="1" x14ac:dyDescent="0.45">
      <c r="A389" s="288"/>
      <c r="B389" s="289" t="str">
        <f t="shared" si="3"/>
        <v/>
      </c>
      <c r="C389" s="184" t="str">
        <f>IF(OR($A389="",LEFT($A389,1)="—"),"",SUMIF(LC_House[Panel Tag],$A389,LC_House[Total kVA])+SUMIF(LC_Dept[Panel Tag],$A389,LC_Dept[Total kVA])+SUMIF(LC_Refrig[Panel Tag],$A389,LC_Refrig[Total kVA])+SUMIF(LC_Mech[Panel Tag],$A389,LC_Mech[Total kVA])+SUMIF(LC_Plumb[Panel Tag],$A389,LC_Plumb[Total kVA])+SUMIF(LC_Kitchen[Panel Tag],$A389,LC_Kitchen[Total kVA])+SUMIF(LC_Elev[Panel Tag],$A389,LC_Elev[Total kVA])+SUMIF(LC_EV[Panel Tag],$A389,LC_EV[Total kVA])+SUMIF(LC_Data[Panel Tag],$A389,LC_Data[Total kVA])+SUMIF(LC_Site[Panel Tag],$A389,LC_Site[Total kVA])+SUMIF(LC_Fire[Panel Tag],$A389,LC_Fire[Total kVA])+SUMIF(LC_Process[Panel Tag],$A389,LC_Process[Total kVA]))</f>
        <v/>
      </c>
      <c r="D389" s="189" t="str">
        <f t="shared" si="4"/>
        <v/>
      </c>
      <c r="E389" s="190" t="str">
        <f t="shared" si="0"/>
        <v/>
      </c>
      <c r="F389" s="290" t="str">
        <f t="shared" si="1"/>
        <v/>
      </c>
      <c r="G389" s="288" t="str">
        <f t="shared" si="2"/>
        <v/>
      </c>
      <c r="H389" s="289"/>
    </row>
    <row r="390" spans="1:8" ht="15" customHeight="1" x14ac:dyDescent="0.45">
      <c r="A390" s="288"/>
      <c r="B390" s="289" t="str">
        <f t="shared" si="3"/>
        <v/>
      </c>
      <c r="C390" s="184" t="str">
        <f>IF(OR($A390="",LEFT($A390,1)="—"),"",SUMIF(LC_House[Panel Tag],$A390,LC_House[Total kVA])+SUMIF(LC_Dept[Panel Tag],$A390,LC_Dept[Total kVA])+SUMIF(LC_Refrig[Panel Tag],$A390,LC_Refrig[Total kVA])+SUMIF(LC_Mech[Panel Tag],$A390,LC_Mech[Total kVA])+SUMIF(LC_Plumb[Panel Tag],$A390,LC_Plumb[Total kVA])+SUMIF(LC_Kitchen[Panel Tag],$A390,LC_Kitchen[Total kVA])+SUMIF(LC_Elev[Panel Tag],$A390,LC_Elev[Total kVA])+SUMIF(LC_EV[Panel Tag],$A390,LC_EV[Total kVA])+SUMIF(LC_Data[Panel Tag],$A390,LC_Data[Total kVA])+SUMIF(LC_Site[Panel Tag],$A390,LC_Site[Total kVA])+SUMIF(LC_Fire[Panel Tag],$A390,LC_Fire[Total kVA])+SUMIF(LC_Process[Panel Tag],$A390,LC_Process[Total kVA]))</f>
        <v/>
      </c>
      <c r="D390" s="189" t="str">
        <f t="shared" si="4"/>
        <v/>
      </c>
      <c r="E390" s="190" t="str">
        <f t="shared" si="0"/>
        <v/>
      </c>
      <c r="F390" s="290" t="str">
        <f t="shared" si="1"/>
        <v/>
      </c>
      <c r="G390" s="288" t="str">
        <f t="shared" si="2"/>
        <v/>
      </c>
      <c r="H390" s="289"/>
    </row>
    <row r="391" spans="1:8" ht="15" customHeight="1" x14ac:dyDescent="0.45">
      <c r="A391" s="288"/>
      <c r="B391" s="289" t="str">
        <f t="shared" si="3"/>
        <v/>
      </c>
      <c r="C391" s="184" t="str">
        <f>IF(OR($A391="",LEFT($A391,1)="—"),"",SUMIF(LC_House[Panel Tag],$A391,LC_House[Total kVA])+SUMIF(LC_Dept[Panel Tag],$A391,LC_Dept[Total kVA])+SUMIF(LC_Refrig[Panel Tag],$A391,LC_Refrig[Total kVA])+SUMIF(LC_Mech[Panel Tag],$A391,LC_Mech[Total kVA])+SUMIF(LC_Plumb[Panel Tag],$A391,LC_Plumb[Total kVA])+SUMIF(LC_Kitchen[Panel Tag],$A391,LC_Kitchen[Total kVA])+SUMIF(LC_Elev[Panel Tag],$A391,LC_Elev[Total kVA])+SUMIF(LC_EV[Panel Tag],$A391,LC_EV[Total kVA])+SUMIF(LC_Data[Panel Tag],$A391,LC_Data[Total kVA])+SUMIF(LC_Site[Panel Tag],$A391,LC_Site[Total kVA])+SUMIF(LC_Fire[Panel Tag],$A391,LC_Fire[Total kVA])+SUMIF(LC_Process[Panel Tag],$A391,LC_Process[Total kVA]))</f>
        <v/>
      </c>
      <c r="D391" s="189" t="str">
        <f t="shared" si="4"/>
        <v/>
      </c>
      <c r="E391" s="190" t="str">
        <f t="shared" si="0"/>
        <v/>
      </c>
      <c r="F391" s="290" t="str">
        <f t="shared" si="1"/>
        <v/>
      </c>
      <c r="G391" s="288" t="str">
        <f t="shared" si="2"/>
        <v/>
      </c>
      <c r="H391" s="289"/>
    </row>
    <row r="392" spans="1:8" ht="15" customHeight="1" x14ac:dyDescent="0.45">
      <c r="A392" s="288"/>
      <c r="B392" s="289" t="str">
        <f t="shared" si="3"/>
        <v/>
      </c>
      <c r="C392" s="184" t="str">
        <f>IF(OR($A392="",LEFT($A392,1)="—"),"",SUMIF(LC_House[Panel Tag],$A392,LC_House[Total kVA])+SUMIF(LC_Dept[Panel Tag],$A392,LC_Dept[Total kVA])+SUMIF(LC_Refrig[Panel Tag],$A392,LC_Refrig[Total kVA])+SUMIF(LC_Mech[Panel Tag],$A392,LC_Mech[Total kVA])+SUMIF(LC_Plumb[Panel Tag],$A392,LC_Plumb[Total kVA])+SUMIF(LC_Kitchen[Panel Tag],$A392,LC_Kitchen[Total kVA])+SUMIF(LC_Elev[Panel Tag],$A392,LC_Elev[Total kVA])+SUMIF(LC_EV[Panel Tag],$A392,LC_EV[Total kVA])+SUMIF(LC_Data[Panel Tag],$A392,LC_Data[Total kVA])+SUMIF(LC_Site[Panel Tag],$A392,LC_Site[Total kVA])+SUMIF(LC_Fire[Panel Tag],$A392,LC_Fire[Total kVA])+SUMIF(LC_Process[Panel Tag],$A392,LC_Process[Total kVA]))</f>
        <v/>
      </c>
      <c r="D392" s="189" t="str">
        <f t="shared" si="4"/>
        <v/>
      </c>
      <c r="E392" s="190" t="str">
        <f t="shared" si="0"/>
        <v/>
      </c>
      <c r="F392" s="290" t="str">
        <f t="shared" si="1"/>
        <v/>
      </c>
      <c r="G392" s="288" t="str">
        <f t="shared" si="2"/>
        <v/>
      </c>
      <c r="H392" s="289"/>
    </row>
    <row r="393" spans="1:8" ht="15" customHeight="1" x14ac:dyDescent="0.45">
      <c r="A393" s="288"/>
      <c r="B393" s="289" t="str">
        <f t="shared" si="3"/>
        <v/>
      </c>
      <c r="C393" s="184" t="str">
        <f>IF(OR($A393="",LEFT($A393,1)="—"),"",SUMIF(LC_House[Panel Tag],$A393,LC_House[Total kVA])+SUMIF(LC_Dept[Panel Tag],$A393,LC_Dept[Total kVA])+SUMIF(LC_Refrig[Panel Tag],$A393,LC_Refrig[Total kVA])+SUMIF(LC_Mech[Panel Tag],$A393,LC_Mech[Total kVA])+SUMIF(LC_Plumb[Panel Tag],$A393,LC_Plumb[Total kVA])+SUMIF(LC_Kitchen[Panel Tag],$A393,LC_Kitchen[Total kVA])+SUMIF(LC_Elev[Panel Tag],$A393,LC_Elev[Total kVA])+SUMIF(LC_EV[Panel Tag],$A393,LC_EV[Total kVA])+SUMIF(LC_Data[Panel Tag],$A393,LC_Data[Total kVA])+SUMIF(LC_Site[Panel Tag],$A393,LC_Site[Total kVA])+SUMIF(LC_Fire[Panel Tag],$A393,LC_Fire[Total kVA])+SUMIF(LC_Process[Panel Tag],$A393,LC_Process[Total kVA]))</f>
        <v/>
      </c>
      <c r="D393" s="189" t="str">
        <f t="shared" si="4"/>
        <v/>
      </c>
      <c r="E393" s="190" t="str">
        <f t="shared" si="0"/>
        <v/>
      </c>
      <c r="F393" s="290" t="str">
        <f t="shared" si="1"/>
        <v/>
      </c>
      <c r="G393" s="288" t="str">
        <f t="shared" si="2"/>
        <v/>
      </c>
      <c r="H393" s="289"/>
    </row>
    <row r="394" spans="1:8" ht="15" customHeight="1" x14ac:dyDescent="0.45">
      <c r="A394" s="288"/>
      <c r="B394" s="289" t="str">
        <f t="shared" si="3"/>
        <v/>
      </c>
      <c r="C394" s="184" t="str">
        <f>IF(OR($A394="",LEFT($A394,1)="—"),"",SUMIF(LC_House[Panel Tag],$A394,LC_House[Total kVA])+SUMIF(LC_Dept[Panel Tag],$A394,LC_Dept[Total kVA])+SUMIF(LC_Refrig[Panel Tag],$A394,LC_Refrig[Total kVA])+SUMIF(LC_Mech[Panel Tag],$A394,LC_Mech[Total kVA])+SUMIF(LC_Plumb[Panel Tag],$A394,LC_Plumb[Total kVA])+SUMIF(LC_Kitchen[Panel Tag],$A394,LC_Kitchen[Total kVA])+SUMIF(LC_Elev[Panel Tag],$A394,LC_Elev[Total kVA])+SUMIF(LC_EV[Panel Tag],$A394,LC_EV[Total kVA])+SUMIF(LC_Data[Panel Tag],$A394,LC_Data[Total kVA])+SUMIF(LC_Site[Panel Tag],$A394,LC_Site[Total kVA])+SUMIF(LC_Fire[Panel Tag],$A394,LC_Fire[Total kVA])+SUMIF(LC_Process[Panel Tag],$A394,LC_Process[Total kVA]))</f>
        <v/>
      </c>
      <c r="D394" s="189" t="str">
        <f t="shared" si="4"/>
        <v/>
      </c>
      <c r="E394" s="190" t="str">
        <f t="shared" si="0"/>
        <v/>
      </c>
      <c r="F394" s="290" t="str">
        <f t="shared" si="1"/>
        <v/>
      </c>
      <c r="G394" s="288" t="str">
        <f t="shared" si="2"/>
        <v/>
      </c>
      <c r="H394" s="289"/>
    </row>
    <row r="395" spans="1:8" ht="15" customHeight="1" x14ac:dyDescent="0.45">
      <c r="A395" s="288"/>
      <c r="B395" s="289" t="str">
        <f t="shared" si="3"/>
        <v/>
      </c>
      <c r="C395" s="184" t="str">
        <f>IF(OR($A395="",LEFT($A395,1)="—"),"",SUMIF(LC_House[Panel Tag],$A395,LC_House[Total kVA])+SUMIF(LC_Dept[Panel Tag],$A395,LC_Dept[Total kVA])+SUMIF(LC_Refrig[Panel Tag],$A395,LC_Refrig[Total kVA])+SUMIF(LC_Mech[Panel Tag],$A395,LC_Mech[Total kVA])+SUMIF(LC_Plumb[Panel Tag],$A395,LC_Plumb[Total kVA])+SUMIF(LC_Kitchen[Panel Tag],$A395,LC_Kitchen[Total kVA])+SUMIF(LC_Elev[Panel Tag],$A395,LC_Elev[Total kVA])+SUMIF(LC_EV[Panel Tag],$A395,LC_EV[Total kVA])+SUMIF(LC_Data[Panel Tag],$A395,LC_Data[Total kVA])+SUMIF(LC_Site[Panel Tag],$A395,LC_Site[Total kVA])+SUMIF(LC_Fire[Panel Tag],$A395,LC_Fire[Total kVA])+SUMIF(LC_Process[Panel Tag],$A395,LC_Process[Total kVA]))</f>
        <v/>
      </c>
      <c r="D395" s="189" t="str">
        <f t="shared" si="4"/>
        <v/>
      </c>
      <c r="E395" s="190" t="str">
        <f t="shared" si="0"/>
        <v/>
      </c>
      <c r="F395" s="290" t="str">
        <f t="shared" si="1"/>
        <v/>
      </c>
      <c r="G395" s="288" t="str">
        <f t="shared" si="2"/>
        <v/>
      </c>
      <c r="H395" s="289"/>
    </row>
    <row r="396" spans="1:8" ht="15" customHeight="1" x14ac:dyDescent="0.45">
      <c r="A396" s="288"/>
      <c r="B396" s="289" t="str">
        <f t="shared" si="3"/>
        <v/>
      </c>
      <c r="C396" s="184" t="str">
        <f>IF(OR($A396="",LEFT($A396,1)="—"),"",SUMIF(LC_House[Panel Tag],$A396,LC_House[Total kVA])+SUMIF(LC_Dept[Panel Tag],$A396,LC_Dept[Total kVA])+SUMIF(LC_Refrig[Panel Tag],$A396,LC_Refrig[Total kVA])+SUMIF(LC_Mech[Panel Tag],$A396,LC_Mech[Total kVA])+SUMIF(LC_Plumb[Panel Tag],$A396,LC_Plumb[Total kVA])+SUMIF(LC_Kitchen[Panel Tag],$A396,LC_Kitchen[Total kVA])+SUMIF(LC_Elev[Panel Tag],$A396,LC_Elev[Total kVA])+SUMIF(LC_EV[Panel Tag],$A396,LC_EV[Total kVA])+SUMIF(LC_Data[Panel Tag],$A396,LC_Data[Total kVA])+SUMIF(LC_Site[Panel Tag],$A396,LC_Site[Total kVA])+SUMIF(LC_Fire[Panel Tag],$A396,LC_Fire[Total kVA])+SUMIF(LC_Process[Panel Tag],$A396,LC_Process[Total kVA]))</f>
        <v/>
      </c>
      <c r="D396" s="189" t="str">
        <f t="shared" si="4"/>
        <v/>
      </c>
      <c r="E396" s="190" t="str">
        <f t="shared" si="0"/>
        <v/>
      </c>
      <c r="F396" s="290" t="str">
        <f t="shared" si="1"/>
        <v/>
      </c>
      <c r="G396" s="288" t="str">
        <f t="shared" si="2"/>
        <v/>
      </c>
      <c r="H396" s="289"/>
    </row>
    <row r="397" spans="1:8" ht="15" customHeight="1" x14ac:dyDescent="0.45">
      <c r="A397" s="288"/>
      <c r="B397" s="289" t="str">
        <f t="shared" si="3"/>
        <v/>
      </c>
      <c r="C397" s="184" t="str">
        <f>IF(OR($A397="",LEFT($A397,1)="—"),"",SUMIF(LC_House[Panel Tag],$A397,LC_House[Total kVA])+SUMIF(LC_Dept[Panel Tag],$A397,LC_Dept[Total kVA])+SUMIF(LC_Refrig[Panel Tag],$A397,LC_Refrig[Total kVA])+SUMIF(LC_Mech[Panel Tag],$A397,LC_Mech[Total kVA])+SUMIF(LC_Plumb[Panel Tag],$A397,LC_Plumb[Total kVA])+SUMIF(LC_Kitchen[Panel Tag],$A397,LC_Kitchen[Total kVA])+SUMIF(LC_Elev[Panel Tag],$A397,LC_Elev[Total kVA])+SUMIF(LC_EV[Panel Tag],$A397,LC_EV[Total kVA])+SUMIF(LC_Data[Panel Tag],$A397,LC_Data[Total kVA])+SUMIF(LC_Site[Panel Tag],$A397,LC_Site[Total kVA])+SUMIF(LC_Fire[Panel Tag],$A397,LC_Fire[Total kVA])+SUMIF(LC_Process[Panel Tag],$A397,LC_Process[Total kVA]))</f>
        <v/>
      </c>
      <c r="D397" s="189" t="str">
        <f t="shared" si="4"/>
        <v/>
      </c>
      <c r="E397" s="190" t="str">
        <f t="shared" si="0"/>
        <v/>
      </c>
      <c r="F397" s="290" t="str">
        <f t="shared" si="1"/>
        <v/>
      </c>
      <c r="G397" s="288" t="str">
        <f t="shared" si="2"/>
        <v/>
      </c>
      <c r="H397" s="289"/>
    </row>
    <row r="398" spans="1:8" ht="15" customHeight="1" x14ac:dyDescent="0.45">
      <c r="A398" s="288"/>
      <c r="B398" s="289" t="str">
        <f t="shared" si="3"/>
        <v/>
      </c>
      <c r="C398" s="184" t="str">
        <f>IF(OR($A398="",LEFT($A398,1)="—"),"",SUMIF(LC_House[Panel Tag],$A398,LC_House[Total kVA])+SUMIF(LC_Dept[Panel Tag],$A398,LC_Dept[Total kVA])+SUMIF(LC_Refrig[Panel Tag],$A398,LC_Refrig[Total kVA])+SUMIF(LC_Mech[Panel Tag],$A398,LC_Mech[Total kVA])+SUMIF(LC_Plumb[Panel Tag],$A398,LC_Plumb[Total kVA])+SUMIF(LC_Kitchen[Panel Tag],$A398,LC_Kitchen[Total kVA])+SUMIF(LC_Elev[Panel Tag],$A398,LC_Elev[Total kVA])+SUMIF(LC_EV[Panel Tag],$A398,LC_EV[Total kVA])+SUMIF(LC_Data[Panel Tag],$A398,LC_Data[Total kVA])+SUMIF(LC_Site[Panel Tag],$A398,LC_Site[Total kVA])+SUMIF(LC_Fire[Panel Tag],$A398,LC_Fire[Total kVA])+SUMIF(LC_Process[Panel Tag],$A398,LC_Process[Total kVA]))</f>
        <v/>
      </c>
      <c r="D398" s="189" t="str">
        <f t="shared" si="4"/>
        <v/>
      </c>
      <c r="E398" s="190" t="str">
        <f t="shared" si="0"/>
        <v/>
      </c>
      <c r="F398" s="290" t="str">
        <f t="shared" si="1"/>
        <v/>
      </c>
      <c r="G398" s="288" t="str">
        <f t="shared" si="2"/>
        <v/>
      </c>
      <c r="H398" s="289"/>
    </row>
    <row r="399" spans="1:8" ht="15" customHeight="1" x14ac:dyDescent="0.45">
      <c r="A399" s="284"/>
      <c r="B399" s="285"/>
      <c r="C399" s="184" t="str">
        <f>IF(OR($A399="",LEFT($A399,1)="—"),"",SUMIF(LC_House[Panel Tag],$A399,LC_House[Total kVA])+SUMIF(LC_Dept[Panel Tag],$A399,LC_Dept[Total kVA])+SUMIF(LC_Refrig[Panel Tag],$A399,LC_Refrig[Total kVA])+SUMIF(LC_Mech[Panel Tag],$A399,LC_Mech[Total kVA])+SUMIF(LC_Plumb[Panel Tag],$A399,LC_Plumb[Total kVA])+SUMIF(LC_Kitchen[Panel Tag],$A399,LC_Kitchen[Total kVA])+SUMIF(LC_Elev[Panel Tag],$A399,LC_Elev[Total kVA])+SUMIF(LC_EV[Panel Tag],$A399,LC_EV[Total kVA])+SUMIF(LC_Data[Panel Tag],$A399,LC_Data[Total kVA])+SUMIF(LC_Site[Panel Tag],$A399,LC_Site[Total kVA])+SUMIF(LC_Fire[Panel Tag],$A399,LC_Fire[Total kVA])+SUMIF(LC_Process[Panel Tag],$A399,LC_Process[Total kVA]))</f>
        <v/>
      </c>
      <c r="D399" s="187"/>
      <c r="E399" s="188" t="str">
        <f t="shared" si="0"/>
        <v/>
      </c>
      <c r="F399" s="286" t="str">
        <f t="shared" si="1"/>
        <v/>
      </c>
      <c r="G399" s="284" t="str">
        <f t="shared" si="2"/>
        <v/>
      </c>
      <c r="H399" s="285"/>
    </row>
    <row r="400" spans="1:8" ht="15" customHeight="1" x14ac:dyDescent="0.45">
      <c r="A400" s="284"/>
      <c r="B400" s="285"/>
      <c r="C400" s="184" t="str">
        <f>IF(OR($A400="",LEFT($A400,1)="—"),"",SUMIF(LC_House[Panel Tag],$A400,LC_House[Total kVA])+SUMIF(LC_Dept[Panel Tag],$A400,LC_Dept[Total kVA])+SUMIF(LC_Refrig[Panel Tag],$A400,LC_Refrig[Total kVA])+SUMIF(LC_Mech[Panel Tag],$A400,LC_Mech[Total kVA])+SUMIF(LC_Plumb[Panel Tag],$A400,LC_Plumb[Total kVA])+SUMIF(LC_Kitchen[Panel Tag],$A400,LC_Kitchen[Total kVA])+SUMIF(LC_Elev[Panel Tag],$A400,LC_Elev[Total kVA])+SUMIF(LC_EV[Panel Tag],$A400,LC_EV[Total kVA])+SUMIF(LC_Data[Panel Tag],$A400,LC_Data[Total kVA])+SUMIF(LC_Site[Panel Tag],$A400,LC_Site[Total kVA])+SUMIF(LC_Fire[Panel Tag],$A400,LC_Fire[Total kVA])+SUMIF(LC_Process[Panel Tag],$A400,LC_Process[Total kVA]))</f>
        <v/>
      </c>
      <c r="D400" s="187"/>
      <c r="E400" s="188" t="str">
        <f t="shared" si="0"/>
        <v/>
      </c>
      <c r="F400" s="286" t="str">
        <f t="shared" si="1"/>
        <v/>
      </c>
      <c r="G400" s="284" t="str">
        <f t="shared" si="2"/>
        <v/>
      </c>
      <c r="H400" s="285"/>
    </row>
    <row r="401" spans="1:8" ht="15" customHeight="1" x14ac:dyDescent="0.45">
      <c r="A401" s="284"/>
      <c r="B401" s="285"/>
      <c r="C401" s="184" t="str">
        <f>IF(OR($A401="",LEFT($A401,1)="—"),"",SUMIF(LC_House[Panel Tag],$A401,LC_House[Total kVA])+SUMIF(LC_Dept[Panel Tag],$A401,LC_Dept[Total kVA])+SUMIF(LC_Refrig[Panel Tag],$A401,LC_Refrig[Total kVA])+SUMIF(LC_Mech[Panel Tag],$A401,LC_Mech[Total kVA])+SUMIF(LC_Plumb[Panel Tag],$A401,LC_Plumb[Total kVA])+SUMIF(LC_Kitchen[Panel Tag],$A401,LC_Kitchen[Total kVA])+SUMIF(LC_Elev[Panel Tag],$A401,LC_Elev[Total kVA])+SUMIF(LC_EV[Panel Tag],$A401,LC_EV[Total kVA])+SUMIF(LC_Data[Panel Tag],$A401,LC_Data[Total kVA])+SUMIF(LC_Site[Panel Tag],$A401,LC_Site[Total kVA])+SUMIF(LC_Fire[Panel Tag],$A401,LC_Fire[Total kVA])+SUMIF(LC_Process[Panel Tag],$A401,LC_Process[Total kVA]))</f>
        <v/>
      </c>
      <c r="D401" s="187"/>
      <c r="E401" s="188" t="str">
        <f t="shared" si="0"/>
        <v/>
      </c>
      <c r="F401" s="286" t="str">
        <f t="shared" si="1"/>
        <v/>
      </c>
      <c r="G401" s="284" t="str">
        <f t="shared" si="2"/>
        <v/>
      </c>
      <c r="H401" s="285"/>
    </row>
    <row r="402" spans="1:8" ht="15" customHeight="1" x14ac:dyDescent="0.45">
      <c r="A402" s="284"/>
      <c r="B402" s="285"/>
      <c r="C402" s="184" t="str">
        <f>IF(OR($A402="",LEFT($A402,1)="—"),"",SUMIF(LC_House[Panel Tag],$A402,LC_House[Total kVA])+SUMIF(LC_Dept[Panel Tag],$A402,LC_Dept[Total kVA])+SUMIF(LC_Refrig[Panel Tag],$A402,LC_Refrig[Total kVA])+SUMIF(LC_Mech[Panel Tag],$A402,LC_Mech[Total kVA])+SUMIF(LC_Plumb[Panel Tag],$A402,LC_Plumb[Total kVA])+SUMIF(LC_Kitchen[Panel Tag],$A402,LC_Kitchen[Total kVA])+SUMIF(LC_Elev[Panel Tag],$A402,LC_Elev[Total kVA])+SUMIF(LC_EV[Panel Tag],$A402,LC_EV[Total kVA])+SUMIF(LC_Data[Panel Tag],$A402,LC_Data[Total kVA])+SUMIF(LC_Site[Panel Tag],$A402,LC_Site[Total kVA])+SUMIF(LC_Fire[Panel Tag],$A402,LC_Fire[Total kVA])+SUMIF(LC_Process[Panel Tag],$A402,LC_Process[Total kVA]))</f>
        <v/>
      </c>
      <c r="D402" s="187"/>
      <c r="E402" s="188" t="str">
        <f t="shared" si="0"/>
        <v/>
      </c>
      <c r="F402" s="286" t="str">
        <f t="shared" si="1"/>
        <v/>
      </c>
      <c r="G402" s="284" t="str">
        <f t="shared" si="2"/>
        <v/>
      </c>
      <c r="H402" s="285"/>
    </row>
    <row r="403" spans="1:8" ht="15" customHeight="1" x14ac:dyDescent="0.45">
      <c r="A403" s="284"/>
      <c r="B403" s="285"/>
      <c r="C403" s="184" t="str">
        <f>IF(OR($A403="",LEFT($A403,1)="—"),"",SUMIF(LC_House[Panel Tag],$A403,LC_House[Total kVA])+SUMIF(LC_Dept[Panel Tag],$A403,LC_Dept[Total kVA])+SUMIF(LC_Refrig[Panel Tag],$A403,LC_Refrig[Total kVA])+SUMIF(LC_Mech[Panel Tag],$A403,LC_Mech[Total kVA])+SUMIF(LC_Plumb[Panel Tag],$A403,LC_Plumb[Total kVA])+SUMIF(LC_Kitchen[Panel Tag],$A403,LC_Kitchen[Total kVA])+SUMIF(LC_Elev[Panel Tag],$A403,LC_Elev[Total kVA])+SUMIF(LC_EV[Panel Tag],$A403,LC_EV[Total kVA])+SUMIF(LC_Data[Panel Tag],$A403,LC_Data[Total kVA])+SUMIF(LC_Site[Panel Tag],$A403,LC_Site[Total kVA])+SUMIF(LC_Fire[Panel Tag],$A403,LC_Fire[Total kVA])+SUMIF(LC_Process[Panel Tag],$A403,LC_Process[Total kVA]))</f>
        <v/>
      </c>
      <c r="D403" s="187"/>
      <c r="E403" s="188" t="str">
        <f t="shared" si="0"/>
        <v/>
      </c>
      <c r="F403" s="286" t="str">
        <f t="shared" si="1"/>
        <v/>
      </c>
      <c r="G403" s="284" t="str">
        <f t="shared" si="2"/>
        <v/>
      </c>
      <c r="H403" s="285"/>
    </row>
    <row r="404" spans="1:8" ht="15" customHeight="1" x14ac:dyDescent="0.45">
      <c r="A404" s="284"/>
      <c r="B404" s="285"/>
      <c r="C404" s="184" t="str">
        <f>IF(OR($A404="",LEFT($A404,1)="—"),"",SUMIF(LC_House[Panel Tag],$A404,LC_House[Total kVA])+SUMIF(LC_Dept[Panel Tag],$A404,LC_Dept[Total kVA])+SUMIF(LC_Refrig[Panel Tag],$A404,LC_Refrig[Total kVA])+SUMIF(LC_Mech[Panel Tag],$A404,LC_Mech[Total kVA])+SUMIF(LC_Plumb[Panel Tag],$A404,LC_Plumb[Total kVA])+SUMIF(LC_Kitchen[Panel Tag],$A404,LC_Kitchen[Total kVA])+SUMIF(LC_Elev[Panel Tag],$A404,LC_Elev[Total kVA])+SUMIF(LC_EV[Panel Tag],$A404,LC_EV[Total kVA])+SUMIF(LC_Data[Panel Tag],$A404,LC_Data[Total kVA])+SUMIF(LC_Site[Panel Tag],$A404,LC_Site[Total kVA])+SUMIF(LC_Fire[Panel Tag],$A404,LC_Fire[Total kVA])+SUMIF(LC_Process[Panel Tag],$A404,LC_Process[Total kVA]))</f>
        <v/>
      </c>
      <c r="D404" s="187"/>
      <c r="E404" s="188" t="str">
        <f t="shared" si="0"/>
        <v/>
      </c>
      <c r="F404" s="286" t="str">
        <f t="shared" si="1"/>
        <v/>
      </c>
      <c r="G404" s="284" t="str">
        <f t="shared" si="2"/>
        <v/>
      </c>
      <c r="H404" s="285"/>
    </row>
    <row r="405" spans="1:8" ht="15" customHeight="1" x14ac:dyDescent="0.45">
      <c r="A405" s="284"/>
      <c r="B405" s="285"/>
      <c r="C405" s="184" t="str">
        <f>IF(OR($A405="",LEFT($A405,1)="—"),"",SUMIF(LC_House[Panel Tag],$A405,LC_House[Total kVA])+SUMIF(LC_Dept[Panel Tag],$A405,LC_Dept[Total kVA])+SUMIF(LC_Refrig[Panel Tag],$A405,LC_Refrig[Total kVA])+SUMIF(LC_Mech[Panel Tag],$A405,LC_Mech[Total kVA])+SUMIF(LC_Plumb[Panel Tag],$A405,LC_Plumb[Total kVA])+SUMIF(LC_Kitchen[Panel Tag],$A405,LC_Kitchen[Total kVA])+SUMIF(LC_Elev[Panel Tag],$A405,LC_Elev[Total kVA])+SUMIF(LC_EV[Panel Tag],$A405,LC_EV[Total kVA])+SUMIF(LC_Data[Panel Tag],$A405,LC_Data[Total kVA])+SUMIF(LC_Site[Panel Tag],$A405,LC_Site[Total kVA])+SUMIF(LC_Fire[Panel Tag],$A405,LC_Fire[Total kVA])+SUMIF(LC_Process[Panel Tag],$A405,LC_Process[Total kVA]))</f>
        <v/>
      </c>
      <c r="D405" s="187"/>
      <c r="E405" s="188" t="str">
        <f t="shared" si="0"/>
        <v/>
      </c>
      <c r="F405" s="286" t="str">
        <f t="shared" si="1"/>
        <v/>
      </c>
      <c r="G405" s="284" t="str">
        <f t="shared" si="2"/>
        <v/>
      </c>
      <c r="H405" s="285"/>
    </row>
    <row r="406" spans="1:8" ht="15" customHeight="1" x14ac:dyDescent="0.45">
      <c r="A406" s="284"/>
      <c r="B406" s="285"/>
      <c r="C406" s="184" t="str">
        <f>IF(OR($A406="",LEFT($A406,1)="—"),"",SUMIF(LC_House[Panel Tag],$A406,LC_House[Total kVA])+SUMIF(LC_Dept[Panel Tag],$A406,LC_Dept[Total kVA])+SUMIF(LC_Refrig[Panel Tag],$A406,LC_Refrig[Total kVA])+SUMIF(LC_Mech[Panel Tag],$A406,LC_Mech[Total kVA])+SUMIF(LC_Plumb[Panel Tag],$A406,LC_Plumb[Total kVA])+SUMIF(LC_Kitchen[Panel Tag],$A406,LC_Kitchen[Total kVA])+SUMIF(LC_Elev[Panel Tag],$A406,LC_Elev[Total kVA])+SUMIF(LC_EV[Panel Tag],$A406,LC_EV[Total kVA])+SUMIF(LC_Data[Panel Tag],$A406,LC_Data[Total kVA])+SUMIF(LC_Site[Panel Tag],$A406,LC_Site[Total kVA])+SUMIF(LC_Fire[Panel Tag],$A406,LC_Fire[Total kVA])+SUMIF(LC_Process[Panel Tag],$A406,LC_Process[Total kVA]))</f>
        <v/>
      </c>
      <c r="D406" s="187"/>
      <c r="E406" s="188" t="str">
        <f t="shared" si="0"/>
        <v/>
      </c>
      <c r="F406" s="286" t="str">
        <f t="shared" si="1"/>
        <v/>
      </c>
      <c r="G406" s="284" t="str">
        <f t="shared" si="2"/>
        <v/>
      </c>
      <c r="H406" s="285"/>
    </row>
    <row r="407" spans="1:8" ht="15" customHeight="1" x14ac:dyDescent="0.45">
      <c r="A407" s="284"/>
      <c r="B407" s="285"/>
      <c r="C407" s="184" t="str">
        <f>IF(OR($A407="",LEFT($A407,1)="—"),"",SUMIF(LC_House[Panel Tag],$A407,LC_House[Total kVA])+SUMIF(LC_Dept[Panel Tag],$A407,LC_Dept[Total kVA])+SUMIF(LC_Refrig[Panel Tag],$A407,LC_Refrig[Total kVA])+SUMIF(LC_Mech[Panel Tag],$A407,LC_Mech[Total kVA])+SUMIF(LC_Plumb[Panel Tag],$A407,LC_Plumb[Total kVA])+SUMIF(LC_Kitchen[Panel Tag],$A407,LC_Kitchen[Total kVA])+SUMIF(LC_Elev[Panel Tag],$A407,LC_Elev[Total kVA])+SUMIF(LC_EV[Panel Tag],$A407,LC_EV[Total kVA])+SUMIF(LC_Data[Panel Tag],$A407,LC_Data[Total kVA])+SUMIF(LC_Site[Panel Tag],$A407,LC_Site[Total kVA])+SUMIF(LC_Fire[Panel Tag],$A407,LC_Fire[Total kVA])+SUMIF(LC_Process[Panel Tag],$A407,LC_Process[Total kVA]))</f>
        <v/>
      </c>
      <c r="D407" s="187"/>
      <c r="E407" s="188" t="str">
        <f t="shared" si="0"/>
        <v/>
      </c>
      <c r="F407" s="286" t="str">
        <f t="shared" si="1"/>
        <v/>
      </c>
      <c r="G407" s="284" t="str">
        <f t="shared" si="2"/>
        <v/>
      </c>
      <c r="H407" s="285"/>
    </row>
    <row r="408" spans="1:8" ht="15" customHeight="1" x14ac:dyDescent="0.45">
      <c r="A408" s="284"/>
      <c r="B408" s="285"/>
      <c r="C408" s="184" t="str">
        <f>IF(OR($A408="",LEFT($A408,1)="—"),"",SUMIF(LC_House[Panel Tag],$A408,LC_House[Total kVA])+SUMIF(LC_Dept[Panel Tag],$A408,LC_Dept[Total kVA])+SUMIF(LC_Refrig[Panel Tag],$A408,LC_Refrig[Total kVA])+SUMIF(LC_Mech[Panel Tag],$A408,LC_Mech[Total kVA])+SUMIF(LC_Plumb[Panel Tag],$A408,LC_Plumb[Total kVA])+SUMIF(LC_Kitchen[Panel Tag],$A408,LC_Kitchen[Total kVA])+SUMIF(LC_Elev[Panel Tag],$A408,LC_Elev[Total kVA])+SUMIF(LC_EV[Panel Tag],$A408,LC_EV[Total kVA])+SUMIF(LC_Data[Panel Tag],$A408,LC_Data[Total kVA])+SUMIF(LC_Site[Panel Tag],$A408,LC_Site[Total kVA])+SUMIF(LC_Fire[Panel Tag],$A408,LC_Fire[Total kVA])+SUMIF(LC_Process[Panel Tag],$A408,LC_Process[Total kVA]))</f>
        <v/>
      </c>
      <c r="D408" s="187"/>
      <c r="E408" s="188" t="str">
        <f t="shared" si="0"/>
        <v/>
      </c>
      <c r="F408" s="286" t="str">
        <f t="shared" si="1"/>
        <v/>
      </c>
      <c r="G408" s="284" t="str">
        <f t="shared" si="2"/>
        <v/>
      </c>
      <c r="H408" s="285"/>
    </row>
    <row r="409" spans="1:8" ht="15" customHeight="1" x14ac:dyDescent="0.45">
      <c r="A409" s="284"/>
      <c r="B409" s="285"/>
      <c r="C409" s="184" t="str">
        <f>IF(OR($A409="",LEFT($A409,1)="—"),"",SUMIF(LC_House[Panel Tag],$A409,LC_House[Total kVA])+SUMIF(LC_Dept[Panel Tag],$A409,LC_Dept[Total kVA])+SUMIF(LC_Refrig[Panel Tag],$A409,LC_Refrig[Total kVA])+SUMIF(LC_Mech[Panel Tag],$A409,LC_Mech[Total kVA])+SUMIF(LC_Plumb[Panel Tag],$A409,LC_Plumb[Total kVA])+SUMIF(LC_Kitchen[Panel Tag],$A409,LC_Kitchen[Total kVA])+SUMIF(LC_Elev[Panel Tag],$A409,LC_Elev[Total kVA])+SUMIF(LC_EV[Panel Tag],$A409,LC_EV[Total kVA])+SUMIF(LC_Data[Panel Tag],$A409,LC_Data[Total kVA])+SUMIF(LC_Site[Panel Tag],$A409,LC_Site[Total kVA])+SUMIF(LC_Fire[Panel Tag],$A409,LC_Fire[Total kVA])+SUMIF(LC_Process[Panel Tag],$A409,LC_Process[Total kVA]))</f>
        <v/>
      </c>
      <c r="D409" s="187"/>
      <c r="E409" s="188" t="str">
        <f t="shared" si="0"/>
        <v/>
      </c>
      <c r="F409" s="286" t="str">
        <f t="shared" si="1"/>
        <v/>
      </c>
      <c r="G409" s="284" t="str">
        <f t="shared" si="2"/>
        <v/>
      </c>
      <c r="H409" s="285"/>
    </row>
    <row r="410" spans="1:8" ht="15" customHeight="1" x14ac:dyDescent="0.45">
      <c r="A410" s="284"/>
      <c r="B410" s="285"/>
      <c r="C410" s="184" t="str">
        <f>IF(OR($A410="",LEFT($A410,1)="—"),"",SUMIF(LC_House[Panel Tag],$A410,LC_House[Total kVA])+SUMIF(LC_Dept[Panel Tag],$A410,LC_Dept[Total kVA])+SUMIF(LC_Refrig[Panel Tag],$A410,LC_Refrig[Total kVA])+SUMIF(LC_Mech[Panel Tag],$A410,LC_Mech[Total kVA])+SUMIF(LC_Plumb[Panel Tag],$A410,LC_Plumb[Total kVA])+SUMIF(LC_Kitchen[Panel Tag],$A410,LC_Kitchen[Total kVA])+SUMIF(LC_Elev[Panel Tag],$A410,LC_Elev[Total kVA])+SUMIF(LC_EV[Panel Tag],$A410,LC_EV[Total kVA])+SUMIF(LC_Data[Panel Tag],$A410,LC_Data[Total kVA])+SUMIF(LC_Site[Panel Tag],$A410,LC_Site[Total kVA])+SUMIF(LC_Fire[Panel Tag],$A410,LC_Fire[Total kVA])+SUMIF(LC_Process[Panel Tag],$A410,LC_Process[Total kVA]))</f>
        <v/>
      </c>
      <c r="D410" s="187"/>
      <c r="E410" s="188" t="str">
        <f t="shared" si="0"/>
        <v/>
      </c>
      <c r="F410" s="286" t="str">
        <f t="shared" si="1"/>
        <v/>
      </c>
      <c r="G410" s="284" t="str">
        <f t="shared" si="2"/>
        <v/>
      </c>
      <c r="H410" s="285"/>
    </row>
    <row r="411" spans="1:8" ht="15" customHeight="1" x14ac:dyDescent="0.45">
      <c r="A411" s="284"/>
      <c r="B411" s="285"/>
      <c r="C411" s="184" t="str">
        <f>IF(OR($A411="",LEFT($A411,1)="—"),"",SUMIF(LC_House[Panel Tag],$A411,LC_House[Total kVA])+SUMIF(LC_Dept[Panel Tag],$A411,LC_Dept[Total kVA])+SUMIF(LC_Refrig[Panel Tag],$A411,LC_Refrig[Total kVA])+SUMIF(LC_Mech[Panel Tag],$A411,LC_Mech[Total kVA])+SUMIF(LC_Plumb[Panel Tag],$A411,LC_Plumb[Total kVA])+SUMIF(LC_Kitchen[Panel Tag],$A411,LC_Kitchen[Total kVA])+SUMIF(LC_Elev[Panel Tag],$A411,LC_Elev[Total kVA])+SUMIF(LC_EV[Panel Tag],$A411,LC_EV[Total kVA])+SUMIF(LC_Data[Panel Tag],$A411,LC_Data[Total kVA])+SUMIF(LC_Site[Panel Tag],$A411,LC_Site[Total kVA])+SUMIF(LC_Fire[Panel Tag],$A411,LC_Fire[Total kVA])+SUMIF(LC_Process[Panel Tag],$A411,LC_Process[Total kVA]))</f>
        <v/>
      </c>
      <c r="D411" s="187"/>
      <c r="E411" s="188" t="str">
        <f t="shared" si="0"/>
        <v/>
      </c>
      <c r="F411" s="286" t="str">
        <f t="shared" si="1"/>
        <v/>
      </c>
      <c r="G411" s="284" t="str">
        <f t="shared" si="2"/>
        <v/>
      </c>
      <c r="H411" s="285"/>
    </row>
    <row r="412" spans="1:8" ht="15" customHeight="1" x14ac:dyDescent="0.45">
      <c r="A412" s="284"/>
      <c r="B412" s="285"/>
      <c r="C412" s="184" t="str">
        <f>IF(OR($A412="",LEFT($A412,1)="—"),"",SUMIF(LC_House[Panel Tag],$A412,LC_House[Total kVA])+SUMIF(LC_Dept[Panel Tag],$A412,LC_Dept[Total kVA])+SUMIF(LC_Refrig[Panel Tag],$A412,LC_Refrig[Total kVA])+SUMIF(LC_Mech[Panel Tag],$A412,LC_Mech[Total kVA])+SUMIF(LC_Plumb[Panel Tag],$A412,LC_Plumb[Total kVA])+SUMIF(LC_Kitchen[Panel Tag],$A412,LC_Kitchen[Total kVA])+SUMIF(LC_Elev[Panel Tag],$A412,LC_Elev[Total kVA])+SUMIF(LC_EV[Panel Tag],$A412,LC_EV[Total kVA])+SUMIF(LC_Data[Panel Tag],$A412,LC_Data[Total kVA])+SUMIF(LC_Site[Panel Tag],$A412,LC_Site[Total kVA])+SUMIF(LC_Fire[Panel Tag],$A412,LC_Fire[Total kVA])+SUMIF(LC_Process[Panel Tag],$A412,LC_Process[Total kVA]))</f>
        <v/>
      </c>
      <c r="D412" s="187"/>
      <c r="E412" s="188" t="str">
        <f t="shared" si="0"/>
        <v/>
      </c>
      <c r="F412" s="286" t="str">
        <f t="shared" si="1"/>
        <v/>
      </c>
      <c r="G412" s="284" t="str">
        <f t="shared" si="2"/>
        <v/>
      </c>
      <c r="H412" s="285"/>
    </row>
    <row r="413" spans="1:8" ht="15" customHeight="1" x14ac:dyDescent="0.45">
      <c r="A413" s="284"/>
      <c r="B413" s="285"/>
      <c r="C413" s="184" t="str">
        <f>IF(OR($A413="",LEFT($A413,1)="—"),"",SUMIF(LC_House[Panel Tag],$A413,LC_House[Total kVA])+SUMIF(LC_Dept[Panel Tag],$A413,LC_Dept[Total kVA])+SUMIF(LC_Refrig[Panel Tag],$A413,LC_Refrig[Total kVA])+SUMIF(LC_Mech[Panel Tag],$A413,LC_Mech[Total kVA])+SUMIF(LC_Plumb[Panel Tag],$A413,LC_Plumb[Total kVA])+SUMIF(LC_Kitchen[Panel Tag],$A413,LC_Kitchen[Total kVA])+SUMIF(LC_Elev[Panel Tag],$A413,LC_Elev[Total kVA])+SUMIF(LC_EV[Panel Tag],$A413,LC_EV[Total kVA])+SUMIF(LC_Data[Panel Tag],$A413,LC_Data[Total kVA])+SUMIF(LC_Site[Panel Tag],$A413,LC_Site[Total kVA])+SUMIF(LC_Fire[Panel Tag],$A413,LC_Fire[Total kVA])+SUMIF(LC_Process[Panel Tag],$A413,LC_Process[Total kVA]))</f>
        <v/>
      </c>
      <c r="D413" s="187"/>
      <c r="E413" s="188" t="str">
        <f t="shared" si="0"/>
        <v/>
      </c>
      <c r="F413" s="286" t="str">
        <f t="shared" si="1"/>
        <v/>
      </c>
      <c r="G413" s="284" t="str">
        <f t="shared" si="2"/>
        <v/>
      </c>
      <c r="H413" s="285"/>
    </row>
    <row r="414" spans="1:8" ht="15" customHeight="1" x14ac:dyDescent="0.45">
      <c r="A414" s="284"/>
      <c r="B414" s="285"/>
      <c r="C414" s="184" t="str">
        <f>IF(OR($A414="",LEFT($A414,1)="—"),"",SUMIF(LC_House[Panel Tag],$A414,LC_House[Total kVA])+SUMIF(LC_Dept[Panel Tag],$A414,LC_Dept[Total kVA])+SUMIF(LC_Refrig[Panel Tag],$A414,LC_Refrig[Total kVA])+SUMIF(LC_Mech[Panel Tag],$A414,LC_Mech[Total kVA])+SUMIF(LC_Plumb[Panel Tag],$A414,LC_Plumb[Total kVA])+SUMIF(LC_Kitchen[Panel Tag],$A414,LC_Kitchen[Total kVA])+SUMIF(LC_Elev[Panel Tag],$A414,LC_Elev[Total kVA])+SUMIF(LC_EV[Panel Tag],$A414,LC_EV[Total kVA])+SUMIF(LC_Data[Panel Tag],$A414,LC_Data[Total kVA])+SUMIF(LC_Site[Panel Tag],$A414,LC_Site[Total kVA])+SUMIF(LC_Fire[Panel Tag],$A414,LC_Fire[Total kVA])+SUMIF(LC_Process[Panel Tag],$A414,LC_Process[Total kVA]))</f>
        <v/>
      </c>
      <c r="D414" s="187"/>
      <c r="E414" s="188" t="str">
        <f t="shared" si="0"/>
        <v/>
      </c>
      <c r="F414" s="286" t="str">
        <f t="shared" si="1"/>
        <v/>
      </c>
      <c r="G414" s="284" t="str">
        <f t="shared" si="2"/>
        <v/>
      </c>
      <c r="H414" s="285"/>
    </row>
    <row r="415" spans="1:8" ht="15" customHeight="1" x14ac:dyDescent="0.45">
      <c r="A415" s="284"/>
      <c r="B415" s="285"/>
      <c r="C415" s="184" t="str">
        <f>IF(OR($A415="",LEFT($A415,1)="—"),"",SUMIF(LC_House[Panel Tag],$A415,LC_House[Total kVA])+SUMIF(LC_Dept[Panel Tag],$A415,LC_Dept[Total kVA])+SUMIF(LC_Refrig[Panel Tag],$A415,LC_Refrig[Total kVA])+SUMIF(LC_Mech[Panel Tag],$A415,LC_Mech[Total kVA])+SUMIF(LC_Plumb[Panel Tag],$A415,LC_Plumb[Total kVA])+SUMIF(LC_Kitchen[Panel Tag],$A415,LC_Kitchen[Total kVA])+SUMIF(LC_Elev[Panel Tag],$A415,LC_Elev[Total kVA])+SUMIF(LC_EV[Panel Tag],$A415,LC_EV[Total kVA])+SUMIF(LC_Data[Panel Tag],$A415,LC_Data[Total kVA])+SUMIF(LC_Site[Panel Tag],$A415,LC_Site[Total kVA])+SUMIF(LC_Fire[Panel Tag],$A415,LC_Fire[Total kVA])+SUMIF(LC_Process[Panel Tag],$A415,LC_Process[Total kVA]))</f>
        <v/>
      </c>
      <c r="D415" s="187"/>
      <c r="E415" s="188" t="str">
        <f t="shared" si="0"/>
        <v/>
      </c>
      <c r="F415" s="286" t="str">
        <f t="shared" si="1"/>
        <v/>
      </c>
      <c r="G415" s="284" t="str">
        <f t="shared" si="2"/>
        <v/>
      </c>
      <c r="H415" s="285"/>
    </row>
    <row r="416" spans="1:8" ht="15" customHeight="1" x14ac:dyDescent="0.45">
      <c r="A416" s="284"/>
      <c r="B416" s="285"/>
      <c r="C416" s="184" t="str">
        <f>IF(OR($A416="",LEFT($A416,1)="—"),"",SUMIF(LC_House[Panel Tag],$A416,LC_House[Total kVA])+SUMIF(LC_Dept[Panel Tag],$A416,LC_Dept[Total kVA])+SUMIF(LC_Refrig[Panel Tag],$A416,LC_Refrig[Total kVA])+SUMIF(LC_Mech[Panel Tag],$A416,LC_Mech[Total kVA])+SUMIF(LC_Plumb[Panel Tag],$A416,LC_Plumb[Total kVA])+SUMIF(LC_Kitchen[Panel Tag],$A416,LC_Kitchen[Total kVA])+SUMIF(LC_Elev[Panel Tag],$A416,LC_Elev[Total kVA])+SUMIF(LC_EV[Panel Tag],$A416,LC_EV[Total kVA])+SUMIF(LC_Data[Panel Tag],$A416,LC_Data[Total kVA])+SUMIF(LC_Site[Panel Tag],$A416,LC_Site[Total kVA])+SUMIF(LC_Fire[Panel Tag],$A416,LC_Fire[Total kVA])+SUMIF(LC_Process[Panel Tag],$A416,LC_Process[Total kVA]))</f>
        <v/>
      </c>
      <c r="D416" s="187"/>
      <c r="E416" s="188" t="str">
        <f t="shared" si="0"/>
        <v/>
      </c>
      <c r="F416" s="286" t="str">
        <f t="shared" si="1"/>
        <v/>
      </c>
      <c r="G416" s="284" t="str">
        <f t="shared" si="2"/>
        <v/>
      </c>
      <c r="H416" s="285"/>
    </row>
    <row r="417" spans="1:8" ht="15" customHeight="1" x14ac:dyDescent="0.45">
      <c r="A417" s="284"/>
      <c r="B417" s="285"/>
      <c r="C417" s="184" t="str">
        <f>IF(OR($A417="",LEFT($A417,1)="—"),"",SUMIF(LC_House[Panel Tag],$A417,LC_House[Total kVA])+SUMIF(LC_Dept[Panel Tag],$A417,LC_Dept[Total kVA])+SUMIF(LC_Refrig[Panel Tag],$A417,LC_Refrig[Total kVA])+SUMIF(LC_Mech[Panel Tag],$A417,LC_Mech[Total kVA])+SUMIF(LC_Plumb[Panel Tag],$A417,LC_Plumb[Total kVA])+SUMIF(LC_Kitchen[Panel Tag],$A417,LC_Kitchen[Total kVA])+SUMIF(LC_Elev[Panel Tag],$A417,LC_Elev[Total kVA])+SUMIF(LC_EV[Panel Tag],$A417,LC_EV[Total kVA])+SUMIF(LC_Data[Panel Tag],$A417,LC_Data[Total kVA])+SUMIF(LC_Site[Panel Tag],$A417,LC_Site[Total kVA])+SUMIF(LC_Fire[Panel Tag],$A417,LC_Fire[Total kVA])+SUMIF(LC_Process[Panel Tag],$A417,LC_Process[Total kVA]))</f>
        <v/>
      </c>
      <c r="D417" s="187"/>
      <c r="E417" s="188" t="str">
        <f t="shared" si="0"/>
        <v/>
      </c>
      <c r="F417" s="286" t="str">
        <f t="shared" si="1"/>
        <v/>
      </c>
      <c r="G417" s="284" t="str">
        <f t="shared" si="2"/>
        <v/>
      </c>
      <c r="H417" s="285"/>
    </row>
    <row r="418" spans="1:8" ht="15" customHeight="1" x14ac:dyDescent="0.45">
      <c r="A418" s="284"/>
      <c r="B418" s="285"/>
      <c r="C418" s="184" t="str">
        <f>IF(OR($A418="",LEFT($A418,1)="—"),"",SUMIF(LC_House[Panel Tag],$A418,LC_House[Total kVA])+SUMIF(LC_Dept[Panel Tag],$A418,LC_Dept[Total kVA])+SUMIF(LC_Refrig[Panel Tag],$A418,LC_Refrig[Total kVA])+SUMIF(LC_Mech[Panel Tag],$A418,LC_Mech[Total kVA])+SUMIF(LC_Plumb[Panel Tag],$A418,LC_Plumb[Total kVA])+SUMIF(LC_Kitchen[Panel Tag],$A418,LC_Kitchen[Total kVA])+SUMIF(LC_Elev[Panel Tag],$A418,LC_Elev[Total kVA])+SUMIF(LC_EV[Panel Tag],$A418,LC_EV[Total kVA])+SUMIF(LC_Data[Panel Tag],$A418,LC_Data[Total kVA])+SUMIF(LC_Site[Panel Tag],$A418,LC_Site[Total kVA])+SUMIF(LC_Fire[Panel Tag],$A418,LC_Fire[Total kVA])+SUMIF(LC_Process[Panel Tag],$A418,LC_Process[Total kVA]))</f>
        <v/>
      </c>
      <c r="D418" s="187"/>
      <c r="E418" s="188" t="str">
        <f t="shared" si="0"/>
        <v/>
      </c>
      <c r="F418" s="286" t="str">
        <f t="shared" si="1"/>
        <v/>
      </c>
      <c r="G418" s="284" t="str">
        <f t="shared" si="2"/>
        <v/>
      </c>
      <c r="H418" s="285"/>
    </row>
    <row r="419" spans="1:8" ht="15" customHeight="1" x14ac:dyDescent="0.45">
      <c r="A419" s="284"/>
      <c r="B419" s="285"/>
      <c r="C419" s="184" t="str">
        <f>IF(OR($A419="",LEFT($A419,1)="—"),"",SUMIF(LC_House[Panel Tag],$A419,LC_House[Total kVA])+SUMIF(LC_Dept[Panel Tag],$A419,LC_Dept[Total kVA])+SUMIF(LC_Refrig[Panel Tag],$A419,LC_Refrig[Total kVA])+SUMIF(LC_Mech[Panel Tag],$A419,LC_Mech[Total kVA])+SUMIF(LC_Plumb[Panel Tag],$A419,LC_Plumb[Total kVA])+SUMIF(LC_Kitchen[Panel Tag],$A419,LC_Kitchen[Total kVA])+SUMIF(LC_Elev[Panel Tag],$A419,LC_Elev[Total kVA])+SUMIF(LC_EV[Panel Tag],$A419,LC_EV[Total kVA])+SUMIF(LC_Data[Panel Tag],$A419,LC_Data[Total kVA])+SUMIF(LC_Site[Panel Tag],$A419,LC_Site[Total kVA])+SUMIF(LC_Fire[Panel Tag],$A419,LC_Fire[Total kVA])+SUMIF(LC_Process[Panel Tag],$A419,LC_Process[Total kVA]))</f>
        <v/>
      </c>
      <c r="D419" s="187"/>
      <c r="E419" s="188" t="str">
        <f t="shared" si="0"/>
        <v/>
      </c>
      <c r="F419" s="286" t="str">
        <f t="shared" si="1"/>
        <v/>
      </c>
      <c r="G419" s="284" t="str">
        <f t="shared" si="2"/>
        <v/>
      </c>
      <c r="H419" s="285"/>
    </row>
    <row r="420" spans="1:8" ht="15" customHeight="1" x14ac:dyDescent="0.45">
      <c r="A420" s="284"/>
      <c r="B420" s="285"/>
      <c r="C420" s="184" t="str">
        <f>IF(OR($A420="",LEFT($A420,1)="—"),"",SUMIF(LC_House[Panel Tag],$A420,LC_House[Total kVA])+SUMIF(LC_Dept[Panel Tag],$A420,LC_Dept[Total kVA])+SUMIF(LC_Refrig[Panel Tag],$A420,LC_Refrig[Total kVA])+SUMIF(LC_Mech[Panel Tag],$A420,LC_Mech[Total kVA])+SUMIF(LC_Plumb[Panel Tag],$A420,LC_Plumb[Total kVA])+SUMIF(LC_Kitchen[Panel Tag],$A420,LC_Kitchen[Total kVA])+SUMIF(LC_Elev[Panel Tag],$A420,LC_Elev[Total kVA])+SUMIF(LC_EV[Panel Tag],$A420,LC_EV[Total kVA])+SUMIF(LC_Data[Panel Tag],$A420,LC_Data[Total kVA])+SUMIF(LC_Site[Panel Tag],$A420,LC_Site[Total kVA])+SUMIF(LC_Fire[Panel Tag],$A420,LC_Fire[Total kVA])+SUMIF(LC_Process[Panel Tag],$A420,LC_Process[Total kVA]))</f>
        <v/>
      </c>
      <c r="D420" s="187"/>
      <c r="E420" s="188" t="str">
        <f t="shared" si="0"/>
        <v/>
      </c>
      <c r="F420" s="286" t="str">
        <f t="shared" si="1"/>
        <v/>
      </c>
      <c r="G420" s="284" t="str">
        <f t="shared" si="2"/>
        <v/>
      </c>
      <c r="H420" s="285"/>
    </row>
    <row r="421" spans="1:8" ht="15" customHeight="1" x14ac:dyDescent="0.45">
      <c r="A421" s="284"/>
      <c r="B421" s="285"/>
      <c r="C421" s="184" t="str">
        <f>IF(OR($A421="",LEFT($A421,1)="—"),"",SUMIF(LC_House[Panel Tag],$A421,LC_House[Total kVA])+SUMIF(LC_Dept[Panel Tag],$A421,LC_Dept[Total kVA])+SUMIF(LC_Refrig[Panel Tag],$A421,LC_Refrig[Total kVA])+SUMIF(LC_Mech[Panel Tag],$A421,LC_Mech[Total kVA])+SUMIF(LC_Plumb[Panel Tag],$A421,LC_Plumb[Total kVA])+SUMIF(LC_Kitchen[Panel Tag],$A421,LC_Kitchen[Total kVA])+SUMIF(LC_Elev[Panel Tag],$A421,LC_Elev[Total kVA])+SUMIF(LC_EV[Panel Tag],$A421,LC_EV[Total kVA])+SUMIF(LC_Data[Panel Tag],$A421,LC_Data[Total kVA])+SUMIF(LC_Site[Panel Tag],$A421,LC_Site[Total kVA])+SUMIF(LC_Fire[Panel Tag],$A421,LC_Fire[Total kVA])+SUMIF(LC_Process[Panel Tag],$A421,LC_Process[Total kVA]))</f>
        <v/>
      </c>
      <c r="D421" s="187"/>
      <c r="E421" s="188" t="str">
        <f t="shared" si="0"/>
        <v/>
      </c>
      <c r="F421" s="286" t="str">
        <f t="shared" si="1"/>
        <v/>
      </c>
      <c r="G421" s="284" t="str">
        <f t="shared" si="2"/>
        <v/>
      </c>
      <c r="H421" s="285"/>
    </row>
    <row r="422" spans="1:8" ht="15" customHeight="1" x14ac:dyDescent="0.45">
      <c r="A422" s="284"/>
      <c r="B422" s="285"/>
      <c r="C422" s="184" t="str">
        <f>IF(OR($A422="",LEFT($A422,1)="—"),"",SUMIF(LC_House[Panel Tag],$A422,LC_House[Total kVA])+SUMIF(LC_Dept[Panel Tag],$A422,LC_Dept[Total kVA])+SUMIF(LC_Refrig[Panel Tag],$A422,LC_Refrig[Total kVA])+SUMIF(LC_Mech[Panel Tag],$A422,LC_Mech[Total kVA])+SUMIF(LC_Plumb[Panel Tag],$A422,LC_Plumb[Total kVA])+SUMIF(LC_Kitchen[Panel Tag],$A422,LC_Kitchen[Total kVA])+SUMIF(LC_Elev[Panel Tag],$A422,LC_Elev[Total kVA])+SUMIF(LC_EV[Panel Tag],$A422,LC_EV[Total kVA])+SUMIF(LC_Data[Panel Tag],$A422,LC_Data[Total kVA])+SUMIF(LC_Site[Panel Tag],$A422,LC_Site[Total kVA])+SUMIF(LC_Fire[Panel Tag],$A422,LC_Fire[Total kVA])+SUMIF(LC_Process[Panel Tag],$A422,LC_Process[Total kVA]))</f>
        <v/>
      </c>
      <c r="D422" s="187"/>
      <c r="E422" s="188" t="str">
        <f t="shared" si="0"/>
        <v/>
      </c>
      <c r="F422" s="286" t="str">
        <f t="shared" si="1"/>
        <v/>
      </c>
      <c r="G422" s="284" t="str">
        <f t="shared" si="2"/>
        <v/>
      </c>
      <c r="H422" s="285"/>
    </row>
    <row r="423" spans="1:8" ht="15" customHeight="1" x14ac:dyDescent="0.45">
      <c r="A423" s="284"/>
      <c r="B423" s="285"/>
      <c r="C423" s="184" t="str">
        <f>IF(OR($A423="",LEFT($A423,1)="—"),"",SUMIF(LC_House[Panel Tag],$A423,LC_House[Total kVA])+SUMIF(LC_Dept[Panel Tag],$A423,LC_Dept[Total kVA])+SUMIF(LC_Refrig[Panel Tag],$A423,LC_Refrig[Total kVA])+SUMIF(LC_Mech[Panel Tag],$A423,LC_Mech[Total kVA])+SUMIF(LC_Plumb[Panel Tag],$A423,LC_Plumb[Total kVA])+SUMIF(LC_Kitchen[Panel Tag],$A423,LC_Kitchen[Total kVA])+SUMIF(LC_Elev[Panel Tag],$A423,LC_Elev[Total kVA])+SUMIF(LC_EV[Panel Tag],$A423,LC_EV[Total kVA])+SUMIF(LC_Data[Panel Tag],$A423,LC_Data[Total kVA])+SUMIF(LC_Site[Panel Tag],$A423,LC_Site[Total kVA])+SUMIF(LC_Fire[Panel Tag],$A423,LC_Fire[Total kVA])+SUMIF(LC_Process[Panel Tag],$A423,LC_Process[Total kVA]))</f>
        <v/>
      </c>
      <c r="D423" s="187"/>
      <c r="E423" s="188" t="str">
        <f t="shared" ref="E423:E486" si="5">IF(OR(NOT(ISNUMBER($C423)),NOT(ISNUMBER($D423))),"",$C423-$D423)</f>
        <v/>
      </c>
      <c r="F423" s="286" t="str">
        <f t="shared" ref="F423:F486" si="6">IF(NOT(ISNUMBER($C423)),"",IF(NOT(ISNUMBER($D423)),"link not set",IF(ABS($E423)&lt;=$K$363,"OK","CHECK")))</f>
        <v/>
      </c>
      <c r="G423" s="284" t="str">
        <f t="shared" ref="G423:G486" si="7">IF(NOT(ISNUMBER($C423)),"",IF($B423="","← set Type in column B",IFERROR("='"&amp;$A423&amp;"'!"&amp;VLOOKUP($B423,$J$359:$K$361,2,FALSE),"← Type not recognized")))</f>
        <v/>
      </c>
      <c r="H423" s="285"/>
    </row>
    <row r="424" spans="1:8" ht="15" customHeight="1" x14ac:dyDescent="0.45">
      <c r="A424" s="284"/>
      <c r="B424" s="285"/>
      <c r="C424" s="184" t="str">
        <f>IF(OR($A424="",LEFT($A424,1)="—"),"",SUMIF(LC_House[Panel Tag],$A424,LC_House[Total kVA])+SUMIF(LC_Dept[Panel Tag],$A424,LC_Dept[Total kVA])+SUMIF(LC_Refrig[Panel Tag],$A424,LC_Refrig[Total kVA])+SUMIF(LC_Mech[Panel Tag],$A424,LC_Mech[Total kVA])+SUMIF(LC_Plumb[Panel Tag],$A424,LC_Plumb[Total kVA])+SUMIF(LC_Kitchen[Panel Tag],$A424,LC_Kitchen[Total kVA])+SUMIF(LC_Elev[Panel Tag],$A424,LC_Elev[Total kVA])+SUMIF(LC_EV[Panel Tag],$A424,LC_EV[Total kVA])+SUMIF(LC_Data[Panel Tag],$A424,LC_Data[Total kVA])+SUMIF(LC_Site[Panel Tag],$A424,LC_Site[Total kVA])+SUMIF(LC_Fire[Panel Tag],$A424,LC_Fire[Total kVA])+SUMIF(LC_Process[Panel Tag],$A424,LC_Process[Total kVA]))</f>
        <v/>
      </c>
      <c r="D424" s="187"/>
      <c r="E424" s="188" t="str">
        <f t="shared" si="5"/>
        <v/>
      </c>
      <c r="F424" s="286" t="str">
        <f t="shared" si="6"/>
        <v/>
      </c>
      <c r="G424" s="284" t="str">
        <f t="shared" si="7"/>
        <v/>
      </c>
      <c r="H424" s="285"/>
    </row>
    <row r="425" spans="1:8" ht="15" customHeight="1" x14ac:dyDescent="0.45">
      <c r="A425" s="284"/>
      <c r="B425" s="285"/>
      <c r="C425" s="184" t="str">
        <f>IF(OR($A425="",LEFT($A425,1)="—"),"",SUMIF(LC_House[Panel Tag],$A425,LC_House[Total kVA])+SUMIF(LC_Dept[Panel Tag],$A425,LC_Dept[Total kVA])+SUMIF(LC_Refrig[Panel Tag],$A425,LC_Refrig[Total kVA])+SUMIF(LC_Mech[Panel Tag],$A425,LC_Mech[Total kVA])+SUMIF(LC_Plumb[Panel Tag],$A425,LC_Plumb[Total kVA])+SUMIF(LC_Kitchen[Panel Tag],$A425,LC_Kitchen[Total kVA])+SUMIF(LC_Elev[Panel Tag],$A425,LC_Elev[Total kVA])+SUMIF(LC_EV[Panel Tag],$A425,LC_EV[Total kVA])+SUMIF(LC_Data[Panel Tag],$A425,LC_Data[Total kVA])+SUMIF(LC_Site[Panel Tag],$A425,LC_Site[Total kVA])+SUMIF(LC_Fire[Panel Tag],$A425,LC_Fire[Total kVA])+SUMIF(LC_Process[Panel Tag],$A425,LC_Process[Total kVA]))</f>
        <v/>
      </c>
      <c r="D425" s="187"/>
      <c r="E425" s="188" t="str">
        <f t="shared" si="5"/>
        <v/>
      </c>
      <c r="F425" s="286" t="str">
        <f t="shared" si="6"/>
        <v/>
      </c>
      <c r="G425" s="284" t="str">
        <f t="shared" si="7"/>
        <v/>
      </c>
      <c r="H425" s="285"/>
    </row>
    <row r="426" spans="1:8" ht="15" customHeight="1" x14ac:dyDescent="0.45">
      <c r="A426" s="284"/>
      <c r="B426" s="285"/>
      <c r="C426" s="184" t="str">
        <f>IF(OR($A426="",LEFT($A426,1)="—"),"",SUMIF(LC_House[Panel Tag],$A426,LC_House[Total kVA])+SUMIF(LC_Dept[Panel Tag],$A426,LC_Dept[Total kVA])+SUMIF(LC_Refrig[Panel Tag],$A426,LC_Refrig[Total kVA])+SUMIF(LC_Mech[Panel Tag],$A426,LC_Mech[Total kVA])+SUMIF(LC_Plumb[Panel Tag],$A426,LC_Plumb[Total kVA])+SUMIF(LC_Kitchen[Panel Tag],$A426,LC_Kitchen[Total kVA])+SUMIF(LC_Elev[Panel Tag],$A426,LC_Elev[Total kVA])+SUMIF(LC_EV[Panel Tag],$A426,LC_EV[Total kVA])+SUMIF(LC_Data[Panel Tag],$A426,LC_Data[Total kVA])+SUMIF(LC_Site[Panel Tag],$A426,LC_Site[Total kVA])+SUMIF(LC_Fire[Panel Tag],$A426,LC_Fire[Total kVA])+SUMIF(LC_Process[Panel Tag],$A426,LC_Process[Total kVA]))</f>
        <v/>
      </c>
      <c r="D426" s="187"/>
      <c r="E426" s="188" t="str">
        <f t="shared" si="5"/>
        <v/>
      </c>
      <c r="F426" s="286" t="str">
        <f t="shared" si="6"/>
        <v/>
      </c>
      <c r="G426" s="284" t="str">
        <f t="shared" si="7"/>
        <v/>
      </c>
      <c r="H426" s="285"/>
    </row>
    <row r="427" spans="1:8" ht="15" customHeight="1" x14ac:dyDescent="0.45">
      <c r="A427" s="284"/>
      <c r="B427" s="285"/>
      <c r="C427" s="184" t="str">
        <f>IF(OR($A427="",LEFT($A427,1)="—"),"",SUMIF(LC_House[Panel Tag],$A427,LC_House[Total kVA])+SUMIF(LC_Dept[Panel Tag],$A427,LC_Dept[Total kVA])+SUMIF(LC_Refrig[Panel Tag],$A427,LC_Refrig[Total kVA])+SUMIF(LC_Mech[Panel Tag],$A427,LC_Mech[Total kVA])+SUMIF(LC_Plumb[Panel Tag],$A427,LC_Plumb[Total kVA])+SUMIF(LC_Kitchen[Panel Tag],$A427,LC_Kitchen[Total kVA])+SUMIF(LC_Elev[Panel Tag],$A427,LC_Elev[Total kVA])+SUMIF(LC_EV[Panel Tag],$A427,LC_EV[Total kVA])+SUMIF(LC_Data[Panel Tag],$A427,LC_Data[Total kVA])+SUMIF(LC_Site[Panel Tag],$A427,LC_Site[Total kVA])+SUMIF(LC_Fire[Panel Tag],$A427,LC_Fire[Total kVA])+SUMIF(LC_Process[Panel Tag],$A427,LC_Process[Total kVA]))</f>
        <v/>
      </c>
      <c r="D427" s="187"/>
      <c r="E427" s="188" t="str">
        <f t="shared" si="5"/>
        <v/>
      </c>
      <c r="F427" s="286" t="str">
        <f t="shared" si="6"/>
        <v/>
      </c>
      <c r="G427" s="284" t="str">
        <f t="shared" si="7"/>
        <v/>
      </c>
      <c r="H427" s="285"/>
    </row>
    <row r="428" spans="1:8" ht="15" customHeight="1" x14ac:dyDescent="0.45">
      <c r="A428" s="284"/>
      <c r="B428" s="285"/>
      <c r="C428" s="184" t="str">
        <f>IF(OR($A428="",LEFT($A428,1)="—"),"",SUMIF(LC_House[Panel Tag],$A428,LC_House[Total kVA])+SUMIF(LC_Dept[Panel Tag],$A428,LC_Dept[Total kVA])+SUMIF(LC_Refrig[Panel Tag],$A428,LC_Refrig[Total kVA])+SUMIF(LC_Mech[Panel Tag],$A428,LC_Mech[Total kVA])+SUMIF(LC_Plumb[Panel Tag],$A428,LC_Plumb[Total kVA])+SUMIF(LC_Kitchen[Panel Tag],$A428,LC_Kitchen[Total kVA])+SUMIF(LC_Elev[Panel Tag],$A428,LC_Elev[Total kVA])+SUMIF(LC_EV[Panel Tag],$A428,LC_EV[Total kVA])+SUMIF(LC_Data[Panel Tag],$A428,LC_Data[Total kVA])+SUMIF(LC_Site[Panel Tag],$A428,LC_Site[Total kVA])+SUMIF(LC_Fire[Panel Tag],$A428,LC_Fire[Total kVA])+SUMIF(LC_Process[Panel Tag],$A428,LC_Process[Total kVA]))</f>
        <v/>
      </c>
      <c r="D428" s="187"/>
      <c r="E428" s="188" t="str">
        <f t="shared" si="5"/>
        <v/>
      </c>
      <c r="F428" s="286" t="str">
        <f t="shared" si="6"/>
        <v/>
      </c>
      <c r="G428" s="284" t="str">
        <f t="shared" si="7"/>
        <v/>
      </c>
      <c r="H428" s="285"/>
    </row>
    <row r="429" spans="1:8" ht="15" customHeight="1" x14ac:dyDescent="0.45">
      <c r="A429" s="284"/>
      <c r="B429" s="285"/>
      <c r="C429" s="184" t="str">
        <f>IF(OR($A429="",LEFT($A429,1)="—"),"",SUMIF(LC_House[Panel Tag],$A429,LC_House[Total kVA])+SUMIF(LC_Dept[Panel Tag],$A429,LC_Dept[Total kVA])+SUMIF(LC_Refrig[Panel Tag],$A429,LC_Refrig[Total kVA])+SUMIF(LC_Mech[Panel Tag],$A429,LC_Mech[Total kVA])+SUMIF(LC_Plumb[Panel Tag],$A429,LC_Plumb[Total kVA])+SUMIF(LC_Kitchen[Panel Tag],$A429,LC_Kitchen[Total kVA])+SUMIF(LC_Elev[Panel Tag],$A429,LC_Elev[Total kVA])+SUMIF(LC_EV[Panel Tag],$A429,LC_EV[Total kVA])+SUMIF(LC_Data[Panel Tag],$A429,LC_Data[Total kVA])+SUMIF(LC_Site[Panel Tag],$A429,LC_Site[Total kVA])+SUMIF(LC_Fire[Panel Tag],$A429,LC_Fire[Total kVA])+SUMIF(LC_Process[Panel Tag],$A429,LC_Process[Total kVA]))</f>
        <v/>
      </c>
      <c r="D429" s="187"/>
      <c r="E429" s="188" t="str">
        <f t="shared" si="5"/>
        <v/>
      </c>
      <c r="F429" s="286" t="str">
        <f t="shared" si="6"/>
        <v/>
      </c>
      <c r="G429" s="284" t="str">
        <f t="shared" si="7"/>
        <v/>
      </c>
      <c r="H429" s="285"/>
    </row>
    <row r="430" spans="1:8" ht="15" customHeight="1" x14ac:dyDescent="0.45">
      <c r="A430" s="284"/>
      <c r="B430" s="285"/>
      <c r="C430" s="184" t="str">
        <f>IF(OR($A430="",LEFT($A430,1)="—"),"",SUMIF(LC_House[Panel Tag],$A430,LC_House[Total kVA])+SUMIF(LC_Dept[Panel Tag],$A430,LC_Dept[Total kVA])+SUMIF(LC_Refrig[Panel Tag],$A430,LC_Refrig[Total kVA])+SUMIF(LC_Mech[Panel Tag],$A430,LC_Mech[Total kVA])+SUMIF(LC_Plumb[Panel Tag],$A430,LC_Plumb[Total kVA])+SUMIF(LC_Kitchen[Panel Tag],$A430,LC_Kitchen[Total kVA])+SUMIF(LC_Elev[Panel Tag],$A430,LC_Elev[Total kVA])+SUMIF(LC_EV[Panel Tag],$A430,LC_EV[Total kVA])+SUMIF(LC_Data[Panel Tag],$A430,LC_Data[Total kVA])+SUMIF(LC_Site[Panel Tag],$A430,LC_Site[Total kVA])+SUMIF(LC_Fire[Panel Tag],$A430,LC_Fire[Total kVA])+SUMIF(LC_Process[Panel Tag],$A430,LC_Process[Total kVA]))</f>
        <v/>
      </c>
      <c r="D430" s="187"/>
      <c r="E430" s="188" t="str">
        <f t="shared" si="5"/>
        <v/>
      </c>
      <c r="F430" s="286" t="str">
        <f t="shared" si="6"/>
        <v/>
      </c>
      <c r="G430" s="284" t="str">
        <f t="shared" si="7"/>
        <v/>
      </c>
      <c r="H430" s="285"/>
    </row>
    <row r="431" spans="1:8" ht="15" customHeight="1" x14ac:dyDescent="0.45">
      <c r="A431" s="284"/>
      <c r="B431" s="285"/>
      <c r="C431" s="184" t="str">
        <f>IF(OR($A431="",LEFT($A431,1)="—"),"",SUMIF(LC_House[Panel Tag],$A431,LC_House[Total kVA])+SUMIF(LC_Dept[Panel Tag],$A431,LC_Dept[Total kVA])+SUMIF(LC_Refrig[Panel Tag],$A431,LC_Refrig[Total kVA])+SUMIF(LC_Mech[Panel Tag],$A431,LC_Mech[Total kVA])+SUMIF(LC_Plumb[Panel Tag],$A431,LC_Plumb[Total kVA])+SUMIF(LC_Kitchen[Panel Tag],$A431,LC_Kitchen[Total kVA])+SUMIF(LC_Elev[Panel Tag],$A431,LC_Elev[Total kVA])+SUMIF(LC_EV[Panel Tag],$A431,LC_EV[Total kVA])+SUMIF(LC_Data[Panel Tag],$A431,LC_Data[Total kVA])+SUMIF(LC_Site[Panel Tag],$A431,LC_Site[Total kVA])+SUMIF(LC_Fire[Panel Tag],$A431,LC_Fire[Total kVA])+SUMIF(LC_Process[Panel Tag],$A431,LC_Process[Total kVA]))</f>
        <v/>
      </c>
      <c r="D431" s="187"/>
      <c r="E431" s="188" t="str">
        <f t="shared" si="5"/>
        <v/>
      </c>
      <c r="F431" s="286" t="str">
        <f t="shared" si="6"/>
        <v/>
      </c>
      <c r="G431" s="284" t="str">
        <f t="shared" si="7"/>
        <v/>
      </c>
      <c r="H431" s="285"/>
    </row>
    <row r="432" spans="1:8" ht="15" customHeight="1" x14ac:dyDescent="0.45">
      <c r="A432" s="284"/>
      <c r="B432" s="285"/>
      <c r="C432" s="184" t="str">
        <f>IF(OR($A432="",LEFT($A432,1)="—"),"",SUMIF(LC_House[Panel Tag],$A432,LC_House[Total kVA])+SUMIF(LC_Dept[Panel Tag],$A432,LC_Dept[Total kVA])+SUMIF(LC_Refrig[Panel Tag],$A432,LC_Refrig[Total kVA])+SUMIF(LC_Mech[Panel Tag],$A432,LC_Mech[Total kVA])+SUMIF(LC_Plumb[Panel Tag],$A432,LC_Plumb[Total kVA])+SUMIF(LC_Kitchen[Panel Tag],$A432,LC_Kitchen[Total kVA])+SUMIF(LC_Elev[Panel Tag],$A432,LC_Elev[Total kVA])+SUMIF(LC_EV[Panel Tag],$A432,LC_EV[Total kVA])+SUMIF(LC_Data[Panel Tag],$A432,LC_Data[Total kVA])+SUMIF(LC_Site[Panel Tag],$A432,LC_Site[Total kVA])+SUMIF(LC_Fire[Panel Tag],$A432,LC_Fire[Total kVA])+SUMIF(LC_Process[Panel Tag],$A432,LC_Process[Total kVA]))</f>
        <v/>
      </c>
      <c r="D432" s="187"/>
      <c r="E432" s="188" t="str">
        <f t="shared" si="5"/>
        <v/>
      </c>
      <c r="F432" s="286" t="str">
        <f t="shared" si="6"/>
        <v/>
      </c>
      <c r="G432" s="284" t="str">
        <f t="shared" si="7"/>
        <v/>
      </c>
      <c r="H432" s="285"/>
    </row>
    <row r="433" spans="1:8" ht="15" customHeight="1" x14ac:dyDescent="0.45">
      <c r="A433" s="284"/>
      <c r="B433" s="285"/>
      <c r="C433" s="184" t="str">
        <f>IF(OR($A433="",LEFT($A433,1)="—"),"",SUMIF(LC_House[Panel Tag],$A433,LC_House[Total kVA])+SUMIF(LC_Dept[Panel Tag],$A433,LC_Dept[Total kVA])+SUMIF(LC_Refrig[Panel Tag],$A433,LC_Refrig[Total kVA])+SUMIF(LC_Mech[Panel Tag],$A433,LC_Mech[Total kVA])+SUMIF(LC_Plumb[Panel Tag],$A433,LC_Plumb[Total kVA])+SUMIF(LC_Kitchen[Panel Tag],$A433,LC_Kitchen[Total kVA])+SUMIF(LC_Elev[Panel Tag],$A433,LC_Elev[Total kVA])+SUMIF(LC_EV[Panel Tag],$A433,LC_EV[Total kVA])+SUMIF(LC_Data[Panel Tag],$A433,LC_Data[Total kVA])+SUMIF(LC_Site[Panel Tag],$A433,LC_Site[Total kVA])+SUMIF(LC_Fire[Panel Tag],$A433,LC_Fire[Total kVA])+SUMIF(LC_Process[Panel Tag],$A433,LC_Process[Total kVA]))</f>
        <v/>
      </c>
      <c r="D433" s="187"/>
      <c r="E433" s="188" t="str">
        <f t="shared" si="5"/>
        <v/>
      </c>
      <c r="F433" s="286" t="str">
        <f t="shared" si="6"/>
        <v/>
      </c>
      <c r="G433" s="284" t="str">
        <f t="shared" si="7"/>
        <v/>
      </c>
      <c r="H433" s="285"/>
    </row>
    <row r="434" spans="1:8" ht="15" customHeight="1" x14ac:dyDescent="0.45">
      <c r="A434" s="284"/>
      <c r="B434" s="285"/>
      <c r="C434" s="184" t="str">
        <f>IF(OR($A434="",LEFT($A434,1)="—"),"",SUMIF(LC_House[Panel Tag],$A434,LC_House[Total kVA])+SUMIF(LC_Dept[Panel Tag],$A434,LC_Dept[Total kVA])+SUMIF(LC_Refrig[Panel Tag],$A434,LC_Refrig[Total kVA])+SUMIF(LC_Mech[Panel Tag],$A434,LC_Mech[Total kVA])+SUMIF(LC_Plumb[Panel Tag],$A434,LC_Plumb[Total kVA])+SUMIF(LC_Kitchen[Panel Tag],$A434,LC_Kitchen[Total kVA])+SUMIF(LC_Elev[Panel Tag],$A434,LC_Elev[Total kVA])+SUMIF(LC_EV[Panel Tag],$A434,LC_EV[Total kVA])+SUMIF(LC_Data[Panel Tag],$A434,LC_Data[Total kVA])+SUMIF(LC_Site[Panel Tag],$A434,LC_Site[Total kVA])+SUMIF(LC_Fire[Panel Tag],$A434,LC_Fire[Total kVA])+SUMIF(LC_Process[Panel Tag],$A434,LC_Process[Total kVA]))</f>
        <v/>
      </c>
      <c r="D434" s="187"/>
      <c r="E434" s="188" t="str">
        <f t="shared" si="5"/>
        <v/>
      </c>
      <c r="F434" s="286" t="str">
        <f t="shared" si="6"/>
        <v/>
      </c>
      <c r="G434" s="284" t="str">
        <f t="shared" si="7"/>
        <v/>
      </c>
      <c r="H434" s="285"/>
    </row>
    <row r="435" spans="1:8" ht="15" customHeight="1" x14ac:dyDescent="0.45">
      <c r="A435" s="284"/>
      <c r="B435" s="285"/>
      <c r="C435" s="184" t="str">
        <f>IF(OR($A435="",LEFT($A435,1)="—"),"",SUMIF(LC_House[Panel Tag],$A435,LC_House[Total kVA])+SUMIF(LC_Dept[Panel Tag],$A435,LC_Dept[Total kVA])+SUMIF(LC_Refrig[Panel Tag],$A435,LC_Refrig[Total kVA])+SUMIF(LC_Mech[Panel Tag],$A435,LC_Mech[Total kVA])+SUMIF(LC_Plumb[Panel Tag],$A435,LC_Plumb[Total kVA])+SUMIF(LC_Kitchen[Panel Tag],$A435,LC_Kitchen[Total kVA])+SUMIF(LC_Elev[Panel Tag],$A435,LC_Elev[Total kVA])+SUMIF(LC_EV[Panel Tag],$A435,LC_EV[Total kVA])+SUMIF(LC_Data[Panel Tag],$A435,LC_Data[Total kVA])+SUMIF(LC_Site[Panel Tag],$A435,LC_Site[Total kVA])+SUMIF(LC_Fire[Panel Tag],$A435,LC_Fire[Total kVA])+SUMIF(LC_Process[Panel Tag],$A435,LC_Process[Total kVA]))</f>
        <v/>
      </c>
      <c r="D435" s="187"/>
      <c r="E435" s="188" t="str">
        <f t="shared" si="5"/>
        <v/>
      </c>
      <c r="F435" s="286" t="str">
        <f t="shared" si="6"/>
        <v/>
      </c>
      <c r="G435" s="284" t="str">
        <f t="shared" si="7"/>
        <v/>
      </c>
      <c r="H435" s="285"/>
    </row>
    <row r="436" spans="1:8" ht="15" customHeight="1" x14ac:dyDescent="0.45">
      <c r="A436" s="284"/>
      <c r="B436" s="285"/>
      <c r="C436" s="184" t="str">
        <f>IF(OR($A436="",LEFT($A436,1)="—"),"",SUMIF(LC_House[Panel Tag],$A436,LC_House[Total kVA])+SUMIF(LC_Dept[Panel Tag],$A436,LC_Dept[Total kVA])+SUMIF(LC_Refrig[Panel Tag],$A436,LC_Refrig[Total kVA])+SUMIF(LC_Mech[Panel Tag],$A436,LC_Mech[Total kVA])+SUMIF(LC_Plumb[Panel Tag],$A436,LC_Plumb[Total kVA])+SUMIF(LC_Kitchen[Panel Tag],$A436,LC_Kitchen[Total kVA])+SUMIF(LC_Elev[Panel Tag],$A436,LC_Elev[Total kVA])+SUMIF(LC_EV[Panel Tag],$A436,LC_EV[Total kVA])+SUMIF(LC_Data[Panel Tag],$A436,LC_Data[Total kVA])+SUMIF(LC_Site[Panel Tag],$A436,LC_Site[Total kVA])+SUMIF(LC_Fire[Panel Tag],$A436,LC_Fire[Total kVA])+SUMIF(LC_Process[Panel Tag],$A436,LC_Process[Total kVA]))</f>
        <v/>
      </c>
      <c r="D436" s="187"/>
      <c r="E436" s="188" t="str">
        <f t="shared" si="5"/>
        <v/>
      </c>
      <c r="F436" s="286" t="str">
        <f t="shared" si="6"/>
        <v/>
      </c>
      <c r="G436" s="284" t="str">
        <f t="shared" si="7"/>
        <v/>
      </c>
      <c r="H436" s="285"/>
    </row>
    <row r="437" spans="1:8" ht="15" customHeight="1" x14ac:dyDescent="0.45">
      <c r="A437" s="284"/>
      <c r="B437" s="285"/>
      <c r="C437" s="184" t="str">
        <f>IF(OR($A437="",LEFT($A437,1)="—"),"",SUMIF(LC_House[Panel Tag],$A437,LC_House[Total kVA])+SUMIF(LC_Dept[Panel Tag],$A437,LC_Dept[Total kVA])+SUMIF(LC_Refrig[Panel Tag],$A437,LC_Refrig[Total kVA])+SUMIF(LC_Mech[Panel Tag],$A437,LC_Mech[Total kVA])+SUMIF(LC_Plumb[Panel Tag],$A437,LC_Plumb[Total kVA])+SUMIF(LC_Kitchen[Panel Tag],$A437,LC_Kitchen[Total kVA])+SUMIF(LC_Elev[Panel Tag],$A437,LC_Elev[Total kVA])+SUMIF(LC_EV[Panel Tag],$A437,LC_EV[Total kVA])+SUMIF(LC_Data[Panel Tag],$A437,LC_Data[Total kVA])+SUMIF(LC_Site[Panel Tag],$A437,LC_Site[Total kVA])+SUMIF(LC_Fire[Panel Tag],$A437,LC_Fire[Total kVA])+SUMIF(LC_Process[Panel Tag],$A437,LC_Process[Total kVA]))</f>
        <v/>
      </c>
      <c r="D437" s="187"/>
      <c r="E437" s="188" t="str">
        <f t="shared" si="5"/>
        <v/>
      </c>
      <c r="F437" s="286" t="str">
        <f t="shared" si="6"/>
        <v/>
      </c>
      <c r="G437" s="284" t="str">
        <f t="shared" si="7"/>
        <v/>
      </c>
      <c r="H437" s="285"/>
    </row>
    <row r="438" spans="1:8" ht="15" customHeight="1" x14ac:dyDescent="0.45">
      <c r="A438" s="284"/>
      <c r="B438" s="285"/>
      <c r="C438" s="184" t="str">
        <f>IF(OR($A438="",LEFT($A438,1)="—"),"",SUMIF(LC_House[Panel Tag],$A438,LC_House[Total kVA])+SUMIF(LC_Dept[Panel Tag],$A438,LC_Dept[Total kVA])+SUMIF(LC_Refrig[Panel Tag],$A438,LC_Refrig[Total kVA])+SUMIF(LC_Mech[Panel Tag],$A438,LC_Mech[Total kVA])+SUMIF(LC_Plumb[Panel Tag],$A438,LC_Plumb[Total kVA])+SUMIF(LC_Kitchen[Panel Tag],$A438,LC_Kitchen[Total kVA])+SUMIF(LC_Elev[Panel Tag],$A438,LC_Elev[Total kVA])+SUMIF(LC_EV[Panel Tag],$A438,LC_EV[Total kVA])+SUMIF(LC_Data[Panel Tag],$A438,LC_Data[Total kVA])+SUMIF(LC_Site[Panel Tag],$A438,LC_Site[Total kVA])+SUMIF(LC_Fire[Panel Tag],$A438,LC_Fire[Total kVA])+SUMIF(LC_Process[Panel Tag],$A438,LC_Process[Total kVA]))</f>
        <v/>
      </c>
      <c r="D438" s="187"/>
      <c r="E438" s="188" t="str">
        <f t="shared" si="5"/>
        <v/>
      </c>
      <c r="F438" s="286" t="str">
        <f t="shared" si="6"/>
        <v/>
      </c>
      <c r="G438" s="284" t="str">
        <f t="shared" si="7"/>
        <v/>
      </c>
      <c r="H438" s="285"/>
    </row>
    <row r="439" spans="1:8" ht="15" customHeight="1" x14ac:dyDescent="0.45">
      <c r="A439" s="284"/>
      <c r="B439" s="285"/>
      <c r="C439" s="184" t="str">
        <f>IF(OR($A439="",LEFT($A439,1)="—"),"",SUMIF(LC_House[Panel Tag],$A439,LC_House[Total kVA])+SUMIF(LC_Dept[Panel Tag],$A439,LC_Dept[Total kVA])+SUMIF(LC_Refrig[Panel Tag],$A439,LC_Refrig[Total kVA])+SUMIF(LC_Mech[Panel Tag],$A439,LC_Mech[Total kVA])+SUMIF(LC_Plumb[Panel Tag],$A439,LC_Plumb[Total kVA])+SUMIF(LC_Kitchen[Panel Tag],$A439,LC_Kitchen[Total kVA])+SUMIF(LC_Elev[Panel Tag],$A439,LC_Elev[Total kVA])+SUMIF(LC_EV[Panel Tag],$A439,LC_EV[Total kVA])+SUMIF(LC_Data[Panel Tag],$A439,LC_Data[Total kVA])+SUMIF(LC_Site[Panel Tag],$A439,LC_Site[Total kVA])+SUMIF(LC_Fire[Panel Tag],$A439,LC_Fire[Total kVA])+SUMIF(LC_Process[Panel Tag],$A439,LC_Process[Total kVA]))</f>
        <v/>
      </c>
      <c r="D439" s="187"/>
      <c r="E439" s="188" t="str">
        <f t="shared" si="5"/>
        <v/>
      </c>
      <c r="F439" s="286" t="str">
        <f t="shared" si="6"/>
        <v/>
      </c>
      <c r="G439" s="284" t="str">
        <f t="shared" si="7"/>
        <v/>
      </c>
      <c r="H439" s="285"/>
    </row>
    <row r="440" spans="1:8" ht="15" customHeight="1" x14ac:dyDescent="0.45">
      <c r="A440" s="284"/>
      <c r="B440" s="285"/>
      <c r="C440" s="184" t="str">
        <f>IF(OR($A440="",LEFT($A440,1)="—"),"",SUMIF(LC_House[Panel Tag],$A440,LC_House[Total kVA])+SUMIF(LC_Dept[Panel Tag],$A440,LC_Dept[Total kVA])+SUMIF(LC_Refrig[Panel Tag],$A440,LC_Refrig[Total kVA])+SUMIF(LC_Mech[Panel Tag],$A440,LC_Mech[Total kVA])+SUMIF(LC_Plumb[Panel Tag],$A440,LC_Plumb[Total kVA])+SUMIF(LC_Kitchen[Panel Tag],$A440,LC_Kitchen[Total kVA])+SUMIF(LC_Elev[Panel Tag],$A440,LC_Elev[Total kVA])+SUMIF(LC_EV[Panel Tag],$A440,LC_EV[Total kVA])+SUMIF(LC_Data[Panel Tag],$A440,LC_Data[Total kVA])+SUMIF(LC_Site[Panel Tag],$A440,LC_Site[Total kVA])+SUMIF(LC_Fire[Panel Tag],$A440,LC_Fire[Total kVA])+SUMIF(LC_Process[Panel Tag],$A440,LC_Process[Total kVA]))</f>
        <v/>
      </c>
      <c r="D440" s="187"/>
      <c r="E440" s="188" t="str">
        <f t="shared" si="5"/>
        <v/>
      </c>
      <c r="F440" s="286" t="str">
        <f t="shared" si="6"/>
        <v/>
      </c>
      <c r="G440" s="284" t="str">
        <f t="shared" si="7"/>
        <v/>
      </c>
      <c r="H440" s="285"/>
    </row>
    <row r="441" spans="1:8" ht="15" customHeight="1" x14ac:dyDescent="0.45">
      <c r="A441" s="284"/>
      <c r="B441" s="285"/>
      <c r="C441" s="184" t="str">
        <f>IF(OR($A441="",LEFT($A441,1)="—"),"",SUMIF(LC_House[Panel Tag],$A441,LC_House[Total kVA])+SUMIF(LC_Dept[Panel Tag],$A441,LC_Dept[Total kVA])+SUMIF(LC_Refrig[Panel Tag],$A441,LC_Refrig[Total kVA])+SUMIF(LC_Mech[Panel Tag],$A441,LC_Mech[Total kVA])+SUMIF(LC_Plumb[Panel Tag],$A441,LC_Plumb[Total kVA])+SUMIF(LC_Kitchen[Panel Tag],$A441,LC_Kitchen[Total kVA])+SUMIF(LC_Elev[Panel Tag],$A441,LC_Elev[Total kVA])+SUMIF(LC_EV[Panel Tag],$A441,LC_EV[Total kVA])+SUMIF(LC_Data[Panel Tag],$A441,LC_Data[Total kVA])+SUMIF(LC_Site[Panel Tag],$A441,LC_Site[Total kVA])+SUMIF(LC_Fire[Panel Tag],$A441,LC_Fire[Total kVA])+SUMIF(LC_Process[Panel Tag],$A441,LC_Process[Total kVA]))</f>
        <v/>
      </c>
      <c r="D441" s="187"/>
      <c r="E441" s="188" t="str">
        <f t="shared" si="5"/>
        <v/>
      </c>
      <c r="F441" s="286" t="str">
        <f t="shared" si="6"/>
        <v/>
      </c>
      <c r="G441" s="284" t="str">
        <f t="shared" si="7"/>
        <v/>
      </c>
      <c r="H441" s="285"/>
    </row>
    <row r="442" spans="1:8" ht="15" customHeight="1" x14ac:dyDescent="0.45">
      <c r="A442" s="284"/>
      <c r="B442" s="285"/>
      <c r="C442" s="184" t="str">
        <f>IF(OR($A442="",LEFT($A442,1)="—"),"",SUMIF(LC_House[Panel Tag],$A442,LC_House[Total kVA])+SUMIF(LC_Dept[Panel Tag],$A442,LC_Dept[Total kVA])+SUMIF(LC_Refrig[Panel Tag],$A442,LC_Refrig[Total kVA])+SUMIF(LC_Mech[Panel Tag],$A442,LC_Mech[Total kVA])+SUMIF(LC_Plumb[Panel Tag],$A442,LC_Plumb[Total kVA])+SUMIF(LC_Kitchen[Panel Tag],$A442,LC_Kitchen[Total kVA])+SUMIF(LC_Elev[Panel Tag],$A442,LC_Elev[Total kVA])+SUMIF(LC_EV[Panel Tag],$A442,LC_EV[Total kVA])+SUMIF(LC_Data[Panel Tag],$A442,LC_Data[Total kVA])+SUMIF(LC_Site[Panel Tag],$A442,LC_Site[Total kVA])+SUMIF(LC_Fire[Panel Tag],$A442,LC_Fire[Total kVA])+SUMIF(LC_Process[Panel Tag],$A442,LC_Process[Total kVA]))</f>
        <v/>
      </c>
      <c r="D442" s="187"/>
      <c r="E442" s="188" t="str">
        <f t="shared" si="5"/>
        <v/>
      </c>
      <c r="F442" s="286" t="str">
        <f t="shared" si="6"/>
        <v/>
      </c>
      <c r="G442" s="284" t="str">
        <f t="shared" si="7"/>
        <v/>
      </c>
      <c r="H442" s="285"/>
    </row>
    <row r="443" spans="1:8" ht="15" customHeight="1" x14ac:dyDescent="0.45">
      <c r="A443" s="284"/>
      <c r="B443" s="285"/>
      <c r="C443" s="184" t="str">
        <f>IF(OR($A443="",LEFT($A443,1)="—"),"",SUMIF(LC_House[Panel Tag],$A443,LC_House[Total kVA])+SUMIF(LC_Dept[Panel Tag],$A443,LC_Dept[Total kVA])+SUMIF(LC_Refrig[Panel Tag],$A443,LC_Refrig[Total kVA])+SUMIF(LC_Mech[Panel Tag],$A443,LC_Mech[Total kVA])+SUMIF(LC_Plumb[Panel Tag],$A443,LC_Plumb[Total kVA])+SUMIF(LC_Kitchen[Panel Tag],$A443,LC_Kitchen[Total kVA])+SUMIF(LC_Elev[Panel Tag],$A443,LC_Elev[Total kVA])+SUMIF(LC_EV[Panel Tag],$A443,LC_EV[Total kVA])+SUMIF(LC_Data[Panel Tag],$A443,LC_Data[Total kVA])+SUMIF(LC_Site[Panel Tag],$A443,LC_Site[Total kVA])+SUMIF(LC_Fire[Panel Tag],$A443,LC_Fire[Total kVA])+SUMIF(LC_Process[Panel Tag],$A443,LC_Process[Total kVA]))</f>
        <v/>
      </c>
      <c r="D443" s="187"/>
      <c r="E443" s="188" t="str">
        <f t="shared" si="5"/>
        <v/>
      </c>
      <c r="F443" s="286" t="str">
        <f t="shared" si="6"/>
        <v/>
      </c>
      <c r="G443" s="284" t="str">
        <f t="shared" si="7"/>
        <v/>
      </c>
      <c r="H443" s="285"/>
    </row>
    <row r="444" spans="1:8" ht="15" customHeight="1" x14ac:dyDescent="0.45">
      <c r="A444" s="284"/>
      <c r="B444" s="285"/>
      <c r="C444" s="184" t="str">
        <f>IF(OR($A444="",LEFT($A444,1)="—"),"",SUMIF(LC_House[Panel Tag],$A444,LC_House[Total kVA])+SUMIF(LC_Dept[Panel Tag],$A444,LC_Dept[Total kVA])+SUMIF(LC_Refrig[Panel Tag],$A444,LC_Refrig[Total kVA])+SUMIF(LC_Mech[Panel Tag],$A444,LC_Mech[Total kVA])+SUMIF(LC_Plumb[Panel Tag],$A444,LC_Plumb[Total kVA])+SUMIF(LC_Kitchen[Panel Tag],$A444,LC_Kitchen[Total kVA])+SUMIF(LC_Elev[Panel Tag],$A444,LC_Elev[Total kVA])+SUMIF(LC_EV[Panel Tag],$A444,LC_EV[Total kVA])+SUMIF(LC_Data[Panel Tag],$A444,LC_Data[Total kVA])+SUMIF(LC_Site[Panel Tag],$A444,LC_Site[Total kVA])+SUMIF(LC_Fire[Panel Tag],$A444,LC_Fire[Total kVA])+SUMIF(LC_Process[Panel Tag],$A444,LC_Process[Total kVA]))</f>
        <v/>
      </c>
      <c r="D444" s="187"/>
      <c r="E444" s="188" t="str">
        <f t="shared" si="5"/>
        <v/>
      </c>
      <c r="F444" s="286" t="str">
        <f t="shared" si="6"/>
        <v/>
      </c>
      <c r="G444" s="284" t="str">
        <f t="shared" si="7"/>
        <v/>
      </c>
      <c r="H444" s="285"/>
    </row>
    <row r="445" spans="1:8" ht="15" customHeight="1" x14ac:dyDescent="0.45">
      <c r="A445" s="284"/>
      <c r="B445" s="285"/>
      <c r="C445" s="184" t="str">
        <f>IF(OR($A445="",LEFT($A445,1)="—"),"",SUMIF(LC_House[Panel Tag],$A445,LC_House[Total kVA])+SUMIF(LC_Dept[Panel Tag],$A445,LC_Dept[Total kVA])+SUMIF(LC_Refrig[Panel Tag],$A445,LC_Refrig[Total kVA])+SUMIF(LC_Mech[Panel Tag],$A445,LC_Mech[Total kVA])+SUMIF(LC_Plumb[Panel Tag],$A445,LC_Plumb[Total kVA])+SUMIF(LC_Kitchen[Panel Tag],$A445,LC_Kitchen[Total kVA])+SUMIF(LC_Elev[Panel Tag],$A445,LC_Elev[Total kVA])+SUMIF(LC_EV[Panel Tag],$A445,LC_EV[Total kVA])+SUMIF(LC_Data[Panel Tag],$A445,LC_Data[Total kVA])+SUMIF(LC_Site[Panel Tag],$A445,LC_Site[Total kVA])+SUMIF(LC_Fire[Panel Tag],$A445,LC_Fire[Total kVA])+SUMIF(LC_Process[Panel Tag],$A445,LC_Process[Total kVA]))</f>
        <v/>
      </c>
      <c r="D445" s="187"/>
      <c r="E445" s="188" t="str">
        <f t="shared" si="5"/>
        <v/>
      </c>
      <c r="F445" s="286" t="str">
        <f t="shared" si="6"/>
        <v/>
      </c>
      <c r="G445" s="284" t="str">
        <f t="shared" si="7"/>
        <v/>
      </c>
      <c r="H445" s="285"/>
    </row>
    <row r="446" spans="1:8" ht="15" customHeight="1" x14ac:dyDescent="0.45">
      <c r="A446" s="284"/>
      <c r="B446" s="285"/>
      <c r="C446" s="184" t="str">
        <f>IF(OR($A446="",LEFT($A446,1)="—"),"",SUMIF(LC_House[Panel Tag],$A446,LC_House[Total kVA])+SUMIF(LC_Dept[Panel Tag],$A446,LC_Dept[Total kVA])+SUMIF(LC_Refrig[Panel Tag],$A446,LC_Refrig[Total kVA])+SUMIF(LC_Mech[Panel Tag],$A446,LC_Mech[Total kVA])+SUMIF(LC_Plumb[Panel Tag],$A446,LC_Plumb[Total kVA])+SUMIF(LC_Kitchen[Panel Tag],$A446,LC_Kitchen[Total kVA])+SUMIF(LC_Elev[Panel Tag],$A446,LC_Elev[Total kVA])+SUMIF(LC_EV[Panel Tag],$A446,LC_EV[Total kVA])+SUMIF(LC_Data[Panel Tag],$A446,LC_Data[Total kVA])+SUMIF(LC_Site[Panel Tag],$A446,LC_Site[Total kVA])+SUMIF(LC_Fire[Panel Tag],$A446,LC_Fire[Total kVA])+SUMIF(LC_Process[Panel Tag],$A446,LC_Process[Total kVA]))</f>
        <v/>
      </c>
      <c r="D446" s="187"/>
      <c r="E446" s="188" t="str">
        <f t="shared" si="5"/>
        <v/>
      </c>
      <c r="F446" s="286" t="str">
        <f t="shared" si="6"/>
        <v/>
      </c>
      <c r="G446" s="284" t="str">
        <f t="shared" si="7"/>
        <v/>
      </c>
      <c r="H446" s="285"/>
    </row>
    <row r="447" spans="1:8" ht="15" customHeight="1" x14ac:dyDescent="0.45">
      <c r="A447" s="284"/>
      <c r="B447" s="285"/>
      <c r="C447" s="184" t="str">
        <f>IF(OR($A447="",LEFT($A447,1)="—"),"",SUMIF(LC_House[Panel Tag],$A447,LC_House[Total kVA])+SUMIF(LC_Dept[Panel Tag],$A447,LC_Dept[Total kVA])+SUMIF(LC_Refrig[Panel Tag],$A447,LC_Refrig[Total kVA])+SUMIF(LC_Mech[Panel Tag],$A447,LC_Mech[Total kVA])+SUMIF(LC_Plumb[Panel Tag],$A447,LC_Plumb[Total kVA])+SUMIF(LC_Kitchen[Panel Tag],$A447,LC_Kitchen[Total kVA])+SUMIF(LC_Elev[Panel Tag],$A447,LC_Elev[Total kVA])+SUMIF(LC_EV[Panel Tag],$A447,LC_EV[Total kVA])+SUMIF(LC_Data[Panel Tag],$A447,LC_Data[Total kVA])+SUMIF(LC_Site[Panel Tag],$A447,LC_Site[Total kVA])+SUMIF(LC_Fire[Panel Tag],$A447,LC_Fire[Total kVA])+SUMIF(LC_Process[Panel Tag],$A447,LC_Process[Total kVA]))</f>
        <v/>
      </c>
      <c r="D447" s="187"/>
      <c r="E447" s="188" t="str">
        <f t="shared" si="5"/>
        <v/>
      </c>
      <c r="F447" s="286" t="str">
        <f t="shared" si="6"/>
        <v/>
      </c>
      <c r="G447" s="284" t="str">
        <f t="shared" si="7"/>
        <v/>
      </c>
      <c r="H447" s="285"/>
    </row>
    <row r="448" spans="1:8" ht="15" customHeight="1" x14ac:dyDescent="0.45">
      <c r="A448" s="284"/>
      <c r="B448" s="285"/>
      <c r="C448" s="184" t="str">
        <f>IF(OR($A448="",LEFT($A448,1)="—"),"",SUMIF(LC_House[Panel Tag],$A448,LC_House[Total kVA])+SUMIF(LC_Dept[Panel Tag],$A448,LC_Dept[Total kVA])+SUMIF(LC_Refrig[Panel Tag],$A448,LC_Refrig[Total kVA])+SUMIF(LC_Mech[Panel Tag],$A448,LC_Mech[Total kVA])+SUMIF(LC_Plumb[Panel Tag],$A448,LC_Plumb[Total kVA])+SUMIF(LC_Kitchen[Panel Tag],$A448,LC_Kitchen[Total kVA])+SUMIF(LC_Elev[Panel Tag],$A448,LC_Elev[Total kVA])+SUMIF(LC_EV[Panel Tag],$A448,LC_EV[Total kVA])+SUMIF(LC_Data[Panel Tag],$A448,LC_Data[Total kVA])+SUMIF(LC_Site[Panel Tag],$A448,LC_Site[Total kVA])+SUMIF(LC_Fire[Panel Tag],$A448,LC_Fire[Total kVA])+SUMIF(LC_Process[Panel Tag],$A448,LC_Process[Total kVA]))</f>
        <v/>
      </c>
      <c r="D448" s="187"/>
      <c r="E448" s="188" t="str">
        <f t="shared" si="5"/>
        <v/>
      </c>
      <c r="F448" s="286" t="str">
        <f t="shared" si="6"/>
        <v/>
      </c>
      <c r="G448" s="284" t="str">
        <f t="shared" si="7"/>
        <v/>
      </c>
      <c r="H448" s="285"/>
    </row>
    <row r="449" spans="1:8" ht="15" customHeight="1" x14ac:dyDescent="0.45">
      <c r="A449" s="284"/>
      <c r="B449" s="285"/>
      <c r="C449" s="184" t="str">
        <f>IF(OR($A449="",LEFT($A449,1)="—"),"",SUMIF(LC_House[Panel Tag],$A449,LC_House[Total kVA])+SUMIF(LC_Dept[Panel Tag],$A449,LC_Dept[Total kVA])+SUMIF(LC_Refrig[Panel Tag],$A449,LC_Refrig[Total kVA])+SUMIF(LC_Mech[Panel Tag],$A449,LC_Mech[Total kVA])+SUMIF(LC_Plumb[Panel Tag],$A449,LC_Plumb[Total kVA])+SUMIF(LC_Kitchen[Panel Tag],$A449,LC_Kitchen[Total kVA])+SUMIF(LC_Elev[Panel Tag],$A449,LC_Elev[Total kVA])+SUMIF(LC_EV[Panel Tag],$A449,LC_EV[Total kVA])+SUMIF(LC_Data[Panel Tag],$A449,LC_Data[Total kVA])+SUMIF(LC_Site[Panel Tag],$A449,LC_Site[Total kVA])+SUMIF(LC_Fire[Panel Tag],$A449,LC_Fire[Total kVA])+SUMIF(LC_Process[Panel Tag],$A449,LC_Process[Total kVA]))</f>
        <v/>
      </c>
      <c r="D449" s="187"/>
      <c r="E449" s="188" t="str">
        <f t="shared" si="5"/>
        <v/>
      </c>
      <c r="F449" s="286" t="str">
        <f t="shared" si="6"/>
        <v/>
      </c>
      <c r="G449" s="284" t="str">
        <f t="shared" si="7"/>
        <v/>
      </c>
      <c r="H449" s="285"/>
    </row>
    <row r="450" spans="1:8" ht="15" customHeight="1" x14ac:dyDescent="0.45">
      <c r="A450" s="284"/>
      <c r="B450" s="285"/>
      <c r="C450" s="184" t="str">
        <f>IF(OR($A450="",LEFT($A450,1)="—"),"",SUMIF(LC_House[Panel Tag],$A450,LC_House[Total kVA])+SUMIF(LC_Dept[Panel Tag],$A450,LC_Dept[Total kVA])+SUMIF(LC_Refrig[Panel Tag],$A450,LC_Refrig[Total kVA])+SUMIF(LC_Mech[Panel Tag],$A450,LC_Mech[Total kVA])+SUMIF(LC_Plumb[Panel Tag],$A450,LC_Plumb[Total kVA])+SUMIF(LC_Kitchen[Panel Tag],$A450,LC_Kitchen[Total kVA])+SUMIF(LC_Elev[Panel Tag],$A450,LC_Elev[Total kVA])+SUMIF(LC_EV[Panel Tag],$A450,LC_EV[Total kVA])+SUMIF(LC_Data[Panel Tag],$A450,LC_Data[Total kVA])+SUMIF(LC_Site[Panel Tag],$A450,LC_Site[Total kVA])+SUMIF(LC_Fire[Panel Tag],$A450,LC_Fire[Total kVA])+SUMIF(LC_Process[Panel Tag],$A450,LC_Process[Total kVA]))</f>
        <v/>
      </c>
      <c r="D450" s="187"/>
      <c r="E450" s="188" t="str">
        <f t="shared" si="5"/>
        <v/>
      </c>
      <c r="F450" s="286" t="str">
        <f t="shared" si="6"/>
        <v/>
      </c>
      <c r="G450" s="284" t="str">
        <f t="shared" si="7"/>
        <v/>
      </c>
      <c r="H450" s="285"/>
    </row>
    <row r="451" spans="1:8" ht="15" customHeight="1" x14ac:dyDescent="0.45">
      <c r="A451" s="284"/>
      <c r="B451" s="285"/>
      <c r="C451" s="184" t="str">
        <f>IF(OR($A451="",LEFT($A451,1)="—"),"",SUMIF(LC_House[Panel Tag],$A451,LC_House[Total kVA])+SUMIF(LC_Dept[Panel Tag],$A451,LC_Dept[Total kVA])+SUMIF(LC_Refrig[Panel Tag],$A451,LC_Refrig[Total kVA])+SUMIF(LC_Mech[Panel Tag],$A451,LC_Mech[Total kVA])+SUMIF(LC_Plumb[Panel Tag],$A451,LC_Plumb[Total kVA])+SUMIF(LC_Kitchen[Panel Tag],$A451,LC_Kitchen[Total kVA])+SUMIF(LC_Elev[Panel Tag],$A451,LC_Elev[Total kVA])+SUMIF(LC_EV[Panel Tag],$A451,LC_EV[Total kVA])+SUMIF(LC_Data[Panel Tag],$A451,LC_Data[Total kVA])+SUMIF(LC_Site[Panel Tag],$A451,LC_Site[Total kVA])+SUMIF(LC_Fire[Panel Tag],$A451,LC_Fire[Total kVA])+SUMIF(LC_Process[Panel Tag],$A451,LC_Process[Total kVA]))</f>
        <v/>
      </c>
      <c r="D451" s="187"/>
      <c r="E451" s="188" t="str">
        <f t="shared" si="5"/>
        <v/>
      </c>
      <c r="F451" s="286" t="str">
        <f t="shared" si="6"/>
        <v/>
      </c>
      <c r="G451" s="284" t="str">
        <f t="shared" si="7"/>
        <v/>
      </c>
      <c r="H451" s="285"/>
    </row>
    <row r="452" spans="1:8" ht="15" customHeight="1" x14ac:dyDescent="0.45">
      <c r="A452" s="284"/>
      <c r="B452" s="285"/>
      <c r="C452" s="184" t="str">
        <f>IF(OR($A452="",LEFT($A452,1)="—"),"",SUMIF(LC_House[Panel Tag],$A452,LC_House[Total kVA])+SUMIF(LC_Dept[Panel Tag],$A452,LC_Dept[Total kVA])+SUMIF(LC_Refrig[Panel Tag],$A452,LC_Refrig[Total kVA])+SUMIF(LC_Mech[Panel Tag],$A452,LC_Mech[Total kVA])+SUMIF(LC_Plumb[Panel Tag],$A452,LC_Plumb[Total kVA])+SUMIF(LC_Kitchen[Panel Tag],$A452,LC_Kitchen[Total kVA])+SUMIF(LC_Elev[Panel Tag],$A452,LC_Elev[Total kVA])+SUMIF(LC_EV[Panel Tag],$A452,LC_EV[Total kVA])+SUMIF(LC_Data[Panel Tag],$A452,LC_Data[Total kVA])+SUMIF(LC_Site[Panel Tag],$A452,LC_Site[Total kVA])+SUMIF(LC_Fire[Panel Tag],$A452,LC_Fire[Total kVA])+SUMIF(LC_Process[Panel Tag],$A452,LC_Process[Total kVA]))</f>
        <v/>
      </c>
      <c r="D452" s="187"/>
      <c r="E452" s="188" t="str">
        <f t="shared" si="5"/>
        <v/>
      </c>
      <c r="F452" s="286" t="str">
        <f t="shared" si="6"/>
        <v/>
      </c>
      <c r="G452" s="284" t="str">
        <f t="shared" si="7"/>
        <v/>
      </c>
      <c r="H452" s="285"/>
    </row>
    <row r="453" spans="1:8" ht="15" customHeight="1" x14ac:dyDescent="0.45">
      <c r="A453" s="284"/>
      <c r="B453" s="285"/>
      <c r="C453" s="184" t="str">
        <f>IF(OR($A453="",LEFT($A453,1)="—"),"",SUMIF(LC_House[Panel Tag],$A453,LC_House[Total kVA])+SUMIF(LC_Dept[Panel Tag],$A453,LC_Dept[Total kVA])+SUMIF(LC_Refrig[Panel Tag],$A453,LC_Refrig[Total kVA])+SUMIF(LC_Mech[Panel Tag],$A453,LC_Mech[Total kVA])+SUMIF(LC_Plumb[Panel Tag],$A453,LC_Plumb[Total kVA])+SUMIF(LC_Kitchen[Panel Tag],$A453,LC_Kitchen[Total kVA])+SUMIF(LC_Elev[Panel Tag],$A453,LC_Elev[Total kVA])+SUMIF(LC_EV[Panel Tag],$A453,LC_EV[Total kVA])+SUMIF(LC_Data[Panel Tag],$A453,LC_Data[Total kVA])+SUMIF(LC_Site[Panel Tag],$A453,LC_Site[Total kVA])+SUMIF(LC_Fire[Panel Tag],$A453,LC_Fire[Total kVA])+SUMIF(LC_Process[Panel Tag],$A453,LC_Process[Total kVA]))</f>
        <v/>
      </c>
      <c r="D453" s="187"/>
      <c r="E453" s="188" t="str">
        <f t="shared" si="5"/>
        <v/>
      </c>
      <c r="F453" s="286" t="str">
        <f t="shared" si="6"/>
        <v/>
      </c>
      <c r="G453" s="284" t="str">
        <f t="shared" si="7"/>
        <v/>
      </c>
      <c r="H453" s="285"/>
    </row>
    <row r="454" spans="1:8" ht="15" customHeight="1" x14ac:dyDescent="0.45">
      <c r="A454" s="284"/>
      <c r="B454" s="285"/>
      <c r="C454" s="184" t="str">
        <f>IF(OR($A454="",LEFT($A454,1)="—"),"",SUMIF(LC_House[Panel Tag],$A454,LC_House[Total kVA])+SUMIF(LC_Dept[Panel Tag],$A454,LC_Dept[Total kVA])+SUMIF(LC_Refrig[Panel Tag],$A454,LC_Refrig[Total kVA])+SUMIF(LC_Mech[Panel Tag],$A454,LC_Mech[Total kVA])+SUMIF(LC_Plumb[Panel Tag],$A454,LC_Plumb[Total kVA])+SUMIF(LC_Kitchen[Panel Tag],$A454,LC_Kitchen[Total kVA])+SUMIF(LC_Elev[Panel Tag],$A454,LC_Elev[Total kVA])+SUMIF(LC_EV[Panel Tag],$A454,LC_EV[Total kVA])+SUMIF(LC_Data[Panel Tag],$A454,LC_Data[Total kVA])+SUMIF(LC_Site[Panel Tag],$A454,LC_Site[Total kVA])+SUMIF(LC_Fire[Panel Tag],$A454,LC_Fire[Total kVA])+SUMIF(LC_Process[Panel Tag],$A454,LC_Process[Total kVA]))</f>
        <v/>
      </c>
      <c r="D454" s="187"/>
      <c r="E454" s="188" t="str">
        <f t="shared" si="5"/>
        <v/>
      </c>
      <c r="F454" s="286" t="str">
        <f t="shared" si="6"/>
        <v/>
      </c>
      <c r="G454" s="284" t="str">
        <f t="shared" si="7"/>
        <v/>
      </c>
      <c r="H454" s="285"/>
    </row>
    <row r="455" spans="1:8" ht="15" customHeight="1" x14ac:dyDescent="0.45">
      <c r="A455" s="284"/>
      <c r="B455" s="285"/>
      <c r="C455" s="184" t="str">
        <f>IF(OR($A455="",LEFT($A455,1)="—"),"",SUMIF(LC_House[Panel Tag],$A455,LC_House[Total kVA])+SUMIF(LC_Dept[Panel Tag],$A455,LC_Dept[Total kVA])+SUMIF(LC_Refrig[Panel Tag],$A455,LC_Refrig[Total kVA])+SUMIF(LC_Mech[Panel Tag],$A455,LC_Mech[Total kVA])+SUMIF(LC_Plumb[Panel Tag],$A455,LC_Plumb[Total kVA])+SUMIF(LC_Kitchen[Panel Tag],$A455,LC_Kitchen[Total kVA])+SUMIF(LC_Elev[Panel Tag],$A455,LC_Elev[Total kVA])+SUMIF(LC_EV[Panel Tag],$A455,LC_EV[Total kVA])+SUMIF(LC_Data[Panel Tag],$A455,LC_Data[Total kVA])+SUMIF(LC_Site[Panel Tag],$A455,LC_Site[Total kVA])+SUMIF(LC_Fire[Panel Tag],$A455,LC_Fire[Total kVA])+SUMIF(LC_Process[Panel Tag],$A455,LC_Process[Total kVA]))</f>
        <v/>
      </c>
      <c r="D455" s="187"/>
      <c r="E455" s="188" t="str">
        <f t="shared" si="5"/>
        <v/>
      </c>
      <c r="F455" s="286" t="str">
        <f t="shared" si="6"/>
        <v/>
      </c>
      <c r="G455" s="284" t="str">
        <f t="shared" si="7"/>
        <v/>
      </c>
      <c r="H455" s="285"/>
    </row>
    <row r="456" spans="1:8" ht="15" customHeight="1" x14ac:dyDescent="0.45">
      <c r="A456" s="284"/>
      <c r="B456" s="285"/>
      <c r="C456" s="184" t="str">
        <f>IF(OR($A456="",LEFT($A456,1)="—"),"",SUMIF(LC_House[Panel Tag],$A456,LC_House[Total kVA])+SUMIF(LC_Dept[Panel Tag],$A456,LC_Dept[Total kVA])+SUMIF(LC_Refrig[Panel Tag],$A456,LC_Refrig[Total kVA])+SUMIF(LC_Mech[Panel Tag],$A456,LC_Mech[Total kVA])+SUMIF(LC_Plumb[Panel Tag],$A456,LC_Plumb[Total kVA])+SUMIF(LC_Kitchen[Panel Tag],$A456,LC_Kitchen[Total kVA])+SUMIF(LC_Elev[Panel Tag],$A456,LC_Elev[Total kVA])+SUMIF(LC_EV[Panel Tag],$A456,LC_EV[Total kVA])+SUMIF(LC_Data[Panel Tag],$A456,LC_Data[Total kVA])+SUMIF(LC_Site[Panel Tag],$A456,LC_Site[Total kVA])+SUMIF(LC_Fire[Panel Tag],$A456,LC_Fire[Total kVA])+SUMIF(LC_Process[Panel Tag],$A456,LC_Process[Total kVA]))</f>
        <v/>
      </c>
      <c r="D456" s="187"/>
      <c r="E456" s="188" t="str">
        <f t="shared" si="5"/>
        <v/>
      </c>
      <c r="F456" s="286" t="str">
        <f t="shared" si="6"/>
        <v/>
      </c>
      <c r="G456" s="284" t="str">
        <f t="shared" si="7"/>
        <v/>
      </c>
      <c r="H456" s="285"/>
    </row>
    <row r="457" spans="1:8" ht="15" customHeight="1" x14ac:dyDescent="0.45">
      <c r="A457" s="284"/>
      <c r="B457" s="285"/>
      <c r="C457" s="184" t="str">
        <f>IF(OR($A457="",LEFT($A457,1)="—"),"",SUMIF(LC_House[Panel Tag],$A457,LC_House[Total kVA])+SUMIF(LC_Dept[Panel Tag],$A457,LC_Dept[Total kVA])+SUMIF(LC_Refrig[Panel Tag],$A457,LC_Refrig[Total kVA])+SUMIF(LC_Mech[Panel Tag],$A457,LC_Mech[Total kVA])+SUMIF(LC_Plumb[Panel Tag],$A457,LC_Plumb[Total kVA])+SUMIF(LC_Kitchen[Panel Tag],$A457,LC_Kitchen[Total kVA])+SUMIF(LC_Elev[Panel Tag],$A457,LC_Elev[Total kVA])+SUMIF(LC_EV[Panel Tag],$A457,LC_EV[Total kVA])+SUMIF(LC_Data[Panel Tag],$A457,LC_Data[Total kVA])+SUMIF(LC_Site[Panel Tag],$A457,LC_Site[Total kVA])+SUMIF(LC_Fire[Panel Tag],$A457,LC_Fire[Total kVA])+SUMIF(LC_Process[Panel Tag],$A457,LC_Process[Total kVA]))</f>
        <v/>
      </c>
      <c r="D457" s="187"/>
      <c r="E457" s="188" t="str">
        <f t="shared" si="5"/>
        <v/>
      </c>
      <c r="F457" s="286" t="str">
        <f t="shared" si="6"/>
        <v/>
      </c>
      <c r="G457" s="284" t="str">
        <f t="shared" si="7"/>
        <v/>
      </c>
      <c r="H457" s="285"/>
    </row>
    <row r="458" spans="1:8" ht="15" customHeight="1" x14ac:dyDescent="0.45">
      <c r="A458" s="284"/>
      <c r="B458" s="285"/>
      <c r="C458" s="184" t="str">
        <f>IF(OR($A458="",LEFT($A458,1)="—"),"",SUMIF(LC_House[Panel Tag],$A458,LC_House[Total kVA])+SUMIF(LC_Dept[Panel Tag],$A458,LC_Dept[Total kVA])+SUMIF(LC_Refrig[Panel Tag],$A458,LC_Refrig[Total kVA])+SUMIF(LC_Mech[Panel Tag],$A458,LC_Mech[Total kVA])+SUMIF(LC_Plumb[Panel Tag],$A458,LC_Plumb[Total kVA])+SUMIF(LC_Kitchen[Panel Tag],$A458,LC_Kitchen[Total kVA])+SUMIF(LC_Elev[Panel Tag],$A458,LC_Elev[Total kVA])+SUMIF(LC_EV[Panel Tag],$A458,LC_EV[Total kVA])+SUMIF(LC_Data[Panel Tag],$A458,LC_Data[Total kVA])+SUMIF(LC_Site[Panel Tag],$A458,LC_Site[Total kVA])+SUMIF(LC_Fire[Panel Tag],$A458,LC_Fire[Total kVA])+SUMIF(LC_Process[Panel Tag],$A458,LC_Process[Total kVA]))</f>
        <v/>
      </c>
      <c r="D458" s="187"/>
      <c r="E458" s="188" t="str">
        <f t="shared" si="5"/>
        <v/>
      </c>
      <c r="F458" s="286" t="str">
        <f t="shared" si="6"/>
        <v/>
      </c>
      <c r="G458" s="284" t="str">
        <f t="shared" si="7"/>
        <v/>
      </c>
      <c r="H458" s="285"/>
    </row>
    <row r="459" spans="1:8" ht="15" customHeight="1" x14ac:dyDescent="0.45">
      <c r="A459" s="284"/>
      <c r="B459" s="285"/>
      <c r="C459" s="184" t="str">
        <f>IF(OR($A459="",LEFT($A459,1)="—"),"",SUMIF(LC_House[Panel Tag],$A459,LC_House[Total kVA])+SUMIF(LC_Dept[Panel Tag],$A459,LC_Dept[Total kVA])+SUMIF(LC_Refrig[Panel Tag],$A459,LC_Refrig[Total kVA])+SUMIF(LC_Mech[Panel Tag],$A459,LC_Mech[Total kVA])+SUMIF(LC_Plumb[Panel Tag],$A459,LC_Plumb[Total kVA])+SUMIF(LC_Kitchen[Panel Tag],$A459,LC_Kitchen[Total kVA])+SUMIF(LC_Elev[Panel Tag],$A459,LC_Elev[Total kVA])+SUMIF(LC_EV[Panel Tag],$A459,LC_EV[Total kVA])+SUMIF(LC_Data[Panel Tag],$A459,LC_Data[Total kVA])+SUMIF(LC_Site[Panel Tag],$A459,LC_Site[Total kVA])+SUMIF(LC_Fire[Panel Tag],$A459,LC_Fire[Total kVA])+SUMIF(LC_Process[Panel Tag],$A459,LC_Process[Total kVA]))</f>
        <v/>
      </c>
      <c r="D459" s="187"/>
      <c r="E459" s="188" t="str">
        <f t="shared" si="5"/>
        <v/>
      </c>
      <c r="F459" s="286" t="str">
        <f t="shared" si="6"/>
        <v/>
      </c>
      <c r="G459" s="284" t="str">
        <f t="shared" si="7"/>
        <v/>
      </c>
      <c r="H459" s="285"/>
    </row>
    <row r="460" spans="1:8" ht="15" customHeight="1" x14ac:dyDescent="0.45">
      <c r="A460" s="284"/>
      <c r="B460" s="285"/>
      <c r="C460" s="184" t="str">
        <f>IF(OR($A460="",LEFT($A460,1)="—"),"",SUMIF(LC_House[Panel Tag],$A460,LC_House[Total kVA])+SUMIF(LC_Dept[Panel Tag],$A460,LC_Dept[Total kVA])+SUMIF(LC_Refrig[Panel Tag],$A460,LC_Refrig[Total kVA])+SUMIF(LC_Mech[Panel Tag],$A460,LC_Mech[Total kVA])+SUMIF(LC_Plumb[Panel Tag],$A460,LC_Plumb[Total kVA])+SUMIF(LC_Kitchen[Panel Tag],$A460,LC_Kitchen[Total kVA])+SUMIF(LC_Elev[Panel Tag],$A460,LC_Elev[Total kVA])+SUMIF(LC_EV[Panel Tag],$A460,LC_EV[Total kVA])+SUMIF(LC_Data[Panel Tag],$A460,LC_Data[Total kVA])+SUMIF(LC_Site[Panel Tag],$A460,LC_Site[Total kVA])+SUMIF(LC_Fire[Panel Tag],$A460,LC_Fire[Total kVA])+SUMIF(LC_Process[Panel Tag],$A460,LC_Process[Total kVA]))</f>
        <v/>
      </c>
      <c r="D460" s="187"/>
      <c r="E460" s="188" t="str">
        <f t="shared" si="5"/>
        <v/>
      </c>
      <c r="F460" s="286" t="str">
        <f t="shared" si="6"/>
        <v/>
      </c>
      <c r="G460" s="284" t="str">
        <f t="shared" si="7"/>
        <v/>
      </c>
      <c r="H460" s="285"/>
    </row>
    <row r="461" spans="1:8" ht="15" customHeight="1" x14ac:dyDescent="0.45">
      <c r="A461" s="284"/>
      <c r="B461" s="285"/>
      <c r="C461" s="184" t="str">
        <f>IF(OR($A461="",LEFT($A461,1)="—"),"",SUMIF(LC_House[Panel Tag],$A461,LC_House[Total kVA])+SUMIF(LC_Dept[Panel Tag],$A461,LC_Dept[Total kVA])+SUMIF(LC_Refrig[Panel Tag],$A461,LC_Refrig[Total kVA])+SUMIF(LC_Mech[Panel Tag],$A461,LC_Mech[Total kVA])+SUMIF(LC_Plumb[Panel Tag],$A461,LC_Plumb[Total kVA])+SUMIF(LC_Kitchen[Panel Tag],$A461,LC_Kitchen[Total kVA])+SUMIF(LC_Elev[Panel Tag],$A461,LC_Elev[Total kVA])+SUMIF(LC_EV[Panel Tag],$A461,LC_EV[Total kVA])+SUMIF(LC_Data[Panel Tag],$A461,LC_Data[Total kVA])+SUMIF(LC_Site[Panel Tag],$A461,LC_Site[Total kVA])+SUMIF(LC_Fire[Panel Tag],$A461,LC_Fire[Total kVA])+SUMIF(LC_Process[Panel Tag],$A461,LC_Process[Total kVA]))</f>
        <v/>
      </c>
      <c r="D461" s="187"/>
      <c r="E461" s="188" t="str">
        <f t="shared" si="5"/>
        <v/>
      </c>
      <c r="F461" s="286" t="str">
        <f t="shared" si="6"/>
        <v/>
      </c>
      <c r="G461" s="284" t="str">
        <f t="shared" si="7"/>
        <v/>
      </c>
      <c r="H461" s="285"/>
    </row>
    <row r="462" spans="1:8" ht="15" customHeight="1" x14ac:dyDescent="0.45">
      <c r="A462" s="284"/>
      <c r="B462" s="285"/>
      <c r="C462" s="184" t="str">
        <f>IF(OR($A462="",LEFT($A462,1)="—"),"",SUMIF(LC_House[Panel Tag],$A462,LC_House[Total kVA])+SUMIF(LC_Dept[Panel Tag],$A462,LC_Dept[Total kVA])+SUMIF(LC_Refrig[Panel Tag],$A462,LC_Refrig[Total kVA])+SUMIF(LC_Mech[Panel Tag],$A462,LC_Mech[Total kVA])+SUMIF(LC_Plumb[Panel Tag],$A462,LC_Plumb[Total kVA])+SUMIF(LC_Kitchen[Panel Tag],$A462,LC_Kitchen[Total kVA])+SUMIF(LC_Elev[Panel Tag],$A462,LC_Elev[Total kVA])+SUMIF(LC_EV[Panel Tag],$A462,LC_EV[Total kVA])+SUMIF(LC_Data[Panel Tag],$A462,LC_Data[Total kVA])+SUMIF(LC_Site[Panel Tag],$A462,LC_Site[Total kVA])+SUMIF(LC_Fire[Panel Tag],$A462,LC_Fire[Total kVA])+SUMIF(LC_Process[Panel Tag],$A462,LC_Process[Total kVA]))</f>
        <v/>
      </c>
      <c r="D462" s="187"/>
      <c r="E462" s="188" t="str">
        <f t="shared" si="5"/>
        <v/>
      </c>
      <c r="F462" s="286" t="str">
        <f t="shared" si="6"/>
        <v/>
      </c>
      <c r="G462" s="284" t="str">
        <f t="shared" si="7"/>
        <v/>
      </c>
      <c r="H462" s="285"/>
    </row>
    <row r="463" spans="1:8" ht="15" customHeight="1" x14ac:dyDescent="0.45">
      <c r="A463" s="284"/>
      <c r="B463" s="285"/>
      <c r="C463" s="184" t="str">
        <f>IF(OR($A463="",LEFT($A463,1)="—"),"",SUMIF(LC_House[Panel Tag],$A463,LC_House[Total kVA])+SUMIF(LC_Dept[Panel Tag],$A463,LC_Dept[Total kVA])+SUMIF(LC_Refrig[Panel Tag],$A463,LC_Refrig[Total kVA])+SUMIF(LC_Mech[Panel Tag],$A463,LC_Mech[Total kVA])+SUMIF(LC_Plumb[Panel Tag],$A463,LC_Plumb[Total kVA])+SUMIF(LC_Kitchen[Panel Tag],$A463,LC_Kitchen[Total kVA])+SUMIF(LC_Elev[Panel Tag],$A463,LC_Elev[Total kVA])+SUMIF(LC_EV[Panel Tag],$A463,LC_EV[Total kVA])+SUMIF(LC_Data[Panel Tag],$A463,LC_Data[Total kVA])+SUMIF(LC_Site[Panel Tag],$A463,LC_Site[Total kVA])+SUMIF(LC_Fire[Panel Tag],$A463,LC_Fire[Total kVA])+SUMIF(LC_Process[Panel Tag],$A463,LC_Process[Total kVA]))</f>
        <v/>
      </c>
      <c r="D463" s="187"/>
      <c r="E463" s="188" t="str">
        <f t="shared" si="5"/>
        <v/>
      </c>
      <c r="F463" s="286" t="str">
        <f t="shared" si="6"/>
        <v/>
      </c>
      <c r="G463" s="284" t="str">
        <f t="shared" si="7"/>
        <v/>
      </c>
      <c r="H463" s="285"/>
    </row>
    <row r="464" spans="1:8" ht="15" customHeight="1" x14ac:dyDescent="0.45">
      <c r="A464" s="284"/>
      <c r="B464" s="285"/>
      <c r="C464" s="184" t="str">
        <f>IF(OR($A464="",LEFT($A464,1)="—"),"",SUMIF(LC_House[Panel Tag],$A464,LC_House[Total kVA])+SUMIF(LC_Dept[Panel Tag],$A464,LC_Dept[Total kVA])+SUMIF(LC_Refrig[Panel Tag],$A464,LC_Refrig[Total kVA])+SUMIF(LC_Mech[Panel Tag],$A464,LC_Mech[Total kVA])+SUMIF(LC_Plumb[Panel Tag],$A464,LC_Plumb[Total kVA])+SUMIF(LC_Kitchen[Panel Tag],$A464,LC_Kitchen[Total kVA])+SUMIF(LC_Elev[Panel Tag],$A464,LC_Elev[Total kVA])+SUMIF(LC_EV[Panel Tag],$A464,LC_EV[Total kVA])+SUMIF(LC_Data[Panel Tag],$A464,LC_Data[Total kVA])+SUMIF(LC_Site[Panel Tag],$A464,LC_Site[Total kVA])+SUMIF(LC_Fire[Panel Tag],$A464,LC_Fire[Total kVA])+SUMIF(LC_Process[Panel Tag],$A464,LC_Process[Total kVA]))</f>
        <v/>
      </c>
      <c r="D464" s="187"/>
      <c r="E464" s="188" t="str">
        <f t="shared" si="5"/>
        <v/>
      </c>
      <c r="F464" s="286" t="str">
        <f t="shared" si="6"/>
        <v/>
      </c>
      <c r="G464" s="284" t="str">
        <f t="shared" si="7"/>
        <v/>
      </c>
      <c r="H464" s="285"/>
    </row>
    <row r="465" spans="1:8" ht="15" customHeight="1" x14ac:dyDescent="0.45">
      <c r="A465" s="284"/>
      <c r="B465" s="285"/>
      <c r="C465" s="184" t="str">
        <f>IF(OR($A465="",LEFT($A465,1)="—"),"",SUMIF(LC_House[Panel Tag],$A465,LC_House[Total kVA])+SUMIF(LC_Dept[Panel Tag],$A465,LC_Dept[Total kVA])+SUMIF(LC_Refrig[Panel Tag],$A465,LC_Refrig[Total kVA])+SUMIF(LC_Mech[Panel Tag],$A465,LC_Mech[Total kVA])+SUMIF(LC_Plumb[Panel Tag],$A465,LC_Plumb[Total kVA])+SUMIF(LC_Kitchen[Panel Tag],$A465,LC_Kitchen[Total kVA])+SUMIF(LC_Elev[Panel Tag],$A465,LC_Elev[Total kVA])+SUMIF(LC_EV[Panel Tag],$A465,LC_EV[Total kVA])+SUMIF(LC_Data[Panel Tag],$A465,LC_Data[Total kVA])+SUMIF(LC_Site[Panel Tag],$A465,LC_Site[Total kVA])+SUMIF(LC_Fire[Panel Tag],$A465,LC_Fire[Total kVA])+SUMIF(LC_Process[Panel Tag],$A465,LC_Process[Total kVA]))</f>
        <v/>
      </c>
      <c r="D465" s="187"/>
      <c r="E465" s="188" t="str">
        <f t="shared" si="5"/>
        <v/>
      </c>
      <c r="F465" s="286" t="str">
        <f t="shared" si="6"/>
        <v/>
      </c>
      <c r="G465" s="284" t="str">
        <f t="shared" si="7"/>
        <v/>
      </c>
      <c r="H465" s="285"/>
    </row>
    <row r="466" spans="1:8" ht="15" customHeight="1" x14ac:dyDescent="0.45">
      <c r="A466" s="284"/>
      <c r="B466" s="285"/>
      <c r="C466" s="184" t="str">
        <f>IF(OR($A466="",LEFT($A466,1)="—"),"",SUMIF(LC_House[Panel Tag],$A466,LC_House[Total kVA])+SUMIF(LC_Dept[Panel Tag],$A466,LC_Dept[Total kVA])+SUMIF(LC_Refrig[Panel Tag],$A466,LC_Refrig[Total kVA])+SUMIF(LC_Mech[Panel Tag],$A466,LC_Mech[Total kVA])+SUMIF(LC_Plumb[Panel Tag],$A466,LC_Plumb[Total kVA])+SUMIF(LC_Kitchen[Panel Tag],$A466,LC_Kitchen[Total kVA])+SUMIF(LC_Elev[Panel Tag],$A466,LC_Elev[Total kVA])+SUMIF(LC_EV[Panel Tag],$A466,LC_EV[Total kVA])+SUMIF(LC_Data[Panel Tag],$A466,LC_Data[Total kVA])+SUMIF(LC_Site[Panel Tag],$A466,LC_Site[Total kVA])+SUMIF(LC_Fire[Panel Tag],$A466,LC_Fire[Total kVA])+SUMIF(LC_Process[Panel Tag],$A466,LC_Process[Total kVA]))</f>
        <v/>
      </c>
      <c r="D466" s="187"/>
      <c r="E466" s="188" t="str">
        <f t="shared" si="5"/>
        <v/>
      </c>
      <c r="F466" s="286" t="str">
        <f t="shared" si="6"/>
        <v/>
      </c>
      <c r="G466" s="284" t="str">
        <f t="shared" si="7"/>
        <v/>
      </c>
      <c r="H466" s="285"/>
    </row>
    <row r="467" spans="1:8" ht="15" customHeight="1" x14ac:dyDescent="0.45">
      <c r="A467" s="284"/>
      <c r="B467" s="285"/>
      <c r="C467" s="184" t="str">
        <f>IF(OR($A467="",LEFT($A467,1)="—"),"",SUMIF(LC_House[Panel Tag],$A467,LC_House[Total kVA])+SUMIF(LC_Dept[Panel Tag],$A467,LC_Dept[Total kVA])+SUMIF(LC_Refrig[Panel Tag],$A467,LC_Refrig[Total kVA])+SUMIF(LC_Mech[Panel Tag],$A467,LC_Mech[Total kVA])+SUMIF(LC_Plumb[Panel Tag],$A467,LC_Plumb[Total kVA])+SUMIF(LC_Kitchen[Panel Tag],$A467,LC_Kitchen[Total kVA])+SUMIF(LC_Elev[Panel Tag],$A467,LC_Elev[Total kVA])+SUMIF(LC_EV[Panel Tag],$A467,LC_EV[Total kVA])+SUMIF(LC_Data[Panel Tag],$A467,LC_Data[Total kVA])+SUMIF(LC_Site[Panel Tag],$A467,LC_Site[Total kVA])+SUMIF(LC_Fire[Panel Tag],$A467,LC_Fire[Total kVA])+SUMIF(LC_Process[Panel Tag],$A467,LC_Process[Total kVA]))</f>
        <v/>
      </c>
      <c r="D467" s="187"/>
      <c r="E467" s="188" t="str">
        <f t="shared" si="5"/>
        <v/>
      </c>
      <c r="F467" s="286" t="str">
        <f t="shared" si="6"/>
        <v/>
      </c>
      <c r="G467" s="284" t="str">
        <f t="shared" si="7"/>
        <v/>
      </c>
      <c r="H467" s="285"/>
    </row>
    <row r="468" spans="1:8" ht="15" customHeight="1" x14ac:dyDescent="0.45">
      <c r="A468" s="284"/>
      <c r="B468" s="285"/>
      <c r="C468" s="184" t="str">
        <f>IF(OR($A468="",LEFT($A468,1)="—"),"",SUMIF(LC_House[Panel Tag],$A468,LC_House[Total kVA])+SUMIF(LC_Dept[Panel Tag],$A468,LC_Dept[Total kVA])+SUMIF(LC_Refrig[Panel Tag],$A468,LC_Refrig[Total kVA])+SUMIF(LC_Mech[Panel Tag],$A468,LC_Mech[Total kVA])+SUMIF(LC_Plumb[Panel Tag],$A468,LC_Plumb[Total kVA])+SUMIF(LC_Kitchen[Panel Tag],$A468,LC_Kitchen[Total kVA])+SUMIF(LC_Elev[Panel Tag],$A468,LC_Elev[Total kVA])+SUMIF(LC_EV[Panel Tag],$A468,LC_EV[Total kVA])+SUMIF(LC_Data[Panel Tag],$A468,LC_Data[Total kVA])+SUMIF(LC_Site[Panel Tag],$A468,LC_Site[Total kVA])+SUMIF(LC_Fire[Panel Tag],$A468,LC_Fire[Total kVA])+SUMIF(LC_Process[Panel Tag],$A468,LC_Process[Total kVA]))</f>
        <v/>
      </c>
      <c r="D468" s="187"/>
      <c r="E468" s="188" t="str">
        <f t="shared" si="5"/>
        <v/>
      </c>
      <c r="F468" s="286" t="str">
        <f t="shared" si="6"/>
        <v/>
      </c>
      <c r="G468" s="284" t="str">
        <f t="shared" si="7"/>
        <v/>
      </c>
      <c r="H468" s="285"/>
    </row>
    <row r="469" spans="1:8" ht="15" customHeight="1" x14ac:dyDescent="0.45">
      <c r="A469" s="284"/>
      <c r="B469" s="285"/>
      <c r="C469" s="184" t="str">
        <f>IF(OR($A469="",LEFT($A469,1)="—"),"",SUMIF(LC_House[Panel Tag],$A469,LC_House[Total kVA])+SUMIF(LC_Dept[Panel Tag],$A469,LC_Dept[Total kVA])+SUMIF(LC_Refrig[Panel Tag],$A469,LC_Refrig[Total kVA])+SUMIF(LC_Mech[Panel Tag],$A469,LC_Mech[Total kVA])+SUMIF(LC_Plumb[Panel Tag],$A469,LC_Plumb[Total kVA])+SUMIF(LC_Kitchen[Panel Tag],$A469,LC_Kitchen[Total kVA])+SUMIF(LC_Elev[Panel Tag],$A469,LC_Elev[Total kVA])+SUMIF(LC_EV[Panel Tag],$A469,LC_EV[Total kVA])+SUMIF(LC_Data[Panel Tag],$A469,LC_Data[Total kVA])+SUMIF(LC_Site[Panel Tag],$A469,LC_Site[Total kVA])+SUMIF(LC_Fire[Panel Tag],$A469,LC_Fire[Total kVA])+SUMIF(LC_Process[Panel Tag],$A469,LC_Process[Total kVA]))</f>
        <v/>
      </c>
      <c r="D469" s="187"/>
      <c r="E469" s="188" t="str">
        <f t="shared" si="5"/>
        <v/>
      </c>
      <c r="F469" s="286" t="str">
        <f t="shared" si="6"/>
        <v/>
      </c>
      <c r="G469" s="284" t="str">
        <f t="shared" si="7"/>
        <v/>
      </c>
      <c r="H469" s="285"/>
    </row>
    <row r="470" spans="1:8" ht="15" customHeight="1" x14ac:dyDescent="0.45">
      <c r="A470" s="284"/>
      <c r="B470" s="285"/>
      <c r="C470" s="184" t="str">
        <f>IF(OR($A470="",LEFT($A470,1)="—"),"",SUMIF(LC_House[Panel Tag],$A470,LC_House[Total kVA])+SUMIF(LC_Dept[Panel Tag],$A470,LC_Dept[Total kVA])+SUMIF(LC_Refrig[Panel Tag],$A470,LC_Refrig[Total kVA])+SUMIF(LC_Mech[Panel Tag],$A470,LC_Mech[Total kVA])+SUMIF(LC_Plumb[Panel Tag],$A470,LC_Plumb[Total kVA])+SUMIF(LC_Kitchen[Panel Tag],$A470,LC_Kitchen[Total kVA])+SUMIF(LC_Elev[Panel Tag],$A470,LC_Elev[Total kVA])+SUMIF(LC_EV[Panel Tag],$A470,LC_EV[Total kVA])+SUMIF(LC_Data[Panel Tag],$A470,LC_Data[Total kVA])+SUMIF(LC_Site[Panel Tag],$A470,LC_Site[Total kVA])+SUMIF(LC_Fire[Panel Tag],$A470,LC_Fire[Total kVA])+SUMIF(LC_Process[Panel Tag],$A470,LC_Process[Total kVA]))</f>
        <v/>
      </c>
      <c r="D470" s="187"/>
      <c r="E470" s="188" t="str">
        <f t="shared" si="5"/>
        <v/>
      </c>
      <c r="F470" s="286" t="str">
        <f t="shared" si="6"/>
        <v/>
      </c>
      <c r="G470" s="284" t="str">
        <f t="shared" si="7"/>
        <v/>
      </c>
      <c r="H470" s="285"/>
    </row>
    <row r="471" spans="1:8" ht="15" customHeight="1" x14ac:dyDescent="0.45">
      <c r="A471" s="284"/>
      <c r="B471" s="285"/>
      <c r="C471" s="184" t="str">
        <f>IF(OR($A471="",LEFT($A471,1)="—"),"",SUMIF(LC_House[Panel Tag],$A471,LC_House[Total kVA])+SUMIF(LC_Dept[Panel Tag],$A471,LC_Dept[Total kVA])+SUMIF(LC_Refrig[Panel Tag],$A471,LC_Refrig[Total kVA])+SUMIF(LC_Mech[Panel Tag],$A471,LC_Mech[Total kVA])+SUMIF(LC_Plumb[Panel Tag],$A471,LC_Plumb[Total kVA])+SUMIF(LC_Kitchen[Panel Tag],$A471,LC_Kitchen[Total kVA])+SUMIF(LC_Elev[Panel Tag],$A471,LC_Elev[Total kVA])+SUMIF(LC_EV[Panel Tag],$A471,LC_EV[Total kVA])+SUMIF(LC_Data[Panel Tag],$A471,LC_Data[Total kVA])+SUMIF(LC_Site[Panel Tag],$A471,LC_Site[Total kVA])+SUMIF(LC_Fire[Panel Tag],$A471,LC_Fire[Total kVA])+SUMIF(LC_Process[Panel Tag],$A471,LC_Process[Total kVA]))</f>
        <v/>
      </c>
      <c r="D471" s="187"/>
      <c r="E471" s="188" t="str">
        <f t="shared" si="5"/>
        <v/>
      </c>
      <c r="F471" s="286" t="str">
        <f t="shared" si="6"/>
        <v/>
      </c>
      <c r="G471" s="284" t="str">
        <f t="shared" si="7"/>
        <v/>
      </c>
      <c r="H471" s="285"/>
    </row>
    <row r="472" spans="1:8" ht="15" customHeight="1" x14ac:dyDescent="0.45">
      <c r="A472" s="284"/>
      <c r="B472" s="285"/>
      <c r="C472" s="184" t="str">
        <f>IF(OR($A472="",LEFT($A472,1)="—"),"",SUMIF(LC_House[Panel Tag],$A472,LC_House[Total kVA])+SUMIF(LC_Dept[Panel Tag],$A472,LC_Dept[Total kVA])+SUMIF(LC_Refrig[Panel Tag],$A472,LC_Refrig[Total kVA])+SUMIF(LC_Mech[Panel Tag],$A472,LC_Mech[Total kVA])+SUMIF(LC_Plumb[Panel Tag],$A472,LC_Plumb[Total kVA])+SUMIF(LC_Kitchen[Panel Tag],$A472,LC_Kitchen[Total kVA])+SUMIF(LC_Elev[Panel Tag],$A472,LC_Elev[Total kVA])+SUMIF(LC_EV[Panel Tag],$A472,LC_EV[Total kVA])+SUMIF(LC_Data[Panel Tag],$A472,LC_Data[Total kVA])+SUMIF(LC_Site[Panel Tag],$A472,LC_Site[Total kVA])+SUMIF(LC_Fire[Panel Tag],$A472,LC_Fire[Total kVA])+SUMIF(LC_Process[Panel Tag],$A472,LC_Process[Total kVA]))</f>
        <v/>
      </c>
      <c r="D472" s="187"/>
      <c r="E472" s="188" t="str">
        <f t="shared" si="5"/>
        <v/>
      </c>
      <c r="F472" s="286" t="str">
        <f t="shared" si="6"/>
        <v/>
      </c>
      <c r="G472" s="284" t="str">
        <f t="shared" si="7"/>
        <v/>
      </c>
      <c r="H472" s="285"/>
    </row>
    <row r="473" spans="1:8" ht="15" customHeight="1" x14ac:dyDescent="0.45">
      <c r="A473" s="284"/>
      <c r="B473" s="285"/>
      <c r="C473" s="184" t="str">
        <f>IF(OR($A473="",LEFT($A473,1)="—"),"",SUMIF(LC_House[Panel Tag],$A473,LC_House[Total kVA])+SUMIF(LC_Dept[Panel Tag],$A473,LC_Dept[Total kVA])+SUMIF(LC_Refrig[Panel Tag],$A473,LC_Refrig[Total kVA])+SUMIF(LC_Mech[Panel Tag],$A473,LC_Mech[Total kVA])+SUMIF(LC_Plumb[Panel Tag],$A473,LC_Plumb[Total kVA])+SUMIF(LC_Kitchen[Panel Tag],$A473,LC_Kitchen[Total kVA])+SUMIF(LC_Elev[Panel Tag],$A473,LC_Elev[Total kVA])+SUMIF(LC_EV[Panel Tag],$A473,LC_EV[Total kVA])+SUMIF(LC_Data[Panel Tag],$A473,LC_Data[Total kVA])+SUMIF(LC_Site[Panel Tag],$A473,LC_Site[Total kVA])+SUMIF(LC_Fire[Panel Tag],$A473,LC_Fire[Total kVA])+SUMIF(LC_Process[Panel Tag],$A473,LC_Process[Total kVA]))</f>
        <v/>
      </c>
      <c r="D473" s="187"/>
      <c r="E473" s="188" t="str">
        <f t="shared" si="5"/>
        <v/>
      </c>
      <c r="F473" s="286" t="str">
        <f t="shared" si="6"/>
        <v/>
      </c>
      <c r="G473" s="284" t="str">
        <f t="shared" si="7"/>
        <v/>
      </c>
      <c r="H473" s="285"/>
    </row>
    <row r="474" spans="1:8" ht="15" customHeight="1" x14ac:dyDescent="0.45">
      <c r="A474" s="284"/>
      <c r="B474" s="285"/>
      <c r="C474" s="184" t="str">
        <f>IF(OR($A474="",LEFT($A474,1)="—"),"",SUMIF(LC_House[Panel Tag],$A474,LC_House[Total kVA])+SUMIF(LC_Dept[Panel Tag],$A474,LC_Dept[Total kVA])+SUMIF(LC_Refrig[Panel Tag],$A474,LC_Refrig[Total kVA])+SUMIF(LC_Mech[Panel Tag],$A474,LC_Mech[Total kVA])+SUMIF(LC_Plumb[Panel Tag],$A474,LC_Plumb[Total kVA])+SUMIF(LC_Kitchen[Panel Tag],$A474,LC_Kitchen[Total kVA])+SUMIF(LC_Elev[Panel Tag],$A474,LC_Elev[Total kVA])+SUMIF(LC_EV[Panel Tag],$A474,LC_EV[Total kVA])+SUMIF(LC_Data[Panel Tag],$A474,LC_Data[Total kVA])+SUMIF(LC_Site[Panel Tag],$A474,LC_Site[Total kVA])+SUMIF(LC_Fire[Panel Tag],$A474,LC_Fire[Total kVA])+SUMIF(LC_Process[Panel Tag],$A474,LC_Process[Total kVA]))</f>
        <v/>
      </c>
      <c r="D474" s="187"/>
      <c r="E474" s="188" t="str">
        <f t="shared" si="5"/>
        <v/>
      </c>
      <c r="F474" s="286" t="str">
        <f t="shared" si="6"/>
        <v/>
      </c>
      <c r="G474" s="284" t="str">
        <f t="shared" si="7"/>
        <v/>
      </c>
      <c r="H474" s="285"/>
    </row>
    <row r="475" spans="1:8" ht="15" customHeight="1" x14ac:dyDescent="0.45">
      <c r="A475" s="284"/>
      <c r="B475" s="285"/>
      <c r="C475" s="184" t="str">
        <f>IF(OR($A475="",LEFT($A475,1)="—"),"",SUMIF(LC_House[Panel Tag],$A475,LC_House[Total kVA])+SUMIF(LC_Dept[Panel Tag],$A475,LC_Dept[Total kVA])+SUMIF(LC_Refrig[Panel Tag],$A475,LC_Refrig[Total kVA])+SUMIF(LC_Mech[Panel Tag],$A475,LC_Mech[Total kVA])+SUMIF(LC_Plumb[Panel Tag],$A475,LC_Plumb[Total kVA])+SUMIF(LC_Kitchen[Panel Tag],$A475,LC_Kitchen[Total kVA])+SUMIF(LC_Elev[Panel Tag],$A475,LC_Elev[Total kVA])+SUMIF(LC_EV[Panel Tag],$A475,LC_EV[Total kVA])+SUMIF(LC_Data[Panel Tag],$A475,LC_Data[Total kVA])+SUMIF(LC_Site[Panel Tag],$A475,LC_Site[Total kVA])+SUMIF(LC_Fire[Panel Tag],$A475,LC_Fire[Total kVA])+SUMIF(LC_Process[Panel Tag],$A475,LC_Process[Total kVA]))</f>
        <v/>
      </c>
      <c r="D475" s="187"/>
      <c r="E475" s="188" t="str">
        <f t="shared" si="5"/>
        <v/>
      </c>
      <c r="F475" s="286" t="str">
        <f t="shared" si="6"/>
        <v/>
      </c>
      <c r="G475" s="284" t="str">
        <f t="shared" si="7"/>
        <v/>
      </c>
      <c r="H475" s="285"/>
    </row>
    <row r="476" spans="1:8" ht="15" customHeight="1" x14ac:dyDescent="0.45">
      <c r="A476" s="284"/>
      <c r="B476" s="285"/>
      <c r="C476" s="184" t="str">
        <f>IF(OR($A476="",LEFT($A476,1)="—"),"",SUMIF(LC_House[Panel Tag],$A476,LC_House[Total kVA])+SUMIF(LC_Dept[Panel Tag],$A476,LC_Dept[Total kVA])+SUMIF(LC_Refrig[Panel Tag],$A476,LC_Refrig[Total kVA])+SUMIF(LC_Mech[Panel Tag],$A476,LC_Mech[Total kVA])+SUMIF(LC_Plumb[Panel Tag],$A476,LC_Plumb[Total kVA])+SUMIF(LC_Kitchen[Panel Tag],$A476,LC_Kitchen[Total kVA])+SUMIF(LC_Elev[Panel Tag],$A476,LC_Elev[Total kVA])+SUMIF(LC_EV[Panel Tag],$A476,LC_EV[Total kVA])+SUMIF(LC_Data[Panel Tag],$A476,LC_Data[Total kVA])+SUMIF(LC_Site[Panel Tag],$A476,LC_Site[Total kVA])+SUMIF(LC_Fire[Panel Tag],$A476,LC_Fire[Total kVA])+SUMIF(LC_Process[Panel Tag],$A476,LC_Process[Total kVA]))</f>
        <v/>
      </c>
      <c r="D476" s="187"/>
      <c r="E476" s="188" t="str">
        <f t="shared" si="5"/>
        <v/>
      </c>
      <c r="F476" s="286" t="str">
        <f t="shared" si="6"/>
        <v/>
      </c>
      <c r="G476" s="284" t="str">
        <f t="shared" si="7"/>
        <v/>
      </c>
      <c r="H476" s="285"/>
    </row>
    <row r="477" spans="1:8" ht="15" customHeight="1" x14ac:dyDescent="0.45">
      <c r="A477" s="284"/>
      <c r="B477" s="285"/>
      <c r="C477" s="184" t="str">
        <f>IF(OR($A477="",LEFT($A477,1)="—"),"",SUMIF(LC_House[Panel Tag],$A477,LC_House[Total kVA])+SUMIF(LC_Dept[Panel Tag],$A477,LC_Dept[Total kVA])+SUMIF(LC_Refrig[Panel Tag],$A477,LC_Refrig[Total kVA])+SUMIF(LC_Mech[Panel Tag],$A477,LC_Mech[Total kVA])+SUMIF(LC_Plumb[Panel Tag],$A477,LC_Plumb[Total kVA])+SUMIF(LC_Kitchen[Panel Tag],$A477,LC_Kitchen[Total kVA])+SUMIF(LC_Elev[Panel Tag],$A477,LC_Elev[Total kVA])+SUMIF(LC_EV[Panel Tag],$A477,LC_EV[Total kVA])+SUMIF(LC_Data[Panel Tag],$A477,LC_Data[Total kVA])+SUMIF(LC_Site[Panel Tag],$A477,LC_Site[Total kVA])+SUMIF(LC_Fire[Panel Tag],$A477,LC_Fire[Total kVA])+SUMIF(LC_Process[Panel Tag],$A477,LC_Process[Total kVA]))</f>
        <v/>
      </c>
      <c r="D477" s="187"/>
      <c r="E477" s="188" t="str">
        <f t="shared" si="5"/>
        <v/>
      </c>
      <c r="F477" s="286" t="str">
        <f t="shared" si="6"/>
        <v/>
      </c>
      <c r="G477" s="284" t="str">
        <f t="shared" si="7"/>
        <v/>
      </c>
      <c r="H477" s="285"/>
    </row>
    <row r="478" spans="1:8" ht="15" customHeight="1" x14ac:dyDescent="0.45">
      <c r="A478" s="284"/>
      <c r="B478" s="285"/>
      <c r="C478" s="184" t="str">
        <f>IF(OR($A478="",LEFT($A478,1)="—"),"",SUMIF(LC_House[Panel Tag],$A478,LC_House[Total kVA])+SUMIF(LC_Dept[Panel Tag],$A478,LC_Dept[Total kVA])+SUMIF(LC_Refrig[Panel Tag],$A478,LC_Refrig[Total kVA])+SUMIF(LC_Mech[Panel Tag],$A478,LC_Mech[Total kVA])+SUMIF(LC_Plumb[Panel Tag],$A478,LC_Plumb[Total kVA])+SUMIF(LC_Kitchen[Panel Tag],$A478,LC_Kitchen[Total kVA])+SUMIF(LC_Elev[Panel Tag],$A478,LC_Elev[Total kVA])+SUMIF(LC_EV[Panel Tag],$A478,LC_EV[Total kVA])+SUMIF(LC_Data[Panel Tag],$A478,LC_Data[Total kVA])+SUMIF(LC_Site[Panel Tag],$A478,LC_Site[Total kVA])+SUMIF(LC_Fire[Panel Tag],$A478,LC_Fire[Total kVA])+SUMIF(LC_Process[Panel Tag],$A478,LC_Process[Total kVA]))</f>
        <v/>
      </c>
      <c r="D478" s="187"/>
      <c r="E478" s="188" t="str">
        <f t="shared" si="5"/>
        <v/>
      </c>
      <c r="F478" s="286" t="str">
        <f t="shared" si="6"/>
        <v/>
      </c>
      <c r="G478" s="284" t="str">
        <f t="shared" si="7"/>
        <v/>
      </c>
      <c r="H478" s="285"/>
    </row>
    <row r="479" spans="1:8" ht="15" customHeight="1" x14ac:dyDescent="0.45">
      <c r="A479" s="284"/>
      <c r="B479" s="285"/>
      <c r="C479" s="184" t="str">
        <f>IF(OR($A479="",LEFT($A479,1)="—"),"",SUMIF(LC_House[Panel Tag],$A479,LC_House[Total kVA])+SUMIF(LC_Dept[Panel Tag],$A479,LC_Dept[Total kVA])+SUMIF(LC_Refrig[Panel Tag],$A479,LC_Refrig[Total kVA])+SUMIF(LC_Mech[Panel Tag],$A479,LC_Mech[Total kVA])+SUMIF(LC_Plumb[Panel Tag],$A479,LC_Plumb[Total kVA])+SUMIF(LC_Kitchen[Panel Tag],$A479,LC_Kitchen[Total kVA])+SUMIF(LC_Elev[Panel Tag],$A479,LC_Elev[Total kVA])+SUMIF(LC_EV[Panel Tag],$A479,LC_EV[Total kVA])+SUMIF(LC_Data[Panel Tag],$A479,LC_Data[Total kVA])+SUMIF(LC_Site[Panel Tag],$A479,LC_Site[Total kVA])+SUMIF(LC_Fire[Panel Tag],$A479,LC_Fire[Total kVA])+SUMIF(LC_Process[Panel Tag],$A479,LC_Process[Total kVA]))</f>
        <v/>
      </c>
      <c r="D479" s="187"/>
      <c r="E479" s="188" t="str">
        <f t="shared" si="5"/>
        <v/>
      </c>
      <c r="F479" s="286" t="str">
        <f t="shared" si="6"/>
        <v/>
      </c>
      <c r="G479" s="284" t="str">
        <f t="shared" si="7"/>
        <v/>
      </c>
      <c r="H479" s="285"/>
    </row>
    <row r="480" spans="1:8" ht="15" customHeight="1" x14ac:dyDescent="0.45">
      <c r="A480" s="284"/>
      <c r="B480" s="285"/>
      <c r="C480" s="184" t="str">
        <f>IF(OR($A480="",LEFT($A480,1)="—"),"",SUMIF(LC_House[Panel Tag],$A480,LC_House[Total kVA])+SUMIF(LC_Dept[Panel Tag],$A480,LC_Dept[Total kVA])+SUMIF(LC_Refrig[Panel Tag],$A480,LC_Refrig[Total kVA])+SUMIF(LC_Mech[Panel Tag],$A480,LC_Mech[Total kVA])+SUMIF(LC_Plumb[Panel Tag],$A480,LC_Plumb[Total kVA])+SUMIF(LC_Kitchen[Panel Tag],$A480,LC_Kitchen[Total kVA])+SUMIF(LC_Elev[Panel Tag],$A480,LC_Elev[Total kVA])+SUMIF(LC_EV[Panel Tag],$A480,LC_EV[Total kVA])+SUMIF(LC_Data[Panel Tag],$A480,LC_Data[Total kVA])+SUMIF(LC_Site[Panel Tag],$A480,LC_Site[Total kVA])+SUMIF(LC_Fire[Panel Tag],$A480,LC_Fire[Total kVA])+SUMIF(LC_Process[Panel Tag],$A480,LC_Process[Total kVA]))</f>
        <v/>
      </c>
      <c r="D480" s="187"/>
      <c r="E480" s="188" t="str">
        <f t="shared" si="5"/>
        <v/>
      </c>
      <c r="F480" s="286" t="str">
        <f t="shared" si="6"/>
        <v/>
      </c>
      <c r="G480" s="284" t="str">
        <f t="shared" si="7"/>
        <v/>
      </c>
      <c r="H480" s="285"/>
    </row>
    <row r="481" spans="1:8" ht="15" customHeight="1" x14ac:dyDescent="0.45">
      <c r="A481" s="284"/>
      <c r="B481" s="285"/>
      <c r="C481" s="184" t="str">
        <f>IF(OR($A481="",LEFT($A481,1)="—"),"",SUMIF(LC_House[Panel Tag],$A481,LC_House[Total kVA])+SUMIF(LC_Dept[Panel Tag],$A481,LC_Dept[Total kVA])+SUMIF(LC_Refrig[Panel Tag],$A481,LC_Refrig[Total kVA])+SUMIF(LC_Mech[Panel Tag],$A481,LC_Mech[Total kVA])+SUMIF(LC_Plumb[Panel Tag],$A481,LC_Plumb[Total kVA])+SUMIF(LC_Kitchen[Panel Tag],$A481,LC_Kitchen[Total kVA])+SUMIF(LC_Elev[Panel Tag],$A481,LC_Elev[Total kVA])+SUMIF(LC_EV[Panel Tag],$A481,LC_EV[Total kVA])+SUMIF(LC_Data[Panel Tag],$A481,LC_Data[Total kVA])+SUMIF(LC_Site[Panel Tag],$A481,LC_Site[Total kVA])+SUMIF(LC_Fire[Panel Tag],$A481,LC_Fire[Total kVA])+SUMIF(LC_Process[Panel Tag],$A481,LC_Process[Total kVA]))</f>
        <v/>
      </c>
      <c r="D481" s="187"/>
      <c r="E481" s="188" t="str">
        <f t="shared" si="5"/>
        <v/>
      </c>
      <c r="F481" s="286" t="str">
        <f t="shared" si="6"/>
        <v/>
      </c>
      <c r="G481" s="284" t="str">
        <f t="shared" si="7"/>
        <v/>
      </c>
      <c r="H481" s="285"/>
    </row>
    <row r="482" spans="1:8" ht="15" customHeight="1" x14ac:dyDescent="0.45">
      <c r="A482" s="284"/>
      <c r="B482" s="285"/>
      <c r="C482" s="184" t="str">
        <f>IF(OR($A482="",LEFT($A482,1)="—"),"",SUMIF(LC_House[Panel Tag],$A482,LC_House[Total kVA])+SUMIF(LC_Dept[Panel Tag],$A482,LC_Dept[Total kVA])+SUMIF(LC_Refrig[Panel Tag],$A482,LC_Refrig[Total kVA])+SUMIF(LC_Mech[Panel Tag],$A482,LC_Mech[Total kVA])+SUMIF(LC_Plumb[Panel Tag],$A482,LC_Plumb[Total kVA])+SUMIF(LC_Kitchen[Panel Tag],$A482,LC_Kitchen[Total kVA])+SUMIF(LC_Elev[Panel Tag],$A482,LC_Elev[Total kVA])+SUMIF(LC_EV[Panel Tag],$A482,LC_EV[Total kVA])+SUMIF(LC_Data[Panel Tag],$A482,LC_Data[Total kVA])+SUMIF(LC_Site[Panel Tag],$A482,LC_Site[Total kVA])+SUMIF(LC_Fire[Panel Tag],$A482,LC_Fire[Total kVA])+SUMIF(LC_Process[Panel Tag],$A482,LC_Process[Total kVA]))</f>
        <v/>
      </c>
      <c r="D482" s="187"/>
      <c r="E482" s="188" t="str">
        <f t="shared" si="5"/>
        <v/>
      </c>
      <c r="F482" s="286" t="str">
        <f t="shared" si="6"/>
        <v/>
      </c>
      <c r="G482" s="284" t="str">
        <f t="shared" si="7"/>
        <v/>
      </c>
      <c r="H482" s="285"/>
    </row>
    <row r="483" spans="1:8" ht="15" customHeight="1" x14ac:dyDescent="0.45">
      <c r="A483" s="284"/>
      <c r="B483" s="285"/>
      <c r="C483" s="184" t="str">
        <f>IF(OR($A483="",LEFT($A483,1)="—"),"",SUMIF(LC_House[Panel Tag],$A483,LC_House[Total kVA])+SUMIF(LC_Dept[Panel Tag],$A483,LC_Dept[Total kVA])+SUMIF(LC_Refrig[Panel Tag],$A483,LC_Refrig[Total kVA])+SUMIF(LC_Mech[Panel Tag],$A483,LC_Mech[Total kVA])+SUMIF(LC_Plumb[Panel Tag],$A483,LC_Plumb[Total kVA])+SUMIF(LC_Kitchen[Panel Tag],$A483,LC_Kitchen[Total kVA])+SUMIF(LC_Elev[Panel Tag],$A483,LC_Elev[Total kVA])+SUMIF(LC_EV[Panel Tag],$A483,LC_EV[Total kVA])+SUMIF(LC_Data[Panel Tag],$A483,LC_Data[Total kVA])+SUMIF(LC_Site[Panel Tag],$A483,LC_Site[Total kVA])+SUMIF(LC_Fire[Panel Tag],$A483,LC_Fire[Total kVA])+SUMIF(LC_Process[Panel Tag],$A483,LC_Process[Total kVA]))</f>
        <v/>
      </c>
      <c r="D483" s="187"/>
      <c r="E483" s="188" t="str">
        <f t="shared" si="5"/>
        <v/>
      </c>
      <c r="F483" s="286" t="str">
        <f t="shared" si="6"/>
        <v/>
      </c>
      <c r="G483" s="284" t="str">
        <f t="shared" si="7"/>
        <v/>
      </c>
      <c r="H483" s="285"/>
    </row>
    <row r="484" spans="1:8" ht="15" customHeight="1" x14ac:dyDescent="0.45">
      <c r="A484" s="284"/>
      <c r="B484" s="285"/>
      <c r="C484" s="184" t="str">
        <f>IF(OR($A484="",LEFT($A484,1)="—"),"",SUMIF(LC_House[Panel Tag],$A484,LC_House[Total kVA])+SUMIF(LC_Dept[Panel Tag],$A484,LC_Dept[Total kVA])+SUMIF(LC_Refrig[Panel Tag],$A484,LC_Refrig[Total kVA])+SUMIF(LC_Mech[Panel Tag],$A484,LC_Mech[Total kVA])+SUMIF(LC_Plumb[Panel Tag],$A484,LC_Plumb[Total kVA])+SUMIF(LC_Kitchen[Panel Tag],$A484,LC_Kitchen[Total kVA])+SUMIF(LC_Elev[Panel Tag],$A484,LC_Elev[Total kVA])+SUMIF(LC_EV[Panel Tag],$A484,LC_EV[Total kVA])+SUMIF(LC_Data[Panel Tag],$A484,LC_Data[Total kVA])+SUMIF(LC_Site[Panel Tag],$A484,LC_Site[Total kVA])+SUMIF(LC_Fire[Panel Tag],$A484,LC_Fire[Total kVA])+SUMIF(LC_Process[Panel Tag],$A484,LC_Process[Total kVA]))</f>
        <v/>
      </c>
      <c r="D484" s="187"/>
      <c r="E484" s="188" t="str">
        <f t="shared" si="5"/>
        <v/>
      </c>
      <c r="F484" s="286" t="str">
        <f t="shared" si="6"/>
        <v/>
      </c>
      <c r="G484" s="284" t="str">
        <f t="shared" si="7"/>
        <v/>
      </c>
      <c r="H484" s="285"/>
    </row>
    <row r="485" spans="1:8" ht="15" customHeight="1" x14ac:dyDescent="0.45">
      <c r="A485" s="284"/>
      <c r="B485" s="285"/>
      <c r="C485" s="184" t="str">
        <f>IF(OR($A485="",LEFT($A485,1)="—"),"",SUMIF(LC_House[Panel Tag],$A485,LC_House[Total kVA])+SUMIF(LC_Dept[Panel Tag],$A485,LC_Dept[Total kVA])+SUMIF(LC_Refrig[Panel Tag],$A485,LC_Refrig[Total kVA])+SUMIF(LC_Mech[Panel Tag],$A485,LC_Mech[Total kVA])+SUMIF(LC_Plumb[Panel Tag],$A485,LC_Plumb[Total kVA])+SUMIF(LC_Kitchen[Panel Tag],$A485,LC_Kitchen[Total kVA])+SUMIF(LC_Elev[Panel Tag],$A485,LC_Elev[Total kVA])+SUMIF(LC_EV[Panel Tag],$A485,LC_EV[Total kVA])+SUMIF(LC_Data[Panel Tag],$A485,LC_Data[Total kVA])+SUMIF(LC_Site[Panel Tag],$A485,LC_Site[Total kVA])+SUMIF(LC_Fire[Panel Tag],$A485,LC_Fire[Total kVA])+SUMIF(LC_Process[Panel Tag],$A485,LC_Process[Total kVA]))</f>
        <v/>
      </c>
      <c r="D485" s="187"/>
      <c r="E485" s="188" t="str">
        <f t="shared" si="5"/>
        <v/>
      </c>
      <c r="F485" s="286" t="str">
        <f t="shared" si="6"/>
        <v/>
      </c>
      <c r="G485" s="284" t="str">
        <f t="shared" si="7"/>
        <v/>
      </c>
      <c r="H485" s="285"/>
    </row>
    <row r="486" spans="1:8" ht="15" customHeight="1" x14ac:dyDescent="0.45">
      <c r="A486" s="284"/>
      <c r="B486" s="285"/>
      <c r="C486" s="184" t="str">
        <f>IF(OR($A486="",LEFT($A486,1)="—"),"",SUMIF(LC_House[Panel Tag],$A486,LC_House[Total kVA])+SUMIF(LC_Dept[Panel Tag],$A486,LC_Dept[Total kVA])+SUMIF(LC_Refrig[Panel Tag],$A486,LC_Refrig[Total kVA])+SUMIF(LC_Mech[Panel Tag],$A486,LC_Mech[Total kVA])+SUMIF(LC_Plumb[Panel Tag],$A486,LC_Plumb[Total kVA])+SUMIF(LC_Kitchen[Panel Tag],$A486,LC_Kitchen[Total kVA])+SUMIF(LC_Elev[Panel Tag],$A486,LC_Elev[Total kVA])+SUMIF(LC_EV[Panel Tag],$A486,LC_EV[Total kVA])+SUMIF(LC_Data[Panel Tag],$A486,LC_Data[Total kVA])+SUMIF(LC_Site[Panel Tag],$A486,LC_Site[Total kVA])+SUMIF(LC_Fire[Panel Tag],$A486,LC_Fire[Total kVA])+SUMIF(LC_Process[Panel Tag],$A486,LC_Process[Total kVA]))</f>
        <v/>
      </c>
      <c r="D486" s="187"/>
      <c r="E486" s="188" t="str">
        <f t="shared" si="5"/>
        <v/>
      </c>
      <c r="F486" s="286" t="str">
        <f t="shared" si="6"/>
        <v/>
      </c>
      <c r="G486" s="284" t="str">
        <f t="shared" si="7"/>
        <v/>
      </c>
      <c r="H486" s="285"/>
    </row>
    <row r="487" spans="1:8" ht="15" customHeight="1" x14ac:dyDescent="0.45">
      <c r="A487" s="284"/>
      <c r="B487" s="285"/>
      <c r="C487" s="184" t="str">
        <f>IF(OR($A487="",LEFT($A487,1)="—"),"",SUMIF(LC_House[Panel Tag],$A487,LC_House[Total kVA])+SUMIF(LC_Dept[Panel Tag],$A487,LC_Dept[Total kVA])+SUMIF(LC_Refrig[Panel Tag],$A487,LC_Refrig[Total kVA])+SUMIF(LC_Mech[Panel Tag],$A487,LC_Mech[Total kVA])+SUMIF(LC_Plumb[Panel Tag],$A487,LC_Plumb[Total kVA])+SUMIF(LC_Kitchen[Panel Tag],$A487,LC_Kitchen[Total kVA])+SUMIF(LC_Elev[Panel Tag],$A487,LC_Elev[Total kVA])+SUMIF(LC_EV[Panel Tag],$A487,LC_EV[Total kVA])+SUMIF(LC_Data[Panel Tag],$A487,LC_Data[Total kVA])+SUMIF(LC_Site[Panel Tag],$A487,LC_Site[Total kVA])+SUMIF(LC_Fire[Panel Tag],$A487,LC_Fire[Total kVA])+SUMIF(LC_Process[Panel Tag],$A487,LC_Process[Total kVA]))</f>
        <v/>
      </c>
      <c r="D487" s="187"/>
      <c r="E487" s="188" t="str">
        <f t="shared" ref="E487:E550" si="8">IF(OR(NOT(ISNUMBER($C487)),NOT(ISNUMBER($D487))),"",$C487-$D487)</f>
        <v/>
      </c>
      <c r="F487" s="286" t="str">
        <f t="shared" ref="F487:F550" si="9">IF(NOT(ISNUMBER($C487)),"",IF(NOT(ISNUMBER($D487)),"link not set",IF(ABS($E487)&lt;=$K$363,"OK","CHECK")))</f>
        <v/>
      </c>
      <c r="G487" s="284" t="str">
        <f t="shared" ref="G487:G550" si="10">IF(NOT(ISNUMBER($C487)),"",IF($B487="","← set Type in column B",IFERROR("='"&amp;$A487&amp;"'!"&amp;VLOOKUP($B487,$J$359:$K$361,2,FALSE),"← Type not recognized")))</f>
        <v/>
      </c>
      <c r="H487" s="285"/>
    </row>
    <row r="488" spans="1:8" ht="15" customHeight="1" x14ac:dyDescent="0.45">
      <c r="A488" s="284"/>
      <c r="B488" s="285"/>
      <c r="C488" s="184" t="str">
        <f>IF(OR($A488="",LEFT($A488,1)="—"),"",SUMIF(LC_House[Panel Tag],$A488,LC_House[Total kVA])+SUMIF(LC_Dept[Panel Tag],$A488,LC_Dept[Total kVA])+SUMIF(LC_Refrig[Panel Tag],$A488,LC_Refrig[Total kVA])+SUMIF(LC_Mech[Panel Tag],$A488,LC_Mech[Total kVA])+SUMIF(LC_Plumb[Panel Tag],$A488,LC_Plumb[Total kVA])+SUMIF(LC_Kitchen[Panel Tag],$A488,LC_Kitchen[Total kVA])+SUMIF(LC_Elev[Panel Tag],$A488,LC_Elev[Total kVA])+SUMIF(LC_EV[Panel Tag],$A488,LC_EV[Total kVA])+SUMIF(LC_Data[Panel Tag],$A488,LC_Data[Total kVA])+SUMIF(LC_Site[Panel Tag],$A488,LC_Site[Total kVA])+SUMIF(LC_Fire[Panel Tag],$A488,LC_Fire[Total kVA])+SUMIF(LC_Process[Panel Tag],$A488,LC_Process[Total kVA]))</f>
        <v/>
      </c>
      <c r="D488" s="187"/>
      <c r="E488" s="188" t="str">
        <f t="shared" si="8"/>
        <v/>
      </c>
      <c r="F488" s="286" t="str">
        <f t="shared" si="9"/>
        <v/>
      </c>
      <c r="G488" s="284" t="str">
        <f t="shared" si="10"/>
        <v/>
      </c>
      <c r="H488" s="285"/>
    </row>
    <row r="489" spans="1:8" ht="15" customHeight="1" x14ac:dyDescent="0.45">
      <c r="A489" s="284"/>
      <c r="B489" s="285"/>
      <c r="C489" s="184" t="str">
        <f>IF(OR($A489="",LEFT($A489,1)="—"),"",SUMIF(LC_House[Panel Tag],$A489,LC_House[Total kVA])+SUMIF(LC_Dept[Panel Tag],$A489,LC_Dept[Total kVA])+SUMIF(LC_Refrig[Panel Tag],$A489,LC_Refrig[Total kVA])+SUMIF(LC_Mech[Panel Tag],$A489,LC_Mech[Total kVA])+SUMIF(LC_Plumb[Panel Tag],$A489,LC_Plumb[Total kVA])+SUMIF(LC_Kitchen[Panel Tag],$A489,LC_Kitchen[Total kVA])+SUMIF(LC_Elev[Panel Tag],$A489,LC_Elev[Total kVA])+SUMIF(LC_EV[Panel Tag],$A489,LC_EV[Total kVA])+SUMIF(LC_Data[Panel Tag],$A489,LC_Data[Total kVA])+SUMIF(LC_Site[Panel Tag],$A489,LC_Site[Total kVA])+SUMIF(LC_Fire[Panel Tag],$A489,LC_Fire[Total kVA])+SUMIF(LC_Process[Panel Tag],$A489,LC_Process[Total kVA]))</f>
        <v/>
      </c>
      <c r="D489" s="187"/>
      <c r="E489" s="188" t="str">
        <f t="shared" si="8"/>
        <v/>
      </c>
      <c r="F489" s="286" t="str">
        <f t="shared" si="9"/>
        <v/>
      </c>
      <c r="G489" s="284" t="str">
        <f t="shared" si="10"/>
        <v/>
      </c>
      <c r="H489" s="285"/>
    </row>
    <row r="490" spans="1:8" ht="15" customHeight="1" x14ac:dyDescent="0.45">
      <c r="A490" s="284"/>
      <c r="B490" s="285"/>
      <c r="C490" s="184" t="str">
        <f>IF(OR($A490="",LEFT($A490,1)="—"),"",SUMIF(LC_House[Panel Tag],$A490,LC_House[Total kVA])+SUMIF(LC_Dept[Panel Tag],$A490,LC_Dept[Total kVA])+SUMIF(LC_Refrig[Panel Tag],$A490,LC_Refrig[Total kVA])+SUMIF(LC_Mech[Panel Tag],$A490,LC_Mech[Total kVA])+SUMIF(LC_Plumb[Panel Tag],$A490,LC_Plumb[Total kVA])+SUMIF(LC_Kitchen[Panel Tag],$A490,LC_Kitchen[Total kVA])+SUMIF(LC_Elev[Panel Tag],$A490,LC_Elev[Total kVA])+SUMIF(LC_EV[Panel Tag],$A490,LC_EV[Total kVA])+SUMIF(LC_Data[Panel Tag],$A490,LC_Data[Total kVA])+SUMIF(LC_Site[Panel Tag],$A490,LC_Site[Total kVA])+SUMIF(LC_Fire[Panel Tag],$A490,LC_Fire[Total kVA])+SUMIF(LC_Process[Panel Tag],$A490,LC_Process[Total kVA]))</f>
        <v/>
      </c>
      <c r="D490" s="187"/>
      <c r="E490" s="188" t="str">
        <f t="shared" si="8"/>
        <v/>
      </c>
      <c r="F490" s="286" t="str">
        <f t="shared" si="9"/>
        <v/>
      </c>
      <c r="G490" s="284" t="str">
        <f t="shared" si="10"/>
        <v/>
      </c>
      <c r="H490" s="285"/>
    </row>
    <row r="491" spans="1:8" ht="15" customHeight="1" x14ac:dyDescent="0.45">
      <c r="A491" s="284"/>
      <c r="B491" s="285"/>
      <c r="C491" s="184" t="str">
        <f>IF(OR($A491="",LEFT($A491,1)="—"),"",SUMIF(LC_House[Panel Tag],$A491,LC_House[Total kVA])+SUMIF(LC_Dept[Panel Tag],$A491,LC_Dept[Total kVA])+SUMIF(LC_Refrig[Panel Tag],$A491,LC_Refrig[Total kVA])+SUMIF(LC_Mech[Panel Tag],$A491,LC_Mech[Total kVA])+SUMIF(LC_Plumb[Panel Tag],$A491,LC_Plumb[Total kVA])+SUMIF(LC_Kitchen[Panel Tag],$A491,LC_Kitchen[Total kVA])+SUMIF(LC_Elev[Panel Tag],$A491,LC_Elev[Total kVA])+SUMIF(LC_EV[Panel Tag],$A491,LC_EV[Total kVA])+SUMIF(LC_Data[Panel Tag],$A491,LC_Data[Total kVA])+SUMIF(LC_Site[Panel Tag],$A491,LC_Site[Total kVA])+SUMIF(LC_Fire[Panel Tag],$A491,LC_Fire[Total kVA])+SUMIF(LC_Process[Panel Tag],$A491,LC_Process[Total kVA]))</f>
        <v/>
      </c>
      <c r="D491" s="187"/>
      <c r="E491" s="188" t="str">
        <f t="shared" si="8"/>
        <v/>
      </c>
      <c r="F491" s="286" t="str">
        <f t="shared" si="9"/>
        <v/>
      </c>
      <c r="G491" s="284" t="str">
        <f t="shared" si="10"/>
        <v/>
      </c>
      <c r="H491" s="285"/>
    </row>
    <row r="492" spans="1:8" ht="15" customHeight="1" x14ac:dyDescent="0.45">
      <c r="A492" s="284"/>
      <c r="B492" s="285"/>
      <c r="C492" s="184" t="str">
        <f>IF(OR($A492="",LEFT($A492,1)="—"),"",SUMIF(LC_House[Panel Tag],$A492,LC_House[Total kVA])+SUMIF(LC_Dept[Panel Tag],$A492,LC_Dept[Total kVA])+SUMIF(LC_Refrig[Panel Tag],$A492,LC_Refrig[Total kVA])+SUMIF(LC_Mech[Panel Tag],$A492,LC_Mech[Total kVA])+SUMIF(LC_Plumb[Panel Tag],$A492,LC_Plumb[Total kVA])+SUMIF(LC_Kitchen[Panel Tag],$A492,LC_Kitchen[Total kVA])+SUMIF(LC_Elev[Panel Tag],$A492,LC_Elev[Total kVA])+SUMIF(LC_EV[Panel Tag],$A492,LC_EV[Total kVA])+SUMIF(LC_Data[Panel Tag],$A492,LC_Data[Total kVA])+SUMIF(LC_Site[Panel Tag],$A492,LC_Site[Total kVA])+SUMIF(LC_Fire[Panel Tag],$A492,LC_Fire[Total kVA])+SUMIF(LC_Process[Panel Tag],$A492,LC_Process[Total kVA]))</f>
        <v/>
      </c>
      <c r="D492" s="187"/>
      <c r="E492" s="188" t="str">
        <f t="shared" si="8"/>
        <v/>
      </c>
      <c r="F492" s="286" t="str">
        <f t="shared" si="9"/>
        <v/>
      </c>
      <c r="G492" s="284" t="str">
        <f t="shared" si="10"/>
        <v/>
      </c>
      <c r="H492" s="285"/>
    </row>
    <row r="493" spans="1:8" ht="15" customHeight="1" x14ac:dyDescent="0.45">
      <c r="A493" s="284"/>
      <c r="B493" s="285"/>
      <c r="C493" s="184" t="str">
        <f>IF(OR($A493="",LEFT($A493,1)="—"),"",SUMIF(LC_House[Panel Tag],$A493,LC_House[Total kVA])+SUMIF(LC_Dept[Panel Tag],$A493,LC_Dept[Total kVA])+SUMIF(LC_Refrig[Panel Tag],$A493,LC_Refrig[Total kVA])+SUMIF(LC_Mech[Panel Tag],$A493,LC_Mech[Total kVA])+SUMIF(LC_Plumb[Panel Tag],$A493,LC_Plumb[Total kVA])+SUMIF(LC_Kitchen[Panel Tag],$A493,LC_Kitchen[Total kVA])+SUMIF(LC_Elev[Panel Tag],$A493,LC_Elev[Total kVA])+SUMIF(LC_EV[Panel Tag],$A493,LC_EV[Total kVA])+SUMIF(LC_Data[Panel Tag],$A493,LC_Data[Total kVA])+SUMIF(LC_Site[Panel Tag],$A493,LC_Site[Total kVA])+SUMIF(LC_Fire[Panel Tag],$A493,LC_Fire[Total kVA])+SUMIF(LC_Process[Panel Tag],$A493,LC_Process[Total kVA]))</f>
        <v/>
      </c>
      <c r="D493" s="187"/>
      <c r="E493" s="188" t="str">
        <f t="shared" si="8"/>
        <v/>
      </c>
      <c r="F493" s="286" t="str">
        <f t="shared" si="9"/>
        <v/>
      </c>
      <c r="G493" s="284" t="str">
        <f t="shared" si="10"/>
        <v/>
      </c>
      <c r="H493" s="285"/>
    </row>
    <row r="494" spans="1:8" ht="15" customHeight="1" x14ac:dyDescent="0.45">
      <c r="A494" s="284"/>
      <c r="B494" s="285"/>
      <c r="C494" s="184" t="str">
        <f>IF(OR($A494="",LEFT($A494,1)="—"),"",SUMIF(LC_House[Panel Tag],$A494,LC_House[Total kVA])+SUMIF(LC_Dept[Panel Tag],$A494,LC_Dept[Total kVA])+SUMIF(LC_Refrig[Panel Tag],$A494,LC_Refrig[Total kVA])+SUMIF(LC_Mech[Panel Tag],$A494,LC_Mech[Total kVA])+SUMIF(LC_Plumb[Panel Tag],$A494,LC_Plumb[Total kVA])+SUMIF(LC_Kitchen[Panel Tag],$A494,LC_Kitchen[Total kVA])+SUMIF(LC_Elev[Panel Tag],$A494,LC_Elev[Total kVA])+SUMIF(LC_EV[Panel Tag],$A494,LC_EV[Total kVA])+SUMIF(LC_Data[Panel Tag],$A494,LC_Data[Total kVA])+SUMIF(LC_Site[Panel Tag],$A494,LC_Site[Total kVA])+SUMIF(LC_Fire[Panel Tag],$A494,LC_Fire[Total kVA])+SUMIF(LC_Process[Panel Tag],$A494,LC_Process[Total kVA]))</f>
        <v/>
      </c>
      <c r="D494" s="187"/>
      <c r="E494" s="188" t="str">
        <f t="shared" si="8"/>
        <v/>
      </c>
      <c r="F494" s="286" t="str">
        <f t="shared" si="9"/>
        <v/>
      </c>
      <c r="G494" s="284" t="str">
        <f t="shared" si="10"/>
        <v/>
      </c>
      <c r="H494" s="285"/>
    </row>
    <row r="495" spans="1:8" ht="15" customHeight="1" x14ac:dyDescent="0.45">
      <c r="A495" s="284"/>
      <c r="B495" s="285"/>
      <c r="C495" s="184" t="str">
        <f>IF(OR($A495="",LEFT($A495,1)="—"),"",SUMIF(LC_House[Panel Tag],$A495,LC_House[Total kVA])+SUMIF(LC_Dept[Panel Tag],$A495,LC_Dept[Total kVA])+SUMIF(LC_Refrig[Panel Tag],$A495,LC_Refrig[Total kVA])+SUMIF(LC_Mech[Panel Tag],$A495,LC_Mech[Total kVA])+SUMIF(LC_Plumb[Panel Tag],$A495,LC_Plumb[Total kVA])+SUMIF(LC_Kitchen[Panel Tag],$A495,LC_Kitchen[Total kVA])+SUMIF(LC_Elev[Panel Tag],$A495,LC_Elev[Total kVA])+SUMIF(LC_EV[Panel Tag],$A495,LC_EV[Total kVA])+SUMIF(LC_Data[Panel Tag],$A495,LC_Data[Total kVA])+SUMIF(LC_Site[Panel Tag],$A495,LC_Site[Total kVA])+SUMIF(LC_Fire[Panel Tag],$A495,LC_Fire[Total kVA])+SUMIF(LC_Process[Panel Tag],$A495,LC_Process[Total kVA]))</f>
        <v/>
      </c>
      <c r="D495" s="187"/>
      <c r="E495" s="188" t="str">
        <f t="shared" si="8"/>
        <v/>
      </c>
      <c r="F495" s="286" t="str">
        <f t="shared" si="9"/>
        <v/>
      </c>
      <c r="G495" s="284" t="str">
        <f t="shared" si="10"/>
        <v/>
      </c>
      <c r="H495" s="285"/>
    </row>
    <row r="496" spans="1:8" ht="15" customHeight="1" x14ac:dyDescent="0.45">
      <c r="A496" s="284"/>
      <c r="B496" s="285"/>
      <c r="C496" s="184" t="str">
        <f>IF(OR($A496="",LEFT($A496,1)="—"),"",SUMIF(LC_House[Panel Tag],$A496,LC_House[Total kVA])+SUMIF(LC_Dept[Panel Tag],$A496,LC_Dept[Total kVA])+SUMIF(LC_Refrig[Panel Tag],$A496,LC_Refrig[Total kVA])+SUMIF(LC_Mech[Panel Tag],$A496,LC_Mech[Total kVA])+SUMIF(LC_Plumb[Panel Tag],$A496,LC_Plumb[Total kVA])+SUMIF(LC_Kitchen[Panel Tag],$A496,LC_Kitchen[Total kVA])+SUMIF(LC_Elev[Panel Tag],$A496,LC_Elev[Total kVA])+SUMIF(LC_EV[Panel Tag],$A496,LC_EV[Total kVA])+SUMIF(LC_Data[Panel Tag],$A496,LC_Data[Total kVA])+SUMIF(LC_Site[Panel Tag],$A496,LC_Site[Total kVA])+SUMIF(LC_Fire[Panel Tag],$A496,LC_Fire[Total kVA])+SUMIF(LC_Process[Panel Tag],$A496,LC_Process[Total kVA]))</f>
        <v/>
      </c>
      <c r="D496" s="187"/>
      <c r="E496" s="188" t="str">
        <f t="shared" si="8"/>
        <v/>
      </c>
      <c r="F496" s="286" t="str">
        <f t="shared" si="9"/>
        <v/>
      </c>
      <c r="G496" s="284" t="str">
        <f t="shared" si="10"/>
        <v/>
      </c>
      <c r="H496" s="285"/>
    </row>
    <row r="497" spans="1:8" ht="15" customHeight="1" x14ac:dyDescent="0.45">
      <c r="A497" s="284"/>
      <c r="B497" s="285"/>
      <c r="C497" s="184" t="str">
        <f>IF(OR($A497="",LEFT($A497,1)="—"),"",SUMIF(LC_House[Panel Tag],$A497,LC_House[Total kVA])+SUMIF(LC_Dept[Panel Tag],$A497,LC_Dept[Total kVA])+SUMIF(LC_Refrig[Panel Tag],$A497,LC_Refrig[Total kVA])+SUMIF(LC_Mech[Panel Tag],$A497,LC_Mech[Total kVA])+SUMIF(LC_Plumb[Panel Tag],$A497,LC_Plumb[Total kVA])+SUMIF(LC_Kitchen[Panel Tag],$A497,LC_Kitchen[Total kVA])+SUMIF(LC_Elev[Panel Tag],$A497,LC_Elev[Total kVA])+SUMIF(LC_EV[Panel Tag],$A497,LC_EV[Total kVA])+SUMIF(LC_Data[Panel Tag],$A497,LC_Data[Total kVA])+SUMIF(LC_Site[Panel Tag],$A497,LC_Site[Total kVA])+SUMIF(LC_Fire[Panel Tag],$A497,LC_Fire[Total kVA])+SUMIF(LC_Process[Panel Tag],$A497,LC_Process[Total kVA]))</f>
        <v/>
      </c>
      <c r="D497" s="187"/>
      <c r="E497" s="188" t="str">
        <f t="shared" si="8"/>
        <v/>
      </c>
      <c r="F497" s="286" t="str">
        <f t="shared" si="9"/>
        <v/>
      </c>
      <c r="G497" s="284" t="str">
        <f t="shared" si="10"/>
        <v/>
      </c>
      <c r="H497" s="285"/>
    </row>
    <row r="498" spans="1:8" ht="15" customHeight="1" x14ac:dyDescent="0.45">
      <c r="A498" s="284"/>
      <c r="B498" s="285"/>
      <c r="C498" s="184" t="str">
        <f>IF(OR($A498="",LEFT($A498,1)="—"),"",SUMIF(LC_House[Panel Tag],$A498,LC_House[Total kVA])+SUMIF(LC_Dept[Panel Tag],$A498,LC_Dept[Total kVA])+SUMIF(LC_Refrig[Panel Tag],$A498,LC_Refrig[Total kVA])+SUMIF(LC_Mech[Panel Tag],$A498,LC_Mech[Total kVA])+SUMIF(LC_Plumb[Panel Tag],$A498,LC_Plumb[Total kVA])+SUMIF(LC_Kitchen[Panel Tag],$A498,LC_Kitchen[Total kVA])+SUMIF(LC_Elev[Panel Tag],$A498,LC_Elev[Total kVA])+SUMIF(LC_EV[Panel Tag],$A498,LC_EV[Total kVA])+SUMIF(LC_Data[Panel Tag],$A498,LC_Data[Total kVA])+SUMIF(LC_Site[Panel Tag],$A498,LC_Site[Total kVA])+SUMIF(LC_Fire[Panel Tag],$A498,LC_Fire[Total kVA])+SUMIF(LC_Process[Panel Tag],$A498,LC_Process[Total kVA]))</f>
        <v/>
      </c>
      <c r="D498" s="187"/>
      <c r="E498" s="188" t="str">
        <f t="shared" si="8"/>
        <v/>
      </c>
      <c r="F498" s="286" t="str">
        <f t="shared" si="9"/>
        <v/>
      </c>
      <c r="G498" s="284" t="str">
        <f t="shared" si="10"/>
        <v/>
      </c>
      <c r="H498" s="285"/>
    </row>
    <row r="499" spans="1:8" ht="15" customHeight="1" x14ac:dyDescent="0.45">
      <c r="A499" s="284"/>
      <c r="B499" s="285"/>
      <c r="C499" s="184" t="str">
        <f>IF(OR($A499="",LEFT($A499,1)="—"),"",SUMIF(LC_House[Panel Tag],$A499,LC_House[Total kVA])+SUMIF(LC_Dept[Panel Tag],$A499,LC_Dept[Total kVA])+SUMIF(LC_Refrig[Panel Tag],$A499,LC_Refrig[Total kVA])+SUMIF(LC_Mech[Panel Tag],$A499,LC_Mech[Total kVA])+SUMIF(LC_Plumb[Panel Tag],$A499,LC_Plumb[Total kVA])+SUMIF(LC_Kitchen[Panel Tag],$A499,LC_Kitchen[Total kVA])+SUMIF(LC_Elev[Panel Tag],$A499,LC_Elev[Total kVA])+SUMIF(LC_EV[Panel Tag],$A499,LC_EV[Total kVA])+SUMIF(LC_Data[Panel Tag],$A499,LC_Data[Total kVA])+SUMIF(LC_Site[Panel Tag],$A499,LC_Site[Total kVA])+SUMIF(LC_Fire[Panel Tag],$A499,LC_Fire[Total kVA])+SUMIF(LC_Process[Panel Tag],$A499,LC_Process[Total kVA]))</f>
        <v/>
      </c>
      <c r="D499" s="187"/>
      <c r="E499" s="188" t="str">
        <f t="shared" si="8"/>
        <v/>
      </c>
      <c r="F499" s="286" t="str">
        <f t="shared" si="9"/>
        <v/>
      </c>
      <c r="G499" s="284" t="str">
        <f t="shared" si="10"/>
        <v/>
      </c>
      <c r="H499" s="285"/>
    </row>
    <row r="500" spans="1:8" ht="15" customHeight="1" x14ac:dyDescent="0.45">
      <c r="A500" s="284"/>
      <c r="B500" s="285"/>
      <c r="C500" s="184" t="str">
        <f>IF(OR($A500="",LEFT($A500,1)="—"),"",SUMIF(LC_House[Panel Tag],$A500,LC_House[Total kVA])+SUMIF(LC_Dept[Panel Tag],$A500,LC_Dept[Total kVA])+SUMIF(LC_Refrig[Panel Tag],$A500,LC_Refrig[Total kVA])+SUMIF(LC_Mech[Panel Tag],$A500,LC_Mech[Total kVA])+SUMIF(LC_Plumb[Panel Tag],$A500,LC_Plumb[Total kVA])+SUMIF(LC_Kitchen[Panel Tag],$A500,LC_Kitchen[Total kVA])+SUMIF(LC_Elev[Panel Tag],$A500,LC_Elev[Total kVA])+SUMIF(LC_EV[Panel Tag],$A500,LC_EV[Total kVA])+SUMIF(LC_Data[Panel Tag],$A500,LC_Data[Total kVA])+SUMIF(LC_Site[Panel Tag],$A500,LC_Site[Total kVA])+SUMIF(LC_Fire[Panel Tag],$A500,LC_Fire[Total kVA])+SUMIF(LC_Process[Panel Tag],$A500,LC_Process[Total kVA]))</f>
        <v/>
      </c>
      <c r="D500" s="187"/>
      <c r="E500" s="188" t="str">
        <f t="shared" si="8"/>
        <v/>
      </c>
      <c r="F500" s="286" t="str">
        <f t="shared" si="9"/>
        <v/>
      </c>
      <c r="G500" s="284" t="str">
        <f t="shared" si="10"/>
        <v/>
      </c>
      <c r="H500" s="285"/>
    </row>
    <row r="501" spans="1:8" ht="15" customHeight="1" x14ac:dyDescent="0.45">
      <c r="A501" s="284"/>
      <c r="B501" s="285"/>
      <c r="C501" s="184" t="str">
        <f>IF(OR($A501="",LEFT($A501,1)="—"),"",SUMIF(LC_House[Panel Tag],$A501,LC_House[Total kVA])+SUMIF(LC_Dept[Panel Tag],$A501,LC_Dept[Total kVA])+SUMIF(LC_Refrig[Panel Tag],$A501,LC_Refrig[Total kVA])+SUMIF(LC_Mech[Panel Tag],$A501,LC_Mech[Total kVA])+SUMIF(LC_Plumb[Panel Tag],$A501,LC_Plumb[Total kVA])+SUMIF(LC_Kitchen[Panel Tag],$A501,LC_Kitchen[Total kVA])+SUMIF(LC_Elev[Panel Tag],$A501,LC_Elev[Total kVA])+SUMIF(LC_EV[Panel Tag],$A501,LC_EV[Total kVA])+SUMIF(LC_Data[Panel Tag],$A501,LC_Data[Total kVA])+SUMIF(LC_Site[Panel Tag],$A501,LC_Site[Total kVA])+SUMIF(LC_Fire[Panel Tag],$A501,LC_Fire[Total kVA])+SUMIF(LC_Process[Panel Tag],$A501,LC_Process[Total kVA]))</f>
        <v/>
      </c>
      <c r="D501" s="187"/>
      <c r="E501" s="188" t="str">
        <f t="shared" si="8"/>
        <v/>
      </c>
      <c r="F501" s="286" t="str">
        <f t="shared" si="9"/>
        <v/>
      </c>
      <c r="G501" s="284" t="str">
        <f t="shared" si="10"/>
        <v/>
      </c>
      <c r="H501" s="285"/>
    </row>
    <row r="502" spans="1:8" ht="15" customHeight="1" x14ac:dyDescent="0.45">
      <c r="A502" s="284"/>
      <c r="B502" s="285"/>
      <c r="C502" s="184" t="str">
        <f>IF(OR($A502="",LEFT($A502,1)="—"),"",SUMIF(LC_House[Panel Tag],$A502,LC_House[Total kVA])+SUMIF(LC_Dept[Panel Tag],$A502,LC_Dept[Total kVA])+SUMIF(LC_Refrig[Panel Tag],$A502,LC_Refrig[Total kVA])+SUMIF(LC_Mech[Panel Tag],$A502,LC_Mech[Total kVA])+SUMIF(LC_Plumb[Panel Tag],$A502,LC_Plumb[Total kVA])+SUMIF(LC_Kitchen[Panel Tag],$A502,LC_Kitchen[Total kVA])+SUMIF(LC_Elev[Panel Tag],$A502,LC_Elev[Total kVA])+SUMIF(LC_EV[Panel Tag],$A502,LC_EV[Total kVA])+SUMIF(LC_Data[Panel Tag],$A502,LC_Data[Total kVA])+SUMIF(LC_Site[Panel Tag],$A502,LC_Site[Total kVA])+SUMIF(LC_Fire[Panel Tag],$A502,LC_Fire[Total kVA])+SUMIF(LC_Process[Panel Tag],$A502,LC_Process[Total kVA]))</f>
        <v/>
      </c>
      <c r="D502" s="187"/>
      <c r="E502" s="188" t="str">
        <f t="shared" si="8"/>
        <v/>
      </c>
      <c r="F502" s="286" t="str">
        <f t="shared" si="9"/>
        <v/>
      </c>
      <c r="G502" s="284" t="str">
        <f t="shared" si="10"/>
        <v/>
      </c>
      <c r="H502" s="285"/>
    </row>
    <row r="503" spans="1:8" ht="15" customHeight="1" x14ac:dyDescent="0.45">
      <c r="A503" s="284"/>
      <c r="B503" s="285"/>
      <c r="C503" s="184" t="str">
        <f>IF(OR($A503="",LEFT($A503,1)="—"),"",SUMIF(LC_House[Panel Tag],$A503,LC_House[Total kVA])+SUMIF(LC_Dept[Panel Tag],$A503,LC_Dept[Total kVA])+SUMIF(LC_Refrig[Panel Tag],$A503,LC_Refrig[Total kVA])+SUMIF(LC_Mech[Panel Tag],$A503,LC_Mech[Total kVA])+SUMIF(LC_Plumb[Panel Tag],$A503,LC_Plumb[Total kVA])+SUMIF(LC_Kitchen[Panel Tag],$A503,LC_Kitchen[Total kVA])+SUMIF(LC_Elev[Panel Tag],$A503,LC_Elev[Total kVA])+SUMIF(LC_EV[Panel Tag],$A503,LC_EV[Total kVA])+SUMIF(LC_Data[Panel Tag],$A503,LC_Data[Total kVA])+SUMIF(LC_Site[Panel Tag],$A503,LC_Site[Total kVA])+SUMIF(LC_Fire[Panel Tag],$A503,LC_Fire[Total kVA])+SUMIF(LC_Process[Panel Tag],$A503,LC_Process[Total kVA]))</f>
        <v/>
      </c>
      <c r="D503" s="187"/>
      <c r="E503" s="188" t="str">
        <f t="shared" si="8"/>
        <v/>
      </c>
      <c r="F503" s="286" t="str">
        <f t="shared" si="9"/>
        <v/>
      </c>
      <c r="G503" s="284" t="str">
        <f t="shared" si="10"/>
        <v/>
      </c>
      <c r="H503" s="285"/>
    </row>
    <row r="504" spans="1:8" ht="15" customHeight="1" x14ac:dyDescent="0.45">
      <c r="A504" s="284"/>
      <c r="B504" s="285"/>
      <c r="C504" s="184" t="str">
        <f>IF(OR($A504="",LEFT($A504,1)="—"),"",SUMIF(LC_House[Panel Tag],$A504,LC_House[Total kVA])+SUMIF(LC_Dept[Panel Tag],$A504,LC_Dept[Total kVA])+SUMIF(LC_Refrig[Panel Tag],$A504,LC_Refrig[Total kVA])+SUMIF(LC_Mech[Panel Tag],$A504,LC_Mech[Total kVA])+SUMIF(LC_Plumb[Panel Tag],$A504,LC_Plumb[Total kVA])+SUMIF(LC_Kitchen[Panel Tag],$A504,LC_Kitchen[Total kVA])+SUMIF(LC_Elev[Panel Tag],$A504,LC_Elev[Total kVA])+SUMIF(LC_EV[Panel Tag],$A504,LC_EV[Total kVA])+SUMIF(LC_Data[Panel Tag],$A504,LC_Data[Total kVA])+SUMIF(LC_Site[Panel Tag],$A504,LC_Site[Total kVA])+SUMIF(LC_Fire[Panel Tag],$A504,LC_Fire[Total kVA])+SUMIF(LC_Process[Panel Tag],$A504,LC_Process[Total kVA]))</f>
        <v/>
      </c>
      <c r="D504" s="187"/>
      <c r="E504" s="188" t="str">
        <f t="shared" si="8"/>
        <v/>
      </c>
      <c r="F504" s="286" t="str">
        <f t="shared" si="9"/>
        <v/>
      </c>
      <c r="G504" s="284" t="str">
        <f t="shared" si="10"/>
        <v/>
      </c>
      <c r="H504" s="285"/>
    </row>
    <row r="505" spans="1:8" ht="15" customHeight="1" x14ac:dyDescent="0.45">
      <c r="A505" s="284"/>
      <c r="B505" s="285"/>
      <c r="C505" s="184" t="str">
        <f>IF(OR($A505="",LEFT($A505,1)="—"),"",SUMIF(LC_House[Panel Tag],$A505,LC_House[Total kVA])+SUMIF(LC_Dept[Panel Tag],$A505,LC_Dept[Total kVA])+SUMIF(LC_Refrig[Panel Tag],$A505,LC_Refrig[Total kVA])+SUMIF(LC_Mech[Panel Tag],$A505,LC_Mech[Total kVA])+SUMIF(LC_Plumb[Panel Tag],$A505,LC_Plumb[Total kVA])+SUMIF(LC_Kitchen[Panel Tag],$A505,LC_Kitchen[Total kVA])+SUMIF(LC_Elev[Panel Tag],$A505,LC_Elev[Total kVA])+SUMIF(LC_EV[Panel Tag],$A505,LC_EV[Total kVA])+SUMIF(LC_Data[Panel Tag],$A505,LC_Data[Total kVA])+SUMIF(LC_Site[Panel Tag],$A505,LC_Site[Total kVA])+SUMIF(LC_Fire[Panel Tag],$A505,LC_Fire[Total kVA])+SUMIF(LC_Process[Panel Tag],$A505,LC_Process[Total kVA]))</f>
        <v/>
      </c>
      <c r="D505" s="187"/>
      <c r="E505" s="188" t="str">
        <f t="shared" si="8"/>
        <v/>
      </c>
      <c r="F505" s="286" t="str">
        <f t="shared" si="9"/>
        <v/>
      </c>
      <c r="G505" s="284" t="str">
        <f t="shared" si="10"/>
        <v/>
      </c>
      <c r="H505" s="285"/>
    </row>
    <row r="506" spans="1:8" ht="15" customHeight="1" x14ac:dyDescent="0.45">
      <c r="A506" s="284"/>
      <c r="B506" s="285"/>
      <c r="C506" s="184" t="str">
        <f>IF(OR($A506="",LEFT($A506,1)="—"),"",SUMIF(LC_House[Panel Tag],$A506,LC_House[Total kVA])+SUMIF(LC_Dept[Panel Tag],$A506,LC_Dept[Total kVA])+SUMIF(LC_Refrig[Panel Tag],$A506,LC_Refrig[Total kVA])+SUMIF(LC_Mech[Panel Tag],$A506,LC_Mech[Total kVA])+SUMIF(LC_Plumb[Panel Tag],$A506,LC_Plumb[Total kVA])+SUMIF(LC_Kitchen[Panel Tag],$A506,LC_Kitchen[Total kVA])+SUMIF(LC_Elev[Panel Tag],$A506,LC_Elev[Total kVA])+SUMIF(LC_EV[Panel Tag],$A506,LC_EV[Total kVA])+SUMIF(LC_Data[Panel Tag],$A506,LC_Data[Total kVA])+SUMIF(LC_Site[Panel Tag],$A506,LC_Site[Total kVA])+SUMIF(LC_Fire[Panel Tag],$A506,LC_Fire[Total kVA])+SUMIF(LC_Process[Panel Tag],$A506,LC_Process[Total kVA]))</f>
        <v/>
      </c>
      <c r="D506" s="187"/>
      <c r="E506" s="188" t="str">
        <f t="shared" si="8"/>
        <v/>
      </c>
      <c r="F506" s="286" t="str">
        <f t="shared" si="9"/>
        <v/>
      </c>
      <c r="G506" s="284" t="str">
        <f t="shared" si="10"/>
        <v/>
      </c>
      <c r="H506" s="285"/>
    </row>
    <row r="507" spans="1:8" ht="15" customHeight="1" x14ac:dyDescent="0.45">
      <c r="A507" s="284"/>
      <c r="B507" s="285"/>
      <c r="C507" s="184" t="str">
        <f>IF(OR($A507="",LEFT($A507,1)="—"),"",SUMIF(LC_House[Panel Tag],$A507,LC_House[Total kVA])+SUMIF(LC_Dept[Panel Tag],$A507,LC_Dept[Total kVA])+SUMIF(LC_Refrig[Panel Tag],$A507,LC_Refrig[Total kVA])+SUMIF(LC_Mech[Panel Tag],$A507,LC_Mech[Total kVA])+SUMIF(LC_Plumb[Panel Tag],$A507,LC_Plumb[Total kVA])+SUMIF(LC_Kitchen[Panel Tag],$A507,LC_Kitchen[Total kVA])+SUMIF(LC_Elev[Panel Tag],$A507,LC_Elev[Total kVA])+SUMIF(LC_EV[Panel Tag],$A507,LC_EV[Total kVA])+SUMIF(LC_Data[Panel Tag],$A507,LC_Data[Total kVA])+SUMIF(LC_Site[Panel Tag],$A507,LC_Site[Total kVA])+SUMIF(LC_Fire[Panel Tag],$A507,LC_Fire[Total kVA])+SUMIF(LC_Process[Panel Tag],$A507,LC_Process[Total kVA]))</f>
        <v/>
      </c>
      <c r="D507" s="187"/>
      <c r="E507" s="188" t="str">
        <f t="shared" si="8"/>
        <v/>
      </c>
      <c r="F507" s="286" t="str">
        <f t="shared" si="9"/>
        <v/>
      </c>
      <c r="G507" s="284" t="str">
        <f t="shared" si="10"/>
        <v/>
      </c>
      <c r="H507" s="285"/>
    </row>
    <row r="508" spans="1:8" ht="15" customHeight="1" x14ac:dyDescent="0.45">
      <c r="A508" s="284"/>
      <c r="B508" s="285"/>
      <c r="C508" s="184" t="str">
        <f>IF(OR($A508="",LEFT($A508,1)="—"),"",SUMIF(LC_House[Panel Tag],$A508,LC_House[Total kVA])+SUMIF(LC_Dept[Panel Tag],$A508,LC_Dept[Total kVA])+SUMIF(LC_Refrig[Panel Tag],$A508,LC_Refrig[Total kVA])+SUMIF(LC_Mech[Panel Tag],$A508,LC_Mech[Total kVA])+SUMIF(LC_Plumb[Panel Tag],$A508,LC_Plumb[Total kVA])+SUMIF(LC_Kitchen[Panel Tag],$A508,LC_Kitchen[Total kVA])+SUMIF(LC_Elev[Panel Tag],$A508,LC_Elev[Total kVA])+SUMIF(LC_EV[Panel Tag],$A508,LC_EV[Total kVA])+SUMIF(LC_Data[Panel Tag],$A508,LC_Data[Total kVA])+SUMIF(LC_Site[Panel Tag],$A508,LC_Site[Total kVA])+SUMIF(LC_Fire[Panel Tag],$A508,LC_Fire[Total kVA])+SUMIF(LC_Process[Panel Tag],$A508,LC_Process[Total kVA]))</f>
        <v/>
      </c>
      <c r="D508" s="187"/>
      <c r="E508" s="188" t="str">
        <f t="shared" si="8"/>
        <v/>
      </c>
      <c r="F508" s="286" t="str">
        <f t="shared" si="9"/>
        <v/>
      </c>
      <c r="G508" s="284" t="str">
        <f t="shared" si="10"/>
        <v/>
      </c>
      <c r="H508" s="285"/>
    </row>
    <row r="509" spans="1:8" ht="15" customHeight="1" x14ac:dyDescent="0.45">
      <c r="A509" s="284"/>
      <c r="B509" s="285"/>
      <c r="C509" s="184" t="str">
        <f>IF(OR($A509="",LEFT($A509,1)="—"),"",SUMIF(LC_House[Panel Tag],$A509,LC_House[Total kVA])+SUMIF(LC_Dept[Panel Tag],$A509,LC_Dept[Total kVA])+SUMIF(LC_Refrig[Panel Tag],$A509,LC_Refrig[Total kVA])+SUMIF(LC_Mech[Panel Tag],$A509,LC_Mech[Total kVA])+SUMIF(LC_Plumb[Panel Tag],$A509,LC_Plumb[Total kVA])+SUMIF(LC_Kitchen[Panel Tag],$A509,LC_Kitchen[Total kVA])+SUMIF(LC_Elev[Panel Tag],$A509,LC_Elev[Total kVA])+SUMIF(LC_EV[Panel Tag],$A509,LC_EV[Total kVA])+SUMIF(LC_Data[Panel Tag],$A509,LC_Data[Total kVA])+SUMIF(LC_Site[Panel Tag],$A509,LC_Site[Total kVA])+SUMIF(LC_Fire[Panel Tag],$A509,LC_Fire[Total kVA])+SUMIF(LC_Process[Panel Tag],$A509,LC_Process[Total kVA]))</f>
        <v/>
      </c>
      <c r="D509" s="187"/>
      <c r="E509" s="188" t="str">
        <f t="shared" si="8"/>
        <v/>
      </c>
      <c r="F509" s="286" t="str">
        <f t="shared" si="9"/>
        <v/>
      </c>
      <c r="G509" s="284" t="str">
        <f t="shared" si="10"/>
        <v/>
      </c>
      <c r="H509" s="285"/>
    </row>
    <row r="510" spans="1:8" ht="15" customHeight="1" x14ac:dyDescent="0.45">
      <c r="A510" s="284"/>
      <c r="B510" s="285"/>
      <c r="C510" s="184" t="str">
        <f>IF(OR($A510="",LEFT($A510,1)="—"),"",SUMIF(LC_House[Panel Tag],$A510,LC_House[Total kVA])+SUMIF(LC_Dept[Panel Tag],$A510,LC_Dept[Total kVA])+SUMIF(LC_Refrig[Panel Tag],$A510,LC_Refrig[Total kVA])+SUMIF(LC_Mech[Panel Tag],$A510,LC_Mech[Total kVA])+SUMIF(LC_Plumb[Panel Tag],$A510,LC_Plumb[Total kVA])+SUMIF(LC_Kitchen[Panel Tag],$A510,LC_Kitchen[Total kVA])+SUMIF(LC_Elev[Panel Tag],$A510,LC_Elev[Total kVA])+SUMIF(LC_EV[Panel Tag],$A510,LC_EV[Total kVA])+SUMIF(LC_Data[Panel Tag],$A510,LC_Data[Total kVA])+SUMIF(LC_Site[Panel Tag],$A510,LC_Site[Total kVA])+SUMIF(LC_Fire[Panel Tag],$A510,LC_Fire[Total kVA])+SUMIF(LC_Process[Panel Tag],$A510,LC_Process[Total kVA]))</f>
        <v/>
      </c>
      <c r="D510" s="187"/>
      <c r="E510" s="188" t="str">
        <f t="shared" si="8"/>
        <v/>
      </c>
      <c r="F510" s="286" t="str">
        <f t="shared" si="9"/>
        <v/>
      </c>
      <c r="G510" s="284" t="str">
        <f t="shared" si="10"/>
        <v/>
      </c>
      <c r="H510" s="285"/>
    </row>
    <row r="511" spans="1:8" ht="15" customHeight="1" x14ac:dyDescent="0.45">
      <c r="A511" s="284"/>
      <c r="B511" s="285"/>
      <c r="C511" s="184" t="str">
        <f>IF(OR($A511="",LEFT($A511,1)="—"),"",SUMIF(LC_House[Panel Tag],$A511,LC_House[Total kVA])+SUMIF(LC_Dept[Panel Tag],$A511,LC_Dept[Total kVA])+SUMIF(LC_Refrig[Panel Tag],$A511,LC_Refrig[Total kVA])+SUMIF(LC_Mech[Panel Tag],$A511,LC_Mech[Total kVA])+SUMIF(LC_Plumb[Panel Tag],$A511,LC_Plumb[Total kVA])+SUMIF(LC_Kitchen[Panel Tag],$A511,LC_Kitchen[Total kVA])+SUMIF(LC_Elev[Panel Tag],$A511,LC_Elev[Total kVA])+SUMIF(LC_EV[Panel Tag],$A511,LC_EV[Total kVA])+SUMIF(LC_Data[Panel Tag],$A511,LC_Data[Total kVA])+SUMIF(LC_Site[Panel Tag],$A511,LC_Site[Total kVA])+SUMIF(LC_Fire[Panel Tag],$A511,LC_Fire[Total kVA])+SUMIF(LC_Process[Panel Tag],$A511,LC_Process[Total kVA]))</f>
        <v/>
      </c>
      <c r="D511" s="187"/>
      <c r="E511" s="188" t="str">
        <f t="shared" si="8"/>
        <v/>
      </c>
      <c r="F511" s="286" t="str">
        <f t="shared" si="9"/>
        <v/>
      </c>
      <c r="G511" s="284" t="str">
        <f t="shared" si="10"/>
        <v/>
      </c>
      <c r="H511" s="285"/>
    </row>
    <row r="512" spans="1:8" ht="15" customHeight="1" x14ac:dyDescent="0.45">
      <c r="A512" s="284"/>
      <c r="B512" s="285"/>
      <c r="C512" s="184" t="str">
        <f>IF(OR($A512="",LEFT($A512,1)="—"),"",SUMIF(LC_House[Panel Tag],$A512,LC_House[Total kVA])+SUMIF(LC_Dept[Panel Tag],$A512,LC_Dept[Total kVA])+SUMIF(LC_Refrig[Panel Tag],$A512,LC_Refrig[Total kVA])+SUMIF(LC_Mech[Panel Tag],$A512,LC_Mech[Total kVA])+SUMIF(LC_Plumb[Panel Tag],$A512,LC_Plumb[Total kVA])+SUMIF(LC_Kitchen[Panel Tag],$A512,LC_Kitchen[Total kVA])+SUMIF(LC_Elev[Panel Tag],$A512,LC_Elev[Total kVA])+SUMIF(LC_EV[Panel Tag],$A512,LC_EV[Total kVA])+SUMIF(LC_Data[Panel Tag],$A512,LC_Data[Total kVA])+SUMIF(LC_Site[Panel Tag],$A512,LC_Site[Total kVA])+SUMIF(LC_Fire[Panel Tag],$A512,LC_Fire[Total kVA])+SUMIF(LC_Process[Panel Tag],$A512,LC_Process[Total kVA]))</f>
        <v/>
      </c>
      <c r="D512" s="187"/>
      <c r="E512" s="188" t="str">
        <f t="shared" si="8"/>
        <v/>
      </c>
      <c r="F512" s="286" t="str">
        <f t="shared" si="9"/>
        <v/>
      </c>
      <c r="G512" s="284" t="str">
        <f t="shared" si="10"/>
        <v/>
      </c>
      <c r="H512" s="285"/>
    </row>
    <row r="513" spans="1:8" ht="15" customHeight="1" x14ac:dyDescent="0.45">
      <c r="A513" s="284"/>
      <c r="B513" s="285"/>
      <c r="C513" s="184" t="str">
        <f>IF(OR($A513="",LEFT($A513,1)="—"),"",SUMIF(LC_House[Panel Tag],$A513,LC_House[Total kVA])+SUMIF(LC_Dept[Panel Tag],$A513,LC_Dept[Total kVA])+SUMIF(LC_Refrig[Panel Tag],$A513,LC_Refrig[Total kVA])+SUMIF(LC_Mech[Panel Tag],$A513,LC_Mech[Total kVA])+SUMIF(LC_Plumb[Panel Tag],$A513,LC_Plumb[Total kVA])+SUMIF(LC_Kitchen[Panel Tag],$A513,LC_Kitchen[Total kVA])+SUMIF(LC_Elev[Panel Tag],$A513,LC_Elev[Total kVA])+SUMIF(LC_EV[Panel Tag],$A513,LC_EV[Total kVA])+SUMIF(LC_Data[Panel Tag],$A513,LC_Data[Total kVA])+SUMIF(LC_Site[Panel Tag],$A513,LC_Site[Total kVA])+SUMIF(LC_Fire[Panel Tag],$A513,LC_Fire[Total kVA])+SUMIF(LC_Process[Panel Tag],$A513,LC_Process[Total kVA]))</f>
        <v/>
      </c>
      <c r="D513" s="187"/>
      <c r="E513" s="188" t="str">
        <f t="shared" si="8"/>
        <v/>
      </c>
      <c r="F513" s="286" t="str">
        <f t="shared" si="9"/>
        <v/>
      </c>
      <c r="G513" s="284" t="str">
        <f t="shared" si="10"/>
        <v/>
      </c>
      <c r="H513" s="285"/>
    </row>
    <row r="514" spans="1:8" ht="15" customHeight="1" x14ac:dyDescent="0.45">
      <c r="A514" s="284"/>
      <c r="B514" s="285"/>
      <c r="C514" s="184" t="str">
        <f>IF(OR($A514="",LEFT($A514,1)="—"),"",SUMIF(LC_House[Panel Tag],$A514,LC_House[Total kVA])+SUMIF(LC_Dept[Panel Tag],$A514,LC_Dept[Total kVA])+SUMIF(LC_Refrig[Panel Tag],$A514,LC_Refrig[Total kVA])+SUMIF(LC_Mech[Panel Tag],$A514,LC_Mech[Total kVA])+SUMIF(LC_Plumb[Panel Tag],$A514,LC_Plumb[Total kVA])+SUMIF(LC_Kitchen[Panel Tag],$A514,LC_Kitchen[Total kVA])+SUMIF(LC_Elev[Panel Tag],$A514,LC_Elev[Total kVA])+SUMIF(LC_EV[Panel Tag],$A514,LC_EV[Total kVA])+SUMIF(LC_Data[Panel Tag],$A514,LC_Data[Total kVA])+SUMIF(LC_Site[Panel Tag],$A514,LC_Site[Total kVA])+SUMIF(LC_Fire[Panel Tag],$A514,LC_Fire[Total kVA])+SUMIF(LC_Process[Panel Tag],$A514,LC_Process[Total kVA]))</f>
        <v/>
      </c>
      <c r="D514" s="187"/>
      <c r="E514" s="188" t="str">
        <f t="shared" si="8"/>
        <v/>
      </c>
      <c r="F514" s="286" t="str">
        <f t="shared" si="9"/>
        <v/>
      </c>
      <c r="G514" s="284" t="str">
        <f t="shared" si="10"/>
        <v/>
      </c>
      <c r="H514" s="285"/>
    </row>
    <row r="515" spans="1:8" ht="15" customHeight="1" x14ac:dyDescent="0.45">
      <c r="A515" s="284"/>
      <c r="B515" s="285"/>
      <c r="C515" s="184" t="str">
        <f>IF(OR($A515="",LEFT($A515,1)="—"),"",SUMIF(LC_House[Panel Tag],$A515,LC_House[Total kVA])+SUMIF(LC_Dept[Panel Tag],$A515,LC_Dept[Total kVA])+SUMIF(LC_Refrig[Panel Tag],$A515,LC_Refrig[Total kVA])+SUMIF(LC_Mech[Panel Tag],$A515,LC_Mech[Total kVA])+SUMIF(LC_Plumb[Panel Tag],$A515,LC_Plumb[Total kVA])+SUMIF(LC_Kitchen[Panel Tag],$A515,LC_Kitchen[Total kVA])+SUMIF(LC_Elev[Panel Tag],$A515,LC_Elev[Total kVA])+SUMIF(LC_EV[Panel Tag],$A515,LC_EV[Total kVA])+SUMIF(LC_Data[Panel Tag],$A515,LC_Data[Total kVA])+SUMIF(LC_Site[Panel Tag],$A515,LC_Site[Total kVA])+SUMIF(LC_Fire[Panel Tag],$A515,LC_Fire[Total kVA])+SUMIF(LC_Process[Panel Tag],$A515,LC_Process[Total kVA]))</f>
        <v/>
      </c>
      <c r="D515" s="187"/>
      <c r="E515" s="188" t="str">
        <f t="shared" si="8"/>
        <v/>
      </c>
      <c r="F515" s="286" t="str">
        <f t="shared" si="9"/>
        <v/>
      </c>
      <c r="G515" s="284" t="str">
        <f t="shared" si="10"/>
        <v/>
      </c>
      <c r="H515" s="285"/>
    </row>
    <row r="516" spans="1:8" ht="15" customHeight="1" x14ac:dyDescent="0.45">
      <c r="A516" s="284"/>
      <c r="B516" s="285"/>
      <c r="C516" s="184" t="str">
        <f>IF(OR($A516="",LEFT($A516,1)="—"),"",SUMIF(LC_House[Panel Tag],$A516,LC_House[Total kVA])+SUMIF(LC_Dept[Panel Tag],$A516,LC_Dept[Total kVA])+SUMIF(LC_Refrig[Panel Tag],$A516,LC_Refrig[Total kVA])+SUMIF(LC_Mech[Panel Tag],$A516,LC_Mech[Total kVA])+SUMIF(LC_Plumb[Panel Tag],$A516,LC_Plumb[Total kVA])+SUMIF(LC_Kitchen[Panel Tag],$A516,LC_Kitchen[Total kVA])+SUMIF(LC_Elev[Panel Tag],$A516,LC_Elev[Total kVA])+SUMIF(LC_EV[Panel Tag],$A516,LC_EV[Total kVA])+SUMIF(LC_Data[Panel Tag],$A516,LC_Data[Total kVA])+SUMIF(LC_Site[Panel Tag],$A516,LC_Site[Total kVA])+SUMIF(LC_Fire[Panel Tag],$A516,LC_Fire[Total kVA])+SUMIF(LC_Process[Panel Tag],$A516,LC_Process[Total kVA]))</f>
        <v/>
      </c>
      <c r="D516" s="187"/>
      <c r="E516" s="188" t="str">
        <f t="shared" si="8"/>
        <v/>
      </c>
      <c r="F516" s="286" t="str">
        <f t="shared" si="9"/>
        <v/>
      </c>
      <c r="G516" s="284" t="str">
        <f t="shared" si="10"/>
        <v/>
      </c>
      <c r="H516" s="285"/>
    </row>
    <row r="517" spans="1:8" ht="15" customHeight="1" x14ac:dyDescent="0.45">
      <c r="A517" s="284"/>
      <c r="B517" s="285"/>
      <c r="C517" s="184" t="str">
        <f>IF(OR($A517="",LEFT($A517,1)="—"),"",SUMIF(LC_House[Panel Tag],$A517,LC_House[Total kVA])+SUMIF(LC_Dept[Panel Tag],$A517,LC_Dept[Total kVA])+SUMIF(LC_Refrig[Panel Tag],$A517,LC_Refrig[Total kVA])+SUMIF(LC_Mech[Panel Tag],$A517,LC_Mech[Total kVA])+SUMIF(LC_Plumb[Panel Tag],$A517,LC_Plumb[Total kVA])+SUMIF(LC_Kitchen[Panel Tag],$A517,LC_Kitchen[Total kVA])+SUMIF(LC_Elev[Panel Tag],$A517,LC_Elev[Total kVA])+SUMIF(LC_EV[Panel Tag],$A517,LC_EV[Total kVA])+SUMIF(LC_Data[Panel Tag],$A517,LC_Data[Total kVA])+SUMIF(LC_Site[Panel Tag],$A517,LC_Site[Total kVA])+SUMIF(LC_Fire[Panel Tag],$A517,LC_Fire[Total kVA])+SUMIF(LC_Process[Panel Tag],$A517,LC_Process[Total kVA]))</f>
        <v/>
      </c>
      <c r="D517" s="187"/>
      <c r="E517" s="188" t="str">
        <f t="shared" si="8"/>
        <v/>
      </c>
      <c r="F517" s="286" t="str">
        <f t="shared" si="9"/>
        <v/>
      </c>
      <c r="G517" s="284" t="str">
        <f t="shared" si="10"/>
        <v/>
      </c>
      <c r="H517" s="285"/>
    </row>
    <row r="518" spans="1:8" ht="15" customHeight="1" x14ac:dyDescent="0.45">
      <c r="A518" s="284"/>
      <c r="B518" s="285"/>
      <c r="C518" s="184" t="str">
        <f>IF(OR($A518="",LEFT($A518,1)="—"),"",SUMIF(LC_House[Panel Tag],$A518,LC_House[Total kVA])+SUMIF(LC_Dept[Panel Tag],$A518,LC_Dept[Total kVA])+SUMIF(LC_Refrig[Panel Tag],$A518,LC_Refrig[Total kVA])+SUMIF(LC_Mech[Panel Tag],$A518,LC_Mech[Total kVA])+SUMIF(LC_Plumb[Panel Tag],$A518,LC_Plumb[Total kVA])+SUMIF(LC_Kitchen[Panel Tag],$A518,LC_Kitchen[Total kVA])+SUMIF(LC_Elev[Panel Tag],$A518,LC_Elev[Total kVA])+SUMIF(LC_EV[Panel Tag],$A518,LC_EV[Total kVA])+SUMIF(LC_Data[Panel Tag],$A518,LC_Data[Total kVA])+SUMIF(LC_Site[Panel Tag],$A518,LC_Site[Total kVA])+SUMIF(LC_Fire[Panel Tag],$A518,LC_Fire[Total kVA])+SUMIF(LC_Process[Panel Tag],$A518,LC_Process[Total kVA]))</f>
        <v/>
      </c>
      <c r="D518" s="187"/>
      <c r="E518" s="188" t="str">
        <f t="shared" si="8"/>
        <v/>
      </c>
      <c r="F518" s="286" t="str">
        <f t="shared" si="9"/>
        <v/>
      </c>
      <c r="G518" s="284" t="str">
        <f t="shared" si="10"/>
        <v/>
      </c>
      <c r="H518" s="285"/>
    </row>
    <row r="519" spans="1:8" ht="15" customHeight="1" x14ac:dyDescent="0.45">
      <c r="A519" s="284"/>
      <c r="B519" s="285"/>
      <c r="C519" s="184" t="str">
        <f>IF(OR($A519="",LEFT($A519,1)="—"),"",SUMIF(LC_House[Panel Tag],$A519,LC_House[Total kVA])+SUMIF(LC_Dept[Panel Tag],$A519,LC_Dept[Total kVA])+SUMIF(LC_Refrig[Panel Tag],$A519,LC_Refrig[Total kVA])+SUMIF(LC_Mech[Panel Tag],$A519,LC_Mech[Total kVA])+SUMIF(LC_Plumb[Panel Tag],$A519,LC_Plumb[Total kVA])+SUMIF(LC_Kitchen[Panel Tag],$A519,LC_Kitchen[Total kVA])+SUMIF(LC_Elev[Panel Tag],$A519,LC_Elev[Total kVA])+SUMIF(LC_EV[Panel Tag],$A519,LC_EV[Total kVA])+SUMIF(LC_Data[Panel Tag],$A519,LC_Data[Total kVA])+SUMIF(LC_Site[Panel Tag],$A519,LC_Site[Total kVA])+SUMIF(LC_Fire[Panel Tag],$A519,LC_Fire[Total kVA])+SUMIF(LC_Process[Panel Tag],$A519,LC_Process[Total kVA]))</f>
        <v/>
      </c>
      <c r="D519" s="187"/>
      <c r="E519" s="188" t="str">
        <f t="shared" si="8"/>
        <v/>
      </c>
      <c r="F519" s="286" t="str">
        <f t="shared" si="9"/>
        <v/>
      </c>
      <c r="G519" s="284" t="str">
        <f t="shared" si="10"/>
        <v/>
      </c>
      <c r="H519" s="285"/>
    </row>
    <row r="520" spans="1:8" ht="15" customHeight="1" x14ac:dyDescent="0.45">
      <c r="A520" s="284"/>
      <c r="B520" s="285"/>
      <c r="C520" s="184" t="str">
        <f>IF(OR($A520="",LEFT($A520,1)="—"),"",SUMIF(LC_House[Panel Tag],$A520,LC_House[Total kVA])+SUMIF(LC_Dept[Panel Tag],$A520,LC_Dept[Total kVA])+SUMIF(LC_Refrig[Panel Tag],$A520,LC_Refrig[Total kVA])+SUMIF(LC_Mech[Panel Tag],$A520,LC_Mech[Total kVA])+SUMIF(LC_Plumb[Panel Tag],$A520,LC_Plumb[Total kVA])+SUMIF(LC_Kitchen[Panel Tag],$A520,LC_Kitchen[Total kVA])+SUMIF(LC_Elev[Panel Tag],$A520,LC_Elev[Total kVA])+SUMIF(LC_EV[Panel Tag],$A520,LC_EV[Total kVA])+SUMIF(LC_Data[Panel Tag],$A520,LC_Data[Total kVA])+SUMIF(LC_Site[Panel Tag],$A520,LC_Site[Total kVA])+SUMIF(LC_Fire[Panel Tag],$A520,LC_Fire[Total kVA])+SUMIF(LC_Process[Panel Tag],$A520,LC_Process[Total kVA]))</f>
        <v/>
      </c>
      <c r="D520" s="187"/>
      <c r="E520" s="188" t="str">
        <f t="shared" si="8"/>
        <v/>
      </c>
      <c r="F520" s="286" t="str">
        <f t="shared" si="9"/>
        <v/>
      </c>
      <c r="G520" s="284" t="str">
        <f t="shared" si="10"/>
        <v/>
      </c>
      <c r="H520" s="285"/>
    </row>
    <row r="521" spans="1:8" ht="15" customHeight="1" x14ac:dyDescent="0.45">
      <c r="A521" s="284"/>
      <c r="B521" s="285"/>
      <c r="C521" s="184" t="str">
        <f>IF(OR($A521="",LEFT($A521,1)="—"),"",SUMIF(LC_House[Panel Tag],$A521,LC_House[Total kVA])+SUMIF(LC_Dept[Panel Tag],$A521,LC_Dept[Total kVA])+SUMIF(LC_Refrig[Panel Tag],$A521,LC_Refrig[Total kVA])+SUMIF(LC_Mech[Panel Tag],$A521,LC_Mech[Total kVA])+SUMIF(LC_Plumb[Panel Tag],$A521,LC_Plumb[Total kVA])+SUMIF(LC_Kitchen[Panel Tag],$A521,LC_Kitchen[Total kVA])+SUMIF(LC_Elev[Panel Tag],$A521,LC_Elev[Total kVA])+SUMIF(LC_EV[Panel Tag],$A521,LC_EV[Total kVA])+SUMIF(LC_Data[Panel Tag],$A521,LC_Data[Total kVA])+SUMIF(LC_Site[Panel Tag],$A521,LC_Site[Total kVA])+SUMIF(LC_Fire[Panel Tag],$A521,LC_Fire[Total kVA])+SUMIF(LC_Process[Panel Tag],$A521,LC_Process[Total kVA]))</f>
        <v/>
      </c>
      <c r="D521" s="187"/>
      <c r="E521" s="188" t="str">
        <f t="shared" si="8"/>
        <v/>
      </c>
      <c r="F521" s="286" t="str">
        <f t="shared" si="9"/>
        <v/>
      </c>
      <c r="G521" s="284" t="str">
        <f t="shared" si="10"/>
        <v/>
      </c>
      <c r="H521" s="285"/>
    </row>
    <row r="522" spans="1:8" ht="15" customHeight="1" x14ac:dyDescent="0.45">
      <c r="A522" s="284"/>
      <c r="B522" s="285"/>
      <c r="C522" s="184" t="str">
        <f>IF(OR($A522="",LEFT($A522,1)="—"),"",SUMIF(LC_House[Panel Tag],$A522,LC_House[Total kVA])+SUMIF(LC_Dept[Panel Tag],$A522,LC_Dept[Total kVA])+SUMIF(LC_Refrig[Panel Tag],$A522,LC_Refrig[Total kVA])+SUMIF(LC_Mech[Panel Tag],$A522,LC_Mech[Total kVA])+SUMIF(LC_Plumb[Panel Tag],$A522,LC_Plumb[Total kVA])+SUMIF(LC_Kitchen[Panel Tag],$A522,LC_Kitchen[Total kVA])+SUMIF(LC_Elev[Panel Tag],$A522,LC_Elev[Total kVA])+SUMIF(LC_EV[Panel Tag],$A522,LC_EV[Total kVA])+SUMIF(LC_Data[Panel Tag],$A522,LC_Data[Total kVA])+SUMIF(LC_Site[Panel Tag],$A522,LC_Site[Total kVA])+SUMIF(LC_Fire[Panel Tag],$A522,LC_Fire[Total kVA])+SUMIF(LC_Process[Panel Tag],$A522,LC_Process[Total kVA]))</f>
        <v/>
      </c>
      <c r="D522" s="187"/>
      <c r="E522" s="188" t="str">
        <f t="shared" si="8"/>
        <v/>
      </c>
      <c r="F522" s="286" t="str">
        <f t="shared" si="9"/>
        <v/>
      </c>
      <c r="G522" s="284" t="str">
        <f t="shared" si="10"/>
        <v/>
      </c>
      <c r="H522" s="285"/>
    </row>
    <row r="523" spans="1:8" ht="15" customHeight="1" x14ac:dyDescent="0.45">
      <c r="A523" s="284"/>
      <c r="B523" s="285"/>
      <c r="C523" s="184" t="str">
        <f>IF(OR($A523="",LEFT($A523,1)="—"),"",SUMIF(LC_House[Panel Tag],$A523,LC_House[Total kVA])+SUMIF(LC_Dept[Panel Tag],$A523,LC_Dept[Total kVA])+SUMIF(LC_Refrig[Panel Tag],$A523,LC_Refrig[Total kVA])+SUMIF(LC_Mech[Panel Tag],$A523,LC_Mech[Total kVA])+SUMIF(LC_Plumb[Panel Tag],$A523,LC_Plumb[Total kVA])+SUMIF(LC_Kitchen[Panel Tag],$A523,LC_Kitchen[Total kVA])+SUMIF(LC_Elev[Panel Tag],$A523,LC_Elev[Total kVA])+SUMIF(LC_EV[Panel Tag],$A523,LC_EV[Total kVA])+SUMIF(LC_Data[Panel Tag],$A523,LC_Data[Total kVA])+SUMIF(LC_Site[Panel Tag],$A523,LC_Site[Total kVA])+SUMIF(LC_Fire[Panel Tag],$A523,LC_Fire[Total kVA])+SUMIF(LC_Process[Panel Tag],$A523,LC_Process[Total kVA]))</f>
        <v/>
      </c>
      <c r="D523" s="187"/>
      <c r="E523" s="188" t="str">
        <f t="shared" si="8"/>
        <v/>
      </c>
      <c r="F523" s="286" t="str">
        <f t="shared" si="9"/>
        <v/>
      </c>
      <c r="G523" s="284" t="str">
        <f t="shared" si="10"/>
        <v/>
      </c>
      <c r="H523" s="285"/>
    </row>
    <row r="524" spans="1:8" ht="15" customHeight="1" x14ac:dyDescent="0.45">
      <c r="A524" s="284"/>
      <c r="B524" s="285"/>
      <c r="C524" s="184" t="str">
        <f>IF(OR($A524="",LEFT($A524,1)="—"),"",SUMIF(LC_House[Panel Tag],$A524,LC_House[Total kVA])+SUMIF(LC_Dept[Panel Tag],$A524,LC_Dept[Total kVA])+SUMIF(LC_Refrig[Panel Tag],$A524,LC_Refrig[Total kVA])+SUMIF(LC_Mech[Panel Tag],$A524,LC_Mech[Total kVA])+SUMIF(LC_Plumb[Panel Tag],$A524,LC_Plumb[Total kVA])+SUMIF(LC_Kitchen[Panel Tag],$A524,LC_Kitchen[Total kVA])+SUMIF(LC_Elev[Panel Tag],$A524,LC_Elev[Total kVA])+SUMIF(LC_EV[Panel Tag],$A524,LC_EV[Total kVA])+SUMIF(LC_Data[Panel Tag],$A524,LC_Data[Total kVA])+SUMIF(LC_Site[Panel Tag],$A524,LC_Site[Total kVA])+SUMIF(LC_Fire[Panel Tag],$A524,LC_Fire[Total kVA])+SUMIF(LC_Process[Panel Tag],$A524,LC_Process[Total kVA]))</f>
        <v/>
      </c>
      <c r="D524" s="187"/>
      <c r="E524" s="188" t="str">
        <f t="shared" si="8"/>
        <v/>
      </c>
      <c r="F524" s="286" t="str">
        <f t="shared" si="9"/>
        <v/>
      </c>
      <c r="G524" s="284" t="str">
        <f t="shared" si="10"/>
        <v/>
      </c>
      <c r="H524" s="285"/>
    </row>
    <row r="525" spans="1:8" ht="15" customHeight="1" x14ac:dyDescent="0.45">
      <c r="A525" s="284"/>
      <c r="B525" s="285"/>
      <c r="C525" s="184" t="str">
        <f>IF(OR($A525="",LEFT($A525,1)="—"),"",SUMIF(LC_House[Panel Tag],$A525,LC_House[Total kVA])+SUMIF(LC_Dept[Panel Tag],$A525,LC_Dept[Total kVA])+SUMIF(LC_Refrig[Panel Tag],$A525,LC_Refrig[Total kVA])+SUMIF(LC_Mech[Panel Tag],$A525,LC_Mech[Total kVA])+SUMIF(LC_Plumb[Panel Tag],$A525,LC_Plumb[Total kVA])+SUMIF(LC_Kitchen[Panel Tag],$A525,LC_Kitchen[Total kVA])+SUMIF(LC_Elev[Panel Tag],$A525,LC_Elev[Total kVA])+SUMIF(LC_EV[Panel Tag],$A525,LC_EV[Total kVA])+SUMIF(LC_Data[Panel Tag],$A525,LC_Data[Total kVA])+SUMIF(LC_Site[Panel Tag],$A525,LC_Site[Total kVA])+SUMIF(LC_Fire[Panel Tag],$A525,LC_Fire[Total kVA])+SUMIF(LC_Process[Panel Tag],$A525,LC_Process[Total kVA]))</f>
        <v/>
      </c>
      <c r="D525" s="187"/>
      <c r="E525" s="188" t="str">
        <f t="shared" si="8"/>
        <v/>
      </c>
      <c r="F525" s="286" t="str">
        <f t="shared" si="9"/>
        <v/>
      </c>
      <c r="G525" s="284" t="str">
        <f t="shared" si="10"/>
        <v/>
      </c>
      <c r="H525" s="285"/>
    </row>
    <row r="526" spans="1:8" ht="15" customHeight="1" x14ac:dyDescent="0.45">
      <c r="A526" s="284"/>
      <c r="B526" s="285"/>
      <c r="C526" s="184" t="str">
        <f>IF(OR($A526="",LEFT($A526,1)="—"),"",SUMIF(LC_House[Panel Tag],$A526,LC_House[Total kVA])+SUMIF(LC_Dept[Panel Tag],$A526,LC_Dept[Total kVA])+SUMIF(LC_Refrig[Panel Tag],$A526,LC_Refrig[Total kVA])+SUMIF(LC_Mech[Panel Tag],$A526,LC_Mech[Total kVA])+SUMIF(LC_Plumb[Panel Tag],$A526,LC_Plumb[Total kVA])+SUMIF(LC_Kitchen[Panel Tag],$A526,LC_Kitchen[Total kVA])+SUMIF(LC_Elev[Panel Tag],$A526,LC_Elev[Total kVA])+SUMIF(LC_EV[Panel Tag],$A526,LC_EV[Total kVA])+SUMIF(LC_Data[Panel Tag],$A526,LC_Data[Total kVA])+SUMIF(LC_Site[Panel Tag],$A526,LC_Site[Total kVA])+SUMIF(LC_Fire[Panel Tag],$A526,LC_Fire[Total kVA])+SUMIF(LC_Process[Panel Tag],$A526,LC_Process[Total kVA]))</f>
        <v/>
      </c>
      <c r="D526" s="187"/>
      <c r="E526" s="188" t="str">
        <f t="shared" si="8"/>
        <v/>
      </c>
      <c r="F526" s="286" t="str">
        <f t="shared" si="9"/>
        <v/>
      </c>
      <c r="G526" s="284" t="str">
        <f t="shared" si="10"/>
        <v/>
      </c>
      <c r="H526" s="285"/>
    </row>
    <row r="527" spans="1:8" ht="15" customHeight="1" x14ac:dyDescent="0.45">
      <c r="A527" s="284"/>
      <c r="B527" s="285"/>
      <c r="C527" s="184" t="str">
        <f>IF(OR($A527="",LEFT($A527,1)="—"),"",SUMIF(LC_House[Panel Tag],$A527,LC_House[Total kVA])+SUMIF(LC_Dept[Panel Tag],$A527,LC_Dept[Total kVA])+SUMIF(LC_Refrig[Panel Tag],$A527,LC_Refrig[Total kVA])+SUMIF(LC_Mech[Panel Tag],$A527,LC_Mech[Total kVA])+SUMIF(LC_Plumb[Panel Tag],$A527,LC_Plumb[Total kVA])+SUMIF(LC_Kitchen[Panel Tag],$A527,LC_Kitchen[Total kVA])+SUMIF(LC_Elev[Panel Tag],$A527,LC_Elev[Total kVA])+SUMIF(LC_EV[Panel Tag],$A527,LC_EV[Total kVA])+SUMIF(LC_Data[Panel Tag],$A527,LC_Data[Total kVA])+SUMIF(LC_Site[Panel Tag],$A527,LC_Site[Total kVA])+SUMIF(LC_Fire[Panel Tag],$A527,LC_Fire[Total kVA])+SUMIF(LC_Process[Panel Tag],$A527,LC_Process[Total kVA]))</f>
        <v/>
      </c>
      <c r="D527" s="187"/>
      <c r="E527" s="188" t="str">
        <f t="shared" si="8"/>
        <v/>
      </c>
      <c r="F527" s="286" t="str">
        <f t="shared" si="9"/>
        <v/>
      </c>
      <c r="G527" s="284" t="str">
        <f t="shared" si="10"/>
        <v/>
      </c>
      <c r="H527" s="285"/>
    </row>
    <row r="528" spans="1:8" ht="15" customHeight="1" x14ac:dyDescent="0.45">
      <c r="A528" s="284"/>
      <c r="B528" s="285"/>
      <c r="C528" s="184" t="str">
        <f>IF(OR($A528="",LEFT($A528,1)="—"),"",SUMIF(LC_House[Panel Tag],$A528,LC_House[Total kVA])+SUMIF(LC_Dept[Panel Tag],$A528,LC_Dept[Total kVA])+SUMIF(LC_Refrig[Panel Tag],$A528,LC_Refrig[Total kVA])+SUMIF(LC_Mech[Panel Tag],$A528,LC_Mech[Total kVA])+SUMIF(LC_Plumb[Panel Tag],$A528,LC_Plumb[Total kVA])+SUMIF(LC_Kitchen[Panel Tag],$A528,LC_Kitchen[Total kVA])+SUMIF(LC_Elev[Panel Tag],$A528,LC_Elev[Total kVA])+SUMIF(LC_EV[Panel Tag],$A528,LC_EV[Total kVA])+SUMIF(LC_Data[Panel Tag],$A528,LC_Data[Total kVA])+SUMIF(LC_Site[Panel Tag],$A528,LC_Site[Total kVA])+SUMIF(LC_Fire[Panel Tag],$A528,LC_Fire[Total kVA])+SUMIF(LC_Process[Panel Tag],$A528,LC_Process[Total kVA]))</f>
        <v/>
      </c>
      <c r="D528" s="187"/>
      <c r="E528" s="188" t="str">
        <f t="shared" si="8"/>
        <v/>
      </c>
      <c r="F528" s="286" t="str">
        <f t="shared" si="9"/>
        <v/>
      </c>
      <c r="G528" s="284" t="str">
        <f t="shared" si="10"/>
        <v/>
      </c>
      <c r="H528" s="285"/>
    </row>
    <row r="529" spans="1:8" ht="15" customHeight="1" x14ac:dyDescent="0.45">
      <c r="A529" s="284"/>
      <c r="B529" s="285"/>
      <c r="C529" s="184" t="str">
        <f>IF(OR($A529="",LEFT($A529,1)="—"),"",SUMIF(LC_House[Panel Tag],$A529,LC_House[Total kVA])+SUMIF(LC_Dept[Panel Tag],$A529,LC_Dept[Total kVA])+SUMIF(LC_Refrig[Panel Tag],$A529,LC_Refrig[Total kVA])+SUMIF(LC_Mech[Panel Tag],$A529,LC_Mech[Total kVA])+SUMIF(LC_Plumb[Panel Tag],$A529,LC_Plumb[Total kVA])+SUMIF(LC_Kitchen[Panel Tag],$A529,LC_Kitchen[Total kVA])+SUMIF(LC_Elev[Panel Tag],$A529,LC_Elev[Total kVA])+SUMIF(LC_EV[Panel Tag],$A529,LC_EV[Total kVA])+SUMIF(LC_Data[Panel Tag],$A529,LC_Data[Total kVA])+SUMIF(LC_Site[Panel Tag],$A529,LC_Site[Total kVA])+SUMIF(LC_Fire[Panel Tag],$A529,LC_Fire[Total kVA])+SUMIF(LC_Process[Panel Tag],$A529,LC_Process[Total kVA]))</f>
        <v/>
      </c>
      <c r="D529" s="187"/>
      <c r="E529" s="188" t="str">
        <f t="shared" si="8"/>
        <v/>
      </c>
      <c r="F529" s="286" t="str">
        <f t="shared" si="9"/>
        <v/>
      </c>
      <c r="G529" s="284" t="str">
        <f t="shared" si="10"/>
        <v/>
      </c>
      <c r="H529" s="285"/>
    </row>
    <row r="530" spans="1:8" ht="15" customHeight="1" x14ac:dyDescent="0.45">
      <c r="A530" s="284"/>
      <c r="B530" s="285"/>
      <c r="C530" s="184" t="str">
        <f>IF(OR($A530="",LEFT($A530,1)="—"),"",SUMIF(LC_House[Panel Tag],$A530,LC_House[Total kVA])+SUMIF(LC_Dept[Panel Tag],$A530,LC_Dept[Total kVA])+SUMIF(LC_Refrig[Panel Tag],$A530,LC_Refrig[Total kVA])+SUMIF(LC_Mech[Panel Tag],$A530,LC_Mech[Total kVA])+SUMIF(LC_Plumb[Panel Tag],$A530,LC_Plumb[Total kVA])+SUMIF(LC_Kitchen[Panel Tag],$A530,LC_Kitchen[Total kVA])+SUMIF(LC_Elev[Panel Tag],$A530,LC_Elev[Total kVA])+SUMIF(LC_EV[Panel Tag],$A530,LC_EV[Total kVA])+SUMIF(LC_Data[Panel Tag],$A530,LC_Data[Total kVA])+SUMIF(LC_Site[Panel Tag],$A530,LC_Site[Total kVA])+SUMIF(LC_Fire[Panel Tag],$A530,LC_Fire[Total kVA])+SUMIF(LC_Process[Panel Tag],$A530,LC_Process[Total kVA]))</f>
        <v/>
      </c>
      <c r="D530" s="187"/>
      <c r="E530" s="188" t="str">
        <f t="shared" si="8"/>
        <v/>
      </c>
      <c r="F530" s="286" t="str">
        <f t="shared" si="9"/>
        <v/>
      </c>
      <c r="G530" s="284" t="str">
        <f t="shared" si="10"/>
        <v/>
      </c>
      <c r="H530" s="285"/>
    </row>
    <row r="531" spans="1:8" ht="15" customHeight="1" x14ac:dyDescent="0.45">
      <c r="A531" s="284"/>
      <c r="B531" s="285"/>
      <c r="C531" s="184" t="str">
        <f>IF(OR($A531="",LEFT($A531,1)="—"),"",SUMIF(LC_House[Panel Tag],$A531,LC_House[Total kVA])+SUMIF(LC_Dept[Panel Tag],$A531,LC_Dept[Total kVA])+SUMIF(LC_Refrig[Panel Tag],$A531,LC_Refrig[Total kVA])+SUMIF(LC_Mech[Panel Tag],$A531,LC_Mech[Total kVA])+SUMIF(LC_Plumb[Panel Tag],$A531,LC_Plumb[Total kVA])+SUMIF(LC_Kitchen[Panel Tag],$A531,LC_Kitchen[Total kVA])+SUMIF(LC_Elev[Panel Tag],$A531,LC_Elev[Total kVA])+SUMIF(LC_EV[Panel Tag],$A531,LC_EV[Total kVA])+SUMIF(LC_Data[Panel Tag],$A531,LC_Data[Total kVA])+SUMIF(LC_Site[Panel Tag],$A531,LC_Site[Total kVA])+SUMIF(LC_Fire[Panel Tag],$A531,LC_Fire[Total kVA])+SUMIF(LC_Process[Panel Tag],$A531,LC_Process[Total kVA]))</f>
        <v/>
      </c>
      <c r="D531" s="187"/>
      <c r="E531" s="188" t="str">
        <f t="shared" si="8"/>
        <v/>
      </c>
      <c r="F531" s="286" t="str">
        <f t="shared" si="9"/>
        <v/>
      </c>
      <c r="G531" s="284" t="str">
        <f t="shared" si="10"/>
        <v/>
      </c>
      <c r="H531" s="285"/>
    </row>
    <row r="532" spans="1:8" ht="15" customHeight="1" x14ac:dyDescent="0.45">
      <c r="A532" s="284"/>
      <c r="B532" s="285"/>
      <c r="C532" s="184" t="str">
        <f>IF(OR($A532="",LEFT($A532,1)="—"),"",SUMIF(LC_House[Panel Tag],$A532,LC_House[Total kVA])+SUMIF(LC_Dept[Panel Tag],$A532,LC_Dept[Total kVA])+SUMIF(LC_Refrig[Panel Tag],$A532,LC_Refrig[Total kVA])+SUMIF(LC_Mech[Panel Tag],$A532,LC_Mech[Total kVA])+SUMIF(LC_Plumb[Panel Tag],$A532,LC_Plumb[Total kVA])+SUMIF(LC_Kitchen[Panel Tag],$A532,LC_Kitchen[Total kVA])+SUMIF(LC_Elev[Panel Tag],$A532,LC_Elev[Total kVA])+SUMIF(LC_EV[Panel Tag],$A532,LC_EV[Total kVA])+SUMIF(LC_Data[Panel Tag],$A532,LC_Data[Total kVA])+SUMIF(LC_Site[Panel Tag],$A532,LC_Site[Total kVA])+SUMIF(LC_Fire[Panel Tag],$A532,LC_Fire[Total kVA])+SUMIF(LC_Process[Panel Tag],$A532,LC_Process[Total kVA]))</f>
        <v/>
      </c>
      <c r="D532" s="187"/>
      <c r="E532" s="188" t="str">
        <f t="shared" si="8"/>
        <v/>
      </c>
      <c r="F532" s="286" t="str">
        <f t="shared" si="9"/>
        <v/>
      </c>
      <c r="G532" s="284" t="str">
        <f t="shared" si="10"/>
        <v/>
      </c>
      <c r="H532" s="285"/>
    </row>
    <row r="533" spans="1:8" ht="15" customHeight="1" x14ac:dyDescent="0.45">
      <c r="A533" s="284"/>
      <c r="B533" s="285"/>
      <c r="C533" s="184" t="str">
        <f>IF(OR($A533="",LEFT($A533,1)="—"),"",SUMIF(LC_House[Panel Tag],$A533,LC_House[Total kVA])+SUMIF(LC_Dept[Panel Tag],$A533,LC_Dept[Total kVA])+SUMIF(LC_Refrig[Panel Tag],$A533,LC_Refrig[Total kVA])+SUMIF(LC_Mech[Panel Tag],$A533,LC_Mech[Total kVA])+SUMIF(LC_Plumb[Panel Tag],$A533,LC_Plumb[Total kVA])+SUMIF(LC_Kitchen[Panel Tag],$A533,LC_Kitchen[Total kVA])+SUMIF(LC_Elev[Panel Tag],$A533,LC_Elev[Total kVA])+SUMIF(LC_EV[Panel Tag],$A533,LC_EV[Total kVA])+SUMIF(LC_Data[Panel Tag],$A533,LC_Data[Total kVA])+SUMIF(LC_Site[Panel Tag],$A533,LC_Site[Total kVA])+SUMIF(LC_Fire[Panel Tag],$A533,LC_Fire[Total kVA])+SUMIF(LC_Process[Panel Tag],$A533,LC_Process[Total kVA]))</f>
        <v/>
      </c>
      <c r="D533" s="187"/>
      <c r="E533" s="188" t="str">
        <f t="shared" si="8"/>
        <v/>
      </c>
      <c r="F533" s="286" t="str">
        <f t="shared" si="9"/>
        <v/>
      </c>
      <c r="G533" s="284" t="str">
        <f t="shared" si="10"/>
        <v/>
      </c>
      <c r="H533" s="285"/>
    </row>
    <row r="534" spans="1:8" ht="15" customHeight="1" x14ac:dyDescent="0.45">
      <c r="A534" s="284"/>
      <c r="B534" s="285"/>
      <c r="C534" s="184" t="str">
        <f>IF(OR($A534="",LEFT($A534,1)="—"),"",SUMIF(LC_House[Panel Tag],$A534,LC_House[Total kVA])+SUMIF(LC_Dept[Panel Tag],$A534,LC_Dept[Total kVA])+SUMIF(LC_Refrig[Panel Tag],$A534,LC_Refrig[Total kVA])+SUMIF(LC_Mech[Panel Tag],$A534,LC_Mech[Total kVA])+SUMIF(LC_Plumb[Panel Tag],$A534,LC_Plumb[Total kVA])+SUMIF(LC_Kitchen[Panel Tag],$A534,LC_Kitchen[Total kVA])+SUMIF(LC_Elev[Panel Tag],$A534,LC_Elev[Total kVA])+SUMIF(LC_EV[Panel Tag],$A534,LC_EV[Total kVA])+SUMIF(LC_Data[Panel Tag],$A534,LC_Data[Total kVA])+SUMIF(LC_Site[Panel Tag],$A534,LC_Site[Total kVA])+SUMIF(LC_Fire[Panel Tag],$A534,LC_Fire[Total kVA])+SUMIF(LC_Process[Panel Tag],$A534,LC_Process[Total kVA]))</f>
        <v/>
      </c>
      <c r="D534" s="187"/>
      <c r="E534" s="188" t="str">
        <f t="shared" si="8"/>
        <v/>
      </c>
      <c r="F534" s="286" t="str">
        <f t="shared" si="9"/>
        <v/>
      </c>
      <c r="G534" s="284" t="str">
        <f t="shared" si="10"/>
        <v/>
      </c>
      <c r="H534" s="285"/>
    </row>
    <row r="535" spans="1:8" ht="15" customHeight="1" x14ac:dyDescent="0.45">
      <c r="A535" s="284"/>
      <c r="B535" s="285"/>
      <c r="C535" s="184" t="str">
        <f>IF(OR($A535="",LEFT($A535,1)="—"),"",SUMIF(LC_House[Panel Tag],$A535,LC_House[Total kVA])+SUMIF(LC_Dept[Panel Tag],$A535,LC_Dept[Total kVA])+SUMIF(LC_Refrig[Panel Tag],$A535,LC_Refrig[Total kVA])+SUMIF(LC_Mech[Panel Tag],$A535,LC_Mech[Total kVA])+SUMIF(LC_Plumb[Panel Tag],$A535,LC_Plumb[Total kVA])+SUMIF(LC_Kitchen[Panel Tag],$A535,LC_Kitchen[Total kVA])+SUMIF(LC_Elev[Panel Tag],$A535,LC_Elev[Total kVA])+SUMIF(LC_EV[Panel Tag],$A535,LC_EV[Total kVA])+SUMIF(LC_Data[Panel Tag],$A535,LC_Data[Total kVA])+SUMIF(LC_Site[Panel Tag],$A535,LC_Site[Total kVA])+SUMIF(LC_Fire[Panel Tag],$A535,LC_Fire[Total kVA])+SUMIF(LC_Process[Panel Tag],$A535,LC_Process[Total kVA]))</f>
        <v/>
      </c>
      <c r="D535" s="187"/>
      <c r="E535" s="188" t="str">
        <f t="shared" si="8"/>
        <v/>
      </c>
      <c r="F535" s="286" t="str">
        <f t="shared" si="9"/>
        <v/>
      </c>
      <c r="G535" s="284" t="str">
        <f t="shared" si="10"/>
        <v/>
      </c>
      <c r="H535" s="285"/>
    </row>
    <row r="536" spans="1:8" ht="15" customHeight="1" x14ac:dyDescent="0.45">
      <c r="A536" s="284"/>
      <c r="B536" s="285"/>
      <c r="C536" s="184" t="str">
        <f>IF(OR($A536="",LEFT($A536,1)="—"),"",SUMIF(LC_House[Panel Tag],$A536,LC_House[Total kVA])+SUMIF(LC_Dept[Panel Tag],$A536,LC_Dept[Total kVA])+SUMIF(LC_Refrig[Panel Tag],$A536,LC_Refrig[Total kVA])+SUMIF(LC_Mech[Panel Tag],$A536,LC_Mech[Total kVA])+SUMIF(LC_Plumb[Panel Tag],$A536,LC_Plumb[Total kVA])+SUMIF(LC_Kitchen[Panel Tag],$A536,LC_Kitchen[Total kVA])+SUMIF(LC_Elev[Panel Tag],$A536,LC_Elev[Total kVA])+SUMIF(LC_EV[Panel Tag],$A536,LC_EV[Total kVA])+SUMIF(LC_Data[Panel Tag],$A536,LC_Data[Total kVA])+SUMIF(LC_Site[Panel Tag],$A536,LC_Site[Total kVA])+SUMIF(LC_Fire[Panel Tag],$A536,LC_Fire[Total kVA])+SUMIF(LC_Process[Panel Tag],$A536,LC_Process[Total kVA]))</f>
        <v/>
      </c>
      <c r="D536" s="187"/>
      <c r="E536" s="188" t="str">
        <f t="shared" si="8"/>
        <v/>
      </c>
      <c r="F536" s="286" t="str">
        <f t="shared" si="9"/>
        <v/>
      </c>
      <c r="G536" s="284" t="str">
        <f t="shared" si="10"/>
        <v/>
      </c>
      <c r="H536" s="285"/>
    </row>
    <row r="537" spans="1:8" ht="15" customHeight="1" x14ac:dyDescent="0.45">
      <c r="A537" s="284"/>
      <c r="B537" s="285"/>
      <c r="C537" s="184" t="str">
        <f>IF(OR($A537="",LEFT($A537,1)="—"),"",SUMIF(LC_House[Panel Tag],$A537,LC_House[Total kVA])+SUMIF(LC_Dept[Panel Tag],$A537,LC_Dept[Total kVA])+SUMIF(LC_Refrig[Panel Tag],$A537,LC_Refrig[Total kVA])+SUMIF(LC_Mech[Panel Tag],$A537,LC_Mech[Total kVA])+SUMIF(LC_Plumb[Panel Tag],$A537,LC_Plumb[Total kVA])+SUMIF(LC_Kitchen[Panel Tag],$A537,LC_Kitchen[Total kVA])+SUMIF(LC_Elev[Panel Tag],$A537,LC_Elev[Total kVA])+SUMIF(LC_EV[Panel Tag],$A537,LC_EV[Total kVA])+SUMIF(LC_Data[Panel Tag],$A537,LC_Data[Total kVA])+SUMIF(LC_Site[Panel Tag],$A537,LC_Site[Total kVA])+SUMIF(LC_Fire[Panel Tag],$A537,LC_Fire[Total kVA])+SUMIF(LC_Process[Panel Tag],$A537,LC_Process[Total kVA]))</f>
        <v/>
      </c>
      <c r="D537" s="187"/>
      <c r="E537" s="188" t="str">
        <f t="shared" si="8"/>
        <v/>
      </c>
      <c r="F537" s="286" t="str">
        <f t="shared" si="9"/>
        <v/>
      </c>
      <c r="G537" s="284" t="str">
        <f t="shared" si="10"/>
        <v/>
      </c>
      <c r="H537" s="285"/>
    </row>
    <row r="538" spans="1:8" ht="15" customHeight="1" x14ac:dyDescent="0.45">
      <c r="A538" s="284"/>
      <c r="B538" s="285"/>
      <c r="C538" s="184" t="str">
        <f>IF(OR($A538="",LEFT($A538,1)="—"),"",SUMIF(LC_House[Panel Tag],$A538,LC_House[Total kVA])+SUMIF(LC_Dept[Panel Tag],$A538,LC_Dept[Total kVA])+SUMIF(LC_Refrig[Panel Tag],$A538,LC_Refrig[Total kVA])+SUMIF(LC_Mech[Panel Tag],$A538,LC_Mech[Total kVA])+SUMIF(LC_Plumb[Panel Tag],$A538,LC_Plumb[Total kVA])+SUMIF(LC_Kitchen[Panel Tag],$A538,LC_Kitchen[Total kVA])+SUMIF(LC_Elev[Panel Tag],$A538,LC_Elev[Total kVA])+SUMIF(LC_EV[Panel Tag],$A538,LC_EV[Total kVA])+SUMIF(LC_Data[Panel Tag],$A538,LC_Data[Total kVA])+SUMIF(LC_Site[Panel Tag],$A538,LC_Site[Total kVA])+SUMIF(LC_Fire[Panel Tag],$A538,LC_Fire[Total kVA])+SUMIF(LC_Process[Panel Tag],$A538,LC_Process[Total kVA]))</f>
        <v/>
      </c>
      <c r="D538" s="187"/>
      <c r="E538" s="188" t="str">
        <f t="shared" si="8"/>
        <v/>
      </c>
      <c r="F538" s="286" t="str">
        <f t="shared" si="9"/>
        <v/>
      </c>
      <c r="G538" s="284" t="str">
        <f t="shared" si="10"/>
        <v/>
      </c>
      <c r="H538" s="285"/>
    </row>
    <row r="539" spans="1:8" ht="15" customHeight="1" x14ac:dyDescent="0.45">
      <c r="A539" s="284"/>
      <c r="B539" s="285"/>
      <c r="C539" s="184" t="str">
        <f>IF(OR($A539="",LEFT($A539,1)="—"),"",SUMIF(LC_House[Panel Tag],$A539,LC_House[Total kVA])+SUMIF(LC_Dept[Panel Tag],$A539,LC_Dept[Total kVA])+SUMIF(LC_Refrig[Panel Tag],$A539,LC_Refrig[Total kVA])+SUMIF(LC_Mech[Panel Tag],$A539,LC_Mech[Total kVA])+SUMIF(LC_Plumb[Panel Tag],$A539,LC_Plumb[Total kVA])+SUMIF(LC_Kitchen[Panel Tag],$A539,LC_Kitchen[Total kVA])+SUMIF(LC_Elev[Panel Tag],$A539,LC_Elev[Total kVA])+SUMIF(LC_EV[Panel Tag],$A539,LC_EV[Total kVA])+SUMIF(LC_Data[Panel Tag],$A539,LC_Data[Total kVA])+SUMIF(LC_Site[Panel Tag],$A539,LC_Site[Total kVA])+SUMIF(LC_Fire[Panel Tag],$A539,LC_Fire[Total kVA])+SUMIF(LC_Process[Panel Tag],$A539,LC_Process[Total kVA]))</f>
        <v/>
      </c>
      <c r="D539" s="187"/>
      <c r="E539" s="188" t="str">
        <f t="shared" si="8"/>
        <v/>
      </c>
      <c r="F539" s="286" t="str">
        <f t="shared" si="9"/>
        <v/>
      </c>
      <c r="G539" s="284" t="str">
        <f t="shared" si="10"/>
        <v/>
      </c>
      <c r="H539" s="285"/>
    </row>
    <row r="540" spans="1:8" ht="15" customHeight="1" x14ac:dyDescent="0.45">
      <c r="A540" s="284"/>
      <c r="B540" s="285"/>
      <c r="C540" s="184" t="str">
        <f>IF(OR($A540="",LEFT($A540,1)="—"),"",SUMIF(LC_House[Panel Tag],$A540,LC_House[Total kVA])+SUMIF(LC_Dept[Panel Tag],$A540,LC_Dept[Total kVA])+SUMIF(LC_Refrig[Panel Tag],$A540,LC_Refrig[Total kVA])+SUMIF(LC_Mech[Panel Tag],$A540,LC_Mech[Total kVA])+SUMIF(LC_Plumb[Panel Tag],$A540,LC_Plumb[Total kVA])+SUMIF(LC_Kitchen[Panel Tag],$A540,LC_Kitchen[Total kVA])+SUMIF(LC_Elev[Panel Tag],$A540,LC_Elev[Total kVA])+SUMIF(LC_EV[Panel Tag],$A540,LC_EV[Total kVA])+SUMIF(LC_Data[Panel Tag],$A540,LC_Data[Total kVA])+SUMIF(LC_Site[Panel Tag],$A540,LC_Site[Total kVA])+SUMIF(LC_Fire[Panel Tag],$A540,LC_Fire[Total kVA])+SUMIF(LC_Process[Panel Tag],$A540,LC_Process[Total kVA]))</f>
        <v/>
      </c>
      <c r="D540" s="187"/>
      <c r="E540" s="188" t="str">
        <f t="shared" si="8"/>
        <v/>
      </c>
      <c r="F540" s="286" t="str">
        <f t="shared" si="9"/>
        <v/>
      </c>
      <c r="G540" s="284" t="str">
        <f t="shared" si="10"/>
        <v/>
      </c>
      <c r="H540" s="285"/>
    </row>
    <row r="541" spans="1:8" ht="15" customHeight="1" x14ac:dyDescent="0.45">
      <c r="A541" s="284"/>
      <c r="B541" s="285"/>
      <c r="C541" s="184" t="str">
        <f>IF(OR($A541="",LEFT($A541,1)="—"),"",SUMIF(LC_House[Panel Tag],$A541,LC_House[Total kVA])+SUMIF(LC_Dept[Panel Tag],$A541,LC_Dept[Total kVA])+SUMIF(LC_Refrig[Panel Tag],$A541,LC_Refrig[Total kVA])+SUMIF(LC_Mech[Panel Tag],$A541,LC_Mech[Total kVA])+SUMIF(LC_Plumb[Panel Tag],$A541,LC_Plumb[Total kVA])+SUMIF(LC_Kitchen[Panel Tag],$A541,LC_Kitchen[Total kVA])+SUMIF(LC_Elev[Panel Tag],$A541,LC_Elev[Total kVA])+SUMIF(LC_EV[Panel Tag],$A541,LC_EV[Total kVA])+SUMIF(LC_Data[Panel Tag],$A541,LC_Data[Total kVA])+SUMIF(LC_Site[Panel Tag],$A541,LC_Site[Total kVA])+SUMIF(LC_Fire[Panel Tag],$A541,LC_Fire[Total kVA])+SUMIF(LC_Process[Panel Tag],$A541,LC_Process[Total kVA]))</f>
        <v/>
      </c>
      <c r="D541" s="187"/>
      <c r="E541" s="188" t="str">
        <f t="shared" si="8"/>
        <v/>
      </c>
      <c r="F541" s="286" t="str">
        <f t="shared" si="9"/>
        <v/>
      </c>
      <c r="G541" s="284" t="str">
        <f t="shared" si="10"/>
        <v/>
      </c>
      <c r="H541" s="285"/>
    </row>
    <row r="542" spans="1:8" ht="15" customHeight="1" x14ac:dyDescent="0.45">
      <c r="A542" s="284"/>
      <c r="B542" s="285"/>
      <c r="C542" s="184" t="str">
        <f>IF(OR($A542="",LEFT($A542,1)="—"),"",SUMIF(LC_House[Panel Tag],$A542,LC_House[Total kVA])+SUMIF(LC_Dept[Panel Tag],$A542,LC_Dept[Total kVA])+SUMIF(LC_Refrig[Panel Tag],$A542,LC_Refrig[Total kVA])+SUMIF(LC_Mech[Panel Tag],$A542,LC_Mech[Total kVA])+SUMIF(LC_Plumb[Panel Tag],$A542,LC_Plumb[Total kVA])+SUMIF(LC_Kitchen[Panel Tag],$A542,LC_Kitchen[Total kVA])+SUMIF(LC_Elev[Panel Tag],$A542,LC_Elev[Total kVA])+SUMIF(LC_EV[Panel Tag],$A542,LC_EV[Total kVA])+SUMIF(LC_Data[Panel Tag],$A542,LC_Data[Total kVA])+SUMIF(LC_Site[Panel Tag],$A542,LC_Site[Total kVA])+SUMIF(LC_Fire[Panel Tag],$A542,LC_Fire[Total kVA])+SUMIF(LC_Process[Panel Tag],$A542,LC_Process[Total kVA]))</f>
        <v/>
      </c>
      <c r="D542" s="187"/>
      <c r="E542" s="188" t="str">
        <f t="shared" si="8"/>
        <v/>
      </c>
      <c r="F542" s="286" t="str">
        <f t="shared" si="9"/>
        <v/>
      </c>
      <c r="G542" s="284" t="str">
        <f t="shared" si="10"/>
        <v/>
      </c>
      <c r="H542" s="285"/>
    </row>
    <row r="543" spans="1:8" ht="15" customHeight="1" x14ac:dyDescent="0.45">
      <c r="A543" s="284"/>
      <c r="B543" s="285"/>
      <c r="C543" s="184" t="str">
        <f>IF(OR($A543="",LEFT($A543,1)="—"),"",SUMIF(LC_House[Panel Tag],$A543,LC_House[Total kVA])+SUMIF(LC_Dept[Panel Tag],$A543,LC_Dept[Total kVA])+SUMIF(LC_Refrig[Panel Tag],$A543,LC_Refrig[Total kVA])+SUMIF(LC_Mech[Panel Tag],$A543,LC_Mech[Total kVA])+SUMIF(LC_Plumb[Panel Tag],$A543,LC_Plumb[Total kVA])+SUMIF(LC_Kitchen[Panel Tag],$A543,LC_Kitchen[Total kVA])+SUMIF(LC_Elev[Panel Tag],$A543,LC_Elev[Total kVA])+SUMIF(LC_EV[Panel Tag],$A543,LC_EV[Total kVA])+SUMIF(LC_Data[Panel Tag],$A543,LC_Data[Total kVA])+SUMIF(LC_Site[Panel Tag],$A543,LC_Site[Total kVA])+SUMIF(LC_Fire[Panel Tag],$A543,LC_Fire[Total kVA])+SUMIF(LC_Process[Panel Tag],$A543,LC_Process[Total kVA]))</f>
        <v/>
      </c>
      <c r="D543" s="187"/>
      <c r="E543" s="188" t="str">
        <f t="shared" si="8"/>
        <v/>
      </c>
      <c r="F543" s="286" t="str">
        <f t="shared" si="9"/>
        <v/>
      </c>
      <c r="G543" s="284" t="str">
        <f t="shared" si="10"/>
        <v/>
      </c>
      <c r="H543" s="285"/>
    </row>
    <row r="544" spans="1:8" ht="15" customHeight="1" x14ac:dyDescent="0.45">
      <c r="A544" s="284"/>
      <c r="B544" s="285"/>
      <c r="C544" s="184" t="str">
        <f>IF(OR($A544="",LEFT($A544,1)="—"),"",SUMIF(LC_House[Panel Tag],$A544,LC_House[Total kVA])+SUMIF(LC_Dept[Panel Tag],$A544,LC_Dept[Total kVA])+SUMIF(LC_Refrig[Panel Tag],$A544,LC_Refrig[Total kVA])+SUMIF(LC_Mech[Panel Tag],$A544,LC_Mech[Total kVA])+SUMIF(LC_Plumb[Panel Tag],$A544,LC_Plumb[Total kVA])+SUMIF(LC_Kitchen[Panel Tag],$A544,LC_Kitchen[Total kVA])+SUMIF(LC_Elev[Panel Tag],$A544,LC_Elev[Total kVA])+SUMIF(LC_EV[Panel Tag],$A544,LC_EV[Total kVA])+SUMIF(LC_Data[Panel Tag],$A544,LC_Data[Total kVA])+SUMIF(LC_Site[Panel Tag],$A544,LC_Site[Total kVA])+SUMIF(LC_Fire[Panel Tag],$A544,LC_Fire[Total kVA])+SUMIF(LC_Process[Panel Tag],$A544,LC_Process[Total kVA]))</f>
        <v/>
      </c>
      <c r="D544" s="187"/>
      <c r="E544" s="188" t="str">
        <f t="shared" si="8"/>
        <v/>
      </c>
      <c r="F544" s="286" t="str">
        <f t="shared" si="9"/>
        <v/>
      </c>
      <c r="G544" s="284" t="str">
        <f t="shared" si="10"/>
        <v/>
      </c>
      <c r="H544" s="285"/>
    </row>
    <row r="545" spans="1:8" ht="15" customHeight="1" x14ac:dyDescent="0.45">
      <c r="A545" s="284"/>
      <c r="B545" s="285"/>
      <c r="C545" s="184" t="str">
        <f>IF(OR($A545="",LEFT($A545,1)="—"),"",SUMIF(LC_House[Panel Tag],$A545,LC_House[Total kVA])+SUMIF(LC_Dept[Panel Tag],$A545,LC_Dept[Total kVA])+SUMIF(LC_Refrig[Panel Tag],$A545,LC_Refrig[Total kVA])+SUMIF(LC_Mech[Panel Tag],$A545,LC_Mech[Total kVA])+SUMIF(LC_Plumb[Panel Tag],$A545,LC_Plumb[Total kVA])+SUMIF(LC_Kitchen[Panel Tag],$A545,LC_Kitchen[Total kVA])+SUMIF(LC_Elev[Panel Tag],$A545,LC_Elev[Total kVA])+SUMIF(LC_EV[Panel Tag],$A545,LC_EV[Total kVA])+SUMIF(LC_Data[Panel Tag],$A545,LC_Data[Total kVA])+SUMIF(LC_Site[Panel Tag],$A545,LC_Site[Total kVA])+SUMIF(LC_Fire[Panel Tag],$A545,LC_Fire[Total kVA])+SUMIF(LC_Process[Panel Tag],$A545,LC_Process[Total kVA]))</f>
        <v/>
      </c>
      <c r="D545" s="187"/>
      <c r="E545" s="188" t="str">
        <f t="shared" si="8"/>
        <v/>
      </c>
      <c r="F545" s="286" t="str">
        <f t="shared" si="9"/>
        <v/>
      </c>
      <c r="G545" s="284" t="str">
        <f t="shared" si="10"/>
        <v/>
      </c>
      <c r="H545" s="285"/>
    </row>
    <row r="546" spans="1:8" ht="15" customHeight="1" x14ac:dyDescent="0.45">
      <c r="A546" s="284"/>
      <c r="B546" s="285"/>
      <c r="C546" s="184" t="str">
        <f>IF(OR($A546="",LEFT($A546,1)="—"),"",SUMIF(LC_House[Panel Tag],$A546,LC_House[Total kVA])+SUMIF(LC_Dept[Panel Tag],$A546,LC_Dept[Total kVA])+SUMIF(LC_Refrig[Panel Tag],$A546,LC_Refrig[Total kVA])+SUMIF(LC_Mech[Panel Tag],$A546,LC_Mech[Total kVA])+SUMIF(LC_Plumb[Panel Tag],$A546,LC_Plumb[Total kVA])+SUMIF(LC_Kitchen[Panel Tag],$A546,LC_Kitchen[Total kVA])+SUMIF(LC_Elev[Panel Tag],$A546,LC_Elev[Total kVA])+SUMIF(LC_EV[Panel Tag],$A546,LC_EV[Total kVA])+SUMIF(LC_Data[Panel Tag],$A546,LC_Data[Total kVA])+SUMIF(LC_Site[Panel Tag],$A546,LC_Site[Total kVA])+SUMIF(LC_Fire[Panel Tag],$A546,LC_Fire[Total kVA])+SUMIF(LC_Process[Panel Tag],$A546,LC_Process[Total kVA]))</f>
        <v/>
      </c>
      <c r="D546" s="187"/>
      <c r="E546" s="188" t="str">
        <f t="shared" si="8"/>
        <v/>
      </c>
      <c r="F546" s="286" t="str">
        <f t="shared" si="9"/>
        <v/>
      </c>
      <c r="G546" s="284" t="str">
        <f t="shared" si="10"/>
        <v/>
      </c>
      <c r="H546" s="285"/>
    </row>
    <row r="547" spans="1:8" ht="15" customHeight="1" x14ac:dyDescent="0.45">
      <c r="A547" s="284"/>
      <c r="B547" s="285"/>
      <c r="C547" s="184" t="str">
        <f>IF(OR($A547="",LEFT($A547,1)="—"),"",SUMIF(LC_House[Panel Tag],$A547,LC_House[Total kVA])+SUMIF(LC_Dept[Panel Tag],$A547,LC_Dept[Total kVA])+SUMIF(LC_Refrig[Panel Tag],$A547,LC_Refrig[Total kVA])+SUMIF(LC_Mech[Panel Tag],$A547,LC_Mech[Total kVA])+SUMIF(LC_Plumb[Panel Tag],$A547,LC_Plumb[Total kVA])+SUMIF(LC_Kitchen[Panel Tag],$A547,LC_Kitchen[Total kVA])+SUMIF(LC_Elev[Panel Tag],$A547,LC_Elev[Total kVA])+SUMIF(LC_EV[Panel Tag],$A547,LC_EV[Total kVA])+SUMIF(LC_Data[Panel Tag],$A547,LC_Data[Total kVA])+SUMIF(LC_Site[Panel Tag],$A547,LC_Site[Total kVA])+SUMIF(LC_Fire[Panel Tag],$A547,LC_Fire[Total kVA])+SUMIF(LC_Process[Panel Tag],$A547,LC_Process[Total kVA]))</f>
        <v/>
      </c>
      <c r="D547" s="187"/>
      <c r="E547" s="188" t="str">
        <f t="shared" si="8"/>
        <v/>
      </c>
      <c r="F547" s="286" t="str">
        <f t="shared" si="9"/>
        <v/>
      </c>
      <c r="G547" s="284" t="str">
        <f t="shared" si="10"/>
        <v/>
      </c>
      <c r="H547" s="285"/>
    </row>
    <row r="548" spans="1:8" ht="15" customHeight="1" x14ac:dyDescent="0.45">
      <c r="A548" s="284"/>
      <c r="B548" s="285"/>
      <c r="C548" s="184" t="str">
        <f>IF(OR($A548="",LEFT($A548,1)="—"),"",SUMIF(LC_House[Panel Tag],$A548,LC_House[Total kVA])+SUMIF(LC_Dept[Panel Tag],$A548,LC_Dept[Total kVA])+SUMIF(LC_Refrig[Panel Tag],$A548,LC_Refrig[Total kVA])+SUMIF(LC_Mech[Panel Tag],$A548,LC_Mech[Total kVA])+SUMIF(LC_Plumb[Panel Tag],$A548,LC_Plumb[Total kVA])+SUMIF(LC_Kitchen[Panel Tag],$A548,LC_Kitchen[Total kVA])+SUMIF(LC_Elev[Panel Tag],$A548,LC_Elev[Total kVA])+SUMIF(LC_EV[Panel Tag],$A548,LC_EV[Total kVA])+SUMIF(LC_Data[Panel Tag],$A548,LC_Data[Total kVA])+SUMIF(LC_Site[Panel Tag],$A548,LC_Site[Total kVA])+SUMIF(LC_Fire[Panel Tag],$A548,LC_Fire[Total kVA])+SUMIF(LC_Process[Panel Tag],$A548,LC_Process[Total kVA]))</f>
        <v/>
      </c>
      <c r="D548" s="187"/>
      <c r="E548" s="188" t="str">
        <f t="shared" si="8"/>
        <v/>
      </c>
      <c r="F548" s="286" t="str">
        <f t="shared" si="9"/>
        <v/>
      </c>
      <c r="G548" s="284" t="str">
        <f t="shared" si="10"/>
        <v/>
      </c>
      <c r="H548" s="285"/>
    </row>
    <row r="549" spans="1:8" ht="15" customHeight="1" x14ac:dyDescent="0.45">
      <c r="A549" s="284"/>
      <c r="B549" s="285"/>
      <c r="C549" s="184" t="str">
        <f>IF(OR($A549="",LEFT($A549,1)="—"),"",SUMIF(LC_House[Panel Tag],$A549,LC_House[Total kVA])+SUMIF(LC_Dept[Panel Tag],$A549,LC_Dept[Total kVA])+SUMIF(LC_Refrig[Panel Tag],$A549,LC_Refrig[Total kVA])+SUMIF(LC_Mech[Panel Tag],$A549,LC_Mech[Total kVA])+SUMIF(LC_Plumb[Panel Tag],$A549,LC_Plumb[Total kVA])+SUMIF(LC_Kitchen[Panel Tag],$A549,LC_Kitchen[Total kVA])+SUMIF(LC_Elev[Panel Tag],$A549,LC_Elev[Total kVA])+SUMIF(LC_EV[Panel Tag],$A549,LC_EV[Total kVA])+SUMIF(LC_Data[Panel Tag],$A549,LC_Data[Total kVA])+SUMIF(LC_Site[Panel Tag],$A549,LC_Site[Total kVA])+SUMIF(LC_Fire[Panel Tag],$A549,LC_Fire[Total kVA])+SUMIF(LC_Process[Panel Tag],$A549,LC_Process[Total kVA]))</f>
        <v/>
      </c>
      <c r="D549" s="187"/>
      <c r="E549" s="188" t="str">
        <f t="shared" si="8"/>
        <v/>
      </c>
      <c r="F549" s="286" t="str">
        <f t="shared" si="9"/>
        <v/>
      </c>
      <c r="G549" s="284" t="str">
        <f t="shared" si="10"/>
        <v/>
      </c>
      <c r="H549" s="285"/>
    </row>
    <row r="550" spans="1:8" ht="15" customHeight="1" x14ac:dyDescent="0.45">
      <c r="A550" s="284"/>
      <c r="B550" s="285"/>
      <c r="C550" s="184" t="str">
        <f>IF(OR($A550="",LEFT($A550,1)="—"),"",SUMIF(LC_House[Panel Tag],$A550,LC_House[Total kVA])+SUMIF(LC_Dept[Panel Tag],$A550,LC_Dept[Total kVA])+SUMIF(LC_Refrig[Panel Tag],$A550,LC_Refrig[Total kVA])+SUMIF(LC_Mech[Panel Tag],$A550,LC_Mech[Total kVA])+SUMIF(LC_Plumb[Panel Tag],$A550,LC_Plumb[Total kVA])+SUMIF(LC_Kitchen[Panel Tag],$A550,LC_Kitchen[Total kVA])+SUMIF(LC_Elev[Panel Tag],$A550,LC_Elev[Total kVA])+SUMIF(LC_EV[Panel Tag],$A550,LC_EV[Total kVA])+SUMIF(LC_Data[Panel Tag],$A550,LC_Data[Total kVA])+SUMIF(LC_Site[Panel Tag],$A550,LC_Site[Total kVA])+SUMIF(LC_Fire[Panel Tag],$A550,LC_Fire[Total kVA])+SUMIF(LC_Process[Panel Tag],$A550,LC_Process[Total kVA]))</f>
        <v/>
      </c>
      <c r="D550" s="187"/>
      <c r="E550" s="188" t="str">
        <f t="shared" si="8"/>
        <v/>
      </c>
      <c r="F550" s="286" t="str">
        <f t="shared" si="9"/>
        <v/>
      </c>
      <c r="G550" s="284" t="str">
        <f t="shared" si="10"/>
        <v/>
      </c>
      <c r="H550" s="285"/>
    </row>
    <row r="551" spans="1:8" ht="15" customHeight="1" x14ac:dyDescent="0.45">
      <c r="A551" s="284"/>
      <c r="B551" s="285"/>
      <c r="C551" s="184" t="str">
        <f>IF(OR($A551="",LEFT($A551,1)="—"),"",SUMIF(LC_House[Panel Tag],$A551,LC_House[Total kVA])+SUMIF(LC_Dept[Panel Tag],$A551,LC_Dept[Total kVA])+SUMIF(LC_Refrig[Panel Tag],$A551,LC_Refrig[Total kVA])+SUMIF(LC_Mech[Panel Tag],$A551,LC_Mech[Total kVA])+SUMIF(LC_Plumb[Panel Tag],$A551,LC_Plumb[Total kVA])+SUMIF(LC_Kitchen[Panel Tag],$A551,LC_Kitchen[Total kVA])+SUMIF(LC_Elev[Panel Tag],$A551,LC_Elev[Total kVA])+SUMIF(LC_EV[Panel Tag],$A551,LC_EV[Total kVA])+SUMIF(LC_Data[Panel Tag],$A551,LC_Data[Total kVA])+SUMIF(LC_Site[Panel Tag],$A551,LC_Site[Total kVA])+SUMIF(LC_Fire[Panel Tag],$A551,LC_Fire[Total kVA])+SUMIF(LC_Process[Panel Tag],$A551,LC_Process[Total kVA]))</f>
        <v/>
      </c>
      <c r="D551" s="187"/>
      <c r="E551" s="188" t="str">
        <f t="shared" ref="E551:E608" si="11">IF(OR(NOT(ISNUMBER($C551)),NOT(ISNUMBER($D551))),"",$C551-$D551)</f>
        <v/>
      </c>
      <c r="F551" s="286" t="str">
        <f t="shared" ref="F551:F608" si="12">IF(NOT(ISNUMBER($C551)),"",IF(NOT(ISNUMBER($D551)),"link not set",IF(ABS($E551)&lt;=$K$363,"OK","CHECK")))</f>
        <v/>
      </c>
      <c r="G551" s="284" t="str">
        <f t="shared" ref="G551:G608" si="13">IF(NOT(ISNUMBER($C551)),"",IF($B551="","← set Type in column B",IFERROR("='"&amp;$A551&amp;"'!"&amp;VLOOKUP($B551,$J$359:$K$361,2,FALSE),"← Type not recognized")))</f>
        <v/>
      </c>
      <c r="H551" s="285"/>
    </row>
    <row r="552" spans="1:8" ht="15" customHeight="1" x14ac:dyDescent="0.45">
      <c r="A552" s="284"/>
      <c r="B552" s="285"/>
      <c r="C552" s="184" t="str">
        <f>IF(OR($A552="",LEFT($A552,1)="—"),"",SUMIF(LC_House[Panel Tag],$A552,LC_House[Total kVA])+SUMIF(LC_Dept[Panel Tag],$A552,LC_Dept[Total kVA])+SUMIF(LC_Refrig[Panel Tag],$A552,LC_Refrig[Total kVA])+SUMIF(LC_Mech[Panel Tag],$A552,LC_Mech[Total kVA])+SUMIF(LC_Plumb[Panel Tag],$A552,LC_Plumb[Total kVA])+SUMIF(LC_Kitchen[Panel Tag],$A552,LC_Kitchen[Total kVA])+SUMIF(LC_Elev[Panel Tag],$A552,LC_Elev[Total kVA])+SUMIF(LC_EV[Panel Tag],$A552,LC_EV[Total kVA])+SUMIF(LC_Data[Panel Tag],$A552,LC_Data[Total kVA])+SUMIF(LC_Site[Panel Tag],$A552,LC_Site[Total kVA])+SUMIF(LC_Fire[Panel Tag],$A552,LC_Fire[Total kVA])+SUMIF(LC_Process[Panel Tag],$A552,LC_Process[Total kVA]))</f>
        <v/>
      </c>
      <c r="D552" s="187"/>
      <c r="E552" s="188" t="str">
        <f t="shared" si="11"/>
        <v/>
      </c>
      <c r="F552" s="286" t="str">
        <f t="shared" si="12"/>
        <v/>
      </c>
      <c r="G552" s="284" t="str">
        <f t="shared" si="13"/>
        <v/>
      </c>
      <c r="H552" s="285"/>
    </row>
    <row r="553" spans="1:8" ht="15" customHeight="1" x14ac:dyDescent="0.45">
      <c r="A553" s="284"/>
      <c r="B553" s="285"/>
      <c r="C553" s="184" t="str">
        <f>IF(OR($A553="",LEFT($A553,1)="—"),"",SUMIF(LC_House[Panel Tag],$A553,LC_House[Total kVA])+SUMIF(LC_Dept[Panel Tag],$A553,LC_Dept[Total kVA])+SUMIF(LC_Refrig[Panel Tag],$A553,LC_Refrig[Total kVA])+SUMIF(LC_Mech[Panel Tag],$A553,LC_Mech[Total kVA])+SUMIF(LC_Plumb[Panel Tag],$A553,LC_Plumb[Total kVA])+SUMIF(LC_Kitchen[Panel Tag],$A553,LC_Kitchen[Total kVA])+SUMIF(LC_Elev[Panel Tag],$A553,LC_Elev[Total kVA])+SUMIF(LC_EV[Panel Tag],$A553,LC_EV[Total kVA])+SUMIF(LC_Data[Panel Tag],$A553,LC_Data[Total kVA])+SUMIF(LC_Site[Panel Tag],$A553,LC_Site[Total kVA])+SUMIF(LC_Fire[Panel Tag],$A553,LC_Fire[Total kVA])+SUMIF(LC_Process[Panel Tag],$A553,LC_Process[Total kVA]))</f>
        <v/>
      </c>
      <c r="D553" s="187"/>
      <c r="E553" s="188" t="str">
        <f t="shared" si="11"/>
        <v/>
      </c>
      <c r="F553" s="286" t="str">
        <f t="shared" si="12"/>
        <v/>
      </c>
      <c r="G553" s="284" t="str">
        <f t="shared" si="13"/>
        <v/>
      </c>
      <c r="H553" s="285"/>
    </row>
    <row r="554" spans="1:8" ht="15" customHeight="1" x14ac:dyDescent="0.45">
      <c r="A554" s="284"/>
      <c r="B554" s="285"/>
      <c r="C554" s="184" t="str">
        <f>IF(OR($A554="",LEFT($A554,1)="—"),"",SUMIF(LC_House[Panel Tag],$A554,LC_House[Total kVA])+SUMIF(LC_Dept[Panel Tag],$A554,LC_Dept[Total kVA])+SUMIF(LC_Refrig[Panel Tag],$A554,LC_Refrig[Total kVA])+SUMIF(LC_Mech[Panel Tag],$A554,LC_Mech[Total kVA])+SUMIF(LC_Plumb[Panel Tag],$A554,LC_Plumb[Total kVA])+SUMIF(LC_Kitchen[Panel Tag],$A554,LC_Kitchen[Total kVA])+SUMIF(LC_Elev[Panel Tag],$A554,LC_Elev[Total kVA])+SUMIF(LC_EV[Panel Tag],$A554,LC_EV[Total kVA])+SUMIF(LC_Data[Panel Tag],$A554,LC_Data[Total kVA])+SUMIF(LC_Site[Panel Tag],$A554,LC_Site[Total kVA])+SUMIF(LC_Fire[Panel Tag],$A554,LC_Fire[Total kVA])+SUMIF(LC_Process[Panel Tag],$A554,LC_Process[Total kVA]))</f>
        <v/>
      </c>
      <c r="D554" s="187"/>
      <c r="E554" s="188" t="str">
        <f t="shared" si="11"/>
        <v/>
      </c>
      <c r="F554" s="286" t="str">
        <f t="shared" si="12"/>
        <v/>
      </c>
      <c r="G554" s="284" t="str">
        <f t="shared" si="13"/>
        <v/>
      </c>
      <c r="H554" s="285"/>
    </row>
    <row r="555" spans="1:8" ht="15" customHeight="1" x14ac:dyDescent="0.45">
      <c r="A555" s="284"/>
      <c r="B555" s="285"/>
      <c r="C555" s="184" t="str">
        <f>IF(OR($A555="",LEFT($A555,1)="—"),"",SUMIF(LC_House[Panel Tag],$A555,LC_House[Total kVA])+SUMIF(LC_Dept[Panel Tag],$A555,LC_Dept[Total kVA])+SUMIF(LC_Refrig[Panel Tag],$A555,LC_Refrig[Total kVA])+SUMIF(LC_Mech[Panel Tag],$A555,LC_Mech[Total kVA])+SUMIF(LC_Plumb[Panel Tag],$A555,LC_Plumb[Total kVA])+SUMIF(LC_Kitchen[Panel Tag],$A555,LC_Kitchen[Total kVA])+SUMIF(LC_Elev[Panel Tag],$A555,LC_Elev[Total kVA])+SUMIF(LC_EV[Panel Tag],$A555,LC_EV[Total kVA])+SUMIF(LC_Data[Panel Tag],$A555,LC_Data[Total kVA])+SUMIF(LC_Site[Panel Tag],$A555,LC_Site[Total kVA])+SUMIF(LC_Fire[Panel Tag],$A555,LC_Fire[Total kVA])+SUMIF(LC_Process[Panel Tag],$A555,LC_Process[Total kVA]))</f>
        <v/>
      </c>
      <c r="D555" s="187"/>
      <c r="E555" s="188" t="str">
        <f t="shared" si="11"/>
        <v/>
      </c>
      <c r="F555" s="286" t="str">
        <f t="shared" si="12"/>
        <v/>
      </c>
      <c r="G555" s="284" t="str">
        <f t="shared" si="13"/>
        <v/>
      </c>
      <c r="H555" s="285"/>
    </row>
    <row r="556" spans="1:8" ht="15" customHeight="1" x14ac:dyDescent="0.45">
      <c r="A556" s="284"/>
      <c r="B556" s="285"/>
      <c r="C556" s="184" t="str">
        <f>IF(OR($A556="",LEFT($A556,1)="—"),"",SUMIF(LC_House[Panel Tag],$A556,LC_House[Total kVA])+SUMIF(LC_Dept[Panel Tag],$A556,LC_Dept[Total kVA])+SUMIF(LC_Refrig[Panel Tag],$A556,LC_Refrig[Total kVA])+SUMIF(LC_Mech[Panel Tag],$A556,LC_Mech[Total kVA])+SUMIF(LC_Plumb[Panel Tag],$A556,LC_Plumb[Total kVA])+SUMIF(LC_Kitchen[Panel Tag],$A556,LC_Kitchen[Total kVA])+SUMIF(LC_Elev[Panel Tag],$A556,LC_Elev[Total kVA])+SUMIF(LC_EV[Panel Tag],$A556,LC_EV[Total kVA])+SUMIF(LC_Data[Panel Tag],$A556,LC_Data[Total kVA])+SUMIF(LC_Site[Panel Tag],$A556,LC_Site[Total kVA])+SUMIF(LC_Fire[Panel Tag],$A556,LC_Fire[Total kVA])+SUMIF(LC_Process[Panel Tag],$A556,LC_Process[Total kVA]))</f>
        <v/>
      </c>
      <c r="D556" s="187"/>
      <c r="E556" s="188" t="str">
        <f t="shared" si="11"/>
        <v/>
      </c>
      <c r="F556" s="286" t="str">
        <f t="shared" si="12"/>
        <v/>
      </c>
      <c r="G556" s="284" t="str">
        <f t="shared" si="13"/>
        <v/>
      </c>
      <c r="H556" s="285"/>
    </row>
    <row r="557" spans="1:8" ht="15" customHeight="1" x14ac:dyDescent="0.45">
      <c r="A557" s="284"/>
      <c r="B557" s="285"/>
      <c r="C557" s="184" t="str">
        <f>IF(OR($A557="",LEFT($A557,1)="—"),"",SUMIF(LC_House[Panel Tag],$A557,LC_House[Total kVA])+SUMIF(LC_Dept[Panel Tag],$A557,LC_Dept[Total kVA])+SUMIF(LC_Refrig[Panel Tag],$A557,LC_Refrig[Total kVA])+SUMIF(LC_Mech[Panel Tag],$A557,LC_Mech[Total kVA])+SUMIF(LC_Plumb[Panel Tag],$A557,LC_Plumb[Total kVA])+SUMIF(LC_Kitchen[Panel Tag],$A557,LC_Kitchen[Total kVA])+SUMIF(LC_Elev[Panel Tag],$A557,LC_Elev[Total kVA])+SUMIF(LC_EV[Panel Tag],$A557,LC_EV[Total kVA])+SUMIF(LC_Data[Panel Tag],$A557,LC_Data[Total kVA])+SUMIF(LC_Site[Panel Tag],$A557,LC_Site[Total kVA])+SUMIF(LC_Fire[Panel Tag],$A557,LC_Fire[Total kVA])+SUMIF(LC_Process[Panel Tag],$A557,LC_Process[Total kVA]))</f>
        <v/>
      </c>
      <c r="D557" s="187"/>
      <c r="E557" s="188" t="str">
        <f t="shared" si="11"/>
        <v/>
      </c>
      <c r="F557" s="286" t="str">
        <f t="shared" si="12"/>
        <v/>
      </c>
      <c r="G557" s="284" t="str">
        <f t="shared" si="13"/>
        <v/>
      </c>
      <c r="H557" s="285"/>
    </row>
    <row r="558" spans="1:8" ht="15" customHeight="1" x14ac:dyDescent="0.45">
      <c r="A558" s="284"/>
      <c r="B558" s="285"/>
      <c r="C558" s="184" t="str">
        <f>IF(OR($A558="",LEFT($A558,1)="—"),"",SUMIF(LC_House[Panel Tag],$A558,LC_House[Total kVA])+SUMIF(LC_Dept[Panel Tag],$A558,LC_Dept[Total kVA])+SUMIF(LC_Refrig[Panel Tag],$A558,LC_Refrig[Total kVA])+SUMIF(LC_Mech[Panel Tag],$A558,LC_Mech[Total kVA])+SUMIF(LC_Plumb[Panel Tag],$A558,LC_Plumb[Total kVA])+SUMIF(LC_Kitchen[Panel Tag],$A558,LC_Kitchen[Total kVA])+SUMIF(LC_Elev[Panel Tag],$A558,LC_Elev[Total kVA])+SUMIF(LC_EV[Panel Tag],$A558,LC_EV[Total kVA])+SUMIF(LC_Data[Panel Tag],$A558,LC_Data[Total kVA])+SUMIF(LC_Site[Panel Tag],$A558,LC_Site[Total kVA])+SUMIF(LC_Fire[Panel Tag],$A558,LC_Fire[Total kVA])+SUMIF(LC_Process[Panel Tag],$A558,LC_Process[Total kVA]))</f>
        <v/>
      </c>
      <c r="D558" s="187"/>
      <c r="E558" s="188" t="str">
        <f t="shared" si="11"/>
        <v/>
      </c>
      <c r="F558" s="286" t="str">
        <f t="shared" si="12"/>
        <v/>
      </c>
      <c r="G558" s="284" t="str">
        <f t="shared" si="13"/>
        <v/>
      </c>
      <c r="H558" s="285"/>
    </row>
    <row r="559" spans="1:8" ht="15" customHeight="1" x14ac:dyDescent="0.45">
      <c r="A559" s="284"/>
      <c r="B559" s="285"/>
      <c r="C559" s="184" t="str">
        <f>IF(OR($A559="",LEFT($A559,1)="—"),"",SUMIF(LC_House[Panel Tag],$A559,LC_House[Total kVA])+SUMIF(LC_Dept[Panel Tag],$A559,LC_Dept[Total kVA])+SUMIF(LC_Refrig[Panel Tag],$A559,LC_Refrig[Total kVA])+SUMIF(LC_Mech[Panel Tag],$A559,LC_Mech[Total kVA])+SUMIF(LC_Plumb[Panel Tag],$A559,LC_Plumb[Total kVA])+SUMIF(LC_Kitchen[Panel Tag],$A559,LC_Kitchen[Total kVA])+SUMIF(LC_Elev[Panel Tag],$A559,LC_Elev[Total kVA])+SUMIF(LC_EV[Panel Tag],$A559,LC_EV[Total kVA])+SUMIF(LC_Data[Panel Tag],$A559,LC_Data[Total kVA])+SUMIF(LC_Site[Panel Tag],$A559,LC_Site[Total kVA])+SUMIF(LC_Fire[Panel Tag],$A559,LC_Fire[Total kVA])+SUMIF(LC_Process[Panel Tag],$A559,LC_Process[Total kVA]))</f>
        <v/>
      </c>
      <c r="D559" s="187"/>
      <c r="E559" s="188" t="str">
        <f t="shared" si="11"/>
        <v/>
      </c>
      <c r="F559" s="286" t="str">
        <f t="shared" si="12"/>
        <v/>
      </c>
      <c r="G559" s="284" t="str">
        <f t="shared" si="13"/>
        <v/>
      </c>
      <c r="H559" s="285"/>
    </row>
    <row r="560" spans="1:8" ht="15" customHeight="1" x14ac:dyDescent="0.45">
      <c r="A560" s="284"/>
      <c r="B560" s="285"/>
      <c r="C560" s="184" t="str">
        <f>IF(OR($A560="",LEFT($A560,1)="—"),"",SUMIF(LC_House[Panel Tag],$A560,LC_House[Total kVA])+SUMIF(LC_Dept[Panel Tag],$A560,LC_Dept[Total kVA])+SUMIF(LC_Refrig[Panel Tag],$A560,LC_Refrig[Total kVA])+SUMIF(LC_Mech[Panel Tag],$A560,LC_Mech[Total kVA])+SUMIF(LC_Plumb[Panel Tag],$A560,LC_Plumb[Total kVA])+SUMIF(LC_Kitchen[Panel Tag],$A560,LC_Kitchen[Total kVA])+SUMIF(LC_Elev[Panel Tag],$A560,LC_Elev[Total kVA])+SUMIF(LC_EV[Panel Tag],$A560,LC_EV[Total kVA])+SUMIF(LC_Data[Panel Tag],$A560,LC_Data[Total kVA])+SUMIF(LC_Site[Panel Tag],$A560,LC_Site[Total kVA])+SUMIF(LC_Fire[Panel Tag],$A560,LC_Fire[Total kVA])+SUMIF(LC_Process[Panel Tag],$A560,LC_Process[Total kVA]))</f>
        <v/>
      </c>
      <c r="D560" s="187"/>
      <c r="E560" s="188" t="str">
        <f t="shared" si="11"/>
        <v/>
      </c>
      <c r="F560" s="286" t="str">
        <f t="shared" si="12"/>
        <v/>
      </c>
      <c r="G560" s="284" t="str">
        <f t="shared" si="13"/>
        <v/>
      </c>
      <c r="H560" s="285"/>
    </row>
    <row r="561" spans="1:8" ht="15" customHeight="1" x14ac:dyDescent="0.45">
      <c r="A561" s="284"/>
      <c r="B561" s="285"/>
      <c r="C561" s="184" t="str">
        <f>IF(OR($A561="",LEFT($A561,1)="—"),"",SUMIF(LC_House[Panel Tag],$A561,LC_House[Total kVA])+SUMIF(LC_Dept[Panel Tag],$A561,LC_Dept[Total kVA])+SUMIF(LC_Refrig[Panel Tag],$A561,LC_Refrig[Total kVA])+SUMIF(LC_Mech[Panel Tag],$A561,LC_Mech[Total kVA])+SUMIF(LC_Plumb[Panel Tag],$A561,LC_Plumb[Total kVA])+SUMIF(LC_Kitchen[Panel Tag],$A561,LC_Kitchen[Total kVA])+SUMIF(LC_Elev[Panel Tag],$A561,LC_Elev[Total kVA])+SUMIF(LC_EV[Panel Tag],$A561,LC_EV[Total kVA])+SUMIF(LC_Data[Panel Tag],$A561,LC_Data[Total kVA])+SUMIF(LC_Site[Panel Tag],$A561,LC_Site[Total kVA])+SUMIF(LC_Fire[Panel Tag],$A561,LC_Fire[Total kVA])+SUMIF(LC_Process[Panel Tag],$A561,LC_Process[Total kVA]))</f>
        <v/>
      </c>
      <c r="D561" s="187"/>
      <c r="E561" s="188" t="str">
        <f t="shared" si="11"/>
        <v/>
      </c>
      <c r="F561" s="286" t="str">
        <f t="shared" si="12"/>
        <v/>
      </c>
      <c r="G561" s="284" t="str">
        <f t="shared" si="13"/>
        <v/>
      </c>
      <c r="H561" s="285"/>
    </row>
    <row r="562" spans="1:8" ht="15" customHeight="1" x14ac:dyDescent="0.45">
      <c r="A562" s="284"/>
      <c r="B562" s="285"/>
      <c r="C562" s="184" t="str">
        <f>IF(OR($A562="",LEFT($A562,1)="—"),"",SUMIF(LC_House[Panel Tag],$A562,LC_House[Total kVA])+SUMIF(LC_Dept[Panel Tag],$A562,LC_Dept[Total kVA])+SUMIF(LC_Refrig[Panel Tag],$A562,LC_Refrig[Total kVA])+SUMIF(LC_Mech[Panel Tag],$A562,LC_Mech[Total kVA])+SUMIF(LC_Plumb[Panel Tag],$A562,LC_Plumb[Total kVA])+SUMIF(LC_Kitchen[Panel Tag],$A562,LC_Kitchen[Total kVA])+SUMIF(LC_Elev[Panel Tag],$A562,LC_Elev[Total kVA])+SUMIF(LC_EV[Panel Tag],$A562,LC_EV[Total kVA])+SUMIF(LC_Data[Panel Tag],$A562,LC_Data[Total kVA])+SUMIF(LC_Site[Panel Tag],$A562,LC_Site[Total kVA])+SUMIF(LC_Fire[Panel Tag],$A562,LC_Fire[Total kVA])+SUMIF(LC_Process[Panel Tag],$A562,LC_Process[Total kVA]))</f>
        <v/>
      </c>
      <c r="D562" s="187"/>
      <c r="E562" s="188" t="str">
        <f t="shared" si="11"/>
        <v/>
      </c>
      <c r="F562" s="286" t="str">
        <f t="shared" si="12"/>
        <v/>
      </c>
      <c r="G562" s="284" t="str">
        <f t="shared" si="13"/>
        <v/>
      </c>
      <c r="H562" s="285"/>
    </row>
    <row r="563" spans="1:8" ht="15" customHeight="1" x14ac:dyDescent="0.45">
      <c r="A563" s="284"/>
      <c r="B563" s="285"/>
      <c r="C563" s="184" t="str">
        <f>IF(OR($A563="",LEFT($A563,1)="—"),"",SUMIF(LC_House[Panel Tag],$A563,LC_House[Total kVA])+SUMIF(LC_Dept[Panel Tag],$A563,LC_Dept[Total kVA])+SUMIF(LC_Refrig[Panel Tag],$A563,LC_Refrig[Total kVA])+SUMIF(LC_Mech[Panel Tag],$A563,LC_Mech[Total kVA])+SUMIF(LC_Plumb[Panel Tag],$A563,LC_Plumb[Total kVA])+SUMIF(LC_Kitchen[Panel Tag],$A563,LC_Kitchen[Total kVA])+SUMIF(LC_Elev[Panel Tag],$A563,LC_Elev[Total kVA])+SUMIF(LC_EV[Panel Tag],$A563,LC_EV[Total kVA])+SUMIF(LC_Data[Panel Tag],$A563,LC_Data[Total kVA])+SUMIF(LC_Site[Panel Tag],$A563,LC_Site[Total kVA])+SUMIF(LC_Fire[Panel Tag],$A563,LC_Fire[Total kVA])+SUMIF(LC_Process[Panel Tag],$A563,LC_Process[Total kVA]))</f>
        <v/>
      </c>
      <c r="D563" s="187"/>
      <c r="E563" s="188" t="str">
        <f t="shared" si="11"/>
        <v/>
      </c>
      <c r="F563" s="286" t="str">
        <f t="shared" si="12"/>
        <v/>
      </c>
      <c r="G563" s="284" t="str">
        <f t="shared" si="13"/>
        <v/>
      </c>
      <c r="H563" s="285"/>
    </row>
    <row r="564" spans="1:8" ht="15" customHeight="1" x14ac:dyDescent="0.45">
      <c r="A564" s="284"/>
      <c r="B564" s="285"/>
      <c r="C564" s="184" t="str">
        <f>IF(OR($A564="",LEFT($A564,1)="—"),"",SUMIF(LC_House[Panel Tag],$A564,LC_House[Total kVA])+SUMIF(LC_Dept[Panel Tag],$A564,LC_Dept[Total kVA])+SUMIF(LC_Refrig[Panel Tag],$A564,LC_Refrig[Total kVA])+SUMIF(LC_Mech[Panel Tag],$A564,LC_Mech[Total kVA])+SUMIF(LC_Plumb[Panel Tag],$A564,LC_Plumb[Total kVA])+SUMIF(LC_Kitchen[Panel Tag],$A564,LC_Kitchen[Total kVA])+SUMIF(LC_Elev[Panel Tag],$A564,LC_Elev[Total kVA])+SUMIF(LC_EV[Panel Tag],$A564,LC_EV[Total kVA])+SUMIF(LC_Data[Panel Tag],$A564,LC_Data[Total kVA])+SUMIF(LC_Site[Panel Tag],$A564,LC_Site[Total kVA])+SUMIF(LC_Fire[Panel Tag],$A564,LC_Fire[Total kVA])+SUMIF(LC_Process[Panel Tag],$A564,LC_Process[Total kVA]))</f>
        <v/>
      </c>
      <c r="D564" s="187"/>
      <c r="E564" s="188" t="str">
        <f t="shared" si="11"/>
        <v/>
      </c>
      <c r="F564" s="286" t="str">
        <f t="shared" si="12"/>
        <v/>
      </c>
      <c r="G564" s="284" t="str">
        <f t="shared" si="13"/>
        <v/>
      </c>
      <c r="H564" s="285"/>
    </row>
    <row r="565" spans="1:8" ht="15" customHeight="1" x14ac:dyDescent="0.45">
      <c r="A565" s="284"/>
      <c r="B565" s="285"/>
      <c r="C565" s="184" t="str">
        <f>IF(OR($A565="",LEFT($A565,1)="—"),"",SUMIF(LC_House[Panel Tag],$A565,LC_House[Total kVA])+SUMIF(LC_Dept[Panel Tag],$A565,LC_Dept[Total kVA])+SUMIF(LC_Refrig[Panel Tag],$A565,LC_Refrig[Total kVA])+SUMIF(LC_Mech[Panel Tag],$A565,LC_Mech[Total kVA])+SUMIF(LC_Plumb[Panel Tag],$A565,LC_Plumb[Total kVA])+SUMIF(LC_Kitchen[Panel Tag],$A565,LC_Kitchen[Total kVA])+SUMIF(LC_Elev[Panel Tag],$A565,LC_Elev[Total kVA])+SUMIF(LC_EV[Panel Tag],$A565,LC_EV[Total kVA])+SUMIF(LC_Data[Panel Tag],$A565,LC_Data[Total kVA])+SUMIF(LC_Site[Panel Tag],$A565,LC_Site[Total kVA])+SUMIF(LC_Fire[Panel Tag],$A565,LC_Fire[Total kVA])+SUMIF(LC_Process[Panel Tag],$A565,LC_Process[Total kVA]))</f>
        <v/>
      </c>
      <c r="D565" s="187"/>
      <c r="E565" s="188" t="str">
        <f t="shared" si="11"/>
        <v/>
      </c>
      <c r="F565" s="286" t="str">
        <f t="shared" si="12"/>
        <v/>
      </c>
      <c r="G565" s="284" t="str">
        <f t="shared" si="13"/>
        <v/>
      </c>
      <c r="H565" s="285"/>
    </row>
    <row r="566" spans="1:8" ht="15" customHeight="1" x14ac:dyDescent="0.45">
      <c r="A566" s="284"/>
      <c r="B566" s="285"/>
      <c r="C566" s="184" t="str">
        <f>IF(OR($A566="",LEFT($A566,1)="—"),"",SUMIF(LC_House[Panel Tag],$A566,LC_House[Total kVA])+SUMIF(LC_Dept[Panel Tag],$A566,LC_Dept[Total kVA])+SUMIF(LC_Refrig[Panel Tag],$A566,LC_Refrig[Total kVA])+SUMIF(LC_Mech[Panel Tag],$A566,LC_Mech[Total kVA])+SUMIF(LC_Plumb[Panel Tag],$A566,LC_Plumb[Total kVA])+SUMIF(LC_Kitchen[Panel Tag],$A566,LC_Kitchen[Total kVA])+SUMIF(LC_Elev[Panel Tag],$A566,LC_Elev[Total kVA])+SUMIF(LC_EV[Panel Tag],$A566,LC_EV[Total kVA])+SUMIF(LC_Data[Panel Tag],$A566,LC_Data[Total kVA])+SUMIF(LC_Site[Panel Tag],$A566,LC_Site[Total kVA])+SUMIF(LC_Fire[Panel Tag],$A566,LC_Fire[Total kVA])+SUMIF(LC_Process[Panel Tag],$A566,LC_Process[Total kVA]))</f>
        <v/>
      </c>
      <c r="D566" s="187"/>
      <c r="E566" s="188" t="str">
        <f t="shared" si="11"/>
        <v/>
      </c>
      <c r="F566" s="286" t="str">
        <f t="shared" si="12"/>
        <v/>
      </c>
      <c r="G566" s="284" t="str">
        <f t="shared" si="13"/>
        <v/>
      </c>
      <c r="H566" s="285"/>
    </row>
    <row r="567" spans="1:8" ht="15" customHeight="1" x14ac:dyDescent="0.45">
      <c r="A567" s="284"/>
      <c r="B567" s="285"/>
      <c r="C567" s="184" t="str">
        <f>IF(OR($A567="",LEFT($A567,1)="—"),"",SUMIF(LC_House[Panel Tag],$A567,LC_House[Total kVA])+SUMIF(LC_Dept[Panel Tag],$A567,LC_Dept[Total kVA])+SUMIF(LC_Refrig[Panel Tag],$A567,LC_Refrig[Total kVA])+SUMIF(LC_Mech[Panel Tag],$A567,LC_Mech[Total kVA])+SUMIF(LC_Plumb[Panel Tag],$A567,LC_Plumb[Total kVA])+SUMIF(LC_Kitchen[Panel Tag],$A567,LC_Kitchen[Total kVA])+SUMIF(LC_Elev[Panel Tag],$A567,LC_Elev[Total kVA])+SUMIF(LC_EV[Panel Tag],$A567,LC_EV[Total kVA])+SUMIF(LC_Data[Panel Tag],$A567,LC_Data[Total kVA])+SUMIF(LC_Site[Panel Tag],$A567,LC_Site[Total kVA])+SUMIF(LC_Fire[Panel Tag],$A567,LC_Fire[Total kVA])+SUMIF(LC_Process[Panel Tag],$A567,LC_Process[Total kVA]))</f>
        <v/>
      </c>
      <c r="D567" s="187"/>
      <c r="E567" s="188" t="str">
        <f t="shared" si="11"/>
        <v/>
      </c>
      <c r="F567" s="286" t="str">
        <f t="shared" si="12"/>
        <v/>
      </c>
      <c r="G567" s="284" t="str">
        <f t="shared" si="13"/>
        <v/>
      </c>
      <c r="H567" s="285"/>
    </row>
    <row r="568" spans="1:8" ht="15" customHeight="1" x14ac:dyDescent="0.45">
      <c r="A568" s="284"/>
      <c r="B568" s="285"/>
      <c r="C568" s="184" t="str">
        <f>IF(OR($A568="",LEFT($A568,1)="—"),"",SUMIF(LC_House[Panel Tag],$A568,LC_House[Total kVA])+SUMIF(LC_Dept[Panel Tag],$A568,LC_Dept[Total kVA])+SUMIF(LC_Refrig[Panel Tag],$A568,LC_Refrig[Total kVA])+SUMIF(LC_Mech[Panel Tag],$A568,LC_Mech[Total kVA])+SUMIF(LC_Plumb[Panel Tag],$A568,LC_Plumb[Total kVA])+SUMIF(LC_Kitchen[Panel Tag],$A568,LC_Kitchen[Total kVA])+SUMIF(LC_Elev[Panel Tag],$A568,LC_Elev[Total kVA])+SUMIF(LC_EV[Panel Tag],$A568,LC_EV[Total kVA])+SUMIF(LC_Data[Panel Tag],$A568,LC_Data[Total kVA])+SUMIF(LC_Site[Panel Tag],$A568,LC_Site[Total kVA])+SUMIF(LC_Fire[Panel Tag],$A568,LC_Fire[Total kVA])+SUMIF(LC_Process[Panel Tag],$A568,LC_Process[Total kVA]))</f>
        <v/>
      </c>
      <c r="D568" s="187"/>
      <c r="E568" s="188" t="str">
        <f t="shared" si="11"/>
        <v/>
      </c>
      <c r="F568" s="286" t="str">
        <f t="shared" si="12"/>
        <v/>
      </c>
      <c r="G568" s="284" t="str">
        <f t="shared" si="13"/>
        <v/>
      </c>
      <c r="H568" s="285"/>
    </row>
    <row r="569" spans="1:8" ht="15" customHeight="1" x14ac:dyDescent="0.45">
      <c r="A569" s="284"/>
      <c r="B569" s="285"/>
      <c r="C569" s="184" t="str">
        <f>IF(OR($A569="",LEFT($A569,1)="—"),"",SUMIF(LC_House[Panel Tag],$A569,LC_House[Total kVA])+SUMIF(LC_Dept[Panel Tag],$A569,LC_Dept[Total kVA])+SUMIF(LC_Refrig[Panel Tag],$A569,LC_Refrig[Total kVA])+SUMIF(LC_Mech[Panel Tag],$A569,LC_Mech[Total kVA])+SUMIF(LC_Plumb[Panel Tag],$A569,LC_Plumb[Total kVA])+SUMIF(LC_Kitchen[Panel Tag],$A569,LC_Kitchen[Total kVA])+SUMIF(LC_Elev[Panel Tag],$A569,LC_Elev[Total kVA])+SUMIF(LC_EV[Panel Tag],$A569,LC_EV[Total kVA])+SUMIF(LC_Data[Panel Tag],$A569,LC_Data[Total kVA])+SUMIF(LC_Site[Panel Tag],$A569,LC_Site[Total kVA])+SUMIF(LC_Fire[Panel Tag],$A569,LC_Fire[Total kVA])+SUMIF(LC_Process[Panel Tag],$A569,LC_Process[Total kVA]))</f>
        <v/>
      </c>
      <c r="D569" s="187"/>
      <c r="E569" s="188" t="str">
        <f t="shared" si="11"/>
        <v/>
      </c>
      <c r="F569" s="286" t="str">
        <f t="shared" si="12"/>
        <v/>
      </c>
      <c r="G569" s="284" t="str">
        <f t="shared" si="13"/>
        <v/>
      </c>
      <c r="H569" s="285"/>
    </row>
    <row r="570" spans="1:8" ht="15" customHeight="1" x14ac:dyDescent="0.45">
      <c r="A570" s="284"/>
      <c r="B570" s="285"/>
      <c r="C570" s="184" t="str">
        <f>IF(OR($A570="",LEFT($A570,1)="—"),"",SUMIF(LC_House[Panel Tag],$A570,LC_House[Total kVA])+SUMIF(LC_Dept[Panel Tag],$A570,LC_Dept[Total kVA])+SUMIF(LC_Refrig[Panel Tag],$A570,LC_Refrig[Total kVA])+SUMIF(LC_Mech[Panel Tag],$A570,LC_Mech[Total kVA])+SUMIF(LC_Plumb[Panel Tag],$A570,LC_Plumb[Total kVA])+SUMIF(LC_Kitchen[Panel Tag],$A570,LC_Kitchen[Total kVA])+SUMIF(LC_Elev[Panel Tag],$A570,LC_Elev[Total kVA])+SUMIF(LC_EV[Panel Tag],$A570,LC_EV[Total kVA])+SUMIF(LC_Data[Panel Tag],$A570,LC_Data[Total kVA])+SUMIF(LC_Site[Panel Tag],$A570,LC_Site[Total kVA])+SUMIF(LC_Fire[Panel Tag],$A570,LC_Fire[Total kVA])+SUMIF(LC_Process[Panel Tag],$A570,LC_Process[Total kVA]))</f>
        <v/>
      </c>
      <c r="D570" s="187"/>
      <c r="E570" s="188" t="str">
        <f t="shared" si="11"/>
        <v/>
      </c>
      <c r="F570" s="286" t="str">
        <f t="shared" si="12"/>
        <v/>
      </c>
      <c r="G570" s="284" t="str">
        <f t="shared" si="13"/>
        <v/>
      </c>
      <c r="H570" s="285"/>
    </row>
    <row r="571" spans="1:8" ht="15" customHeight="1" x14ac:dyDescent="0.45">
      <c r="A571" s="284"/>
      <c r="B571" s="285"/>
      <c r="C571" s="184" t="str">
        <f>IF(OR($A571="",LEFT($A571,1)="—"),"",SUMIF(LC_House[Panel Tag],$A571,LC_House[Total kVA])+SUMIF(LC_Dept[Panel Tag],$A571,LC_Dept[Total kVA])+SUMIF(LC_Refrig[Panel Tag],$A571,LC_Refrig[Total kVA])+SUMIF(LC_Mech[Panel Tag],$A571,LC_Mech[Total kVA])+SUMIF(LC_Plumb[Panel Tag],$A571,LC_Plumb[Total kVA])+SUMIF(LC_Kitchen[Panel Tag],$A571,LC_Kitchen[Total kVA])+SUMIF(LC_Elev[Panel Tag],$A571,LC_Elev[Total kVA])+SUMIF(LC_EV[Panel Tag],$A571,LC_EV[Total kVA])+SUMIF(LC_Data[Panel Tag],$A571,LC_Data[Total kVA])+SUMIF(LC_Site[Panel Tag],$A571,LC_Site[Total kVA])+SUMIF(LC_Fire[Panel Tag],$A571,LC_Fire[Total kVA])+SUMIF(LC_Process[Panel Tag],$A571,LC_Process[Total kVA]))</f>
        <v/>
      </c>
      <c r="D571" s="187"/>
      <c r="E571" s="188" t="str">
        <f t="shared" si="11"/>
        <v/>
      </c>
      <c r="F571" s="286" t="str">
        <f t="shared" si="12"/>
        <v/>
      </c>
      <c r="G571" s="284" t="str">
        <f t="shared" si="13"/>
        <v/>
      </c>
      <c r="H571" s="285"/>
    </row>
    <row r="572" spans="1:8" ht="15" customHeight="1" x14ac:dyDescent="0.45">
      <c r="A572" s="284"/>
      <c r="B572" s="285"/>
      <c r="C572" s="184" t="str">
        <f>IF(OR($A572="",LEFT($A572,1)="—"),"",SUMIF(LC_House[Panel Tag],$A572,LC_House[Total kVA])+SUMIF(LC_Dept[Panel Tag],$A572,LC_Dept[Total kVA])+SUMIF(LC_Refrig[Panel Tag],$A572,LC_Refrig[Total kVA])+SUMIF(LC_Mech[Panel Tag],$A572,LC_Mech[Total kVA])+SUMIF(LC_Plumb[Panel Tag],$A572,LC_Plumb[Total kVA])+SUMIF(LC_Kitchen[Panel Tag],$A572,LC_Kitchen[Total kVA])+SUMIF(LC_Elev[Panel Tag],$A572,LC_Elev[Total kVA])+SUMIF(LC_EV[Panel Tag],$A572,LC_EV[Total kVA])+SUMIF(LC_Data[Panel Tag],$A572,LC_Data[Total kVA])+SUMIF(LC_Site[Panel Tag],$A572,LC_Site[Total kVA])+SUMIF(LC_Fire[Panel Tag],$A572,LC_Fire[Total kVA])+SUMIF(LC_Process[Panel Tag],$A572,LC_Process[Total kVA]))</f>
        <v/>
      </c>
      <c r="D572" s="187"/>
      <c r="E572" s="188" t="str">
        <f t="shared" si="11"/>
        <v/>
      </c>
      <c r="F572" s="286" t="str">
        <f t="shared" si="12"/>
        <v/>
      </c>
      <c r="G572" s="284" t="str">
        <f t="shared" si="13"/>
        <v/>
      </c>
      <c r="H572" s="285"/>
    </row>
    <row r="573" spans="1:8" ht="15" customHeight="1" x14ac:dyDescent="0.45">
      <c r="A573" s="284"/>
      <c r="B573" s="285"/>
      <c r="C573" s="184" t="str">
        <f>IF(OR($A573="",LEFT($A573,1)="—"),"",SUMIF(LC_House[Panel Tag],$A573,LC_House[Total kVA])+SUMIF(LC_Dept[Panel Tag],$A573,LC_Dept[Total kVA])+SUMIF(LC_Refrig[Panel Tag],$A573,LC_Refrig[Total kVA])+SUMIF(LC_Mech[Panel Tag],$A573,LC_Mech[Total kVA])+SUMIF(LC_Plumb[Panel Tag],$A573,LC_Plumb[Total kVA])+SUMIF(LC_Kitchen[Panel Tag],$A573,LC_Kitchen[Total kVA])+SUMIF(LC_Elev[Panel Tag],$A573,LC_Elev[Total kVA])+SUMIF(LC_EV[Panel Tag],$A573,LC_EV[Total kVA])+SUMIF(LC_Data[Panel Tag],$A573,LC_Data[Total kVA])+SUMIF(LC_Site[Panel Tag],$A573,LC_Site[Total kVA])+SUMIF(LC_Fire[Panel Tag],$A573,LC_Fire[Total kVA])+SUMIF(LC_Process[Panel Tag],$A573,LC_Process[Total kVA]))</f>
        <v/>
      </c>
      <c r="D573" s="187"/>
      <c r="E573" s="188" t="str">
        <f t="shared" si="11"/>
        <v/>
      </c>
      <c r="F573" s="286" t="str">
        <f t="shared" si="12"/>
        <v/>
      </c>
      <c r="G573" s="284" t="str">
        <f t="shared" si="13"/>
        <v/>
      </c>
      <c r="H573" s="285"/>
    </row>
    <row r="574" spans="1:8" ht="15" customHeight="1" x14ac:dyDescent="0.45">
      <c r="A574" s="284"/>
      <c r="B574" s="285"/>
      <c r="C574" s="184" t="str">
        <f>IF(OR($A574="",LEFT($A574,1)="—"),"",SUMIF(LC_House[Panel Tag],$A574,LC_House[Total kVA])+SUMIF(LC_Dept[Panel Tag],$A574,LC_Dept[Total kVA])+SUMIF(LC_Refrig[Panel Tag],$A574,LC_Refrig[Total kVA])+SUMIF(LC_Mech[Panel Tag],$A574,LC_Mech[Total kVA])+SUMIF(LC_Plumb[Panel Tag],$A574,LC_Plumb[Total kVA])+SUMIF(LC_Kitchen[Panel Tag],$A574,LC_Kitchen[Total kVA])+SUMIF(LC_Elev[Panel Tag],$A574,LC_Elev[Total kVA])+SUMIF(LC_EV[Panel Tag],$A574,LC_EV[Total kVA])+SUMIF(LC_Data[Panel Tag],$A574,LC_Data[Total kVA])+SUMIF(LC_Site[Panel Tag],$A574,LC_Site[Total kVA])+SUMIF(LC_Fire[Panel Tag],$A574,LC_Fire[Total kVA])+SUMIF(LC_Process[Panel Tag],$A574,LC_Process[Total kVA]))</f>
        <v/>
      </c>
      <c r="D574" s="187"/>
      <c r="E574" s="188" t="str">
        <f t="shared" si="11"/>
        <v/>
      </c>
      <c r="F574" s="286" t="str">
        <f t="shared" si="12"/>
        <v/>
      </c>
      <c r="G574" s="284" t="str">
        <f t="shared" si="13"/>
        <v/>
      </c>
      <c r="H574" s="285"/>
    </row>
    <row r="575" spans="1:8" ht="15" customHeight="1" x14ac:dyDescent="0.45">
      <c r="A575" s="284"/>
      <c r="B575" s="285"/>
      <c r="C575" s="184" t="str">
        <f>IF(OR($A575="",LEFT($A575,1)="—"),"",SUMIF(LC_House[Panel Tag],$A575,LC_House[Total kVA])+SUMIF(LC_Dept[Panel Tag],$A575,LC_Dept[Total kVA])+SUMIF(LC_Refrig[Panel Tag],$A575,LC_Refrig[Total kVA])+SUMIF(LC_Mech[Panel Tag],$A575,LC_Mech[Total kVA])+SUMIF(LC_Plumb[Panel Tag],$A575,LC_Plumb[Total kVA])+SUMIF(LC_Kitchen[Panel Tag],$A575,LC_Kitchen[Total kVA])+SUMIF(LC_Elev[Panel Tag],$A575,LC_Elev[Total kVA])+SUMIF(LC_EV[Panel Tag],$A575,LC_EV[Total kVA])+SUMIF(LC_Data[Panel Tag],$A575,LC_Data[Total kVA])+SUMIF(LC_Site[Panel Tag],$A575,LC_Site[Total kVA])+SUMIF(LC_Fire[Panel Tag],$A575,LC_Fire[Total kVA])+SUMIF(LC_Process[Panel Tag],$A575,LC_Process[Total kVA]))</f>
        <v/>
      </c>
      <c r="D575" s="187"/>
      <c r="E575" s="188" t="str">
        <f t="shared" si="11"/>
        <v/>
      </c>
      <c r="F575" s="286" t="str">
        <f t="shared" si="12"/>
        <v/>
      </c>
      <c r="G575" s="284" t="str">
        <f t="shared" si="13"/>
        <v/>
      </c>
      <c r="H575" s="285"/>
    </row>
    <row r="576" spans="1:8" ht="15" customHeight="1" x14ac:dyDescent="0.45">
      <c r="A576" s="284"/>
      <c r="B576" s="285"/>
      <c r="C576" s="184" t="str">
        <f>IF(OR($A576="",LEFT($A576,1)="—"),"",SUMIF(LC_House[Panel Tag],$A576,LC_House[Total kVA])+SUMIF(LC_Dept[Panel Tag],$A576,LC_Dept[Total kVA])+SUMIF(LC_Refrig[Panel Tag],$A576,LC_Refrig[Total kVA])+SUMIF(LC_Mech[Panel Tag],$A576,LC_Mech[Total kVA])+SUMIF(LC_Plumb[Panel Tag],$A576,LC_Plumb[Total kVA])+SUMIF(LC_Kitchen[Panel Tag],$A576,LC_Kitchen[Total kVA])+SUMIF(LC_Elev[Panel Tag],$A576,LC_Elev[Total kVA])+SUMIF(LC_EV[Panel Tag],$A576,LC_EV[Total kVA])+SUMIF(LC_Data[Panel Tag],$A576,LC_Data[Total kVA])+SUMIF(LC_Site[Panel Tag],$A576,LC_Site[Total kVA])+SUMIF(LC_Fire[Panel Tag],$A576,LC_Fire[Total kVA])+SUMIF(LC_Process[Panel Tag],$A576,LC_Process[Total kVA]))</f>
        <v/>
      </c>
      <c r="D576" s="187"/>
      <c r="E576" s="188" t="str">
        <f t="shared" si="11"/>
        <v/>
      </c>
      <c r="F576" s="286" t="str">
        <f t="shared" si="12"/>
        <v/>
      </c>
      <c r="G576" s="284" t="str">
        <f t="shared" si="13"/>
        <v/>
      </c>
      <c r="H576" s="285"/>
    </row>
    <row r="577" spans="1:8" ht="15" customHeight="1" x14ac:dyDescent="0.45">
      <c r="A577" s="284"/>
      <c r="B577" s="285"/>
      <c r="C577" s="184" t="str">
        <f>IF(OR($A577="",LEFT($A577,1)="—"),"",SUMIF(LC_House[Panel Tag],$A577,LC_House[Total kVA])+SUMIF(LC_Dept[Panel Tag],$A577,LC_Dept[Total kVA])+SUMIF(LC_Refrig[Panel Tag],$A577,LC_Refrig[Total kVA])+SUMIF(LC_Mech[Panel Tag],$A577,LC_Mech[Total kVA])+SUMIF(LC_Plumb[Panel Tag],$A577,LC_Plumb[Total kVA])+SUMIF(LC_Kitchen[Panel Tag],$A577,LC_Kitchen[Total kVA])+SUMIF(LC_Elev[Panel Tag],$A577,LC_Elev[Total kVA])+SUMIF(LC_EV[Panel Tag],$A577,LC_EV[Total kVA])+SUMIF(LC_Data[Panel Tag],$A577,LC_Data[Total kVA])+SUMIF(LC_Site[Panel Tag],$A577,LC_Site[Total kVA])+SUMIF(LC_Fire[Panel Tag],$A577,LC_Fire[Total kVA])+SUMIF(LC_Process[Panel Tag],$A577,LC_Process[Total kVA]))</f>
        <v/>
      </c>
      <c r="D577" s="187"/>
      <c r="E577" s="188" t="str">
        <f t="shared" si="11"/>
        <v/>
      </c>
      <c r="F577" s="286" t="str">
        <f t="shared" si="12"/>
        <v/>
      </c>
      <c r="G577" s="284" t="str">
        <f t="shared" si="13"/>
        <v/>
      </c>
      <c r="H577" s="285"/>
    </row>
    <row r="578" spans="1:8" ht="15" customHeight="1" x14ac:dyDescent="0.45">
      <c r="A578" s="284"/>
      <c r="B578" s="285"/>
      <c r="C578" s="184" t="str">
        <f>IF(OR($A578="",LEFT($A578,1)="—"),"",SUMIF(LC_House[Panel Tag],$A578,LC_House[Total kVA])+SUMIF(LC_Dept[Panel Tag],$A578,LC_Dept[Total kVA])+SUMIF(LC_Refrig[Panel Tag],$A578,LC_Refrig[Total kVA])+SUMIF(LC_Mech[Panel Tag],$A578,LC_Mech[Total kVA])+SUMIF(LC_Plumb[Panel Tag],$A578,LC_Plumb[Total kVA])+SUMIF(LC_Kitchen[Panel Tag],$A578,LC_Kitchen[Total kVA])+SUMIF(LC_Elev[Panel Tag],$A578,LC_Elev[Total kVA])+SUMIF(LC_EV[Panel Tag],$A578,LC_EV[Total kVA])+SUMIF(LC_Data[Panel Tag],$A578,LC_Data[Total kVA])+SUMIF(LC_Site[Panel Tag],$A578,LC_Site[Total kVA])+SUMIF(LC_Fire[Panel Tag],$A578,LC_Fire[Total kVA])+SUMIF(LC_Process[Panel Tag],$A578,LC_Process[Total kVA]))</f>
        <v/>
      </c>
      <c r="D578" s="187"/>
      <c r="E578" s="188" t="str">
        <f t="shared" si="11"/>
        <v/>
      </c>
      <c r="F578" s="286" t="str">
        <f t="shared" si="12"/>
        <v/>
      </c>
      <c r="G578" s="284" t="str">
        <f t="shared" si="13"/>
        <v/>
      </c>
      <c r="H578" s="285"/>
    </row>
    <row r="579" spans="1:8" ht="15" customHeight="1" x14ac:dyDescent="0.45">
      <c r="A579" s="284"/>
      <c r="B579" s="285"/>
      <c r="C579" s="184" t="str">
        <f>IF(OR($A579="",LEFT($A579,1)="—"),"",SUMIF(LC_House[Panel Tag],$A579,LC_House[Total kVA])+SUMIF(LC_Dept[Panel Tag],$A579,LC_Dept[Total kVA])+SUMIF(LC_Refrig[Panel Tag],$A579,LC_Refrig[Total kVA])+SUMIF(LC_Mech[Panel Tag],$A579,LC_Mech[Total kVA])+SUMIF(LC_Plumb[Panel Tag],$A579,LC_Plumb[Total kVA])+SUMIF(LC_Kitchen[Panel Tag],$A579,LC_Kitchen[Total kVA])+SUMIF(LC_Elev[Panel Tag],$A579,LC_Elev[Total kVA])+SUMIF(LC_EV[Panel Tag],$A579,LC_EV[Total kVA])+SUMIF(LC_Data[Panel Tag],$A579,LC_Data[Total kVA])+SUMIF(LC_Site[Panel Tag],$A579,LC_Site[Total kVA])+SUMIF(LC_Fire[Panel Tag],$A579,LC_Fire[Total kVA])+SUMIF(LC_Process[Panel Tag],$A579,LC_Process[Total kVA]))</f>
        <v/>
      </c>
      <c r="D579" s="187"/>
      <c r="E579" s="188" t="str">
        <f t="shared" si="11"/>
        <v/>
      </c>
      <c r="F579" s="286" t="str">
        <f t="shared" si="12"/>
        <v/>
      </c>
      <c r="G579" s="284" t="str">
        <f t="shared" si="13"/>
        <v/>
      </c>
      <c r="H579" s="285"/>
    </row>
    <row r="580" spans="1:8" ht="15" customHeight="1" x14ac:dyDescent="0.45">
      <c r="A580" s="284"/>
      <c r="B580" s="285"/>
      <c r="C580" s="184" t="str">
        <f>IF(OR($A580="",LEFT($A580,1)="—"),"",SUMIF(LC_House[Panel Tag],$A580,LC_House[Total kVA])+SUMIF(LC_Dept[Panel Tag],$A580,LC_Dept[Total kVA])+SUMIF(LC_Refrig[Panel Tag],$A580,LC_Refrig[Total kVA])+SUMIF(LC_Mech[Panel Tag],$A580,LC_Mech[Total kVA])+SUMIF(LC_Plumb[Panel Tag],$A580,LC_Plumb[Total kVA])+SUMIF(LC_Kitchen[Panel Tag],$A580,LC_Kitchen[Total kVA])+SUMIF(LC_Elev[Panel Tag],$A580,LC_Elev[Total kVA])+SUMIF(LC_EV[Panel Tag],$A580,LC_EV[Total kVA])+SUMIF(LC_Data[Panel Tag],$A580,LC_Data[Total kVA])+SUMIF(LC_Site[Panel Tag],$A580,LC_Site[Total kVA])+SUMIF(LC_Fire[Panel Tag],$A580,LC_Fire[Total kVA])+SUMIF(LC_Process[Panel Tag],$A580,LC_Process[Total kVA]))</f>
        <v/>
      </c>
      <c r="D580" s="187"/>
      <c r="E580" s="188" t="str">
        <f t="shared" si="11"/>
        <v/>
      </c>
      <c r="F580" s="286" t="str">
        <f t="shared" si="12"/>
        <v/>
      </c>
      <c r="G580" s="284" t="str">
        <f t="shared" si="13"/>
        <v/>
      </c>
      <c r="H580" s="285"/>
    </row>
    <row r="581" spans="1:8" ht="15" customHeight="1" x14ac:dyDescent="0.45">
      <c r="A581" s="284"/>
      <c r="B581" s="285"/>
      <c r="C581" s="184" t="str">
        <f>IF(OR($A581="",LEFT($A581,1)="—"),"",SUMIF(LC_House[Panel Tag],$A581,LC_House[Total kVA])+SUMIF(LC_Dept[Panel Tag],$A581,LC_Dept[Total kVA])+SUMIF(LC_Refrig[Panel Tag],$A581,LC_Refrig[Total kVA])+SUMIF(LC_Mech[Panel Tag],$A581,LC_Mech[Total kVA])+SUMIF(LC_Plumb[Panel Tag],$A581,LC_Plumb[Total kVA])+SUMIF(LC_Kitchen[Panel Tag],$A581,LC_Kitchen[Total kVA])+SUMIF(LC_Elev[Panel Tag],$A581,LC_Elev[Total kVA])+SUMIF(LC_EV[Panel Tag],$A581,LC_EV[Total kVA])+SUMIF(LC_Data[Panel Tag],$A581,LC_Data[Total kVA])+SUMIF(LC_Site[Panel Tag],$A581,LC_Site[Total kVA])+SUMIF(LC_Fire[Panel Tag],$A581,LC_Fire[Total kVA])+SUMIF(LC_Process[Panel Tag],$A581,LC_Process[Total kVA]))</f>
        <v/>
      </c>
      <c r="D581" s="187"/>
      <c r="E581" s="188" t="str">
        <f t="shared" si="11"/>
        <v/>
      </c>
      <c r="F581" s="286" t="str">
        <f t="shared" si="12"/>
        <v/>
      </c>
      <c r="G581" s="284" t="str">
        <f t="shared" si="13"/>
        <v/>
      </c>
      <c r="H581" s="285"/>
    </row>
    <row r="582" spans="1:8" ht="15" customHeight="1" x14ac:dyDescent="0.45">
      <c r="A582" s="284"/>
      <c r="B582" s="285"/>
      <c r="C582" s="184" t="str">
        <f>IF(OR($A582="",LEFT($A582,1)="—"),"",SUMIF(LC_House[Panel Tag],$A582,LC_House[Total kVA])+SUMIF(LC_Dept[Panel Tag],$A582,LC_Dept[Total kVA])+SUMIF(LC_Refrig[Panel Tag],$A582,LC_Refrig[Total kVA])+SUMIF(LC_Mech[Panel Tag],$A582,LC_Mech[Total kVA])+SUMIF(LC_Plumb[Panel Tag],$A582,LC_Plumb[Total kVA])+SUMIF(LC_Kitchen[Panel Tag],$A582,LC_Kitchen[Total kVA])+SUMIF(LC_Elev[Panel Tag],$A582,LC_Elev[Total kVA])+SUMIF(LC_EV[Panel Tag],$A582,LC_EV[Total kVA])+SUMIF(LC_Data[Panel Tag],$A582,LC_Data[Total kVA])+SUMIF(LC_Site[Panel Tag],$A582,LC_Site[Total kVA])+SUMIF(LC_Fire[Panel Tag],$A582,LC_Fire[Total kVA])+SUMIF(LC_Process[Panel Tag],$A582,LC_Process[Total kVA]))</f>
        <v/>
      </c>
      <c r="D582" s="187"/>
      <c r="E582" s="188" t="str">
        <f t="shared" si="11"/>
        <v/>
      </c>
      <c r="F582" s="286" t="str">
        <f t="shared" si="12"/>
        <v/>
      </c>
      <c r="G582" s="284" t="str">
        <f t="shared" si="13"/>
        <v/>
      </c>
      <c r="H582" s="285"/>
    </row>
    <row r="583" spans="1:8" ht="15" customHeight="1" x14ac:dyDescent="0.45">
      <c r="A583" s="284"/>
      <c r="B583" s="285"/>
      <c r="C583" s="184" t="str">
        <f>IF(OR($A583="",LEFT($A583,1)="—"),"",SUMIF(LC_House[Panel Tag],$A583,LC_House[Total kVA])+SUMIF(LC_Dept[Panel Tag],$A583,LC_Dept[Total kVA])+SUMIF(LC_Refrig[Panel Tag],$A583,LC_Refrig[Total kVA])+SUMIF(LC_Mech[Panel Tag],$A583,LC_Mech[Total kVA])+SUMIF(LC_Plumb[Panel Tag],$A583,LC_Plumb[Total kVA])+SUMIF(LC_Kitchen[Panel Tag],$A583,LC_Kitchen[Total kVA])+SUMIF(LC_Elev[Panel Tag],$A583,LC_Elev[Total kVA])+SUMIF(LC_EV[Panel Tag],$A583,LC_EV[Total kVA])+SUMIF(LC_Data[Panel Tag],$A583,LC_Data[Total kVA])+SUMIF(LC_Site[Panel Tag],$A583,LC_Site[Total kVA])+SUMIF(LC_Fire[Panel Tag],$A583,LC_Fire[Total kVA])+SUMIF(LC_Process[Panel Tag],$A583,LC_Process[Total kVA]))</f>
        <v/>
      </c>
      <c r="D583" s="187"/>
      <c r="E583" s="188" t="str">
        <f t="shared" si="11"/>
        <v/>
      </c>
      <c r="F583" s="286" t="str">
        <f t="shared" si="12"/>
        <v/>
      </c>
      <c r="G583" s="284" t="str">
        <f t="shared" si="13"/>
        <v/>
      </c>
      <c r="H583" s="285"/>
    </row>
    <row r="584" spans="1:8" ht="15" customHeight="1" x14ac:dyDescent="0.45">
      <c r="A584" s="284"/>
      <c r="B584" s="285"/>
      <c r="C584" s="184" t="str">
        <f>IF(OR($A584="",LEFT($A584,1)="—"),"",SUMIF(LC_House[Panel Tag],$A584,LC_House[Total kVA])+SUMIF(LC_Dept[Panel Tag],$A584,LC_Dept[Total kVA])+SUMIF(LC_Refrig[Panel Tag],$A584,LC_Refrig[Total kVA])+SUMIF(LC_Mech[Panel Tag],$A584,LC_Mech[Total kVA])+SUMIF(LC_Plumb[Panel Tag],$A584,LC_Plumb[Total kVA])+SUMIF(LC_Kitchen[Panel Tag],$A584,LC_Kitchen[Total kVA])+SUMIF(LC_Elev[Panel Tag],$A584,LC_Elev[Total kVA])+SUMIF(LC_EV[Panel Tag],$A584,LC_EV[Total kVA])+SUMIF(LC_Data[Panel Tag],$A584,LC_Data[Total kVA])+SUMIF(LC_Site[Panel Tag],$A584,LC_Site[Total kVA])+SUMIF(LC_Fire[Panel Tag],$A584,LC_Fire[Total kVA])+SUMIF(LC_Process[Panel Tag],$A584,LC_Process[Total kVA]))</f>
        <v/>
      </c>
      <c r="D584" s="187"/>
      <c r="E584" s="188" t="str">
        <f t="shared" si="11"/>
        <v/>
      </c>
      <c r="F584" s="286" t="str">
        <f t="shared" si="12"/>
        <v/>
      </c>
      <c r="G584" s="284" t="str">
        <f t="shared" si="13"/>
        <v/>
      </c>
      <c r="H584" s="285"/>
    </row>
    <row r="585" spans="1:8" ht="15" customHeight="1" x14ac:dyDescent="0.45">
      <c r="A585" s="284"/>
      <c r="B585" s="285"/>
      <c r="C585" s="184" t="str">
        <f>IF(OR($A585="",LEFT($A585,1)="—"),"",SUMIF(LC_House[Panel Tag],$A585,LC_House[Total kVA])+SUMIF(LC_Dept[Panel Tag],$A585,LC_Dept[Total kVA])+SUMIF(LC_Refrig[Panel Tag],$A585,LC_Refrig[Total kVA])+SUMIF(LC_Mech[Panel Tag],$A585,LC_Mech[Total kVA])+SUMIF(LC_Plumb[Panel Tag],$A585,LC_Plumb[Total kVA])+SUMIF(LC_Kitchen[Panel Tag],$A585,LC_Kitchen[Total kVA])+SUMIF(LC_Elev[Panel Tag],$A585,LC_Elev[Total kVA])+SUMIF(LC_EV[Panel Tag],$A585,LC_EV[Total kVA])+SUMIF(LC_Data[Panel Tag],$A585,LC_Data[Total kVA])+SUMIF(LC_Site[Panel Tag],$A585,LC_Site[Total kVA])+SUMIF(LC_Fire[Panel Tag],$A585,LC_Fire[Total kVA])+SUMIF(LC_Process[Panel Tag],$A585,LC_Process[Total kVA]))</f>
        <v/>
      </c>
      <c r="D585" s="187"/>
      <c r="E585" s="188" t="str">
        <f t="shared" si="11"/>
        <v/>
      </c>
      <c r="F585" s="286" t="str">
        <f t="shared" si="12"/>
        <v/>
      </c>
      <c r="G585" s="284" t="str">
        <f t="shared" si="13"/>
        <v/>
      </c>
      <c r="H585" s="285"/>
    </row>
    <row r="586" spans="1:8" ht="15" customHeight="1" x14ac:dyDescent="0.45">
      <c r="A586" s="284"/>
      <c r="B586" s="285"/>
      <c r="C586" s="184" t="str">
        <f>IF(OR($A586="",LEFT($A586,1)="—"),"",SUMIF(LC_House[Panel Tag],$A586,LC_House[Total kVA])+SUMIF(LC_Dept[Panel Tag],$A586,LC_Dept[Total kVA])+SUMIF(LC_Refrig[Panel Tag],$A586,LC_Refrig[Total kVA])+SUMIF(LC_Mech[Panel Tag],$A586,LC_Mech[Total kVA])+SUMIF(LC_Plumb[Panel Tag],$A586,LC_Plumb[Total kVA])+SUMIF(LC_Kitchen[Panel Tag],$A586,LC_Kitchen[Total kVA])+SUMIF(LC_Elev[Panel Tag],$A586,LC_Elev[Total kVA])+SUMIF(LC_EV[Panel Tag],$A586,LC_EV[Total kVA])+SUMIF(LC_Data[Panel Tag],$A586,LC_Data[Total kVA])+SUMIF(LC_Site[Panel Tag],$A586,LC_Site[Total kVA])+SUMIF(LC_Fire[Panel Tag],$A586,LC_Fire[Total kVA])+SUMIF(LC_Process[Panel Tag],$A586,LC_Process[Total kVA]))</f>
        <v/>
      </c>
      <c r="D586" s="187"/>
      <c r="E586" s="188" t="str">
        <f t="shared" si="11"/>
        <v/>
      </c>
      <c r="F586" s="286" t="str">
        <f t="shared" si="12"/>
        <v/>
      </c>
      <c r="G586" s="284" t="str">
        <f t="shared" si="13"/>
        <v/>
      </c>
      <c r="H586" s="285"/>
    </row>
    <row r="587" spans="1:8" ht="15" customHeight="1" x14ac:dyDescent="0.45">
      <c r="A587" s="284"/>
      <c r="B587" s="285"/>
      <c r="C587" s="184" t="str">
        <f>IF(OR($A587="",LEFT($A587,1)="—"),"",SUMIF(LC_House[Panel Tag],$A587,LC_House[Total kVA])+SUMIF(LC_Dept[Panel Tag],$A587,LC_Dept[Total kVA])+SUMIF(LC_Refrig[Panel Tag],$A587,LC_Refrig[Total kVA])+SUMIF(LC_Mech[Panel Tag],$A587,LC_Mech[Total kVA])+SUMIF(LC_Plumb[Panel Tag],$A587,LC_Plumb[Total kVA])+SUMIF(LC_Kitchen[Panel Tag],$A587,LC_Kitchen[Total kVA])+SUMIF(LC_Elev[Panel Tag],$A587,LC_Elev[Total kVA])+SUMIF(LC_EV[Panel Tag],$A587,LC_EV[Total kVA])+SUMIF(LC_Data[Panel Tag],$A587,LC_Data[Total kVA])+SUMIF(LC_Site[Panel Tag],$A587,LC_Site[Total kVA])+SUMIF(LC_Fire[Panel Tag],$A587,LC_Fire[Total kVA])+SUMIF(LC_Process[Panel Tag],$A587,LC_Process[Total kVA]))</f>
        <v/>
      </c>
      <c r="D587" s="187"/>
      <c r="E587" s="188" t="str">
        <f t="shared" si="11"/>
        <v/>
      </c>
      <c r="F587" s="286" t="str">
        <f t="shared" si="12"/>
        <v/>
      </c>
      <c r="G587" s="284" t="str">
        <f t="shared" si="13"/>
        <v/>
      </c>
      <c r="H587" s="285"/>
    </row>
    <row r="588" spans="1:8" ht="15" customHeight="1" x14ac:dyDescent="0.45">
      <c r="A588" s="284"/>
      <c r="B588" s="285"/>
      <c r="C588" s="184" t="str">
        <f>IF(OR($A588="",LEFT($A588,1)="—"),"",SUMIF(LC_House[Panel Tag],$A588,LC_House[Total kVA])+SUMIF(LC_Dept[Panel Tag],$A588,LC_Dept[Total kVA])+SUMIF(LC_Refrig[Panel Tag],$A588,LC_Refrig[Total kVA])+SUMIF(LC_Mech[Panel Tag],$A588,LC_Mech[Total kVA])+SUMIF(LC_Plumb[Panel Tag],$A588,LC_Plumb[Total kVA])+SUMIF(LC_Kitchen[Panel Tag],$A588,LC_Kitchen[Total kVA])+SUMIF(LC_Elev[Panel Tag],$A588,LC_Elev[Total kVA])+SUMIF(LC_EV[Panel Tag],$A588,LC_EV[Total kVA])+SUMIF(LC_Data[Panel Tag],$A588,LC_Data[Total kVA])+SUMIF(LC_Site[Panel Tag],$A588,LC_Site[Total kVA])+SUMIF(LC_Fire[Panel Tag],$A588,LC_Fire[Total kVA])+SUMIF(LC_Process[Panel Tag],$A588,LC_Process[Total kVA]))</f>
        <v/>
      </c>
      <c r="D588" s="187"/>
      <c r="E588" s="188" t="str">
        <f t="shared" si="11"/>
        <v/>
      </c>
      <c r="F588" s="286" t="str">
        <f t="shared" si="12"/>
        <v/>
      </c>
      <c r="G588" s="284" t="str">
        <f t="shared" si="13"/>
        <v/>
      </c>
      <c r="H588" s="285"/>
    </row>
    <row r="589" spans="1:8" ht="15" customHeight="1" x14ac:dyDescent="0.45">
      <c r="A589" s="284"/>
      <c r="B589" s="285"/>
      <c r="C589" s="184" t="str">
        <f>IF(OR($A589="",LEFT($A589,1)="—"),"",SUMIF(LC_House[Panel Tag],$A589,LC_House[Total kVA])+SUMIF(LC_Dept[Panel Tag],$A589,LC_Dept[Total kVA])+SUMIF(LC_Refrig[Panel Tag],$A589,LC_Refrig[Total kVA])+SUMIF(LC_Mech[Panel Tag],$A589,LC_Mech[Total kVA])+SUMIF(LC_Plumb[Panel Tag],$A589,LC_Plumb[Total kVA])+SUMIF(LC_Kitchen[Panel Tag],$A589,LC_Kitchen[Total kVA])+SUMIF(LC_Elev[Panel Tag],$A589,LC_Elev[Total kVA])+SUMIF(LC_EV[Panel Tag],$A589,LC_EV[Total kVA])+SUMIF(LC_Data[Panel Tag],$A589,LC_Data[Total kVA])+SUMIF(LC_Site[Panel Tag],$A589,LC_Site[Total kVA])+SUMIF(LC_Fire[Panel Tag],$A589,LC_Fire[Total kVA])+SUMIF(LC_Process[Panel Tag],$A589,LC_Process[Total kVA]))</f>
        <v/>
      </c>
      <c r="D589" s="187"/>
      <c r="E589" s="188" t="str">
        <f t="shared" si="11"/>
        <v/>
      </c>
      <c r="F589" s="286" t="str">
        <f t="shared" si="12"/>
        <v/>
      </c>
      <c r="G589" s="284" t="str">
        <f t="shared" si="13"/>
        <v/>
      </c>
      <c r="H589" s="285"/>
    </row>
    <row r="590" spans="1:8" ht="15" customHeight="1" x14ac:dyDescent="0.45">
      <c r="A590" s="284"/>
      <c r="B590" s="285"/>
      <c r="C590" s="184" t="str">
        <f>IF(OR($A590="",LEFT($A590,1)="—"),"",SUMIF(LC_House[Panel Tag],$A590,LC_House[Total kVA])+SUMIF(LC_Dept[Panel Tag],$A590,LC_Dept[Total kVA])+SUMIF(LC_Refrig[Panel Tag],$A590,LC_Refrig[Total kVA])+SUMIF(LC_Mech[Panel Tag],$A590,LC_Mech[Total kVA])+SUMIF(LC_Plumb[Panel Tag],$A590,LC_Plumb[Total kVA])+SUMIF(LC_Kitchen[Panel Tag],$A590,LC_Kitchen[Total kVA])+SUMIF(LC_Elev[Panel Tag],$A590,LC_Elev[Total kVA])+SUMIF(LC_EV[Panel Tag],$A590,LC_EV[Total kVA])+SUMIF(LC_Data[Panel Tag],$A590,LC_Data[Total kVA])+SUMIF(LC_Site[Panel Tag],$A590,LC_Site[Total kVA])+SUMIF(LC_Fire[Panel Tag],$A590,LC_Fire[Total kVA])+SUMIF(LC_Process[Panel Tag],$A590,LC_Process[Total kVA]))</f>
        <v/>
      </c>
      <c r="D590" s="187"/>
      <c r="E590" s="188" t="str">
        <f t="shared" si="11"/>
        <v/>
      </c>
      <c r="F590" s="286" t="str">
        <f t="shared" si="12"/>
        <v/>
      </c>
      <c r="G590" s="284" t="str">
        <f t="shared" si="13"/>
        <v/>
      </c>
      <c r="H590" s="285"/>
    </row>
    <row r="591" spans="1:8" ht="15" customHeight="1" x14ac:dyDescent="0.45">
      <c r="A591" s="284"/>
      <c r="B591" s="285"/>
      <c r="C591" s="184" t="str">
        <f>IF(OR($A591="",LEFT($A591,1)="—"),"",SUMIF(LC_House[Panel Tag],$A591,LC_House[Total kVA])+SUMIF(LC_Dept[Panel Tag],$A591,LC_Dept[Total kVA])+SUMIF(LC_Refrig[Panel Tag],$A591,LC_Refrig[Total kVA])+SUMIF(LC_Mech[Panel Tag],$A591,LC_Mech[Total kVA])+SUMIF(LC_Plumb[Panel Tag],$A591,LC_Plumb[Total kVA])+SUMIF(LC_Kitchen[Panel Tag],$A591,LC_Kitchen[Total kVA])+SUMIF(LC_Elev[Panel Tag],$A591,LC_Elev[Total kVA])+SUMIF(LC_EV[Panel Tag],$A591,LC_EV[Total kVA])+SUMIF(LC_Data[Panel Tag],$A591,LC_Data[Total kVA])+SUMIF(LC_Site[Panel Tag],$A591,LC_Site[Total kVA])+SUMIF(LC_Fire[Panel Tag],$A591,LC_Fire[Total kVA])+SUMIF(LC_Process[Panel Tag],$A591,LC_Process[Total kVA]))</f>
        <v/>
      </c>
      <c r="D591" s="187"/>
      <c r="E591" s="188" t="str">
        <f t="shared" si="11"/>
        <v/>
      </c>
      <c r="F591" s="286" t="str">
        <f t="shared" si="12"/>
        <v/>
      </c>
      <c r="G591" s="284" t="str">
        <f t="shared" si="13"/>
        <v/>
      </c>
      <c r="H591" s="285"/>
    </row>
    <row r="592" spans="1:8" ht="15" customHeight="1" x14ac:dyDescent="0.45">
      <c r="A592" s="284"/>
      <c r="B592" s="285"/>
      <c r="C592" s="184" t="str">
        <f>IF(OR($A592="",LEFT($A592,1)="—"),"",SUMIF(LC_House[Panel Tag],$A592,LC_House[Total kVA])+SUMIF(LC_Dept[Panel Tag],$A592,LC_Dept[Total kVA])+SUMIF(LC_Refrig[Panel Tag],$A592,LC_Refrig[Total kVA])+SUMIF(LC_Mech[Panel Tag],$A592,LC_Mech[Total kVA])+SUMIF(LC_Plumb[Panel Tag],$A592,LC_Plumb[Total kVA])+SUMIF(LC_Kitchen[Panel Tag],$A592,LC_Kitchen[Total kVA])+SUMIF(LC_Elev[Panel Tag],$A592,LC_Elev[Total kVA])+SUMIF(LC_EV[Panel Tag],$A592,LC_EV[Total kVA])+SUMIF(LC_Data[Panel Tag],$A592,LC_Data[Total kVA])+SUMIF(LC_Site[Panel Tag],$A592,LC_Site[Total kVA])+SUMIF(LC_Fire[Panel Tag],$A592,LC_Fire[Total kVA])+SUMIF(LC_Process[Panel Tag],$A592,LC_Process[Total kVA]))</f>
        <v/>
      </c>
      <c r="D592" s="187"/>
      <c r="E592" s="188" t="str">
        <f t="shared" si="11"/>
        <v/>
      </c>
      <c r="F592" s="286" t="str">
        <f t="shared" si="12"/>
        <v/>
      </c>
      <c r="G592" s="284" t="str">
        <f t="shared" si="13"/>
        <v/>
      </c>
      <c r="H592" s="285"/>
    </row>
    <row r="593" spans="1:8" ht="15" customHeight="1" x14ac:dyDescent="0.45">
      <c r="A593" s="284"/>
      <c r="B593" s="285"/>
      <c r="C593" s="184" t="str">
        <f>IF(OR($A593="",LEFT($A593,1)="—"),"",SUMIF(LC_House[Panel Tag],$A593,LC_House[Total kVA])+SUMIF(LC_Dept[Panel Tag],$A593,LC_Dept[Total kVA])+SUMIF(LC_Refrig[Panel Tag],$A593,LC_Refrig[Total kVA])+SUMIF(LC_Mech[Panel Tag],$A593,LC_Mech[Total kVA])+SUMIF(LC_Plumb[Panel Tag],$A593,LC_Plumb[Total kVA])+SUMIF(LC_Kitchen[Panel Tag],$A593,LC_Kitchen[Total kVA])+SUMIF(LC_Elev[Panel Tag],$A593,LC_Elev[Total kVA])+SUMIF(LC_EV[Panel Tag],$A593,LC_EV[Total kVA])+SUMIF(LC_Data[Panel Tag],$A593,LC_Data[Total kVA])+SUMIF(LC_Site[Panel Tag],$A593,LC_Site[Total kVA])+SUMIF(LC_Fire[Panel Tag],$A593,LC_Fire[Total kVA])+SUMIF(LC_Process[Panel Tag],$A593,LC_Process[Total kVA]))</f>
        <v/>
      </c>
      <c r="D593" s="187"/>
      <c r="E593" s="188" t="str">
        <f t="shared" si="11"/>
        <v/>
      </c>
      <c r="F593" s="286" t="str">
        <f t="shared" si="12"/>
        <v/>
      </c>
      <c r="G593" s="284" t="str">
        <f t="shared" si="13"/>
        <v/>
      </c>
      <c r="H593" s="285"/>
    </row>
    <row r="594" spans="1:8" ht="15" customHeight="1" x14ac:dyDescent="0.45">
      <c r="A594" s="284"/>
      <c r="B594" s="285"/>
      <c r="C594" s="184" t="str">
        <f>IF(OR($A594="",LEFT($A594,1)="—"),"",SUMIF(LC_House[Panel Tag],$A594,LC_House[Total kVA])+SUMIF(LC_Dept[Panel Tag],$A594,LC_Dept[Total kVA])+SUMIF(LC_Refrig[Panel Tag],$A594,LC_Refrig[Total kVA])+SUMIF(LC_Mech[Panel Tag],$A594,LC_Mech[Total kVA])+SUMIF(LC_Plumb[Panel Tag],$A594,LC_Plumb[Total kVA])+SUMIF(LC_Kitchen[Panel Tag],$A594,LC_Kitchen[Total kVA])+SUMIF(LC_Elev[Panel Tag],$A594,LC_Elev[Total kVA])+SUMIF(LC_EV[Panel Tag],$A594,LC_EV[Total kVA])+SUMIF(LC_Data[Panel Tag],$A594,LC_Data[Total kVA])+SUMIF(LC_Site[Panel Tag],$A594,LC_Site[Total kVA])+SUMIF(LC_Fire[Panel Tag],$A594,LC_Fire[Total kVA])+SUMIF(LC_Process[Panel Tag],$A594,LC_Process[Total kVA]))</f>
        <v/>
      </c>
      <c r="D594" s="187"/>
      <c r="E594" s="188" t="str">
        <f t="shared" si="11"/>
        <v/>
      </c>
      <c r="F594" s="286" t="str">
        <f t="shared" si="12"/>
        <v/>
      </c>
      <c r="G594" s="284" t="str">
        <f t="shared" si="13"/>
        <v/>
      </c>
      <c r="H594" s="285"/>
    </row>
    <row r="595" spans="1:8" ht="15" customHeight="1" x14ac:dyDescent="0.45">
      <c r="A595" s="284"/>
      <c r="B595" s="285"/>
      <c r="C595" s="184" t="str">
        <f>IF(OR($A595="",LEFT($A595,1)="—"),"",SUMIF(LC_House[Panel Tag],$A595,LC_House[Total kVA])+SUMIF(LC_Dept[Panel Tag],$A595,LC_Dept[Total kVA])+SUMIF(LC_Refrig[Panel Tag],$A595,LC_Refrig[Total kVA])+SUMIF(LC_Mech[Panel Tag],$A595,LC_Mech[Total kVA])+SUMIF(LC_Plumb[Panel Tag],$A595,LC_Plumb[Total kVA])+SUMIF(LC_Kitchen[Panel Tag],$A595,LC_Kitchen[Total kVA])+SUMIF(LC_Elev[Panel Tag],$A595,LC_Elev[Total kVA])+SUMIF(LC_EV[Panel Tag],$A595,LC_EV[Total kVA])+SUMIF(LC_Data[Panel Tag],$A595,LC_Data[Total kVA])+SUMIF(LC_Site[Panel Tag],$A595,LC_Site[Total kVA])+SUMIF(LC_Fire[Panel Tag],$A595,LC_Fire[Total kVA])+SUMIF(LC_Process[Panel Tag],$A595,LC_Process[Total kVA]))</f>
        <v/>
      </c>
      <c r="D595" s="187"/>
      <c r="E595" s="188" t="str">
        <f t="shared" si="11"/>
        <v/>
      </c>
      <c r="F595" s="286" t="str">
        <f t="shared" si="12"/>
        <v/>
      </c>
      <c r="G595" s="284" t="str">
        <f t="shared" si="13"/>
        <v/>
      </c>
      <c r="H595" s="285"/>
    </row>
    <row r="596" spans="1:8" ht="15" customHeight="1" x14ac:dyDescent="0.45">
      <c r="A596" s="284"/>
      <c r="B596" s="285"/>
      <c r="C596" s="184" t="str">
        <f>IF(OR($A596="",LEFT($A596,1)="—"),"",SUMIF(LC_House[Panel Tag],$A596,LC_House[Total kVA])+SUMIF(LC_Dept[Panel Tag],$A596,LC_Dept[Total kVA])+SUMIF(LC_Refrig[Panel Tag],$A596,LC_Refrig[Total kVA])+SUMIF(LC_Mech[Panel Tag],$A596,LC_Mech[Total kVA])+SUMIF(LC_Plumb[Panel Tag],$A596,LC_Plumb[Total kVA])+SUMIF(LC_Kitchen[Panel Tag],$A596,LC_Kitchen[Total kVA])+SUMIF(LC_Elev[Panel Tag],$A596,LC_Elev[Total kVA])+SUMIF(LC_EV[Panel Tag],$A596,LC_EV[Total kVA])+SUMIF(LC_Data[Panel Tag],$A596,LC_Data[Total kVA])+SUMIF(LC_Site[Panel Tag],$A596,LC_Site[Total kVA])+SUMIF(LC_Fire[Panel Tag],$A596,LC_Fire[Total kVA])+SUMIF(LC_Process[Panel Tag],$A596,LC_Process[Total kVA]))</f>
        <v/>
      </c>
      <c r="D596" s="187"/>
      <c r="E596" s="188" t="str">
        <f t="shared" si="11"/>
        <v/>
      </c>
      <c r="F596" s="286" t="str">
        <f t="shared" si="12"/>
        <v/>
      </c>
      <c r="G596" s="284" t="str">
        <f t="shared" si="13"/>
        <v/>
      </c>
      <c r="H596" s="285"/>
    </row>
    <row r="597" spans="1:8" ht="15" customHeight="1" x14ac:dyDescent="0.45">
      <c r="A597" s="284"/>
      <c r="B597" s="285"/>
      <c r="C597" s="184" t="str">
        <f>IF(OR($A597="",LEFT($A597,1)="—"),"",SUMIF(LC_House[Panel Tag],$A597,LC_House[Total kVA])+SUMIF(LC_Dept[Panel Tag],$A597,LC_Dept[Total kVA])+SUMIF(LC_Refrig[Panel Tag],$A597,LC_Refrig[Total kVA])+SUMIF(LC_Mech[Panel Tag],$A597,LC_Mech[Total kVA])+SUMIF(LC_Plumb[Panel Tag],$A597,LC_Plumb[Total kVA])+SUMIF(LC_Kitchen[Panel Tag],$A597,LC_Kitchen[Total kVA])+SUMIF(LC_Elev[Panel Tag],$A597,LC_Elev[Total kVA])+SUMIF(LC_EV[Panel Tag],$A597,LC_EV[Total kVA])+SUMIF(LC_Data[Panel Tag],$A597,LC_Data[Total kVA])+SUMIF(LC_Site[Panel Tag],$A597,LC_Site[Total kVA])+SUMIF(LC_Fire[Panel Tag],$A597,LC_Fire[Total kVA])+SUMIF(LC_Process[Panel Tag],$A597,LC_Process[Total kVA]))</f>
        <v/>
      </c>
      <c r="D597" s="187"/>
      <c r="E597" s="188" t="str">
        <f t="shared" si="11"/>
        <v/>
      </c>
      <c r="F597" s="286" t="str">
        <f t="shared" si="12"/>
        <v/>
      </c>
      <c r="G597" s="284" t="str">
        <f t="shared" si="13"/>
        <v/>
      </c>
      <c r="H597" s="285"/>
    </row>
    <row r="598" spans="1:8" ht="15" customHeight="1" x14ac:dyDescent="0.45">
      <c r="A598" s="284"/>
      <c r="B598" s="285"/>
      <c r="C598" s="184" t="str">
        <f>IF(OR($A598="",LEFT($A598,1)="—"),"",SUMIF(LC_House[Panel Tag],$A598,LC_House[Total kVA])+SUMIF(LC_Dept[Panel Tag],$A598,LC_Dept[Total kVA])+SUMIF(LC_Refrig[Panel Tag],$A598,LC_Refrig[Total kVA])+SUMIF(LC_Mech[Panel Tag],$A598,LC_Mech[Total kVA])+SUMIF(LC_Plumb[Panel Tag],$A598,LC_Plumb[Total kVA])+SUMIF(LC_Kitchen[Panel Tag],$A598,LC_Kitchen[Total kVA])+SUMIF(LC_Elev[Panel Tag],$A598,LC_Elev[Total kVA])+SUMIF(LC_EV[Panel Tag],$A598,LC_EV[Total kVA])+SUMIF(LC_Data[Panel Tag],$A598,LC_Data[Total kVA])+SUMIF(LC_Site[Panel Tag],$A598,LC_Site[Total kVA])+SUMIF(LC_Fire[Panel Tag],$A598,LC_Fire[Total kVA])+SUMIF(LC_Process[Panel Tag],$A598,LC_Process[Total kVA]))</f>
        <v/>
      </c>
      <c r="D598" s="187"/>
      <c r="E598" s="188" t="str">
        <f t="shared" si="11"/>
        <v/>
      </c>
      <c r="F598" s="286" t="str">
        <f t="shared" si="12"/>
        <v/>
      </c>
      <c r="G598" s="284" t="str">
        <f t="shared" si="13"/>
        <v/>
      </c>
      <c r="H598" s="285"/>
    </row>
    <row r="599" spans="1:8" ht="15" customHeight="1" x14ac:dyDescent="0.45">
      <c r="A599" s="284"/>
      <c r="B599" s="285"/>
      <c r="C599" s="184" t="str">
        <f>IF(OR($A599="",LEFT($A599,1)="—"),"",SUMIF(LC_House[Panel Tag],$A599,LC_House[Total kVA])+SUMIF(LC_Dept[Panel Tag],$A599,LC_Dept[Total kVA])+SUMIF(LC_Refrig[Panel Tag],$A599,LC_Refrig[Total kVA])+SUMIF(LC_Mech[Panel Tag],$A599,LC_Mech[Total kVA])+SUMIF(LC_Plumb[Panel Tag],$A599,LC_Plumb[Total kVA])+SUMIF(LC_Kitchen[Panel Tag],$A599,LC_Kitchen[Total kVA])+SUMIF(LC_Elev[Panel Tag],$A599,LC_Elev[Total kVA])+SUMIF(LC_EV[Panel Tag],$A599,LC_EV[Total kVA])+SUMIF(LC_Data[Panel Tag],$A599,LC_Data[Total kVA])+SUMIF(LC_Site[Panel Tag],$A599,LC_Site[Total kVA])+SUMIF(LC_Fire[Panel Tag],$A599,LC_Fire[Total kVA])+SUMIF(LC_Process[Panel Tag],$A599,LC_Process[Total kVA]))</f>
        <v/>
      </c>
      <c r="D599" s="187"/>
      <c r="E599" s="188" t="str">
        <f t="shared" si="11"/>
        <v/>
      </c>
      <c r="F599" s="286" t="str">
        <f t="shared" si="12"/>
        <v/>
      </c>
      <c r="G599" s="284" t="str">
        <f t="shared" si="13"/>
        <v/>
      </c>
      <c r="H599" s="285"/>
    </row>
    <row r="600" spans="1:8" ht="15" customHeight="1" x14ac:dyDescent="0.45">
      <c r="A600" s="284"/>
      <c r="B600" s="285"/>
      <c r="C600" s="184" t="str">
        <f>IF(OR($A600="",LEFT($A600,1)="—"),"",SUMIF(LC_House[Panel Tag],$A600,LC_House[Total kVA])+SUMIF(LC_Dept[Panel Tag],$A600,LC_Dept[Total kVA])+SUMIF(LC_Refrig[Panel Tag],$A600,LC_Refrig[Total kVA])+SUMIF(LC_Mech[Panel Tag],$A600,LC_Mech[Total kVA])+SUMIF(LC_Plumb[Panel Tag],$A600,LC_Plumb[Total kVA])+SUMIF(LC_Kitchen[Panel Tag],$A600,LC_Kitchen[Total kVA])+SUMIF(LC_Elev[Panel Tag],$A600,LC_Elev[Total kVA])+SUMIF(LC_EV[Panel Tag],$A600,LC_EV[Total kVA])+SUMIF(LC_Data[Panel Tag],$A600,LC_Data[Total kVA])+SUMIF(LC_Site[Panel Tag],$A600,LC_Site[Total kVA])+SUMIF(LC_Fire[Panel Tag],$A600,LC_Fire[Total kVA])+SUMIF(LC_Process[Panel Tag],$A600,LC_Process[Total kVA]))</f>
        <v/>
      </c>
      <c r="D600" s="187"/>
      <c r="E600" s="188" t="str">
        <f t="shared" si="11"/>
        <v/>
      </c>
      <c r="F600" s="286" t="str">
        <f t="shared" si="12"/>
        <v/>
      </c>
      <c r="G600" s="284" t="str">
        <f t="shared" si="13"/>
        <v/>
      </c>
      <c r="H600" s="285"/>
    </row>
    <row r="601" spans="1:8" ht="15" customHeight="1" x14ac:dyDescent="0.45">
      <c r="A601" s="284"/>
      <c r="B601" s="285"/>
      <c r="C601" s="184" t="str">
        <f>IF(OR($A601="",LEFT($A601,1)="—"),"",SUMIF(LC_House[Panel Tag],$A601,LC_House[Total kVA])+SUMIF(LC_Dept[Panel Tag],$A601,LC_Dept[Total kVA])+SUMIF(LC_Refrig[Panel Tag],$A601,LC_Refrig[Total kVA])+SUMIF(LC_Mech[Panel Tag],$A601,LC_Mech[Total kVA])+SUMIF(LC_Plumb[Panel Tag],$A601,LC_Plumb[Total kVA])+SUMIF(LC_Kitchen[Panel Tag],$A601,LC_Kitchen[Total kVA])+SUMIF(LC_Elev[Panel Tag],$A601,LC_Elev[Total kVA])+SUMIF(LC_EV[Panel Tag],$A601,LC_EV[Total kVA])+SUMIF(LC_Data[Panel Tag],$A601,LC_Data[Total kVA])+SUMIF(LC_Site[Panel Tag],$A601,LC_Site[Total kVA])+SUMIF(LC_Fire[Panel Tag],$A601,LC_Fire[Total kVA])+SUMIF(LC_Process[Panel Tag],$A601,LC_Process[Total kVA]))</f>
        <v/>
      </c>
      <c r="D601" s="187"/>
      <c r="E601" s="188" t="str">
        <f t="shared" si="11"/>
        <v/>
      </c>
      <c r="F601" s="286" t="str">
        <f t="shared" si="12"/>
        <v/>
      </c>
      <c r="G601" s="284" t="str">
        <f t="shared" si="13"/>
        <v/>
      </c>
      <c r="H601" s="285"/>
    </row>
    <row r="602" spans="1:8" ht="15" customHeight="1" x14ac:dyDescent="0.45">
      <c r="A602" s="284"/>
      <c r="B602" s="285"/>
      <c r="C602" s="184" t="str">
        <f>IF(OR($A602="",LEFT($A602,1)="—"),"",SUMIF(LC_House[Panel Tag],$A602,LC_House[Total kVA])+SUMIF(LC_Dept[Panel Tag],$A602,LC_Dept[Total kVA])+SUMIF(LC_Refrig[Panel Tag],$A602,LC_Refrig[Total kVA])+SUMIF(LC_Mech[Panel Tag],$A602,LC_Mech[Total kVA])+SUMIF(LC_Plumb[Panel Tag],$A602,LC_Plumb[Total kVA])+SUMIF(LC_Kitchen[Panel Tag],$A602,LC_Kitchen[Total kVA])+SUMIF(LC_Elev[Panel Tag],$A602,LC_Elev[Total kVA])+SUMIF(LC_EV[Panel Tag],$A602,LC_EV[Total kVA])+SUMIF(LC_Data[Panel Tag],$A602,LC_Data[Total kVA])+SUMIF(LC_Site[Panel Tag],$A602,LC_Site[Total kVA])+SUMIF(LC_Fire[Panel Tag],$A602,LC_Fire[Total kVA])+SUMIF(LC_Process[Panel Tag],$A602,LC_Process[Total kVA]))</f>
        <v/>
      </c>
      <c r="D602" s="187"/>
      <c r="E602" s="188" t="str">
        <f t="shared" si="11"/>
        <v/>
      </c>
      <c r="F602" s="286" t="str">
        <f t="shared" si="12"/>
        <v/>
      </c>
      <c r="G602" s="284" t="str">
        <f t="shared" si="13"/>
        <v/>
      </c>
      <c r="H602" s="285"/>
    </row>
    <row r="603" spans="1:8" ht="15" customHeight="1" x14ac:dyDescent="0.45">
      <c r="A603" s="284"/>
      <c r="B603" s="285"/>
      <c r="C603" s="184" t="str">
        <f>IF(OR($A603="",LEFT($A603,1)="—"),"",SUMIF(LC_House[Panel Tag],$A603,LC_House[Total kVA])+SUMIF(LC_Dept[Panel Tag],$A603,LC_Dept[Total kVA])+SUMIF(LC_Refrig[Panel Tag],$A603,LC_Refrig[Total kVA])+SUMIF(LC_Mech[Panel Tag],$A603,LC_Mech[Total kVA])+SUMIF(LC_Plumb[Panel Tag],$A603,LC_Plumb[Total kVA])+SUMIF(LC_Kitchen[Panel Tag],$A603,LC_Kitchen[Total kVA])+SUMIF(LC_Elev[Panel Tag],$A603,LC_Elev[Total kVA])+SUMIF(LC_EV[Panel Tag],$A603,LC_EV[Total kVA])+SUMIF(LC_Data[Panel Tag],$A603,LC_Data[Total kVA])+SUMIF(LC_Site[Panel Tag],$A603,LC_Site[Total kVA])+SUMIF(LC_Fire[Panel Tag],$A603,LC_Fire[Total kVA])+SUMIF(LC_Process[Panel Tag],$A603,LC_Process[Total kVA]))</f>
        <v/>
      </c>
      <c r="D603" s="187"/>
      <c r="E603" s="188" t="str">
        <f t="shared" si="11"/>
        <v/>
      </c>
      <c r="F603" s="286" t="str">
        <f t="shared" si="12"/>
        <v/>
      </c>
      <c r="G603" s="284" t="str">
        <f t="shared" si="13"/>
        <v/>
      </c>
      <c r="H603" s="285"/>
    </row>
    <row r="604" spans="1:8" ht="15" customHeight="1" x14ac:dyDescent="0.45">
      <c r="A604" s="284"/>
      <c r="B604" s="285"/>
      <c r="C604" s="184" t="str">
        <f>IF(OR($A604="",LEFT($A604,1)="—"),"",SUMIF(LC_House[Panel Tag],$A604,LC_House[Total kVA])+SUMIF(LC_Dept[Panel Tag],$A604,LC_Dept[Total kVA])+SUMIF(LC_Refrig[Panel Tag],$A604,LC_Refrig[Total kVA])+SUMIF(LC_Mech[Panel Tag],$A604,LC_Mech[Total kVA])+SUMIF(LC_Plumb[Panel Tag],$A604,LC_Plumb[Total kVA])+SUMIF(LC_Kitchen[Panel Tag],$A604,LC_Kitchen[Total kVA])+SUMIF(LC_Elev[Panel Tag],$A604,LC_Elev[Total kVA])+SUMIF(LC_EV[Panel Tag],$A604,LC_EV[Total kVA])+SUMIF(LC_Data[Panel Tag],$A604,LC_Data[Total kVA])+SUMIF(LC_Site[Panel Tag],$A604,LC_Site[Total kVA])+SUMIF(LC_Fire[Panel Tag],$A604,LC_Fire[Total kVA])+SUMIF(LC_Process[Panel Tag],$A604,LC_Process[Total kVA]))</f>
        <v/>
      </c>
      <c r="D604" s="187"/>
      <c r="E604" s="188" t="str">
        <f t="shared" si="11"/>
        <v/>
      </c>
      <c r="F604" s="286" t="str">
        <f t="shared" si="12"/>
        <v/>
      </c>
      <c r="G604" s="284" t="str">
        <f t="shared" si="13"/>
        <v/>
      </c>
      <c r="H604" s="285"/>
    </row>
    <row r="605" spans="1:8" ht="15" customHeight="1" x14ac:dyDescent="0.45">
      <c r="A605" s="284"/>
      <c r="B605" s="285"/>
      <c r="C605" s="184" t="str">
        <f>IF(OR($A605="",LEFT($A605,1)="—"),"",SUMIF(LC_House[Panel Tag],$A605,LC_House[Total kVA])+SUMIF(LC_Dept[Panel Tag],$A605,LC_Dept[Total kVA])+SUMIF(LC_Refrig[Panel Tag],$A605,LC_Refrig[Total kVA])+SUMIF(LC_Mech[Panel Tag],$A605,LC_Mech[Total kVA])+SUMIF(LC_Plumb[Panel Tag],$A605,LC_Plumb[Total kVA])+SUMIF(LC_Kitchen[Panel Tag],$A605,LC_Kitchen[Total kVA])+SUMIF(LC_Elev[Panel Tag],$A605,LC_Elev[Total kVA])+SUMIF(LC_EV[Panel Tag],$A605,LC_EV[Total kVA])+SUMIF(LC_Data[Panel Tag],$A605,LC_Data[Total kVA])+SUMIF(LC_Site[Panel Tag],$A605,LC_Site[Total kVA])+SUMIF(LC_Fire[Panel Tag],$A605,LC_Fire[Total kVA])+SUMIF(LC_Process[Panel Tag],$A605,LC_Process[Total kVA]))</f>
        <v/>
      </c>
      <c r="D605" s="187"/>
      <c r="E605" s="188" t="str">
        <f t="shared" si="11"/>
        <v/>
      </c>
      <c r="F605" s="286" t="str">
        <f t="shared" si="12"/>
        <v/>
      </c>
      <c r="G605" s="284" t="str">
        <f t="shared" si="13"/>
        <v/>
      </c>
      <c r="H605" s="285"/>
    </row>
    <row r="606" spans="1:8" ht="15" customHeight="1" x14ac:dyDescent="0.45">
      <c r="A606" s="284"/>
      <c r="B606" s="285"/>
      <c r="C606" s="184" t="str">
        <f>IF(OR($A606="",LEFT($A606,1)="—"),"",SUMIF(LC_House[Panel Tag],$A606,LC_House[Total kVA])+SUMIF(LC_Dept[Panel Tag],$A606,LC_Dept[Total kVA])+SUMIF(LC_Refrig[Panel Tag],$A606,LC_Refrig[Total kVA])+SUMIF(LC_Mech[Panel Tag],$A606,LC_Mech[Total kVA])+SUMIF(LC_Plumb[Panel Tag],$A606,LC_Plumb[Total kVA])+SUMIF(LC_Kitchen[Panel Tag],$A606,LC_Kitchen[Total kVA])+SUMIF(LC_Elev[Panel Tag],$A606,LC_Elev[Total kVA])+SUMIF(LC_EV[Panel Tag],$A606,LC_EV[Total kVA])+SUMIF(LC_Data[Panel Tag],$A606,LC_Data[Total kVA])+SUMIF(LC_Site[Panel Tag],$A606,LC_Site[Total kVA])+SUMIF(LC_Fire[Panel Tag],$A606,LC_Fire[Total kVA])+SUMIF(LC_Process[Panel Tag],$A606,LC_Process[Total kVA]))</f>
        <v/>
      </c>
      <c r="D606" s="187"/>
      <c r="E606" s="188" t="str">
        <f t="shared" si="11"/>
        <v/>
      </c>
      <c r="F606" s="286" t="str">
        <f t="shared" si="12"/>
        <v/>
      </c>
      <c r="G606" s="284" t="str">
        <f t="shared" si="13"/>
        <v/>
      </c>
      <c r="H606" s="285"/>
    </row>
    <row r="607" spans="1:8" ht="15" customHeight="1" x14ac:dyDescent="0.45">
      <c r="A607" s="284"/>
      <c r="B607" s="285"/>
      <c r="C607" s="184" t="str">
        <f>IF(OR($A607="",LEFT($A607,1)="—"),"",SUMIF(LC_House[Panel Tag],$A607,LC_House[Total kVA])+SUMIF(LC_Dept[Panel Tag],$A607,LC_Dept[Total kVA])+SUMIF(LC_Refrig[Panel Tag],$A607,LC_Refrig[Total kVA])+SUMIF(LC_Mech[Panel Tag],$A607,LC_Mech[Total kVA])+SUMIF(LC_Plumb[Panel Tag],$A607,LC_Plumb[Total kVA])+SUMIF(LC_Kitchen[Panel Tag],$A607,LC_Kitchen[Total kVA])+SUMIF(LC_Elev[Panel Tag],$A607,LC_Elev[Total kVA])+SUMIF(LC_EV[Panel Tag],$A607,LC_EV[Total kVA])+SUMIF(LC_Data[Panel Tag],$A607,LC_Data[Total kVA])+SUMIF(LC_Site[Panel Tag],$A607,LC_Site[Total kVA])+SUMIF(LC_Fire[Panel Tag],$A607,LC_Fire[Total kVA])+SUMIF(LC_Process[Panel Tag],$A607,LC_Process[Total kVA]))</f>
        <v/>
      </c>
      <c r="D607" s="187"/>
      <c r="E607" s="188" t="str">
        <f t="shared" si="11"/>
        <v/>
      </c>
      <c r="F607" s="286" t="str">
        <f t="shared" si="12"/>
        <v/>
      </c>
      <c r="G607" s="284" t="str">
        <f t="shared" si="13"/>
        <v/>
      </c>
      <c r="H607" s="285"/>
    </row>
    <row r="608" spans="1:8" ht="15" customHeight="1" x14ac:dyDescent="0.45">
      <c r="A608" s="284"/>
      <c r="B608" s="285"/>
      <c r="C608" s="184" t="str">
        <f>IF(OR($A608="",LEFT($A608,1)="—"),"",SUMIF(LC_House[Panel Tag],$A608,LC_House[Total kVA])+SUMIF(LC_Dept[Panel Tag],$A608,LC_Dept[Total kVA])+SUMIF(LC_Refrig[Panel Tag],$A608,LC_Refrig[Total kVA])+SUMIF(LC_Mech[Panel Tag],$A608,LC_Mech[Total kVA])+SUMIF(LC_Plumb[Panel Tag],$A608,LC_Plumb[Total kVA])+SUMIF(LC_Kitchen[Panel Tag],$A608,LC_Kitchen[Total kVA])+SUMIF(LC_Elev[Panel Tag],$A608,LC_Elev[Total kVA])+SUMIF(LC_EV[Panel Tag],$A608,LC_EV[Total kVA])+SUMIF(LC_Data[Panel Tag],$A608,LC_Data[Total kVA])+SUMIF(LC_Site[Panel Tag],$A608,LC_Site[Total kVA])+SUMIF(LC_Fire[Panel Tag],$A608,LC_Fire[Total kVA])+SUMIF(LC_Process[Panel Tag],$A608,LC_Process[Total kVA]))</f>
        <v/>
      </c>
      <c r="D608" s="187"/>
      <c r="E608" s="188" t="str">
        <f t="shared" si="11"/>
        <v/>
      </c>
      <c r="F608" s="286" t="str">
        <f t="shared" si="12"/>
        <v/>
      </c>
      <c r="G608" s="284" t="str">
        <f t="shared" si="13"/>
        <v/>
      </c>
      <c r="H608" s="285"/>
    </row>
  </sheetData>
  <sheetProtection sheet="1" objects="1" scenarios="1"/>
  <mergeCells count="54">
    <mergeCell ref="A80:K80"/>
    <mergeCell ref="C78:F78"/>
    <mergeCell ref="E33:G33"/>
    <mergeCell ref="E32:G32"/>
    <mergeCell ref="E31:G31"/>
    <mergeCell ref="C34:D34"/>
    <mergeCell ref="E34:G34"/>
    <mergeCell ref="E30:G30"/>
    <mergeCell ref="E29:G29"/>
    <mergeCell ref="E28:G28"/>
    <mergeCell ref="E27:G27"/>
    <mergeCell ref="E26:G26"/>
    <mergeCell ref="E20:G20"/>
    <mergeCell ref="C22:D22"/>
    <mergeCell ref="C21:D21"/>
    <mergeCell ref="C20:D20"/>
    <mergeCell ref="E25:G25"/>
    <mergeCell ref="E24:G24"/>
    <mergeCell ref="C23:D23"/>
    <mergeCell ref="E23:G23"/>
    <mergeCell ref="E22:G22"/>
    <mergeCell ref="C27:D27"/>
    <mergeCell ref="C26:D26"/>
    <mergeCell ref="C25:D25"/>
    <mergeCell ref="C24:D24"/>
    <mergeCell ref="E21:G21"/>
    <mergeCell ref="C357:C358"/>
    <mergeCell ref="B357:B358"/>
    <mergeCell ref="A357:A358"/>
    <mergeCell ref="A354:K354"/>
    <mergeCell ref="A98:K98"/>
    <mergeCell ref="H357:H358"/>
    <mergeCell ref="G357:G358"/>
    <mergeCell ref="F357:F358"/>
    <mergeCell ref="E357:E358"/>
    <mergeCell ref="D357:D358"/>
    <mergeCell ref="A355:H355"/>
    <mergeCell ref="A352:K352"/>
    <mergeCell ref="A17:K17"/>
    <mergeCell ref="A4:K4"/>
    <mergeCell ref="A1:K1"/>
    <mergeCell ref="A88:K88"/>
    <mergeCell ref="A61:K61"/>
    <mergeCell ref="A52:K52"/>
    <mergeCell ref="A45:K45"/>
    <mergeCell ref="A36:K36"/>
    <mergeCell ref="A2:H2"/>
    <mergeCell ref="C33:D33"/>
    <mergeCell ref="A18:H18"/>
    <mergeCell ref="C32:D32"/>
    <mergeCell ref="C31:D31"/>
    <mergeCell ref="C30:D30"/>
    <mergeCell ref="C29:D29"/>
    <mergeCell ref="C28:D28"/>
  </mergeCells>
  <conditionalFormatting sqref="E21:E34">
    <cfRule type="beginsWith" dxfId="128" priority="1" operator="beginsWith" text="✔">
      <formula>LEFT(E21,LEN("✔"))="✔"</formula>
    </cfRule>
    <cfRule type="beginsWith" dxfId="127" priority="2" operator="beginsWith" text="⚠">
      <formula>LEFT(E21,LEN("⚠"))="⚠"</formula>
    </cfRule>
    <cfRule type="beginsWith" dxfId="126" priority="3" operator="beginsWith" text="✘">
      <formula>LEFT(E21,LEN("✘"))="✘"</formula>
    </cfRule>
    <cfRule type="beginsWith" dxfId="125" priority="4" operator="beginsWith" text="—">
      <formula>LEFT(E21,LEN("—"))="—"</formula>
    </cfRule>
  </conditionalFormatting>
  <conditionalFormatting sqref="F359:F608">
    <cfRule type="containsText" dxfId="124" priority="6" operator="containsText" text="CHECK">
      <formula>NOT(ISERROR(SEARCH("CHECK",F359)))</formula>
    </cfRule>
    <cfRule type="containsText" dxfId="123" priority="7" operator="containsText" text="OK">
      <formula>NOT(ISERROR(SEARCH("OK",F359)))</formula>
    </cfRule>
    <cfRule type="containsText" dxfId="122" priority="8" operator="containsText" text="link not set">
      <formula>NOT(ISERROR(SEARCH("link not set",F359)))</formula>
    </cfRule>
  </conditionalFormatting>
  <conditionalFormatting sqref="A359:H608">
    <cfRule type="expression" dxfId="121" priority="14">
      <formula>$A359&lt;&gt;""</formula>
    </cfRule>
  </conditionalFormatting>
  <conditionalFormatting sqref="B359:B608">
    <cfRule type="expression" dxfId="120" priority="15">
      <formula>AND($A359&lt;&gt;"",LEFT($A359,1)&lt;&gt;"—")</formula>
    </cfRule>
  </conditionalFormatting>
  <conditionalFormatting sqref="D359:D608">
    <cfRule type="expression" dxfId="119" priority="13">
      <formula>AND($A359&lt;&gt;"",LEFT($A359,1)&lt;&gt;"—")</formula>
    </cfRule>
  </conditionalFormatting>
  <conditionalFormatting sqref="H359:H608">
    <cfRule type="expression" dxfId="118" priority="17">
      <formula>AND($A359&lt;&gt;"",LEFT($A359,1)&lt;&gt;"—")</formula>
    </cfRule>
  </conditionalFormatting>
  <conditionalFormatting sqref="D359:D608">
    <cfRule type="expression" dxfId="117" priority="18">
      <formula>AND(AND($A359&lt;&gt;"",LEFT($A359,1)&lt;&gt;"—"),$D359="")</formula>
    </cfRule>
  </conditionalFormatting>
  <conditionalFormatting sqref="A359:H608">
    <cfRule type="expression" dxfId="116" priority="5">
      <formula>AND(AND($A359&lt;&gt;"",LEFT($A359,1)&lt;&gt;"—"),$F359="CHECK")</formula>
    </cfRule>
  </conditionalFormatting>
  <conditionalFormatting sqref="A101:J350">
    <cfRule type="expression" dxfId="115" priority="19">
      <formula>$A101&lt;&gt;""</formula>
    </cfRule>
  </conditionalFormatting>
  <conditionalFormatting sqref="I101:J350">
    <cfRule type="expression" dxfId="114" priority="20">
      <formula>$A101&lt;&gt;""</formula>
    </cfRule>
  </conditionalFormatting>
  <conditionalFormatting sqref="G7:G15">
    <cfRule type="beginsWith" dxfId="113" priority="21" operator="beginsWith" text="●">
      <formula>LEFT(G7,LEN("●"))="●"</formula>
    </cfRule>
  </conditionalFormatting>
  <conditionalFormatting sqref="G7:G15">
    <cfRule type="beginsWith" dxfId="112" priority="22" operator="beginsWith" text="◐">
      <formula>LEFT(G7,LEN("◐"))="◐"</formula>
    </cfRule>
  </conditionalFormatting>
  <conditionalFormatting sqref="R101:W350">
    <cfRule type="expression" dxfId="111" priority="23">
      <formula>$A101&lt;&gt;""</formula>
    </cfRule>
  </conditionalFormatting>
  <dataValidations count="16">
    <dataValidation type="list" allowBlank="1" showInputMessage="1" showErrorMessage="1" sqref="C38" xr:uid="{240716F0-572F-443C-8422-DD1C986B16E4}">
      <formula1>Volt_Sys</formula1>
    </dataValidation>
    <dataValidation type="list" allowBlank="1" showInputMessage="1" showErrorMessage="1" sqref="C47:C48" xr:uid="{B021F5F7-8DE8-4615-B242-3C2C9AA6E353}">
      <formula1>"Cu,Al"</formula1>
    </dataValidation>
    <dataValidation type="list" allowBlank="1" showInputMessage="1" showErrorMessage="1" sqref="C49" xr:uid="{BC171ECA-1CDB-4249-9B7C-DFA9C03FC7A6}">
      <formula1>"60,75,90"</formula1>
    </dataValidation>
    <dataValidation type="list" allowBlank="1" showInputMessage="1" showErrorMessage="1" sqref="C50" xr:uid="{AC9AA99C-7490-4AFA-8DC1-0BC5E468D53E}">
      <formula1>"Steel,PVC,Aluminum"</formula1>
    </dataValidation>
    <dataValidation type="list" allowBlank="1" showInputMessage="1" showErrorMessage="1" sqref="C55:C59" xr:uid="{C3E15F21-7C2C-4170-9008-D45DF4267124}">
      <formula1>"ON,OFF"</formula1>
    </dataValidation>
    <dataValidation type="list" allowBlank="1" showInputMessage="1" showErrorMessage="1" sqref="B359:B398" xr:uid="{8683D5BB-2A5C-4EA0-989A-C48B80A087DA}">
      <formula1>"Panelboard,MCC,Switchboard"</formula1>
    </dataValidation>
    <dataValidation type="list" allowBlank="1" showInputMessage="1" showErrorMessage="1" promptTitle="Feed Type" prompt="How this equipment connects to its upstream source." sqref="I101:I350" xr:uid="{EA6BCF41-4455-46A5-9CE9-64084A2E4804}">
      <formula1>"Sub-Feed,Feed-Through,Main Breaker,Main Lugs (MLO),Utility / Service,Tap / Splice"</formula1>
    </dataValidation>
    <dataValidation type="list" allowBlank="1" showInputMessage="1" showErrorMessage="1" errorTitle="Unrecognised system voltage" error="Pick a voltage from the list. An unlisted voltage cannot be matched, so the transformer schedule would silently skip this device. Add new voltages to the config table on NEC_Data (BV4:BY12)." sqref="C101:C350" xr:uid="{BAA34A43-90DD-482E-AA43-86AF762E4C86}">
      <formula1>Xfmr_VoltStr</formula1>
    </dataValidation>
    <dataValidation type="list" allowBlank="1" showInputMessage="1" showErrorMessage="1" sqref="C66:F66" xr:uid="{57B08840-BE35-49D3-BF41-C0904A0DFA05}">
      <formula1>"Utility,Owner"</formula1>
    </dataValidation>
    <dataValidation type="list" allowBlank="1" showInputMessage="1" showErrorMessage="1" sqref="C83:D86" xr:uid="{32A0C6BD-D454-4C3B-B64C-40DF75EDE714}">
      <formula1>Equip_List</formula1>
    </dataValidation>
    <dataValidation type="list" allowBlank="1" showInputMessage="1" showErrorMessage="1" sqref="E83:E86" xr:uid="{68D9A94B-9499-4ED3-9E5F-E8D457D4061E}">
      <formula1>"N.O.,N.C."</formula1>
    </dataValidation>
    <dataValidation type="list" allowBlank="1" showInputMessage="1" showErrorMessage="1" sqref="F83:F86" xr:uid="{A3CB5CA2-9092-424D-AA64-9E3EAAAFF389}">
      <formula1>"Open transition,Closed transition,Continuous parallel"</formula1>
    </dataValidation>
    <dataValidation type="list" allowBlank="1" showInputMessage="1" showErrorMessage="1" sqref="B14" xr:uid="{1D9DDAB0-D8F9-4181-A542-0F210BDFDECF}">
      <formula1>"2020,2023,2026"</formula1>
    </dataValidation>
    <dataValidation type="list" allowBlank="1" showInputMessage="1" showErrorMessage="1" sqref="U101:U350" xr:uid="{6452F4F1-ECC4-4174-82E7-48F9DA0C4842}">
      <formula1>"CU,AL"</formula1>
    </dataValidation>
    <dataValidation type="list" allowBlank="1" showInputMessage="1" showErrorMessage="1" sqref="V101:V350" xr:uid="{9B48E762-AA0A-458B-8374-7C86D0FA99AB}">
      <formula1>Race_Raceway</formula1>
    </dataValidation>
    <dataValidation type="list" allowBlank="1" showInputMessage="1" showErrorMessage="1" sqref="W101:W350" xr:uid="{AAFD0E55-F810-4644-8BC2-5B570550D3F1}">
      <formula1>"Y,N"</formula1>
    </dataValidation>
  </dataValidations>
  <pageMargins left="0.7" right="0.7" top="0.75" bottom="0.75" header="0.3" footer="0.3"/>
  <pageSetup scale="13"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C27E-9730-488A-BD4D-3E843AF1A87C}">
  <sheetPr codeName="Sheet13">
    <tabColor rgb="FF4DAB51"/>
    <pageSetUpPr fitToPage="1"/>
  </sheetPr>
  <dimension ref="A1:AI412"/>
  <sheetViews>
    <sheetView showGridLines="0" showRowColHeaders="0" zoomScaleNormal="100" workbookViewId="0">
      <pane ySplit="2" topLeftCell="A3" activePane="bottomLeft" state="frozen"/>
      <selection pane="bottomLeft" activeCell="B8" sqref="B8"/>
    </sheetView>
  </sheetViews>
  <sheetFormatPr defaultColWidth="9.1796875" defaultRowHeight="16.5" outlineLevelRow="1" outlineLevelCol="1" x14ac:dyDescent="0.45"/>
  <cols>
    <col min="1" max="1" width="8.26953125" style="8" customWidth="1"/>
    <col min="2" max="2" width="62.81640625" style="8" customWidth="1"/>
    <col min="3" max="5" width="15.7265625" style="8" customWidth="1"/>
    <col min="6" max="6" width="16.1796875" style="8" customWidth="1"/>
    <col min="7" max="7" width="15.7265625" style="8" customWidth="1"/>
    <col min="8" max="8" width="17.81640625" style="8" customWidth="1"/>
    <col min="9" max="17" width="15.7265625" style="8" customWidth="1"/>
    <col min="18" max="19" width="15.7265625" style="8" hidden="1" customWidth="1"/>
    <col min="20" max="20" width="15.7265625" style="8" customWidth="1"/>
    <col min="21" max="21" width="45.7265625" style="8" customWidth="1"/>
    <col min="22" max="22" width="21" style="8" customWidth="1"/>
    <col min="23" max="23" width="11.453125" style="8" customWidth="1"/>
    <col min="24" max="24" width="12.54296875" style="8" customWidth="1"/>
    <col min="25" max="25" width="2.26953125" style="8" customWidth="1"/>
    <col min="26" max="26" width="18.1796875" style="8" hidden="1" customWidth="1" outlineLevel="1"/>
    <col min="27" max="28" width="9.1796875" style="8" hidden="1" customWidth="1" outlineLevel="1"/>
    <col min="29" max="29" width="0" style="8" hidden="1" customWidth="1" outlineLevel="1" collapsed="1"/>
    <col min="30" max="34" width="0" style="8" hidden="1" customWidth="1" outlineLevel="1"/>
    <col min="35" max="35" width="9.1796875" style="8" collapsed="1"/>
    <col min="36" max="16384" width="9.1796875" style="8"/>
  </cols>
  <sheetData>
    <row r="1" spans="1:34" ht="30" customHeight="1" x14ac:dyDescent="0.45">
      <c r="A1" s="594" t="s">
        <v>253</v>
      </c>
      <c r="B1" s="595"/>
      <c r="C1" s="595"/>
      <c r="D1" s="595"/>
      <c r="E1" s="595"/>
      <c r="F1" s="595"/>
      <c r="G1" s="595"/>
      <c r="H1" s="595"/>
      <c r="I1" s="595"/>
      <c r="J1" s="595"/>
      <c r="K1" s="595"/>
      <c r="L1" s="595"/>
      <c r="M1" s="595"/>
      <c r="N1" s="595"/>
      <c r="O1" s="595"/>
      <c r="P1" s="595"/>
      <c r="Q1" s="595"/>
      <c r="R1" s="595"/>
      <c r="S1" s="595"/>
      <c r="T1" s="595"/>
      <c r="U1" s="595"/>
      <c r="V1" s="595"/>
      <c r="W1" s="595"/>
      <c r="X1" s="596"/>
    </row>
    <row r="2" spans="1:34" s="20" customFormat="1" ht="15" customHeight="1" x14ac:dyDescent="0.35">
      <c r="A2" s="31"/>
      <c r="B2" s="23" t="s">
        <v>254</v>
      </c>
      <c r="C2" s="15" t="str">
        <f>IF(Dashboard!B7="","—",Dashboard!B7)</f>
        <v>—</v>
      </c>
      <c r="D2" s="31"/>
      <c r="E2" s="31"/>
      <c r="F2" s="31"/>
      <c r="G2" s="31"/>
      <c r="H2" s="23" t="s">
        <v>255</v>
      </c>
      <c r="I2" s="631" t="str">
        <f>IF(Dashboard!$C$38="","",Dashboard!$C$38)</f>
        <v/>
      </c>
      <c r="J2" s="631"/>
      <c r="K2" s="631"/>
      <c r="L2" s="31"/>
      <c r="M2" s="31"/>
      <c r="N2" s="23" t="s">
        <v>256</v>
      </c>
      <c r="O2" s="33">
        <f ca="1">IF(Dashboard!B12="",TODAY(),Dashboard!B12)</f>
        <v>46322</v>
      </c>
      <c r="P2" s="31"/>
      <c r="Q2" s="31"/>
    </row>
    <row r="3" spans="1:34" ht="15" customHeight="1" x14ac:dyDescent="0.45">
      <c r="A3" s="9"/>
      <c r="B3" s="9"/>
      <c r="C3" s="9"/>
      <c r="D3" s="9"/>
      <c r="E3" s="9"/>
      <c r="F3" s="9"/>
      <c r="G3" s="9"/>
      <c r="H3" s="9"/>
      <c r="I3" s="9"/>
      <c r="J3" s="9"/>
      <c r="K3" s="9"/>
      <c r="L3" s="9"/>
      <c r="M3" s="9"/>
      <c r="N3" s="9"/>
      <c r="O3" s="9"/>
      <c r="P3" s="9"/>
      <c r="Q3" s="9"/>
    </row>
    <row r="4" spans="1:34" ht="15" customHeight="1" x14ac:dyDescent="0.45">
      <c r="A4" s="648" t="s">
        <v>257</v>
      </c>
      <c r="B4" s="649"/>
      <c r="C4" s="649"/>
      <c r="D4" s="649"/>
      <c r="E4" s="649"/>
      <c r="F4" s="649"/>
      <c r="G4" s="649"/>
      <c r="H4" s="649"/>
      <c r="I4" s="649"/>
      <c r="J4" s="649"/>
      <c r="K4" s="649"/>
      <c r="L4" s="649"/>
      <c r="M4" s="649"/>
      <c r="N4" s="649"/>
      <c r="O4" s="649"/>
      <c r="P4" s="649"/>
      <c r="Q4" s="649"/>
      <c r="R4" s="649"/>
      <c r="S4" s="649"/>
      <c r="T4" s="649"/>
      <c r="U4" s="649"/>
      <c r="V4" s="649"/>
      <c r="W4" s="649"/>
      <c r="X4" s="650"/>
    </row>
    <row r="5" spans="1:34" ht="15" customHeight="1" x14ac:dyDescent="0.45">
      <c r="A5" s="634"/>
      <c r="B5" s="647"/>
      <c r="C5" s="647"/>
      <c r="D5" s="647"/>
      <c r="E5" s="647"/>
      <c r="F5" s="647"/>
      <c r="G5" s="647"/>
      <c r="H5" s="647"/>
      <c r="I5" s="647"/>
      <c r="J5" s="647"/>
      <c r="K5" s="647"/>
      <c r="L5" s="647"/>
      <c r="M5" s="647"/>
      <c r="N5" s="647"/>
      <c r="O5" s="647"/>
      <c r="P5" s="647"/>
      <c r="Q5" s="647"/>
      <c r="R5" s="647"/>
      <c r="S5" s="647"/>
      <c r="T5" s="647"/>
      <c r="U5" s="647"/>
      <c r="V5" s="647"/>
      <c r="W5" s="647"/>
      <c r="X5" s="632"/>
      <c r="AA5" s="632" t="s">
        <v>819</v>
      </c>
      <c r="AB5" s="633"/>
      <c r="AC5" s="633"/>
      <c r="AD5" s="634"/>
    </row>
    <row r="6" spans="1:34" s="20" customFormat="1" ht="15" customHeight="1" x14ac:dyDescent="0.45">
      <c r="A6" s="44"/>
      <c r="B6" s="44"/>
      <c r="C6" s="44"/>
      <c r="D6" s="44"/>
      <c r="E6" s="44"/>
      <c r="F6" s="44"/>
      <c r="G6" s="44"/>
      <c r="H6" s="44"/>
      <c r="I6" s="44"/>
      <c r="J6" s="44"/>
      <c r="K6" s="44"/>
      <c r="L6" s="44"/>
      <c r="M6" s="44"/>
      <c r="N6" s="44"/>
      <c r="O6" s="44"/>
      <c r="P6" s="44"/>
      <c r="Q6" s="44"/>
      <c r="AA6" s="291" t="s">
        <v>289</v>
      </c>
      <c r="AB6" s="292" t="s">
        <v>820</v>
      </c>
      <c r="AC6" s="292" t="s">
        <v>821</v>
      </c>
      <c r="AD6" s="293" t="s">
        <v>265</v>
      </c>
      <c r="AE6" s="294" t="s">
        <v>1320</v>
      </c>
      <c r="AF6" s="294" t="s">
        <v>1321</v>
      </c>
      <c r="AG6" s="293" t="s">
        <v>1888</v>
      </c>
      <c r="AH6" s="293" t="s">
        <v>1889</v>
      </c>
    </row>
    <row r="7" spans="1:34" s="47" customFormat="1" ht="15" customHeight="1" x14ac:dyDescent="0.45">
      <c r="A7" s="34"/>
      <c r="B7" s="266" t="s">
        <v>674</v>
      </c>
      <c r="C7" s="266" t="s">
        <v>258</v>
      </c>
      <c r="D7" s="266" t="s">
        <v>260</v>
      </c>
      <c r="E7" s="266" t="s">
        <v>259</v>
      </c>
      <c r="F7" s="266" t="s">
        <v>644</v>
      </c>
      <c r="G7" s="266" t="s">
        <v>779</v>
      </c>
      <c r="H7" s="79"/>
      <c r="I7" s="79"/>
      <c r="J7" s="34"/>
      <c r="K7" s="34"/>
      <c r="L7" s="34"/>
      <c r="M7" s="34"/>
      <c r="N7" s="34"/>
      <c r="O7" s="34"/>
      <c r="P7" s="34"/>
      <c r="Q7" s="34"/>
      <c r="R7" s="34"/>
      <c r="AA7" s="295" t="s">
        <v>1786</v>
      </c>
      <c r="AB7" s="302" t="s">
        <v>1637</v>
      </c>
      <c r="AC7" s="134" t="s">
        <v>830</v>
      </c>
      <c r="AD7" s="300">
        <f>IF($AC7="No","n/a",SUM(LC_Site[Total kVA]))</f>
        <v>0</v>
      </c>
      <c r="AE7" s="298" t="s">
        <v>308</v>
      </c>
      <c r="AF7" s="298" t="s">
        <v>308</v>
      </c>
      <c r="AG7" s="300">
        <f>IF($AC7="No",0,COUNTIFS(LC_Site[Status],"Unplaced")+COUNTIFS(LC_Site[Status],"Partial"))</f>
        <v>0</v>
      </c>
      <c r="AH7" s="556">
        <f>IF($AC7="No",0,SUMIFS(LC_Site[Total kVA],LC_Site[Status],"Unplaced")+SUMIFS(LC_Site[Total kVA],LC_Site[Status],"Partial"))</f>
        <v>0</v>
      </c>
    </row>
    <row r="8" spans="1:34" s="20" customFormat="1" ht="15" customHeight="1" x14ac:dyDescent="0.45">
      <c r="A8" s="10"/>
      <c r="B8" s="299"/>
      <c r="C8" s="137"/>
      <c r="D8" s="137"/>
      <c r="E8" s="80" t="str">
        <f>IF(OR(LC_Areas[[#This Row],[SF per Floor]]="",LC_Areas[[#This Row],[Floors]]=""),"",LC_Areas[[#This Row],[SF per Floor]]*LC_Areas[[#This Row],[Floors]])</f>
        <v/>
      </c>
      <c r="F8" s="85" t="str">
        <f>IF(LC_Areas[[#This Row],[Space Type]]="","",_xlfn.LET(_xlpm.k,IF(Cfg_Energy_Code="SEC (Seattle)",3,2),_xlpm.v,IFERROR(VLOOKUP(LC_Areas[[#This Row],[Space Type]],LPD_BldgArea_Table,_xlpm.k,FALSE),IFERROR(VLOOKUP(LC_Areas[[#This Row],[Space Type]],LPD_Space_Table,_xlpm.k,FALSE),"")),IF(_xlpm.v="","not listed in "&amp;Cfg_Energy_Code,_xlpm.v)))</f>
        <v/>
      </c>
      <c r="G8" s="196" t="str">
        <f>IF(OR(LC_Areas[[#This Row],[Total SF]]="",NOT(ISNUMBER(LC_Areas[[#This Row],[LPD (W/ft²)]]))),"",LC_Areas[[#This Row],[Total SF]]*LC_Areas[[#This Row],[LPD (W/ft²)]])</f>
        <v/>
      </c>
      <c r="H8"/>
      <c r="I8"/>
      <c r="J8" s="10"/>
      <c r="K8" s="10"/>
      <c r="L8" s="10"/>
      <c r="M8" s="10"/>
      <c r="N8" s="10"/>
      <c r="O8" s="10"/>
      <c r="P8" s="10"/>
      <c r="Q8" s="10"/>
      <c r="R8" s="10"/>
      <c r="AA8" s="295" t="s">
        <v>1787</v>
      </c>
      <c r="AB8" s="296" t="s">
        <v>822</v>
      </c>
      <c r="AC8" s="546" t="s">
        <v>830</v>
      </c>
      <c r="AD8" s="297">
        <f>IF($AC8="No","n/a",SUM(LC_House[Total kVA]))</f>
        <v>0</v>
      </c>
      <c r="AE8" s="294" t="str">
        <f>IF(Generator!$B$53="","",Generator!$B$53)</f>
        <v>GEN-1</v>
      </c>
      <c r="AF8" s="294" t="str">
        <f>IF(UPS!$B$48="","",UPS!$B$48)</f>
        <v>UPS-1</v>
      </c>
      <c r="AG8" s="297">
        <f>IF($AC8="No",0,COUNTIFS(LC_House[Status],"Unplaced")+COUNTIFS(LC_House[Status],"Partial"))</f>
        <v>0</v>
      </c>
      <c r="AH8" s="557">
        <f>IF($AC8="No",0,SUMIFS(LC_House[Total kVA],LC_House[Status],"Unplaced")+SUMIFS(LC_House[Total kVA],LC_House[Status],"Partial"))</f>
        <v>0</v>
      </c>
    </row>
    <row r="9" spans="1:34" s="20" customFormat="1" ht="15" customHeight="1" x14ac:dyDescent="0.45">
      <c r="A9"/>
      <c r="B9" s="301" t="s">
        <v>261</v>
      </c>
      <c r="C9" s="197"/>
      <c r="D9" s="197"/>
      <c r="E9" s="197">
        <f>SUM(LC_Areas[Total SF])</f>
        <v>0</v>
      </c>
      <c r="F9" s="198" t="str">
        <f>IF(N(E9)=0,"",G9/E9)</f>
        <v/>
      </c>
      <c r="G9" s="199">
        <f>SUM(LC_Areas[Lighting W])</f>
        <v>0</v>
      </c>
      <c r="H9"/>
      <c r="I9"/>
      <c r="J9"/>
      <c r="K9" s="10"/>
      <c r="L9" s="10"/>
      <c r="M9" s="10"/>
      <c r="N9" s="10"/>
      <c r="O9" s="10"/>
      <c r="P9" s="10"/>
      <c r="Q9" s="10"/>
      <c r="R9" s="10"/>
      <c r="AA9" s="295" t="s">
        <v>1788</v>
      </c>
      <c r="AB9" s="296" t="s">
        <v>823</v>
      </c>
      <c r="AC9" s="134" t="s">
        <v>830</v>
      </c>
      <c r="AD9" s="300">
        <f>IF($AC9="No","n/a",SUM(LC_Dept[Total kVA]))</f>
        <v>0</v>
      </c>
      <c r="AE9" s="303" t="str">
        <f>IF(Generator!$B$54="","",Generator!$B$54)</f>
        <v/>
      </c>
      <c r="AF9" s="303" t="str">
        <f>IF(UPS!$B$49="","",UPS!$B$49)</f>
        <v/>
      </c>
      <c r="AG9" s="300">
        <f>IF($AC9="No",0,COUNTIFS(LC_Dept[Status],"Unplaced")+COUNTIFS(LC_Dept[Status],"Partial"))</f>
        <v>0</v>
      </c>
      <c r="AH9" s="556">
        <f>IF($AC9="No",0,SUMIFS(LC_Dept[Total kVA],LC_Dept[Status],"Unplaced")+SUMIFS(LC_Dept[Total kVA],LC_Dept[Status],"Partial"))</f>
        <v>0</v>
      </c>
    </row>
    <row r="10" spans="1:34" s="20" customFormat="1" ht="15" customHeight="1" x14ac:dyDescent="0.35">
      <c r="A10"/>
      <c r="B10"/>
      <c r="C10"/>
      <c r="D10"/>
      <c r="E10"/>
      <c r="F10"/>
      <c r="G10"/>
      <c r="H10"/>
      <c r="I10"/>
      <c r="J10"/>
      <c r="K10" s="10"/>
      <c r="L10" s="10"/>
      <c r="M10" s="10"/>
      <c r="N10" s="10"/>
      <c r="O10" s="10"/>
      <c r="P10" s="10"/>
      <c r="Q10" s="10"/>
      <c r="R10" s="10"/>
      <c r="AA10" s="295" t="s">
        <v>1789</v>
      </c>
      <c r="AB10" s="302" t="s">
        <v>824</v>
      </c>
      <c r="AC10" s="134" t="s">
        <v>1743</v>
      </c>
      <c r="AD10" s="300" t="str">
        <f>IF($AC10="No","n/a",SUM(LC_Refrig[Total kVA]))</f>
        <v>n/a</v>
      </c>
      <c r="AE10" s="303" t="str">
        <f>IF(Generator!$B$55="","",Generator!$B$55)</f>
        <v/>
      </c>
      <c r="AF10" s="303" t="str">
        <f>IF(UPS!$B$50="","",UPS!$B$50)</f>
        <v/>
      </c>
      <c r="AG10" s="300">
        <f>IF($AC10="No",0,COUNTIFS(LC_Refrig[Status],"Unplaced")+COUNTIFS(LC_Refrig[Status],"Partial"))</f>
        <v>0</v>
      </c>
      <c r="AH10" s="556">
        <f>IF($AC10="No",0,SUMIFS(LC_Refrig[Total kVA],LC_Refrig[Status],"Unplaced")+SUMIFS(LC_Refrig[Total kVA],LC_Refrig[Status],"Partial"))</f>
        <v>0</v>
      </c>
    </row>
    <row r="11" spans="1:34" s="20" customFormat="1" ht="15" customHeight="1" x14ac:dyDescent="0.35">
      <c r="A11" s="651" t="str">
        <f>"LIGHTING POWER DENSITY — "&amp;LEFT(Cfg_Energy_Code,FIND(" ",Cfg_Energy_Code&amp;" ")-1)&amp;" C405.4.2"</f>
        <v>LIGHTING POWER DENSITY —  C405.4.2</v>
      </c>
      <c r="B11" s="652"/>
      <c r="C11" s="652"/>
      <c r="D11" s="652"/>
      <c r="E11" s="652"/>
      <c r="F11" s="652"/>
      <c r="G11" s="652"/>
      <c r="H11" s="652"/>
      <c r="I11" s="652"/>
      <c r="J11" s="652"/>
      <c r="K11" s="652"/>
      <c r="L11" s="652"/>
      <c r="M11" s="652"/>
      <c r="N11" s="652"/>
      <c r="O11" s="652"/>
      <c r="P11" s="652"/>
      <c r="Q11" s="652"/>
      <c r="R11" s="652"/>
      <c r="S11" s="652"/>
      <c r="T11" s="652"/>
      <c r="U11" s="652"/>
      <c r="V11" s="652"/>
      <c r="W11" s="652"/>
      <c r="X11" s="653"/>
      <c r="AA11" s="295" t="s">
        <v>1790</v>
      </c>
      <c r="AB11" s="302" t="s">
        <v>825</v>
      </c>
      <c r="AC11" s="134" t="s">
        <v>830</v>
      </c>
      <c r="AD11" s="300">
        <f>IF($AC11="No","n/a",SUM(LC_Mech[Total kVA]))</f>
        <v>0</v>
      </c>
      <c r="AE11" s="303"/>
      <c r="AF11" s="303"/>
      <c r="AG11" s="300">
        <f>IF($AC11="No",0,COUNTIFS(LC_Mech[Status],"Unplaced")+COUNTIFS(LC_Mech[Status],"Partial"))</f>
        <v>0</v>
      </c>
      <c r="AH11" s="556">
        <f>IF($AC11="No",0,SUMIFS(LC_Mech[Total kVA],LC_Mech[Status],"Unplaced")+SUMIFS(LC_Mech[Total kVA],LC_Mech[Status],"Partial"))</f>
        <v>0</v>
      </c>
    </row>
    <row r="12" spans="1:34" s="20" customFormat="1" ht="15" customHeight="1" x14ac:dyDescent="0.35">
      <c r="A12" s="654"/>
      <c r="B12" s="655"/>
      <c r="C12" s="655"/>
      <c r="D12" s="655"/>
      <c r="E12" s="655"/>
      <c r="F12" s="655"/>
      <c r="G12" s="655"/>
      <c r="H12" s="655"/>
      <c r="I12" s="655"/>
      <c r="J12" s="655"/>
      <c r="K12" s="655"/>
      <c r="L12" s="655"/>
      <c r="M12" s="655"/>
      <c r="N12" s="655"/>
      <c r="O12" s="655"/>
      <c r="P12" s="655"/>
      <c r="Q12" s="655"/>
      <c r="R12" s="655"/>
      <c r="S12" s="655"/>
      <c r="T12" s="655"/>
      <c r="U12" s="655"/>
      <c r="V12" s="655"/>
      <c r="W12" s="655"/>
      <c r="X12" s="656"/>
      <c r="AA12" s="295" t="s">
        <v>1791</v>
      </c>
      <c r="AB12" s="302" t="s">
        <v>826</v>
      </c>
      <c r="AC12" s="134" t="s">
        <v>830</v>
      </c>
      <c r="AD12" s="300">
        <f>IF($AC12="No","n/a",SUM(LC_Plumb[Total kVA]))</f>
        <v>0</v>
      </c>
      <c r="AE12" s="303" t="str">
        <f>IF(Generator!$B$56="","",Generator!$B$56)</f>
        <v/>
      </c>
      <c r="AF12" s="303" t="str">
        <f>IF(UPS!$B$51="","",UPS!$B$51)</f>
        <v/>
      </c>
      <c r="AG12" s="300">
        <f>IF($AC12="No",0,COUNTIFS(LC_Plumb[Status],"Unplaced")+COUNTIFS(LC_Plumb[Status],"Partial"))</f>
        <v>0</v>
      </c>
      <c r="AH12" s="556">
        <f>IF($AC12="No",0,SUMIFS(LC_Plumb[Total kVA],LC_Plumb[Status],"Unplaced")+SUMIFS(LC_Plumb[Total kVA],LC_Plumb[Status],"Partial"))</f>
        <v>0</v>
      </c>
    </row>
    <row r="13" spans="1:34" s="20" customFormat="1" ht="15" customHeight="1" x14ac:dyDescent="0.35">
      <c r="A13" s="257"/>
      <c r="B13" s="257"/>
      <c r="C13" s="257"/>
      <c r="D13" s="257"/>
      <c r="E13" s="257"/>
      <c r="F13" s="257"/>
      <c r="G13" s="257"/>
      <c r="H13" s="257"/>
      <c r="I13" s="257"/>
      <c r="J13" s="257"/>
      <c r="K13" s="257"/>
      <c r="L13" s="257"/>
      <c r="M13" s="257"/>
      <c r="N13" s="257"/>
      <c r="O13" s="257"/>
      <c r="P13" s="257"/>
      <c r="Q13" s="257"/>
      <c r="R13" s="257"/>
      <c r="S13" s="257"/>
      <c r="T13" s="257"/>
      <c r="U13" s="257"/>
      <c r="V13" s="257"/>
      <c r="W13" s="257"/>
      <c r="X13" s="257"/>
      <c r="AA13" s="295" t="s">
        <v>1792</v>
      </c>
      <c r="AB13" s="302" t="s">
        <v>827</v>
      </c>
      <c r="AC13" s="134" t="s">
        <v>1743</v>
      </c>
      <c r="AD13" s="300" t="str">
        <f>IF($AC13="No","n/a",SUM(LC_Kitchen[Total kVA]))</f>
        <v>n/a</v>
      </c>
      <c r="AE13" s="303" t="str">
        <f>IF(Generator!$B$57="","",Generator!$B$57)</f>
        <v/>
      </c>
      <c r="AF13" s="303" t="str">
        <f>IF(UPS!$B$52="","",UPS!$B$52)</f>
        <v/>
      </c>
      <c r="AG13" s="300">
        <f>IF($AC13="No",0,COUNTIFS(LC_Kitchen[Status],"Unplaced")+COUNTIFS(LC_Kitchen[Status],"Partial"))</f>
        <v>0</v>
      </c>
      <c r="AH13" s="556">
        <f>IF($AC13="No",0,SUMIFS(LC_Kitchen[Total kVA],LC_Kitchen[Status],"Unplaced")+SUMIFS(LC_Kitchen[Total kVA],LC_Kitchen[Status],"Partial"))</f>
        <v>0</v>
      </c>
    </row>
    <row r="14" spans="1:34" s="20" customFormat="1" ht="15" customHeight="1" x14ac:dyDescent="0.35">
      <c r="A14"/>
      <c r="B14" s="304" t="s">
        <v>810</v>
      </c>
      <c r="C14" s="630"/>
      <c r="D14" s="630"/>
      <c r="E14"/>
      <c r="F14"/>
      <c r="G14"/>
      <c r="H14"/>
      <c r="I14"/>
      <c r="J14"/>
      <c r="K14" s="257"/>
      <c r="L14" s="257"/>
      <c r="M14" s="257"/>
      <c r="N14" s="257"/>
      <c r="O14" s="257"/>
      <c r="P14" s="257"/>
      <c r="Q14" s="257"/>
      <c r="R14" s="257"/>
      <c r="S14" s="257"/>
      <c r="T14" s="257"/>
      <c r="U14" s="257"/>
      <c r="V14" s="257"/>
      <c r="W14" s="257"/>
      <c r="X14" s="257"/>
      <c r="AA14" s="295" t="s">
        <v>1793</v>
      </c>
      <c r="AB14" s="302" t="s">
        <v>828</v>
      </c>
      <c r="AC14" s="134" t="s">
        <v>1743</v>
      </c>
      <c r="AD14" s="300" t="str">
        <f>IF($AC14="No","n/a",SUM(LC_Elev[Total kVA]))</f>
        <v>n/a</v>
      </c>
      <c r="AE14" s="303" t="str">
        <f>IF(Generator!$B$58="","",Generator!$B$58)</f>
        <v/>
      </c>
      <c r="AF14" s="303" t="str">
        <f>IF(UPS!$B$53="","",UPS!$B$53)</f>
        <v/>
      </c>
      <c r="AG14" s="300">
        <f>IF($AC14="No",0,COUNTIFS(LC_Elev[Status],"Unplaced")+COUNTIFS(LC_Elev[Status],"Partial"))</f>
        <v>0</v>
      </c>
      <c r="AH14" s="556">
        <f>IF($AC14="No",0,SUMIFS(LC_Elev[Total kVA],LC_Elev[Status],"Unplaced")+SUMIFS(LC_Elev[Total kVA],LC_Elev[Status],"Partial"))</f>
        <v>0</v>
      </c>
    </row>
    <row r="15" spans="1:34" s="20" customFormat="1" ht="15" customHeight="1" x14ac:dyDescent="0.35">
      <c r="A15"/>
      <c r="B15" s="304" t="s">
        <v>778</v>
      </c>
      <c r="C15" s="630"/>
      <c r="D15" s="630"/>
      <c r="E15"/>
      <c r="F15"/>
      <c r="G15"/>
      <c r="H15"/>
      <c r="I15"/>
      <c r="J15"/>
      <c r="K15" s="10"/>
      <c r="L15" s="10"/>
      <c r="M15" s="10"/>
      <c r="N15" s="10"/>
      <c r="O15" s="10"/>
      <c r="P15" s="10"/>
      <c r="Q15" s="10"/>
      <c r="R15" s="10"/>
      <c r="AA15" s="295" t="s">
        <v>1794</v>
      </c>
      <c r="AB15" s="302" t="s">
        <v>829</v>
      </c>
      <c r="AC15" s="134" t="s">
        <v>1743</v>
      </c>
      <c r="AD15" s="300" t="str">
        <f>IF($AC15="No","n/a",SUM(LC_EV[Total kVA]))</f>
        <v>n/a</v>
      </c>
      <c r="AG15" s="300">
        <f>IF($AC15="No",0,COUNTIFS(LC_EV[Status],"Unplaced")+COUNTIFS(LC_EV[Status],"Partial"))</f>
        <v>0</v>
      </c>
      <c r="AH15" s="556">
        <f>IF($AC15="No",0,SUMIFS(LC_EV[Total kVA],LC_EV[Status],"Unplaced")+SUMIFS(LC_EV[Total kVA],LC_EV[Status],"Partial"))</f>
        <v>0</v>
      </c>
    </row>
    <row r="16" spans="1:34" s="20" customFormat="1" ht="15" customHeight="1" x14ac:dyDescent="0.35">
      <c r="A16"/>
      <c r="B16" s="304" t="s">
        <v>780</v>
      </c>
      <c r="C16" s="639">
        <f>SUM(LC_Areas[Lighting W])</f>
        <v>0</v>
      </c>
      <c r="D16" s="639"/>
      <c r="E16"/>
      <c r="F16"/>
      <c r="G16"/>
      <c r="H16"/>
      <c r="I16"/>
      <c r="J16"/>
      <c r="K16" s="10"/>
      <c r="L16" s="10"/>
      <c r="M16" s="10"/>
      <c r="N16" s="10"/>
      <c r="O16" s="10"/>
      <c r="P16" s="10"/>
      <c r="Q16" s="10"/>
      <c r="R16" s="10"/>
      <c r="AA16" s="295" t="s">
        <v>1795</v>
      </c>
      <c r="AB16" s="302" t="s">
        <v>1636</v>
      </c>
      <c r="AC16" s="134" t="s">
        <v>830</v>
      </c>
      <c r="AD16" s="300">
        <f>IF($AC16="No","n/a",SUM(LC_Data[Total kVA]))</f>
        <v>0</v>
      </c>
      <c r="AG16" s="300">
        <f>IF($AC16="No",0,COUNTIFS(LC_Data[Status],"Unplaced")+COUNTIFS(LC_Data[Status],"Partial"))</f>
        <v>0</v>
      </c>
      <c r="AH16" s="556">
        <f>IF($AC16="No",0,SUMIFS(LC_Data[Total kVA],LC_Data[Status],"Unplaced")+SUMIFS(LC_Data[Total kVA],LC_Data[Status],"Partial"))</f>
        <v>0</v>
      </c>
    </row>
    <row r="17" spans="1:34" s="20" customFormat="1" ht="15" customHeight="1" x14ac:dyDescent="0.35">
      <c r="A17"/>
      <c r="B17" s="304" t="s">
        <v>781</v>
      </c>
      <c r="C17" s="639">
        <f>SUM(LC_Areas[Total SF])</f>
        <v>0</v>
      </c>
      <c r="D17" s="639"/>
      <c r="E17"/>
      <c r="F17"/>
      <c r="G17"/>
      <c r="H17"/>
      <c r="I17"/>
      <c r="J17"/>
      <c r="K17" s="10"/>
      <c r="L17" s="10"/>
      <c r="M17" s="10"/>
      <c r="N17" s="10"/>
      <c r="O17" s="10"/>
      <c r="P17" s="10"/>
      <c r="Q17" s="10"/>
      <c r="R17" s="10"/>
      <c r="AA17" s="295" t="s">
        <v>1741</v>
      </c>
      <c r="AB17" s="302" t="s">
        <v>1638</v>
      </c>
      <c r="AC17" s="134" t="s">
        <v>1743</v>
      </c>
      <c r="AD17" s="300" t="str">
        <f>IF($AC17="No","n/a",SUM(LC_Fire[Total kVA]))</f>
        <v>n/a</v>
      </c>
      <c r="AG17" s="300">
        <f>IF($AC17="No",0,COUNTIFS(LC_Fire[Status],"Unplaced")+COUNTIFS(LC_Fire[Status],"Partial"))</f>
        <v>0</v>
      </c>
      <c r="AH17" s="556">
        <f>IF($AC17="No",0,SUMIFS(LC_Fire[Total kVA],LC_Fire[Status],"Unplaced")+SUMIFS(LC_Fire[Total kVA],LC_Fire[Status],"Partial"))</f>
        <v>0</v>
      </c>
    </row>
    <row r="18" spans="1:34" s="20" customFormat="1" ht="15" customHeight="1" x14ac:dyDescent="0.35">
      <c r="A18"/>
      <c r="B18" s="305" t="s">
        <v>782</v>
      </c>
      <c r="C18" s="638">
        <f>IF(N($C$17)=0,0,$C$16/$C$17)</f>
        <v>0</v>
      </c>
      <c r="D18" s="638"/>
      <c r="E18"/>
      <c r="F18"/>
      <c r="G18"/>
      <c r="H18"/>
      <c r="I18"/>
      <c r="J18"/>
      <c r="K18" s="10"/>
      <c r="L18" s="10"/>
      <c r="M18" s="10"/>
      <c r="N18" s="10"/>
      <c r="O18" s="10"/>
      <c r="P18" s="10"/>
      <c r="Q18" s="10"/>
      <c r="R18" s="10"/>
      <c r="AA18" s="306" t="s">
        <v>1742</v>
      </c>
      <c r="AB18" s="307" t="s">
        <v>1639</v>
      </c>
      <c r="AC18" s="547" t="s">
        <v>1743</v>
      </c>
      <c r="AD18" s="308" t="str">
        <f>IF($AC18="No","n/a",SUM(LC_Process[Total kVA]))</f>
        <v>n/a</v>
      </c>
      <c r="AG18" s="308">
        <f>IF($AC18="No",0,COUNTIFS(LC_Process[Status],"Unplaced")+COUNTIFS(LC_Process[Status],"Partial"))</f>
        <v>0</v>
      </c>
      <c r="AH18" s="558">
        <f>IF($AC18="No",0,SUMIFS(LC_Process[Total kVA],LC_Process[Status],"Unplaced")+SUMIFS(LC_Process[Total kVA],LC_Process[Status],"Partial"))</f>
        <v>0</v>
      </c>
    </row>
    <row r="19" spans="1:34" s="20" customFormat="1" ht="15" customHeight="1" x14ac:dyDescent="0.35">
      <c r="A19"/>
      <c r="B19" s="304" t="s">
        <v>811</v>
      </c>
      <c r="C19" s="637" t="str">
        <f>_xlfn.LET(_xlpm.n,COUNTIFS(LC_Areas[Total SF],"&gt;0"),_xlpm.m,COUNTIFS(LC_Areas[Total SF],"&gt;0",LC_Areas[Space Type],""),_xlpm.x,COUNTIF(LC_Areas[LPD (W/ft²)],"not listed*"),IF(_xlpm.n=0,"— no areas entered",IF(_xlpm.x&gt;0,"✘ "&amp;_xlpm.x&amp;" type(s) not listed in "&amp;Cfg_Energy_Code,IF(_xlpm.m&gt;0,"⚠ "&amp;_xlpm.m&amp;" of "&amp;_xlpm.n&amp;" area(s) missing a type","✔ all "&amp;_xlpm.n&amp;" area(s) typed"))))</f>
        <v>— no areas entered</v>
      </c>
      <c r="D19" s="637"/>
      <c r="E19"/>
      <c r="F19"/>
      <c r="G19"/>
      <c r="H19"/>
      <c r="I19"/>
      <c r="J19"/>
      <c r="K19" s="10"/>
      <c r="L19" s="10"/>
      <c r="M19" s="10"/>
      <c r="N19" s="10"/>
      <c r="O19" s="10"/>
      <c r="P19" s="10"/>
      <c r="Q19" s="10"/>
      <c r="R19" s="10"/>
      <c r="AA19"/>
      <c r="AB19"/>
      <c r="AC19"/>
      <c r="AD19"/>
      <c r="AE19"/>
      <c r="AF19"/>
      <c r="AG19"/>
      <c r="AH19" s="575"/>
    </row>
    <row r="20" spans="1:34" s="20" customFormat="1" ht="15" customHeight="1" x14ac:dyDescent="0.35">
      <c r="A20" s="10"/>
      <c r="B20" s="10"/>
      <c r="C20" s="10"/>
      <c r="D20" s="10"/>
      <c r="E20" s="10"/>
      <c r="F20" s="10"/>
      <c r="G20" s="10"/>
      <c r="H20" s="10"/>
      <c r="I20" s="10"/>
      <c r="J20" s="10"/>
      <c r="K20" s="10"/>
      <c r="L20" s="10"/>
      <c r="M20" s="10"/>
      <c r="N20" s="10"/>
      <c r="O20" s="10"/>
      <c r="P20" s="10"/>
      <c r="Q20" s="10"/>
      <c r="AA20"/>
      <c r="AB20"/>
      <c r="AC20"/>
      <c r="AD20"/>
      <c r="AH20" s="559"/>
    </row>
    <row r="21" spans="1:34" s="20" customFormat="1" ht="15" customHeight="1" x14ac:dyDescent="0.35">
      <c r="A21" s="648" t="s">
        <v>262</v>
      </c>
      <c r="B21" s="649"/>
      <c r="C21" s="649"/>
      <c r="D21" s="649"/>
      <c r="E21" s="649"/>
      <c r="F21" s="649"/>
      <c r="G21" s="649"/>
      <c r="H21" s="649"/>
      <c r="I21" s="649"/>
      <c r="J21" s="649"/>
      <c r="K21" s="649"/>
      <c r="L21" s="649"/>
      <c r="M21" s="649"/>
      <c r="N21" s="649"/>
      <c r="O21" s="649"/>
      <c r="P21" s="649"/>
      <c r="Q21" s="649"/>
      <c r="R21" s="649"/>
      <c r="S21" s="649"/>
      <c r="T21" s="649"/>
      <c r="U21" s="649"/>
      <c r="V21" s="649"/>
      <c r="W21" s="649"/>
      <c r="X21" s="650"/>
      <c r="AH21" s="559"/>
    </row>
    <row r="22" spans="1:34" ht="15" customHeight="1" x14ac:dyDescent="0.45">
      <c r="A22" s="634"/>
      <c r="B22" s="647"/>
      <c r="C22" s="647"/>
      <c r="D22" s="647"/>
      <c r="E22" s="647"/>
      <c r="F22" s="647"/>
      <c r="G22" s="647"/>
      <c r="H22" s="647"/>
      <c r="I22" s="647"/>
      <c r="J22" s="647"/>
      <c r="K22" s="647"/>
      <c r="L22" s="647"/>
      <c r="M22" s="647"/>
      <c r="N22" s="647"/>
      <c r="O22" s="647"/>
      <c r="P22" s="647"/>
      <c r="Q22" s="647"/>
      <c r="R22" s="647"/>
      <c r="S22" s="647"/>
      <c r="T22" s="647"/>
      <c r="U22" s="647"/>
      <c r="V22" s="647"/>
      <c r="W22" s="647"/>
      <c r="X22" s="632"/>
      <c r="AH22" s="560"/>
    </row>
    <row r="23" spans="1:34" ht="15" customHeight="1" x14ac:dyDescent="0.45">
      <c r="A23" s="44"/>
      <c r="B23" s="44"/>
      <c r="C23" s="44"/>
      <c r="D23" s="44"/>
      <c r="E23" s="44"/>
      <c r="F23" s="44"/>
      <c r="G23" s="44"/>
      <c r="H23" s="44"/>
      <c r="I23" s="44"/>
      <c r="J23" s="44"/>
      <c r="K23" s="44"/>
      <c r="L23" s="44"/>
      <c r="M23" s="44"/>
      <c r="N23" s="44"/>
      <c r="O23" s="44"/>
      <c r="P23" s="44"/>
      <c r="Q23" s="44"/>
      <c r="AH23" s="560"/>
    </row>
    <row r="24" spans="1:34" s="45" customFormat="1" ht="15" customHeight="1" x14ac:dyDescent="0.45">
      <c r="A24" s="24"/>
      <c r="B24" s="309" t="s">
        <v>193</v>
      </c>
      <c r="C24" s="310" t="s">
        <v>263</v>
      </c>
      <c r="D24" s="310" t="s">
        <v>264</v>
      </c>
      <c r="E24" s="310" t="s">
        <v>265</v>
      </c>
      <c r="F24" s="310" t="s">
        <v>266</v>
      </c>
      <c r="G24" s="311" t="s">
        <v>210</v>
      </c>
      <c r="H24" s="24"/>
      <c r="I24" s="24"/>
      <c r="J24" s="24"/>
      <c r="K24" s="24"/>
      <c r="L24" s="24"/>
      <c r="M24" s="24"/>
      <c r="N24" s="24"/>
      <c r="O24" s="24"/>
      <c r="P24" s="24"/>
      <c r="Q24" s="24"/>
      <c r="AH24" s="561"/>
    </row>
    <row r="25" spans="1:34" s="46" customFormat="1" ht="15" customHeight="1" x14ac:dyDescent="0.35">
      <c r="A25" s="21"/>
      <c r="B25" s="312" t="s">
        <v>267</v>
      </c>
      <c r="C25" s="138">
        <v>2</v>
      </c>
      <c r="D25" s="29">
        <f>SUM(LC_Areas[Total SF])</f>
        <v>0</v>
      </c>
      <c r="E25" s="40">
        <f>IF(OR(LC_WSF[[#This Row],[W/SF]]="",LC_WSF[[#This Row],[Applies to SF]]=""),"",LC_WSF[[#This Row],[W/SF]]*LC_WSF[[#This Row],[Applies to SF]]/1000)</f>
        <v>0</v>
      </c>
      <c r="F25" s="313" t="str">
        <f>IF(OR(E25="",E25=0),"",(MIN(E25*1000,Rcpt_Thresh_VA)+MAX(0,E25*1000-Rcpt_Thresh_VA)*Rcpt_Rem_DF)/1000/E25)</f>
        <v/>
      </c>
      <c r="G25" s="41">
        <f>IF(LC_WSF[[#This Row],[Connected kVA]]="","",LC_WSF[[#This Row],[Connected kVA]]*IF(LC_WSF[[#This Row],[Demand Factor]]="",1,LC_WSF[[#This Row],[Demand Factor]]))</f>
        <v>0</v>
      </c>
      <c r="H25" s="21"/>
      <c r="I25" s="21"/>
      <c r="J25" s="21"/>
      <c r="K25" s="21"/>
      <c r="L25" s="21"/>
      <c r="M25" s="21"/>
      <c r="N25" s="21"/>
      <c r="O25" s="21"/>
      <c r="P25" s="21"/>
      <c r="Q25" s="21"/>
      <c r="AH25" s="562"/>
    </row>
    <row r="26" spans="1:34" s="46" customFormat="1" ht="15" customHeight="1" x14ac:dyDescent="0.35">
      <c r="A26" s="21"/>
      <c r="B26" s="312" t="s">
        <v>268</v>
      </c>
      <c r="C26" s="138">
        <v>2</v>
      </c>
      <c r="D26" s="29">
        <f>SUM(LC_Areas[Total SF])</f>
        <v>0</v>
      </c>
      <c r="E26" s="40">
        <f>IF(OR(LC_WSF[[#This Row],[W/SF]]="",LC_WSF[[#This Row],[Applies to SF]]=""),"",LC_WSF[[#This Row],[W/SF]]*LC_WSF[[#This Row],[Applies to SF]]/1000)</f>
        <v>0</v>
      </c>
      <c r="F26" s="314">
        <v>1</v>
      </c>
      <c r="G26" s="41">
        <f>IF(LC_WSF[[#This Row],[Connected kVA]]="","",LC_WSF[[#This Row],[Connected kVA]]*IF(LC_WSF[[#This Row],[Demand Factor]]="",1,LC_WSF[[#This Row],[Demand Factor]]))</f>
        <v>0</v>
      </c>
      <c r="H26" s="21"/>
      <c r="I26" s="21"/>
      <c r="J26" s="21"/>
      <c r="K26" s="21"/>
      <c r="L26" s="21"/>
      <c r="M26" s="21"/>
      <c r="N26" s="21"/>
      <c r="O26" s="21"/>
      <c r="P26" s="21"/>
      <c r="Q26" s="21"/>
      <c r="AH26" s="562"/>
    </row>
    <row r="27" spans="1:34" s="46" customFormat="1" ht="15" customHeight="1" x14ac:dyDescent="0.35">
      <c r="A27" s="21"/>
      <c r="B27" s="312" t="str">
        <f>"General Lighting ("&amp;LEFT(Cfg_Energy_Code,FIND(" ",Cfg_Energy_Code&amp;" ")-1)&amp;" C405.4.2)"</f>
        <v>General Lighting ( C405.4.2)</v>
      </c>
      <c r="C27" s="30">
        <f>$C$18</f>
        <v>0</v>
      </c>
      <c r="D27" s="29">
        <f>SUM(LC_Areas[Total SF])</f>
        <v>0</v>
      </c>
      <c r="E27" s="40">
        <f>IF(OR(LC_WSF[[#This Row],[W/SF]]="",LC_WSF[[#This Row],[Applies to SF]]=""),"",LC_WSF[[#This Row],[W/SF]]*LC_WSF[[#This Row],[Applies to SF]]/1000)</f>
        <v>0</v>
      </c>
      <c r="F27" s="545">
        <v>1</v>
      </c>
      <c r="G27" s="41">
        <f>IF(LC_WSF[[#This Row],[Connected kVA]]="","",LC_WSF[[#This Row],[Connected kVA]]*IF(LC_WSF[[#This Row],[Demand Factor]]="",1,LC_WSF[[#This Row],[Demand Factor]]))</f>
        <v>0</v>
      </c>
      <c r="H27" s="21"/>
      <c r="I27" s="21"/>
      <c r="J27" s="21"/>
      <c r="K27" s="21"/>
      <c r="L27" s="21"/>
      <c r="M27" s="21"/>
      <c r="N27" s="21"/>
      <c r="O27" s="21"/>
      <c r="P27" s="21"/>
      <c r="Q27" s="21"/>
      <c r="AH27" s="562"/>
    </row>
    <row r="28" spans="1:34" s="46" customFormat="1" ht="15" customHeight="1" x14ac:dyDescent="0.35">
      <c r="A28" s="21"/>
      <c r="B28" s="315" t="s">
        <v>269</v>
      </c>
      <c r="C28" s="191">
        <v>15</v>
      </c>
      <c r="D28" s="192">
        <f>SUM(LC_Areas[Total SF])</f>
        <v>0</v>
      </c>
      <c r="E28" s="42">
        <f>IF(OR(LC_WSF[[#This Row],[W/SF]]="",LC_WSF[[#This Row],[Applies to SF]]=""),"",LC_WSF[[#This Row],[W/SF]]*LC_WSF[[#This Row],[Applies to SF]]/1000)</f>
        <v>0</v>
      </c>
      <c r="F28" s="316">
        <v>1</v>
      </c>
      <c r="G28" s="43">
        <f>IF(LC_WSF[[#This Row],[Connected kVA]]="","",LC_WSF[[#This Row],[Connected kVA]]*IF(LC_WSF[[#This Row],[Demand Factor]]="",1,LC_WSF[[#This Row],[Demand Factor]]))</f>
        <v>0</v>
      </c>
      <c r="H28" s="21"/>
      <c r="I28" s="21"/>
      <c r="J28" s="21"/>
      <c r="K28" s="21"/>
      <c r="L28" s="21"/>
      <c r="M28" s="21"/>
      <c r="N28" s="21"/>
      <c r="O28" s="21"/>
      <c r="P28" s="21"/>
      <c r="Q28" s="21"/>
      <c r="AH28" s="562"/>
    </row>
    <row r="29" spans="1:34" s="46" customFormat="1" ht="15" customHeight="1" x14ac:dyDescent="0.35">
      <c r="A29" s="21"/>
      <c r="B29" s="317" t="s">
        <v>1420</v>
      </c>
      <c r="C29" s="193"/>
      <c r="D29" s="193"/>
      <c r="E29" s="194">
        <f>SUM(LC_WSF[Connected kVA])</f>
        <v>0</v>
      </c>
      <c r="F29" s="193"/>
      <c r="G29" s="195">
        <f>SUM(LC_WSF[Demand kVA])</f>
        <v>0</v>
      </c>
      <c r="H29" s="21"/>
      <c r="I29" s="21"/>
      <c r="J29" s="21"/>
      <c r="K29" s="21"/>
      <c r="L29" s="21"/>
      <c r="M29" s="21"/>
      <c r="N29" s="21"/>
      <c r="O29" s="21"/>
      <c r="P29" s="21"/>
      <c r="Q29" s="21"/>
      <c r="AH29" s="562"/>
    </row>
    <row r="30" spans="1:34" ht="15" customHeight="1" x14ac:dyDescent="0.45">
      <c r="A30" s="9"/>
      <c r="B30" s="9"/>
      <c r="C30" s="9"/>
      <c r="D30" s="9"/>
      <c r="E30" s="9"/>
      <c r="F30" s="9"/>
      <c r="G30" s="9"/>
      <c r="H30" s="9"/>
      <c r="I30" s="9"/>
      <c r="J30" s="9"/>
      <c r="K30" s="9"/>
      <c r="L30" s="9"/>
      <c r="M30" s="9"/>
      <c r="N30" s="9"/>
      <c r="O30" s="9"/>
      <c r="P30" s="9"/>
      <c r="Q30" s="9"/>
      <c r="AH30" s="560"/>
    </row>
    <row r="31" spans="1:34" ht="15" customHeight="1" x14ac:dyDescent="0.45">
      <c r="A31" s="648" t="str" cm="1">
        <f t="array" ref="A31">"EXISTING BUILDING DEMAND — NEC "&amp;NECREF("220.87")&amp;" (12-MONTH BILLS OR 30-DAY LOGGING)"</f>
        <v>EXISTING BUILDING DEMAND — NEC 220.87 (12-MONTH BILLS OR 30-DAY LOGGING)</v>
      </c>
      <c r="B31" s="649"/>
      <c r="C31" s="649"/>
      <c r="D31" s="649"/>
      <c r="E31" s="649"/>
      <c r="F31" s="649"/>
      <c r="G31" s="649"/>
      <c r="H31" s="649"/>
      <c r="I31" s="649"/>
      <c r="J31" s="649"/>
      <c r="K31" s="649"/>
      <c r="L31" s="649"/>
      <c r="M31" s="649"/>
      <c r="N31" s="649"/>
      <c r="O31" s="649"/>
      <c r="P31" s="649"/>
      <c r="Q31" s="649"/>
      <c r="R31" s="649"/>
      <c r="S31" s="649"/>
      <c r="T31" s="649"/>
      <c r="U31" s="649"/>
      <c r="V31" s="649"/>
      <c r="W31" s="649"/>
      <c r="X31" s="650"/>
      <c r="AH31" s="560"/>
    </row>
    <row r="32" spans="1:34" ht="15" customHeight="1" x14ac:dyDescent="0.45">
      <c r="A32" s="634"/>
      <c r="B32" s="647"/>
      <c r="C32" s="647"/>
      <c r="D32" s="647"/>
      <c r="E32" s="647"/>
      <c r="F32" s="647"/>
      <c r="G32" s="647"/>
      <c r="H32" s="647"/>
      <c r="I32" s="647"/>
      <c r="J32" s="647"/>
      <c r="K32" s="647"/>
      <c r="L32" s="647"/>
      <c r="M32" s="647"/>
      <c r="N32" s="647"/>
      <c r="O32" s="647"/>
      <c r="P32" s="647"/>
      <c r="Q32" s="647"/>
      <c r="R32" s="647"/>
      <c r="S32" s="647"/>
      <c r="T32" s="647"/>
      <c r="U32" s="647"/>
      <c r="V32" s="647"/>
      <c r="W32" s="647"/>
      <c r="X32" s="632"/>
      <c r="AH32" s="560"/>
    </row>
    <row r="33" spans="1:34" ht="15" customHeight="1" x14ac:dyDescent="0.45">
      <c r="A33" s="44"/>
      <c r="B33" s="44"/>
      <c r="C33" s="44"/>
      <c r="D33" s="44"/>
      <c r="E33" s="44"/>
      <c r="F33" s="44"/>
      <c r="G33" s="44"/>
      <c r="H33" s="44"/>
      <c r="I33" s="44"/>
      <c r="J33" s="44"/>
      <c r="K33" s="44"/>
      <c r="L33" s="44"/>
      <c r="M33" s="44"/>
      <c r="N33" s="44"/>
      <c r="O33" s="44"/>
      <c r="P33" s="44"/>
      <c r="Q33" s="44"/>
      <c r="AH33" s="560"/>
    </row>
    <row r="34" spans="1:34" ht="15" customHeight="1" x14ac:dyDescent="0.45">
      <c r="A34" s="9"/>
      <c r="B34" s="249" t="s">
        <v>541</v>
      </c>
      <c r="C34" s="88">
        <f>IF($G$34="30-Day Metered Logging",'Logging Demand'!$C$45,'Utility Demand'!$G$36)</f>
        <v>0</v>
      </c>
      <c r="D34" s="9"/>
      <c r="E34" s="9"/>
      <c r="F34" s="249" t="str" cm="1">
        <f t="array" ref="F34">"Method (NEC "&amp;NECREF("220.87")&amp;")"</f>
        <v>Method (NEC 220.87)</v>
      </c>
      <c r="G34" s="663"/>
      <c r="H34" s="664"/>
      <c r="I34" s="9"/>
      <c r="J34" s="9"/>
      <c r="K34" s="9"/>
      <c r="L34" s="9"/>
      <c r="M34" s="9"/>
      <c r="N34" s="9"/>
      <c r="O34" s="9"/>
      <c r="P34" s="9"/>
      <c r="Q34" s="9"/>
      <c r="AH34" s="560"/>
    </row>
    <row r="35" spans="1:34" ht="15" customHeight="1" x14ac:dyDescent="0.45">
      <c r="A35" s="9"/>
      <c r="B35" s="249" t="s">
        <v>270</v>
      </c>
      <c r="C35" s="40">
        <f>IF($G$34="30-Day Metered Logging",'Logging Demand'!$C$47,'Utility Demand'!$G$37)</f>
        <v>0</v>
      </c>
      <c r="D35" s="9"/>
      <c r="E35" s="9"/>
      <c r="F35" s="249" t="s">
        <v>272</v>
      </c>
      <c r="G35" s="139"/>
      <c r="H35" s="318"/>
      <c r="I35" s="9"/>
      <c r="J35" s="9"/>
      <c r="K35" s="9"/>
      <c r="L35" s="9"/>
      <c r="M35" s="9"/>
      <c r="N35" s="9"/>
      <c r="O35" s="9"/>
      <c r="P35" s="9"/>
      <c r="Q35" s="9"/>
      <c r="AH35" s="560"/>
    </row>
    <row r="36" spans="1:34" ht="15" customHeight="1" x14ac:dyDescent="0.45">
      <c r="A36" s="9"/>
      <c r="B36" s="249" t="str" cm="1">
        <f t="array" ref="B36">"NEC "&amp;NECREF("220.87")&amp;" Existing Load = 125% × Peak (kVA)"</f>
        <v>NEC 220.87 Existing Load = 125% × Peak (kVA)</v>
      </c>
      <c r="C36" s="40">
        <f>IF($C$35="","",1.25*$C$35)</f>
        <v>0</v>
      </c>
      <c r="D36" s="9"/>
      <c r="E36" s="9"/>
      <c r="F36" s="249" t="s">
        <v>273</v>
      </c>
      <c r="G36" s="40" t="str">
        <f>IF(OR($G$35="",NOT(ISNUMBER(Cfg_Volt))),"",$G$35*Cfg_Volt*IF(Cfg_Phase=3,SQRT3,1)/1000)</f>
        <v/>
      </c>
      <c r="H36" s="319"/>
      <c r="I36" s="9"/>
      <c r="J36" s="9"/>
      <c r="K36" s="9"/>
      <c r="L36" s="9"/>
      <c r="M36" s="9"/>
      <c r="N36" s="9"/>
      <c r="O36" s="9"/>
      <c r="P36" s="9"/>
      <c r="Q36" s="9"/>
      <c r="AH36" s="560"/>
    </row>
    <row r="37" spans="1:34" ht="15" customHeight="1" x14ac:dyDescent="0.45">
      <c r="A37" s="9"/>
      <c r="B37" s="249" t="s">
        <v>271</v>
      </c>
      <c r="C37" s="40" t="str">
        <f>IF(OR($C$36="",$G$36=""),"",$G$36-$C$36)</f>
        <v/>
      </c>
      <c r="D37" s="9"/>
      <c r="E37" s="9"/>
      <c r="F37" s="249" t="s">
        <v>274</v>
      </c>
      <c r="G37" s="320" t="str">
        <f>IF(OR($C$36="",$G$36=""),"",$C$36/$G$36)</f>
        <v/>
      </c>
      <c r="H37" s="319"/>
      <c r="I37" s="9"/>
      <c r="J37" s="9"/>
      <c r="K37" s="9"/>
      <c r="L37" s="9"/>
      <c r="M37" s="9"/>
      <c r="N37" s="9"/>
      <c r="O37" s="9"/>
      <c r="P37" s="9"/>
      <c r="Q37" s="9"/>
      <c r="AH37" s="560"/>
    </row>
    <row r="38" spans="1:34" ht="15" customHeight="1" x14ac:dyDescent="0.45">
      <c r="A38" s="9"/>
      <c r="B38" s="249" t="str" cm="1">
        <f t="array" ref="B38">IF(NEC_Ed="NEC 2026","Load Being Removed (kVA) — NEC "&amp;NECREF("220.87")&amp;"(2)","Load Being Removed (kVA) — used only with NEC 2026")</f>
        <v>Load Being Removed (kVA) — used only with NEC 2026</v>
      </c>
      <c r="C38" s="461"/>
      <c r="D38" s="9"/>
      <c r="E38" s="9"/>
      <c r="F38" s="249"/>
      <c r="G38" s="321"/>
      <c r="H38" s="9"/>
      <c r="I38" s="9"/>
      <c r="J38" s="9"/>
      <c r="K38" s="9"/>
      <c r="L38" s="9"/>
      <c r="M38" s="9"/>
      <c r="N38" s="9"/>
      <c r="O38" s="9"/>
      <c r="P38" s="9"/>
      <c r="Q38" s="9"/>
      <c r="AH38" s="560"/>
    </row>
    <row r="39" spans="1:34" ht="15" customHeight="1" x14ac:dyDescent="0.45">
      <c r="A39" s="9"/>
      <c r="B39" s="617" t="str" cm="1">
        <f t="array" ref="B39">"Auto-filled from the NEC "&amp;NECREF("220.87")&amp;" module chosen at right — 12-Month Utility Bills (Utility Demand tab) or 30-Day Metered Logging (Logging Demand tab). Enter the source data on that tab; only the selected method feeds this total."</f>
        <v>Auto-filled from the NEC 220.87 module chosen at right — 12-Month Utility Bills (Utility Demand tab) or 30-Day Metered Logging (Logging Demand tab). Enter the source data on that tab; only the selected method feeds this total.</v>
      </c>
      <c r="C39" s="617"/>
      <c r="D39" s="617"/>
      <c r="E39" s="617"/>
      <c r="F39" s="617"/>
      <c r="G39" s="617"/>
      <c r="H39" s="617"/>
      <c r="I39" s="617"/>
      <c r="J39" s="617"/>
      <c r="K39" s="617"/>
      <c r="L39" s="617"/>
      <c r="M39" s="617"/>
      <c r="N39" s="617"/>
      <c r="O39" s="617"/>
      <c r="P39" s="617"/>
      <c r="Q39" s="617"/>
      <c r="R39" s="617"/>
      <c r="S39" s="617"/>
      <c r="T39" s="617"/>
      <c r="U39" s="617"/>
      <c r="V39" s="552"/>
      <c r="W39" s="552"/>
      <c r="X39" s="552"/>
      <c r="AH39" s="560"/>
    </row>
    <row r="40" spans="1:34" ht="15" customHeight="1" x14ac:dyDescent="0.45">
      <c r="A40" s="9"/>
      <c r="B40" s="9"/>
      <c r="C40" s="9"/>
      <c r="D40" s="9"/>
      <c r="E40" s="9"/>
      <c r="F40" s="9"/>
      <c r="G40" s="9"/>
      <c r="H40" s="9"/>
      <c r="I40" s="9"/>
      <c r="J40" s="9"/>
      <c r="K40" s="9"/>
      <c r="L40" s="9"/>
      <c r="M40" s="9"/>
      <c r="N40" s="9"/>
      <c r="O40" s="9"/>
      <c r="P40" s="9"/>
      <c r="Q40" s="9"/>
      <c r="AH40" s="560"/>
    </row>
    <row r="41" spans="1:34" ht="15" customHeight="1" x14ac:dyDescent="0.45">
      <c r="A41" s="615" t="s">
        <v>1633</v>
      </c>
      <c r="B41" s="616"/>
      <c r="C41" s="616"/>
      <c r="D41" s="616"/>
      <c r="E41" s="616"/>
      <c r="F41" s="616"/>
      <c r="G41" s="616"/>
      <c r="H41" s="616"/>
      <c r="I41" s="616"/>
      <c r="J41" s="616"/>
      <c r="K41" s="616"/>
      <c r="L41" s="616"/>
      <c r="M41" s="616"/>
      <c r="N41" s="616"/>
      <c r="O41" s="616"/>
      <c r="P41" s="616"/>
      <c r="Q41" s="616"/>
      <c r="R41" s="616"/>
      <c r="S41" s="616"/>
      <c r="T41" s="616"/>
      <c r="U41" s="616"/>
      <c r="V41" s="616"/>
      <c r="W41" s="616"/>
      <c r="X41" s="616"/>
    </row>
    <row r="42" spans="1:34" ht="15" customHeight="1" x14ac:dyDescent="0.45">
      <c r="A42" s="615"/>
      <c r="B42" s="616"/>
      <c r="C42" s="616"/>
      <c r="D42" s="616"/>
      <c r="E42" s="616"/>
      <c r="F42" s="616"/>
      <c r="G42" s="616"/>
      <c r="H42" s="616"/>
      <c r="I42" s="616"/>
      <c r="J42" s="616"/>
      <c r="K42" s="616"/>
      <c r="L42" s="616"/>
      <c r="M42" s="616"/>
      <c r="N42" s="616"/>
      <c r="O42" s="616"/>
      <c r="P42" s="616"/>
      <c r="Q42" s="616"/>
      <c r="R42" s="616"/>
      <c r="S42" s="616"/>
      <c r="T42" s="616"/>
      <c r="U42" s="616"/>
      <c r="V42" s="616"/>
      <c r="W42" s="616"/>
      <c r="X42" s="616"/>
    </row>
    <row r="43" spans="1:34" ht="15" customHeight="1" x14ac:dyDescent="0.45">
      <c r="A43" s="34" t="s">
        <v>275</v>
      </c>
      <c r="B43" s="34" t="s">
        <v>195</v>
      </c>
      <c r="C43" s="34" t="s">
        <v>177</v>
      </c>
      <c r="D43" s="34" t="s">
        <v>276</v>
      </c>
      <c r="E43" s="324" t="s">
        <v>534</v>
      </c>
      <c r="F43" s="324" t="s">
        <v>527</v>
      </c>
      <c r="G43" s="324" t="s">
        <v>535</v>
      </c>
      <c r="H43" s="325" t="s">
        <v>536</v>
      </c>
      <c r="I43" s="34" t="s">
        <v>277</v>
      </c>
      <c r="J43" s="34" t="s">
        <v>278</v>
      </c>
      <c r="K43" s="34" t="s">
        <v>279</v>
      </c>
      <c r="L43" s="34" t="s">
        <v>280</v>
      </c>
      <c r="M43" s="34" t="s">
        <v>194</v>
      </c>
      <c r="N43" s="34" t="s">
        <v>281</v>
      </c>
      <c r="O43" s="34" t="s">
        <v>282</v>
      </c>
      <c r="P43" s="34" t="s">
        <v>283</v>
      </c>
      <c r="Q43" s="34" t="s">
        <v>284</v>
      </c>
      <c r="R43" s="34" t="s">
        <v>285</v>
      </c>
      <c r="S43" s="34" t="s">
        <v>249</v>
      </c>
      <c r="T43" s="34" t="s">
        <v>286</v>
      </c>
      <c r="U43" s="34" t="s">
        <v>206</v>
      </c>
      <c r="V43" s="34" t="s">
        <v>1886</v>
      </c>
      <c r="W43" s="34" t="s">
        <v>1887</v>
      </c>
      <c r="X43" s="34" t="s">
        <v>225</v>
      </c>
    </row>
    <row r="44" spans="1:34" ht="15" customHeight="1" x14ac:dyDescent="0.45">
      <c r="A44" s="140" t="s">
        <v>443</v>
      </c>
      <c r="B44" s="131"/>
      <c r="C44" s="134"/>
      <c r="D44" s="331"/>
      <c r="E44" s="328"/>
      <c r="F44" s="328"/>
      <c r="G44" s="328"/>
      <c r="H44" s="329"/>
      <c r="I44" s="332"/>
      <c r="J44" s="134"/>
      <c r="K44" s="134"/>
      <c r="L44" s="138"/>
      <c r="M44" s="134"/>
      <c r="N44" s="143"/>
      <c r="O44" s="30" t="str" cm="1">
        <f t="array" ref="O44">IF(OR(LC_Site[[#This Row],[Qty]]="",LC_Site[[#This Row],[Load Value]]="",LC_Site[[#This Row],[Unit]]=""),"",IFERROR(_xlfn.SWITCH(LC_Site[[#This Row],[Unit]],"HP",IF(LC_Site[[#This Row],[Ph]]=3,VLOOKUP(LC_Site[[#This Row],[Load Value]],Motor3_Table,IF(LC_Site[[#This Row],[Volts]]&lt;=215,2,IF(LC_Site[[#This Row],[Volts]]&lt;=245,3,IF(LC_Site[[#This Row],[Volts]]&lt;=500,4,5))),TRUE)*LC_Site[[#This Row],[Volts]]*SQRT3/1000,VLOOKUP(LC_Site[[#This Row],[Load Value]],Motor1_Table,IF(LC_Site[[#This Row],[Volts]]&lt;=130,2,3),TRUE)*LC_Site[[#This Row],[Volts]]/1000),"kW",LC_Site[[#This Row],[Load Value]]/IF(LC_Site[[#This Row],[PF]]="",0.9,LC_Site[[#This Row],[PF]]),"kVA",LC_Site[[#This Row],[Load Value]],"A",LC_Site[[#This Row],[Load Value]]*LC_Site[[#This Row],[Volts]]*IF(LC_Site[[#This Row],[Ph]]=3,SQRT3,1)/1000,"W",LC_Site[[#This Row],[Load Value]]/IF(LC_Site[[#This Row],[PF]]="",0.9,LC_Site[[#This Row],[PF]])/1000,"VA",LC_Site[[#This Row],[Load Value]]/1000),"chk"))</f>
        <v/>
      </c>
      <c r="P44" s="30" t="str">
        <f>IF(NOT(ISNUMBER(LC_Site[[#This Row],[kVA Each]])),"",LC_Site[[#This Row],[Qty]]*LC_Site[[#This Row],[kVA Each]])</f>
        <v/>
      </c>
      <c r="Q44" s="134"/>
      <c r="R44" s="134"/>
      <c r="S44" s="134"/>
      <c r="T44" s="134"/>
      <c r="U44" s="131"/>
      <c r="V44" s="30"/>
      <c r="W44" s="555">
        <v>0</v>
      </c>
      <c r="X44" s="30" t="str">
        <f>IF(LC_Site[[#This Row],[Description]]="","",IF(N(LC_Site[[#This Row],[Placed]])=0,"Unplaced",IF(LC_Site[[#This Row],[Placed]]&gt;=IF(LC_Site[[#This Row],[Ded. Ckt]]="N",1,MAX(1,N(LC_Site[[#This Row],[Qty]]))),"Placed","Partial")))</f>
        <v/>
      </c>
    </row>
    <row r="45" spans="1:34" ht="15" customHeight="1" x14ac:dyDescent="0.45">
      <c r="A45" s="21"/>
      <c r="B45" s="21"/>
      <c r="C45" s="21"/>
      <c r="D45" s="21"/>
      <c r="E45" s="21"/>
      <c r="F45" s="21"/>
      <c r="G45" s="21"/>
      <c r="H45" s="21"/>
      <c r="I45" s="21"/>
      <c r="J45" s="21"/>
      <c r="K45" s="21"/>
      <c r="L45" s="21"/>
      <c r="M45" s="21"/>
      <c r="N45" s="21"/>
      <c r="O45" s="21"/>
      <c r="P45" s="65"/>
      <c r="Q45" s="21"/>
      <c r="R45" s="21"/>
      <c r="S45" s="21"/>
      <c r="T45" s="21"/>
      <c r="U45" s="21"/>
      <c r="V45" s="21"/>
      <c r="W45" s="21"/>
      <c r="X45" s="21"/>
    </row>
    <row r="46" spans="1:34" ht="15" customHeight="1" x14ac:dyDescent="0.45">
      <c r="A46" s="21"/>
      <c r="B46" s="640" t="s">
        <v>287</v>
      </c>
      <c r="C46" s="640"/>
      <c r="D46" s="640"/>
      <c r="E46" s="640"/>
      <c r="F46" s="640"/>
      <c r="G46" s="143">
        <v>1</v>
      </c>
      <c r="H46" s="21"/>
      <c r="I46" s="21"/>
      <c r="J46" s="21"/>
      <c r="K46" s="21"/>
      <c r="L46" s="46"/>
      <c r="M46" s="21"/>
      <c r="N46" s="21"/>
      <c r="O46" s="582">
        <f>SUM(LC_Site[Total kVA])</f>
        <v>0</v>
      </c>
      <c r="P46" s="581">
        <f>ROUND(IFERROR($O46*$G46,0),1)</f>
        <v>0</v>
      </c>
      <c r="Q46" s="21"/>
      <c r="R46" s="46"/>
      <c r="S46" s="46"/>
      <c r="T46" s="46"/>
      <c r="U46" s="46"/>
      <c r="V46" s="46"/>
      <c r="W46" s="46"/>
      <c r="X46" s="46"/>
    </row>
    <row r="47" spans="1:34" ht="15" customHeight="1" x14ac:dyDescent="0.45">
      <c r="A47" s="9"/>
      <c r="B47" s="9"/>
      <c r="C47" s="9"/>
      <c r="D47" s="9"/>
      <c r="E47" s="9"/>
      <c r="F47" s="9"/>
      <c r="G47" s="9"/>
      <c r="H47" s="9"/>
      <c r="I47" s="9"/>
      <c r="J47" s="9"/>
      <c r="K47" s="9"/>
      <c r="L47" s="9"/>
      <c r="M47" s="9"/>
      <c r="N47" s="9"/>
      <c r="O47" s="9"/>
      <c r="P47" s="9"/>
      <c r="Q47" s="9"/>
    </row>
    <row r="48" spans="1:34" ht="15" customHeight="1" x14ac:dyDescent="0.45">
      <c r="A48" s="648" t="s">
        <v>814</v>
      </c>
      <c r="B48" s="649"/>
      <c r="C48" s="649"/>
      <c r="D48" s="649"/>
      <c r="E48" s="649"/>
      <c r="F48" s="649"/>
      <c r="G48" s="649"/>
      <c r="H48" s="649"/>
      <c r="I48" s="649"/>
      <c r="J48" s="649"/>
      <c r="K48" s="649"/>
      <c r="L48" s="649"/>
      <c r="M48" s="649"/>
      <c r="N48" s="649"/>
      <c r="O48" s="649"/>
      <c r="P48" s="649"/>
      <c r="Q48" s="649"/>
      <c r="R48" s="649"/>
      <c r="S48" s="649"/>
      <c r="T48" s="649"/>
      <c r="U48" s="649"/>
      <c r="V48" s="649"/>
      <c r="W48" s="649"/>
      <c r="X48" s="650"/>
    </row>
    <row r="49" spans="1:34" ht="15" customHeight="1" x14ac:dyDescent="0.45">
      <c r="A49" s="634"/>
      <c r="B49" s="647"/>
      <c r="C49" s="647"/>
      <c r="D49" s="647"/>
      <c r="E49" s="647"/>
      <c r="F49" s="647"/>
      <c r="G49" s="647"/>
      <c r="H49" s="647"/>
      <c r="I49" s="647"/>
      <c r="J49" s="647"/>
      <c r="K49" s="647"/>
      <c r="L49" s="647"/>
      <c r="M49" s="647"/>
      <c r="N49" s="647"/>
      <c r="O49" s="647"/>
      <c r="P49" s="647"/>
      <c r="Q49" s="647"/>
      <c r="R49" s="647"/>
      <c r="S49" s="647"/>
      <c r="T49" s="647"/>
      <c r="U49" s="647"/>
      <c r="V49" s="647"/>
      <c r="W49" s="647"/>
      <c r="X49" s="632"/>
    </row>
    <row r="50" spans="1:34" s="47" customFormat="1" ht="15" customHeight="1" x14ac:dyDescent="0.45">
      <c r="A50" s="34" t="s">
        <v>275</v>
      </c>
      <c r="B50" s="34" t="s">
        <v>195</v>
      </c>
      <c r="C50" s="34" t="s">
        <v>177</v>
      </c>
      <c r="D50" s="34" t="s">
        <v>276</v>
      </c>
      <c r="E50" s="322" t="s">
        <v>534</v>
      </c>
      <c r="F50" s="322" t="s">
        <v>527</v>
      </c>
      <c r="G50" s="322" t="s">
        <v>535</v>
      </c>
      <c r="H50" s="323" t="s">
        <v>536</v>
      </c>
      <c r="I50" s="34" t="s">
        <v>277</v>
      </c>
      <c r="J50" s="34" t="s">
        <v>278</v>
      </c>
      <c r="K50" s="34" t="s">
        <v>279</v>
      </c>
      <c r="L50" s="34" t="s">
        <v>280</v>
      </c>
      <c r="M50" s="34" t="s">
        <v>194</v>
      </c>
      <c r="N50" s="34" t="s">
        <v>281</v>
      </c>
      <c r="O50" s="34" t="s">
        <v>282</v>
      </c>
      <c r="P50" s="34" t="s">
        <v>283</v>
      </c>
      <c r="Q50" s="34" t="s">
        <v>284</v>
      </c>
      <c r="R50" s="34" t="s">
        <v>285</v>
      </c>
      <c r="S50" s="34" t="s">
        <v>249</v>
      </c>
      <c r="T50" s="34" t="s">
        <v>286</v>
      </c>
      <c r="U50" s="34" t="s">
        <v>206</v>
      </c>
      <c r="V50" s="34" t="s">
        <v>1886</v>
      </c>
      <c r="W50" s="34" t="s">
        <v>1887</v>
      </c>
      <c r="X50" s="34" t="s">
        <v>225</v>
      </c>
    </row>
    <row r="51" spans="1:34" s="47" customFormat="1" ht="15" customHeight="1" x14ac:dyDescent="0.45">
      <c r="A51" s="140"/>
      <c r="B51" s="131"/>
      <c r="C51" s="326"/>
      <c r="D51" s="327"/>
      <c r="E51" s="328"/>
      <c r="F51" s="328"/>
      <c r="G51" s="328"/>
      <c r="H51" s="329"/>
      <c r="I51" s="330"/>
      <c r="J51" s="326"/>
      <c r="K51" s="326"/>
      <c r="L51" s="141"/>
      <c r="M51" s="326"/>
      <c r="N51" s="142"/>
      <c r="O51" s="30" t="str" cm="1">
        <f t="array" ref="O51">IF(OR(LC_House[[#This Row],[Qty]]="",LC_House[[#This Row],[Load Value]]="",LC_House[[#This Row],[Unit]]=""),"",IFERROR(_xlfn.SWITCH(LC_House[[#This Row],[Unit]],"HP",IF(LC_House[[#This Row],[Ph]]=3,VLOOKUP(LC_House[[#This Row],[Load Value]],Motor3_Table,IF(LC_House[[#This Row],[Volts]]&lt;=215,2,IF(LC_House[[#This Row],[Volts]]&lt;=245,3,IF(LC_House[[#This Row],[Volts]]&lt;=500,4,5))),TRUE)*LC_House[[#This Row],[Volts]]*SQRT3/1000,VLOOKUP(LC_House[[#This Row],[Load Value]],Motor1_Table,IF(LC_House[[#This Row],[Volts]]&lt;=130,2,3),TRUE)*LC_House[[#This Row],[Volts]]/1000),"kW",LC_House[[#This Row],[Load Value]]/IF(LC_House[[#This Row],[PF]]="",0.9,LC_House[[#This Row],[PF]]),"kVA",LC_House[[#This Row],[Load Value]],"A",LC_House[[#This Row],[Load Value]]*LC_House[[#This Row],[Volts]]*IF(LC_House[[#This Row],[Ph]]=3,SQRT3,1)/1000,"W",LC_House[[#This Row],[Load Value]]/IF(LC_House[[#This Row],[PF]]="",0.9,LC_House[[#This Row],[PF]])/1000,"VA",LC_House[[#This Row],[Load Value]]/1000),"chk"))</f>
        <v/>
      </c>
      <c r="P51" s="30" t="str">
        <f>IF(NOT(ISNUMBER(LC_House[[#This Row],[kVA Each]])),"",LC_House[[#This Row],[Qty]]*LC_House[[#This Row],[kVA Each]])</f>
        <v/>
      </c>
      <c r="Q51" s="134"/>
      <c r="R51" s="134"/>
      <c r="S51" s="134"/>
      <c r="T51" s="134"/>
      <c r="U51" s="131"/>
      <c r="V51" s="30"/>
      <c r="W51" s="555">
        <v>0</v>
      </c>
      <c r="X51" s="30" t="str">
        <f>IF(LC_House[[#This Row],[Description]]="","",IF(N(LC_House[[#This Row],[Placed]])=0,"Unplaced",IF(LC_House[[#This Row],[Placed]]&gt;=IF(LC_House[[#This Row],[Ded. Ckt]]="N",1,MAX(1,N(LC_House[[#This Row],[Qty]]))),"Placed","Partial")))</f>
        <v/>
      </c>
    </row>
    <row r="52" spans="1:34" s="47" customFormat="1" ht="15" customHeight="1" x14ac:dyDescent="0.45">
      <c r="A52" s="21"/>
      <c r="B52" s="21"/>
      <c r="C52" s="21"/>
      <c r="D52" s="21"/>
      <c r="E52" s="21"/>
      <c r="F52" s="21"/>
      <c r="G52" s="21"/>
      <c r="H52" s="21"/>
      <c r="I52" s="21"/>
      <c r="J52" s="21"/>
      <c r="K52" s="21"/>
      <c r="L52" s="21"/>
      <c r="M52" s="21"/>
      <c r="N52" s="21"/>
      <c r="O52" s="21"/>
      <c r="P52" s="65"/>
      <c r="Q52" s="21"/>
      <c r="R52" s="21"/>
      <c r="S52" s="21"/>
      <c r="T52" s="21"/>
      <c r="U52" s="21"/>
      <c r="V52" s="21"/>
      <c r="W52" s="21"/>
      <c r="X52" s="21"/>
      <c r="Y52" s="8"/>
      <c r="Z52" s="8"/>
      <c r="AA52" s="8"/>
      <c r="AB52" s="8"/>
      <c r="AC52" s="8"/>
      <c r="AD52" s="8"/>
      <c r="AE52" s="8"/>
      <c r="AF52" s="8"/>
      <c r="AG52" s="8"/>
      <c r="AH52" s="8"/>
    </row>
    <row r="53" spans="1:34" s="46" customFormat="1" ht="15" customHeight="1" x14ac:dyDescent="0.35">
      <c r="A53" s="21"/>
      <c r="B53" s="640" t="s">
        <v>287</v>
      </c>
      <c r="C53" s="640"/>
      <c r="D53" s="640"/>
      <c r="E53" s="640"/>
      <c r="F53" s="641"/>
      <c r="G53" s="143">
        <v>1</v>
      </c>
      <c r="H53" s="21"/>
      <c r="I53" s="21"/>
      <c r="J53" s="21"/>
      <c r="K53" s="21"/>
      <c r="M53" s="21"/>
      <c r="N53" s="21"/>
      <c r="O53" s="582">
        <f>SUM(LC_House[Total kVA])</f>
        <v>0</v>
      </c>
      <c r="P53" s="581">
        <f>ROUND(IFERROR($O53*$G53,0),1)</f>
        <v>0</v>
      </c>
      <c r="Q53" s="21"/>
    </row>
    <row r="54" spans="1:34" s="46" customFormat="1" ht="15" customHeight="1" x14ac:dyDescent="0.45">
      <c r="A54" s="9"/>
      <c r="B54" s="9"/>
      <c r="C54" s="9"/>
      <c r="D54" s="9"/>
      <c r="E54" s="9"/>
      <c r="F54" s="9"/>
      <c r="G54" s="9"/>
      <c r="H54" s="9"/>
      <c r="I54" s="9"/>
      <c r="J54" s="9"/>
      <c r="K54" s="9"/>
      <c r="L54" s="9"/>
      <c r="M54" s="9"/>
      <c r="N54" s="9"/>
      <c r="O54" s="9"/>
      <c r="P54" s="9"/>
      <c r="Q54" s="9"/>
      <c r="R54" s="8"/>
      <c r="S54" s="8"/>
      <c r="T54" s="8"/>
      <c r="U54" s="8"/>
      <c r="V54" s="8"/>
      <c r="W54" s="8"/>
      <c r="X54" s="8"/>
    </row>
    <row r="55" spans="1:34" s="46" customFormat="1" ht="15" customHeight="1" x14ac:dyDescent="0.35">
      <c r="A55" s="648" t="s">
        <v>815</v>
      </c>
      <c r="B55" s="649"/>
      <c r="C55" s="649"/>
      <c r="D55" s="649"/>
      <c r="E55" s="649"/>
      <c r="F55" s="649"/>
      <c r="G55" s="649"/>
      <c r="H55" s="649"/>
      <c r="I55" s="649"/>
      <c r="J55" s="649"/>
      <c r="K55" s="649"/>
      <c r="L55" s="649"/>
      <c r="M55" s="649"/>
      <c r="N55" s="649"/>
      <c r="O55" s="649"/>
      <c r="P55" s="649"/>
      <c r="Q55" s="649"/>
      <c r="R55" s="649"/>
      <c r="S55" s="649"/>
      <c r="T55" s="649"/>
      <c r="U55" s="649"/>
      <c r="V55" s="649"/>
      <c r="W55" s="649"/>
      <c r="X55" s="650"/>
    </row>
    <row r="56" spans="1:34" ht="15" customHeight="1" x14ac:dyDescent="0.45">
      <c r="A56" s="634"/>
      <c r="B56" s="647"/>
      <c r="C56" s="647"/>
      <c r="D56" s="647"/>
      <c r="E56" s="647"/>
      <c r="F56" s="647"/>
      <c r="G56" s="647"/>
      <c r="H56" s="647"/>
      <c r="I56" s="647"/>
      <c r="J56" s="647"/>
      <c r="K56" s="647"/>
      <c r="L56" s="647"/>
      <c r="M56" s="647"/>
      <c r="N56" s="647"/>
      <c r="O56" s="647"/>
      <c r="P56" s="647"/>
      <c r="Q56" s="647"/>
      <c r="R56" s="647"/>
      <c r="S56" s="647"/>
      <c r="T56" s="647"/>
      <c r="U56" s="647"/>
      <c r="V56" s="647"/>
      <c r="W56" s="647"/>
      <c r="X56" s="632"/>
    </row>
    <row r="57" spans="1:34" ht="15" customHeight="1" x14ac:dyDescent="0.45">
      <c r="A57" s="34" t="s">
        <v>275</v>
      </c>
      <c r="B57" s="34" t="s">
        <v>195</v>
      </c>
      <c r="C57" s="34" t="s">
        <v>177</v>
      </c>
      <c r="D57" s="34" t="s">
        <v>276</v>
      </c>
      <c r="E57" s="324" t="s">
        <v>534</v>
      </c>
      <c r="F57" s="324" t="s">
        <v>527</v>
      </c>
      <c r="G57" s="324" t="s">
        <v>535</v>
      </c>
      <c r="H57" s="325" t="s">
        <v>536</v>
      </c>
      <c r="I57" s="34" t="s">
        <v>277</v>
      </c>
      <c r="J57" s="34" t="s">
        <v>278</v>
      </c>
      <c r="K57" s="34" t="s">
        <v>279</v>
      </c>
      <c r="L57" s="34" t="s">
        <v>280</v>
      </c>
      <c r="M57" s="34" t="s">
        <v>194</v>
      </c>
      <c r="N57" s="34" t="s">
        <v>281</v>
      </c>
      <c r="O57" s="34" t="s">
        <v>282</v>
      </c>
      <c r="P57" s="34" t="s">
        <v>283</v>
      </c>
      <c r="Q57" s="34" t="s">
        <v>284</v>
      </c>
      <c r="R57" s="34" t="s">
        <v>285</v>
      </c>
      <c r="S57" s="34" t="s">
        <v>249</v>
      </c>
      <c r="T57" s="34" t="s">
        <v>286</v>
      </c>
      <c r="U57" s="34" t="s">
        <v>206</v>
      </c>
      <c r="V57" s="34" t="s">
        <v>1886</v>
      </c>
      <c r="W57" s="34" t="s">
        <v>1887</v>
      </c>
      <c r="X57" s="34" t="s">
        <v>225</v>
      </c>
    </row>
    <row r="58" spans="1:34" s="47" customFormat="1" ht="15" customHeight="1" x14ac:dyDescent="0.45">
      <c r="A58" s="140" t="s">
        <v>443</v>
      </c>
      <c r="B58" s="131"/>
      <c r="C58" s="326"/>
      <c r="D58" s="327"/>
      <c r="E58" s="328"/>
      <c r="F58" s="328"/>
      <c r="G58" s="328"/>
      <c r="H58" s="329"/>
      <c r="I58" s="330"/>
      <c r="J58" s="326"/>
      <c r="K58" s="326"/>
      <c r="L58" s="141"/>
      <c r="M58" s="326"/>
      <c r="N58" s="142"/>
      <c r="O58" s="30" t="str" cm="1">
        <f t="array" ref="O58">IF(OR(LC_Dept[[#This Row],[Qty]]="",LC_Dept[[#This Row],[Load Value]]="",LC_Dept[[#This Row],[Unit]]=""),"",IFERROR(_xlfn.SWITCH(LC_Dept[[#This Row],[Unit]],"HP",IF(LC_Dept[[#This Row],[Ph]]=3,VLOOKUP(LC_Dept[[#This Row],[Load Value]],Motor3_Table,IF(LC_Dept[[#This Row],[Volts]]&lt;=215,2,IF(LC_Dept[[#This Row],[Volts]]&lt;=245,3,IF(LC_Dept[[#This Row],[Volts]]&lt;=500,4,5))),TRUE)*LC_Dept[[#This Row],[Volts]]*SQRT3/1000,VLOOKUP(LC_Dept[[#This Row],[Load Value]],Motor1_Table,IF(LC_Dept[[#This Row],[Volts]]&lt;=130,2,3),TRUE)*LC_Dept[[#This Row],[Volts]]/1000),"kW",LC_Dept[[#This Row],[Load Value]]/IF(LC_Dept[[#This Row],[PF]]="",0.9,LC_Dept[[#This Row],[PF]]),"kVA",LC_Dept[[#This Row],[Load Value]],"A",LC_Dept[[#This Row],[Load Value]]*LC_Dept[[#This Row],[Volts]]*IF(LC_Dept[[#This Row],[Ph]]=3,SQRT3,1)/1000,"W",LC_Dept[[#This Row],[Load Value]]/IF(LC_Dept[[#This Row],[PF]]="",0.9,LC_Dept[[#This Row],[PF]])/1000,"VA",LC_Dept[[#This Row],[Load Value]]/1000),"chk"))</f>
        <v/>
      </c>
      <c r="P58" s="30" t="str">
        <f>IF(NOT(ISNUMBER(LC_Dept[[#This Row],[kVA Each]])),"",LC_Dept[[#This Row],[Qty]]*LC_Dept[[#This Row],[kVA Each]])</f>
        <v/>
      </c>
      <c r="Q58" s="134"/>
      <c r="R58" s="134"/>
      <c r="S58" s="134"/>
      <c r="T58" s="134"/>
      <c r="U58" s="131"/>
      <c r="V58" s="30"/>
      <c r="W58" s="555">
        <v>0</v>
      </c>
      <c r="X58" s="30" t="str">
        <f>IF(LC_Dept[[#This Row],[Description]]="","",IF(N(LC_Dept[[#This Row],[Placed]])=0,"Unplaced",IF(LC_Dept[[#This Row],[Placed]]&gt;=IF(LC_Dept[[#This Row],[Ded. Ckt]]="N",1,MAX(1,N(LC_Dept[[#This Row],[Qty]]))),"Placed","Partial")))</f>
        <v/>
      </c>
    </row>
    <row r="59" spans="1:34" s="20" customFormat="1" ht="15" customHeight="1" x14ac:dyDescent="0.35">
      <c r="A59" s="21"/>
      <c r="B59" s="10"/>
      <c r="C59" s="10"/>
      <c r="D59" s="10"/>
      <c r="E59" s="10"/>
      <c r="F59" s="10"/>
      <c r="G59" s="10"/>
      <c r="H59" s="10"/>
      <c r="I59" s="10"/>
      <c r="J59" s="10"/>
      <c r="K59" s="10"/>
      <c r="L59" s="10"/>
      <c r="M59" s="10"/>
      <c r="N59" s="10"/>
      <c r="O59" s="10"/>
      <c r="P59" s="48"/>
      <c r="Q59" s="10"/>
      <c r="R59" s="10"/>
      <c r="S59" s="10"/>
      <c r="T59" s="10"/>
      <c r="U59" s="10"/>
      <c r="V59" s="10"/>
      <c r="W59" s="10"/>
      <c r="X59" s="10"/>
    </row>
    <row r="60" spans="1:34" s="20" customFormat="1" ht="15" customHeight="1" x14ac:dyDescent="0.35">
      <c r="A60" s="10"/>
      <c r="B60" s="640" t="s">
        <v>287</v>
      </c>
      <c r="C60" s="640"/>
      <c r="D60" s="640"/>
      <c r="E60" s="640"/>
      <c r="F60" s="641"/>
      <c r="G60" s="143">
        <v>1</v>
      </c>
      <c r="H60" s="10"/>
      <c r="I60" s="10"/>
      <c r="J60" s="10"/>
      <c r="K60" s="10"/>
      <c r="M60" s="10"/>
      <c r="N60" s="10"/>
      <c r="O60" s="582">
        <f>SUM(LC_Dept[Total kVA])</f>
        <v>0</v>
      </c>
      <c r="P60" s="581">
        <f>ROUND(IFERROR($O60*$G60,0),1)</f>
        <v>0</v>
      </c>
      <c r="Q60" s="10"/>
    </row>
    <row r="61" spans="1:34" s="20" customFormat="1" ht="15" customHeight="1" x14ac:dyDescent="0.35">
      <c r="A61" s="10"/>
      <c r="B61" s="10"/>
      <c r="C61" s="10"/>
      <c r="D61" s="10"/>
      <c r="E61" s="10"/>
      <c r="F61" s="10"/>
      <c r="G61" s="10"/>
      <c r="H61" s="10"/>
      <c r="I61" s="10"/>
      <c r="J61" s="10"/>
      <c r="K61" s="10"/>
      <c r="L61" s="10"/>
      <c r="M61" s="10"/>
      <c r="N61" s="10"/>
      <c r="O61" s="10"/>
      <c r="P61" s="10"/>
      <c r="Q61" s="10"/>
    </row>
    <row r="62" spans="1:34" s="20" customFormat="1" ht="15" hidden="1" customHeight="1" outlineLevel="1" x14ac:dyDescent="0.35">
      <c r="A62" s="657" t="s">
        <v>816</v>
      </c>
      <c r="B62" s="658"/>
      <c r="C62" s="658"/>
      <c r="D62" s="658"/>
      <c r="E62" s="658"/>
      <c r="F62" s="658"/>
      <c r="G62" s="658"/>
      <c r="H62" s="658"/>
      <c r="I62" s="658"/>
      <c r="J62" s="658"/>
      <c r="K62" s="658"/>
      <c r="L62" s="658"/>
      <c r="M62" s="658"/>
      <c r="N62" s="658"/>
      <c r="O62" s="658"/>
      <c r="P62" s="658"/>
      <c r="Q62" s="658"/>
      <c r="R62" s="658"/>
      <c r="S62" s="658"/>
      <c r="T62" s="658"/>
      <c r="U62" s="658"/>
      <c r="V62" s="658"/>
      <c r="W62" s="658"/>
      <c r="X62" s="659"/>
    </row>
    <row r="63" spans="1:34" s="20" customFormat="1" ht="15" hidden="1" customHeight="1" outlineLevel="1" x14ac:dyDescent="0.35">
      <c r="A63" s="660"/>
      <c r="B63" s="661"/>
      <c r="C63" s="661"/>
      <c r="D63" s="661"/>
      <c r="E63" s="661"/>
      <c r="F63" s="661"/>
      <c r="G63" s="661"/>
      <c r="H63" s="661"/>
      <c r="I63" s="661"/>
      <c r="J63" s="661"/>
      <c r="K63" s="661"/>
      <c r="L63" s="661"/>
      <c r="M63" s="661"/>
      <c r="N63" s="661"/>
      <c r="O63" s="661"/>
      <c r="P63" s="661"/>
      <c r="Q63" s="661"/>
      <c r="R63" s="661"/>
      <c r="S63" s="661"/>
      <c r="T63" s="661"/>
      <c r="U63" s="661"/>
      <c r="V63" s="661"/>
      <c r="W63" s="661"/>
      <c r="X63" s="662"/>
    </row>
    <row r="64" spans="1:34" s="20" customFormat="1" ht="15" hidden="1" customHeight="1" outlineLevel="1" x14ac:dyDescent="0.45">
      <c r="A64" s="34" t="s">
        <v>275</v>
      </c>
      <c r="B64" s="34" t="s">
        <v>195</v>
      </c>
      <c r="C64" s="34" t="s">
        <v>177</v>
      </c>
      <c r="D64" s="34" t="s">
        <v>276</v>
      </c>
      <c r="E64" s="324" t="s">
        <v>534</v>
      </c>
      <c r="F64" s="324" t="s">
        <v>527</v>
      </c>
      <c r="G64" s="324" t="s">
        <v>535</v>
      </c>
      <c r="H64" s="325" t="s">
        <v>536</v>
      </c>
      <c r="I64" s="34" t="s">
        <v>277</v>
      </c>
      <c r="J64" s="34" t="s">
        <v>278</v>
      </c>
      <c r="K64" s="34" t="s">
        <v>279</v>
      </c>
      <c r="L64" s="34" t="s">
        <v>280</v>
      </c>
      <c r="M64" s="34" t="s">
        <v>194</v>
      </c>
      <c r="N64" s="34" t="s">
        <v>281</v>
      </c>
      <c r="O64" s="34" t="s">
        <v>282</v>
      </c>
      <c r="P64" s="34" t="s">
        <v>283</v>
      </c>
      <c r="Q64" s="34" t="s">
        <v>284</v>
      </c>
      <c r="R64" s="34" t="s">
        <v>285</v>
      </c>
      <c r="S64" s="34" t="s">
        <v>249</v>
      </c>
      <c r="T64" s="34" t="s">
        <v>286</v>
      </c>
      <c r="U64" s="34" t="s">
        <v>206</v>
      </c>
      <c r="V64" s="34" t="s">
        <v>1886</v>
      </c>
      <c r="W64" s="34" t="s">
        <v>1887</v>
      </c>
      <c r="X64" s="34" t="s">
        <v>225</v>
      </c>
    </row>
    <row r="65" spans="1:24" ht="15" hidden="1" customHeight="1" outlineLevel="1" x14ac:dyDescent="0.45">
      <c r="A65" s="140" t="s">
        <v>443</v>
      </c>
      <c r="B65" s="131"/>
      <c r="C65" s="134"/>
      <c r="D65" s="331"/>
      <c r="E65" s="328"/>
      <c r="F65" s="328"/>
      <c r="G65" s="328"/>
      <c r="H65" s="329"/>
      <c r="I65" s="332"/>
      <c r="J65" s="134"/>
      <c r="K65" s="134"/>
      <c r="L65" s="138"/>
      <c r="M65" s="134"/>
      <c r="N65" s="143"/>
      <c r="O65" s="30" t="str" cm="1">
        <f t="array" ref="O65">IF(OR(LC_Refrig[[#This Row],[Qty]]="",LC_Refrig[[#This Row],[Load Value]]="",LC_Refrig[[#This Row],[Unit]]=""),"",IFERROR(_xlfn.SWITCH(LC_Refrig[[#This Row],[Unit]],"HP",IF(LC_Refrig[[#This Row],[Ph]]=3,VLOOKUP(LC_Refrig[[#This Row],[Load Value]],Motor3_Table,IF(LC_Refrig[[#This Row],[Volts]]&lt;=215,2,IF(LC_Refrig[[#This Row],[Volts]]&lt;=245,3,IF(LC_Refrig[[#This Row],[Volts]]&lt;=500,4,5))),TRUE)*LC_Refrig[[#This Row],[Volts]]*SQRT3/1000,VLOOKUP(LC_Refrig[[#This Row],[Load Value]],Motor1_Table,IF(LC_Refrig[[#This Row],[Volts]]&lt;=130,2,3),TRUE)*LC_Refrig[[#This Row],[Volts]]/1000),"kW",LC_Refrig[[#This Row],[Load Value]]/IF(LC_Refrig[[#This Row],[PF]]="",0.9,LC_Refrig[[#This Row],[PF]]),"kVA",LC_Refrig[[#This Row],[Load Value]],"A",LC_Refrig[[#This Row],[Load Value]]*LC_Refrig[[#This Row],[Volts]]*IF(LC_Refrig[[#This Row],[Ph]]=3,SQRT3,1)/1000,"W",LC_Refrig[[#This Row],[Load Value]]/IF(LC_Refrig[[#This Row],[PF]]="",0.9,LC_Refrig[[#This Row],[PF]])/1000,"VA",LC_Refrig[[#This Row],[Load Value]]/1000),"chk"))</f>
        <v/>
      </c>
      <c r="P65" s="30" t="str">
        <f>IF(NOT(ISNUMBER(LC_Refrig[[#This Row],[kVA Each]])),"",LC_Refrig[[#This Row],[Qty]]*LC_Refrig[[#This Row],[kVA Each]])</f>
        <v/>
      </c>
      <c r="Q65" s="134"/>
      <c r="R65" s="134"/>
      <c r="S65" s="134"/>
      <c r="T65" s="134"/>
      <c r="U65" s="131"/>
      <c r="V65" s="30"/>
      <c r="W65" s="555">
        <v>0</v>
      </c>
      <c r="X65" s="30" t="str">
        <f>IF(LC_Refrig[[#This Row],[Description]]="","",IF(N(LC_Refrig[[#This Row],[Placed]])=0,"Unplaced",IF(LC_Refrig[[#This Row],[Placed]]&gt;=IF(LC_Refrig[[#This Row],[Ded. Ckt]]="N",1,MAX(1,N(LC_Refrig[[#This Row],[Qty]]))),"Placed","Partial")))</f>
        <v/>
      </c>
    </row>
    <row r="66" spans="1:24" s="47" customFormat="1" ht="15" hidden="1" customHeight="1" outlineLevel="1" x14ac:dyDescent="0.45">
      <c r="A66" s="21"/>
      <c r="B66" s="10"/>
      <c r="C66" s="21"/>
      <c r="D66" s="21"/>
      <c r="E66" s="21"/>
      <c r="F66" s="21"/>
      <c r="G66" s="21"/>
      <c r="H66" s="21"/>
      <c r="I66" s="21"/>
      <c r="J66" s="21"/>
      <c r="K66" s="21"/>
      <c r="L66" s="21"/>
      <c r="M66" s="21"/>
      <c r="N66" s="21"/>
      <c r="O66" s="21"/>
      <c r="P66" s="48"/>
      <c r="Q66" s="21"/>
      <c r="R66" s="21"/>
      <c r="S66" s="21"/>
      <c r="T66" s="21"/>
      <c r="U66" s="10"/>
      <c r="V66" s="10"/>
      <c r="W66" s="10"/>
      <c r="X66" s="10"/>
    </row>
    <row r="67" spans="1:24" s="20" customFormat="1" ht="15" hidden="1" customHeight="1" outlineLevel="1" x14ac:dyDescent="0.35">
      <c r="A67" s="10"/>
      <c r="B67" s="640" t="s">
        <v>287</v>
      </c>
      <c r="C67" s="640"/>
      <c r="D67" s="640"/>
      <c r="E67" s="640"/>
      <c r="F67" s="641"/>
      <c r="G67" s="143">
        <v>1</v>
      </c>
      <c r="H67" s="21"/>
      <c r="I67" s="21"/>
      <c r="J67" s="21"/>
      <c r="K67" s="21"/>
      <c r="M67" s="21"/>
      <c r="N67" s="21"/>
      <c r="O67" s="582">
        <f>SUM(LC_Refrig[Total kVA])</f>
        <v>0</v>
      </c>
      <c r="P67" s="581">
        <f>ROUND(IFERROR($O67*$G67,0),1)</f>
        <v>0</v>
      </c>
      <c r="Q67" s="10"/>
    </row>
    <row r="68" spans="1:24" s="20" customFormat="1" ht="15" hidden="1" customHeight="1" outlineLevel="1" collapsed="1" x14ac:dyDescent="0.35">
      <c r="A68" s="10"/>
      <c r="B68" s="10"/>
      <c r="C68" s="10"/>
      <c r="D68" s="10"/>
      <c r="E68" s="10"/>
      <c r="F68" s="10"/>
      <c r="G68" s="10"/>
      <c r="H68" s="10"/>
      <c r="I68" s="10"/>
      <c r="J68" s="10"/>
      <c r="K68" s="10"/>
      <c r="L68" s="10"/>
      <c r="M68" s="10"/>
      <c r="N68" s="10"/>
      <c r="O68" s="10"/>
      <c r="P68" s="10"/>
      <c r="Q68" s="10"/>
    </row>
    <row r="69" spans="1:24" s="20" customFormat="1" ht="15" customHeight="1" collapsed="1" x14ac:dyDescent="0.35">
      <c r="A69" s="615" t="s">
        <v>817</v>
      </c>
      <c r="B69" s="616"/>
      <c r="C69" s="616"/>
      <c r="D69" s="616"/>
      <c r="E69" s="616"/>
      <c r="F69" s="616"/>
      <c r="G69" s="616"/>
      <c r="H69" s="616"/>
      <c r="I69" s="616"/>
      <c r="J69" s="616"/>
      <c r="K69" s="616"/>
      <c r="L69" s="616"/>
      <c r="M69" s="616"/>
      <c r="N69" s="616"/>
      <c r="O69" s="616"/>
      <c r="P69" s="616"/>
      <c r="Q69" s="616"/>
      <c r="R69" s="616"/>
      <c r="S69" s="616"/>
      <c r="T69" s="616"/>
      <c r="U69" s="616"/>
      <c r="V69" s="616"/>
      <c r="W69" s="616"/>
      <c r="X69" s="616"/>
    </row>
    <row r="70" spans="1:24" s="20" customFormat="1" ht="15" customHeight="1" x14ac:dyDescent="0.35">
      <c r="A70" s="615"/>
      <c r="B70" s="616"/>
      <c r="C70" s="616"/>
      <c r="D70" s="616"/>
      <c r="E70" s="616"/>
      <c r="F70" s="616"/>
      <c r="G70" s="616"/>
      <c r="H70" s="616"/>
      <c r="I70" s="616"/>
      <c r="J70" s="616"/>
      <c r="K70" s="616"/>
      <c r="L70" s="616"/>
      <c r="M70" s="616"/>
      <c r="N70" s="616"/>
      <c r="O70" s="616"/>
      <c r="P70" s="616"/>
      <c r="Q70" s="616"/>
      <c r="R70" s="616"/>
      <c r="S70" s="616"/>
      <c r="T70" s="616"/>
      <c r="U70" s="616"/>
      <c r="V70" s="616"/>
      <c r="W70" s="616"/>
      <c r="X70" s="616"/>
    </row>
    <row r="71" spans="1:24" s="20" customFormat="1" ht="15" customHeight="1" x14ac:dyDescent="0.45">
      <c r="A71" s="34" t="s">
        <v>275</v>
      </c>
      <c r="B71" s="34" t="s">
        <v>195</v>
      </c>
      <c r="C71" s="34" t="s">
        <v>177</v>
      </c>
      <c r="D71" s="34" t="s">
        <v>276</v>
      </c>
      <c r="E71" s="324" t="s">
        <v>534</v>
      </c>
      <c r="F71" s="324" t="s">
        <v>527</v>
      </c>
      <c r="G71" s="324" t="s">
        <v>535</v>
      </c>
      <c r="H71" s="325" t="s">
        <v>536</v>
      </c>
      <c r="I71" s="34" t="s">
        <v>277</v>
      </c>
      <c r="J71" s="34" t="s">
        <v>278</v>
      </c>
      <c r="K71" s="34" t="s">
        <v>279</v>
      </c>
      <c r="L71" s="34" t="s">
        <v>280</v>
      </c>
      <c r="M71" s="34" t="s">
        <v>194</v>
      </c>
      <c r="N71" s="34" t="s">
        <v>281</v>
      </c>
      <c r="O71" s="34" t="s">
        <v>282</v>
      </c>
      <c r="P71" s="34" t="s">
        <v>283</v>
      </c>
      <c r="Q71" s="34" t="s">
        <v>284</v>
      </c>
      <c r="R71" s="34" t="s">
        <v>285</v>
      </c>
      <c r="S71" s="34" t="s">
        <v>249</v>
      </c>
      <c r="T71" s="34" t="s">
        <v>286</v>
      </c>
      <c r="U71" s="34" t="s">
        <v>206</v>
      </c>
      <c r="V71" s="34" t="s">
        <v>1886</v>
      </c>
      <c r="W71" s="34" t="s">
        <v>1887</v>
      </c>
      <c r="X71" s="34" t="s">
        <v>225</v>
      </c>
    </row>
    <row r="72" spans="1:24" s="20" customFormat="1" ht="15" customHeight="1" x14ac:dyDescent="0.35">
      <c r="A72" s="140" t="s">
        <v>443</v>
      </c>
      <c r="B72" s="131"/>
      <c r="C72" s="134"/>
      <c r="D72" s="331"/>
      <c r="E72" s="328"/>
      <c r="F72" s="328"/>
      <c r="G72" s="328"/>
      <c r="H72" s="329"/>
      <c r="I72" s="332"/>
      <c r="J72" s="134"/>
      <c r="K72" s="134"/>
      <c r="L72" s="138"/>
      <c r="M72" s="134"/>
      <c r="N72" s="143"/>
      <c r="O72" s="30" t="str" cm="1">
        <f t="array" ref="O72">IF(OR(LC_Mech[[#This Row],[Qty]]="",LC_Mech[[#This Row],[Load Value]]="",LC_Mech[[#This Row],[Unit]]=""),"",IFERROR(_xlfn.SWITCH(LC_Mech[[#This Row],[Unit]],"HP",IF(LC_Mech[[#This Row],[Ph]]=3,VLOOKUP(LC_Mech[[#This Row],[Load Value]],Motor3_Table,IF(LC_Mech[[#This Row],[Volts]]&lt;=215,2,IF(LC_Mech[[#This Row],[Volts]]&lt;=245,3,IF(LC_Mech[[#This Row],[Volts]]&lt;=500,4,5))),TRUE)*LC_Mech[[#This Row],[Volts]]*SQRT3/1000,VLOOKUP(LC_Mech[[#This Row],[Load Value]],Motor1_Table,IF(LC_Mech[[#This Row],[Volts]]&lt;=130,2,3),TRUE)*LC_Mech[[#This Row],[Volts]]/1000),"kW",LC_Mech[[#This Row],[Load Value]]/IF(LC_Mech[[#This Row],[PF]]="",0.9,LC_Mech[[#This Row],[PF]]),"kVA",LC_Mech[[#This Row],[Load Value]],"A",LC_Mech[[#This Row],[Load Value]]*LC_Mech[[#This Row],[Volts]]*IF(LC_Mech[[#This Row],[Ph]]=3,SQRT3,1)/1000,"W",LC_Mech[[#This Row],[Load Value]]/IF(LC_Mech[[#This Row],[PF]]="",0.9,LC_Mech[[#This Row],[PF]])/1000,"VA",LC_Mech[[#This Row],[Load Value]]/1000),"chk"))</f>
        <v/>
      </c>
      <c r="P72" s="30" t="str">
        <f>IF(NOT(ISNUMBER(LC_Mech[[#This Row],[kVA Each]])),"",LC_Mech[[#This Row],[Qty]]*LC_Mech[[#This Row],[kVA Each]])</f>
        <v/>
      </c>
      <c r="Q72" s="134"/>
      <c r="R72" s="134"/>
      <c r="S72" s="134"/>
      <c r="T72" s="134"/>
      <c r="U72" s="131"/>
      <c r="V72" s="30"/>
      <c r="W72" s="555">
        <v>0</v>
      </c>
      <c r="X72" s="30" t="str">
        <f>IF(LC_Mech[[#This Row],[Description]]="","",IF(N(LC_Mech[[#This Row],[Placed]])=0,"Unplaced",IF(LC_Mech[[#This Row],[Placed]]&gt;=IF(LC_Mech[[#This Row],[Ded. Ckt]]="N",1,MAX(1,N(LC_Mech[[#This Row],[Qty]]))),"Placed","Partial")))</f>
        <v/>
      </c>
    </row>
    <row r="73" spans="1:24" ht="15" customHeight="1" x14ac:dyDescent="0.45">
      <c r="A73" s="21"/>
      <c r="B73" s="249"/>
      <c r="C73" s="10"/>
      <c r="D73" s="10"/>
      <c r="E73" s="10"/>
      <c r="F73" s="10"/>
      <c r="G73" s="10"/>
      <c r="H73" s="10"/>
      <c r="I73" s="10"/>
      <c r="J73" s="10"/>
      <c r="K73" s="10"/>
      <c r="L73" s="10"/>
      <c r="M73" s="10"/>
      <c r="N73" s="10"/>
      <c r="O73" s="10"/>
      <c r="P73" s="65"/>
      <c r="Q73" s="10"/>
      <c r="R73" s="10"/>
      <c r="S73" s="10"/>
      <c r="T73" s="10"/>
      <c r="U73" s="10"/>
      <c r="V73" s="10"/>
      <c r="W73" s="10"/>
      <c r="X73" s="10"/>
    </row>
    <row r="74" spans="1:24" s="47" customFormat="1" ht="15" customHeight="1" x14ac:dyDescent="0.45">
      <c r="A74" s="10"/>
      <c r="B74" s="640" t="s">
        <v>287</v>
      </c>
      <c r="C74" s="640"/>
      <c r="D74" s="640"/>
      <c r="E74" s="640"/>
      <c r="F74" s="640"/>
      <c r="G74" s="143">
        <v>1</v>
      </c>
      <c r="H74" s="10"/>
      <c r="I74" s="10"/>
      <c r="J74" s="10"/>
      <c r="K74" s="10"/>
      <c r="L74" s="20"/>
      <c r="M74" s="10"/>
      <c r="N74" s="10"/>
      <c r="O74" s="582">
        <f>SUM(LC_Mech[Total kVA])</f>
        <v>0</v>
      </c>
      <c r="P74" s="581">
        <f>ROUND(IFERROR($O74*$G74,0),1)</f>
        <v>0</v>
      </c>
      <c r="Q74" s="10"/>
      <c r="R74" s="20"/>
      <c r="S74" s="20"/>
      <c r="T74" s="20"/>
      <c r="U74" s="20"/>
      <c r="V74" s="20"/>
      <c r="W74" s="20"/>
      <c r="X74" s="20"/>
    </row>
    <row r="75" spans="1:24" s="20" customFormat="1" ht="15" customHeight="1" x14ac:dyDescent="0.45">
      <c r="A75" s="9"/>
      <c r="B75" s="9"/>
      <c r="C75" s="9"/>
      <c r="D75" s="9"/>
      <c r="E75" s="9"/>
      <c r="F75" s="9"/>
      <c r="G75" s="9"/>
      <c r="H75" s="9"/>
      <c r="I75" s="9"/>
      <c r="J75" s="9"/>
      <c r="K75" s="9"/>
      <c r="L75" s="9"/>
      <c r="M75" s="9"/>
      <c r="N75" s="9"/>
      <c r="O75" s="9"/>
      <c r="P75" s="9"/>
      <c r="Q75" s="9"/>
      <c r="R75" s="8"/>
      <c r="S75" s="8"/>
      <c r="T75" s="8"/>
      <c r="U75" s="8"/>
      <c r="V75" s="8"/>
      <c r="W75" s="8"/>
      <c r="X75" s="8"/>
    </row>
    <row r="76" spans="1:24" s="20" customFormat="1" ht="15" customHeight="1" x14ac:dyDescent="0.35">
      <c r="A76" s="648" t="s">
        <v>818</v>
      </c>
      <c r="B76" s="649"/>
      <c r="C76" s="649"/>
      <c r="D76" s="649"/>
      <c r="E76" s="649"/>
      <c r="F76" s="649"/>
      <c r="G76" s="649"/>
      <c r="H76" s="649"/>
      <c r="I76" s="649"/>
      <c r="J76" s="649"/>
      <c r="K76" s="649"/>
      <c r="L76" s="649"/>
      <c r="M76" s="649"/>
      <c r="N76" s="649"/>
      <c r="O76" s="649"/>
      <c r="P76" s="649"/>
      <c r="Q76" s="649"/>
      <c r="R76" s="649"/>
      <c r="S76" s="649"/>
      <c r="T76" s="649"/>
      <c r="U76" s="649"/>
      <c r="V76" s="649"/>
      <c r="W76" s="649"/>
      <c r="X76" s="650"/>
    </row>
    <row r="77" spans="1:24" s="20" customFormat="1" ht="15" customHeight="1" x14ac:dyDescent="0.35">
      <c r="A77" s="634"/>
      <c r="B77" s="647"/>
      <c r="C77" s="647"/>
      <c r="D77" s="647"/>
      <c r="E77" s="647"/>
      <c r="F77" s="647"/>
      <c r="G77" s="647"/>
      <c r="H77" s="647"/>
      <c r="I77" s="647"/>
      <c r="J77" s="647"/>
      <c r="K77" s="647"/>
      <c r="L77" s="647"/>
      <c r="M77" s="647"/>
      <c r="N77" s="647"/>
      <c r="O77" s="647"/>
      <c r="P77" s="647"/>
      <c r="Q77" s="647"/>
      <c r="R77" s="647"/>
      <c r="S77" s="647"/>
      <c r="T77" s="647"/>
      <c r="U77" s="647"/>
      <c r="V77" s="647"/>
      <c r="W77" s="647"/>
      <c r="X77" s="632"/>
    </row>
    <row r="78" spans="1:24" s="20" customFormat="1" ht="15" customHeight="1" x14ac:dyDescent="0.45">
      <c r="A78" s="34" t="s">
        <v>275</v>
      </c>
      <c r="B78" s="34" t="s">
        <v>195</v>
      </c>
      <c r="C78" s="34" t="s">
        <v>177</v>
      </c>
      <c r="D78" s="34" t="s">
        <v>276</v>
      </c>
      <c r="E78" s="324" t="s">
        <v>534</v>
      </c>
      <c r="F78" s="324" t="s">
        <v>527</v>
      </c>
      <c r="G78" s="324" t="s">
        <v>535</v>
      </c>
      <c r="H78" s="325" t="s">
        <v>536</v>
      </c>
      <c r="I78" s="34" t="s">
        <v>277</v>
      </c>
      <c r="J78" s="34" t="s">
        <v>278</v>
      </c>
      <c r="K78" s="34" t="s">
        <v>279</v>
      </c>
      <c r="L78" s="34" t="s">
        <v>280</v>
      </c>
      <c r="M78" s="34" t="s">
        <v>194</v>
      </c>
      <c r="N78" s="34" t="s">
        <v>281</v>
      </c>
      <c r="O78" s="34" t="s">
        <v>282</v>
      </c>
      <c r="P78" s="34" t="s">
        <v>283</v>
      </c>
      <c r="Q78" s="34" t="s">
        <v>284</v>
      </c>
      <c r="R78" s="34" t="s">
        <v>285</v>
      </c>
      <c r="S78" s="34" t="s">
        <v>249</v>
      </c>
      <c r="T78" s="34" t="s">
        <v>286</v>
      </c>
      <c r="U78" s="34" t="s">
        <v>206</v>
      </c>
      <c r="V78" s="34" t="s">
        <v>1886</v>
      </c>
      <c r="W78" s="34" t="s">
        <v>1887</v>
      </c>
      <c r="X78" s="34" t="s">
        <v>225</v>
      </c>
    </row>
    <row r="79" spans="1:24" s="20" customFormat="1" ht="15" customHeight="1" x14ac:dyDescent="0.35">
      <c r="A79" s="140" t="s">
        <v>443</v>
      </c>
      <c r="B79" s="131"/>
      <c r="C79" s="134"/>
      <c r="D79" s="331"/>
      <c r="E79" s="328"/>
      <c r="F79" s="328"/>
      <c r="G79" s="328"/>
      <c r="H79" s="329"/>
      <c r="I79" s="332"/>
      <c r="J79" s="134"/>
      <c r="K79" s="134"/>
      <c r="L79" s="138"/>
      <c r="M79" s="134"/>
      <c r="N79" s="143"/>
      <c r="O79" s="30" t="str" cm="1">
        <f t="array" ref="O79">IF(OR(LC_Plumb[[#This Row],[Qty]]="",LC_Plumb[[#This Row],[Load Value]]="",LC_Plumb[[#This Row],[Unit]]=""),"",IFERROR(_xlfn.SWITCH(LC_Plumb[[#This Row],[Unit]],"HP",IF(LC_Plumb[[#This Row],[Ph]]=3,VLOOKUP(LC_Plumb[[#This Row],[Load Value]],Motor3_Table,IF(LC_Plumb[[#This Row],[Volts]]&lt;=215,2,IF(LC_Plumb[[#This Row],[Volts]]&lt;=245,3,IF(LC_Plumb[[#This Row],[Volts]]&lt;=500,4,5))),TRUE)*LC_Plumb[[#This Row],[Volts]]*SQRT3/1000,VLOOKUP(LC_Plumb[[#This Row],[Load Value]],Motor1_Table,IF(LC_Plumb[[#This Row],[Volts]]&lt;=130,2,3),TRUE)*LC_Plumb[[#This Row],[Volts]]/1000),"kW",LC_Plumb[[#This Row],[Load Value]]/IF(LC_Plumb[[#This Row],[PF]]="",0.9,LC_Plumb[[#This Row],[PF]]),"kVA",LC_Plumb[[#This Row],[Load Value]],"A",LC_Plumb[[#This Row],[Load Value]]*LC_Plumb[[#This Row],[Volts]]*IF(LC_Plumb[[#This Row],[Ph]]=3,SQRT3,1)/1000,"W",LC_Plumb[[#This Row],[Load Value]]/IF(LC_Plumb[[#This Row],[PF]]="",0.9,LC_Plumb[[#This Row],[PF]])/1000,"VA",LC_Plumb[[#This Row],[Load Value]]/1000),"chk"))</f>
        <v/>
      </c>
      <c r="P79" s="30" t="str">
        <f>IF(NOT(ISNUMBER(LC_Plumb[[#This Row],[kVA Each]])),"",LC_Plumb[[#This Row],[Qty]]*LC_Plumb[[#This Row],[kVA Each]])</f>
        <v/>
      </c>
      <c r="Q79" s="134"/>
      <c r="R79" s="134"/>
      <c r="S79" s="134"/>
      <c r="T79" s="134"/>
      <c r="U79" s="131"/>
      <c r="V79" s="30"/>
      <c r="W79" s="555">
        <v>0</v>
      </c>
      <c r="X79" s="30" t="str">
        <f>IF(LC_Plumb[[#This Row],[Description]]="","",IF(N(LC_Plumb[[#This Row],[Placed]])=0,"Unplaced",IF(LC_Plumb[[#This Row],[Placed]]&gt;=IF(LC_Plumb[[#This Row],[Ded. Ckt]]="N",1,MAX(1,N(LC_Plumb[[#This Row],[Qty]]))),"Placed","Partial")))</f>
        <v/>
      </c>
    </row>
    <row r="80" spans="1:24" ht="15" customHeight="1" x14ac:dyDescent="0.45">
      <c r="A80" s="21"/>
      <c r="B80" s="10"/>
      <c r="C80" s="10"/>
      <c r="D80" s="10"/>
      <c r="E80" s="10"/>
      <c r="F80" s="10"/>
      <c r="G80" s="10"/>
      <c r="H80" s="10"/>
      <c r="I80" s="10"/>
      <c r="J80" s="10"/>
      <c r="K80" s="10"/>
      <c r="L80" s="10"/>
      <c r="M80" s="10"/>
      <c r="N80" s="10"/>
      <c r="O80" s="10"/>
      <c r="P80" s="65"/>
      <c r="Q80" s="10"/>
      <c r="R80" s="10"/>
      <c r="S80" s="10"/>
      <c r="T80" s="10"/>
      <c r="U80" s="10"/>
      <c r="V80" s="10"/>
      <c r="W80" s="10"/>
      <c r="X80" s="10"/>
    </row>
    <row r="81" spans="1:24" ht="15" customHeight="1" x14ac:dyDescent="0.45">
      <c r="A81" s="10"/>
      <c r="B81" s="640" t="s">
        <v>287</v>
      </c>
      <c r="C81" s="640"/>
      <c r="D81" s="640"/>
      <c r="E81" s="640"/>
      <c r="F81" s="641"/>
      <c r="G81" s="143">
        <v>1</v>
      </c>
      <c r="H81" s="10"/>
      <c r="I81" s="10"/>
      <c r="J81" s="10"/>
      <c r="K81" s="10"/>
      <c r="L81" s="20"/>
      <c r="M81" s="10"/>
      <c r="N81" s="10"/>
      <c r="O81" s="582">
        <f>SUM(LC_Plumb[Total kVA])</f>
        <v>0</v>
      </c>
      <c r="P81" s="581">
        <f>ROUND(IFERROR($O81*$G81,0),1)</f>
        <v>0</v>
      </c>
      <c r="Q81" s="10"/>
      <c r="R81" s="20"/>
      <c r="S81" s="20"/>
      <c r="T81" s="20"/>
      <c r="U81" s="20"/>
      <c r="V81" s="20"/>
      <c r="W81" s="20"/>
      <c r="X81" s="20"/>
    </row>
    <row r="82" spans="1:24" s="47" customFormat="1" ht="15" customHeight="1" x14ac:dyDescent="0.45">
      <c r="A82" s="10"/>
      <c r="B82" s="10"/>
      <c r="C82" s="10"/>
      <c r="D82" s="10"/>
      <c r="E82" s="10"/>
      <c r="F82" s="10"/>
      <c r="G82" s="10"/>
      <c r="H82" s="10"/>
      <c r="I82" s="10"/>
      <c r="J82" s="10"/>
      <c r="K82" s="10"/>
      <c r="L82" s="10"/>
      <c r="M82" s="10"/>
      <c r="N82" s="10"/>
      <c r="O82" s="10"/>
      <c r="P82" s="10"/>
      <c r="Q82" s="10"/>
      <c r="R82" s="20"/>
      <c r="S82" s="20"/>
      <c r="T82" s="20"/>
      <c r="U82" s="20"/>
      <c r="V82" s="20"/>
      <c r="W82" s="20"/>
      <c r="X82" s="20"/>
    </row>
    <row r="83" spans="1:24" s="47" customFormat="1" ht="15" hidden="1" customHeight="1" outlineLevel="1" x14ac:dyDescent="0.45">
      <c r="A83" s="657" t="str" cm="1">
        <f t="array" ref="A83">"KITCHEN / FOOD SERVICE EQUIPMENT (NEC "&amp;NECREF("220.56")&amp;")"</f>
        <v>KITCHEN / FOOD SERVICE EQUIPMENT (NEC 220.56)</v>
      </c>
      <c r="B83" s="658"/>
      <c r="C83" s="658"/>
      <c r="D83" s="658"/>
      <c r="E83" s="658"/>
      <c r="F83" s="658"/>
      <c r="G83" s="658"/>
      <c r="H83" s="658"/>
      <c r="I83" s="658"/>
      <c r="J83" s="658"/>
      <c r="K83" s="658"/>
      <c r="L83" s="658"/>
      <c r="M83" s="658"/>
      <c r="N83" s="658"/>
      <c r="O83" s="658"/>
      <c r="P83" s="658"/>
      <c r="Q83" s="658"/>
      <c r="R83" s="658"/>
      <c r="S83" s="658"/>
      <c r="T83" s="658"/>
      <c r="U83" s="658"/>
      <c r="V83" s="658"/>
      <c r="W83" s="658"/>
      <c r="X83" s="659"/>
    </row>
    <row r="84" spans="1:24" s="20" customFormat="1" ht="15" hidden="1" customHeight="1" outlineLevel="1" x14ac:dyDescent="0.35">
      <c r="A84" s="660"/>
      <c r="B84" s="661"/>
      <c r="C84" s="661"/>
      <c r="D84" s="661"/>
      <c r="E84" s="661"/>
      <c r="F84" s="661"/>
      <c r="G84" s="661"/>
      <c r="H84" s="661"/>
      <c r="I84" s="661"/>
      <c r="J84" s="661"/>
      <c r="K84" s="661"/>
      <c r="L84" s="661"/>
      <c r="M84" s="661"/>
      <c r="N84" s="661"/>
      <c r="O84" s="661"/>
      <c r="P84" s="661"/>
      <c r="Q84" s="661"/>
      <c r="R84" s="661"/>
      <c r="S84" s="661"/>
      <c r="T84" s="661"/>
      <c r="U84" s="661"/>
      <c r="V84" s="661"/>
      <c r="W84" s="661"/>
      <c r="X84" s="662"/>
    </row>
    <row r="85" spans="1:24" s="20" customFormat="1" ht="15" hidden="1" customHeight="1" outlineLevel="1" x14ac:dyDescent="0.45">
      <c r="A85" s="34" t="s">
        <v>275</v>
      </c>
      <c r="B85" s="34" t="s">
        <v>195</v>
      </c>
      <c r="C85" s="34" t="s">
        <v>177</v>
      </c>
      <c r="D85" s="34" t="s">
        <v>276</v>
      </c>
      <c r="E85" s="324" t="s">
        <v>534</v>
      </c>
      <c r="F85" s="324" t="s">
        <v>527</v>
      </c>
      <c r="G85" s="324" t="s">
        <v>535</v>
      </c>
      <c r="H85" s="325" t="s">
        <v>536</v>
      </c>
      <c r="I85" s="34" t="s">
        <v>277</v>
      </c>
      <c r="J85" s="34" t="s">
        <v>278</v>
      </c>
      <c r="K85" s="34" t="s">
        <v>279</v>
      </c>
      <c r="L85" s="34" t="s">
        <v>280</v>
      </c>
      <c r="M85" s="34" t="s">
        <v>194</v>
      </c>
      <c r="N85" s="34" t="s">
        <v>281</v>
      </c>
      <c r="O85" s="34" t="s">
        <v>282</v>
      </c>
      <c r="P85" s="34" t="s">
        <v>283</v>
      </c>
      <c r="Q85" s="34" t="s">
        <v>284</v>
      </c>
      <c r="R85" s="34" t="s">
        <v>285</v>
      </c>
      <c r="S85" s="34" t="s">
        <v>249</v>
      </c>
      <c r="T85" s="34" t="s">
        <v>286</v>
      </c>
      <c r="U85" s="34" t="s">
        <v>206</v>
      </c>
      <c r="V85" s="34" t="s">
        <v>1886</v>
      </c>
      <c r="W85" s="34" t="s">
        <v>1887</v>
      </c>
      <c r="X85" s="34" t="s">
        <v>225</v>
      </c>
    </row>
    <row r="86" spans="1:24" s="20" customFormat="1" ht="15" hidden="1" customHeight="1" outlineLevel="1" x14ac:dyDescent="0.35">
      <c r="A86" s="140" t="s">
        <v>443</v>
      </c>
      <c r="B86" s="131"/>
      <c r="C86" s="134"/>
      <c r="D86" s="331"/>
      <c r="E86" s="328"/>
      <c r="F86" s="328"/>
      <c r="G86" s="328"/>
      <c r="H86" s="329"/>
      <c r="I86" s="332"/>
      <c r="J86" s="134"/>
      <c r="K86" s="134"/>
      <c r="L86" s="138"/>
      <c r="M86" s="134"/>
      <c r="N86" s="143"/>
      <c r="O86" s="30" t="str" cm="1">
        <f t="array" ref="O86">IF(OR(LC_Kitchen[[#This Row],[Qty]]="",LC_Kitchen[[#This Row],[Load Value]]="",LC_Kitchen[[#This Row],[Unit]]=""),"",IFERROR(_xlfn.SWITCH(LC_Kitchen[[#This Row],[Unit]],"HP",IF(LC_Kitchen[[#This Row],[Ph]]=3,VLOOKUP(LC_Kitchen[[#This Row],[Load Value]],Motor3_Table,IF(LC_Kitchen[[#This Row],[Volts]]&lt;=215,2,IF(LC_Kitchen[[#This Row],[Volts]]&lt;=245,3,IF(LC_Kitchen[[#This Row],[Volts]]&lt;=500,4,5))),TRUE)*LC_Kitchen[[#This Row],[Volts]]*SQRT3/1000,VLOOKUP(LC_Kitchen[[#This Row],[Load Value]],Motor1_Table,IF(LC_Kitchen[[#This Row],[Volts]]&lt;=130,2,3),TRUE)*LC_Kitchen[[#This Row],[Volts]]/1000),"kW",LC_Kitchen[[#This Row],[Load Value]]/IF(LC_Kitchen[[#This Row],[PF]]="",0.9,LC_Kitchen[[#This Row],[PF]]),"kVA",LC_Kitchen[[#This Row],[Load Value]],"A",LC_Kitchen[[#This Row],[Load Value]]*LC_Kitchen[[#This Row],[Volts]]*IF(LC_Kitchen[[#This Row],[Ph]]=3,SQRT3,1)/1000,"W",LC_Kitchen[[#This Row],[Load Value]]/IF(LC_Kitchen[[#This Row],[PF]]="",0.9,LC_Kitchen[[#This Row],[PF]])/1000,"VA",LC_Kitchen[[#This Row],[Load Value]]/1000),"chk"))</f>
        <v/>
      </c>
      <c r="P86" s="30" t="str">
        <f>IF(NOT(ISNUMBER(LC_Kitchen[[#This Row],[kVA Each]])),"",LC_Kitchen[[#This Row],[Qty]]*LC_Kitchen[[#This Row],[kVA Each]])</f>
        <v/>
      </c>
      <c r="Q86" s="134"/>
      <c r="R86" s="134"/>
      <c r="S86" s="134"/>
      <c r="T86" s="134"/>
      <c r="U86" s="131"/>
      <c r="V86" s="30"/>
      <c r="W86" s="555">
        <v>0</v>
      </c>
      <c r="X86" s="30" t="str">
        <f>IF(LC_Kitchen[[#This Row],[Description]]="","",IF(N(LC_Kitchen[[#This Row],[Placed]])=0,"Unplaced",IF(LC_Kitchen[[#This Row],[Placed]]&gt;=IF(LC_Kitchen[[#This Row],[Ded. Ckt]]="N",1,MAX(1,N(LC_Kitchen[[#This Row],[Qty]]))),"Placed","Partial")))</f>
        <v/>
      </c>
    </row>
    <row r="87" spans="1:24" s="20" customFormat="1" ht="15" hidden="1" customHeight="1" outlineLevel="1" x14ac:dyDescent="0.35">
      <c r="A87" s="21"/>
      <c r="B87" s="21"/>
      <c r="C87" s="21"/>
      <c r="D87" s="21"/>
      <c r="E87" s="21"/>
      <c r="F87" s="21"/>
      <c r="G87" s="21"/>
      <c r="H87" s="21"/>
      <c r="I87" s="21"/>
      <c r="J87" s="21"/>
      <c r="K87" s="21"/>
      <c r="L87" s="21"/>
      <c r="M87" s="21"/>
      <c r="N87" s="21"/>
      <c r="O87" s="21"/>
      <c r="P87" s="65"/>
      <c r="Q87" s="21"/>
      <c r="R87" s="21"/>
      <c r="S87" s="21"/>
      <c r="T87" s="21"/>
      <c r="U87" s="21"/>
      <c r="V87" s="21"/>
      <c r="W87" s="21"/>
      <c r="X87" s="21"/>
    </row>
    <row r="88" spans="1:24" s="20" customFormat="1" ht="15" hidden="1" customHeight="1" outlineLevel="1" x14ac:dyDescent="0.45">
      <c r="A88" s="21"/>
      <c r="B88" s="640" t="s">
        <v>287</v>
      </c>
      <c r="C88" s="640"/>
      <c r="D88" s="640"/>
      <c r="E88" s="640"/>
      <c r="F88" s="640"/>
      <c r="G88" s="154">
        <f>IFERROR(VLOOKUP(MAX(1,SUM(LC_Kitchen[Qty])),Kitchen_Table,2,TRUE),1)</f>
        <v>1</v>
      </c>
      <c r="H88" s="21"/>
      <c r="I88" s="21"/>
      <c r="J88" s="21"/>
      <c r="K88" s="21"/>
      <c r="L88" s="46"/>
      <c r="M88" s="21"/>
      <c r="N88" s="21"/>
      <c r="O88" s="582">
        <f>SUM(LC_Kitchen[Total kVA])</f>
        <v>0</v>
      </c>
      <c r="P88" s="581">
        <f>ROUND(IFERROR($O88*$G88,0),1)</f>
        <v>0</v>
      </c>
      <c r="Q88" s="21"/>
      <c r="R88" s="46"/>
      <c r="S88" s="46"/>
      <c r="T88" s="46"/>
      <c r="U88" s="46"/>
      <c r="V88" s="46"/>
      <c r="W88" s="46"/>
      <c r="X88" s="46"/>
    </row>
    <row r="89" spans="1:24" ht="15" hidden="1" customHeight="1" collapsed="1" x14ac:dyDescent="0.45">
      <c r="A89" s="9"/>
      <c r="B89" s="9"/>
      <c r="C89" s="9"/>
      <c r="D89" s="9"/>
      <c r="E89" s="9"/>
      <c r="F89" s="9"/>
      <c r="G89" s="9"/>
      <c r="H89" s="9"/>
      <c r="I89" s="9"/>
      <c r="J89" s="9"/>
      <c r="K89" s="9"/>
      <c r="L89" s="9"/>
      <c r="M89" s="9"/>
      <c r="N89" s="9"/>
      <c r="O89" s="9"/>
      <c r="P89" s="9"/>
      <c r="Q89" s="9"/>
    </row>
    <row r="90" spans="1:24" ht="15" hidden="1" customHeight="1" outlineLevel="1" x14ac:dyDescent="0.45">
      <c r="A90" s="657" t="str" cm="1">
        <f t="array" ref="A90">"ELEVATORS / CONVEYING (NEC "&amp;NECREF("620.14")&amp;")"</f>
        <v>ELEVATORS / CONVEYING (NEC 620.14)</v>
      </c>
      <c r="B90" s="658"/>
      <c r="C90" s="658"/>
      <c r="D90" s="658"/>
      <c r="E90" s="658"/>
      <c r="F90" s="658"/>
      <c r="G90" s="658"/>
      <c r="H90" s="658"/>
      <c r="I90" s="658"/>
      <c r="J90" s="658"/>
      <c r="K90" s="658"/>
      <c r="L90" s="658"/>
      <c r="M90" s="658"/>
      <c r="N90" s="658"/>
      <c r="O90" s="658"/>
      <c r="P90" s="658"/>
      <c r="Q90" s="658"/>
      <c r="R90" s="658"/>
      <c r="S90" s="658"/>
      <c r="T90" s="658"/>
      <c r="U90" s="658"/>
      <c r="V90" s="658"/>
      <c r="W90" s="658"/>
      <c r="X90" s="659"/>
    </row>
    <row r="91" spans="1:24" s="47" customFormat="1" ht="15" hidden="1" customHeight="1" outlineLevel="1" x14ac:dyDescent="0.45">
      <c r="A91" s="660"/>
      <c r="B91" s="661"/>
      <c r="C91" s="661"/>
      <c r="D91" s="661"/>
      <c r="E91" s="661"/>
      <c r="F91" s="661"/>
      <c r="G91" s="661"/>
      <c r="H91" s="661"/>
      <c r="I91" s="661"/>
      <c r="J91" s="661"/>
      <c r="K91" s="661"/>
      <c r="L91" s="661"/>
      <c r="M91" s="661"/>
      <c r="N91" s="661"/>
      <c r="O91" s="661"/>
      <c r="P91" s="661"/>
      <c r="Q91" s="661"/>
      <c r="R91" s="661"/>
      <c r="S91" s="661"/>
      <c r="T91" s="661"/>
      <c r="U91" s="661"/>
      <c r="V91" s="661"/>
      <c r="W91" s="661"/>
      <c r="X91" s="662"/>
    </row>
    <row r="92" spans="1:24" s="46" customFormat="1" ht="15" hidden="1" customHeight="1" outlineLevel="1" x14ac:dyDescent="0.45">
      <c r="A92" s="34" t="s">
        <v>275</v>
      </c>
      <c r="B92" s="34" t="s">
        <v>195</v>
      </c>
      <c r="C92" s="34" t="s">
        <v>177</v>
      </c>
      <c r="D92" s="34" t="s">
        <v>276</v>
      </c>
      <c r="E92" s="324" t="s">
        <v>534</v>
      </c>
      <c r="F92" s="324" t="s">
        <v>527</v>
      </c>
      <c r="G92" s="324" t="s">
        <v>535</v>
      </c>
      <c r="H92" s="325" t="s">
        <v>536</v>
      </c>
      <c r="I92" s="34" t="s">
        <v>277</v>
      </c>
      <c r="J92" s="34" t="s">
        <v>278</v>
      </c>
      <c r="K92" s="34" t="s">
        <v>279</v>
      </c>
      <c r="L92" s="34" t="s">
        <v>280</v>
      </c>
      <c r="M92" s="34" t="s">
        <v>194</v>
      </c>
      <c r="N92" s="34" t="s">
        <v>281</v>
      </c>
      <c r="O92" s="34" t="s">
        <v>282</v>
      </c>
      <c r="P92" s="34" t="s">
        <v>283</v>
      </c>
      <c r="Q92" s="34" t="s">
        <v>284</v>
      </c>
      <c r="R92" s="34" t="s">
        <v>285</v>
      </c>
      <c r="S92" s="34" t="s">
        <v>249</v>
      </c>
      <c r="T92" s="34" t="s">
        <v>286</v>
      </c>
      <c r="U92" s="34" t="s">
        <v>206</v>
      </c>
      <c r="V92" s="34" t="s">
        <v>1886</v>
      </c>
      <c r="W92" s="34" t="s">
        <v>1887</v>
      </c>
      <c r="X92" s="34" t="s">
        <v>225</v>
      </c>
    </row>
    <row r="93" spans="1:24" s="46" customFormat="1" ht="15" hidden="1" customHeight="1" outlineLevel="1" x14ac:dyDescent="0.35">
      <c r="A93" s="140" t="s">
        <v>443</v>
      </c>
      <c r="B93" s="131"/>
      <c r="C93" s="134"/>
      <c r="D93" s="331"/>
      <c r="E93" s="328"/>
      <c r="F93" s="328"/>
      <c r="G93" s="328"/>
      <c r="H93" s="329"/>
      <c r="I93" s="332"/>
      <c r="J93" s="134"/>
      <c r="K93" s="134"/>
      <c r="L93" s="138"/>
      <c r="M93" s="134"/>
      <c r="N93" s="143"/>
      <c r="O93" s="30" t="str" cm="1">
        <f t="array" ref="O93">IF(OR(LC_Elev[[#This Row],[Qty]]="",LC_Elev[[#This Row],[Load Value]]="",LC_Elev[[#This Row],[Unit]]=""),"",IFERROR(_xlfn.SWITCH(LC_Elev[[#This Row],[Unit]],"HP",IF(LC_Elev[[#This Row],[Ph]]=3,VLOOKUP(LC_Elev[[#This Row],[Load Value]],Motor3_Table,IF(LC_Elev[[#This Row],[Volts]]&lt;=215,2,IF(LC_Elev[[#This Row],[Volts]]&lt;=245,3,IF(LC_Elev[[#This Row],[Volts]]&lt;=500,4,5))),TRUE)*LC_Elev[[#This Row],[Volts]]*SQRT3/1000,VLOOKUP(LC_Elev[[#This Row],[Load Value]],Motor1_Table,IF(LC_Elev[[#This Row],[Volts]]&lt;=130,2,3),TRUE)*LC_Elev[[#This Row],[Volts]]/1000),"kW",LC_Elev[[#This Row],[Load Value]]/IF(LC_Elev[[#This Row],[PF]]="",0.9,LC_Elev[[#This Row],[PF]]),"kVA",LC_Elev[[#This Row],[Load Value]],"A",LC_Elev[[#This Row],[Load Value]]*LC_Elev[[#This Row],[Volts]]*IF(LC_Elev[[#This Row],[Ph]]=3,SQRT3,1)/1000,"W",LC_Elev[[#This Row],[Load Value]]/IF(LC_Elev[[#This Row],[PF]]="",0.9,LC_Elev[[#This Row],[PF]])/1000,"VA",LC_Elev[[#This Row],[Load Value]]/1000),"chk"))</f>
        <v/>
      </c>
      <c r="P93" s="30" t="str">
        <f>IF(NOT(ISNUMBER(LC_Elev[[#This Row],[kVA Each]])),"",LC_Elev[[#This Row],[Qty]]*LC_Elev[[#This Row],[kVA Each]])</f>
        <v/>
      </c>
      <c r="Q93" s="134"/>
      <c r="R93" s="134"/>
      <c r="S93" s="134"/>
      <c r="T93" s="134"/>
      <c r="U93" s="134"/>
      <c r="V93" s="30"/>
      <c r="W93" s="555">
        <v>0</v>
      </c>
      <c r="X93" s="30" t="str">
        <f>IF(LC_Elev[[#This Row],[Description]]="","",IF(N(LC_Elev[[#This Row],[Placed]])=0,"Unplaced",IF(LC_Elev[[#This Row],[Placed]]&gt;=IF(LC_Elev[[#This Row],[Ded. Ckt]]="N",1,MAX(1,N(LC_Elev[[#This Row],[Qty]]))),"Placed","Partial")))</f>
        <v/>
      </c>
    </row>
    <row r="94" spans="1:24" s="46" customFormat="1" ht="15" hidden="1" customHeight="1" outlineLevel="1" x14ac:dyDescent="0.35">
      <c r="A94" s="21"/>
      <c r="B94" s="21"/>
      <c r="C94" s="21"/>
      <c r="D94" s="21"/>
      <c r="E94" s="21"/>
      <c r="F94" s="21"/>
      <c r="G94" s="21"/>
      <c r="H94" s="21"/>
      <c r="I94" s="21"/>
      <c r="J94" s="21"/>
      <c r="K94" s="21"/>
      <c r="L94" s="21"/>
      <c r="M94" s="21"/>
      <c r="N94" s="21"/>
      <c r="O94" s="21"/>
      <c r="P94" s="65"/>
      <c r="Q94" s="21"/>
      <c r="R94" s="21"/>
      <c r="S94" s="21"/>
      <c r="T94" s="21"/>
      <c r="U94" s="21"/>
      <c r="V94" s="21"/>
      <c r="W94" s="21"/>
      <c r="X94" s="21"/>
    </row>
    <row r="95" spans="1:24" s="46" customFormat="1" ht="15" hidden="1" customHeight="1" outlineLevel="1" x14ac:dyDescent="0.35">
      <c r="A95" s="21"/>
      <c r="B95" s="640" t="s">
        <v>287</v>
      </c>
      <c r="C95" s="640"/>
      <c r="D95" s="640"/>
      <c r="E95" s="640"/>
      <c r="F95" s="640"/>
      <c r="G95" s="143">
        <v>1</v>
      </c>
      <c r="H95" s="21"/>
      <c r="I95" s="21"/>
      <c r="J95" s="21"/>
      <c r="K95" s="21"/>
      <c r="M95" s="21"/>
      <c r="N95" s="21"/>
      <c r="O95" s="582">
        <f>SUM(LC_Elev[Total kVA])</f>
        <v>0</v>
      </c>
      <c r="P95" s="581">
        <f>ROUND(IFERROR($O95*$G95,0),1)</f>
        <v>0</v>
      </c>
      <c r="Q95" s="21"/>
    </row>
    <row r="96" spans="1:24" ht="15" hidden="1" customHeight="1" collapsed="1" x14ac:dyDescent="0.45">
      <c r="A96" s="9"/>
      <c r="B96" s="9"/>
      <c r="C96" s="9"/>
      <c r="D96" s="9"/>
      <c r="E96" s="9"/>
      <c r="F96" s="9"/>
      <c r="G96" s="9"/>
      <c r="H96" s="9"/>
      <c r="I96" s="9"/>
      <c r="J96" s="9"/>
      <c r="K96" s="9"/>
      <c r="L96" s="9"/>
      <c r="M96" s="9"/>
      <c r="N96" s="9"/>
      <c r="O96" s="9"/>
      <c r="P96" s="9"/>
      <c r="Q96" s="9"/>
    </row>
    <row r="97" spans="1:24" ht="15" hidden="1" customHeight="1" outlineLevel="1" x14ac:dyDescent="0.45">
      <c r="A97" s="645" t="str" cm="1">
        <f t="array" ref="A97">"EV CHARGING (NEC "&amp;NECREF("625")&amp;" — 100% Unless EMS)"</f>
        <v>EV CHARGING (NEC 625 — 100% Unless EMS)</v>
      </c>
      <c r="B97" s="646"/>
      <c r="C97" s="646"/>
      <c r="D97" s="646"/>
      <c r="E97" s="646"/>
      <c r="F97" s="646"/>
      <c r="G97" s="646"/>
      <c r="H97" s="646"/>
      <c r="I97" s="646"/>
      <c r="J97" s="646"/>
      <c r="K97" s="646"/>
      <c r="L97" s="646"/>
      <c r="M97" s="646"/>
      <c r="N97" s="646"/>
      <c r="O97" s="646"/>
      <c r="P97" s="646"/>
      <c r="Q97" s="646"/>
      <c r="R97" s="646"/>
      <c r="S97" s="646"/>
      <c r="T97" s="646"/>
      <c r="U97" s="646"/>
      <c r="V97" s="646"/>
      <c r="W97" s="646"/>
      <c r="X97" s="646"/>
    </row>
    <row r="98" spans="1:24" ht="15" hidden="1" customHeight="1" outlineLevel="1" x14ac:dyDescent="0.45">
      <c r="A98" s="645"/>
      <c r="B98" s="646"/>
      <c r="C98" s="646"/>
      <c r="D98" s="646"/>
      <c r="E98" s="646"/>
      <c r="F98" s="646"/>
      <c r="G98" s="646"/>
      <c r="H98" s="646"/>
      <c r="I98" s="646"/>
      <c r="J98" s="646"/>
      <c r="K98" s="646"/>
      <c r="L98" s="646"/>
      <c r="M98" s="646"/>
      <c r="N98" s="646"/>
      <c r="O98" s="646"/>
      <c r="P98" s="646"/>
      <c r="Q98" s="646"/>
      <c r="R98" s="646"/>
      <c r="S98" s="646"/>
      <c r="T98" s="646"/>
      <c r="U98" s="646"/>
      <c r="V98" s="646"/>
      <c r="W98" s="646"/>
      <c r="X98" s="646"/>
    </row>
    <row r="99" spans="1:24" s="47" customFormat="1" ht="15" hidden="1" customHeight="1" outlineLevel="1" x14ac:dyDescent="0.45">
      <c r="A99" s="34" t="s">
        <v>275</v>
      </c>
      <c r="B99" s="34" t="s">
        <v>195</v>
      </c>
      <c r="C99" s="34" t="s">
        <v>177</v>
      </c>
      <c r="D99" s="34" t="s">
        <v>276</v>
      </c>
      <c r="E99" s="324" t="s">
        <v>534</v>
      </c>
      <c r="F99" s="324" t="s">
        <v>527</v>
      </c>
      <c r="G99" s="324" t="s">
        <v>535</v>
      </c>
      <c r="H99" s="325" t="s">
        <v>536</v>
      </c>
      <c r="I99" s="34" t="s">
        <v>277</v>
      </c>
      <c r="J99" s="34" t="s">
        <v>278</v>
      </c>
      <c r="K99" s="34" t="s">
        <v>279</v>
      </c>
      <c r="L99" s="34" t="s">
        <v>280</v>
      </c>
      <c r="M99" s="34" t="s">
        <v>194</v>
      </c>
      <c r="N99" s="34" t="s">
        <v>281</v>
      </c>
      <c r="O99" s="34" t="s">
        <v>282</v>
      </c>
      <c r="P99" s="34" t="s">
        <v>283</v>
      </c>
      <c r="Q99" s="34" t="s">
        <v>284</v>
      </c>
      <c r="R99" s="34" t="s">
        <v>285</v>
      </c>
      <c r="S99" s="34" t="s">
        <v>249</v>
      </c>
      <c r="T99" s="34" t="s">
        <v>286</v>
      </c>
      <c r="U99" s="34" t="s">
        <v>206</v>
      </c>
      <c r="V99" s="34" t="s">
        <v>1886</v>
      </c>
      <c r="W99" s="34" t="s">
        <v>1887</v>
      </c>
      <c r="X99" s="34" t="s">
        <v>225</v>
      </c>
    </row>
    <row r="100" spans="1:24" s="46" customFormat="1" ht="15" hidden="1" customHeight="1" outlineLevel="1" x14ac:dyDescent="0.35">
      <c r="A100" s="140" t="s">
        <v>443</v>
      </c>
      <c r="B100" s="131"/>
      <c r="C100" s="134"/>
      <c r="D100" s="331"/>
      <c r="E100" s="328"/>
      <c r="F100" s="328"/>
      <c r="G100" s="328"/>
      <c r="H100" s="329"/>
      <c r="I100" s="332"/>
      <c r="J100" s="134"/>
      <c r="K100" s="134"/>
      <c r="L100" s="138"/>
      <c r="M100" s="134"/>
      <c r="N100" s="143"/>
      <c r="O100" s="30" t="str" cm="1">
        <f t="array" ref="O100">IF(OR(LC_EV[[#This Row],[Qty]]="",LC_EV[[#This Row],[Load Value]]="",LC_EV[[#This Row],[Unit]]=""),"",IFERROR(_xlfn.SWITCH(LC_EV[[#This Row],[Unit]],"HP",IF(LC_EV[[#This Row],[Ph]]=3,VLOOKUP(LC_EV[[#This Row],[Load Value]],Motor3_Table,IF(LC_EV[[#This Row],[Volts]]&lt;=215,2,IF(LC_EV[[#This Row],[Volts]]&lt;=245,3,IF(LC_EV[[#This Row],[Volts]]&lt;=500,4,5))),TRUE)*LC_EV[[#This Row],[Volts]]*SQRT3/1000,VLOOKUP(LC_EV[[#This Row],[Load Value]],Motor1_Table,IF(LC_EV[[#This Row],[Volts]]&lt;=130,2,3),TRUE)*LC_EV[[#This Row],[Volts]]/1000),"kW",LC_EV[[#This Row],[Load Value]]/IF(LC_EV[[#This Row],[PF]]="",0.9,LC_EV[[#This Row],[PF]]),"kVA",LC_EV[[#This Row],[Load Value]],"A",LC_EV[[#This Row],[Load Value]]*LC_EV[[#This Row],[Volts]]*IF(LC_EV[[#This Row],[Ph]]=3,SQRT3,1)/1000,"W",LC_EV[[#This Row],[Load Value]]/IF(LC_EV[[#This Row],[PF]]="",0.9,LC_EV[[#This Row],[PF]])/1000,"VA",LC_EV[[#This Row],[Load Value]]/1000),"chk"))</f>
        <v/>
      </c>
      <c r="P100" s="30" t="str">
        <f>IF(NOT(ISNUMBER(LC_EV[[#This Row],[kVA Each]])),"",LC_EV[[#This Row],[Qty]]*LC_EV[[#This Row],[kVA Each]])</f>
        <v/>
      </c>
      <c r="Q100" s="134"/>
      <c r="R100" s="134"/>
      <c r="S100" s="134"/>
      <c r="T100" s="134"/>
      <c r="U100" s="131"/>
      <c r="V100" s="30"/>
      <c r="W100" s="555">
        <v>0</v>
      </c>
      <c r="X100" s="30" t="str">
        <f>IF(LC_EV[[#This Row],[Description]]="","",IF(N(LC_EV[[#This Row],[Placed]])=0,"Unplaced",IF(LC_EV[[#This Row],[Placed]]&gt;=IF(LC_EV[[#This Row],[Ded. Ckt]]="N",1,MAX(1,N(LC_EV[[#This Row],[Qty]]))),"Placed","Partial")))</f>
        <v/>
      </c>
    </row>
    <row r="101" spans="1:24" s="46" customFormat="1" ht="15" hidden="1" customHeight="1" outlineLevel="1" x14ac:dyDescent="0.35">
      <c r="A101" s="21"/>
      <c r="B101" s="21"/>
      <c r="C101" s="21"/>
      <c r="D101" s="21"/>
      <c r="E101" s="21"/>
      <c r="F101" s="21"/>
      <c r="G101" s="21"/>
      <c r="H101" s="21"/>
      <c r="I101" s="21"/>
      <c r="J101" s="21"/>
      <c r="K101" s="21"/>
      <c r="L101" s="21"/>
      <c r="M101" s="21"/>
      <c r="N101" s="21"/>
      <c r="O101" s="21"/>
      <c r="P101" s="65"/>
      <c r="Q101" s="21"/>
      <c r="R101" s="21"/>
      <c r="S101" s="21"/>
      <c r="T101" s="21"/>
      <c r="U101" s="21"/>
      <c r="V101" s="21"/>
      <c r="W101" s="21"/>
      <c r="X101" s="21"/>
    </row>
    <row r="102" spans="1:24" s="46" customFormat="1" ht="15" hidden="1" customHeight="1" outlineLevel="1" x14ac:dyDescent="0.35">
      <c r="A102" s="21"/>
      <c r="B102" s="640" t="s">
        <v>287</v>
      </c>
      <c r="C102" s="640"/>
      <c r="D102" s="640"/>
      <c r="E102" s="640"/>
      <c r="F102" s="640"/>
      <c r="G102" s="143">
        <v>1</v>
      </c>
      <c r="H102" s="21"/>
      <c r="I102" s="21"/>
      <c r="J102" s="21"/>
      <c r="K102" s="21"/>
      <c r="M102" s="21"/>
      <c r="N102" s="21"/>
      <c r="O102" s="582">
        <f>SUM(LC_EV[Total kVA])</f>
        <v>0</v>
      </c>
      <c r="P102" s="581">
        <f>ROUND(IFERROR($O102*$G102,0),1)</f>
        <v>0</v>
      </c>
      <c r="Q102" s="21"/>
    </row>
    <row r="103" spans="1:24" s="46" customFormat="1" ht="15" hidden="1" customHeight="1" collapsed="1" x14ac:dyDescent="0.45">
      <c r="A103" s="9"/>
      <c r="B103" s="9"/>
      <c r="C103" s="9"/>
      <c r="D103" s="9"/>
      <c r="E103" s="9"/>
      <c r="F103" s="9"/>
      <c r="G103" s="9"/>
      <c r="H103" s="9"/>
      <c r="I103" s="9"/>
      <c r="J103" s="9"/>
      <c r="K103" s="9"/>
      <c r="L103" s="9"/>
      <c r="M103" s="9"/>
      <c r="N103" s="9"/>
      <c r="O103" s="9"/>
      <c r="P103" s="9"/>
      <c r="Q103" s="9"/>
      <c r="R103" s="8"/>
      <c r="S103" s="8"/>
      <c r="T103" s="8"/>
      <c r="U103" s="8"/>
      <c r="V103" s="8"/>
      <c r="W103" s="8"/>
      <c r="X103" s="8"/>
    </row>
    <row r="104" spans="1:24" s="46" customFormat="1" ht="15" customHeight="1" x14ac:dyDescent="0.35">
      <c r="A104" s="615" t="s">
        <v>1632</v>
      </c>
      <c r="B104" s="616"/>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row>
    <row r="105" spans="1:24" s="46" customFormat="1" ht="15" customHeight="1" x14ac:dyDescent="0.35">
      <c r="A105" s="615"/>
      <c r="B105" s="616"/>
      <c r="C105" s="616"/>
      <c r="D105" s="616"/>
      <c r="E105" s="616"/>
      <c r="F105" s="616"/>
      <c r="G105" s="616"/>
      <c r="H105" s="616"/>
      <c r="I105" s="616"/>
      <c r="J105" s="616"/>
      <c r="K105" s="616"/>
      <c r="L105" s="616"/>
      <c r="M105" s="616"/>
      <c r="N105" s="616"/>
      <c r="O105" s="616"/>
      <c r="P105" s="616"/>
      <c r="Q105" s="616"/>
      <c r="R105" s="616"/>
      <c r="S105" s="616"/>
      <c r="T105" s="616"/>
      <c r="U105" s="616"/>
      <c r="V105" s="616"/>
      <c r="W105" s="616"/>
      <c r="X105" s="616"/>
    </row>
    <row r="106" spans="1:24" s="46" customFormat="1" ht="15" customHeight="1" x14ac:dyDescent="0.45">
      <c r="A106" s="34" t="s">
        <v>275</v>
      </c>
      <c r="B106" s="34" t="s">
        <v>195</v>
      </c>
      <c r="C106" s="34" t="s">
        <v>177</v>
      </c>
      <c r="D106" s="34" t="s">
        <v>276</v>
      </c>
      <c r="E106" s="324" t="s">
        <v>534</v>
      </c>
      <c r="F106" s="324" t="s">
        <v>527</v>
      </c>
      <c r="G106" s="324" t="s">
        <v>535</v>
      </c>
      <c r="H106" s="325" t="s">
        <v>536</v>
      </c>
      <c r="I106" s="34" t="s">
        <v>277</v>
      </c>
      <c r="J106" s="34" t="s">
        <v>278</v>
      </c>
      <c r="K106" s="34" t="s">
        <v>279</v>
      </c>
      <c r="L106" s="34" t="s">
        <v>280</v>
      </c>
      <c r="M106" s="34" t="s">
        <v>194</v>
      </c>
      <c r="N106" s="34" t="s">
        <v>281</v>
      </c>
      <c r="O106" s="34" t="s">
        <v>282</v>
      </c>
      <c r="P106" s="34" t="s">
        <v>283</v>
      </c>
      <c r="Q106" s="34" t="s">
        <v>284</v>
      </c>
      <c r="R106" s="34" t="s">
        <v>285</v>
      </c>
      <c r="S106" s="34" t="s">
        <v>249</v>
      </c>
      <c r="T106" s="34" t="s">
        <v>286</v>
      </c>
      <c r="U106" s="34" t="s">
        <v>206</v>
      </c>
      <c r="V106" s="34" t="s">
        <v>1886</v>
      </c>
      <c r="W106" s="34" t="s">
        <v>1887</v>
      </c>
      <c r="X106" s="34" t="s">
        <v>225</v>
      </c>
    </row>
    <row r="107" spans="1:24" s="46" customFormat="1" ht="15" customHeight="1" x14ac:dyDescent="0.35">
      <c r="A107" s="140" t="s">
        <v>443</v>
      </c>
      <c r="B107" s="131"/>
      <c r="C107" s="134"/>
      <c r="D107" s="331"/>
      <c r="E107" s="328"/>
      <c r="F107" s="328"/>
      <c r="G107" s="328"/>
      <c r="H107" s="329"/>
      <c r="I107" s="332"/>
      <c r="J107" s="134"/>
      <c r="K107" s="134"/>
      <c r="L107" s="138"/>
      <c r="M107" s="134"/>
      <c r="N107" s="143"/>
      <c r="O107" s="30" t="str" cm="1">
        <f t="array" ref="O107">IF(OR(LC_Data[[#This Row],[Qty]]="",LC_Data[[#This Row],[Load Value]]="",LC_Data[[#This Row],[Unit]]=""),"",IFERROR(_xlfn.SWITCH(LC_Data[[#This Row],[Unit]],"HP",IF(LC_Data[[#This Row],[Ph]]=3,VLOOKUP(LC_Data[[#This Row],[Load Value]],Motor3_Table,IF(LC_Data[[#This Row],[Volts]]&lt;=215,2,IF(LC_Data[[#This Row],[Volts]]&lt;=245,3,IF(LC_Data[[#This Row],[Volts]]&lt;=500,4,5))),TRUE)*LC_Data[[#This Row],[Volts]]*SQRT3/1000,VLOOKUP(LC_Data[[#This Row],[Load Value]],Motor1_Table,IF(LC_Data[[#This Row],[Volts]]&lt;=130,2,3),TRUE)*LC_Data[[#This Row],[Volts]]/1000),"kW",LC_Data[[#This Row],[Load Value]]/IF(LC_Data[[#This Row],[PF]]="",0.9,LC_Data[[#This Row],[PF]]),"kVA",LC_Data[[#This Row],[Load Value]],"A",LC_Data[[#This Row],[Load Value]]*LC_Data[[#This Row],[Volts]]*IF(LC_Data[[#This Row],[Ph]]=3,SQRT3,1)/1000,"W",LC_Data[[#This Row],[Load Value]]/IF(LC_Data[[#This Row],[PF]]="",0.9,LC_Data[[#This Row],[PF]])/1000,"VA",LC_Data[[#This Row],[Load Value]]/1000),"chk"))</f>
        <v/>
      </c>
      <c r="P107" s="30" t="str">
        <f>IF(NOT(ISNUMBER(LC_Data[[#This Row],[kVA Each]])),"",LC_Data[[#This Row],[Qty]]*LC_Data[[#This Row],[kVA Each]])</f>
        <v/>
      </c>
      <c r="Q107" s="134"/>
      <c r="R107" s="134"/>
      <c r="S107" s="134"/>
      <c r="T107" s="134"/>
      <c r="U107" s="131"/>
      <c r="V107" s="30"/>
      <c r="W107" s="555">
        <v>0</v>
      </c>
      <c r="X107" s="30" t="str">
        <f>IF(LC_Data[[#This Row],[Description]]="","",IF(N(LC_Data[[#This Row],[Placed]])=0,"Unplaced",IF(LC_Data[[#This Row],[Placed]]&gt;=IF(LC_Data[[#This Row],[Ded. Ckt]]="N",1,MAX(1,N(LC_Data[[#This Row],[Qty]]))),"Placed","Partial")))</f>
        <v/>
      </c>
    </row>
    <row r="108" spans="1:24" s="46" customFormat="1" ht="15" customHeight="1" x14ac:dyDescent="0.35">
      <c r="A108" s="21"/>
      <c r="B108" s="21"/>
      <c r="C108" s="21"/>
      <c r="D108" s="21"/>
      <c r="E108" s="21"/>
      <c r="F108" s="21"/>
      <c r="G108" s="21"/>
      <c r="H108" s="21"/>
      <c r="I108" s="21"/>
      <c r="J108" s="21"/>
      <c r="K108" s="21"/>
      <c r="L108" s="21"/>
      <c r="M108" s="21"/>
      <c r="N108" s="21"/>
      <c r="O108" s="21"/>
      <c r="P108" s="65"/>
      <c r="Q108" s="21"/>
      <c r="R108" s="21"/>
      <c r="S108" s="21"/>
      <c r="T108" s="21"/>
      <c r="U108" s="21"/>
      <c r="V108" s="21"/>
      <c r="W108" s="21"/>
      <c r="X108" s="21"/>
    </row>
    <row r="109" spans="1:24" s="46" customFormat="1" ht="15" customHeight="1" x14ac:dyDescent="0.35">
      <c r="A109" s="21"/>
      <c r="B109" s="640" t="s">
        <v>287</v>
      </c>
      <c r="C109" s="640"/>
      <c r="D109" s="640"/>
      <c r="E109" s="640"/>
      <c r="F109" s="640"/>
      <c r="G109" s="143">
        <v>1</v>
      </c>
      <c r="H109" s="21"/>
      <c r="I109" s="21"/>
      <c r="J109" s="21"/>
      <c r="K109" s="21"/>
      <c r="M109" s="21"/>
      <c r="N109" s="21"/>
      <c r="O109" s="582">
        <f>SUM(LC_Data[Total kVA])</f>
        <v>0</v>
      </c>
      <c r="P109" s="581">
        <f>ROUND(IFERROR($O109*$G109,0),1)</f>
        <v>0</v>
      </c>
      <c r="Q109" s="21"/>
    </row>
    <row r="110" spans="1:24" s="46" customFormat="1" ht="15" customHeight="1" x14ac:dyDescent="0.45">
      <c r="A110" s="9"/>
      <c r="B110" s="9"/>
      <c r="C110" s="9"/>
      <c r="D110" s="9"/>
      <c r="E110" s="9"/>
      <c r="F110" s="9"/>
      <c r="G110" s="9"/>
      <c r="H110" s="9"/>
      <c r="I110" s="9"/>
      <c r="J110" s="9"/>
      <c r="K110" s="9"/>
      <c r="L110" s="9"/>
      <c r="M110" s="9"/>
      <c r="N110" s="9"/>
      <c r="O110" s="9"/>
      <c r="P110" s="9"/>
      <c r="Q110" s="9"/>
      <c r="R110" s="8"/>
      <c r="S110" s="8"/>
      <c r="T110" s="8"/>
      <c r="U110" s="8"/>
      <c r="V110" s="8"/>
      <c r="W110" s="8"/>
      <c r="X110" s="8"/>
    </row>
    <row r="111" spans="1:24" s="46" customFormat="1" ht="15" hidden="1" customHeight="1" outlineLevel="1" x14ac:dyDescent="0.35">
      <c r="A111" s="645" t="s">
        <v>1634</v>
      </c>
      <c r="B111" s="646"/>
      <c r="C111" s="646"/>
      <c r="D111" s="646"/>
      <c r="E111" s="646"/>
      <c r="F111" s="646"/>
      <c r="G111" s="646"/>
      <c r="H111" s="646"/>
      <c r="I111" s="646"/>
      <c r="J111" s="646"/>
      <c r="K111" s="646"/>
      <c r="L111" s="646"/>
      <c r="M111" s="646"/>
      <c r="N111" s="646"/>
      <c r="O111" s="646"/>
      <c r="P111" s="646"/>
      <c r="Q111" s="646"/>
      <c r="R111" s="646"/>
      <c r="S111" s="646"/>
      <c r="T111" s="646"/>
      <c r="U111" s="646"/>
      <c r="V111" s="646"/>
      <c r="W111" s="646"/>
      <c r="X111" s="646"/>
    </row>
    <row r="112" spans="1:24" s="46" customFormat="1" ht="15" hidden="1" customHeight="1" outlineLevel="1" x14ac:dyDescent="0.35">
      <c r="A112" s="645"/>
      <c r="B112" s="646"/>
      <c r="C112" s="646"/>
      <c r="D112" s="646"/>
      <c r="E112" s="646"/>
      <c r="F112" s="646"/>
      <c r="G112" s="646"/>
      <c r="H112" s="646"/>
      <c r="I112" s="646"/>
      <c r="J112" s="646"/>
      <c r="K112" s="646"/>
      <c r="L112" s="646"/>
      <c r="M112" s="646"/>
      <c r="N112" s="646"/>
      <c r="O112" s="646"/>
      <c r="P112" s="646"/>
      <c r="Q112" s="646"/>
      <c r="R112" s="646"/>
      <c r="S112" s="646"/>
      <c r="T112" s="646"/>
      <c r="U112" s="646"/>
      <c r="V112" s="646"/>
      <c r="W112" s="646"/>
      <c r="X112" s="646"/>
    </row>
    <row r="113" spans="1:24" s="46" customFormat="1" ht="15" hidden="1" customHeight="1" outlineLevel="1" x14ac:dyDescent="0.45">
      <c r="A113" s="34" t="s">
        <v>275</v>
      </c>
      <c r="B113" s="34" t="s">
        <v>195</v>
      </c>
      <c r="C113" s="34" t="s">
        <v>177</v>
      </c>
      <c r="D113" s="34" t="s">
        <v>276</v>
      </c>
      <c r="E113" s="324" t="s">
        <v>534</v>
      </c>
      <c r="F113" s="324" t="s">
        <v>527</v>
      </c>
      <c r="G113" s="324" t="s">
        <v>535</v>
      </c>
      <c r="H113" s="325" t="s">
        <v>536</v>
      </c>
      <c r="I113" s="34" t="s">
        <v>277</v>
      </c>
      <c r="J113" s="34" t="s">
        <v>278</v>
      </c>
      <c r="K113" s="34" t="s">
        <v>279</v>
      </c>
      <c r="L113" s="34" t="s">
        <v>280</v>
      </c>
      <c r="M113" s="34" t="s">
        <v>194</v>
      </c>
      <c r="N113" s="34" t="s">
        <v>281</v>
      </c>
      <c r="O113" s="34" t="s">
        <v>282</v>
      </c>
      <c r="P113" s="34" t="s">
        <v>283</v>
      </c>
      <c r="Q113" s="34" t="s">
        <v>284</v>
      </c>
      <c r="R113" s="34" t="s">
        <v>285</v>
      </c>
      <c r="S113" s="34" t="s">
        <v>249</v>
      </c>
      <c r="T113" s="34" t="s">
        <v>286</v>
      </c>
      <c r="U113" s="34" t="s">
        <v>206</v>
      </c>
      <c r="V113" s="34" t="s">
        <v>1886</v>
      </c>
      <c r="W113" s="34" t="s">
        <v>1887</v>
      </c>
      <c r="X113" s="34" t="s">
        <v>225</v>
      </c>
    </row>
    <row r="114" spans="1:24" s="46" customFormat="1" ht="15" hidden="1" customHeight="1" outlineLevel="1" x14ac:dyDescent="0.35">
      <c r="A114" s="140" t="s">
        <v>443</v>
      </c>
      <c r="B114" s="131"/>
      <c r="C114" s="134"/>
      <c r="D114" s="331"/>
      <c r="E114" s="328"/>
      <c r="F114" s="328"/>
      <c r="G114" s="328"/>
      <c r="H114" s="329"/>
      <c r="I114" s="332"/>
      <c r="J114" s="134"/>
      <c r="K114" s="134"/>
      <c r="L114" s="138"/>
      <c r="M114" s="134"/>
      <c r="N114" s="143"/>
      <c r="O114" s="30" t="str" cm="1">
        <f t="array" ref="O114">IF(OR(LC_Fire[[#This Row],[Qty]]="",LC_Fire[[#This Row],[Load Value]]="",LC_Fire[[#This Row],[Unit]]=""),"",IFERROR(_xlfn.SWITCH(LC_Fire[[#This Row],[Unit]],"HP",IF(LC_Fire[[#This Row],[Ph]]=3,VLOOKUP(LC_Fire[[#This Row],[Load Value]],Motor3_Table,IF(LC_Fire[[#This Row],[Volts]]&lt;=215,2,IF(LC_Fire[[#This Row],[Volts]]&lt;=245,3,IF(LC_Fire[[#This Row],[Volts]]&lt;=500,4,5))),TRUE)*LC_Fire[[#This Row],[Volts]]*SQRT3/1000,VLOOKUP(LC_Fire[[#This Row],[Load Value]],Motor1_Table,IF(LC_Fire[[#This Row],[Volts]]&lt;=130,2,3),TRUE)*LC_Fire[[#This Row],[Volts]]/1000),"kW",LC_Fire[[#This Row],[Load Value]]/IF(LC_Fire[[#This Row],[PF]]="",0.9,LC_Fire[[#This Row],[PF]]),"kVA",LC_Fire[[#This Row],[Load Value]],"A",LC_Fire[[#This Row],[Load Value]]*LC_Fire[[#This Row],[Volts]]*IF(LC_Fire[[#This Row],[Ph]]=3,SQRT3,1)/1000,"W",LC_Fire[[#This Row],[Load Value]]/IF(LC_Fire[[#This Row],[PF]]="",0.9,LC_Fire[[#This Row],[PF]])/1000,"VA",LC_Fire[[#This Row],[Load Value]]/1000),"chk"))</f>
        <v/>
      </c>
      <c r="P114" s="30" t="str">
        <f>IF(NOT(ISNUMBER(LC_Fire[[#This Row],[kVA Each]])),"",LC_Fire[[#This Row],[Qty]]*LC_Fire[[#This Row],[kVA Each]])</f>
        <v/>
      </c>
      <c r="Q114" s="134"/>
      <c r="R114" s="134"/>
      <c r="S114" s="134"/>
      <c r="T114" s="134"/>
      <c r="U114" s="131"/>
      <c r="V114" s="30"/>
      <c r="W114" s="555">
        <v>0</v>
      </c>
      <c r="X114" s="30" t="str">
        <f>IF(LC_Fire[[#This Row],[Description]]="","",IF(N(LC_Fire[[#This Row],[Placed]])=0,"Unplaced",IF(LC_Fire[[#This Row],[Placed]]&gt;=IF(LC_Fire[[#This Row],[Ded. Ckt]]="N",1,MAX(1,N(LC_Fire[[#This Row],[Qty]]))),"Placed","Partial")))</f>
        <v/>
      </c>
    </row>
    <row r="115" spans="1:24" s="46" customFormat="1" ht="15" hidden="1" customHeight="1" outlineLevel="1" x14ac:dyDescent="0.35">
      <c r="A115" s="21"/>
      <c r="B115" s="21"/>
      <c r="C115" s="21"/>
      <c r="D115" s="21"/>
      <c r="E115" s="21"/>
      <c r="F115" s="21"/>
      <c r="G115" s="21"/>
      <c r="H115" s="21"/>
      <c r="I115" s="21"/>
      <c r="J115" s="21"/>
      <c r="K115" s="21"/>
      <c r="L115" s="21"/>
      <c r="M115" s="21"/>
      <c r="N115" s="21"/>
      <c r="O115" s="21"/>
      <c r="P115" s="65"/>
      <c r="Q115" s="21"/>
      <c r="R115" s="21"/>
      <c r="S115" s="21"/>
      <c r="T115" s="21"/>
      <c r="U115" s="21"/>
      <c r="V115" s="21"/>
      <c r="W115" s="21"/>
      <c r="X115" s="21"/>
    </row>
    <row r="116" spans="1:24" s="46" customFormat="1" ht="15" hidden="1" customHeight="1" outlineLevel="1" x14ac:dyDescent="0.35">
      <c r="A116" s="21"/>
      <c r="B116" s="640" t="s">
        <v>287</v>
      </c>
      <c r="C116" s="640"/>
      <c r="D116" s="640"/>
      <c r="E116" s="640"/>
      <c r="F116" s="640"/>
      <c r="G116" s="143">
        <v>1</v>
      </c>
      <c r="H116" s="21"/>
      <c r="I116" s="21"/>
      <c r="J116" s="21"/>
      <c r="K116" s="21"/>
      <c r="M116" s="21"/>
      <c r="N116" s="21"/>
      <c r="O116" s="582">
        <f>SUM(LC_Fire[Total kVA])</f>
        <v>0</v>
      </c>
      <c r="P116" s="581">
        <f>ROUND(IFERROR($O116*$G116,0),1)</f>
        <v>0</v>
      </c>
      <c r="Q116" s="21"/>
    </row>
    <row r="117" spans="1:24" s="46" customFormat="1" ht="15" hidden="1" customHeight="1" outlineLevel="1" collapsed="1" x14ac:dyDescent="0.45">
      <c r="A117" s="9"/>
      <c r="B117" s="9"/>
      <c r="C117" s="9"/>
      <c r="D117" s="9"/>
      <c r="E117" s="9"/>
      <c r="F117" s="9"/>
      <c r="G117" s="9"/>
      <c r="H117" s="9"/>
      <c r="I117" s="9"/>
      <c r="J117" s="9"/>
      <c r="K117" s="9"/>
      <c r="L117" s="9"/>
      <c r="M117" s="9"/>
      <c r="N117" s="9"/>
      <c r="O117" s="9"/>
      <c r="P117" s="9"/>
      <c r="Q117" s="9"/>
      <c r="R117" s="8"/>
      <c r="S117" s="8"/>
      <c r="T117" s="8"/>
      <c r="U117" s="8"/>
      <c r="V117" s="8"/>
      <c r="W117" s="8"/>
      <c r="X117" s="8"/>
    </row>
    <row r="118" spans="1:24" s="46" customFormat="1" ht="15" hidden="1" customHeight="1" outlineLevel="1" x14ac:dyDescent="0.35">
      <c r="A118" s="645" t="s">
        <v>1635</v>
      </c>
      <c r="B118" s="646"/>
      <c r="C118" s="646"/>
      <c r="D118" s="646"/>
      <c r="E118" s="646"/>
      <c r="F118" s="646"/>
      <c r="G118" s="646"/>
      <c r="H118" s="646"/>
      <c r="I118" s="646"/>
      <c r="J118" s="646"/>
      <c r="K118" s="646"/>
      <c r="L118" s="646"/>
      <c r="M118" s="646"/>
      <c r="N118" s="646"/>
      <c r="O118" s="646"/>
      <c r="P118" s="646"/>
      <c r="Q118" s="646"/>
      <c r="R118" s="646"/>
      <c r="S118" s="646"/>
      <c r="T118" s="646"/>
      <c r="U118" s="646"/>
      <c r="V118" s="646"/>
      <c r="W118" s="646"/>
      <c r="X118" s="646"/>
    </row>
    <row r="119" spans="1:24" s="46" customFormat="1" ht="15" hidden="1" customHeight="1" outlineLevel="1" x14ac:dyDescent="0.35">
      <c r="A119" s="645"/>
      <c r="B119" s="646"/>
      <c r="C119" s="646"/>
      <c r="D119" s="646"/>
      <c r="E119" s="646"/>
      <c r="F119" s="646"/>
      <c r="G119" s="646"/>
      <c r="H119" s="646"/>
      <c r="I119" s="646"/>
      <c r="J119" s="646"/>
      <c r="K119" s="646"/>
      <c r="L119" s="646"/>
      <c r="M119" s="646"/>
      <c r="N119" s="646"/>
      <c r="O119" s="646"/>
      <c r="P119" s="646"/>
      <c r="Q119" s="646"/>
      <c r="R119" s="646"/>
      <c r="S119" s="646"/>
      <c r="T119" s="646"/>
      <c r="U119" s="646"/>
      <c r="V119" s="646"/>
      <c r="W119" s="646"/>
      <c r="X119" s="646"/>
    </row>
    <row r="120" spans="1:24" s="46" customFormat="1" ht="15" hidden="1" customHeight="1" outlineLevel="1" x14ac:dyDescent="0.45">
      <c r="A120" s="34" t="s">
        <v>275</v>
      </c>
      <c r="B120" s="34" t="s">
        <v>195</v>
      </c>
      <c r="C120" s="34" t="s">
        <v>177</v>
      </c>
      <c r="D120" s="34" t="s">
        <v>276</v>
      </c>
      <c r="E120" s="324" t="s">
        <v>534</v>
      </c>
      <c r="F120" s="324" t="s">
        <v>527</v>
      </c>
      <c r="G120" s="324" t="s">
        <v>535</v>
      </c>
      <c r="H120" s="325" t="s">
        <v>536</v>
      </c>
      <c r="I120" s="34" t="s">
        <v>277</v>
      </c>
      <c r="J120" s="34" t="s">
        <v>278</v>
      </c>
      <c r="K120" s="34" t="s">
        <v>279</v>
      </c>
      <c r="L120" s="34" t="s">
        <v>280</v>
      </c>
      <c r="M120" s="34" t="s">
        <v>194</v>
      </c>
      <c r="N120" s="34" t="s">
        <v>281</v>
      </c>
      <c r="O120" s="34" t="s">
        <v>282</v>
      </c>
      <c r="P120" s="34" t="s">
        <v>283</v>
      </c>
      <c r="Q120" s="34" t="s">
        <v>284</v>
      </c>
      <c r="R120" s="34" t="s">
        <v>285</v>
      </c>
      <c r="S120" s="34" t="s">
        <v>249</v>
      </c>
      <c r="T120" s="34" t="s">
        <v>286</v>
      </c>
      <c r="U120" s="34" t="s">
        <v>206</v>
      </c>
      <c r="V120" s="34" t="s">
        <v>1886</v>
      </c>
      <c r="W120" s="34" t="s">
        <v>1887</v>
      </c>
      <c r="X120" s="34" t="s">
        <v>225</v>
      </c>
    </row>
    <row r="121" spans="1:24" s="46" customFormat="1" ht="15" hidden="1" customHeight="1" outlineLevel="1" x14ac:dyDescent="0.35">
      <c r="A121" s="140" t="s">
        <v>443</v>
      </c>
      <c r="B121" s="131"/>
      <c r="C121" s="134"/>
      <c r="D121" s="331"/>
      <c r="E121" s="328"/>
      <c r="F121" s="328"/>
      <c r="G121" s="328"/>
      <c r="H121" s="329"/>
      <c r="I121" s="332"/>
      <c r="J121" s="134"/>
      <c r="K121" s="134"/>
      <c r="L121" s="138"/>
      <c r="M121" s="134"/>
      <c r="N121" s="143"/>
      <c r="O121" s="30" t="str" cm="1">
        <f t="array" ref="O121">IF(OR(LC_Process[[#This Row],[Qty]]="",LC_Process[[#This Row],[Load Value]]="",LC_Process[[#This Row],[Unit]]=""),"",IFERROR(_xlfn.SWITCH(LC_Process[[#This Row],[Unit]],"HP",IF(LC_Process[[#This Row],[Ph]]=3,VLOOKUP(LC_Process[[#This Row],[Load Value]],Motor3_Table,IF(LC_Process[[#This Row],[Volts]]&lt;=215,2,IF(LC_Process[[#This Row],[Volts]]&lt;=245,3,IF(LC_Process[[#This Row],[Volts]]&lt;=500,4,5))),TRUE)*LC_Process[[#This Row],[Volts]]*SQRT3/1000,VLOOKUP(LC_Process[[#This Row],[Load Value]],Motor1_Table,IF(LC_Process[[#This Row],[Volts]]&lt;=130,2,3),TRUE)*LC_Process[[#This Row],[Volts]]/1000),"kW",LC_Process[[#This Row],[Load Value]]/IF(LC_Process[[#This Row],[PF]]="",0.9,LC_Process[[#This Row],[PF]]),"kVA",LC_Process[[#This Row],[Load Value]],"A",LC_Process[[#This Row],[Load Value]]*LC_Process[[#This Row],[Volts]]*IF(LC_Process[[#This Row],[Ph]]=3,SQRT3,1)/1000,"W",LC_Process[[#This Row],[Load Value]]/IF(LC_Process[[#This Row],[PF]]="",0.9,LC_Process[[#This Row],[PF]])/1000,"VA",LC_Process[[#This Row],[Load Value]]/1000),"chk"))</f>
        <v/>
      </c>
      <c r="P121" s="30" t="str">
        <f>IF(NOT(ISNUMBER(LC_Process[[#This Row],[kVA Each]])),"",LC_Process[[#This Row],[Qty]]*LC_Process[[#This Row],[kVA Each]])</f>
        <v/>
      </c>
      <c r="Q121" s="134"/>
      <c r="R121" s="134"/>
      <c r="S121" s="134"/>
      <c r="T121" s="134"/>
      <c r="U121" s="131"/>
      <c r="V121" s="30"/>
      <c r="W121" s="555">
        <v>0</v>
      </c>
      <c r="X121" s="30" t="str">
        <f>IF(LC_Process[[#This Row],[Description]]="","",IF(N(LC_Process[[#This Row],[Placed]])=0,"Unplaced",IF(LC_Process[[#This Row],[Placed]]&gt;=IF(LC_Process[[#This Row],[Ded. Ckt]]="N",1,MAX(1,N(LC_Process[[#This Row],[Qty]]))),"Placed","Partial")))</f>
        <v/>
      </c>
    </row>
    <row r="122" spans="1:24" s="46" customFormat="1" ht="15" hidden="1" customHeight="1" outlineLevel="1" x14ac:dyDescent="0.35">
      <c r="A122" s="21"/>
      <c r="B122" s="21"/>
      <c r="C122" s="21"/>
      <c r="D122" s="21"/>
      <c r="E122" s="21"/>
      <c r="F122" s="21"/>
      <c r="G122" s="21"/>
      <c r="H122" s="21"/>
      <c r="I122" s="21"/>
      <c r="J122" s="21"/>
      <c r="K122" s="21"/>
      <c r="L122" s="21"/>
      <c r="M122" s="21"/>
      <c r="N122" s="21"/>
      <c r="O122" s="21"/>
      <c r="P122" s="65"/>
      <c r="Q122" s="21"/>
      <c r="R122" s="21"/>
      <c r="S122" s="21"/>
      <c r="T122" s="21"/>
      <c r="U122" s="21"/>
      <c r="V122" s="21"/>
      <c r="W122" s="21"/>
      <c r="X122" s="21"/>
    </row>
    <row r="123" spans="1:24" s="46" customFormat="1" ht="15" hidden="1" customHeight="1" outlineLevel="1" x14ac:dyDescent="0.35">
      <c r="A123" s="21"/>
      <c r="B123" s="640" t="s">
        <v>287</v>
      </c>
      <c r="C123" s="640"/>
      <c r="D123" s="640"/>
      <c r="E123" s="640"/>
      <c r="F123" s="640"/>
      <c r="G123" s="143">
        <v>1</v>
      </c>
      <c r="H123" s="21"/>
      <c r="I123" s="21"/>
      <c r="J123" s="21"/>
      <c r="K123" s="21"/>
      <c r="M123" s="21"/>
      <c r="N123" s="21"/>
      <c r="O123" s="582">
        <f>SUM(LC_Process[Total kVA])</f>
        <v>0</v>
      </c>
      <c r="P123" s="581">
        <f>ROUND(IFERROR($O123*$G123,0),1)</f>
        <v>0</v>
      </c>
      <c r="Q123" s="21"/>
    </row>
    <row r="124" spans="1:24" s="46" customFormat="1" ht="15" hidden="1" customHeight="1" collapsed="1" x14ac:dyDescent="0.45">
      <c r="A124" s="9"/>
      <c r="B124" s="9"/>
      <c r="C124" s="9"/>
      <c r="D124" s="9"/>
      <c r="E124" s="9"/>
      <c r="F124" s="9"/>
      <c r="G124" s="9"/>
      <c r="H124" s="9"/>
      <c r="I124" s="9"/>
      <c r="J124" s="9"/>
      <c r="K124" s="9"/>
      <c r="L124" s="9"/>
      <c r="M124" s="9"/>
      <c r="N124" s="9"/>
      <c r="O124" s="9"/>
      <c r="P124" s="9"/>
      <c r="Q124" s="9"/>
      <c r="R124" s="8"/>
      <c r="S124" s="8"/>
      <c r="T124" s="8"/>
      <c r="U124" s="8"/>
      <c r="V124" s="8"/>
      <c r="W124" s="8"/>
      <c r="X124" s="8"/>
    </row>
    <row r="125" spans="1:24" ht="15" hidden="1" customHeight="1" x14ac:dyDescent="0.45">
      <c r="A125" s="616" t="s">
        <v>288</v>
      </c>
      <c r="B125" s="616"/>
      <c r="C125" s="616"/>
      <c r="D125" s="616"/>
      <c r="E125" s="616"/>
      <c r="F125" s="616"/>
      <c r="G125" s="616"/>
      <c r="H125" s="616"/>
      <c r="I125" s="616"/>
      <c r="J125" s="616"/>
      <c r="K125" s="616"/>
      <c r="L125" s="616"/>
      <c r="M125" s="616"/>
      <c r="N125" s="616"/>
      <c r="O125" s="616"/>
      <c r="P125" s="616"/>
      <c r="Q125" s="616"/>
      <c r="R125" s="616"/>
      <c r="S125" s="616"/>
      <c r="T125" s="616"/>
      <c r="U125" s="616"/>
      <c r="V125" s="616"/>
      <c r="W125" s="616"/>
      <c r="X125" s="616"/>
    </row>
    <row r="126" spans="1:24" ht="15" hidden="1" customHeight="1" x14ac:dyDescent="0.45">
      <c r="A126" s="647"/>
      <c r="B126" s="647"/>
      <c r="C126" s="647"/>
      <c r="D126" s="647"/>
      <c r="E126" s="647"/>
      <c r="F126" s="647"/>
      <c r="G126" s="647"/>
      <c r="H126" s="647"/>
      <c r="I126" s="647"/>
      <c r="J126" s="647"/>
      <c r="K126" s="647"/>
      <c r="L126" s="647"/>
      <c r="M126" s="647"/>
      <c r="N126" s="647"/>
      <c r="O126" s="647"/>
      <c r="P126" s="647"/>
      <c r="Q126" s="647"/>
      <c r="R126" s="647"/>
      <c r="S126" s="647"/>
      <c r="T126" s="647"/>
      <c r="U126" s="647"/>
      <c r="V126" s="647"/>
      <c r="W126" s="647"/>
      <c r="X126" s="647"/>
    </row>
    <row r="127" spans="1:24" s="47" customFormat="1" ht="15" hidden="1" customHeight="1" x14ac:dyDescent="0.45">
      <c r="A127" s="44"/>
      <c r="B127" s="44"/>
      <c r="C127" s="620" t="s">
        <v>290</v>
      </c>
      <c r="D127" s="620" t="s">
        <v>291</v>
      </c>
      <c r="E127" s="620" t="s">
        <v>292</v>
      </c>
      <c r="F127" s="44"/>
      <c r="G127" s="44"/>
      <c r="H127" s="44"/>
      <c r="I127" s="44"/>
      <c r="J127" s="44"/>
      <c r="K127" s="44"/>
      <c r="L127" s="44"/>
      <c r="M127" s="44"/>
      <c r="N127" s="44"/>
      <c r="O127" s="44"/>
      <c r="P127" s="44"/>
      <c r="Q127" s="44"/>
      <c r="R127" s="8"/>
      <c r="S127" s="8"/>
      <c r="T127" s="8"/>
      <c r="U127" s="8"/>
      <c r="V127" s="8"/>
      <c r="W127" s="8"/>
      <c r="X127" s="8"/>
    </row>
    <row r="128" spans="1:24" s="46" customFormat="1" ht="15" hidden="1" customHeight="1" x14ac:dyDescent="0.45">
      <c r="A128" s="34"/>
      <c r="B128" s="333" t="s">
        <v>289</v>
      </c>
      <c r="C128" s="643"/>
      <c r="D128" s="643"/>
      <c r="E128" s="643"/>
      <c r="F128" s="642" t="s">
        <v>293</v>
      </c>
      <c r="G128" s="642"/>
      <c r="H128" s="642"/>
      <c r="I128" s="642"/>
      <c r="J128" s="642"/>
      <c r="K128" s="642"/>
      <c r="L128" s="642"/>
      <c r="M128" s="642"/>
      <c r="N128" s="34"/>
      <c r="O128" s="34"/>
      <c r="P128" s="34"/>
      <c r="Q128" s="34"/>
      <c r="R128" s="47"/>
      <c r="S128" s="47"/>
      <c r="T128" s="47"/>
      <c r="U128" s="47"/>
      <c r="V128" s="47"/>
      <c r="W128" s="47"/>
      <c r="X128" s="47"/>
    </row>
    <row r="129" spans="1:24" s="46" customFormat="1" ht="15" hidden="1" customHeight="1" x14ac:dyDescent="0.45">
      <c r="A129" s="9"/>
      <c r="B129" s="249" t="s">
        <v>1781</v>
      </c>
      <c r="C129" s="35" cm="1">
        <f t="array" ref="C129">IF($AC$7="No",0,3*SUMPRODUCT((LC_Site[Volts]=480)*(LC_Site[Ph]=3)*(LC_Site[Ded. Ckt]&lt;&gt;"N")*LC_Site[Qty])+2*SUMPRODUCT((LC_Site[Volts]=480)*(LC_Site[Ph]=1)*(LC_Site[Ded. Ckt]&lt;&gt;"N")*LC_Site[Qty])+SUMPRODUCT((LC_Site[Volts]=277)*(LC_Site[Ded. Ckt]&lt;&gt;"N")*LC_Site[Qty]))</f>
        <v>0</v>
      </c>
      <c r="D129" s="35" cm="1">
        <f t="array" ref="D129">IF($AC$7="No",0,3*SUMPRODUCT((LC_Site[Volts]=208)*(LC_Site[Ph]=3)*(LC_Site[Ded. Ckt]&lt;&gt;"N")*LC_Site[Qty])+2*SUMPRODUCT((LC_Site[Volts]=208)*(LC_Site[Ph]=1)*(LC_Site[Ded. Ckt]&lt;&gt;"N")*LC_Site[Qty])+SUMPRODUCT((LC_Site[Volts]=120)*(LC_Site[Ded. Ckt]&lt;&gt;"N")*LC_Site[Qty]))</f>
        <v>0</v>
      </c>
      <c r="E129" s="35" cm="1">
        <f t="array" ref="E129">IF($AC$7="No",0,3*SUMPRODUCT((LC_Site[Volts]=240)*(LC_Site[Ph]=3)*(LC_Site[Ded. Ckt]&lt;&gt;"N")*LC_Site[Qty])+2*SUMPRODUCT((LC_Site[Volts]=240)*(LC_Site[Ph]=1)*(LC_Site[Ded. Ckt]&lt;&gt;"N")*LC_Site[Qty])+SUMPRODUCT((LC_Site[Volts]=120)*(LC_Site[Ded. Ckt]&lt;&gt;"N")*LC_Site[Qty]))</f>
        <v>0</v>
      </c>
      <c r="F129" s="9"/>
      <c r="G129" s="9"/>
      <c r="H129" s="9"/>
      <c r="I129" s="9"/>
      <c r="J129" s="9"/>
      <c r="K129" s="9"/>
      <c r="L129" s="9"/>
      <c r="M129" s="9"/>
      <c r="N129" s="9"/>
      <c r="O129" s="9"/>
      <c r="P129" s="9"/>
      <c r="Q129" s="9"/>
      <c r="R129" s="8"/>
      <c r="S129" s="8"/>
      <c r="T129" s="8"/>
      <c r="U129" s="8"/>
      <c r="V129" s="8"/>
      <c r="W129" s="8"/>
      <c r="X129" s="8"/>
    </row>
    <row r="130" spans="1:24" s="46" customFormat="1" ht="15" hidden="1" customHeight="1" x14ac:dyDescent="0.45">
      <c r="A130" s="9"/>
      <c r="B130" s="249" t="s">
        <v>1773</v>
      </c>
      <c r="C130" s="35" cm="1">
        <f t="array" ref="C130">IF($AC$8="No",0,3*SUMPRODUCT((LC_House[Volts]=480)*(LC_House[Ph]=3)*(LC_House[Ded. Ckt]&lt;&gt;"N")*LC_House[Qty])+2*SUMPRODUCT((LC_House[Volts]=480)*(LC_House[Ph]=1)*(LC_House[Ded. Ckt]&lt;&gt;"N")*LC_House[Qty])+SUMPRODUCT((LC_House[Volts]=277)*(LC_House[Ded. Ckt]&lt;&gt;"N")*LC_House[Qty]))</f>
        <v>0</v>
      </c>
      <c r="D130" s="35" cm="1">
        <f t="array" ref="D130">IF($AC$8="No",0,3*SUMPRODUCT((LC_House[Volts]=208)*(LC_House[Ph]=3)*(LC_House[Ded. Ckt]&lt;&gt;"N")*LC_House[Qty])+2*SUMPRODUCT((LC_House[Volts]=208)*(LC_House[Ph]=1)*(LC_House[Ded. Ckt]&lt;&gt;"N")*LC_House[Qty])+SUMPRODUCT((LC_House[Volts]=120)*(LC_House[Ded. Ckt]&lt;&gt;"N")*LC_House[Qty]))</f>
        <v>0</v>
      </c>
      <c r="E130" s="35" cm="1">
        <f t="array" ref="E130">IF($AC$8="No",0,3*SUMPRODUCT((LC_House[Volts]=240)*(LC_House[Ph]=3)*(LC_House[Ded. Ckt]&lt;&gt;"N")*LC_House[Qty])+2*SUMPRODUCT((LC_House[Volts]=240)*(LC_House[Ph]=1)*(LC_House[Ded. Ckt]&lt;&gt;"N")*LC_House[Qty])+SUMPRODUCT((LC_House[Volts]=120)*(LC_House[Ded. Ckt]&lt;&gt;"N")*LC_House[Qty]))</f>
        <v>0</v>
      </c>
      <c r="F130" s="9"/>
      <c r="G130" s="9"/>
      <c r="H130" s="9"/>
      <c r="I130" s="9"/>
      <c r="J130" s="9"/>
      <c r="K130" s="9"/>
      <c r="L130" s="9"/>
      <c r="M130" s="9"/>
      <c r="N130" s="9"/>
      <c r="O130" s="9"/>
      <c r="P130" s="9"/>
      <c r="Q130" s="9"/>
      <c r="R130" s="8"/>
      <c r="S130" s="8"/>
      <c r="T130" s="8"/>
      <c r="U130" s="8"/>
      <c r="V130" s="8"/>
      <c r="W130" s="8"/>
      <c r="X130" s="8"/>
    </row>
    <row r="131" spans="1:24" s="46" customFormat="1" ht="15" hidden="1" customHeight="1" x14ac:dyDescent="0.45">
      <c r="A131" s="9"/>
      <c r="B131" s="249" t="s">
        <v>1774</v>
      </c>
      <c r="C131" s="35" cm="1">
        <f t="array" ref="C131">IF($AC$9="No",0,3*SUMPRODUCT((LC_Dept[Volts]=480)*(LC_Dept[Ph]=3)*(LC_Dept[Ded. Ckt]&lt;&gt;"N")*LC_Dept[Qty])+2*SUMPRODUCT((LC_Dept[Volts]=480)*(LC_Dept[Ph]=1)*(LC_Dept[Ded. Ckt]&lt;&gt;"N")*LC_Dept[Qty])+SUMPRODUCT((LC_Dept[Volts]=277)*(LC_Dept[Ded. Ckt]&lt;&gt;"N")*LC_Dept[Qty]))</f>
        <v>0</v>
      </c>
      <c r="D131" s="35" cm="1">
        <f t="array" ref="D131">IF($AC$9="No",0,3*SUMPRODUCT((LC_Dept[Volts]=208)*(LC_Dept[Ph]=3)*(LC_Dept[Ded. Ckt]&lt;&gt;"N")*LC_Dept[Qty])+2*SUMPRODUCT((LC_Dept[Volts]=208)*(LC_Dept[Ph]=1)*(LC_Dept[Ded. Ckt]&lt;&gt;"N")*LC_Dept[Qty])+SUMPRODUCT((LC_Dept[Volts]=120)*(LC_Dept[Ded. Ckt]&lt;&gt;"N")*LC_Dept[Qty]))</f>
        <v>0</v>
      </c>
      <c r="E131" s="35" cm="1">
        <f t="array" ref="E131">IF($AC$9="No",0,3*SUMPRODUCT((LC_Dept[Volts]=240)*(LC_Dept[Ph]=3)*(LC_Dept[Ded. Ckt]&lt;&gt;"N")*LC_Dept[Qty])+2*SUMPRODUCT((LC_Dept[Volts]=240)*(LC_Dept[Ph]=1)*(LC_Dept[Ded. Ckt]&lt;&gt;"N")*LC_Dept[Qty])+SUMPRODUCT((LC_Dept[Volts]=120)*(LC_Dept[Ded. Ckt]&lt;&gt;"N")*LC_Dept[Qty]))</f>
        <v>0</v>
      </c>
      <c r="F131" s="9"/>
      <c r="G131" s="9"/>
      <c r="H131" s="9"/>
      <c r="I131" s="9"/>
      <c r="J131" s="9"/>
      <c r="K131" s="9"/>
      <c r="L131" s="9"/>
      <c r="M131" s="9"/>
      <c r="N131" s="9"/>
      <c r="O131" s="9"/>
      <c r="P131" s="9"/>
      <c r="Q131" s="9"/>
      <c r="R131" s="8"/>
      <c r="S131" s="8"/>
      <c r="T131" s="8"/>
      <c r="U131" s="8"/>
      <c r="V131" s="8"/>
      <c r="W131" s="8"/>
      <c r="X131" s="8"/>
    </row>
    <row r="132" spans="1:24" ht="15" hidden="1" customHeight="1" x14ac:dyDescent="0.45">
      <c r="A132" s="9"/>
      <c r="B132" s="249" t="s">
        <v>1775</v>
      </c>
      <c r="C132" s="35" cm="1">
        <f t="array" ref="C132">IF($AC$10="No",0,3*SUMPRODUCT((LC_Refrig[Volts]=480)*(LC_Refrig[Ph]=3)*(LC_Refrig[Ded. Ckt]&lt;&gt;"N")*LC_Refrig[Qty])+2*SUMPRODUCT((LC_Refrig[Volts]=480)*(LC_Refrig[Ph]=1)*(LC_Refrig[Ded. Ckt]&lt;&gt;"N")*LC_Refrig[Qty])+SUMPRODUCT((LC_Refrig[Volts]=277)*(LC_Refrig[Ded. Ckt]&lt;&gt;"N")*LC_Refrig[Qty]))</f>
        <v>0</v>
      </c>
      <c r="D132" s="35" cm="1">
        <f t="array" ref="D132">IF($AC$10="No",0,3*SUMPRODUCT((LC_Refrig[Volts]=208)*(LC_Refrig[Ph]=3)*(LC_Refrig[Ded. Ckt]&lt;&gt;"N")*LC_Refrig[Qty])+2*SUMPRODUCT((LC_Refrig[Volts]=208)*(LC_Refrig[Ph]=1)*(LC_Refrig[Ded. Ckt]&lt;&gt;"N")*LC_Refrig[Qty])+SUMPRODUCT((LC_Refrig[Volts]=120)*(LC_Refrig[Ded. Ckt]&lt;&gt;"N")*LC_Refrig[Qty]))</f>
        <v>0</v>
      </c>
      <c r="E132" s="35" cm="1">
        <f t="array" ref="E132">IF($AC$10="No",0,3*SUMPRODUCT((LC_Refrig[Volts]=240)*(LC_Refrig[Ph]=3)*(LC_Refrig[Ded. Ckt]&lt;&gt;"N")*LC_Refrig[Qty])+2*SUMPRODUCT((LC_Refrig[Volts]=240)*(LC_Refrig[Ph]=1)*(LC_Refrig[Ded. Ckt]&lt;&gt;"N")*LC_Refrig[Qty])+SUMPRODUCT((LC_Refrig[Volts]=120)*(LC_Refrig[Ded. Ckt]&lt;&gt;"N")*LC_Refrig[Qty]))</f>
        <v>0</v>
      </c>
      <c r="F132" s="9"/>
      <c r="G132" s="9"/>
      <c r="H132" s="9"/>
      <c r="I132" s="9"/>
      <c r="J132" s="9"/>
      <c r="K132" s="9"/>
      <c r="L132" s="9"/>
      <c r="M132" s="9"/>
      <c r="N132" s="9"/>
      <c r="O132" s="9"/>
      <c r="P132" s="9"/>
      <c r="Q132" s="9"/>
    </row>
    <row r="133" spans="1:24" ht="15" hidden="1" customHeight="1" x14ac:dyDescent="0.45">
      <c r="A133" s="9"/>
      <c r="B133" s="249" t="s">
        <v>533</v>
      </c>
      <c r="C133" s="35" cm="1">
        <f t="array" ref="C133">IF($AC$11="No",0,3*SUMPRODUCT((LC_Mech[Volts]=480)*(LC_Mech[Ph]=3)*(LC_Mech[Ded. Ckt]&lt;&gt;"N")*LC_Mech[Qty])+2*SUMPRODUCT((LC_Mech[Volts]=480)*(LC_Mech[Ph]=1)*(LC_Mech[Ded. Ckt]&lt;&gt;"N")*LC_Mech[Qty])+SUMPRODUCT((LC_Mech[Volts]=277)*(LC_Mech[Ded. Ckt]&lt;&gt;"N")*LC_Mech[Qty]))</f>
        <v>0</v>
      </c>
      <c r="D133" s="35" cm="1">
        <f t="array" ref="D133">IF($AC$11="No",0,3*SUMPRODUCT((LC_Mech[Volts]=208)*(LC_Mech[Ph]=3)*(LC_Mech[Ded. Ckt]&lt;&gt;"N")*LC_Mech[Qty])+2*SUMPRODUCT((LC_Mech[Volts]=208)*(LC_Mech[Ph]=1)*(LC_Mech[Ded. Ckt]&lt;&gt;"N")*LC_Mech[Qty])+SUMPRODUCT((LC_Mech[Volts]=120)*(LC_Mech[Ded. Ckt]&lt;&gt;"N")*LC_Mech[Qty]))</f>
        <v>0</v>
      </c>
      <c r="E133" s="35" cm="1">
        <f t="array" ref="E133">IF($AC$11="No",0,3*SUMPRODUCT((LC_Mech[Volts]=240)*(LC_Mech[Ph]=3)*(LC_Mech[Ded. Ckt]&lt;&gt;"N")*LC_Mech[Qty])+2*SUMPRODUCT((LC_Mech[Volts]=240)*(LC_Mech[Ph]=1)*(LC_Mech[Ded. Ckt]&lt;&gt;"N")*LC_Mech[Qty])+SUMPRODUCT((LC_Mech[Volts]=120)*(LC_Mech[Ded. Ckt]&lt;&gt;"N")*LC_Mech[Qty]))</f>
        <v>0</v>
      </c>
      <c r="F133" s="9"/>
      <c r="G133" s="9"/>
      <c r="H133" s="9"/>
      <c r="I133" s="9"/>
      <c r="J133" s="9"/>
      <c r="K133" s="9"/>
      <c r="L133" s="9"/>
      <c r="M133" s="9"/>
      <c r="N133" s="9"/>
      <c r="O133" s="9"/>
      <c r="P133" s="9"/>
      <c r="Q133" s="9"/>
    </row>
    <row r="134" spans="1:24" ht="15" hidden="1" customHeight="1" x14ac:dyDescent="0.45">
      <c r="A134" s="9"/>
      <c r="B134" s="249" t="s">
        <v>1776</v>
      </c>
      <c r="C134" s="35" cm="1">
        <f t="array" ref="C134">IF($AC$12="No",0,3*SUMPRODUCT((LC_Plumb[Volts]=480)*(LC_Plumb[Ph]=3)*(LC_Plumb[Ded. Ckt]&lt;&gt;"N")*LC_Plumb[Qty])+2*SUMPRODUCT((LC_Plumb[Volts]=480)*(LC_Plumb[Ph]=1)*(LC_Plumb[Ded. Ckt]&lt;&gt;"N")*LC_Plumb[Qty])+SUMPRODUCT((LC_Plumb[Volts]=277)*(LC_Plumb[Ded. Ckt]&lt;&gt;"N")*LC_Plumb[Qty]))</f>
        <v>0</v>
      </c>
      <c r="D134" s="35" cm="1">
        <f t="array" ref="D134">IF($AC$12="No",0,3*SUMPRODUCT((LC_Plumb[Volts]=208)*(LC_Plumb[Ph]=3)*(LC_Plumb[Ded. Ckt]&lt;&gt;"N")*LC_Plumb[Qty])+2*SUMPRODUCT((LC_Plumb[Volts]=208)*(LC_Plumb[Ph]=1)*(LC_Plumb[Ded. Ckt]&lt;&gt;"N")*LC_Plumb[Qty])+SUMPRODUCT((LC_Plumb[Volts]=120)*(LC_Plumb[Ded. Ckt]&lt;&gt;"N")*LC_Plumb[Qty]))</f>
        <v>0</v>
      </c>
      <c r="E134" s="35" cm="1">
        <f t="array" ref="E134">IF($AC$12="No",0,3*SUMPRODUCT((LC_Plumb[Volts]=240)*(LC_Plumb[Ph]=3)*(LC_Plumb[Ded. Ckt]&lt;&gt;"N")*LC_Plumb[Qty])+2*SUMPRODUCT((LC_Plumb[Volts]=240)*(LC_Plumb[Ph]=1)*(LC_Plumb[Ded. Ckt]&lt;&gt;"N")*LC_Plumb[Qty])+SUMPRODUCT((LC_Plumb[Volts]=120)*(LC_Plumb[Ded. Ckt]&lt;&gt;"N")*LC_Plumb[Qty]))</f>
        <v>0</v>
      </c>
      <c r="F134" s="9"/>
      <c r="G134" s="9"/>
      <c r="H134" s="9"/>
      <c r="I134" s="9"/>
      <c r="J134" s="9"/>
      <c r="K134" s="9"/>
      <c r="L134" s="9"/>
      <c r="M134" s="9"/>
      <c r="N134" s="9"/>
      <c r="O134" s="9"/>
      <c r="P134" s="9"/>
      <c r="Q134" s="9"/>
    </row>
    <row r="135" spans="1:24" ht="15" hidden="1" customHeight="1" x14ac:dyDescent="0.45">
      <c r="A135" s="9"/>
      <c r="B135" s="249" t="s">
        <v>1777</v>
      </c>
      <c r="C135" s="35" cm="1">
        <f t="array" ref="C135">IF($AC$13="No",0,3*SUMPRODUCT((LC_Kitchen[Volts]=480)*(LC_Kitchen[Ph]=3)*(LC_Kitchen[Ded. Ckt]&lt;&gt;"N")*LC_Kitchen[Qty])+2*SUMPRODUCT((LC_Kitchen[Volts]=480)*(LC_Kitchen[Ph]=1)*(LC_Kitchen[Ded. Ckt]&lt;&gt;"N")*LC_Kitchen[Qty])+SUMPRODUCT((LC_Kitchen[Volts]=277)*(LC_Kitchen[Ded. Ckt]&lt;&gt;"N")*LC_Kitchen[Qty]))</f>
        <v>0</v>
      </c>
      <c r="D135" s="35" cm="1">
        <f t="array" ref="D135">IF($AC$13="No",0,3*SUMPRODUCT((LC_Kitchen[Volts]=208)*(LC_Kitchen[Ph]=3)*(LC_Kitchen[Ded. Ckt]&lt;&gt;"N")*LC_Kitchen[Qty])+2*SUMPRODUCT((LC_Kitchen[Volts]=208)*(LC_Kitchen[Ph]=1)*(LC_Kitchen[Ded. Ckt]&lt;&gt;"N")*LC_Kitchen[Qty])+SUMPRODUCT((LC_Kitchen[Volts]=120)*(LC_Kitchen[Ded. Ckt]&lt;&gt;"N")*LC_Kitchen[Qty]))</f>
        <v>0</v>
      </c>
      <c r="E135" s="35" cm="1">
        <f t="array" ref="E135">IF($AC$13="No",0,3*SUMPRODUCT((LC_Kitchen[Volts]=240)*(LC_Kitchen[Ph]=3)*(LC_Kitchen[Ded. Ckt]&lt;&gt;"N")*LC_Kitchen[Qty])+2*SUMPRODUCT((LC_Kitchen[Volts]=240)*(LC_Kitchen[Ph]=1)*(LC_Kitchen[Ded. Ckt]&lt;&gt;"N")*LC_Kitchen[Qty])+SUMPRODUCT((LC_Kitchen[Volts]=120)*(LC_Kitchen[Ded. Ckt]&lt;&gt;"N")*LC_Kitchen[Qty]))</f>
        <v>0</v>
      </c>
      <c r="F135" s="9"/>
      <c r="G135" s="9"/>
      <c r="H135" s="9"/>
      <c r="I135" s="9"/>
      <c r="J135" s="9"/>
      <c r="K135" s="9"/>
      <c r="L135" s="9"/>
      <c r="M135" s="9"/>
      <c r="N135" s="9"/>
      <c r="O135" s="9"/>
      <c r="P135" s="9"/>
      <c r="Q135" s="9"/>
    </row>
    <row r="136" spans="1:24" s="47" customFormat="1" ht="15" hidden="1" customHeight="1" x14ac:dyDescent="0.45">
      <c r="A136" s="9"/>
      <c r="B136" s="249" t="s">
        <v>1778</v>
      </c>
      <c r="C136" s="35" cm="1">
        <f t="array" ref="C136">IF($AC$14="No",0,3*SUMPRODUCT((LC_Elev[Volts]=480)*(LC_Elev[Ph]=3)*(LC_Elev[Ded. Ckt]&lt;&gt;"N")*LC_Elev[Qty])+2*SUMPRODUCT((LC_Elev[Volts]=480)*(LC_Elev[Ph]=1)*(LC_Elev[Ded. Ckt]&lt;&gt;"N")*LC_Elev[Qty])+SUMPRODUCT((LC_Elev[Volts]=277)*(LC_Elev[Ded. Ckt]&lt;&gt;"N")*LC_Elev[Qty]))</f>
        <v>0</v>
      </c>
      <c r="D136" s="35" cm="1">
        <f t="array" ref="D136">IF($AC$14="No",0,3*SUMPRODUCT((LC_Elev[Volts]=208)*(LC_Elev[Ph]=3)*(LC_Elev[Ded. Ckt]&lt;&gt;"N")*LC_Elev[Qty])+2*SUMPRODUCT((LC_Elev[Volts]=208)*(LC_Elev[Ph]=1)*(LC_Elev[Ded. Ckt]&lt;&gt;"N")*LC_Elev[Qty])+SUMPRODUCT((LC_Elev[Volts]=120)*(LC_Elev[Ded. Ckt]&lt;&gt;"N")*LC_Elev[Qty]))</f>
        <v>0</v>
      </c>
      <c r="E136" s="35" cm="1">
        <f t="array" ref="E136">IF($AC$14="No",0,3*SUMPRODUCT((LC_Elev[Volts]=240)*(LC_Elev[Ph]=3)*(LC_Elev[Ded. Ckt]&lt;&gt;"N")*LC_Elev[Qty])+2*SUMPRODUCT((LC_Elev[Volts]=240)*(LC_Elev[Ph]=1)*(LC_Elev[Ded. Ckt]&lt;&gt;"N")*LC_Elev[Qty])+SUMPRODUCT((LC_Elev[Volts]=120)*(LC_Elev[Ded. Ckt]&lt;&gt;"N")*LC_Elev[Qty]))</f>
        <v>0</v>
      </c>
      <c r="F136" s="9"/>
      <c r="G136" s="9"/>
      <c r="H136" s="9"/>
      <c r="I136" s="9"/>
      <c r="J136" s="9"/>
      <c r="K136" s="9"/>
      <c r="L136" s="9"/>
      <c r="M136" s="9"/>
      <c r="N136" s="9"/>
      <c r="O136" s="9"/>
      <c r="P136" s="9"/>
      <c r="Q136" s="9"/>
      <c r="R136" s="8"/>
      <c r="S136" s="8"/>
      <c r="T136" s="8"/>
      <c r="U136" s="8"/>
      <c r="V136" s="8"/>
      <c r="W136" s="8"/>
      <c r="X136" s="8"/>
    </row>
    <row r="137" spans="1:24" s="47" customFormat="1" ht="15" hidden="1" customHeight="1" x14ac:dyDescent="0.45">
      <c r="A137" s="9"/>
      <c r="B137" s="249" t="s">
        <v>1779</v>
      </c>
      <c r="C137" s="35" cm="1">
        <f t="array" ref="C137">IF($AC$15="No",0,3*SUMPRODUCT((LC_EV[Volts]=480)*(LC_EV[Ph]=3)*(LC_EV[Ded. Ckt]&lt;&gt;"N")*LC_EV[Qty])+2*SUMPRODUCT((LC_EV[Volts]=480)*(LC_EV[Ph]=1)*(LC_EV[Ded. Ckt]&lt;&gt;"N")*LC_EV[Qty])+SUMPRODUCT((LC_EV[Volts]=277)*(LC_EV[Ded. Ckt]&lt;&gt;"N")*LC_EV[Qty]))</f>
        <v>0</v>
      </c>
      <c r="D137" s="35" cm="1">
        <f t="array" ref="D137">IF($AC$15="No",0,3*SUMPRODUCT((LC_EV[Volts]=208)*(LC_EV[Ph]=3)*(LC_EV[Ded. Ckt]&lt;&gt;"N")*LC_EV[Qty])+2*SUMPRODUCT((LC_EV[Volts]=208)*(LC_EV[Ph]=1)*(LC_EV[Ded. Ckt]&lt;&gt;"N")*LC_EV[Qty])+SUMPRODUCT((LC_EV[Volts]=120)*(LC_EV[Ded. Ckt]&lt;&gt;"N")*LC_EV[Qty]))</f>
        <v>0</v>
      </c>
      <c r="E137" s="35" cm="1">
        <f t="array" ref="E137">IF($AC$15="No",0,3*SUMPRODUCT((LC_EV[Volts]=240)*(LC_EV[Ph]=3)*(LC_EV[Ded. Ckt]&lt;&gt;"N")*LC_EV[Qty])+2*SUMPRODUCT((LC_EV[Volts]=240)*(LC_EV[Ph]=1)*(LC_EV[Ded. Ckt]&lt;&gt;"N")*LC_EV[Qty])+SUMPRODUCT((LC_EV[Volts]=120)*(LC_EV[Ded. Ckt]&lt;&gt;"N")*LC_EV[Qty]))</f>
        <v>0</v>
      </c>
      <c r="F137" s="9"/>
      <c r="G137" s="9"/>
      <c r="H137" s="9"/>
      <c r="I137" s="9"/>
      <c r="J137" s="9"/>
      <c r="K137" s="9"/>
      <c r="L137" s="9"/>
      <c r="M137" s="9"/>
      <c r="N137" s="9"/>
      <c r="O137" s="9"/>
      <c r="P137" s="9"/>
      <c r="Q137" s="9"/>
      <c r="R137" s="8"/>
      <c r="S137" s="8"/>
      <c r="T137" s="8"/>
      <c r="U137" s="8"/>
      <c r="V137" s="8"/>
      <c r="W137" s="8"/>
      <c r="X137" s="8"/>
    </row>
    <row r="138" spans="1:24" s="47" customFormat="1" ht="15" hidden="1" customHeight="1" x14ac:dyDescent="0.45">
      <c r="A138" s="9"/>
      <c r="B138" s="249" t="s">
        <v>1780</v>
      </c>
      <c r="C138" s="35" cm="1">
        <f t="array" ref="C138">IF($AC$16="No",0,3*SUMPRODUCT((LC_Data[Volts]=480)*(LC_Data[Ph]=3)*(LC_Data[Ded. Ckt]&lt;&gt;"N")*LC_Data[Qty])+2*SUMPRODUCT((LC_Data[Volts]=480)*(LC_Data[Ph]=1)*(LC_Data[Ded. Ckt]&lt;&gt;"N")*LC_Data[Qty])+SUMPRODUCT((LC_Data[Volts]=277)*(LC_Data[Ded. Ckt]&lt;&gt;"N")*LC_Data[Qty]))</f>
        <v>0</v>
      </c>
      <c r="D138" s="35" cm="1">
        <f t="array" ref="D138">IF($AC$16="No",0,3*SUMPRODUCT((LC_Data[Volts]=208)*(LC_Data[Ph]=3)*(LC_Data[Ded. Ckt]&lt;&gt;"N")*LC_Data[Qty])+2*SUMPRODUCT((LC_Data[Volts]=208)*(LC_Data[Ph]=1)*(LC_Data[Ded. Ckt]&lt;&gt;"N")*LC_Data[Qty])+SUMPRODUCT((LC_Data[Volts]=120)*(LC_Data[Ded. Ckt]&lt;&gt;"N")*LC_Data[Qty]))</f>
        <v>0</v>
      </c>
      <c r="E138" s="35" cm="1">
        <f t="array" ref="E138">IF($AC$16="No",0,3*SUMPRODUCT((LC_Data[Volts]=240)*(LC_Data[Ph]=3)*(LC_Data[Ded. Ckt]&lt;&gt;"N")*LC_Data[Qty])+2*SUMPRODUCT((LC_Data[Volts]=240)*(LC_Data[Ph]=1)*(LC_Data[Ded. Ckt]&lt;&gt;"N")*LC_Data[Qty])+SUMPRODUCT((LC_Data[Volts]=120)*(LC_Data[Ded. Ckt]&lt;&gt;"N")*LC_Data[Qty]))</f>
        <v>0</v>
      </c>
      <c r="F138" s="9"/>
      <c r="G138" s="9"/>
      <c r="H138" s="9"/>
      <c r="I138" s="9"/>
      <c r="J138" s="9"/>
      <c r="K138" s="9"/>
      <c r="L138" s="9"/>
      <c r="M138" s="9"/>
      <c r="N138" s="9"/>
      <c r="O138" s="9"/>
      <c r="P138" s="9"/>
      <c r="Q138" s="9"/>
      <c r="R138" s="8"/>
      <c r="S138" s="8"/>
      <c r="T138" s="8"/>
      <c r="U138" s="8"/>
      <c r="V138" s="8"/>
      <c r="W138" s="8"/>
      <c r="X138" s="8"/>
    </row>
    <row r="139" spans="1:24" s="47" customFormat="1" ht="15" hidden="1" customHeight="1" x14ac:dyDescent="0.45">
      <c r="A139" s="9"/>
      <c r="B139" s="249" t="s">
        <v>1782</v>
      </c>
      <c r="C139" s="35" cm="1">
        <f t="array" ref="C139">IF($AC$17="No",0,3*SUMPRODUCT((LC_Fire[Volts]=480)*(LC_Fire[Ph]=3)*(LC_Fire[Ded. Ckt]&lt;&gt;"N")*LC_Fire[Qty])+2*SUMPRODUCT((LC_Fire[Volts]=480)*(LC_Fire[Ph]=1)*(LC_Fire[Ded. Ckt]&lt;&gt;"N")*LC_Fire[Qty])+SUMPRODUCT((LC_Fire[Volts]=277)*(LC_Fire[Ded. Ckt]&lt;&gt;"N")*LC_Fire[Qty]))</f>
        <v>0</v>
      </c>
      <c r="D139" s="35" cm="1">
        <f t="array" ref="D139">IF($AC$17="No",0,3*SUMPRODUCT((LC_Fire[Volts]=208)*(LC_Fire[Ph]=3)*(LC_Fire[Ded. Ckt]&lt;&gt;"N")*LC_Fire[Qty])+2*SUMPRODUCT((LC_Fire[Volts]=208)*(LC_Fire[Ph]=1)*(LC_Fire[Ded. Ckt]&lt;&gt;"N")*LC_Fire[Qty])+SUMPRODUCT((LC_Fire[Volts]=120)*(LC_Fire[Ded. Ckt]&lt;&gt;"N")*LC_Fire[Qty]))</f>
        <v>0</v>
      </c>
      <c r="E139" s="35" cm="1">
        <f t="array" ref="E139">IF($AC$17="No",0,3*SUMPRODUCT((LC_Fire[Volts]=240)*(LC_Fire[Ph]=3)*(LC_Fire[Ded. Ckt]&lt;&gt;"N")*LC_Fire[Qty])+2*SUMPRODUCT((LC_Fire[Volts]=240)*(LC_Fire[Ph]=1)*(LC_Fire[Ded. Ckt]&lt;&gt;"N")*LC_Fire[Qty])+SUMPRODUCT((LC_Fire[Volts]=120)*(LC_Fire[Ded. Ckt]&lt;&gt;"N")*LC_Fire[Qty]))</f>
        <v>0</v>
      </c>
      <c r="F139" s="9"/>
      <c r="G139" s="9"/>
      <c r="H139" s="9"/>
      <c r="I139" s="9"/>
      <c r="J139" s="9"/>
      <c r="K139" s="9"/>
      <c r="L139" s="9"/>
      <c r="M139" s="9"/>
      <c r="N139" s="9"/>
      <c r="O139" s="9"/>
      <c r="P139" s="9"/>
      <c r="Q139" s="9"/>
      <c r="R139" s="8"/>
      <c r="S139" s="8"/>
      <c r="T139" s="8"/>
      <c r="U139" s="8"/>
      <c r="V139" s="8"/>
      <c r="W139" s="8"/>
      <c r="X139" s="8"/>
    </row>
    <row r="140" spans="1:24" s="47" customFormat="1" ht="15" hidden="1" customHeight="1" x14ac:dyDescent="0.45">
      <c r="A140" s="9"/>
      <c r="B140" s="249" t="s">
        <v>1783</v>
      </c>
      <c r="C140" s="35" cm="1">
        <f t="array" ref="C140">IF($AC$18="No",0,3*SUMPRODUCT((LC_Process[Volts]=480)*(LC_Process[Ph]=3)*(LC_Process[Ded. Ckt]&lt;&gt;"N")*LC_Process[Qty])+2*SUMPRODUCT((LC_Process[Volts]=480)*(LC_Process[Ph]=1)*(LC_Process[Ded. Ckt]&lt;&gt;"N")*LC_Process[Qty])+SUMPRODUCT((LC_Process[Volts]=277)*(LC_Process[Ded. Ckt]&lt;&gt;"N")*LC_Process[Qty]))</f>
        <v>0</v>
      </c>
      <c r="D140" s="35" cm="1">
        <f t="array" ref="D140">IF($AC$18="No",0,3*SUMPRODUCT((LC_Process[Volts]=208)*(LC_Process[Ph]=3)*(LC_Process[Ded. Ckt]&lt;&gt;"N")*LC_Process[Qty])+2*SUMPRODUCT((LC_Process[Volts]=208)*(LC_Process[Ph]=1)*(LC_Process[Ded. Ckt]&lt;&gt;"N")*LC_Process[Qty])+SUMPRODUCT((LC_Process[Volts]=120)*(LC_Process[Ded. Ckt]&lt;&gt;"N")*LC_Process[Qty]))</f>
        <v>0</v>
      </c>
      <c r="E140" s="35" cm="1">
        <f t="array" ref="E140">IF($AC$18="No",0,3*SUMPRODUCT((LC_Process[Volts]=240)*(LC_Process[Ph]=3)*(LC_Process[Ded. Ckt]&lt;&gt;"N")*LC_Process[Qty])+2*SUMPRODUCT((LC_Process[Volts]=240)*(LC_Process[Ph]=1)*(LC_Process[Ded. Ckt]&lt;&gt;"N")*LC_Process[Qty])+SUMPRODUCT((LC_Process[Volts]=120)*(LC_Process[Ded. Ckt]&lt;&gt;"N")*LC_Process[Qty]))</f>
        <v>0</v>
      </c>
      <c r="F140" s="9"/>
      <c r="G140" s="9"/>
      <c r="H140" s="9"/>
      <c r="I140" s="9"/>
      <c r="J140" s="9"/>
      <c r="K140" s="9"/>
      <c r="L140" s="9"/>
      <c r="M140" s="9"/>
      <c r="N140" s="9"/>
      <c r="O140" s="9"/>
      <c r="P140" s="9"/>
      <c r="Q140" s="9"/>
      <c r="R140" s="8"/>
      <c r="S140" s="8"/>
      <c r="T140" s="8"/>
      <c r="U140" s="8"/>
      <c r="V140" s="8"/>
      <c r="W140" s="8"/>
      <c r="X140" s="8"/>
    </row>
    <row r="141" spans="1:24" ht="15" hidden="1" customHeight="1" x14ac:dyDescent="0.45">
      <c r="A141" s="9"/>
      <c r="B141" s="249" t="s">
        <v>294</v>
      </c>
      <c r="C141" s="35">
        <f>SUM(C129:C140)</f>
        <v>0</v>
      </c>
      <c r="D141" s="35">
        <f>SUM(D129:D140)</f>
        <v>0</v>
      </c>
      <c r="E141" s="35">
        <f>SUM(E129:E140)</f>
        <v>0</v>
      </c>
      <c r="F141" s="9"/>
      <c r="G141" s="9"/>
      <c r="H141" s="9"/>
      <c r="I141" s="9"/>
      <c r="J141" s="9"/>
      <c r="K141" s="9"/>
      <c r="L141" s="9"/>
      <c r="M141" s="9"/>
      <c r="N141" s="9"/>
      <c r="O141" s="9"/>
      <c r="P141" s="9"/>
      <c r="Q141" s="9"/>
    </row>
    <row r="142" spans="1:24" ht="15" hidden="1" customHeight="1" x14ac:dyDescent="0.45">
      <c r="A142" s="9"/>
      <c r="B142" s="249" t="s">
        <v>295</v>
      </c>
      <c r="C142" s="144">
        <v>0.25</v>
      </c>
      <c r="D142" s="174"/>
      <c r="E142" s="175"/>
      <c r="F142" s="9"/>
      <c r="G142" s="9"/>
      <c r="H142" s="9"/>
      <c r="I142" s="9"/>
      <c r="J142" s="9"/>
      <c r="K142" s="9"/>
      <c r="L142" s="9"/>
      <c r="M142" s="9"/>
      <c r="N142" s="9"/>
      <c r="O142" s="9"/>
      <c r="P142" s="9"/>
      <c r="Q142" s="9"/>
    </row>
    <row r="143" spans="1:24" ht="15" hidden="1" customHeight="1" x14ac:dyDescent="0.45">
      <c r="A143" s="9"/>
      <c r="B143" s="249" t="s">
        <v>296</v>
      </c>
      <c r="C143" s="35">
        <f>ROUNDUP(C141*(1+$C$142),0)</f>
        <v>0</v>
      </c>
      <c r="D143" s="35">
        <f>ROUNDUP(D141*(1+$C$142),0)</f>
        <v>0</v>
      </c>
      <c r="E143" s="35">
        <f>ROUNDUP(E141*(1+$C$142),0)</f>
        <v>0</v>
      </c>
      <c r="F143" s="9"/>
      <c r="G143" s="9"/>
      <c r="H143" s="9"/>
      <c r="I143" s="9"/>
      <c r="J143" s="9"/>
      <c r="K143" s="9"/>
      <c r="L143" s="9"/>
      <c r="M143" s="9"/>
      <c r="N143" s="9"/>
      <c r="O143" s="9"/>
      <c r="P143" s="9"/>
      <c r="Q143" s="9"/>
    </row>
    <row r="144" spans="1:24" ht="15" hidden="1" customHeight="1" x14ac:dyDescent="0.45">
      <c r="A144" s="9"/>
      <c r="B144" s="249" t="s">
        <v>297</v>
      </c>
      <c r="C144" s="35">
        <f>IF(C143=0,0,ROUNDUP(C143/42,0))</f>
        <v>0</v>
      </c>
      <c r="D144" s="35">
        <f>IF(D143=0,0,ROUNDUP(D143/42,0))</f>
        <v>0</v>
      </c>
      <c r="E144" s="35">
        <f>IF(E143=0,0,ROUNDUP(E143/42,0))</f>
        <v>0</v>
      </c>
      <c r="F144" s="9"/>
      <c r="G144" s="9"/>
      <c r="H144" s="9"/>
      <c r="I144" s="9"/>
      <c r="J144" s="9"/>
      <c r="K144" s="9"/>
      <c r="L144" s="9"/>
      <c r="M144" s="9"/>
      <c r="N144" s="9"/>
      <c r="O144" s="9"/>
      <c r="P144" s="9"/>
      <c r="Q144" s="9"/>
    </row>
    <row r="145" spans="1:24" ht="15" hidden="1" customHeight="1" x14ac:dyDescent="0.45">
      <c r="A145" s="9"/>
      <c r="B145" s="9"/>
      <c r="C145" s="9"/>
      <c r="D145" s="9"/>
      <c r="E145" s="9"/>
      <c r="F145" s="9"/>
      <c r="G145" s="9"/>
      <c r="H145" s="9"/>
      <c r="I145" s="9"/>
      <c r="J145" s="9"/>
      <c r="K145" s="9"/>
      <c r="L145" s="9"/>
      <c r="M145" s="9"/>
      <c r="N145" s="9"/>
      <c r="O145" s="9"/>
      <c r="P145" s="9"/>
      <c r="Q145" s="9"/>
    </row>
    <row r="146" spans="1:24" ht="15" customHeight="1" x14ac:dyDescent="0.45">
      <c r="A146" s="648" t="str" cm="1">
        <f t="array" ref="A146">"TOTAL SERVICE LOAD SUMMARY — NEC "&amp;NECREF("220")</f>
        <v>TOTAL SERVICE LOAD SUMMARY — NEC 220</v>
      </c>
      <c r="B146" s="649"/>
      <c r="C146" s="649"/>
      <c r="D146" s="649"/>
      <c r="E146" s="649"/>
      <c r="F146" s="649"/>
      <c r="G146" s="649"/>
      <c r="H146" s="649"/>
      <c r="I146" s="649"/>
      <c r="J146" s="649"/>
      <c r="K146" s="649"/>
      <c r="L146" s="649"/>
      <c r="M146" s="649"/>
      <c r="N146" s="649"/>
      <c r="O146" s="649"/>
      <c r="P146" s="649"/>
      <c r="Q146" s="649"/>
      <c r="R146" s="649"/>
      <c r="S146" s="649"/>
      <c r="T146" s="649"/>
      <c r="U146" s="649"/>
      <c r="V146" s="649"/>
      <c r="W146" s="649"/>
      <c r="X146" s="650"/>
    </row>
    <row r="147" spans="1:24" ht="15" customHeight="1" x14ac:dyDescent="0.45">
      <c r="A147" s="634"/>
      <c r="B147" s="647"/>
      <c r="C147" s="647"/>
      <c r="D147" s="647"/>
      <c r="E147" s="647"/>
      <c r="F147" s="647"/>
      <c r="G147" s="647"/>
      <c r="H147" s="647"/>
      <c r="I147" s="647"/>
      <c r="J147" s="647"/>
      <c r="K147" s="647"/>
      <c r="L147" s="647"/>
      <c r="M147" s="647"/>
      <c r="N147" s="647"/>
      <c r="O147" s="647"/>
      <c r="P147" s="647"/>
      <c r="Q147" s="647"/>
      <c r="R147" s="647"/>
      <c r="S147" s="647"/>
      <c r="T147" s="647"/>
      <c r="U147" s="647"/>
      <c r="V147" s="647"/>
      <c r="W147" s="647"/>
      <c r="X147" s="632"/>
    </row>
    <row r="148" spans="1:24" ht="15" customHeight="1" x14ac:dyDescent="0.45">
      <c r="A148" s="44"/>
      <c r="B148" s="44"/>
      <c r="C148" s="44"/>
      <c r="D148" s="44"/>
      <c r="E148" s="44"/>
      <c r="F148" s="44"/>
      <c r="G148" s="44"/>
      <c r="H148" s="44"/>
      <c r="I148" s="44"/>
      <c r="J148" s="44"/>
      <c r="K148" s="44"/>
      <c r="L148" s="44"/>
      <c r="M148" s="44"/>
      <c r="N148" s="44"/>
      <c r="O148" s="44"/>
      <c r="P148" s="44"/>
      <c r="Q148" s="44"/>
    </row>
    <row r="149" spans="1:24" ht="15" customHeight="1" x14ac:dyDescent="0.45">
      <c r="A149" s="34"/>
      <c r="B149" s="47"/>
      <c r="C149" s="47"/>
      <c r="D149" s="333" t="s">
        <v>230</v>
      </c>
      <c r="E149" s="34" t="s">
        <v>265</v>
      </c>
      <c r="F149" s="34" t="s">
        <v>210</v>
      </c>
      <c r="G149" s="47"/>
      <c r="H149" s="34"/>
      <c r="I149" s="34"/>
      <c r="J149" s="47"/>
      <c r="K149" s="34"/>
      <c r="L149" s="47"/>
      <c r="M149" s="34"/>
      <c r="N149" s="34"/>
      <c r="O149" s="34"/>
      <c r="P149" s="34"/>
      <c r="Q149" s="34"/>
      <c r="R149" s="47"/>
      <c r="S149" s="47"/>
      <c r="T149" s="47"/>
      <c r="U149" s="47"/>
      <c r="V149" s="47"/>
      <c r="W149" s="47"/>
      <c r="X149" s="47"/>
    </row>
    <row r="150" spans="1:24" ht="15" customHeight="1" x14ac:dyDescent="0.45">
      <c r="A150" s="10"/>
      <c r="D150" s="249" t="s">
        <v>298</v>
      </c>
      <c r="E150" s="41">
        <f>$E$29</f>
        <v>0</v>
      </c>
      <c r="F150" s="40">
        <f>$G$29</f>
        <v>0</v>
      </c>
      <c r="H150" s="10"/>
      <c r="I150" s="10"/>
      <c r="K150" s="36"/>
      <c r="M150" s="10"/>
      <c r="N150" s="10"/>
      <c r="O150" s="10"/>
      <c r="P150" s="10"/>
      <c r="Q150" s="10"/>
    </row>
    <row r="151" spans="1:24" ht="15" customHeight="1" x14ac:dyDescent="0.45">
      <c r="A151" s="10"/>
      <c r="D151" s="249" t="s">
        <v>1781</v>
      </c>
      <c r="E151" s="41">
        <f>IF($AC$7="No",0,SUM(LC_Site[Total kVA]))</f>
        <v>0</v>
      </c>
      <c r="F151" s="40">
        <f>IF($AC$7="No",0,$P$46)</f>
        <v>0</v>
      </c>
      <c r="H151" s="10"/>
      <c r="I151" s="10"/>
      <c r="K151" s="36"/>
      <c r="M151" s="10"/>
      <c r="N151" s="10"/>
      <c r="O151" s="10"/>
      <c r="P151" s="10"/>
      <c r="Q151" s="10"/>
    </row>
    <row r="152" spans="1:24" ht="15" customHeight="1" x14ac:dyDescent="0.45">
      <c r="A152" s="10"/>
      <c r="D152" s="249" t="s">
        <v>1773</v>
      </c>
      <c r="E152" s="41">
        <f>IF($AC$8="No",0,SUM(LC_House[Total kVA]))</f>
        <v>0</v>
      </c>
      <c r="F152" s="40">
        <f>IF($AC$8="No",0,$P$53)</f>
        <v>0</v>
      </c>
      <c r="H152" s="10"/>
      <c r="I152" s="10"/>
      <c r="K152" s="36"/>
      <c r="M152" s="10"/>
      <c r="N152" s="10"/>
      <c r="O152" s="10"/>
      <c r="P152" s="10"/>
      <c r="Q152" s="10"/>
    </row>
    <row r="153" spans="1:24" ht="15" customHeight="1" x14ac:dyDescent="0.45">
      <c r="A153" s="10"/>
      <c r="D153" s="249" t="s">
        <v>1774</v>
      </c>
      <c r="E153" s="41">
        <f>IF($AC$9="No",0,SUM(LC_Dept[Total kVA]))</f>
        <v>0</v>
      </c>
      <c r="F153" s="40">
        <f>IF($AC$9="No",0,$P$60)</f>
        <v>0</v>
      </c>
      <c r="H153" s="10"/>
      <c r="I153" s="10"/>
      <c r="K153" s="36"/>
      <c r="M153" s="10"/>
      <c r="N153" s="10"/>
      <c r="O153" s="10"/>
      <c r="P153" s="10"/>
      <c r="Q153" s="10"/>
    </row>
    <row r="154" spans="1:24" ht="15" hidden="1" customHeight="1" x14ac:dyDescent="0.45">
      <c r="A154" s="10"/>
      <c r="D154" s="249" t="s">
        <v>1775</v>
      </c>
      <c r="E154" s="41">
        <f>IF($AC$10="No",0,SUM(LC_Refrig[Total kVA]))</f>
        <v>0</v>
      </c>
      <c r="F154" s="40">
        <f>IF($AC$10="No",0,$P$67)</f>
        <v>0</v>
      </c>
      <c r="H154" s="10"/>
      <c r="I154" s="10"/>
      <c r="K154" s="36"/>
      <c r="M154" s="10"/>
      <c r="N154" s="10"/>
      <c r="O154" s="10"/>
      <c r="P154" s="10"/>
      <c r="Q154" s="10"/>
    </row>
    <row r="155" spans="1:24" ht="15" customHeight="1" x14ac:dyDescent="0.45">
      <c r="A155" s="10"/>
      <c r="D155" s="249" t="s">
        <v>533</v>
      </c>
      <c r="E155" s="41">
        <f>IF($AC$11="No",0,SUM(LC_Mech[Total kVA]))</f>
        <v>0</v>
      </c>
      <c r="F155" s="40">
        <f>IF($AC$11="No",0,$P$74)</f>
        <v>0</v>
      </c>
      <c r="H155" s="10"/>
      <c r="I155" s="10"/>
      <c r="K155" s="36"/>
      <c r="M155" s="10"/>
      <c r="N155" s="10"/>
      <c r="O155" s="10"/>
      <c r="P155" s="10"/>
      <c r="Q155" s="10"/>
    </row>
    <row r="156" spans="1:24" ht="15" customHeight="1" x14ac:dyDescent="0.45">
      <c r="A156" s="10"/>
      <c r="D156" s="249" t="s">
        <v>1776</v>
      </c>
      <c r="E156" s="41">
        <f>IF($AC$12="No",0,SUM(LC_Plumb[Total kVA]))</f>
        <v>0</v>
      </c>
      <c r="F156" s="40">
        <f>IF($AC$12="No",0,$P$81)</f>
        <v>0</v>
      </c>
      <c r="H156" s="10"/>
      <c r="I156" s="10"/>
      <c r="K156" s="36"/>
      <c r="M156" s="10"/>
      <c r="N156" s="10"/>
      <c r="O156" s="10"/>
      <c r="P156" s="10"/>
      <c r="Q156" s="10"/>
    </row>
    <row r="157" spans="1:24" s="47" customFormat="1" ht="15" hidden="1" customHeight="1" x14ac:dyDescent="0.45">
      <c r="A157" s="10"/>
      <c r="B157" s="8"/>
      <c r="C157" s="8"/>
      <c r="D157" s="249" t="s">
        <v>1777</v>
      </c>
      <c r="E157" s="41">
        <f>IF($AC$13="No",0,SUM(LC_Kitchen[Total kVA]))</f>
        <v>0</v>
      </c>
      <c r="F157" s="40">
        <f>IF($AC$13="No",0,$P$88)</f>
        <v>0</v>
      </c>
      <c r="G157" s="8"/>
      <c r="H157" s="10"/>
      <c r="I157" s="10"/>
      <c r="J157" s="8"/>
      <c r="K157" s="36"/>
      <c r="L157" s="8"/>
      <c r="M157" s="10"/>
      <c r="N157" s="10"/>
      <c r="O157" s="10"/>
      <c r="P157" s="10"/>
      <c r="Q157" s="10"/>
      <c r="R157" s="8"/>
      <c r="S157" s="8"/>
      <c r="T157" s="8"/>
      <c r="U157" s="8"/>
      <c r="V157" s="8"/>
      <c r="W157" s="8"/>
      <c r="X157" s="8"/>
    </row>
    <row r="158" spans="1:24" ht="15" hidden="1" customHeight="1" x14ac:dyDescent="0.45">
      <c r="A158" s="10"/>
      <c r="D158" s="249" t="s">
        <v>1778</v>
      </c>
      <c r="E158" s="41">
        <f>IF($AC$14="No",0,SUM(LC_Elev[Total kVA]))</f>
        <v>0</v>
      </c>
      <c r="F158" s="40">
        <f>IF($AC$14="No",0,$P$95)</f>
        <v>0</v>
      </c>
      <c r="H158" s="10"/>
      <c r="I158" s="10"/>
      <c r="K158" s="36"/>
      <c r="M158" s="10"/>
      <c r="N158" s="10"/>
      <c r="O158" s="10"/>
      <c r="P158" s="10"/>
      <c r="Q158" s="10"/>
    </row>
    <row r="159" spans="1:24" ht="15" hidden="1" customHeight="1" x14ac:dyDescent="0.45">
      <c r="A159" s="10"/>
      <c r="D159" s="249" t="s">
        <v>1779</v>
      </c>
      <c r="E159" s="41">
        <f>IF($AC$15="No",0,SUM(LC_EV[Total kVA]))</f>
        <v>0</v>
      </c>
      <c r="F159" s="40">
        <f>IF($AC$15="No",0,$P$102)</f>
        <v>0</v>
      </c>
      <c r="H159" s="10"/>
      <c r="I159" s="10"/>
      <c r="K159" s="36"/>
      <c r="M159" s="10"/>
      <c r="N159" s="10"/>
      <c r="O159" s="10"/>
      <c r="P159" s="10"/>
      <c r="Q159" s="10"/>
    </row>
    <row r="160" spans="1:24" ht="15" customHeight="1" x14ac:dyDescent="0.45">
      <c r="A160" s="10"/>
      <c r="D160" s="249" t="s">
        <v>1780</v>
      </c>
      <c r="E160" s="41">
        <f>IF($AC$16="No",0,SUM(LC_Data[Total kVA]))</f>
        <v>0</v>
      </c>
      <c r="F160" s="40">
        <f>IF($AC$16="No",0,$P$109)</f>
        <v>0</v>
      </c>
      <c r="H160" s="10"/>
      <c r="I160" s="10"/>
      <c r="K160" s="36"/>
      <c r="M160" s="10"/>
      <c r="N160" s="10"/>
      <c r="O160" s="10"/>
      <c r="P160" s="10"/>
      <c r="Q160" s="10"/>
    </row>
    <row r="161" spans="1:24" ht="15" hidden="1" customHeight="1" x14ac:dyDescent="0.45">
      <c r="A161" s="10"/>
      <c r="D161" s="249" t="s">
        <v>1782</v>
      </c>
      <c r="E161" s="41">
        <f>IF($AC$17="No",0,SUM(LC_Fire[Total kVA]))</f>
        <v>0</v>
      </c>
      <c r="F161" s="40">
        <f>IF($AC$17="No",0,$P$116)</f>
        <v>0</v>
      </c>
      <c r="H161" s="10"/>
      <c r="I161" s="10"/>
      <c r="K161" s="36"/>
      <c r="M161" s="10"/>
      <c r="N161" s="10"/>
      <c r="O161" s="10"/>
      <c r="P161" s="10"/>
      <c r="Q161" s="10"/>
    </row>
    <row r="162" spans="1:24" ht="15" hidden="1" customHeight="1" x14ac:dyDescent="0.45">
      <c r="A162" s="10"/>
      <c r="D162" s="249" t="s">
        <v>1783</v>
      </c>
      <c r="E162" s="41">
        <f>IF($AC$18="No",0,SUM(LC_Process[Total kVA]))</f>
        <v>0</v>
      </c>
      <c r="F162" s="40">
        <f>IF($AC$18="No",0,$P$123)</f>
        <v>0</v>
      </c>
      <c r="H162" s="10"/>
      <c r="I162" s="10"/>
      <c r="K162" s="36"/>
      <c r="M162" s="10"/>
      <c r="N162" s="10"/>
      <c r="O162" s="10"/>
      <c r="P162" s="10"/>
      <c r="Q162" s="10"/>
    </row>
    <row r="163" spans="1:24" ht="15" customHeight="1" x14ac:dyDescent="0.45">
      <c r="A163" s="10"/>
      <c r="D163" s="249" t="s">
        <v>299</v>
      </c>
      <c r="E163" s="43">
        <f>SUM(E150:E162)</f>
        <v>0</v>
      </c>
      <c r="F163" s="42">
        <f>SUM(F150:F162)</f>
        <v>0</v>
      </c>
      <c r="H163" s="10"/>
      <c r="I163" s="10"/>
      <c r="K163" s="36"/>
      <c r="M163" s="10"/>
      <c r="N163" s="10"/>
      <c r="O163" s="10"/>
      <c r="P163" s="10"/>
      <c r="Q163" s="10"/>
    </row>
    <row r="164" spans="1:24" ht="15" customHeight="1" x14ac:dyDescent="0.45">
      <c r="A164" s="10"/>
      <c r="D164" s="260" t="str" cm="1">
        <f t="array" ref="D164">"Largest Motor × 25% (NEC "&amp;NECREF("430.24")&amp;")"</f>
        <v>Largest Motor × 25% (NEC 430.24)</v>
      </c>
      <c r="E164" s="212"/>
      <c r="F164" s="40">
        <f>0.25*MAX(_xlfn.MAXIFS(LC_House[Total kVA],LC_House[Unit],"HP"),_xlfn.MAXIFS(LC_Dept[Total kVA],LC_Dept[Unit],"HP"),_xlfn.MAXIFS(LC_Refrig[Total kVA],LC_Refrig[Unit],"HP"),_xlfn.MAXIFS(LC_Mech[Total kVA],LC_Mech[Unit],"HP"),_xlfn.MAXIFS(LC_Plumb[Total kVA],LC_Plumb[Unit],"HP"),_xlfn.MAXIFS(LC_Kitchen[Total kVA],LC_Kitchen[Unit],"HP"),_xlfn.MAXIFS(LC_Elev[Total kVA],LC_Elev[Unit],"HP"),_xlfn.MAXIFS(LC_EV[Total kVA],LC_EV[Unit],"HP"),_xlfn.MAXIFS(LC_Data[Total kVA],LC_Data[Unit],"HP"),_xlfn.MAXIFS(LC_Site[Total kVA],LC_Site[Unit],"HP"),_xlfn.MAXIFS(LC_Fire[Total kVA],LC_Fire[Unit],"HP"),_xlfn.MAXIFS(LC_Process[Total kVA],LC_Process[Unit],"HP"))</f>
        <v>0</v>
      </c>
      <c r="H164" s="10"/>
      <c r="I164" s="10"/>
      <c r="K164" s="36"/>
      <c r="M164" s="10"/>
      <c r="N164" s="10"/>
      <c r="O164" s="10"/>
      <c r="P164" s="10"/>
      <c r="Q164" s="10"/>
    </row>
    <row r="165" spans="1:24" ht="15" customHeight="1" x14ac:dyDescent="0.45">
      <c r="A165" s="10"/>
      <c r="D165" s="334" t="str" cm="1">
        <f t="array" ref="D165">"Continuous Loads × 25% — conductor / OCPD sizing (NEC "&amp;NECREF("215.3")&amp;" / "&amp;NECREF("230.42")&amp;IF(NEC_Ed="NEC 2026","; not part of the Art. "&amp;NECREF("220")&amp;" load calc per "&amp;NECREF("220")&amp;".5(E)","")&amp;") — enter continuous kVA →"</f>
        <v>Continuous Loads × 25% — conductor / OCPD sizing (NEC 215.3 / 230.42) — enter continuous kVA →</v>
      </c>
      <c r="E165" s="145">
        <v>0</v>
      </c>
      <c r="F165" s="213">
        <f>0.25*E165</f>
        <v>0</v>
      </c>
      <c r="H165" s="10"/>
      <c r="I165" s="10"/>
      <c r="K165" s="36"/>
      <c r="M165" s="10"/>
      <c r="N165" s="10"/>
      <c r="O165" s="10"/>
      <c r="P165" s="10"/>
      <c r="Q165" s="10"/>
    </row>
    <row r="166" spans="1:24" ht="15" customHeight="1" x14ac:dyDescent="0.45">
      <c r="A166" s="10"/>
      <c r="D166" s="335" t="s">
        <v>573</v>
      </c>
      <c r="E166" s="173"/>
      <c r="F166" s="38">
        <f>F163+F164+F165</f>
        <v>0</v>
      </c>
      <c r="H166" s="10"/>
      <c r="I166" s="10"/>
      <c r="K166" s="36"/>
      <c r="M166" s="10"/>
      <c r="N166" s="10"/>
      <c r="O166" s="10"/>
      <c r="P166" s="10"/>
      <c r="Q166" s="10"/>
    </row>
    <row r="167" spans="1:24" ht="15" customHeight="1" x14ac:dyDescent="0.45">
      <c r="A167" s="10"/>
      <c r="D167" s="249" t="s">
        <v>300</v>
      </c>
      <c r="E167" s="10"/>
      <c r="F167" s="66" t="str">
        <f>IF(OR(NOT(ISNUMBER(Cfg_Volt)),Cfg_Volt=0),"",IF(F166=0,0,ROUND(F166*1000/(Cfg_Volt*IF(Cfg_Phase=3,SQRT3,1)),0)))</f>
        <v/>
      </c>
      <c r="H167" s="10"/>
      <c r="I167" s="10"/>
      <c r="J167" s="37"/>
      <c r="K167" s="37"/>
      <c r="M167" s="10"/>
      <c r="N167" s="10"/>
      <c r="O167" s="10"/>
      <c r="P167" s="10"/>
      <c r="Q167" s="10"/>
    </row>
    <row r="168" spans="1:24" ht="15" customHeight="1" x14ac:dyDescent="0.45">
      <c r="A168" s="10"/>
      <c r="D168" s="249" t="s">
        <v>301</v>
      </c>
      <c r="E168" s="146">
        <v>0.2</v>
      </c>
      <c r="F168" s="37"/>
      <c r="H168" s="10"/>
      <c r="I168" s="10"/>
      <c r="J168" s="37"/>
      <c r="K168" s="37"/>
      <c r="M168" s="10"/>
      <c r="N168" s="10"/>
      <c r="O168" s="10"/>
      <c r="P168" s="10"/>
      <c r="Q168" s="10"/>
    </row>
    <row r="169" spans="1:24" ht="15" customHeight="1" x14ac:dyDescent="0.45">
      <c r="A169" s="10"/>
      <c r="D169" s="249" t="s">
        <v>302</v>
      </c>
      <c r="E169" s="10"/>
      <c r="F169" s="40">
        <f>ROUND(F166*(1+$E$168),1)</f>
        <v>0</v>
      </c>
      <c r="H169" s="10"/>
      <c r="I169" s="10"/>
      <c r="J169" s="37"/>
      <c r="K169" s="37"/>
      <c r="M169" s="10"/>
      <c r="N169" s="10"/>
      <c r="O169" s="10"/>
      <c r="P169" s="10"/>
      <c r="Q169" s="10"/>
    </row>
    <row r="170" spans="1:24" ht="15" customHeight="1" x14ac:dyDescent="0.45">
      <c r="A170" s="10"/>
      <c r="D170" s="249" t="s">
        <v>303</v>
      </c>
      <c r="E170" s="10"/>
      <c r="F170" s="40" t="str">
        <f>IF(OR(NOT(ISNUMBER(Cfg_Volt)),Cfg_Volt=0),"",IF(F169=0,0,ROUND(F169*1000/(Cfg_Volt*IF(Cfg_Phase=3,SQRT3,1)),0)))</f>
        <v/>
      </c>
      <c r="H170" s="10"/>
      <c r="I170" s="10"/>
      <c r="J170" s="37"/>
      <c r="K170" s="37"/>
      <c r="M170" s="10"/>
      <c r="N170" s="10"/>
      <c r="O170" s="10"/>
      <c r="P170" s="10"/>
      <c r="Q170" s="10"/>
    </row>
    <row r="171" spans="1:24" ht="15" customHeight="1" x14ac:dyDescent="0.45">
      <c r="A171" s="10"/>
      <c r="D171" s="249" t="str" cm="1">
        <f t="array" ref="D171">"SUGGESTED SERVICE SIZE (A) — next standard OCPD per NEC "&amp;NECREF("240.6")</f>
        <v>SUGGESTED SERVICE SIZE (A) — next standard OCPD per NEC 240.6</v>
      </c>
      <c r="E171" s="10"/>
      <c r="F171" s="40" t="str">
        <f>IF(NOT(ISNUMBER(F170)),"",IFERROR(_xlfn.XLOOKUP(F170,OCPD_List,OCPD_List,"&gt; 6000",1),"—"))</f>
        <v/>
      </c>
      <c r="H171" s="10"/>
      <c r="I171" s="10"/>
      <c r="J171" s="37"/>
      <c r="K171" s="37"/>
      <c r="M171" s="10"/>
      <c r="N171" s="10"/>
      <c r="O171" s="10"/>
      <c r="P171" s="10"/>
      <c r="Q171" s="10"/>
    </row>
    <row r="172" spans="1:24" ht="15" customHeight="1" x14ac:dyDescent="0.45">
      <c r="A172" s="10"/>
      <c r="D172" s="249" t="str" cm="1">
        <f t="array" ref="D172">"RENOVATION CHECK — NEC "&amp;NECREF("220.87")&amp;" Existing + New Demand"&amp;IF(NEC_Ed="NEC 2026"," − Removed","")&amp;" (kVA)"</f>
        <v>RENOVATION CHECK — NEC 220.87 Existing + New Demand (kVA)</v>
      </c>
      <c r="E172" s="10"/>
      <c r="F172" s="40" cm="1">
        <f t="array" ref="F172">IF($C$36="","n/a",ROUND($C$36+F166-IF(NEC_Ed="NEC 2026",N(LC_RemovedLoad),0),1))</f>
        <v>0</v>
      </c>
      <c r="H172" s="10"/>
      <c r="I172" s="10"/>
      <c r="J172" s="37"/>
      <c r="K172" s="37"/>
      <c r="M172" s="10"/>
      <c r="N172" s="10"/>
      <c r="O172" s="10"/>
      <c r="P172" s="10"/>
      <c r="Q172" s="10"/>
    </row>
    <row r="173" spans="1:24" ht="15" customHeight="1" x14ac:dyDescent="0.45">
      <c r="A173" s="10"/>
      <c r="B173" s="10"/>
      <c r="C173" s="10"/>
      <c r="D173" s="10"/>
      <c r="E173" s="10"/>
      <c r="F173" s="10"/>
      <c r="G173" s="10"/>
      <c r="H173" s="10"/>
      <c r="I173" s="10"/>
      <c r="J173" s="10"/>
      <c r="K173" s="10"/>
      <c r="L173" s="10"/>
      <c r="M173" s="10"/>
      <c r="N173" s="10"/>
      <c r="O173" s="10"/>
      <c r="P173" s="10"/>
      <c r="Q173" s="10"/>
    </row>
    <row r="174" spans="1:24" ht="15" hidden="1" customHeight="1" x14ac:dyDescent="0.45">
      <c r="A174" s="648" t="s">
        <v>304</v>
      </c>
      <c r="B174" s="649"/>
      <c r="C174" s="649"/>
      <c r="D174" s="649"/>
      <c r="E174" s="649"/>
      <c r="F174" s="649"/>
      <c r="G174" s="649"/>
      <c r="H174" s="649"/>
      <c r="I174" s="649"/>
      <c r="J174" s="649"/>
      <c r="K174" s="649"/>
      <c r="L174" s="649"/>
      <c r="M174" s="649"/>
      <c r="N174" s="649"/>
      <c r="O174" s="649"/>
      <c r="P174" s="649"/>
      <c r="Q174" s="649"/>
      <c r="R174" s="649"/>
      <c r="S174" s="649"/>
      <c r="T174" s="649"/>
      <c r="U174" s="649"/>
      <c r="V174" s="649"/>
      <c r="W174" s="649"/>
      <c r="X174" s="650"/>
    </row>
    <row r="175" spans="1:24" ht="15" hidden="1" customHeight="1" x14ac:dyDescent="0.45">
      <c r="A175" s="634"/>
      <c r="B175" s="647"/>
      <c r="C175" s="647"/>
      <c r="D175" s="647"/>
      <c r="E175" s="647"/>
      <c r="F175" s="647"/>
      <c r="G175" s="647"/>
      <c r="H175" s="647"/>
      <c r="I175" s="647"/>
      <c r="J175" s="647"/>
      <c r="K175" s="647"/>
      <c r="L175" s="647"/>
      <c r="M175" s="647"/>
      <c r="N175" s="647"/>
      <c r="O175" s="647"/>
      <c r="P175" s="647"/>
      <c r="Q175" s="647"/>
      <c r="R175" s="647"/>
      <c r="S175" s="647"/>
      <c r="T175" s="647"/>
      <c r="U175" s="647"/>
      <c r="V175" s="647"/>
      <c r="W175" s="647"/>
      <c r="X175" s="632"/>
    </row>
    <row r="176" spans="1:24" ht="15" hidden="1" customHeight="1" x14ac:dyDescent="0.45">
      <c r="A176" s="44"/>
      <c r="B176" s="44"/>
      <c r="C176" s="44"/>
      <c r="D176" s="44"/>
      <c r="E176" s="44"/>
      <c r="F176" s="336" t="s">
        <v>1304</v>
      </c>
      <c r="G176" s="336"/>
      <c r="H176" s="336"/>
      <c r="I176" s="336"/>
      <c r="J176" s="336"/>
      <c r="K176" s="336"/>
      <c r="L176" s="635" t="s">
        <v>1323</v>
      </c>
      <c r="M176" s="336"/>
      <c r="N176" s="336"/>
      <c r="O176" s="336"/>
      <c r="P176" s="336"/>
      <c r="Q176" s="336"/>
      <c r="R176" s="336"/>
      <c r="S176" s="336"/>
      <c r="T176" s="336"/>
      <c r="U176" s="336"/>
      <c r="V176" s="336"/>
      <c r="W176" s="336"/>
      <c r="X176" s="336"/>
    </row>
    <row r="177" spans="1:24" ht="15" hidden="1" customHeight="1" x14ac:dyDescent="0.45">
      <c r="A177" s="24"/>
      <c r="B177" s="45"/>
      <c r="C177" s="24"/>
      <c r="D177" s="259" t="s">
        <v>289</v>
      </c>
      <c r="E177" s="24" t="s">
        <v>265</v>
      </c>
      <c r="F177" s="25" t="str">
        <f>IF(Generator!$B$53="","",Generator!$B$53)</f>
        <v>GEN-1</v>
      </c>
      <c r="G177" s="25" t="str">
        <f>IF(Generator!$B$54="","",Generator!$B$54)</f>
        <v/>
      </c>
      <c r="H177" s="25" t="str">
        <f>IF(Generator!$B$55="","",Generator!$B$55)</f>
        <v/>
      </c>
      <c r="I177" s="25" t="str">
        <f>IF(Generator!$B$56="","",Generator!$B$56)</f>
        <v/>
      </c>
      <c r="J177" s="25" t="str">
        <f>IF(Generator!$B$57="","",Generator!$B$57)</f>
        <v/>
      </c>
      <c r="K177" s="25" t="str">
        <f>IF(Generator!$B$58="","",Generator!$B$58)</f>
        <v/>
      </c>
      <c r="L177" s="644"/>
      <c r="M177" s="24"/>
      <c r="N177" s="24"/>
      <c r="O177" s="24"/>
      <c r="P177" s="24"/>
      <c r="Q177" s="24"/>
      <c r="R177" s="45"/>
      <c r="S177" s="45"/>
      <c r="T177" s="45"/>
      <c r="U177" s="45"/>
      <c r="V177" s="45"/>
      <c r="W177" s="45"/>
      <c r="X177" s="45"/>
    </row>
    <row r="178" spans="1:24" ht="15" hidden="1" customHeight="1" x14ac:dyDescent="0.45">
      <c r="A178" s="10"/>
      <c r="B178" s="20"/>
      <c r="C178" s="10"/>
      <c r="D178" s="249" t="s">
        <v>1781</v>
      </c>
      <c r="E178" s="40">
        <f>IF($AC$7="No",0,SUMIFS(LC_Site[Total kVA],LC_Site[Gen],"Y")+SUM(F178:K178))</f>
        <v>0</v>
      </c>
      <c r="F178" s="30">
        <f>IF(OR($AC$7="No",F$177=""),0,SUMIFS(LC_Site[Total kVA],LC_Site[Gen],F$177))</f>
        <v>0</v>
      </c>
      <c r="G178" s="30">
        <f>IF(OR($AC$7="No",G$177=""),0,SUMIFS(LC_Site[Total kVA],LC_Site[Gen],G$177))</f>
        <v>0</v>
      </c>
      <c r="H178" s="30">
        <f>IF(OR($AC$7="No",H$177=""),0,SUMIFS(LC_Site[Total kVA],LC_Site[Gen],H$177))</f>
        <v>0</v>
      </c>
      <c r="I178" s="30">
        <f>IF(OR($AC$7="No",I$177=""),0,SUMIFS(LC_Site[Total kVA],LC_Site[Gen],I$177))</f>
        <v>0</v>
      </c>
      <c r="J178" s="30">
        <f>IF(OR($AC$7="No",J$177=""),0,SUMIFS(LC_Site[Total kVA],LC_Site[Gen],J$177))</f>
        <v>0</v>
      </c>
      <c r="K178" s="30">
        <f>IF(OR($AC$7="No",K$177=""),0,SUMIFS(LC_Site[Total kVA],LC_Site[Gen],K$177))</f>
        <v>0</v>
      </c>
      <c r="L178" s="30">
        <f t="shared" ref="L178:L189" si="0">ROUND($E178-SUM($F178:$K178),1)</f>
        <v>0</v>
      </c>
      <c r="M178" s="10"/>
      <c r="N178" s="10"/>
      <c r="O178" s="10"/>
      <c r="P178" s="10"/>
      <c r="Q178" s="10"/>
      <c r="R178" s="20"/>
      <c r="S178" s="20"/>
      <c r="T178" s="20"/>
      <c r="U178" s="20"/>
      <c r="V178" s="20"/>
      <c r="W178" s="20"/>
      <c r="X178" s="20"/>
    </row>
    <row r="179" spans="1:24" ht="15" hidden="1" customHeight="1" x14ac:dyDescent="0.45">
      <c r="A179" s="10"/>
      <c r="B179" s="20"/>
      <c r="C179" s="10"/>
      <c r="D179" s="249" t="s">
        <v>1773</v>
      </c>
      <c r="E179" s="40">
        <f>IF($AC$8="No",0,SUMIFS(LC_House[Total kVA],LC_House[Gen],"Y")+SUM(F179:K179))</f>
        <v>0</v>
      </c>
      <c r="F179" s="30">
        <f>IF(OR($AC$8="No",F$177=""),0,SUMIFS(LC_House[Total kVA],LC_House[Gen],F$177))</f>
        <v>0</v>
      </c>
      <c r="G179" s="30">
        <f>IF(OR($AC$8="No",G$177=""),0,SUMIFS(LC_House[Total kVA],LC_House[Gen],G$177))</f>
        <v>0</v>
      </c>
      <c r="H179" s="30">
        <f>IF(OR($AC$8="No",H$177=""),0,SUMIFS(LC_House[Total kVA],LC_House[Gen],H$177))</f>
        <v>0</v>
      </c>
      <c r="I179" s="30">
        <f>IF(OR($AC$8="No",I$177=""),0,SUMIFS(LC_House[Total kVA],LC_House[Gen],I$177))</f>
        <v>0</v>
      </c>
      <c r="J179" s="30">
        <f>IF(OR($AC$8="No",J$177=""),0,SUMIFS(LC_House[Total kVA],LC_House[Gen],J$177))</f>
        <v>0</v>
      </c>
      <c r="K179" s="30">
        <f>IF(OR($AC$8="No",K$177=""),0,SUMIFS(LC_House[Total kVA],LC_House[Gen],K$177))</f>
        <v>0</v>
      </c>
      <c r="L179" s="30">
        <f t="shared" si="0"/>
        <v>0</v>
      </c>
      <c r="M179" s="10"/>
      <c r="N179" s="10"/>
      <c r="O179" s="10"/>
      <c r="P179" s="10"/>
      <c r="Q179" s="10"/>
      <c r="R179" s="20"/>
      <c r="S179" s="20"/>
      <c r="T179" s="20"/>
      <c r="U179" s="20"/>
      <c r="V179" s="20"/>
      <c r="W179" s="20"/>
      <c r="X179" s="20"/>
    </row>
    <row r="180" spans="1:24" ht="15" hidden="1" customHeight="1" x14ac:dyDescent="0.45">
      <c r="A180" s="10"/>
      <c r="B180" s="20"/>
      <c r="C180" s="10"/>
      <c r="D180" s="249" t="s">
        <v>1774</v>
      </c>
      <c r="E180" s="40">
        <f>IF($AC$9="No",0,SUMIFS(LC_Dept[Total kVA],LC_Dept[Gen],"Y")+SUM(F180:K180))</f>
        <v>0</v>
      </c>
      <c r="F180" s="30">
        <f>IF(OR($AC$9="No",F$177=""),0,SUMIFS(LC_Dept[Total kVA],LC_Dept[Gen],F$177))</f>
        <v>0</v>
      </c>
      <c r="G180" s="30">
        <f>IF(OR($AC$9="No",G$177=""),0,SUMIFS(LC_Dept[Total kVA],LC_Dept[Gen],G$177))</f>
        <v>0</v>
      </c>
      <c r="H180" s="30">
        <f>IF(OR($AC$9="No",H$177=""),0,SUMIFS(LC_Dept[Total kVA],LC_Dept[Gen],H$177))</f>
        <v>0</v>
      </c>
      <c r="I180" s="30">
        <f>IF(OR($AC$9="No",I$177=""),0,SUMIFS(LC_Dept[Total kVA],LC_Dept[Gen],I$177))</f>
        <v>0</v>
      </c>
      <c r="J180" s="30">
        <f>IF(OR($AC$9="No",J$177=""),0,SUMIFS(LC_Dept[Total kVA],LC_Dept[Gen],J$177))</f>
        <v>0</v>
      </c>
      <c r="K180" s="30">
        <f>IF(OR($AC$9="No",K$177=""),0,SUMIFS(LC_Dept[Total kVA],LC_Dept[Gen],K$177))</f>
        <v>0</v>
      </c>
      <c r="L180" s="30">
        <f t="shared" si="0"/>
        <v>0</v>
      </c>
      <c r="M180" s="10"/>
      <c r="N180" s="10"/>
      <c r="O180" s="10"/>
      <c r="P180" s="10"/>
      <c r="Q180" s="10"/>
      <c r="R180" s="20"/>
      <c r="S180" s="20"/>
      <c r="T180" s="20"/>
      <c r="U180" s="20"/>
      <c r="V180" s="20"/>
      <c r="W180" s="20"/>
      <c r="X180" s="20"/>
    </row>
    <row r="181" spans="1:24" ht="15" hidden="1" customHeight="1" x14ac:dyDescent="0.45">
      <c r="A181" s="10"/>
      <c r="B181" s="20"/>
      <c r="C181" s="10"/>
      <c r="D181" s="249" t="s">
        <v>1775</v>
      </c>
      <c r="E181" s="40">
        <f>IF($AC$10="No",0,SUMIFS(LC_Refrig[Total kVA],LC_Refrig[Gen],"Y")+SUM(F181:K181))</f>
        <v>0</v>
      </c>
      <c r="F181" s="30">
        <f>IF(OR($AC$10="No",F$177=""),0,SUMIFS(LC_Refrig[Total kVA],LC_Refrig[Gen],F$177))</f>
        <v>0</v>
      </c>
      <c r="G181" s="30">
        <f>IF(OR($AC$10="No",G$177=""),0,SUMIFS(LC_Refrig[Total kVA],LC_Refrig[Gen],G$177))</f>
        <v>0</v>
      </c>
      <c r="H181" s="30">
        <f>IF(OR($AC$10="No",H$177=""),0,SUMIFS(LC_Refrig[Total kVA],LC_Refrig[Gen],H$177))</f>
        <v>0</v>
      </c>
      <c r="I181" s="30">
        <f>IF(OR($AC$10="No",I$177=""),0,SUMIFS(LC_Refrig[Total kVA],LC_Refrig[Gen],I$177))</f>
        <v>0</v>
      </c>
      <c r="J181" s="30">
        <f>IF(OR($AC$10="No",J$177=""),0,SUMIFS(LC_Refrig[Total kVA],LC_Refrig[Gen],J$177))</f>
        <v>0</v>
      </c>
      <c r="K181" s="30">
        <f>IF(OR($AC$10="No",K$177=""),0,SUMIFS(LC_Refrig[Total kVA],LC_Refrig[Gen],K$177))</f>
        <v>0</v>
      </c>
      <c r="L181" s="30">
        <f t="shared" si="0"/>
        <v>0</v>
      </c>
      <c r="M181" s="10"/>
      <c r="N181" s="10"/>
      <c r="O181" s="10"/>
      <c r="P181" s="10"/>
      <c r="Q181" s="10"/>
      <c r="R181" s="20"/>
      <c r="S181" s="20"/>
      <c r="T181" s="20"/>
      <c r="U181" s="20"/>
      <c r="V181" s="20"/>
      <c r="W181" s="20"/>
      <c r="X181" s="20"/>
    </row>
    <row r="182" spans="1:24" ht="15" hidden="1" customHeight="1" x14ac:dyDescent="0.45">
      <c r="A182" s="10"/>
      <c r="B182" s="20"/>
      <c r="C182" s="10"/>
      <c r="D182" s="249" t="s">
        <v>533</v>
      </c>
      <c r="E182" s="40">
        <f>IF($AC$11="No",0,SUMIFS(LC_Mech[Total kVA],LC_Mech[Gen],"Y")+SUM(F182:K182))</f>
        <v>0</v>
      </c>
      <c r="F182" s="30">
        <f>IF(OR($AC$11="No",F$177=""),0,SUMIFS(LC_Mech[Total kVA],LC_Mech[Gen],F$177))</f>
        <v>0</v>
      </c>
      <c r="G182" s="30">
        <f>IF(OR($AC$11="No",G$177=""),0,SUMIFS(LC_Mech[Total kVA],LC_Mech[Gen],G$177))</f>
        <v>0</v>
      </c>
      <c r="H182" s="30">
        <f>IF(OR($AC$11="No",H$177=""),0,SUMIFS(LC_Mech[Total kVA],LC_Mech[Gen],H$177))</f>
        <v>0</v>
      </c>
      <c r="I182" s="30">
        <f>IF(OR($AC$11="No",I$177=""),0,SUMIFS(LC_Mech[Total kVA],LC_Mech[Gen],I$177))</f>
        <v>0</v>
      </c>
      <c r="J182" s="30">
        <f>IF(OR($AC$11="No",J$177=""),0,SUMIFS(LC_Mech[Total kVA],LC_Mech[Gen],J$177))</f>
        <v>0</v>
      </c>
      <c r="K182" s="30">
        <f>IF(OR($AC$11="No",K$177=""),0,SUMIFS(LC_Mech[Total kVA],LC_Mech[Gen],K$177))</f>
        <v>0</v>
      </c>
      <c r="L182" s="30">
        <f t="shared" si="0"/>
        <v>0</v>
      </c>
      <c r="M182" s="10"/>
      <c r="N182" s="10"/>
      <c r="O182" s="10"/>
      <c r="P182" s="10"/>
      <c r="Q182" s="10"/>
      <c r="R182" s="20"/>
      <c r="S182" s="20"/>
      <c r="T182" s="20"/>
      <c r="U182" s="20"/>
      <c r="V182" s="20"/>
      <c r="W182" s="20"/>
      <c r="X182" s="20"/>
    </row>
    <row r="183" spans="1:24" ht="15" hidden="1" customHeight="1" x14ac:dyDescent="0.45">
      <c r="A183" s="10"/>
      <c r="B183" s="20"/>
      <c r="C183" s="10"/>
      <c r="D183" s="249" t="s">
        <v>1776</v>
      </c>
      <c r="E183" s="40">
        <f>IF($AC$12="No",0,SUMIFS(LC_Plumb[Total kVA],LC_Plumb[Gen],"Y")+SUM(F183:K183))</f>
        <v>0</v>
      </c>
      <c r="F183" s="30">
        <f>IF(OR($AC$12="No",F$177=""),0,SUMIFS(LC_Plumb[Total kVA],LC_Plumb[Gen],F$177))</f>
        <v>0</v>
      </c>
      <c r="G183" s="30">
        <f>IF(OR($AC$12="No",G$177=""),0,SUMIFS(LC_Plumb[Total kVA],LC_Plumb[Gen],G$177))</f>
        <v>0</v>
      </c>
      <c r="H183" s="30">
        <f>IF(OR($AC$12="No",H$177=""),0,SUMIFS(LC_Plumb[Total kVA],LC_Plumb[Gen],H$177))</f>
        <v>0</v>
      </c>
      <c r="I183" s="30">
        <f>IF(OR($AC$12="No",I$177=""),0,SUMIFS(LC_Plumb[Total kVA],LC_Plumb[Gen],I$177))</f>
        <v>0</v>
      </c>
      <c r="J183" s="30">
        <f>IF(OR($AC$12="No",J$177=""),0,SUMIFS(LC_Plumb[Total kVA],LC_Plumb[Gen],J$177))</f>
        <v>0</v>
      </c>
      <c r="K183" s="30">
        <f>IF(OR($AC$12="No",K$177=""),0,SUMIFS(LC_Plumb[Total kVA],LC_Plumb[Gen],K$177))</f>
        <v>0</v>
      </c>
      <c r="L183" s="30">
        <f t="shared" si="0"/>
        <v>0</v>
      </c>
      <c r="M183" s="10"/>
      <c r="N183" s="10"/>
      <c r="O183" s="10"/>
      <c r="P183" s="10"/>
      <c r="Q183" s="10"/>
      <c r="R183" s="20"/>
      <c r="S183" s="20"/>
      <c r="T183" s="20"/>
      <c r="U183" s="20"/>
      <c r="V183" s="20"/>
      <c r="W183" s="20"/>
      <c r="X183" s="20"/>
    </row>
    <row r="184" spans="1:24" s="20" customFormat="1" ht="15" hidden="1" customHeight="1" x14ac:dyDescent="0.35">
      <c r="A184" s="10"/>
      <c r="C184" s="10"/>
      <c r="D184" s="249" t="s">
        <v>1777</v>
      </c>
      <c r="E184" s="40">
        <f>IF($AC$13="No",0,SUMIFS(LC_Kitchen[Total kVA],LC_Kitchen[Gen],"Y")+SUM(F184:K184))</f>
        <v>0</v>
      </c>
      <c r="F184" s="30">
        <f>IF(OR($AC$13="No",F$177=""),0,SUMIFS(LC_Kitchen[Total kVA],LC_Kitchen[Gen],F$177))</f>
        <v>0</v>
      </c>
      <c r="G184" s="30">
        <f>IF(OR($AC$13="No",G$177=""),0,SUMIFS(LC_Kitchen[Total kVA],LC_Kitchen[Gen],G$177))</f>
        <v>0</v>
      </c>
      <c r="H184" s="30">
        <f>IF(OR($AC$13="No",H$177=""),0,SUMIFS(LC_Kitchen[Total kVA],LC_Kitchen[Gen],H$177))</f>
        <v>0</v>
      </c>
      <c r="I184" s="30">
        <f>IF(OR($AC$13="No",I$177=""),0,SUMIFS(LC_Kitchen[Total kVA],LC_Kitchen[Gen],I$177))</f>
        <v>0</v>
      </c>
      <c r="J184" s="30">
        <f>IF(OR($AC$13="No",J$177=""),0,SUMIFS(LC_Kitchen[Total kVA],LC_Kitchen[Gen],J$177))</f>
        <v>0</v>
      </c>
      <c r="K184" s="30">
        <f>IF(OR($AC$13="No",K$177=""),0,SUMIFS(LC_Kitchen[Total kVA],LC_Kitchen[Gen],K$177))</f>
        <v>0</v>
      </c>
      <c r="L184" s="30">
        <f t="shared" si="0"/>
        <v>0</v>
      </c>
      <c r="M184" s="10"/>
      <c r="N184" s="10"/>
      <c r="O184" s="10"/>
      <c r="P184" s="10"/>
      <c r="Q184" s="10"/>
    </row>
    <row r="185" spans="1:24" s="45" customFormat="1" ht="15" hidden="1" customHeight="1" x14ac:dyDescent="0.45">
      <c r="A185" s="10"/>
      <c r="B185" s="20"/>
      <c r="C185" s="10"/>
      <c r="D185" s="249" t="s">
        <v>1778</v>
      </c>
      <c r="E185" s="40">
        <f>IF($AC$14="No",0,SUMIFS(LC_Elev[Total kVA],LC_Elev[Gen],"Y")+SUM(F185:K185))</f>
        <v>0</v>
      </c>
      <c r="F185" s="30">
        <f>IF(OR($AC$14="No",F$177=""),0,SUMIFS(LC_Elev[Total kVA],LC_Elev[Gen],F$177))</f>
        <v>0</v>
      </c>
      <c r="G185" s="30">
        <f>IF(OR($AC$14="No",G$177=""),0,SUMIFS(LC_Elev[Total kVA],LC_Elev[Gen],G$177))</f>
        <v>0</v>
      </c>
      <c r="H185" s="30">
        <f>IF(OR($AC$14="No",H$177=""),0,SUMIFS(LC_Elev[Total kVA],LC_Elev[Gen],H$177))</f>
        <v>0</v>
      </c>
      <c r="I185" s="30">
        <f>IF(OR($AC$14="No",I$177=""),0,SUMIFS(LC_Elev[Total kVA],LC_Elev[Gen],I$177))</f>
        <v>0</v>
      </c>
      <c r="J185" s="30">
        <f>IF(OR($AC$14="No",J$177=""),0,SUMIFS(LC_Elev[Total kVA],LC_Elev[Gen],J$177))</f>
        <v>0</v>
      </c>
      <c r="K185" s="30">
        <f>IF(OR($AC$14="No",K$177=""),0,SUMIFS(LC_Elev[Total kVA],LC_Elev[Gen],K$177))</f>
        <v>0</v>
      </c>
      <c r="L185" s="30">
        <f t="shared" si="0"/>
        <v>0</v>
      </c>
      <c r="M185" s="10"/>
      <c r="N185" s="10"/>
      <c r="O185" s="10"/>
      <c r="P185" s="10"/>
      <c r="Q185" s="10"/>
      <c r="R185" s="20"/>
      <c r="S185" s="20"/>
      <c r="T185" s="20"/>
      <c r="U185" s="20"/>
      <c r="V185" s="20"/>
      <c r="W185" s="20"/>
      <c r="X185" s="20"/>
    </row>
    <row r="186" spans="1:24" s="45" customFormat="1" ht="15" hidden="1" customHeight="1" x14ac:dyDescent="0.45">
      <c r="A186" s="10"/>
      <c r="B186" s="20"/>
      <c r="C186" s="10"/>
      <c r="D186" s="249" t="s">
        <v>1779</v>
      </c>
      <c r="E186" s="40">
        <f>IF($AC$15="No",0,SUMIFS(LC_EV[Total kVA],LC_EV[Gen],"Y")+SUM(F186:K186))</f>
        <v>0</v>
      </c>
      <c r="F186" s="30">
        <f>IF(OR($AC$15="No",F$177=""),0,SUMIFS(LC_EV[Total kVA],LC_EV[Gen],F$177))</f>
        <v>0</v>
      </c>
      <c r="G186" s="30">
        <f>IF(OR($AC$15="No",G$177=""),0,SUMIFS(LC_EV[Total kVA],LC_EV[Gen],G$177))</f>
        <v>0</v>
      </c>
      <c r="H186" s="30">
        <f>IF(OR($AC$15="No",H$177=""),0,SUMIFS(LC_EV[Total kVA],LC_EV[Gen],H$177))</f>
        <v>0</v>
      </c>
      <c r="I186" s="30">
        <f>IF(OR($AC$15="No",I$177=""),0,SUMIFS(LC_EV[Total kVA],LC_EV[Gen],I$177))</f>
        <v>0</v>
      </c>
      <c r="J186" s="30">
        <f>IF(OR($AC$15="No",J$177=""),0,SUMIFS(LC_EV[Total kVA],LC_EV[Gen],J$177))</f>
        <v>0</v>
      </c>
      <c r="K186" s="30">
        <f>IF(OR($AC$15="No",K$177=""),0,SUMIFS(LC_EV[Total kVA],LC_EV[Gen],K$177))</f>
        <v>0</v>
      </c>
      <c r="L186" s="30">
        <f t="shared" si="0"/>
        <v>0</v>
      </c>
      <c r="M186" s="10"/>
      <c r="N186" s="10"/>
      <c r="O186" s="10"/>
      <c r="P186" s="10"/>
      <c r="Q186" s="10"/>
      <c r="R186" s="20"/>
      <c r="S186" s="20"/>
      <c r="T186" s="20"/>
      <c r="U186" s="20"/>
      <c r="V186" s="20"/>
      <c r="W186" s="20"/>
      <c r="X186" s="20"/>
    </row>
    <row r="187" spans="1:24" s="45" customFormat="1" ht="15" hidden="1" customHeight="1" x14ac:dyDescent="0.45">
      <c r="A187" s="10"/>
      <c r="B187" s="20"/>
      <c r="C187" s="10"/>
      <c r="D187" s="249" t="s">
        <v>1780</v>
      </c>
      <c r="E187" s="40">
        <f>IF($AC$16="No",0,SUMIFS(LC_Data[Total kVA],LC_Data[Gen],"Y")+SUM(F187:K187))</f>
        <v>0</v>
      </c>
      <c r="F187" s="30">
        <f>IF(OR($AC$16="No",F$177=""),0,SUMIFS(LC_Data[Total kVA],LC_Data[Gen],F$177))</f>
        <v>0</v>
      </c>
      <c r="G187" s="30">
        <f>IF(OR($AC$16="No",G$177=""),0,SUMIFS(LC_Data[Total kVA],LC_Data[Gen],G$177))</f>
        <v>0</v>
      </c>
      <c r="H187" s="30">
        <f>IF(OR($AC$16="No",H$177=""),0,SUMIFS(LC_Data[Total kVA],LC_Data[Gen],H$177))</f>
        <v>0</v>
      </c>
      <c r="I187" s="30">
        <f>IF(OR($AC$16="No",I$177=""),0,SUMIFS(LC_Data[Total kVA],LC_Data[Gen],I$177))</f>
        <v>0</v>
      </c>
      <c r="J187" s="30">
        <f>IF(OR($AC$16="No",J$177=""),0,SUMIFS(LC_Data[Total kVA],LC_Data[Gen],J$177))</f>
        <v>0</v>
      </c>
      <c r="K187" s="30">
        <f>IF(OR($AC$16="No",K$177=""),0,SUMIFS(LC_Data[Total kVA],LC_Data[Gen],K$177))</f>
        <v>0</v>
      </c>
      <c r="L187" s="30">
        <f t="shared" si="0"/>
        <v>0</v>
      </c>
      <c r="M187" s="10"/>
      <c r="N187" s="10"/>
      <c r="O187" s="10"/>
      <c r="P187" s="10"/>
      <c r="Q187" s="10"/>
      <c r="R187" s="20"/>
      <c r="S187" s="20"/>
      <c r="T187" s="20"/>
      <c r="U187" s="20"/>
      <c r="V187" s="20"/>
      <c r="W187" s="20"/>
      <c r="X187" s="20"/>
    </row>
    <row r="188" spans="1:24" s="45" customFormat="1" ht="15" hidden="1" customHeight="1" x14ac:dyDescent="0.45">
      <c r="A188" s="10"/>
      <c r="B188" s="20"/>
      <c r="C188" s="10"/>
      <c r="D188" s="249" t="s">
        <v>1782</v>
      </c>
      <c r="E188" s="40">
        <f>IF($AC$17="No",0,SUMIFS(LC_Fire[Total kVA],LC_Fire[Gen],"Y")+SUM(F188:K188))</f>
        <v>0</v>
      </c>
      <c r="F188" s="30">
        <f>IF(OR($AC$17="No",F$177=""),0,SUMIFS(LC_Fire[Total kVA],LC_Fire[Gen],F$177))</f>
        <v>0</v>
      </c>
      <c r="G188" s="30">
        <f>IF(OR($AC$17="No",G$177=""),0,SUMIFS(LC_Fire[Total kVA],LC_Fire[Gen],G$177))</f>
        <v>0</v>
      </c>
      <c r="H188" s="30">
        <f>IF(OR($AC$17="No",H$177=""),0,SUMIFS(LC_Fire[Total kVA],LC_Fire[Gen],H$177))</f>
        <v>0</v>
      </c>
      <c r="I188" s="30">
        <f>IF(OR($AC$17="No",I$177=""),0,SUMIFS(LC_Fire[Total kVA],LC_Fire[Gen],I$177))</f>
        <v>0</v>
      </c>
      <c r="J188" s="30">
        <f>IF(OR($AC$17="No",J$177=""),0,SUMIFS(LC_Fire[Total kVA],LC_Fire[Gen],J$177))</f>
        <v>0</v>
      </c>
      <c r="K188" s="30">
        <f>IF(OR($AC$17="No",K$177=""),0,SUMIFS(LC_Fire[Total kVA],LC_Fire[Gen],K$177))</f>
        <v>0</v>
      </c>
      <c r="L188" s="30">
        <f t="shared" si="0"/>
        <v>0</v>
      </c>
      <c r="M188" s="10"/>
      <c r="N188" s="10"/>
      <c r="O188" s="10"/>
      <c r="P188" s="10"/>
      <c r="Q188" s="10"/>
      <c r="R188" s="20"/>
      <c r="S188" s="20"/>
      <c r="T188" s="20"/>
      <c r="U188" s="20"/>
      <c r="V188" s="20"/>
      <c r="W188" s="20"/>
      <c r="X188" s="20"/>
    </row>
    <row r="189" spans="1:24" s="45" customFormat="1" ht="15" hidden="1" customHeight="1" x14ac:dyDescent="0.45">
      <c r="A189" s="10"/>
      <c r="B189" s="20"/>
      <c r="C189" s="10"/>
      <c r="D189" s="249" t="s">
        <v>1783</v>
      </c>
      <c r="E189" s="40">
        <f>IF($AC$18="No",0,SUMIFS(LC_Process[Total kVA],LC_Process[Gen],"Y")+SUM(F189:K189))</f>
        <v>0</v>
      </c>
      <c r="F189" s="30">
        <f>IF(OR($AC$18="No",F$177=""),0,SUMIFS(LC_Process[Total kVA],LC_Process[Gen],F$177))</f>
        <v>0</v>
      </c>
      <c r="G189" s="30">
        <f>IF(OR($AC$18="No",G$177=""),0,SUMIFS(LC_Process[Total kVA],LC_Process[Gen],G$177))</f>
        <v>0</v>
      </c>
      <c r="H189" s="30">
        <f>IF(OR($AC$18="No",H$177=""),0,SUMIFS(LC_Process[Total kVA],LC_Process[Gen],H$177))</f>
        <v>0</v>
      </c>
      <c r="I189" s="30">
        <f>IF(OR($AC$18="No",I$177=""),0,SUMIFS(LC_Process[Total kVA],LC_Process[Gen],I$177))</f>
        <v>0</v>
      </c>
      <c r="J189" s="30">
        <f>IF(OR($AC$18="No",J$177=""),0,SUMIFS(LC_Process[Total kVA],LC_Process[Gen],J$177))</f>
        <v>0</v>
      </c>
      <c r="K189" s="30">
        <f>IF(OR($AC$18="No",K$177=""),0,SUMIFS(LC_Process[Total kVA],LC_Process[Gen],K$177))</f>
        <v>0</v>
      </c>
      <c r="L189" s="30">
        <f t="shared" si="0"/>
        <v>0</v>
      </c>
      <c r="M189" s="10"/>
      <c r="N189" s="10"/>
      <c r="O189" s="10"/>
      <c r="P189" s="10"/>
      <c r="Q189" s="10"/>
      <c r="R189" s="20"/>
      <c r="S189" s="20"/>
      <c r="T189" s="20"/>
      <c r="U189" s="20"/>
      <c r="V189" s="20"/>
      <c r="W189" s="20"/>
      <c r="X189" s="20"/>
    </row>
    <row r="190" spans="1:24" s="20" customFormat="1" ht="15" hidden="1" customHeight="1" x14ac:dyDescent="0.35">
      <c r="A190" s="10"/>
      <c r="C190" s="10"/>
      <c r="D190" s="249" t="s">
        <v>305</v>
      </c>
      <c r="E190" s="40">
        <f>SUM(E178:E189)</f>
        <v>0</v>
      </c>
      <c r="G190" s="10"/>
      <c r="H190" s="10"/>
      <c r="I190" s="10"/>
      <c r="J190" s="10"/>
      <c r="K190" s="10"/>
      <c r="M190" s="10"/>
      <c r="N190" s="10"/>
      <c r="O190" s="10"/>
      <c r="P190" s="10"/>
      <c r="Q190" s="10"/>
    </row>
    <row r="191" spans="1:24" s="20" customFormat="1" ht="15" hidden="1" customHeight="1" x14ac:dyDescent="0.35">
      <c r="A191" s="10"/>
      <c r="B191" s="10"/>
      <c r="C191" s="10"/>
      <c r="D191" s="23" t="s">
        <v>1305</v>
      </c>
      <c r="E191" s="30">
        <f>ROUND(SUM(E178:E189)-SUM(F178:K189),1)</f>
        <v>0</v>
      </c>
      <c r="F191" s="264" t="str">
        <f>IF($E$191&gt;0,"⚠ tag these loads to a generator unit","✓ all generator loads assigned")</f>
        <v>✓ all generator loads assigned</v>
      </c>
      <c r="G191" s="10"/>
      <c r="H191" s="10"/>
      <c r="I191" s="10"/>
      <c r="J191" s="10"/>
      <c r="K191" s="10"/>
      <c r="L191" s="10"/>
      <c r="M191" s="10"/>
      <c r="N191" s="10"/>
      <c r="O191" s="10"/>
      <c r="P191" s="10"/>
      <c r="Q191" s="10"/>
    </row>
    <row r="192" spans="1:24" s="20" customFormat="1" ht="15" hidden="1" customHeight="1" x14ac:dyDescent="0.35">
      <c r="A192" s="10"/>
      <c r="B192" s="10"/>
      <c r="C192" s="10"/>
      <c r="D192" s="10"/>
      <c r="E192" s="10"/>
      <c r="F192" s="10"/>
      <c r="G192" s="10"/>
      <c r="H192" s="10"/>
      <c r="I192" s="10"/>
      <c r="J192" s="10"/>
      <c r="K192" s="10"/>
      <c r="L192" s="10"/>
      <c r="M192" s="10"/>
      <c r="N192" s="10"/>
      <c r="O192" s="10"/>
      <c r="P192" s="10"/>
      <c r="Q192" s="10"/>
    </row>
    <row r="193" spans="1:24" s="20" customFormat="1" ht="15" hidden="1" customHeight="1" x14ac:dyDescent="0.35">
      <c r="A193" s="648" t="s">
        <v>306</v>
      </c>
      <c r="B193" s="649"/>
      <c r="C193" s="649"/>
      <c r="D193" s="649"/>
      <c r="E193" s="649"/>
      <c r="F193" s="649"/>
      <c r="G193" s="649"/>
      <c r="H193" s="649"/>
      <c r="I193" s="649"/>
      <c r="J193" s="649"/>
      <c r="K193" s="649"/>
      <c r="L193" s="649"/>
      <c r="M193" s="649"/>
      <c r="N193" s="649"/>
      <c r="O193" s="649"/>
      <c r="P193" s="649"/>
      <c r="Q193" s="649"/>
      <c r="R193" s="649"/>
      <c r="S193" s="649"/>
      <c r="T193" s="649"/>
      <c r="U193" s="649"/>
      <c r="V193" s="649"/>
      <c r="W193" s="649"/>
      <c r="X193" s="650"/>
    </row>
    <row r="194" spans="1:24" s="20" customFormat="1" ht="15" hidden="1" customHeight="1" x14ac:dyDescent="0.35">
      <c r="A194" s="634"/>
      <c r="B194" s="647"/>
      <c r="C194" s="647"/>
      <c r="D194" s="647"/>
      <c r="E194" s="647"/>
      <c r="F194" s="647"/>
      <c r="G194" s="647"/>
      <c r="H194" s="647"/>
      <c r="I194" s="647"/>
      <c r="J194" s="647"/>
      <c r="K194" s="647"/>
      <c r="L194" s="647"/>
      <c r="M194" s="647"/>
      <c r="N194" s="647"/>
      <c r="O194" s="647"/>
      <c r="P194" s="647"/>
      <c r="Q194" s="647"/>
      <c r="R194" s="647"/>
      <c r="S194" s="647"/>
      <c r="T194" s="647"/>
      <c r="U194" s="647"/>
      <c r="V194" s="647"/>
      <c r="W194" s="647"/>
      <c r="X194" s="632"/>
    </row>
    <row r="195" spans="1:24" s="20" customFormat="1" ht="15" hidden="1" customHeight="1" x14ac:dyDescent="0.35">
      <c r="A195" s="44"/>
      <c r="B195" s="44"/>
      <c r="C195" s="44"/>
      <c r="D195" s="44"/>
      <c r="E195" s="44"/>
      <c r="F195" s="336" t="s">
        <v>1317</v>
      </c>
      <c r="G195" s="336"/>
      <c r="H195" s="336"/>
      <c r="I195" s="336"/>
      <c r="J195" s="336"/>
      <c r="K195" s="336"/>
      <c r="L195" s="635" t="s">
        <v>1323</v>
      </c>
      <c r="M195" s="336"/>
      <c r="N195" s="336"/>
      <c r="O195" s="336"/>
      <c r="P195" s="336"/>
      <c r="Q195" s="336"/>
      <c r="R195" s="336"/>
      <c r="S195" s="336"/>
      <c r="T195" s="336"/>
      <c r="U195" s="336"/>
      <c r="V195" s="336"/>
      <c r="W195" s="336"/>
      <c r="X195" s="336"/>
    </row>
    <row r="196" spans="1:24" s="20" customFormat="1" ht="15" hidden="1" customHeight="1" x14ac:dyDescent="0.45">
      <c r="A196" s="24"/>
      <c r="B196" s="45"/>
      <c r="C196" s="24"/>
      <c r="D196" s="259" t="s">
        <v>289</v>
      </c>
      <c r="E196" s="24" t="s">
        <v>265</v>
      </c>
      <c r="F196" s="25" t="str">
        <f>IF(UPS!$B$48="","",UPS!$B$48)</f>
        <v>UPS-1</v>
      </c>
      <c r="G196" s="25" t="str">
        <f>IF(UPS!$B$49="","",UPS!$B$49)</f>
        <v/>
      </c>
      <c r="H196" s="25" t="str">
        <f>IF(UPS!$B$50="","",UPS!$B$50)</f>
        <v/>
      </c>
      <c r="I196" s="25" t="str">
        <f>IF(UPS!$B$51="","",UPS!$B$51)</f>
        <v/>
      </c>
      <c r="J196" s="25" t="str">
        <f>IF(UPS!$B$52="","",UPS!$B$52)</f>
        <v/>
      </c>
      <c r="K196" s="25" t="str">
        <f>IF(UPS!$B$53="","",UPS!$B$53)</f>
        <v/>
      </c>
      <c r="L196" s="636"/>
      <c r="M196" s="24"/>
      <c r="N196" s="24"/>
      <c r="O196" s="24"/>
      <c r="P196" s="24"/>
      <c r="Q196" s="24"/>
      <c r="R196" s="45"/>
      <c r="S196" s="45"/>
      <c r="T196" s="45"/>
      <c r="U196" s="45"/>
      <c r="V196" s="45"/>
      <c r="W196" s="45"/>
      <c r="X196" s="45"/>
    </row>
    <row r="197" spans="1:24" s="20" customFormat="1" ht="15" hidden="1" customHeight="1" x14ac:dyDescent="0.45">
      <c r="A197" s="9"/>
      <c r="B197" s="8"/>
      <c r="C197" s="9"/>
      <c r="D197" s="249" t="s">
        <v>1781</v>
      </c>
      <c r="E197" s="40">
        <f>IF($AC$7="No",0,SUMIFS(LC_Site[Total kVA],LC_Site[UPS],"Y")+SUM(F197:K197))</f>
        <v>0</v>
      </c>
      <c r="F197" s="30">
        <f>IF(OR($AC$7="No",F$196=""),0,SUMIFS(LC_Site[Total kVA],LC_Site[UPS],F$196))</f>
        <v>0</v>
      </c>
      <c r="G197" s="30">
        <f>IF(OR($AC$7="No",G$196=""),0,SUMIFS(LC_Site[Total kVA],LC_Site[UPS],G$196))</f>
        <v>0</v>
      </c>
      <c r="H197" s="30">
        <f>IF(OR($AC$7="No",H$196=""),0,SUMIFS(LC_Site[Total kVA],LC_Site[UPS],H$196))</f>
        <v>0</v>
      </c>
      <c r="I197" s="30">
        <f>IF(OR($AC$7="No",I$196=""),0,SUMIFS(LC_Site[Total kVA],LC_Site[UPS],I$196))</f>
        <v>0</v>
      </c>
      <c r="J197" s="30">
        <f>IF(OR($AC$7="No",J$196=""),0,SUMIFS(LC_Site[Total kVA],LC_Site[UPS],J$196))</f>
        <v>0</v>
      </c>
      <c r="K197" s="30">
        <f>IF(OR($AC$7="No",K$196=""),0,SUMIFS(LC_Site[Total kVA],LC_Site[UPS],K$196))</f>
        <v>0</v>
      </c>
      <c r="L197" s="30">
        <f t="shared" ref="L197:L208" si="1">ROUND($E197-SUM($F197:$K197),1)</f>
        <v>0</v>
      </c>
      <c r="M197" s="9"/>
      <c r="N197" s="9"/>
      <c r="O197" s="9"/>
      <c r="P197" s="9"/>
      <c r="Q197" s="9"/>
      <c r="R197" s="8"/>
      <c r="S197" s="8"/>
      <c r="T197" s="8"/>
      <c r="U197" s="8"/>
      <c r="V197" s="8"/>
      <c r="W197" s="8"/>
      <c r="X197" s="8"/>
    </row>
    <row r="198" spans="1:24" s="20" customFormat="1" ht="15" hidden="1" customHeight="1" x14ac:dyDescent="0.45">
      <c r="A198" s="9"/>
      <c r="B198" s="8"/>
      <c r="C198" s="9"/>
      <c r="D198" s="249" t="s">
        <v>1773</v>
      </c>
      <c r="E198" s="40">
        <f>IF($AC$8="No",0,SUMIFS(LC_House[Total kVA],LC_House[UPS],"Y")+SUM(F198:K198))</f>
        <v>0</v>
      </c>
      <c r="F198" s="30">
        <f>IF(OR($AC$8="No",F$196=""),0,SUMIFS(LC_House[Total kVA],LC_House[UPS],F$196))</f>
        <v>0</v>
      </c>
      <c r="G198" s="30">
        <f>IF(OR($AC$8="No",G$196=""),0,SUMIFS(LC_House[Total kVA],LC_House[UPS],G$196))</f>
        <v>0</v>
      </c>
      <c r="H198" s="30">
        <f>IF(OR($AC$8="No",H$196=""),0,SUMIFS(LC_House[Total kVA],LC_House[UPS],H$196))</f>
        <v>0</v>
      </c>
      <c r="I198" s="30">
        <f>IF(OR($AC$8="No",I$196=""),0,SUMIFS(LC_House[Total kVA],LC_House[UPS],I$196))</f>
        <v>0</v>
      </c>
      <c r="J198" s="30">
        <f>IF(OR($AC$8="No",J$196=""),0,SUMIFS(LC_House[Total kVA],LC_House[UPS],J$196))</f>
        <v>0</v>
      </c>
      <c r="K198" s="30">
        <f>IF(OR($AC$8="No",K$196=""),0,SUMIFS(LC_House[Total kVA],LC_House[UPS],K$196))</f>
        <v>0</v>
      </c>
      <c r="L198" s="30">
        <f t="shared" si="1"/>
        <v>0</v>
      </c>
      <c r="M198" s="9"/>
      <c r="N198" s="9"/>
      <c r="O198" s="9"/>
      <c r="P198" s="9"/>
      <c r="Q198" s="9"/>
      <c r="R198" s="8"/>
      <c r="S198" s="8"/>
      <c r="T198" s="8"/>
      <c r="U198" s="8"/>
      <c r="V198" s="8"/>
      <c r="W198" s="8"/>
      <c r="X198" s="8"/>
    </row>
    <row r="199" spans="1:24" s="20" customFormat="1" ht="15" hidden="1" customHeight="1" x14ac:dyDescent="0.45">
      <c r="A199" s="9"/>
      <c r="B199" s="8"/>
      <c r="C199" s="9"/>
      <c r="D199" s="249" t="s">
        <v>1774</v>
      </c>
      <c r="E199" s="40">
        <f>IF($AC$9="No",0,SUMIFS(LC_Dept[Total kVA],LC_Dept[UPS],"Y")+SUM(F199:K199))</f>
        <v>0</v>
      </c>
      <c r="F199" s="30">
        <f>IF(OR($AC$9="No",F$196=""),0,SUMIFS(LC_Dept[Total kVA],LC_Dept[UPS],F$196))</f>
        <v>0</v>
      </c>
      <c r="G199" s="30">
        <f>IF(OR($AC$9="No",G$196=""),0,SUMIFS(LC_Dept[Total kVA],LC_Dept[UPS],G$196))</f>
        <v>0</v>
      </c>
      <c r="H199" s="30">
        <f>IF(OR($AC$9="No",H$196=""),0,SUMIFS(LC_Dept[Total kVA],LC_Dept[UPS],H$196))</f>
        <v>0</v>
      </c>
      <c r="I199" s="30">
        <f>IF(OR($AC$9="No",I$196=""),0,SUMIFS(LC_Dept[Total kVA],LC_Dept[UPS],I$196))</f>
        <v>0</v>
      </c>
      <c r="J199" s="30">
        <f>IF(OR($AC$9="No",J$196=""),0,SUMIFS(LC_Dept[Total kVA],LC_Dept[UPS],J$196))</f>
        <v>0</v>
      </c>
      <c r="K199" s="30">
        <f>IF(OR($AC$9="No",K$196=""),0,SUMIFS(LC_Dept[Total kVA],LC_Dept[UPS],K$196))</f>
        <v>0</v>
      </c>
      <c r="L199" s="30">
        <f t="shared" si="1"/>
        <v>0</v>
      </c>
      <c r="M199" s="9"/>
      <c r="N199" s="9"/>
      <c r="O199" s="9"/>
      <c r="P199" s="9"/>
      <c r="Q199" s="9"/>
      <c r="R199" s="8"/>
      <c r="S199" s="8"/>
      <c r="T199" s="8"/>
      <c r="U199" s="8"/>
      <c r="V199" s="8"/>
      <c r="W199" s="8"/>
      <c r="X199" s="8"/>
    </row>
    <row r="200" spans="1:24" s="20" customFormat="1" ht="15" hidden="1" customHeight="1" x14ac:dyDescent="0.45">
      <c r="A200" s="9"/>
      <c r="B200" s="8"/>
      <c r="C200" s="9"/>
      <c r="D200" s="249" t="s">
        <v>1775</v>
      </c>
      <c r="E200" s="40">
        <f>IF($AC$10="No",0,SUMIFS(LC_Refrig[Total kVA],LC_Refrig[UPS],"Y")+SUM(F200:K200))</f>
        <v>0</v>
      </c>
      <c r="F200" s="30">
        <f>IF(OR($AC$10="No",F$196=""),0,SUMIFS(LC_Refrig[Total kVA],LC_Refrig[UPS],F$196))</f>
        <v>0</v>
      </c>
      <c r="G200" s="30">
        <f>IF(OR($AC$10="No",G$196=""),0,SUMIFS(LC_Refrig[Total kVA],LC_Refrig[UPS],G$196))</f>
        <v>0</v>
      </c>
      <c r="H200" s="30">
        <f>IF(OR($AC$10="No",H$196=""),0,SUMIFS(LC_Refrig[Total kVA],LC_Refrig[UPS],H$196))</f>
        <v>0</v>
      </c>
      <c r="I200" s="30">
        <f>IF(OR($AC$10="No",I$196=""),0,SUMIFS(LC_Refrig[Total kVA],LC_Refrig[UPS],I$196))</f>
        <v>0</v>
      </c>
      <c r="J200" s="30">
        <f>IF(OR($AC$10="No",J$196=""),0,SUMIFS(LC_Refrig[Total kVA],LC_Refrig[UPS],J$196))</f>
        <v>0</v>
      </c>
      <c r="K200" s="30">
        <f>IF(OR($AC$10="No",K$196=""),0,SUMIFS(LC_Refrig[Total kVA],LC_Refrig[UPS],K$196))</f>
        <v>0</v>
      </c>
      <c r="L200" s="30">
        <f t="shared" si="1"/>
        <v>0</v>
      </c>
      <c r="M200" s="9"/>
      <c r="N200" s="9"/>
      <c r="O200" s="9"/>
      <c r="P200" s="9"/>
      <c r="Q200" s="9"/>
      <c r="R200" s="8"/>
      <c r="S200" s="8"/>
      <c r="T200" s="8"/>
      <c r="U200" s="8"/>
      <c r="V200" s="8"/>
      <c r="W200" s="8"/>
      <c r="X200" s="8"/>
    </row>
    <row r="201" spans="1:24" s="20" customFormat="1" ht="15" hidden="1" customHeight="1" x14ac:dyDescent="0.45">
      <c r="A201" s="9"/>
      <c r="B201" s="8"/>
      <c r="C201" s="9"/>
      <c r="D201" s="249" t="s">
        <v>533</v>
      </c>
      <c r="E201" s="40">
        <f>IF($AC$11="No",0,SUMIFS(LC_Mech[Total kVA],LC_Mech[UPS],"Y")+SUM(F201:K201))</f>
        <v>0</v>
      </c>
      <c r="F201" s="30">
        <f>IF(OR($AC$11="No",F$196=""),0,SUMIFS(LC_Mech[Total kVA],LC_Mech[UPS],F$196))</f>
        <v>0</v>
      </c>
      <c r="G201" s="30">
        <f>IF(OR($AC$11="No",G$196=""),0,SUMIFS(LC_Mech[Total kVA],LC_Mech[UPS],G$196))</f>
        <v>0</v>
      </c>
      <c r="H201" s="30">
        <f>IF(OR($AC$11="No",H$196=""),0,SUMIFS(LC_Mech[Total kVA],LC_Mech[UPS],H$196))</f>
        <v>0</v>
      </c>
      <c r="I201" s="30">
        <f>IF(OR($AC$11="No",I$196=""),0,SUMIFS(LC_Mech[Total kVA],LC_Mech[UPS],I$196))</f>
        <v>0</v>
      </c>
      <c r="J201" s="30">
        <f>IF(OR($AC$11="No",J$196=""),0,SUMIFS(LC_Mech[Total kVA],LC_Mech[UPS],J$196))</f>
        <v>0</v>
      </c>
      <c r="K201" s="30">
        <f>IF(OR($AC$11="No",K$196=""),0,SUMIFS(LC_Mech[Total kVA],LC_Mech[UPS],K$196))</f>
        <v>0</v>
      </c>
      <c r="L201" s="30">
        <f t="shared" si="1"/>
        <v>0</v>
      </c>
      <c r="M201" s="9"/>
      <c r="N201" s="9"/>
      <c r="O201" s="9"/>
      <c r="P201" s="9"/>
      <c r="Q201" s="9"/>
      <c r="R201" s="8"/>
      <c r="S201" s="8"/>
      <c r="T201" s="8"/>
      <c r="U201" s="8"/>
      <c r="V201" s="8"/>
      <c r="W201" s="8"/>
      <c r="X201" s="8"/>
    </row>
    <row r="202" spans="1:24" ht="15" hidden="1" customHeight="1" x14ac:dyDescent="0.45">
      <c r="A202" s="9"/>
      <c r="C202" s="9"/>
      <c r="D202" s="249" t="s">
        <v>1776</v>
      </c>
      <c r="E202" s="40">
        <f>IF($AC$12="No",0,SUMIFS(LC_Plumb[Total kVA],LC_Plumb[UPS],"Y")+SUM(F202:K202))</f>
        <v>0</v>
      </c>
      <c r="F202" s="30">
        <f>IF(OR($AC$12="No",F$196=""),0,SUMIFS(LC_Plumb[Total kVA],LC_Plumb[UPS],F$196))</f>
        <v>0</v>
      </c>
      <c r="G202" s="30">
        <f>IF(OR($AC$12="No",G$196=""),0,SUMIFS(LC_Plumb[Total kVA],LC_Plumb[UPS],G$196))</f>
        <v>0</v>
      </c>
      <c r="H202" s="30">
        <f>IF(OR($AC$12="No",H$196=""),0,SUMIFS(LC_Plumb[Total kVA],LC_Plumb[UPS],H$196))</f>
        <v>0</v>
      </c>
      <c r="I202" s="30">
        <f>IF(OR($AC$12="No",I$196=""),0,SUMIFS(LC_Plumb[Total kVA],LC_Plumb[UPS],I$196))</f>
        <v>0</v>
      </c>
      <c r="J202" s="30">
        <f>IF(OR($AC$12="No",J$196=""),0,SUMIFS(LC_Plumb[Total kVA],LC_Plumb[UPS],J$196))</f>
        <v>0</v>
      </c>
      <c r="K202" s="30">
        <f>IF(OR($AC$12="No",K$196=""),0,SUMIFS(LC_Plumb[Total kVA],LC_Plumb[UPS],K$196))</f>
        <v>0</v>
      </c>
      <c r="L202" s="30">
        <f t="shared" si="1"/>
        <v>0</v>
      </c>
      <c r="M202" s="9"/>
      <c r="N202" s="9"/>
      <c r="O202" s="9"/>
      <c r="P202" s="9"/>
      <c r="Q202" s="9"/>
    </row>
    <row r="203" spans="1:24" ht="15" hidden="1" customHeight="1" x14ac:dyDescent="0.45">
      <c r="A203" s="9"/>
      <c r="C203" s="9"/>
      <c r="D203" s="249" t="s">
        <v>1777</v>
      </c>
      <c r="E203" s="40">
        <f>IF($AC$13="No",0,SUMIFS(LC_Kitchen[Total kVA],LC_Kitchen[UPS],"Y")+SUM(F203:K203))</f>
        <v>0</v>
      </c>
      <c r="F203" s="30">
        <f>IF(OR($AC$13="No",F$196=""),0,SUMIFS(LC_Kitchen[Total kVA],LC_Kitchen[UPS],F$196))</f>
        <v>0</v>
      </c>
      <c r="G203" s="30">
        <f>IF(OR($AC$13="No",G$196=""),0,SUMIFS(LC_Kitchen[Total kVA],LC_Kitchen[UPS],G$196))</f>
        <v>0</v>
      </c>
      <c r="H203" s="30">
        <f>IF(OR($AC$13="No",H$196=""),0,SUMIFS(LC_Kitchen[Total kVA],LC_Kitchen[UPS],H$196))</f>
        <v>0</v>
      </c>
      <c r="I203" s="30">
        <f>IF(OR($AC$13="No",I$196=""),0,SUMIFS(LC_Kitchen[Total kVA],LC_Kitchen[UPS],I$196))</f>
        <v>0</v>
      </c>
      <c r="J203" s="30">
        <f>IF(OR($AC$13="No",J$196=""),0,SUMIFS(LC_Kitchen[Total kVA],LC_Kitchen[UPS],J$196))</f>
        <v>0</v>
      </c>
      <c r="K203" s="30">
        <f>IF(OR($AC$13="No",K$196=""),0,SUMIFS(LC_Kitchen[Total kVA],LC_Kitchen[UPS],K$196))</f>
        <v>0</v>
      </c>
      <c r="L203" s="30">
        <f t="shared" si="1"/>
        <v>0</v>
      </c>
      <c r="M203" s="9"/>
      <c r="N203" s="9"/>
      <c r="O203" s="9"/>
      <c r="P203" s="9"/>
      <c r="Q203" s="9"/>
    </row>
    <row r="204" spans="1:24" s="45" customFormat="1" ht="15" hidden="1" customHeight="1" x14ac:dyDescent="0.45">
      <c r="A204" s="9"/>
      <c r="B204" s="8"/>
      <c r="C204" s="9"/>
      <c r="D204" s="249" t="s">
        <v>1778</v>
      </c>
      <c r="E204" s="40">
        <f>IF($AC$14="No",0,SUMIFS(LC_Elev[Total kVA],LC_Elev[UPS],"Y")+SUM(F204:K204))</f>
        <v>0</v>
      </c>
      <c r="F204" s="30">
        <f>IF(OR($AC$14="No",F$196=""),0,SUMIFS(LC_Elev[Total kVA],LC_Elev[UPS],F$196))</f>
        <v>0</v>
      </c>
      <c r="G204" s="30">
        <f>IF(OR($AC$14="No",G$196=""),0,SUMIFS(LC_Elev[Total kVA],LC_Elev[UPS],G$196))</f>
        <v>0</v>
      </c>
      <c r="H204" s="30">
        <f>IF(OR($AC$14="No",H$196=""),0,SUMIFS(LC_Elev[Total kVA],LC_Elev[UPS],H$196))</f>
        <v>0</v>
      </c>
      <c r="I204" s="30">
        <f>IF(OR($AC$14="No",I$196=""),0,SUMIFS(LC_Elev[Total kVA],LC_Elev[UPS],I$196))</f>
        <v>0</v>
      </c>
      <c r="J204" s="30">
        <f>IF(OR($AC$14="No",J$196=""),0,SUMIFS(LC_Elev[Total kVA],LC_Elev[UPS],J$196))</f>
        <v>0</v>
      </c>
      <c r="K204" s="30">
        <f>IF(OR($AC$14="No",K$196=""),0,SUMIFS(LC_Elev[Total kVA],LC_Elev[UPS],K$196))</f>
        <v>0</v>
      </c>
      <c r="L204" s="30">
        <f t="shared" si="1"/>
        <v>0</v>
      </c>
      <c r="M204" s="9"/>
      <c r="N204" s="9"/>
      <c r="O204" s="9"/>
      <c r="P204" s="9"/>
      <c r="Q204" s="9"/>
      <c r="R204" s="8"/>
      <c r="S204" s="8"/>
      <c r="T204" s="8"/>
      <c r="U204" s="8"/>
      <c r="V204" s="8"/>
      <c r="W204" s="8"/>
      <c r="X204" s="8"/>
    </row>
    <row r="205" spans="1:24" s="45" customFormat="1" ht="15" hidden="1" customHeight="1" x14ac:dyDescent="0.45">
      <c r="A205" s="9"/>
      <c r="B205" s="8"/>
      <c r="C205" s="9"/>
      <c r="D205" s="249" t="s">
        <v>1779</v>
      </c>
      <c r="E205" s="40">
        <f>IF($AC$15="No",0,SUMIFS(LC_EV[Total kVA],LC_EV[UPS],"Y")+SUM(F205:K205))</f>
        <v>0</v>
      </c>
      <c r="F205" s="30">
        <f>IF(OR($AC$15="No",F$196=""),0,SUMIFS(LC_EV[Total kVA],LC_EV[UPS],F$196))</f>
        <v>0</v>
      </c>
      <c r="G205" s="30">
        <f>IF(OR($AC$15="No",G$196=""),0,SUMIFS(LC_EV[Total kVA],LC_EV[UPS],G$196))</f>
        <v>0</v>
      </c>
      <c r="H205" s="30">
        <f>IF(OR($AC$15="No",H$196=""),0,SUMIFS(LC_EV[Total kVA],LC_EV[UPS],H$196))</f>
        <v>0</v>
      </c>
      <c r="I205" s="30">
        <f>IF(OR($AC$15="No",I$196=""),0,SUMIFS(LC_EV[Total kVA],LC_EV[UPS],I$196))</f>
        <v>0</v>
      </c>
      <c r="J205" s="30">
        <f>IF(OR($AC$15="No",J$196=""),0,SUMIFS(LC_EV[Total kVA],LC_EV[UPS],J$196))</f>
        <v>0</v>
      </c>
      <c r="K205" s="30">
        <f>IF(OR($AC$15="No",K$196=""),0,SUMIFS(LC_EV[Total kVA],LC_EV[UPS],K$196))</f>
        <v>0</v>
      </c>
      <c r="L205" s="30">
        <f t="shared" si="1"/>
        <v>0</v>
      </c>
      <c r="M205" s="9"/>
      <c r="N205" s="9"/>
      <c r="O205" s="9"/>
      <c r="P205" s="9"/>
      <c r="Q205" s="9"/>
      <c r="R205" s="8"/>
      <c r="S205" s="8"/>
      <c r="T205" s="8"/>
      <c r="U205" s="8"/>
      <c r="V205" s="8"/>
      <c r="W205" s="8"/>
      <c r="X205" s="8"/>
    </row>
    <row r="206" spans="1:24" s="45" customFormat="1" ht="15" hidden="1" customHeight="1" x14ac:dyDescent="0.45">
      <c r="A206" s="9"/>
      <c r="B206" s="8"/>
      <c r="C206" s="9"/>
      <c r="D206" s="249" t="s">
        <v>1780</v>
      </c>
      <c r="E206" s="40">
        <f>IF($AC$16="No",0,SUMIFS(LC_Data[Total kVA],LC_Data[UPS],"Y")+SUM(F206:K206))</f>
        <v>0</v>
      </c>
      <c r="F206" s="30">
        <f>IF(OR($AC$16="No",F$196=""),0,SUMIFS(LC_Data[Total kVA],LC_Data[UPS],F$196))</f>
        <v>0</v>
      </c>
      <c r="G206" s="30">
        <f>IF(OR($AC$16="No",G$196=""),0,SUMIFS(LC_Data[Total kVA],LC_Data[UPS],G$196))</f>
        <v>0</v>
      </c>
      <c r="H206" s="30">
        <f>IF(OR($AC$16="No",H$196=""),0,SUMIFS(LC_Data[Total kVA],LC_Data[UPS],H$196))</f>
        <v>0</v>
      </c>
      <c r="I206" s="30">
        <f>IF(OR($AC$16="No",I$196=""),0,SUMIFS(LC_Data[Total kVA],LC_Data[UPS],I$196))</f>
        <v>0</v>
      </c>
      <c r="J206" s="30">
        <f>IF(OR($AC$16="No",J$196=""),0,SUMIFS(LC_Data[Total kVA],LC_Data[UPS],J$196))</f>
        <v>0</v>
      </c>
      <c r="K206" s="30">
        <f>IF(OR($AC$16="No",K$196=""),0,SUMIFS(LC_Data[Total kVA],LC_Data[UPS],K$196))</f>
        <v>0</v>
      </c>
      <c r="L206" s="30">
        <f t="shared" si="1"/>
        <v>0</v>
      </c>
      <c r="M206" s="9"/>
      <c r="N206" s="9"/>
      <c r="O206" s="9"/>
      <c r="P206" s="9"/>
      <c r="Q206" s="9"/>
      <c r="R206" s="8"/>
      <c r="S206" s="8"/>
      <c r="T206" s="8"/>
      <c r="U206" s="8"/>
      <c r="V206" s="8"/>
      <c r="W206" s="8"/>
      <c r="X206" s="8"/>
    </row>
    <row r="207" spans="1:24" s="45" customFormat="1" ht="15" hidden="1" customHeight="1" x14ac:dyDescent="0.45">
      <c r="A207" s="9"/>
      <c r="B207" s="8"/>
      <c r="C207" s="9"/>
      <c r="D207" s="249" t="s">
        <v>1782</v>
      </c>
      <c r="E207" s="40">
        <f>IF($AC$17="No",0,SUMIFS(LC_Fire[Total kVA],LC_Fire[UPS],"Y")+SUM(F207:K207))</f>
        <v>0</v>
      </c>
      <c r="F207" s="30">
        <f>IF(OR($AC$17="No",F$196=""),0,SUMIFS(LC_Fire[Total kVA],LC_Fire[UPS],F$196))</f>
        <v>0</v>
      </c>
      <c r="G207" s="30">
        <f>IF(OR($AC$17="No",G$196=""),0,SUMIFS(LC_Fire[Total kVA],LC_Fire[UPS],G$196))</f>
        <v>0</v>
      </c>
      <c r="H207" s="30">
        <f>IF(OR($AC$17="No",H$196=""),0,SUMIFS(LC_Fire[Total kVA],LC_Fire[UPS],H$196))</f>
        <v>0</v>
      </c>
      <c r="I207" s="30">
        <f>IF(OR($AC$17="No",I$196=""),0,SUMIFS(LC_Fire[Total kVA],LC_Fire[UPS],I$196))</f>
        <v>0</v>
      </c>
      <c r="J207" s="30">
        <f>IF(OR($AC$17="No",J$196=""),0,SUMIFS(LC_Fire[Total kVA],LC_Fire[UPS],J$196))</f>
        <v>0</v>
      </c>
      <c r="K207" s="30">
        <f>IF(OR($AC$17="No",K$196=""),0,SUMIFS(LC_Fire[Total kVA],LC_Fire[UPS],K$196))</f>
        <v>0</v>
      </c>
      <c r="L207" s="30">
        <f t="shared" si="1"/>
        <v>0</v>
      </c>
      <c r="M207" s="9"/>
      <c r="N207" s="9"/>
      <c r="O207" s="9"/>
      <c r="P207" s="9"/>
      <c r="Q207" s="9"/>
      <c r="R207" s="8"/>
      <c r="S207" s="8"/>
      <c r="T207" s="8"/>
      <c r="U207" s="8"/>
      <c r="V207" s="8"/>
      <c r="W207" s="8"/>
      <c r="X207" s="8"/>
    </row>
    <row r="208" spans="1:24" s="45" customFormat="1" ht="15" hidden="1" customHeight="1" x14ac:dyDescent="0.45">
      <c r="A208" s="9"/>
      <c r="B208" s="8"/>
      <c r="C208" s="9"/>
      <c r="D208" s="249" t="s">
        <v>1783</v>
      </c>
      <c r="E208" s="40">
        <f>IF($AC$18="No",0,SUMIFS(LC_Process[Total kVA],LC_Process[UPS],"Y")+SUM(F208:K208))</f>
        <v>0</v>
      </c>
      <c r="F208" s="30">
        <f>IF(OR($AC$18="No",F$196=""),0,SUMIFS(LC_Process[Total kVA],LC_Process[UPS],F$196))</f>
        <v>0</v>
      </c>
      <c r="G208" s="30">
        <f>IF(OR($AC$18="No",G$196=""),0,SUMIFS(LC_Process[Total kVA],LC_Process[UPS],G$196))</f>
        <v>0</v>
      </c>
      <c r="H208" s="30">
        <f>IF(OR($AC$18="No",H$196=""),0,SUMIFS(LC_Process[Total kVA],LC_Process[UPS],H$196))</f>
        <v>0</v>
      </c>
      <c r="I208" s="30">
        <f>IF(OR($AC$18="No",I$196=""),0,SUMIFS(LC_Process[Total kVA],LC_Process[UPS],I$196))</f>
        <v>0</v>
      </c>
      <c r="J208" s="30">
        <f>IF(OR($AC$18="No",J$196=""),0,SUMIFS(LC_Process[Total kVA],LC_Process[UPS],J$196))</f>
        <v>0</v>
      </c>
      <c r="K208" s="30">
        <f>IF(OR($AC$18="No",K$196=""),0,SUMIFS(LC_Process[Total kVA],LC_Process[UPS],K$196))</f>
        <v>0</v>
      </c>
      <c r="L208" s="30">
        <f t="shared" si="1"/>
        <v>0</v>
      </c>
      <c r="M208" s="9"/>
      <c r="N208" s="9"/>
      <c r="O208" s="9"/>
      <c r="P208" s="9"/>
      <c r="Q208" s="9"/>
      <c r="R208" s="8"/>
      <c r="S208" s="8"/>
      <c r="T208" s="8"/>
      <c r="U208" s="8"/>
      <c r="V208" s="8"/>
      <c r="W208" s="8"/>
      <c r="X208" s="8"/>
    </row>
    <row r="209" spans="1:17" ht="15" hidden="1" customHeight="1" x14ac:dyDescent="0.45">
      <c r="A209" s="9"/>
      <c r="C209" s="9"/>
      <c r="D209" s="249" t="s">
        <v>307</v>
      </c>
      <c r="E209" s="40">
        <f>SUM(E197:E208)</f>
        <v>0</v>
      </c>
      <c r="G209" s="9"/>
      <c r="H209" s="9"/>
      <c r="I209" s="9"/>
      <c r="J209" s="9"/>
      <c r="K209" s="9"/>
      <c r="M209" s="9"/>
      <c r="N209" s="9"/>
      <c r="O209" s="9"/>
      <c r="P209" s="9"/>
      <c r="Q209" s="9"/>
    </row>
    <row r="210" spans="1:17" ht="15" hidden="1" customHeight="1" x14ac:dyDescent="0.45">
      <c r="A210" s="9"/>
      <c r="B210" s="9"/>
      <c r="C210" s="9"/>
      <c r="D210" s="23" t="s">
        <v>1305</v>
      </c>
      <c r="E210" s="30">
        <f>ROUND(SUM(E197:E208)-SUM(F197:K208),1)</f>
        <v>0</v>
      </c>
      <c r="F210" s="28" t="str">
        <f>IF($E$210&gt;0,"⚠ tag these loads to a UPS unit","✓ all UPS loads assigned")</f>
        <v>✓ all UPS loads assigned</v>
      </c>
      <c r="G210" s="9"/>
      <c r="H210" s="9"/>
      <c r="I210" s="9"/>
      <c r="J210" s="9"/>
      <c r="K210" s="9"/>
      <c r="L210" s="9"/>
      <c r="M210" s="9"/>
      <c r="N210" s="9"/>
      <c r="O210" s="9"/>
      <c r="P210" s="9"/>
      <c r="Q210" s="9"/>
    </row>
    <row r="211" spans="1:17" ht="15" customHeight="1" x14ac:dyDescent="0.45">
      <c r="A211" s="9"/>
      <c r="B211" s="9"/>
      <c r="C211" s="9"/>
      <c r="D211" s="9"/>
      <c r="E211" s="9"/>
      <c r="F211" s="9"/>
      <c r="G211" s="9"/>
      <c r="H211" s="9"/>
      <c r="I211" s="9"/>
      <c r="J211" s="9"/>
      <c r="K211" s="9"/>
      <c r="L211" s="9"/>
      <c r="M211" s="9"/>
      <c r="N211" s="9"/>
      <c r="O211" s="9"/>
      <c r="P211" s="9"/>
      <c r="Q211" s="9"/>
    </row>
    <row r="212" spans="1:17" ht="15" customHeight="1" x14ac:dyDescent="0.45">
      <c r="A212" s="9"/>
      <c r="B212" s="9"/>
      <c r="C212" s="9"/>
      <c r="D212" s="9"/>
      <c r="E212" s="9"/>
      <c r="F212" s="9"/>
      <c r="G212" s="9"/>
      <c r="H212" s="9"/>
      <c r="I212" s="9"/>
      <c r="J212" s="9"/>
      <c r="K212" s="9"/>
      <c r="L212" s="9"/>
      <c r="M212" s="9"/>
      <c r="N212" s="9"/>
      <c r="O212" s="9"/>
      <c r="P212" s="9"/>
      <c r="Q212" s="9"/>
    </row>
    <row r="213" spans="1:17" ht="15" customHeight="1" x14ac:dyDescent="0.45">
      <c r="A213" s="9"/>
      <c r="B213" s="9"/>
      <c r="C213" s="9"/>
      <c r="D213" s="9"/>
      <c r="E213" s="9"/>
      <c r="F213" s="9"/>
      <c r="G213" s="9"/>
      <c r="H213" s="9"/>
      <c r="I213" s="9"/>
      <c r="J213" s="9"/>
      <c r="K213" s="9"/>
      <c r="L213" s="9"/>
      <c r="M213" s="9"/>
      <c r="N213" s="9"/>
      <c r="O213" s="9"/>
      <c r="P213" s="9"/>
      <c r="Q213" s="9"/>
    </row>
    <row r="214" spans="1:17" ht="15" customHeight="1" x14ac:dyDescent="0.45">
      <c r="A214" s="9"/>
      <c r="B214" s="9"/>
      <c r="C214" s="9"/>
      <c r="D214" s="9"/>
      <c r="E214" s="9"/>
      <c r="F214" s="9"/>
      <c r="G214" s="9"/>
      <c r="H214" s="9"/>
      <c r="I214" s="9"/>
      <c r="J214" s="9"/>
      <c r="K214" s="9"/>
      <c r="L214" s="9"/>
      <c r="M214" s="9"/>
      <c r="N214" s="9"/>
      <c r="O214" s="9"/>
      <c r="P214" s="9"/>
      <c r="Q214" s="9"/>
    </row>
    <row r="215" spans="1:17" ht="15" customHeight="1" x14ac:dyDescent="0.45">
      <c r="A215" s="9"/>
      <c r="B215" s="9"/>
      <c r="C215" s="9"/>
      <c r="D215" s="9"/>
      <c r="E215" s="9"/>
      <c r="F215" s="9"/>
      <c r="G215" s="9"/>
      <c r="H215" s="9"/>
      <c r="I215" s="9"/>
      <c r="J215" s="9"/>
      <c r="K215" s="9"/>
      <c r="L215" s="9"/>
      <c r="M215" s="9"/>
      <c r="N215" s="9"/>
      <c r="O215" s="9"/>
      <c r="P215" s="9"/>
      <c r="Q215" s="9"/>
    </row>
    <row r="216" spans="1:17" ht="15" customHeight="1" x14ac:dyDescent="0.45">
      <c r="A216" s="9"/>
      <c r="B216" s="9"/>
      <c r="C216" s="9"/>
      <c r="D216" s="9"/>
      <c r="E216" s="9"/>
      <c r="F216" s="9"/>
      <c r="G216" s="9"/>
      <c r="H216" s="9"/>
      <c r="I216" s="9"/>
      <c r="J216" s="9"/>
      <c r="K216" s="9"/>
      <c r="L216" s="9"/>
      <c r="M216" s="9"/>
      <c r="N216" s="9"/>
      <c r="O216" s="9"/>
      <c r="P216" s="9"/>
      <c r="Q216" s="9"/>
    </row>
    <row r="217" spans="1:17" ht="15" customHeight="1" x14ac:dyDescent="0.45">
      <c r="A217" s="9"/>
      <c r="B217" s="9"/>
      <c r="C217" s="9"/>
      <c r="D217" s="9"/>
      <c r="E217" s="9"/>
      <c r="F217" s="9"/>
      <c r="G217" s="9"/>
      <c r="H217" s="9"/>
      <c r="I217" s="9"/>
      <c r="J217" s="9"/>
      <c r="K217" s="9"/>
      <c r="L217" s="9"/>
      <c r="M217" s="9"/>
      <c r="N217" s="9"/>
      <c r="O217" s="9"/>
      <c r="P217" s="9"/>
      <c r="Q217" s="9"/>
    </row>
    <row r="218" spans="1:17" ht="15" customHeight="1" x14ac:dyDescent="0.45">
      <c r="A218" s="9"/>
      <c r="B218" s="9"/>
      <c r="C218" s="9"/>
      <c r="D218" s="9"/>
      <c r="E218" s="9"/>
      <c r="F218" s="9"/>
      <c r="G218" s="9"/>
      <c r="H218" s="9"/>
      <c r="I218" s="9"/>
      <c r="J218" s="9"/>
      <c r="K218" s="9"/>
      <c r="L218" s="9"/>
      <c r="M218" s="9"/>
      <c r="N218" s="9"/>
      <c r="O218" s="9"/>
      <c r="P218" s="9"/>
      <c r="Q218" s="9"/>
    </row>
    <row r="219" spans="1:17" ht="15" customHeight="1" x14ac:dyDescent="0.45">
      <c r="A219" s="9"/>
      <c r="B219" s="9"/>
      <c r="C219" s="9"/>
      <c r="D219" s="9"/>
      <c r="E219" s="9"/>
      <c r="F219" s="9"/>
      <c r="G219" s="9"/>
      <c r="H219" s="9"/>
      <c r="I219" s="9"/>
      <c r="J219" s="9"/>
      <c r="K219" s="9"/>
      <c r="L219" s="9"/>
      <c r="M219" s="9"/>
      <c r="N219" s="9"/>
      <c r="O219" s="9"/>
      <c r="P219" s="9"/>
      <c r="Q219" s="9"/>
    </row>
    <row r="220" spans="1:17" ht="15" customHeight="1" x14ac:dyDescent="0.45">
      <c r="A220" s="9"/>
      <c r="B220" s="9"/>
      <c r="C220" s="9"/>
      <c r="D220" s="9"/>
      <c r="E220" s="9"/>
      <c r="F220" s="9"/>
      <c r="G220" s="9"/>
      <c r="H220" s="9"/>
      <c r="I220" s="9"/>
      <c r="J220" s="9"/>
      <c r="K220" s="9"/>
      <c r="L220" s="9"/>
      <c r="M220" s="9"/>
      <c r="N220" s="9"/>
      <c r="O220" s="9"/>
      <c r="P220" s="9"/>
      <c r="Q220" s="9"/>
    </row>
    <row r="221" spans="1:17" ht="15" customHeight="1" x14ac:dyDescent="0.45">
      <c r="A221" s="9"/>
      <c r="B221" s="9"/>
      <c r="C221" s="9"/>
      <c r="D221" s="9"/>
      <c r="E221" s="9"/>
      <c r="F221" s="9"/>
      <c r="G221" s="9"/>
      <c r="H221" s="9"/>
      <c r="I221" s="9"/>
      <c r="J221" s="9"/>
      <c r="K221" s="9"/>
      <c r="L221" s="9"/>
      <c r="M221" s="9"/>
      <c r="N221" s="9"/>
      <c r="O221" s="9"/>
      <c r="P221" s="9"/>
      <c r="Q221" s="9"/>
    </row>
    <row r="222" spans="1:17" ht="15" customHeight="1" x14ac:dyDescent="0.45">
      <c r="A222" s="9"/>
      <c r="B222" s="9"/>
      <c r="C222" s="9"/>
      <c r="D222" s="9"/>
      <c r="E222" s="9"/>
      <c r="F222" s="9"/>
      <c r="G222" s="9"/>
      <c r="H222" s="9"/>
      <c r="I222" s="9"/>
      <c r="J222" s="9"/>
      <c r="K222" s="9"/>
      <c r="L222" s="9"/>
      <c r="M222" s="9"/>
      <c r="N222" s="9"/>
      <c r="O222" s="9"/>
      <c r="P222" s="9"/>
      <c r="Q222" s="9"/>
    </row>
    <row r="223" spans="1:17" ht="15" customHeight="1" x14ac:dyDescent="0.45">
      <c r="A223" s="9"/>
      <c r="B223" s="9"/>
      <c r="C223" s="9"/>
      <c r="D223" s="9"/>
      <c r="E223" s="9"/>
      <c r="F223" s="9"/>
      <c r="G223" s="9"/>
      <c r="H223" s="9"/>
      <c r="I223" s="9"/>
      <c r="J223" s="9"/>
      <c r="K223" s="9"/>
      <c r="L223" s="9"/>
      <c r="M223" s="9"/>
      <c r="N223" s="9"/>
      <c r="O223" s="9"/>
      <c r="P223" s="9"/>
      <c r="Q223" s="9"/>
    </row>
    <row r="224" spans="1:17" ht="15" customHeight="1" x14ac:dyDescent="0.45">
      <c r="A224" s="9"/>
      <c r="B224" s="9"/>
      <c r="C224" s="9"/>
      <c r="D224" s="9"/>
      <c r="E224" s="9"/>
      <c r="F224" s="9"/>
      <c r="G224" s="9"/>
      <c r="H224" s="9"/>
      <c r="I224" s="9"/>
      <c r="J224" s="9"/>
      <c r="K224" s="9"/>
      <c r="L224" s="9"/>
      <c r="M224" s="9"/>
      <c r="N224" s="9"/>
      <c r="O224" s="9"/>
      <c r="P224" s="9"/>
      <c r="Q224" s="9"/>
    </row>
    <row r="225" spans="1:17" ht="15" customHeight="1" x14ac:dyDescent="0.45">
      <c r="A225" s="9"/>
      <c r="B225" s="9"/>
      <c r="C225" s="9"/>
      <c r="D225" s="9"/>
      <c r="E225" s="9"/>
      <c r="F225" s="9"/>
      <c r="G225" s="9"/>
      <c r="H225" s="9"/>
      <c r="I225" s="9"/>
      <c r="J225" s="9"/>
      <c r="K225" s="9"/>
      <c r="L225" s="9"/>
      <c r="M225" s="9"/>
      <c r="N225" s="9"/>
      <c r="O225" s="9"/>
      <c r="P225" s="9"/>
      <c r="Q225" s="9"/>
    </row>
    <row r="226" spans="1:17" ht="15" customHeight="1" x14ac:dyDescent="0.45">
      <c r="A226" s="9"/>
      <c r="B226" s="9"/>
      <c r="C226" s="9"/>
      <c r="D226" s="9"/>
      <c r="E226" s="9"/>
      <c r="F226" s="9"/>
      <c r="G226" s="9"/>
      <c r="H226" s="9"/>
      <c r="I226" s="9"/>
      <c r="J226" s="9"/>
      <c r="K226" s="9"/>
      <c r="L226" s="9"/>
      <c r="M226" s="9"/>
      <c r="N226" s="9"/>
      <c r="O226" s="9"/>
      <c r="P226" s="9"/>
      <c r="Q226" s="9"/>
    </row>
    <row r="227" spans="1:17" x14ac:dyDescent="0.45">
      <c r="B227" s="9"/>
      <c r="C227" s="9"/>
      <c r="D227" s="9"/>
      <c r="E227" s="9"/>
      <c r="F227" s="9"/>
      <c r="G227" s="9"/>
    </row>
    <row r="228" spans="1:17" x14ac:dyDescent="0.45">
      <c r="B228" s="9"/>
      <c r="C228" s="9"/>
      <c r="D228" s="9"/>
      <c r="E228" s="9"/>
    </row>
    <row r="401" spans="1:21" x14ac:dyDescent="0.45">
      <c r="A401"/>
      <c r="B401"/>
      <c r="C401"/>
      <c r="D401"/>
      <c r="E401"/>
      <c r="F401"/>
      <c r="G401"/>
      <c r="H401"/>
      <c r="I401"/>
      <c r="J401"/>
      <c r="K401"/>
      <c r="L401"/>
      <c r="M401"/>
      <c r="N401"/>
      <c r="O401"/>
      <c r="P401"/>
      <c r="Q401"/>
      <c r="R401"/>
      <c r="S401"/>
      <c r="T401"/>
      <c r="U401"/>
    </row>
    <row r="402" spans="1:21" x14ac:dyDescent="0.45">
      <c r="A402"/>
      <c r="B402"/>
      <c r="C402"/>
      <c r="D402"/>
      <c r="E402"/>
      <c r="F402"/>
      <c r="G402"/>
      <c r="H402"/>
      <c r="I402"/>
      <c r="J402"/>
      <c r="K402"/>
      <c r="L402"/>
      <c r="M402"/>
      <c r="N402"/>
      <c r="O402"/>
      <c r="P402"/>
      <c r="Q402"/>
      <c r="R402"/>
      <c r="S402"/>
      <c r="T402"/>
      <c r="U402"/>
    </row>
    <row r="403" spans="1:21" x14ac:dyDescent="0.45">
      <c r="A403"/>
      <c r="B403"/>
      <c r="C403"/>
      <c r="D403"/>
      <c r="E403"/>
      <c r="F403"/>
      <c r="G403"/>
      <c r="H403"/>
      <c r="I403"/>
      <c r="J403"/>
      <c r="K403"/>
      <c r="L403"/>
      <c r="M403"/>
      <c r="N403"/>
      <c r="O403"/>
      <c r="P403"/>
      <c r="Q403"/>
      <c r="R403"/>
      <c r="S403"/>
      <c r="T403"/>
      <c r="U403"/>
    </row>
    <row r="404" spans="1:21" x14ac:dyDescent="0.45">
      <c r="A404"/>
      <c r="B404"/>
      <c r="C404"/>
      <c r="D404"/>
      <c r="E404"/>
      <c r="F404"/>
      <c r="G404"/>
      <c r="H404"/>
      <c r="I404"/>
      <c r="J404"/>
      <c r="K404"/>
      <c r="L404"/>
      <c r="M404"/>
      <c r="N404"/>
      <c r="O404"/>
      <c r="P404"/>
      <c r="Q404"/>
      <c r="R404"/>
      <c r="S404"/>
      <c r="T404"/>
      <c r="U404"/>
    </row>
    <row r="405" spans="1:21" x14ac:dyDescent="0.45">
      <c r="A405"/>
      <c r="B405"/>
      <c r="C405"/>
      <c r="D405"/>
      <c r="E405"/>
      <c r="F405"/>
      <c r="G405"/>
      <c r="H405"/>
      <c r="I405"/>
      <c r="J405"/>
      <c r="K405"/>
      <c r="L405"/>
      <c r="M405"/>
      <c r="N405"/>
      <c r="O405"/>
      <c r="P405"/>
      <c r="Q405"/>
      <c r="R405"/>
      <c r="S405"/>
      <c r="T405"/>
      <c r="U405"/>
    </row>
    <row r="406" spans="1:21" x14ac:dyDescent="0.45">
      <c r="A406"/>
      <c r="B406"/>
      <c r="C406"/>
      <c r="D406"/>
      <c r="E406"/>
      <c r="F406"/>
      <c r="G406"/>
      <c r="H406"/>
      <c r="I406"/>
      <c r="J406"/>
      <c r="K406"/>
      <c r="L406"/>
      <c r="M406"/>
      <c r="N406"/>
      <c r="O406"/>
      <c r="P406"/>
      <c r="Q406"/>
      <c r="R406"/>
      <c r="S406"/>
      <c r="T406"/>
      <c r="U406"/>
    </row>
    <row r="407" spans="1:21" x14ac:dyDescent="0.45">
      <c r="A407"/>
      <c r="B407"/>
      <c r="C407"/>
      <c r="D407"/>
      <c r="E407"/>
      <c r="F407"/>
      <c r="G407"/>
      <c r="H407"/>
      <c r="I407"/>
      <c r="J407"/>
      <c r="K407"/>
      <c r="L407"/>
      <c r="M407"/>
      <c r="N407"/>
      <c r="O407"/>
      <c r="P407"/>
      <c r="Q407"/>
      <c r="R407"/>
      <c r="S407"/>
      <c r="T407"/>
      <c r="U407"/>
    </row>
    <row r="408" spans="1:21" x14ac:dyDescent="0.45">
      <c r="A408"/>
      <c r="B408"/>
      <c r="C408"/>
      <c r="D408"/>
      <c r="E408"/>
      <c r="F408"/>
      <c r="G408"/>
      <c r="H408"/>
      <c r="I408"/>
      <c r="J408"/>
      <c r="K408"/>
      <c r="L408"/>
      <c r="M408"/>
      <c r="N408"/>
      <c r="O408"/>
      <c r="P408"/>
      <c r="Q408"/>
      <c r="R408"/>
      <c r="S408"/>
      <c r="T408"/>
      <c r="U408"/>
    </row>
    <row r="409" spans="1:21" x14ac:dyDescent="0.45">
      <c r="A409"/>
      <c r="B409"/>
      <c r="C409"/>
      <c r="D409"/>
      <c r="E409"/>
      <c r="F409"/>
      <c r="G409"/>
      <c r="H409"/>
      <c r="I409"/>
      <c r="J409"/>
      <c r="K409"/>
      <c r="L409"/>
      <c r="M409"/>
      <c r="N409"/>
      <c r="O409"/>
      <c r="P409"/>
      <c r="Q409"/>
      <c r="R409"/>
      <c r="S409"/>
      <c r="T409"/>
      <c r="U409"/>
    </row>
    <row r="410" spans="1:21" x14ac:dyDescent="0.45">
      <c r="A410"/>
      <c r="B410"/>
      <c r="C410"/>
      <c r="D410"/>
      <c r="E410"/>
      <c r="F410"/>
      <c r="G410"/>
      <c r="H410"/>
      <c r="I410"/>
      <c r="J410"/>
      <c r="K410"/>
      <c r="L410"/>
      <c r="M410"/>
      <c r="N410"/>
      <c r="O410"/>
      <c r="P410"/>
      <c r="Q410"/>
      <c r="R410"/>
      <c r="S410"/>
      <c r="T410"/>
      <c r="U410"/>
    </row>
    <row r="411" spans="1:21" x14ac:dyDescent="0.45">
      <c r="A411"/>
      <c r="B411"/>
      <c r="C411"/>
      <c r="D411"/>
      <c r="E411"/>
      <c r="F411"/>
      <c r="G411"/>
      <c r="H411"/>
      <c r="I411"/>
      <c r="J411"/>
      <c r="K411"/>
      <c r="L411"/>
      <c r="M411"/>
      <c r="N411"/>
      <c r="O411"/>
      <c r="P411"/>
      <c r="Q411"/>
      <c r="R411"/>
      <c r="S411"/>
      <c r="T411"/>
      <c r="U411"/>
    </row>
    <row r="412" spans="1:21" x14ac:dyDescent="0.45">
      <c r="A412"/>
      <c r="B412"/>
      <c r="C412"/>
      <c r="D412"/>
      <c r="E412"/>
      <c r="F412"/>
      <c r="G412"/>
      <c r="H412"/>
      <c r="I412"/>
      <c r="J412"/>
      <c r="K412"/>
      <c r="L412"/>
      <c r="M412"/>
      <c r="N412"/>
      <c r="O412"/>
      <c r="P412"/>
      <c r="Q412"/>
      <c r="R412"/>
      <c r="S412"/>
      <c r="T412"/>
      <c r="U412"/>
    </row>
  </sheetData>
  <sheetProtection sheet="1" objects="1" scenarios="1"/>
  <mergeCells count="49">
    <mergeCell ref="A193:X194"/>
    <mergeCell ref="A4:X5"/>
    <mergeCell ref="A11:X12"/>
    <mergeCell ref="A21:X22"/>
    <mergeCell ref="A31:X32"/>
    <mergeCell ref="A41:X42"/>
    <mergeCell ref="A48:X49"/>
    <mergeCell ref="A55:X56"/>
    <mergeCell ref="A62:X63"/>
    <mergeCell ref="A69:X70"/>
    <mergeCell ref="A76:X77"/>
    <mergeCell ref="A83:X84"/>
    <mergeCell ref="A90:X91"/>
    <mergeCell ref="B53:F53"/>
    <mergeCell ref="G34:H34"/>
    <mergeCell ref="B39:U39"/>
    <mergeCell ref="B46:F46"/>
    <mergeCell ref="L176:L177"/>
    <mergeCell ref="A97:X98"/>
    <mergeCell ref="A104:X105"/>
    <mergeCell ref="A111:X112"/>
    <mergeCell ref="B123:F123"/>
    <mergeCell ref="B109:F109"/>
    <mergeCell ref="A118:X119"/>
    <mergeCell ref="B116:F116"/>
    <mergeCell ref="A125:X126"/>
    <mergeCell ref="A146:X147"/>
    <mergeCell ref="A174:X175"/>
    <mergeCell ref="L195:L196"/>
    <mergeCell ref="C19:D19"/>
    <mergeCell ref="C18:D18"/>
    <mergeCell ref="C17:D17"/>
    <mergeCell ref="C16:D16"/>
    <mergeCell ref="B81:F81"/>
    <mergeCell ref="B88:F88"/>
    <mergeCell ref="B102:F102"/>
    <mergeCell ref="F128:M128"/>
    <mergeCell ref="B95:F95"/>
    <mergeCell ref="E127:E128"/>
    <mergeCell ref="D127:D128"/>
    <mergeCell ref="C127:C128"/>
    <mergeCell ref="B67:F67"/>
    <mergeCell ref="B60:F60"/>
    <mergeCell ref="B74:F74"/>
    <mergeCell ref="C15:D15"/>
    <mergeCell ref="C14:D14"/>
    <mergeCell ref="I2:K2"/>
    <mergeCell ref="A1:X1"/>
    <mergeCell ref="AA5:AD5"/>
  </mergeCells>
  <phoneticPr fontId="44" type="noConversion"/>
  <conditionalFormatting sqref="X58">
    <cfRule type="cellIs" dxfId="110" priority="80" operator="equal">
      <formula>"Unplaced"</formula>
    </cfRule>
  </conditionalFormatting>
  <conditionalFormatting sqref="X58">
    <cfRule type="cellIs" dxfId="109" priority="81" operator="equal">
      <formula>"Partial"</formula>
    </cfRule>
  </conditionalFormatting>
  <conditionalFormatting sqref="X58">
    <cfRule type="cellIs" dxfId="108" priority="82" operator="equal">
      <formula>"Placed"</formula>
    </cfRule>
  </conditionalFormatting>
  <conditionalFormatting sqref="X65">
    <cfRule type="cellIs" dxfId="107" priority="83" operator="equal">
      <formula>"Unplaced"</formula>
    </cfRule>
  </conditionalFormatting>
  <conditionalFormatting sqref="X65">
    <cfRule type="cellIs" dxfId="106" priority="84" operator="equal">
      <formula>"Partial"</formula>
    </cfRule>
  </conditionalFormatting>
  <conditionalFormatting sqref="X65">
    <cfRule type="cellIs" dxfId="105" priority="85" operator="equal">
      <formula>"Placed"</formula>
    </cfRule>
  </conditionalFormatting>
  <conditionalFormatting sqref="X72">
    <cfRule type="cellIs" dxfId="104" priority="86" operator="equal">
      <formula>"Unplaced"</formula>
    </cfRule>
  </conditionalFormatting>
  <conditionalFormatting sqref="X72">
    <cfRule type="cellIs" dxfId="103" priority="87" operator="equal">
      <formula>"Partial"</formula>
    </cfRule>
  </conditionalFormatting>
  <conditionalFormatting sqref="X72">
    <cfRule type="cellIs" dxfId="102" priority="88" operator="equal">
      <formula>"Placed"</formula>
    </cfRule>
  </conditionalFormatting>
  <conditionalFormatting sqref="X79">
    <cfRule type="cellIs" dxfId="101" priority="89" operator="equal">
      <formula>"Unplaced"</formula>
    </cfRule>
  </conditionalFormatting>
  <conditionalFormatting sqref="X79">
    <cfRule type="cellIs" dxfId="100" priority="90" operator="equal">
      <formula>"Partial"</formula>
    </cfRule>
  </conditionalFormatting>
  <conditionalFormatting sqref="X79">
    <cfRule type="cellIs" dxfId="99" priority="91" operator="equal">
      <formula>"Placed"</formula>
    </cfRule>
  </conditionalFormatting>
  <conditionalFormatting sqref="X86">
    <cfRule type="cellIs" dxfId="98" priority="92" operator="equal">
      <formula>"Unplaced"</formula>
    </cfRule>
  </conditionalFormatting>
  <conditionalFormatting sqref="X86">
    <cfRule type="cellIs" dxfId="97" priority="93" operator="equal">
      <formula>"Partial"</formula>
    </cfRule>
  </conditionalFormatting>
  <conditionalFormatting sqref="X86">
    <cfRule type="cellIs" dxfId="96" priority="94" operator="equal">
      <formula>"Placed"</formula>
    </cfRule>
  </conditionalFormatting>
  <conditionalFormatting sqref="X93">
    <cfRule type="cellIs" dxfId="95" priority="95" operator="equal">
      <formula>"Unplaced"</formula>
    </cfRule>
  </conditionalFormatting>
  <conditionalFormatting sqref="X93">
    <cfRule type="cellIs" dxfId="94" priority="96" operator="equal">
      <formula>"Partial"</formula>
    </cfRule>
  </conditionalFormatting>
  <conditionalFormatting sqref="X93">
    <cfRule type="cellIs" dxfId="93" priority="97" operator="equal">
      <formula>"Placed"</formula>
    </cfRule>
  </conditionalFormatting>
  <conditionalFormatting sqref="X100">
    <cfRule type="cellIs" dxfId="92" priority="98" operator="equal">
      <formula>"Unplaced"</formula>
    </cfRule>
  </conditionalFormatting>
  <conditionalFormatting sqref="X100">
    <cfRule type="cellIs" dxfId="91" priority="99" operator="equal">
      <formula>"Partial"</formula>
    </cfRule>
  </conditionalFormatting>
  <conditionalFormatting sqref="X100">
    <cfRule type="cellIs" dxfId="90" priority="100" operator="equal">
      <formula>"Placed"</formula>
    </cfRule>
  </conditionalFormatting>
  <conditionalFormatting sqref="X107">
    <cfRule type="cellIs" dxfId="89" priority="101" operator="equal">
      <formula>"Unplaced"</formula>
    </cfRule>
  </conditionalFormatting>
  <conditionalFormatting sqref="X107">
    <cfRule type="cellIs" dxfId="88" priority="102" operator="equal">
      <formula>"Partial"</formula>
    </cfRule>
  </conditionalFormatting>
  <conditionalFormatting sqref="X107">
    <cfRule type="cellIs" dxfId="87" priority="103" operator="equal">
      <formula>"Placed"</formula>
    </cfRule>
  </conditionalFormatting>
  <conditionalFormatting sqref="X44">
    <cfRule type="cellIs" dxfId="86" priority="104" operator="equal">
      <formula>"Unplaced"</formula>
    </cfRule>
  </conditionalFormatting>
  <conditionalFormatting sqref="X44">
    <cfRule type="cellIs" dxfId="85" priority="105" operator="equal">
      <formula>"Partial"</formula>
    </cfRule>
  </conditionalFormatting>
  <conditionalFormatting sqref="X44">
    <cfRule type="cellIs" dxfId="84" priority="106" operator="equal">
      <formula>"Placed"</formula>
    </cfRule>
  </conditionalFormatting>
  <conditionalFormatting sqref="X114">
    <cfRule type="cellIs" dxfId="83" priority="107" operator="equal">
      <formula>"Unplaced"</formula>
    </cfRule>
  </conditionalFormatting>
  <conditionalFormatting sqref="X114">
    <cfRule type="cellIs" dxfId="82" priority="108" operator="equal">
      <formula>"Partial"</formula>
    </cfRule>
  </conditionalFormatting>
  <conditionalFormatting sqref="X114">
    <cfRule type="cellIs" dxfId="81" priority="109" operator="equal">
      <formula>"Placed"</formula>
    </cfRule>
  </conditionalFormatting>
  <conditionalFormatting sqref="X121">
    <cfRule type="cellIs" dxfId="80" priority="110" operator="equal">
      <formula>"Unplaced"</formula>
    </cfRule>
  </conditionalFormatting>
  <conditionalFormatting sqref="X121">
    <cfRule type="cellIs" dxfId="79" priority="111" operator="equal">
      <formula>"Partial"</formula>
    </cfRule>
  </conditionalFormatting>
  <conditionalFormatting sqref="X121">
    <cfRule type="cellIs" dxfId="78" priority="112" operator="equal">
      <formula>"Placed"</formula>
    </cfRule>
  </conditionalFormatting>
  <conditionalFormatting sqref="A76">
    <cfRule type="expression" dxfId="77" priority="113">
      <formula>$AC$12="No"</formula>
    </cfRule>
  </conditionalFormatting>
  <conditionalFormatting sqref="A83">
    <cfRule type="expression" dxfId="76" priority="114">
      <formula>$AC$13="No"</formula>
    </cfRule>
  </conditionalFormatting>
  <conditionalFormatting sqref="A90">
    <cfRule type="expression" dxfId="75" priority="115">
      <formula>$AC$14="No"</formula>
    </cfRule>
  </conditionalFormatting>
  <conditionalFormatting sqref="A97">
    <cfRule type="expression" dxfId="74" priority="116">
      <formula>$AC$15="No"</formula>
    </cfRule>
  </conditionalFormatting>
  <conditionalFormatting sqref="A104">
    <cfRule type="expression" dxfId="73" priority="117">
      <formula>$AC$16="No"</formula>
    </cfRule>
  </conditionalFormatting>
  <conditionalFormatting sqref="A118">
    <cfRule type="expression" dxfId="72" priority="118">
      <formula>$AC$18="No"</formula>
    </cfRule>
  </conditionalFormatting>
  <conditionalFormatting sqref="A69">
    <cfRule type="expression" dxfId="71" priority="119">
      <formula>$AC$11="No"</formula>
    </cfRule>
  </conditionalFormatting>
  <conditionalFormatting sqref="A62">
    <cfRule type="expression" dxfId="70" priority="120">
      <formula>$AC$10="No"</formula>
    </cfRule>
  </conditionalFormatting>
  <conditionalFormatting sqref="A55">
    <cfRule type="expression" dxfId="69" priority="121">
      <formula>$AC$9="No"</formula>
    </cfRule>
  </conditionalFormatting>
  <conditionalFormatting sqref="A48">
    <cfRule type="expression" dxfId="68" priority="122">
      <formula>$AC$8="No"</formula>
    </cfRule>
  </conditionalFormatting>
  <conditionalFormatting sqref="A41">
    <cfRule type="expression" dxfId="67" priority="123">
      <formula>$AC$7="No"</formula>
    </cfRule>
  </conditionalFormatting>
  <conditionalFormatting sqref="A111">
    <cfRule type="expression" dxfId="66" priority="124">
      <formula>$AC$17="No"</formula>
    </cfRule>
  </conditionalFormatting>
  <conditionalFormatting sqref="X51">
    <cfRule type="cellIs" dxfId="65" priority="1" operator="equal">
      <formula>"Unplaced"</formula>
    </cfRule>
  </conditionalFormatting>
  <conditionalFormatting sqref="X51">
    <cfRule type="cellIs" dxfId="64" priority="2" operator="equal">
      <formula>"Partial"</formula>
    </cfRule>
  </conditionalFormatting>
  <conditionalFormatting sqref="X51">
    <cfRule type="cellIs" dxfId="63" priority="3" operator="equal">
      <formula>"Placed"</formula>
    </cfRule>
  </conditionalFormatting>
  <dataValidations count="22">
    <dataValidation type="whole" operator="greaterThanOrEqual" allowBlank="1" showInputMessage="1" showErrorMessage="1" sqref="C58 C65 C72 C79 C86 C93 C100 C51:C52 C107 C114 C121 C44" xr:uid="{41E0E719-B6C8-4EF1-AA4E-C92514F32022}">
      <formula1>1</formula1>
    </dataValidation>
    <dataValidation type="list" allowBlank="1" showInputMessage="1" showErrorMessage="1" sqref="K58 K65 K72 K79 K86 K93 K100 K51:K52 K107 K114 K121 K44" xr:uid="{36AC6E79-ADB4-4074-BB90-98EF60DBCD6F}">
      <formula1>"HP,kW,kVA,A,W,VA"</formula1>
    </dataValidation>
    <dataValidation type="list" allowBlank="1" showInputMessage="1" showErrorMessage="1" sqref="L58 L65 L72 L79 L86 L93 L100 L51:L52 L107 L114 L121 L44" xr:uid="{ED7D3EB1-3160-414A-86E2-9D09099D5AFF}">
      <formula1>"120,208,240,277,480,600"</formula1>
    </dataValidation>
    <dataValidation type="list" allowBlank="1" showInputMessage="1" showErrorMessage="1" sqref="M58 M65 M72 M79 M86 M93 M100 M51:M52 M107 M114 M121 M44" xr:uid="{E5DD9930-4877-40FE-9DCC-C80D8D37A183}">
      <formula1>"1,3"</formula1>
    </dataValidation>
    <dataValidation type="decimal" allowBlank="1" showInputMessage="1" showErrorMessage="1" sqref="N58 N65 N72 N79 N86 N93 N100 N51:N52 N107 N114 N121 N44" xr:uid="{CCA33A80-F8CC-4CCB-8228-5A3D641E1E1A}">
      <formula1>0.5</formula1>
      <formula2>1</formula2>
    </dataValidation>
    <dataValidation type="list" allowBlank="1" showInputMessage="1" showErrorMessage="1" sqref="Q93 Q58 Q65 Q72 Q79 Q86 Q100 Q51:Q52 Q107 Q114 Q121 Q44" xr:uid="{3D43C757-81CC-4D8F-8E04-C573A493F558}">
      <formula1>"Y,N"</formula1>
    </dataValidation>
    <dataValidation type="list" allowBlank="1" showInputMessage="1" showErrorMessage="1" sqref="T58 T65 T72 T79 T86 T93 T100 T51:T52 T107 T114 T121 T44" xr:uid="{DA6C61B4-5A95-405D-89C5-F7AB26248D24}">
      <formula1>Equip_List</formula1>
    </dataValidation>
    <dataValidation type="list" allowBlank="1" showInputMessage="1" showErrorMessage="1" sqref="D58 D65 D72 D79 D86 D93 D100 D51:D52 D107 D114 D121 D44" xr:uid="{AF419A56-6593-4583-BEDE-1C93C8439791}">
      <formula1>"Hardwired,Cord &amp; Plug,Fused Disconnect,Non-Fused Disconnect"</formula1>
    </dataValidation>
    <dataValidation type="list" allowBlank="1" showInputMessage="1" showErrorMessage="1" sqref="I100 I93 I86 I79 I72 I65 I58 I51:I52 I107 I114 I121 I44" xr:uid="{9B3F6487-E477-4124-868D-B71EBB43CA58}">
      <formula1>INDIRECT("NEMA_"&amp;$L44)</formula1>
    </dataValidation>
    <dataValidation type="list" allowBlank="1" showInputMessage="1" showErrorMessage="1" sqref="E58 E65 E72 E79 E86 E93 E100 E51:E52 E107 E114 E121 E44" xr:uid="{3EFB813F-FEE5-48B4-B265-515C412080E3}">
      <formula1>NEMA_Encl_List</formula1>
    </dataValidation>
    <dataValidation type="list" allowBlank="1" showInputMessage="1" showErrorMessage="1" sqref="F58 F65 F72 F79 F86 F93 F100 F51:F52 F107 F114 F121 F44" xr:uid="{39AB8CCE-44BA-4E81-86B3-AA82957A6F32}">
      <formula1>Frame_List</formula1>
    </dataValidation>
    <dataValidation type="list" allowBlank="1" showInputMessage="1" showErrorMessage="1" sqref="G58 G65 G72 G79 G86 G93 G100 G51:G52 G107 G114 G121 G44" xr:uid="{22FA0463-E0BA-4876-81A2-E209EB48618F}">
      <formula1>OCPD_List</formula1>
    </dataValidation>
    <dataValidation type="list" allowBlank="1" showInputMessage="1" showErrorMessage="1" sqref="H58 H65 H72 H79 H86 H93 H100 H51:H52 H107 H114 H121 H44" xr:uid="{B06B2711-804A-4391-A890-50F4B3EF28FD}">
      <formula1>Supply_List</formula1>
    </dataValidation>
    <dataValidation type="list" allowBlank="1" showInputMessage="1" showErrorMessage="1" sqref="G34" xr:uid="{2D96C44A-1338-4D4F-BC93-DFE50B4776C4}">
      <formula1>"12-Month Utility Bills,30-Day Metered Logging"</formula1>
    </dataValidation>
    <dataValidation type="list" allowBlank="1" showInputMessage="1" showErrorMessage="1" sqref="C15" xr:uid="{225F9404-77E7-4DE3-933C-285E0CF563E1}">
      <formula1>"Building Area Method,Space-by-Space Method"</formula1>
    </dataValidation>
    <dataValidation type="list" allowBlank="1" showInputMessage="1" showErrorMessage="1" promptTitle="Jurisdiction" prompt="WA State Energy Code or Seattle Energy Code." sqref="C14" xr:uid="{9CA1482D-4466-4307-BAAD-90A6C336D1C8}">
      <formula1>"WSEC (WA State),SEC (Seattle)"</formula1>
    </dataValidation>
    <dataValidation type="list" allowBlank="1" showInputMessage="1" showErrorMessage="1" sqref="F8" xr:uid="{59DF9744-5D7F-40E6-B72D-220E7314165C}">
      <formula1>Occ_List</formula1>
    </dataValidation>
    <dataValidation type="list" errorStyle="warning" allowBlank="1" showInputMessage="1" showErrorMessage="1" errorTitle="Not in list" error="Pick a type available in the selected energy code and method." sqref="B8" xr:uid="{6363F004-FDED-4A37-872E-F76889A8AAC6}">
      <formula1>LPD_Active_List</formula1>
    </dataValidation>
    <dataValidation type="list" allowBlank="1" showInputMessage="1" showErrorMessage="1" errorTitle="Section Include" error="Enter Yes or No." sqref="AC8:AC15" xr:uid="{983C5396-1280-4EE6-AF3C-C5754F983E5C}">
      <formula1>"Yes,No"</formula1>
    </dataValidation>
    <dataValidation type="decimal" operator="greaterThanOrEqual" allowBlank="1" showInputMessage="1" showErrorMessage="1" sqref="C38" xr:uid="{98864806-77FB-42A6-9F9E-8593500E3AEA}">
      <formula1>0</formula1>
    </dataValidation>
    <dataValidation type="list" allowBlank="1" showInputMessage="1" showErrorMessage="1" sqref="R100 R44 R121 R114 R107 R93 R86 R79 R72 R65 R58 R51:R52" xr:uid="{28923E51-4554-4DF5-871A-5FD3D058670B}">
      <formula1>$AE$7:$AE$14</formula1>
    </dataValidation>
    <dataValidation type="list" allowBlank="1" showInputMessage="1" showErrorMessage="1" sqref="S100 S44 S121 S114 S107 S93 S86 S79 S72 S65 S58 S51:S52" xr:uid="{E5139268-2A3F-4099-BBB6-B25A000645EA}">
      <formula1>$AF$7:$AF$14</formula1>
    </dataValidation>
  </dataValidations>
  <pageMargins left="0.7" right="0.7" top="0.75" bottom="0.75" header="0.3" footer="0.3"/>
  <pageSetup scale="22"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6C04-4B03-4029-903E-BC4BC736F26C}">
  <sheetPr codeName="Sheet14">
    <tabColor rgb="FF4DAB51"/>
    <pageSetUpPr fitToPage="1"/>
  </sheetPr>
  <dimension ref="A1:P68"/>
  <sheetViews>
    <sheetView showGridLines="0" showRowColHeaders="0" workbookViewId="0">
      <pane ySplit="2" topLeftCell="A3" activePane="bottomLeft" state="frozen"/>
      <selection pane="bottomLeft" activeCell="D6" sqref="D6"/>
    </sheetView>
  </sheetViews>
  <sheetFormatPr defaultColWidth="9.1796875" defaultRowHeight="14.5" x14ac:dyDescent="0.35"/>
  <cols>
    <col min="1" max="1" width="2.26953125" style="51" customWidth="1"/>
    <col min="2" max="14" width="15.7265625" style="51" customWidth="1"/>
    <col min="15" max="15" width="45.7265625" style="51" customWidth="1"/>
    <col min="16" max="16384" width="9.1796875" style="51"/>
  </cols>
  <sheetData>
    <row r="1" spans="1:16" ht="30" customHeight="1" x14ac:dyDescent="0.35">
      <c r="A1" s="668" t="str" cm="1">
        <f t="array" ref="A1">"UTILITY DEMAND ANALYSIS — NEC "&amp;NECREF("220.87")&amp;"(1) — 12-MONTH BILLING DATA"</f>
        <v>UTILITY DEMAND ANALYSIS — NEC 220.87(1) — 12-MONTH BILLING DATA</v>
      </c>
      <c r="B1" s="668"/>
      <c r="C1" s="668"/>
      <c r="D1" s="668"/>
      <c r="E1" s="668"/>
      <c r="F1" s="668"/>
      <c r="G1" s="668"/>
      <c r="H1" s="668"/>
      <c r="I1" s="668"/>
      <c r="J1" s="668"/>
      <c r="K1" s="668"/>
      <c r="L1" s="668"/>
      <c r="M1" s="668"/>
      <c r="N1" s="668"/>
      <c r="O1" s="668"/>
    </row>
    <row r="2" spans="1:16" ht="15" customHeight="1" x14ac:dyDescent="0.35">
      <c r="B2" s="249" t="s">
        <v>254</v>
      </c>
      <c r="C2" s="264" t="str">
        <f>IF(Dashboard!B7="","—",Dashboard!B7)</f>
        <v>—</v>
      </c>
      <c r="G2" s="249" t="s">
        <v>255</v>
      </c>
      <c r="H2" s="264" t="str">
        <f>IF(Dashboard!$C$38="","",Dashboard!$C$38)</f>
        <v/>
      </c>
    </row>
    <row r="3" spans="1:16" ht="15" customHeight="1" x14ac:dyDescent="0.35"/>
    <row r="4" spans="1:16" ht="30" customHeight="1" x14ac:dyDescent="0.35">
      <c r="A4" s="591" t="s">
        <v>309</v>
      </c>
      <c r="B4" s="592"/>
      <c r="C4" s="592"/>
      <c r="D4" s="592"/>
      <c r="E4" s="592"/>
      <c r="F4" s="592"/>
      <c r="G4" s="592"/>
      <c r="H4" s="592"/>
      <c r="I4" s="592"/>
      <c r="J4" s="592"/>
      <c r="K4" s="592"/>
      <c r="L4" s="592"/>
      <c r="M4" s="592"/>
      <c r="N4" s="592"/>
      <c r="O4" s="665"/>
    </row>
    <row r="5" spans="1:16" ht="15" customHeight="1" x14ac:dyDescent="0.35">
      <c r="B5" s="257"/>
      <c r="C5" s="257"/>
      <c r="D5" s="257"/>
      <c r="E5" s="257"/>
      <c r="F5" s="257"/>
      <c r="G5" s="257"/>
      <c r="H5" s="257"/>
      <c r="I5" s="257"/>
      <c r="J5" s="257"/>
      <c r="K5" s="257"/>
      <c r="L5" s="257"/>
      <c r="M5" s="257"/>
      <c r="N5" s="257"/>
      <c r="O5" s="257"/>
    </row>
    <row r="6" spans="1:16" ht="15" customHeight="1" x14ac:dyDescent="0.35">
      <c r="C6" s="249" t="s">
        <v>387</v>
      </c>
      <c r="D6" s="143">
        <v>0.9</v>
      </c>
      <c r="E6" s="667" t="s">
        <v>388</v>
      </c>
      <c r="F6" s="666"/>
      <c r="G6" s="666"/>
      <c r="H6" s="666"/>
      <c r="I6" s="666"/>
      <c r="J6" s="666"/>
      <c r="K6" s="666"/>
      <c r="L6" s="666"/>
      <c r="M6" s="666"/>
      <c r="N6" s="666"/>
      <c r="O6" s="666"/>
      <c r="P6" s="53"/>
    </row>
    <row r="7" spans="1:16" ht="15" customHeight="1" x14ac:dyDescent="0.35">
      <c r="C7" s="249" t="s">
        <v>311</v>
      </c>
      <c r="D7" s="143"/>
      <c r="E7" s="667" t="s">
        <v>389</v>
      </c>
      <c r="F7" s="666"/>
      <c r="G7" s="666"/>
      <c r="H7" s="666"/>
      <c r="I7" s="666"/>
      <c r="J7" s="666"/>
      <c r="K7" s="666"/>
      <c r="L7" s="666"/>
      <c r="M7" s="666"/>
      <c r="N7" s="666"/>
      <c r="O7" s="666"/>
      <c r="P7" s="53"/>
    </row>
    <row r="8" spans="1:16" ht="15" customHeight="1" x14ac:dyDescent="0.35">
      <c r="C8" s="249" t="s">
        <v>310</v>
      </c>
      <c r="D8" s="50" t="str">
        <f>Dashboard!C39</f>
        <v/>
      </c>
    </row>
    <row r="9" spans="1:16" ht="15" customHeight="1" x14ac:dyDescent="0.35">
      <c r="C9" s="249" t="s">
        <v>5</v>
      </c>
      <c r="D9" s="50" t="str">
        <f>Dashboard!C40</f>
        <v/>
      </c>
    </row>
    <row r="10" spans="1:16" ht="15" customHeight="1" x14ac:dyDescent="0.35">
      <c r="C10" s="249" t="s">
        <v>312</v>
      </c>
      <c r="D10" s="485"/>
      <c r="E10" s="484" t="s">
        <v>1730</v>
      </c>
    </row>
    <row r="11" spans="1:16" ht="15" customHeight="1" x14ac:dyDescent="0.35">
      <c r="C11" s="249" t="s">
        <v>273</v>
      </c>
      <c r="D11" s="40" t="str">
        <f>IF(OR(D10=0,D10="",D8="",D9=""),"",IF(D9=3,D8*D10*SQRT(3)/1000,D8*D10/1000))</f>
        <v/>
      </c>
    </row>
    <row r="12" spans="1:16" ht="15" customHeight="1" x14ac:dyDescent="0.35"/>
    <row r="13" spans="1:16" ht="15" customHeight="1" x14ac:dyDescent="0.35">
      <c r="A13" s="671" t="s">
        <v>390</v>
      </c>
      <c r="B13" s="672"/>
      <c r="C13" s="672"/>
      <c r="D13" s="672"/>
      <c r="E13" s="672"/>
      <c r="F13" s="672"/>
      <c r="G13" s="672"/>
      <c r="H13" s="672"/>
      <c r="I13" s="672"/>
      <c r="J13" s="672"/>
      <c r="K13" s="673"/>
      <c r="L13" s="669" t="s">
        <v>1859</v>
      </c>
      <c r="M13" s="670"/>
      <c r="N13" s="670"/>
      <c r="O13" s="670"/>
    </row>
    <row r="14" spans="1:16" ht="15" customHeight="1" x14ac:dyDescent="0.35">
      <c r="B14" s="257"/>
      <c r="C14" s="257"/>
      <c r="D14" s="257"/>
      <c r="E14" s="257"/>
      <c r="F14" s="257"/>
      <c r="G14" s="257"/>
      <c r="H14" s="257"/>
      <c r="I14" s="257"/>
      <c r="J14" s="257"/>
      <c r="K14" s="257"/>
      <c r="L14" s="53"/>
      <c r="M14" s="53"/>
      <c r="N14" s="53"/>
      <c r="O14" s="53"/>
    </row>
    <row r="15" spans="1:16" ht="15" customHeight="1" x14ac:dyDescent="0.35">
      <c r="B15" s="249" t="s">
        <v>391</v>
      </c>
      <c r="C15" s="148"/>
      <c r="E15" s="249" t="s">
        <v>1855</v>
      </c>
      <c r="F15" s="148"/>
      <c r="H15" s="249" t="s">
        <v>393</v>
      </c>
      <c r="I15" s="148"/>
      <c r="K15" s="249" t="s">
        <v>394</v>
      </c>
      <c r="L15" s="148"/>
    </row>
    <row r="16" spans="1:16" ht="15" customHeight="1" x14ac:dyDescent="0.35">
      <c r="B16" s="337"/>
      <c r="C16" s="55"/>
      <c r="E16" s="249" t="s">
        <v>392</v>
      </c>
      <c r="F16" s="262" t="str">
        <f>_xlfn.LET(_xlpm.t,""&amp;$F15,_xlpm.p,IF(_xlpm.t="",INDEX(Util_Provider,1),_xlfn.XLOOKUP(_xlpm.t,Util_Tags,Util_Provider,"")),IF(""&amp;_xlpm.p="","",_xlpm.p))</f>
        <v/>
      </c>
      <c r="H16" s="337"/>
      <c r="I16" s="55"/>
      <c r="K16" s="249" t="s">
        <v>2129</v>
      </c>
      <c r="L16" s="148"/>
      <c r="M16" s="484" t="s">
        <v>2130</v>
      </c>
    </row>
    <row r="17" spans="2:15" ht="15" customHeight="1" x14ac:dyDescent="0.35">
      <c r="B17" s="257"/>
      <c r="C17" s="257"/>
      <c r="D17" s="257"/>
      <c r="E17" s="257"/>
      <c r="F17" s="257"/>
      <c r="G17" s="257"/>
      <c r="H17" s="257"/>
      <c r="I17" s="257"/>
      <c r="J17" s="257"/>
      <c r="K17" s="257"/>
      <c r="L17" s="53"/>
      <c r="M17" s="53"/>
      <c r="N17" s="53"/>
      <c r="O17" s="53"/>
    </row>
    <row r="18" spans="2:15" ht="15" customHeight="1" x14ac:dyDescent="0.35">
      <c r="B18" s="338" t="s">
        <v>313</v>
      </c>
      <c r="C18" s="338" t="s">
        <v>314</v>
      </c>
      <c r="D18" s="338" t="s">
        <v>315</v>
      </c>
      <c r="E18" s="338" t="s">
        <v>316</v>
      </c>
      <c r="F18" s="338" t="s">
        <v>317</v>
      </c>
      <c r="G18" s="338" t="s">
        <v>318</v>
      </c>
      <c r="H18" s="338" t="s">
        <v>395</v>
      </c>
      <c r="I18" s="338" t="s">
        <v>396</v>
      </c>
      <c r="J18" s="338" t="s">
        <v>397</v>
      </c>
      <c r="K18" s="338" t="s">
        <v>398</v>
      </c>
      <c r="L18" s="338" t="s">
        <v>319</v>
      </c>
      <c r="M18" s="338" t="s">
        <v>320</v>
      </c>
      <c r="N18" s="338" t="s">
        <v>321</v>
      </c>
      <c r="O18" s="338" t="s">
        <v>206</v>
      </c>
    </row>
    <row r="19" spans="2:15" ht="15" customHeight="1" x14ac:dyDescent="0.35">
      <c r="B19" s="339">
        <v>1</v>
      </c>
      <c r="C19" s="149"/>
      <c r="D19" s="149"/>
      <c r="E19" s="56" t="str">
        <f>IF(OR($C19="",$D19=""),"",$D19-$C19)</f>
        <v/>
      </c>
      <c r="F19" s="150"/>
      <c r="G19" s="62" t="str">
        <f>IF(OR($F19="",$E19=""),"",$F19/($E19*24))</f>
        <v/>
      </c>
      <c r="H19" s="151"/>
      <c r="I19" s="151"/>
      <c r="J19" s="152"/>
      <c r="K19" s="54">
        <f t="shared" ref="K19:K30" si="0">IF($J19&lt;&gt;"",$J19,IF(AND($H19&lt;&gt;"",$I19&lt;&gt;""),$H19/SQRT($H19^2+$I19^2),$D$6))</f>
        <v>0.9</v>
      </c>
      <c r="L19" s="62" t="str">
        <f t="shared" ref="L19:L30" si="1">IF($H19&lt;&gt;"",$H19,IF(AND($G19&lt;&gt;"",$D$7&lt;&gt;""),$G19/$D$7,""))</f>
        <v/>
      </c>
      <c r="M19" s="62" t="str">
        <f>IF($L19="","",$L19/$K19)</f>
        <v/>
      </c>
      <c r="N19" s="62" t="str">
        <f>IF(OR($M19="",N($D$8)=0),"",$M19*1000/IF($D$9=3,$D$8*SQRT(3),$D$8))</f>
        <v/>
      </c>
      <c r="O19" s="153"/>
    </row>
    <row r="20" spans="2:15" ht="15" customHeight="1" x14ac:dyDescent="0.35">
      <c r="B20" s="339">
        <v>2</v>
      </c>
      <c r="C20" s="149"/>
      <c r="D20" s="149"/>
      <c r="E20" s="56" t="str">
        <f t="shared" ref="E20:E30" si="2">IF(OR($C20="",$D20=""),"",$D20-$C20)</f>
        <v/>
      </c>
      <c r="F20" s="150"/>
      <c r="G20" s="62" t="str">
        <f t="shared" ref="G20:G30" si="3">IF(OR($F20="",$E20=""),"",$F20/($E20*24))</f>
        <v/>
      </c>
      <c r="H20" s="151"/>
      <c r="I20" s="151"/>
      <c r="J20" s="152"/>
      <c r="K20" s="54">
        <f t="shared" si="0"/>
        <v>0.9</v>
      </c>
      <c r="L20" s="62" t="str">
        <f t="shared" si="1"/>
        <v/>
      </c>
      <c r="M20" s="62" t="str">
        <f t="shared" ref="M20:M30" si="4">IF($L20="","",$L20/$K20)</f>
        <v/>
      </c>
      <c r="N20" s="62" t="str">
        <f t="shared" ref="N20:N30" si="5">IF(OR($M20="",N($D$8)=0),"",$M20*1000/IF($D$9=3,$D$8*SQRT(3),$D$8))</f>
        <v/>
      </c>
      <c r="O20" s="153"/>
    </row>
    <row r="21" spans="2:15" ht="15" customHeight="1" x14ac:dyDescent="0.35">
      <c r="B21" s="339">
        <v>3</v>
      </c>
      <c r="C21" s="149"/>
      <c r="D21" s="149"/>
      <c r="E21" s="56" t="str">
        <f t="shared" si="2"/>
        <v/>
      </c>
      <c r="F21" s="150"/>
      <c r="G21" s="62" t="str">
        <f t="shared" si="3"/>
        <v/>
      </c>
      <c r="H21" s="151"/>
      <c r="I21" s="151"/>
      <c r="J21" s="152"/>
      <c r="K21" s="54">
        <f t="shared" si="0"/>
        <v>0.9</v>
      </c>
      <c r="L21" s="62" t="str">
        <f t="shared" si="1"/>
        <v/>
      </c>
      <c r="M21" s="62" t="str">
        <f t="shared" si="4"/>
        <v/>
      </c>
      <c r="N21" s="62" t="str">
        <f t="shared" si="5"/>
        <v/>
      </c>
      <c r="O21" s="153"/>
    </row>
    <row r="22" spans="2:15" ht="15" customHeight="1" x14ac:dyDescent="0.35">
      <c r="B22" s="339">
        <v>4</v>
      </c>
      <c r="C22" s="149"/>
      <c r="D22" s="149"/>
      <c r="E22" s="56" t="str">
        <f t="shared" si="2"/>
        <v/>
      </c>
      <c r="F22" s="150"/>
      <c r="G22" s="62" t="str">
        <f t="shared" si="3"/>
        <v/>
      </c>
      <c r="H22" s="151"/>
      <c r="I22" s="151"/>
      <c r="J22" s="152"/>
      <c r="K22" s="54">
        <f t="shared" si="0"/>
        <v>0.9</v>
      </c>
      <c r="L22" s="62" t="str">
        <f t="shared" si="1"/>
        <v/>
      </c>
      <c r="M22" s="62" t="str">
        <f t="shared" si="4"/>
        <v/>
      </c>
      <c r="N22" s="62" t="str">
        <f t="shared" si="5"/>
        <v/>
      </c>
      <c r="O22" s="153"/>
    </row>
    <row r="23" spans="2:15" ht="15" customHeight="1" x14ac:dyDescent="0.35">
      <c r="B23" s="339">
        <v>5</v>
      </c>
      <c r="C23" s="149"/>
      <c r="D23" s="149"/>
      <c r="E23" s="56" t="str">
        <f t="shared" si="2"/>
        <v/>
      </c>
      <c r="F23" s="150"/>
      <c r="G23" s="62" t="str">
        <f t="shared" si="3"/>
        <v/>
      </c>
      <c r="H23" s="151"/>
      <c r="I23" s="151"/>
      <c r="J23" s="152"/>
      <c r="K23" s="54">
        <f t="shared" si="0"/>
        <v>0.9</v>
      </c>
      <c r="L23" s="62" t="str">
        <f t="shared" si="1"/>
        <v/>
      </c>
      <c r="M23" s="62" t="str">
        <f t="shared" si="4"/>
        <v/>
      </c>
      <c r="N23" s="62" t="str">
        <f t="shared" si="5"/>
        <v/>
      </c>
      <c r="O23" s="153"/>
    </row>
    <row r="24" spans="2:15" ht="15" customHeight="1" x14ac:dyDescent="0.35">
      <c r="B24" s="339">
        <v>6</v>
      </c>
      <c r="C24" s="149"/>
      <c r="D24" s="149"/>
      <c r="E24" s="56" t="str">
        <f t="shared" si="2"/>
        <v/>
      </c>
      <c r="F24" s="150"/>
      <c r="G24" s="62" t="str">
        <f t="shared" si="3"/>
        <v/>
      </c>
      <c r="H24" s="151"/>
      <c r="I24" s="151"/>
      <c r="J24" s="152"/>
      <c r="K24" s="54">
        <f t="shared" si="0"/>
        <v>0.9</v>
      </c>
      <c r="L24" s="62" t="str">
        <f t="shared" si="1"/>
        <v/>
      </c>
      <c r="M24" s="62" t="str">
        <f t="shared" si="4"/>
        <v/>
      </c>
      <c r="N24" s="62" t="str">
        <f t="shared" si="5"/>
        <v/>
      </c>
      <c r="O24" s="153"/>
    </row>
    <row r="25" spans="2:15" ht="15" customHeight="1" x14ac:dyDescent="0.35">
      <c r="B25" s="339">
        <v>7</v>
      </c>
      <c r="C25" s="149"/>
      <c r="D25" s="149"/>
      <c r="E25" s="56" t="str">
        <f t="shared" si="2"/>
        <v/>
      </c>
      <c r="F25" s="150"/>
      <c r="G25" s="62" t="str">
        <f t="shared" si="3"/>
        <v/>
      </c>
      <c r="H25" s="151"/>
      <c r="I25" s="151"/>
      <c r="J25" s="152"/>
      <c r="K25" s="54">
        <f t="shared" si="0"/>
        <v>0.9</v>
      </c>
      <c r="L25" s="62" t="str">
        <f t="shared" si="1"/>
        <v/>
      </c>
      <c r="M25" s="62" t="str">
        <f t="shared" si="4"/>
        <v/>
      </c>
      <c r="N25" s="62" t="str">
        <f t="shared" si="5"/>
        <v/>
      </c>
      <c r="O25" s="153"/>
    </row>
    <row r="26" spans="2:15" ht="15" customHeight="1" x14ac:dyDescent="0.35">
      <c r="B26" s="339">
        <v>8</v>
      </c>
      <c r="C26" s="149"/>
      <c r="D26" s="149"/>
      <c r="E26" s="56" t="str">
        <f t="shared" si="2"/>
        <v/>
      </c>
      <c r="F26" s="150"/>
      <c r="G26" s="62" t="str">
        <f t="shared" si="3"/>
        <v/>
      </c>
      <c r="H26" s="151"/>
      <c r="I26" s="151"/>
      <c r="J26" s="152"/>
      <c r="K26" s="54">
        <f t="shared" si="0"/>
        <v>0.9</v>
      </c>
      <c r="L26" s="62" t="str">
        <f t="shared" si="1"/>
        <v/>
      </c>
      <c r="M26" s="62" t="str">
        <f t="shared" si="4"/>
        <v/>
      </c>
      <c r="N26" s="62" t="str">
        <f t="shared" si="5"/>
        <v/>
      </c>
      <c r="O26" s="153"/>
    </row>
    <row r="27" spans="2:15" ht="15" customHeight="1" x14ac:dyDescent="0.35">
      <c r="B27" s="339">
        <v>9</v>
      </c>
      <c r="C27" s="149"/>
      <c r="D27" s="149"/>
      <c r="E27" s="56" t="str">
        <f t="shared" si="2"/>
        <v/>
      </c>
      <c r="F27" s="150"/>
      <c r="G27" s="62" t="str">
        <f t="shared" si="3"/>
        <v/>
      </c>
      <c r="H27" s="151"/>
      <c r="I27" s="151"/>
      <c r="J27" s="152"/>
      <c r="K27" s="54">
        <f t="shared" si="0"/>
        <v>0.9</v>
      </c>
      <c r="L27" s="62" t="str">
        <f t="shared" si="1"/>
        <v/>
      </c>
      <c r="M27" s="62" t="str">
        <f t="shared" si="4"/>
        <v/>
      </c>
      <c r="N27" s="62" t="str">
        <f t="shared" si="5"/>
        <v/>
      </c>
      <c r="O27" s="153"/>
    </row>
    <row r="28" spans="2:15" ht="15" customHeight="1" x14ac:dyDescent="0.35">
      <c r="B28" s="339">
        <v>10</v>
      </c>
      <c r="C28" s="149"/>
      <c r="D28" s="149"/>
      <c r="E28" s="56" t="str">
        <f t="shared" si="2"/>
        <v/>
      </c>
      <c r="F28" s="150"/>
      <c r="G28" s="62" t="str">
        <f t="shared" si="3"/>
        <v/>
      </c>
      <c r="H28" s="151"/>
      <c r="I28" s="151"/>
      <c r="J28" s="152"/>
      <c r="K28" s="54">
        <f t="shared" si="0"/>
        <v>0.9</v>
      </c>
      <c r="L28" s="62" t="str">
        <f t="shared" si="1"/>
        <v/>
      </c>
      <c r="M28" s="62" t="str">
        <f t="shared" si="4"/>
        <v/>
      </c>
      <c r="N28" s="62" t="str">
        <f t="shared" si="5"/>
        <v/>
      </c>
      <c r="O28" s="153"/>
    </row>
    <row r="29" spans="2:15" ht="15" customHeight="1" x14ac:dyDescent="0.35">
      <c r="B29" s="339">
        <v>11</v>
      </c>
      <c r="C29" s="149"/>
      <c r="D29" s="149"/>
      <c r="E29" s="56" t="str">
        <f t="shared" si="2"/>
        <v/>
      </c>
      <c r="F29" s="150"/>
      <c r="G29" s="62" t="str">
        <f t="shared" si="3"/>
        <v/>
      </c>
      <c r="H29" s="151"/>
      <c r="I29" s="151"/>
      <c r="J29" s="152"/>
      <c r="K29" s="54">
        <f t="shared" si="0"/>
        <v>0.9</v>
      </c>
      <c r="L29" s="62" t="str">
        <f t="shared" si="1"/>
        <v/>
      </c>
      <c r="M29" s="62" t="str">
        <f t="shared" si="4"/>
        <v/>
      </c>
      <c r="N29" s="62" t="str">
        <f t="shared" si="5"/>
        <v/>
      </c>
      <c r="O29" s="153"/>
    </row>
    <row r="30" spans="2:15" ht="15" customHeight="1" x14ac:dyDescent="0.35">
      <c r="B30" s="339">
        <v>12</v>
      </c>
      <c r="C30" s="149"/>
      <c r="D30" s="149"/>
      <c r="E30" s="56" t="str">
        <f t="shared" si="2"/>
        <v/>
      </c>
      <c r="F30" s="150"/>
      <c r="G30" s="62" t="str">
        <f t="shared" si="3"/>
        <v/>
      </c>
      <c r="H30" s="151"/>
      <c r="I30" s="151"/>
      <c r="J30" s="152"/>
      <c r="K30" s="54">
        <f t="shared" si="0"/>
        <v>0.9</v>
      </c>
      <c r="L30" s="62" t="str">
        <f t="shared" si="1"/>
        <v/>
      </c>
      <c r="M30" s="62" t="str">
        <f t="shared" si="4"/>
        <v/>
      </c>
      <c r="N30" s="62" t="str">
        <f t="shared" si="5"/>
        <v/>
      </c>
      <c r="O30" s="153"/>
    </row>
    <row r="31" spans="2:15" ht="15" customHeight="1" x14ac:dyDescent="0.35">
      <c r="B31" s="340" t="s">
        <v>399</v>
      </c>
      <c r="C31" s="341" t="str">
        <f>IF($C$15="","(enter meter #)","Meter "&amp;$C$15)</f>
        <v>(enter meter #)</v>
      </c>
      <c r="D31" s="342"/>
      <c r="E31" s="343" t="s">
        <v>400</v>
      </c>
      <c r="F31" s="52">
        <f>SUM(F19:F30)</f>
        <v>0</v>
      </c>
      <c r="G31" s="342"/>
      <c r="H31" s="342"/>
      <c r="I31" s="342"/>
      <c r="J31" s="342"/>
      <c r="K31" s="343" t="s">
        <v>401</v>
      </c>
      <c r="L31" s="63">
        <f>IFERROR(MAX(L19:L30),0)</f>
        <v>0</v>
      </c>
      <c r="M31" s="63">
        <f>IFERROR(MAX(M19:M30),0)</f>
        <v>0</v>
      </c>
      <c r="N31" s="63">
        <f>IFERROR(MAX(N19:N30),0)</f>
        <v>0</v>
      </c>
      <c r="O31" s="778" t="str" cm="1">
        <f t="array" ref="O31">IF(TRIM(L16&amp;"")&lt;&gt;"",TRIM(L16&amp;""),Exist_ServiceBoard)</f>
        <v/>
      </c>
    </row>
    <row r="32" spans="2:15" ht="15" customHeight="1" x14ac:dyDescent="0.35"/>
    <row r="33" spans="1:15" ht="30" customHeight="1" x14ac:dyDescent="0.35">
      <c r="A33" s="591" t="str" cm="1">
        <f t="array" ref="A33">"RESULTS — NEC "&amp;NECREF("220.87")&amp;" EXISTING LOAD (ALL METERS)"</f>
        <v>RESULTS — NEC 220.87 EXISTING LOAD (ALL METERS)</v>
      </c>
      <c r="B33" s="592"/>
      <c r="C33" s="592"/>
      <c r="D33" s="592"/>
      <c r="E33" s="592"/>
      <c r="F33" s="592"/>
      <c r="G33" s="592"/>
      <c r="H33" s="592"/>
      <c r="I33" s="592"/>
      <c r="J33" s="592"/>
      <c r="K33" s="592"/>
      <c r="L33" s="592"/>
      <c r="M33" s="592"/>
      <c r="N33" s="592"/>
      <c r="O33" s="665"/>
    </row>
    <row r="34" spans="1:15" ht="15" customHeight="1" x14ac:dyDescent="0.35">
      <c r="B34" s="257"/>
      <c r="C34" s="257"/>
      <c r="D34" s="257"/>
      <c r="E34" s="257"/>
      <c r="F34" s="257"/>
      <c r="G34" s="257"/>
      <c r="H34" s="257"/>
      <c r="I34" s="257"/>
      <c r="J34" s="257"/>
      <c r="K34" s="257"/>
      <c r="L34" s="257"/>
      <c r="M34" s="257"/>
      <c r="N34" s="257"/>
      <c r="O34" s="257"/>
    </row>
    <row r="35" spans="1:15" ht="15" customHeight="1" x14ac:dyDescent="0.35">
      <c r="F35" s="249" t="s">
        <v>402</v>
      </c>
      <c r="G35" s="30">
        <f>COUNTIF($B:$B,"METER PEAK")</f>
        <v>1</v>
      </c>
    </row>
    <row r="36" spans="1:15" ht="15" customHeight="1" x14ac:dyDescent="0.35">
      <c r="F36" s="249" t="s">
        <v>403</v>
      </c>
      <c r="G36" s="30">
        <f>SUMIF($B:$B,"METER PEAK",$L:$L)</f>
        <v>0</v>
      </c>
    </row>
    <row r="37" spans="1:15" ht="15" customHeight="1" x14ac:dyDescent="0.35">
      <c r="F37" s="249" t="s">
        <v>404</v>
      </c>
      <c r="G37" s="30">
        <f>SUMIF($B:$B,"METER PEAK",$M:$M)</f>
        <v>0</v>
      </c>
    </row>
    <row r="38" spans="1:15" ht="15" customHeight="1" x14ac:dyDescent="0.35">
      <c r="F38" s="249" t="s">
        <v>405</v>
      </c>
      <c r="G38" s="30">
        <f>SUMIF($B:$B,"METER PEAK",$N:$N)</f>
        <v>0</v>
      </c>
    </row>
    <row r="39" spans="1:15" ht="15" customHeight="1" x14ac:dyDescent="0.35">
      <c r="F39" s="249" t="str" cm="1">
        <f t="array" ref="F39">"NEC "&amp;NECREF("220.87")&amp;" Existing Load = 125% × Peak (kVA)"</f>
        <v>NEC 220.87 Existing Load = 125% × Peak (kVA)</v>
      </c>
      <c r="G39" s="30">
        <f>G37*1.25</f>
        <v>0</v>
      </c>
    </row>
    <row r="40" spans="1:15" ht="15" customHeight="1" x14ac:dyDescent="0.35">
      <c r="F40" s="249" t="str" cm="1">
        <f t="array" ref="F40">"NEC "&amp;NECREF("220.87")&amp;" Existing Load (A)"</f>
        <v>NEC 220.87 Existing Load (A)</v>
      </c>
      <c r="G40" s="30">
        <f>G38*1.25</f>
        <v>0</v>
      </c>
    </row>
    <row r="41" spans="1:15" ht="15" customHeight="1" x14ac:dyDescent="0.35">
      <c r="F41" s="249" t="s">
        <v>273</v>
      </c>
      <c r="G41" s="30" t="str">
        <f>IF(D11="","",D11)</f>
        <v/>
      </c>
    </row>
    <row r="42" spans="1:15" ht="15" customHeight="1" x14ac:dyDescent="0.35">
      <c r="F42" s="249" t="s">
        <v>322</v>
      </c>
      <c r="G42" s="30" t="str">
        <f>IF(G41="","",G41-G39)</f>
        <v/>
      </c>
    </row>
    <row r="43" spans="1:15" ht="15" customHeight="1" x14ac:dyDescent="0.35">
      <c r="F43" s="249" t="s">
        <v>274</v>
      </c>
      <c r="G43" s="30" t="str">
        <f>IF(G41="","",G39/G41)</f>
        <v/>
      </c>
    </row>
    <row r="44" spans="1:15" ht="15" customHeight="1" x14ac:dyDescent="0.35"/>
    <row r="45" spans="1:15" ht="15" customHeight="1" x14ac:dyDescent="0.35">
      <c r="B45" s="666" t="str" cm="1">
        <f t="array" ref="B45">"NEC "&amp;NECREF("220.87")&amp;"(1): existing load basis requires demand data for a full year (12 consecutive billing cycles). Multi-meter total is the non-coincident sum of each meter's individual peak (conservative)."</f>
        <v>NEC 220.87(1): existing load basis requires demand data for a full year (12 consecutive billing cycles). Multi-meter total is the non-coincident sum of each meter's individual peak (conservative).</v>
      </c>
      <c r="C45" s="666"/>
      <c r="D45" s="666"/>
      <c r="E45" s="666"/>
      <c r="F45" s="666"/>
      <c r="G45" s="666"/>
      <c r="H45" s="666"/>
      <c r="I45" s="666"/>
      <c r="J45" s="666"/>
      <c r="K45" s="666"/>
      <c r="L45" s="666"/>
      <c r="M45" s="666"/>
      <c r="N45" s="666"/>
      <c r="O45" s="666"/>
    </row>
    <row r="46" spans="1:15" ht="15" customHeight="1" x14ac:dyDescent="0.35">
      <c r="B46" s="666" t="s">
        <v>406</v>
      </c>
      <c r="C46" s="666"/>
      <c r="D46" s="666"/>
      <c r="E46" s="666"/>
      <c r="F46" s="666"/>
      <c r="G46" s="666"/>
      <c r="H46" s="666"/>
      <c r="I46" s="666"/>
      <c r="J46" s="666"/>
      <c r="K46" s="666"/>
      <c r="L46" s="666"/>
      <c r="M46" s="666"/>
      <c r="N46" s="666"/>
      <c r="O46" s="666"/>
    </row>
    <row r="48" spans="1:15" ht="30" customHeight="1" x14ac:dyDescent="0.35">
      <c r="A48" s="591" t="s">
        <v>1744</v>
      </c>
      <c r="B48" s="592"/>
      <c r="C48" s="592"/>
      <c r="D48" s="592"/>
      <c r="E48" s="592"/>
      <c r="F48" s="592"/>
      <c r="G48" s="592"/>
      <c r="H48" s="592"/>
      <c r="I48" s="592"/>
      <c r="J48" s="592"/>
      <c r="K48" s="592"/>
      <c r="L48" s="592"/>
      <c r="M48" s="592"/>
      <c r="N48" s="592"/>
      <c r="O48" s="665"/>
    </row>
    <row r="50" spans="2:6" ht="16" x14ac:dyDescent="0.35">
      <c r="B50" s="338" t="s">
        <v>313</v>
      </c>
      <c r="C50" s="338" t="s">
        <v>1745</v>
      </c>
      <c r="D50" s="338" t="s">
        <v>320</v>
      </c>
      <c r="E50" s="338" t="s">
        <v>1746</v>
      </c>
      <c r="F50" s="338" t="s">
        <v>1747</v>
      </c>
    </row>
    <row r="51" spans="2:6" ht="16" x14ac:dyDescent="0.35">
      <c r="B51" s="339">
        <v>1</v>
      </c>
      <c r="C51" s="488" t="str" cm="1">
        <f t="array" ref="C51">IF(INDEX($D$19:$D$30,$B51)="","Cycle "&amp;$B51,TEXT(INDEX($D$19:$D$30,$B51),"mmm yy"))</f>
        <v>Cycle 1</v>
      </c>
      <c r="D51" s="490">
        <f t="shared" ref="D51:D62" si="6">SUMIF($B:$B,$B51,$M:$M)</f>
        <v>0</v>
      </c>
      <c r="E51" s="491">
        <f t="shared" ref="E51:E62" si="7">IF(AND($D51&gt;0,$D51=MAX($D$51:$D$62)),$D51,0)</f>
        <v>0</v>
      </c>
      <c r="F51" s="490">
        <f t="shared" ref="F51:F62" si="8">N($G$39)</f>
        <v>0</v>
      </c>
    </row>
    <row r="52" spans="2:6" ht="16" x14ac:dyDescent="0.35">
      <c r="B52" s="339">
        <v>2</v>
      </c>
      <c r="C52" s="488" t="str" cm="1">
        <f t="array" ref="C52">IF(INDEX($D$19:$D$30,$B52)="","Cycle "&amp;$B52,TEXT(INDEX($D$19:$D$30,$B52),"mmm yy"))</f>
        <v>Cycle 2</v>
      </c>
      <c r="D52" s="490">
        <f t="shared" si="6"/>
        <v>0</v>
      </c>
      <c r="E52" s="491">
        <f t="shared" si="7"/>
        <v>0</v>
      </c>
      <c r="F52" s="490">
        <f t="shared" si="8"/>
        <v>0</v>
      </c>
    </row>
    <row r="53" spans="2:6" ht="16" x14ac:dyDescent="0.35">
      <c r="B53" s="339">
        <v>3</v>
      </c>
      <c r="C53" s="488" t="str" cm="1">
        <f t="array" ref="C53">IF(INDEX($D$19:$D$30,$B53)="","Cycle "&amp;$B53,TEXT(INDEX($D$19:$D$30,$B53),"mmm yy"))</f>
        <v>Cycle 3</v>
      </c>
      <c r="D53" s="490">
        <f t="shared" si="6"/>
        <v>0</v>
      </c>
      <c r="E53" s="491">
        <f t="shared" si="7"/>
        <v>0</v>
      </c>
      <c r="F53" s="490">
        <f t="shared" si="8"/>
        <v>0</v>
      </c>
    </row>
    <row r="54" spans="2:6" ht="16" x14ac:dyDescent="0.35">
      <c r="B54" s="339">
        <v>4</v>
      </c>
      <c r="C54" s="488" t="str" cm="1">
        <f t="array" ref="C54">IF(INDEX($D$19:$D$30,$B54)="","Cycle "&amp;$B54,TEXT(INDEX($D$19:$D$30,$B54),"mmm yy"))</f>
        <v>Cycle 4</v>
      </c>
      <c r="D54" s="490">
        <f t="shared" si="6"/>
        <v>0</v>
      </c>
      <c r="E54" s="491">
        <f t="shared" si="7"/>
        <v>0</v>
      </c>
      <c r="F54" s="490">
        <f t="shared" si="8"/>
        <v>0</v>
      </c>
    </row>
    <row r="55" spans="2:6" ht="16" x14ac:dyDescent="0.35">
      <c r="B55" s="339">
        <v>5</v>
      </c>
      <c r="C55" s="488" t="str" cm="1">
        <f t="array" ref="C55">IF(INDEX($D$19:$D$30,$B55)="","Cycle "&amp;$B55,TEXT(INDEX($D$19:$D$30,$B55),"mmm yy"))</f>
        <v>Cycle 5</v>
      </c>
      <c r="D55" s="490">
        <f t="shared" si="6"/>
        <v>0</v>
      </c>
      <c r="E55" s="491">
        <f t="shared" si="7"/>
        <v>0</v>
      </c>
      <c r="F55" s="490">
        <f t="shared" si="8"/>
        <v>0</v>
      </c>
    </row>
    <row r="56" spans="2:6" ht="16" x14ac:dyDescent="0.35">
      <c r="B56" s="339">
        <v>6</v>
      </c>
      <c r="C56" s="488" t="str" cm="1">
        <f t="array" ref="C56">IF(INDEX($D$19:$D$30,$B56)="","Cycle "&amp;$B56,TEXT(INDEX($D$19:$D$30,$B56),"mmm yy"))</f>
        <v>Cycle 6</v>
      </c>
      <c r="D56" s="490">
        <f t="shared" si="6"/>
        <v>0</v>
      </c>
      <c r="E56" s="491">
        <f t="shared" si="7"/>
        <v>0</v>
      </c>
      <c r="F56" s="490">
        <f t="shared" si="8"/>
        <v>0</v>
      </c>
    </row>
    <row r="57" spans="2:6" ht="16" x14ac:dyDescent="0.35">
      <c r="B57" s="339">
        <v>7</v>
      </c>
      <c r="C57" s="488" t="str" cm="1">
        <f t="array" ref="C57">IF(INDEX($D$19:$D$30,$B57)="","Cycle "&amp;$B57,TEXT(INDEX($D$19:$D$30,$B57),"mmm yy"))</f>
        <v>Cycle 7</v>
      </c>
      <c r="D57" s="490">
        <f t="shared" si="6"/>
        <v>0</v>
      </c>
      <c r="E57" s="491">
        <f t="shared" si="7"/>
        <v>0</v>
      </c>
      <c r="F57" s="490">
        <f t="shared" si="8"/>
        <v>0</v>
      </c>
    </row>
    <row r="58" spans="2:6" ht="16" x14ac:dyDescent="0.35">
      <c r="B58" s="339">
        <v>8</v>
      </c>
      <c r="C58" s="488" t="str" cm="1">
        <f t="array" ref="C58">IF(INDEX($D$19:$D$30,$B58)="","Cycle "&amp;$B58,TEXT(INDEX($D$19:$D$30,$B58),"mmm yy"))</f>
        <v>Cycle 8</v>
      </c>
      <c r="D58" s="490">
        <f t="shared" si="6"/>
        <v>0</v>
      </c>
      <c r="E58" s="491">
        <f t="shared" si="7"/>
        <v>0</v>
      </c>
      <c r="F58" s="490">
        <f t="shared" si="8"/>
        <v>0</v>
      </c>
    </row>
    <row r="59" spans="2:6" ht="16" x14ac:dyDescent="0.35">
      <c r="B59" s="339">
        <v>9</v>
      </c>
      <c r="C59" s="488" t="str" cm="1">
        <f t="array" ref="C59">IF(INDEX($D$19:$D$30,$B59)="","Cycle "&amp;$B59,TEXT(INDEX($D$19:$D$30,$B59),"mmm yy"))</f>
        <v>Cycle 9</v>
      </c>
      <c r="D59" s="490">
        <f t="shared" si="6"/>
        <v>0</v>
      </c>
      <c r="E59" s="491">
        <f t="shared" si="7"/>
        <v>0</v>
      </c>
      <c r="F59" s="490">
        <f t="shared" si="8"/>
        <v>0</v>
      </c>
    </row>
    <row r="60" spans="2:6" ht="16" x14ac:dyDescent="0.35">
      <c r="B60" s="339">
        <v>10</v>
      </c>
      <c r="C60" s="488" t="str" cm="1">
        <f t="array" ref="C60">IF(INDEX($D$19:$D$30,$B60)="","Cycle "&amp;$B60,TEXT(INDEX($D$19:$D$30,$B60),"mmm yy"))</f>
        <v>Cycle 10</v>
      </c>
      <c r="D60" s="490">
        <f t="shared" si="6"/>
        <v>0</v>
      </c>
      <c r="E60" s="491">
        <f t="shared" si="7"/>
        <v>0</v>
      </c>
      <c r="F60" s="490">
        <f t="shared" si="8"/>
        <v>0</v>
      </c>
    </row>
    <row r="61" spans="2:6" ht="16" x14ac:dyDescent="0.35">
      <c r="B61" s="339">
        <v>11</v>
      </c>
      <c r="C61" s="488" t="str" cm="1">
        <f t="array" ref="C61">IF(INDEX($D$19:$D$30,$B61)="","Cycle "&amp;$B61,TEXT(INDEX($D$19:$D$30,$B61),"mmm yy"))</f>
        <v>Cycle 11</v>
      </c>
      <c r="D61" s="490">
        <f t="shared" si="6"/>
        <v>0</v>
      </c>
      <c r="E61" s="491">
        <f t="shared" si="7"/>
        <v>0</v>
      </c>
      <c r="F61" s="490">
        <f t="shared" si="8"/>
        <v>0</v>
      </c>
    </row>
    <row r="62" spans="2:6" ht="16" x14ac:dyDescent="0.35">
      <c r="B62" s="339">
        <v>12</v>
      </c>
      <c r="C62" s="488" t="str" cm="1">
        <f t="array" ref="C62">IF(INDEX($D$19:$D$30,$B62)="","Cycle "&amp;$B62,TEXT(INDEX($D$19:$D$30,$B62),"mmm yy"))</f>
        <v>Cycle 12</v>
      </c>
      <c r="D62" s="490">
        <f t="shared" si="6"/>
        <v>0</v>
      </c>
      <c r="E62" s="491">
        <f t="shared" si="7"/>
        <v>0</v>
      </c>
      <c r="F62" s="490">
        <f t="shared" si="8"/>
        <v>0</v>
      </c>
    </row>
    <row r="63" spans="2:6" x14ac:dyDescent="0.35">
      <c r="B63"/>
    </row>
    <row r="68" spans="2:2" x14ac:dyDescent="0.35">
      <c r="B68" s="489" t="str" cm="1">
        <f t="array" ref="B68">"Bars = all meters' billed peak kVA summed per cycle (month from Meter 1 end dates); gold = peak cycle; red dash = 125% NEC "&amp;NECREF("220.87")&amp;" existing load (G38)."</f>
        <v>Bars = all meters' billed peak kVA summed per cycle (month from Meter 1 end dates); gold = peak cycle; red dash = 125% NEC 220.87 existing load (G38).</v>
      </c>
    </row>
  </sheetData>
  <sheetProtection sheet="1" objects="1" scenarios="1"/>
  <mergeCells count="10">
    <mergeCell ref="A1:O1"/>
    <mergeCell ref="L13:O13"/>
    <mergeCell ref="A4:O4"/>
    <mergeCell ref="A13:K13"/>
    <mergeCell ref="A33:O33"/>
    <mergeCell ref="A48:O48"/>
    <mergeCell ref="B45:O45"/>
    <mergeCell ref="B46:O46"/>
    <mergeCell ref="E6:O6"/>
    <mergeCell ref="E7:O7"/>
  </mergeCells>
  <conditionalFormatting sqref="J19:K30">
    <cfRule type="expression" dxfId="62" priority="5">
      <formula>AND(ISNUMBER(J19),J19&lt;0.9)</formula>
    </cfRule>
  </conditionalFormatting>
  <dataValidations count="2">
    <dataValidation type="list" allowBlank="1" showInputMessage="1" showErrorMessage="1" sqref="F15" xr:uid="{E5BD6454-2916-4376-A623-EBEE6BB98798}">
      <formula1>Util_Tags</formula1>
    </dataValidation>
    <dataValidation type="list" allowBlank="1" showInputMessage="1" showErrorMessage="1" sqref="L16" xr:uid="{B0DE24F7-61FF-47E1-8B02-CD38737F09E4}">
      <formula1>Equip_List</formula1>
    </dataValidation>
  </dataValidations>
  <pageMargins left="0.7" right="0.7" top="0.75" bottom="0.75" header="0.3" footer="0.3"/>
  <pageSetup scale="3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646E-52E8-4DDF-886E-F44EEB4225B1}">
  <sheetPr codeName="Sheet8">
    <tabColor rgb="FF4DAB51"/>
    <pageSetUpPr fitToPage="1"/>
  </sheetPr>
  <dimension ref="A1:O10026"/>
  <sheetViews>
    <sheetView showGridLines="0" showRowColHeaders="0" workbookViewId="0">
      <pane ySplit="2" topLeftCell="A3" activePane="bottomLeft" state="frozen"/>
      <selection pane="bottomLeft" activeCell="C6" sqref="C6"/>
    </sheetView>
  </sheetViews>
  <sheetFormatPr defaultColWidth="9.1796875" defaultRowHeight="16.5" outlineLevelRow="1" x14ac:dyDescent="0.35"/>
  <cols>
    <col min="1" max="1" width="2.26953125" style="20" customWidth="1"/>
    <col min="2" max="2" width="50.7265625" style="20" customWidth="1"/>
    <col min="3" max="15" width="15.7265625" style="20" customWidth="1"/>
    <col min="16" max="16384" width="9.1796875" style="20"/>
  </cols>
  <sheetData>
    <row r="1" spans="1:15" ht="30" customHeight="1" x14ac:dyDescent="0.35">
      <c r="A1" s="594" t="str" cm="1">
        <f t="array" ref="A1">"30-DAY LOGGING DEMAND — NEC "&amp;NECREF("220.87")&amp;"(2) — METERING / LOGGING SESSION"</f>
        <v>30-DAY LOGGING DEMAND — NEC 220.87(2) — METERING / LOGGING SESSION</v>
      </c>
      <c r="B1" s="595"/>
      <c r="C1" s="595"/>
      <c r="D1" s="595"/>
      <c r="E1" s="595"/>
      <c r="F1" s="595"/>
      <c r="G1" s="595"/>
      <c r="H1" s="595"/>
      <c r="I1" s="595"/>
      <c r="J1" s="595"/>
      <c r="K1" s="595"/>
      <c r="L1" s="595"/>
      <c r="M1" s="595"/>
      <c r="N1" s="595"/>
      <c r="O1" s="596"/>
    </row>
    <row r="2" spans="1:15" ht="15" customHeight="1" x14ac:dyDescent="0.35">
      <c r="B2" s="249" t="s">
        <v>254</v>
      </c>
      <c r="C2" s="264" t="str">
        <f>IF(Dashboard!B7="","—",Dashboard!B7)</f>
        <v>—</v>
      </c>
      <c r="G2" s="249" t="s">
        <v>255</v>
      </c>
      <c r="H2" s="264" t="str">
        <f>IF(Dashboard!$C$38="","",Dashboard!$C$38)</f>
        <v/>
      </c>
    </row>
    <row r="3" spans="1:15" ht="15" customHeight="1" x14ac:dyDescent="0.35"/>
    <row r="4" spans="1:15" ht="30" customHeight="1" x14ac:dyDescent="0.35">
      <c r="A4" s="591" t="s">
        <v>309</v>
      </c>
      <c r="B4" s="592"/>
      <c r="C4" s="592"/>
      <c r="D4" s="592"/>
      <c r="E4" s="592"/>
      <c r="F4" s="592"/>
      <c r="G4" s="592"/>
      <c r="H4" s="592"/>
      <c r="I4" s="592"/>
      <c r="J4" s="592"/>
      <c r="K4" s="592"/>
      <c r="L4" s="592"/>
      <c r="M4" s="592"/>
      <c r="N4" s="592"/>
      <c r="O4" s="665"/>
    </row>
    <row r="5" spans="1:15" ht="15" customHeight="1" x14ac:dyDescent="0.35">
      <c r="B5" s="257"/>
      <c r="C5" s="257"/>
      <c r="D5" s="257"/>
      <c r="E5" s="257"/>
      <c r="F5" s="257"/>
      <c r="G5" s="257"/>
      <c r="H5" s="257"/>
      <c r="I5" s="257"/>
      <c r="J5" s="257"/>
      <c r="K5" s="257"/>
      <c r="L5" s="257"/>
      <c r="M5" s="257"/>
      <c r="N5" s="257"/>
      <c r="O5" s="257"/>
    </row>
    <row r="6" spans="1:15" ht="15" customHeight="1" x14ac:dyDescent="0.35">
      <c r="B6" s="249" t="s">
        <v>407</v>
      </c>
      <c r="C6" s="134"/>
      <c r="D6" s="675" t="s">
        <v>408</v>
      </c>
      <c r="E6" s="617"/>
      <c r="F6" s="617"/>
      <c r="G6" s="617"/>
      <c r="H6" s="617"/>
      <c r="I6" s="617"/>
      <c r="J6" s="617"/>
      <c r="K6" s="617"/>
      <c r="L6" s="617"/>
      <c r="M6" s="617"/>
      <c r="N6" s="617"/>
      <c r="O6" s="617"/>
    </row>
    <row r="7" spans="1:15" ht="15" customHeight="1" x14ac:dyDescent="0.35">
      <c r="B7" s="249" t="s">
        <v>387</v>
      </c>
      <c r="C7" s="143">
        <v>0.9</v>
      </c>
      <c r="D7" s="675" t="s">
        <v>409</v>
      </c>
      <c r="E7" s="617"/>
      <c r="F7" s="617"/>
      <c r="G7" s="617"/>
      <c r="H7" s="617"/>
      <c r="I7" s="617"/>
      <c r="J7" s="617"/>
      <c r="K7" s="617"/>
      <c r="L7" s="617"/>
      <c r="M7" s="617"/>
      <c r="N7" s="617"/>
      <c r="O7" s="617"/>
    </row>
    <row r="8" spans="1:15" ht="15" customHeight="1" x14ac:dyDescent="0.35">
      <c r="B8" s="249" t="s">
        <v>310</v>
      </c>
      <c r="C8" s="50" t="str">
        <f>Dashboard!C39</f>
        <v/>
      </c>
    </row>
    <row r="9" spans="1:15" ht="15" customHeight="1" x14ac:dyDescent="0.35">
      <c r="B9" s="249" t="s">
        <v>5</v>
      </c>
      <c r="C9" s="50" t="str">
        <f>Dashboard!C40</f>
        <v/>
      </c>
    </row>
    <row r="10" spans="1:15" ht="15" customHeight="1" x14ac:dyDescent="0.35">
      <c r="B10" s="249" t="s">
        <v>312</v>
      </c>
      <c r="C10" s="147">
        <v>0</v>
      </c>
    </row>
    <row r="11" spans="1:15" ht="15" customHeight="1" x14ac:dyDescent="0.35">
      <c r="B11" s="249" t="s">
        <v>273</v>
      </c>
      <c r="C11" s="40" t="str">
        <f>IF(C10=0,"",IF(C9=3,C8*C10*SQRT(3)/1000,C8*C10/1000))</f>
        <v/>
      </c>
    </row>
    <row r="12" spans="1:15" ht="15" customHeight="1" x14ac:dyDescent="0.35">
      <c r="B12" s="249" t="s">
        <v>1856</v>
      </c>
      <c r="C12" s="134"/>
      <c r="D12" s="486" t="s">
        <v>1857</v>
      </c>
    </row>
    <row r="13" spans="1:15" ht="15" customHeight="1" x14ac:dyDescent="0.35">
      <c r="B13" s="249" t="s">
        <v>1733</v>
      </c>
      <c r="C13" s="16" t="str">
        <f>_xlfn.LET(_xlpm.t,""&amp;$C12,_xlpm.p,IF(_xlpm.t="",INDEX(Util_Provider,1),_xlfn.XLOOKUP(_xlpm.t,Util_Tags,Util_Provider,"")),IF(""&amp;_xlpm.p="","",_xlpm.p))</f>
        <v/>
      </c>
      <c r="D13" s="486" t="s">
        <v>1858</v>
      </c>
    </row>
    <row r="14" spans="1:15" ht="15" customHeight="1" x14ac:dyDescent="0.35">
      <c r="B14" s="249" t="s">
        <v>2131</v>
      </c>
      <c r="C14" s="134"/>
      <c r="D14" s="486" t="str" cm="1">
        <f t="array" ref="D14">"Board this session measured — its NEC "&amp;NECREF("220.87")&amp;" load lands on "&amp;IF(Exist_LogBoard="","(no board yet)",Exist_LogBoard)&amp;" and rolls up the tree. Blank = service board."</f>
        <v>Board this session measured — its NEC 220.87 load lands on (no board yet) and rolls up the tree. Blank = service board.</v>
      </c>
    </row>
    <row r="15" spans="1:15" ht="30" customHeight="1" x14ac:dyDescent="0.35">
      <c r="A15" s="591" t="s">
        <v>410</v>
      </c>
      <c r="B15" s="592"/>
      <c r="C15" s="592"/>
      <c r="D15" s="592"/>
      <c r="E15" s="592"/>
      <c r="F15" s="592"/>
      <c r="G15" s="592"/>
      <c r="H15" s="592"/>
      <c r="I15" s="592"/>
      <c r="J15" s="592"/>
      <c r="K15" s="592"/>
      <c r="L15" s="592"/>
      <c r="M15" s="592"/>
      <c r="N15" s="592"/>
      <c r="O15" s="665"/>
    </row>
    <row r="16" spans="1:15" ht="15" customHeight="1" x14ac:dyDescent="0.35">
      <c r="B16" s="257"/>
      <c r="C16" s="257"/>
      <c r="D16" s="257"/>
      <c r="E16" s="257"/>
      <c r="F16" s="257"/>
      <c r="G16" s="257"/>
      <c r="H16" s="257"/>
      <c r="I16" s="257"/>
      <c r="J16" s="257"/>
      <c r="K16" s="257"/>
      <c r="L16" s="257"/>
      <c r="M16" s="257"/>
      <c r="N16" s="257"/>
      <c r="O16" s="257"/>
    </row>
    <row r="17" spans="1:15" ht="15" customHeight="1" x14ac:dyDescent="0.35">
      <c r="B17" s="249" t="s">
        <v>411</v>
      </c>
      <c r="C17" s="155"/>
    </row>
    <row r="18" spans="1:15" ht="15" customHeight="1" x14ac:dyDescent="0.35">
      <c r="B18" s="249" t="s">
        <v>412</v>
      </c>
      <c r="C18" s="155"/>
    </row>
    <row r="19" spans="1:15" ht="15" customHeight="1" x14ac:dyDescent="0.35">
      <c r="B19" s="249" t="s">
        <v>413</v>
      </c>
      <c r="C19" s="50" t="str">
        <f>IF(OR(C17="",C18=""),"",C18-C17)</f>
        <v/>
      </c>
      <c r="E19" s="460" t="str" cm="1">
        <f t="array" ref="E19">IF(C19="","",IF(C19&lt;30,("⚠ NEC "&amp;NECREF("220.87")&amp;"(2) requires a minimum 30-day recording"),"✓ ≥ 30 days"))</f>
        <v/>
      </c>
    </row>
    <row r="20" spans="1:15" ht="15" customHeight="1" x14ac:dyDescent="0.35">
      <c r="B20" s="249" t="s">
        <v>414</v>
      </c>
      <c r="C20" s="461"/>
    </row>
    <row r="21" spans="1:15" ht="15" customHeight="1" x14ac:dyDescent="0.35">
      <c r="B21" s="249" t="s">
        <v>415</v>
      </c>
      <c r="C21" s="461"/>
    </row>
    <row r="22" spans="1:15" ht="15" customHeight="1" x14ac:dyDescent="0.35">
      <c r="B22" s="249" t="s">
        <v>416</v>
      </c>
      <c r="C22" s="143"/>
    </row>
    <row r="23" spans="1:15" ht="15" customHeight="1" x14ac:dyDescent="0.35">
      <c r="B23" s="249" t="s">
        <v>398</v>
      </c>
      <c r="C23" s="30">
        <f>IF(C22&lt;&gt;"",C22,IF(AND(C20&lt;&gt;"",C21&lt;&gt;""),C20/SQRT(C20^2+C21^2),C7))</f>
        <v>0.9</v>
      </c>
    </row>
    <row r="24" spans="1:15" ht="15" customHeight="1" x14ac:dyDescent="0.35">
      <c r="B24" s="249" t="s">
        <v>417</v>
      </c>
      <c r="C24" s="38" t="str">
        <f>IF(C20="","",C20/C23)</f>
        <v/>
      </c>
    </row>
    <row r="25" spans="1:15" ht="15" customHeight="1" x14ac:dyDescent="0.35"/>
    <row r="26" spans="1:15" ht="30" hidden="1" customHeight="1" outlineLevel="1" x14ac:dyDescent="0.35">
      <c r="A26" s="591" t="s">
        <v>418</v>
      </c>
      <c r="B26" s="592"/>
      <c r="C26" s="592"/>
      <c r="D26" s="592"/>
      <c r="E26" s="674" t="s">
        <v>1425</v>
      </c>
      <c r="F26" s="674"/>
      <c r="G26" s="674"/>
      <c r="H26" s="674"/>
      <c r="I26" s="674"/>
      <c r="J26" s="674"/>
      <c r="K26" s="674"/>
      <c r="L26" s="674"/>
      <c r="M26" s="674"/>
      <c r="N26" s="674"/>
      <c r="O26" s="669"/>
    </row>
    <row r="27" spans="1:15" ht="15" hidden="1" customHeight="1" outlineLevel="1" x14ac:dyDescent="0.35">
      <c r="B27" s="257"/>
      <c r="C27" s="257"/>
      <c r="D27" s="257"/>
      <c r="E27" s="462"/>
      <c r="F27" s="462"/>
      <c r="G27" s="462"/>
      <c r="H27" s="462"/>
      <c r="I27" s="462"/>
      <c r="J27" s="462"/>
      <c r="K27" s="462"/>
      <c r="L27" s="462"/>
      <c r="M27" s="462"/>
      <c r="N27" s="462"/>
      <c r="O27" s="462"/>
    </row>
    <row r="28" spans="1:15" ht="15" hidden="1" customHeight="1" outlineLevel="1" x14ac:dyDescent="0.35">
      <c r="B28" s="249" t="s">
        <v>419</v>
      </c>
      <c r="C28" s="29">
        <f>COUNT($C$79:$C$50031)</f>
        <v>0</v>
      </c>
      <c r="E28" s="20" t="str">
        <f>IF($C$28=0,"",IF(OR($C$31="",$C$32="",$C$32=0),"",_xlfn.LET(_xlpm.exp,ROUND($C$31*1440/$C$32,0)+1,IF(ABS(_xlpm.exp-$C$28)&lt;=1,"✔ no gaps detected","⚠ "&amp;TEXT(_xlpm.exp-$C$28,"#,##0")&amp;" interval(s) missing — logger gap or partial days"))))</f>
        <v/>
      </c>
    </row>
    <row r="29" spans="1:15" ht="15" hidden="1" customHeight="1" outlineLevel="1" x14ac:dyDescent="0.35">
      <c r="B29" s="249" t="s">
        <v>420</v>
      </c>
      <c r="C29" s="40" t="str">
        <f>IF($C$28=0,"",MIN($B$79:$B$50031))</f>
        <v/>
      </c>
    </row>
    <row r="30" spans="1:15" ht="15" hidden="1" customHeight="1" outlineLevel="1" x14ac:dyDescent="0.35">
      <c r="B30" s="249" t="s">
        <v>421</v>
      </c>
      <c r="C30" s="40" t="str">
        <f>IF($C$28=0,"",MAX($B$79:$B$50031))</f>
        <v/>
      </c>
    </row>
    <row r="31" spans="1:15" ht="15" hidden="1" customHeight="1" outlineLevel="1" x14ac:dyDescent="0.35">
      <c r="B31" s="249" t="s">
        <v>422</v>
      </c>
      <c r="C31" s="40" t="str">
        <f>IF($C$28=0,"",C30-C29)</f>
        <v/>
      </c>
      <c r="E31" s="460" t="str" cm="1">
        <f t="array" ref="E31">IF($C$31="","",IF($C$31&gt;=30,("✔ meets the 30-day minimum in "&amp;NECREF("220.87")),"✘ only "&amp;TEXT($C$31,"0.0")&amp;(" days — "&amp;NECREF("220.87")&amp;" requires at least 30")))</f>
        <v/>
      </c>
    </row>
    <row r="32" spans="1:15" ht="15" hidden="1" customHeight="1" outlineLevel="1" x14ac:dyDescent="0.35">
      <c r="B32" s="249" t="s">
        <v>1424</v>
      </c>
      <c r="C32" s="40" t="str" cm="1">
        <f t="array" ref="C32">IF($C$28&lt;2,"",IFERROR(_xlfn.LET(_xlpm.t,_xlfn._xlws.FILTER($B$79:$B$10025,$B$79:$B$10025&lt;&gt;""),_xlpm.d,ROUND((_xlfn.DROP(_xlpm.t,1)-_xlfn.DROP(_xlpm.t,-1))*1440,0),IFERROR(MODE(_xlpm.d),MEDIAN(_xlpm.d))),""))</f>
        <v/>
      </c>
      <c r="E32" s="20" t="str">
        <f>IF($C$32="","",IF($C$32&lt;=15,"✔ "&amp;TEXT($C$32,"0")&amp;"-minute intervals","⚠ "&amp;TEXT($C$32,"0")&amp;"-minute intervals — 15 minutes or finer is expected for demand data"))</f>
        <v/>
      </c>
    </row>
    <row r="33" spans="1:15" ht="15" hidden="1" customHeight="1" outlineLevel="1" x14ac:dyDescent="0.35">
      <c r="B33" s="249" t="s">
        <v>423</v>
      </c>
      <c r="C33" s="40" t="str">
        <f>IF($C$28=0,"",MAX($C$79:$C$50031))</f>
        <v/>
      </c>
      <c r="E33" s="20" t="str">
        <f>IF($C$33="","","peak at "&amp;TEXT(IFERROR(INDEX($B$79:$B$10025,MATCH($C$33,$C$79:$C$10025,0)),""),"ddd yyyy-mm-dd hh:mm"))</f>
        <v/>
      </c>
    </row>
    <row r="34" spans="1:15" ht="15" hidden="1" customHeight="1" outlineLevel="1" x14ac:dyDescent="0.35">
      <c r="B34" s="249" t="s">
        <v>424</v>
      </c>
      <c r="C34" s="40" t="str">
        <f>IF($C$28=0,"",IFERROR(INDEX($D$79:$D$50031,MATCH($C$33,$C$79:$C$50031,0)),""))</f>
        <v/>
      </c>
    </row>
    <row r="35" spans="1:15" ht="15" hidden="1" customHeight="1" outlineLevel="1" x14ac:dyDescent="0.35">
      <c r="B35" s="249" t="s">
        <v>425</v>
      </c>
      <c r="C35" s="38" t="str">
        <f>IF($C$28=0,"",IF(COUNT($E$79:$E$50031)&gt;0,MAX($E$79:$E$50031),IF(ISNUMBER(C34),SQRT(C33^2+C34^2),C33/C7)))</f>
        <v/>
      </c>
    </row>
    <row r="36" spans="1:15" ht="15" hidden="1" customHeight="1" outlineLevel="1" x14ac:dyDescent="0.35">
      <c r="B36" s="249" t="s">
        <v>1423</v>
      </c>
      <c r="C36" s="39" t="str">
        <f>IF(OR($C$28=0,$C$33="",$C$33=0),"",AVERAGE($C$79:$C$10025)/$C$33)</f>
        <v/>
      </c>
      <c r="E36" s="20" t="str">
        <f>IF($C$36="","",IF($C$36&gt;=0.6,"steady load — peak is representative",IF($C$36&gt;=0.35,"typical commercial profile","peaky load — the 125% figure is driven by short spikes, worth reviewing the duration curve")))</f>
        <v/>
      </c>
    </row>
    <row r="37" spans="1:15" ht="15" hidden="1" customHeight="1" collapsed="1" x14ac:dyDescent="0.35">
      <c r="B37" s="249"/>
      <c r="C37" s="487"/>
    </row>
    <row r="38" spans="1:15" ht="30" customHeight="1" x14ac:dyDescent="0.35">
      <c r="A38" s="612" t="s">
        <v>426</v>
      </c>
      <c r="B38" s="612"/>
      <c r="C38" s="612"/>
      <c r="D38" s="612"/>
      <c r="E38" s="612"/>
      <c r="F38" s="612"/>
      <c r="G38" s="612"/>
      <c r="H38" s="612"/>
      <c r="I38" s="612"/>
      <c r="J38" s="612"/>
      <c r="K38" s="612"/>
      <c r="L38" s="612"/>
      <c r="M38" s="612"/>
      <c r="N38" s="612"/>
      <c r="O38" s="612"/>
    </row>
    <row r="39" spans="1:15" ht="15" customHeight="1" x14ac:dyDescent="0.35">
      <c r="B39" s="257"/>
      <c r="C39" s="257"/>
      <c r="D39" s="257"/>
      <c r="E39" s="257"/>
      <c r="F39" s="257"/>
      <c r="G39" s="257"/>
      <c r="H39" s="257"/>
      <c r="I39" s="257"/>
      <c r="J39" s="257"/>
      <c r="K39" s="257"/>
      <c r="L39" s="257"/>
      <c r="M39" s="257"/>
      <c r="N39" s="257"/>
      <c r="O39" s="257"/>
    </row>
    <row r="40" spans="1:15" ht="15" customHeight="1" x14ac:dyDescent="0.35">
      <c r="B40" s="249" t="s">
        <v>427</v>
      </c>
      <c r="C40" s="134"/>
      <c r="D40" s="675" t="str" cm="1">
        <f t="array" ref="D40">IF(C40="Yes","✓",("⚠ NEC "&amp;NECREF("220.87")&amp;"(2): data must be taken while the building is at its period of maximum loading"))</f>
        <v>⚠ NEC 220.87(2): data must be taken while the building is at its period of maximum loading</v>
      </c>
      <c r="E40" s="617"/>
      <c r="F40" s="617"/>
      <c r="G40" s="617"/>
      <c r="H40" s="617"/>
      <c r="I40" s="617"/>
      <c r="J40" s="617"/>
      <c r="K40" s="617"/>
      <c r="L40" s="617"/>
      <c r="M40" s="617"/>
      <c r="N40" s="617"/>
      <c r="O40" s="617"/>
    </row>
    <row r="41" spans="1:15" ht="15" customHeight="1" x14ac:dyDescent="0.35">
      <c r="B41" s="249" t="s">
        <v>428</v>
      </c>
      <c r="C41" s="143">
        <v>1</v>
      </c>
      <c r="D41" s="675" t="s">
        <v>429</v>
      </c>
      <c r="E41" s="617"/>
      <c r="F41" s="617"/>
      <c r="G41" s="617"/>
      <c r="H41" s="617"/>
      <c r="I41" s="617"/>
      <c r="J41" s="617"/>
      <c r="K41" s="617"/>
      <c r="L41" s="617"/>
      <c r="M41" s="617"/>
      <c r="N41" s="617"/>
      <c r="O41" s="617"/>
    </row>
    <row r="42" spans="1:15" ht="15" customHeight="1" x14ac:dyDescent="0.35"/>
    <row r="43" spans="1:15" ht="30" customHeight="1" x14ac:dyDescent="0.35">
      <c r="A43" s="612" t="str" cm="1">
        <f t="array" ref="A43">"RESULTS — NEC "&amp;NECREF("220.87")&amp;" EXISTING LOAD"</f>
        <v>RESULTS — NEC 220.87 EXISTING LOAD</v>
      </c>
      <c r="B43" s="612"/>
      <c r="C43" s="612"/>
      <c r="D43" s="612"/>
      <c r="E43" s="612"/>
      <c r="F43" s="612"/>
      <c r="G43" s="612"/>
      <c r="H43" s="612"/>
      <c r="I43" s="612"/>
      <c r="J43" s="612"/>
      <c r="K43" s="612"/>
      <c r="L43" s="612"/>
      <c r="M43" s="612"/>
      <c r="N43" s="612"/>
      <c r="O43" s="612"/>
    </row>
    <row r="44" spans="1:15" ht="15" customHeight="1" x14ac:dyDescent="0.35">
      <c r="B44" s="257"/>
      <c r="C44" s="257"/>
      <c r="D44" s="257"/>
      <c r="E44" s="257"/>
      <c r="F44" s="257"/>
      <c r="G44" s="257"/>
      <c r="H44" s="257"/>
      <c r="I44" s="257"/>
      <c r="J44" s="257"/>
      <c r="K44" s="257"/>
      <c r="L44" s="257"/>
      <c r="M44" s="257"/>
      <c r="N44" s="257"/>
      <c r="O44" s="257"/>
    </row>
    <row r="45" spans="1:15" ht="15" customHeight="1" x14ac:dyDescent="0.35">
      <c r="B45" s="249" t="s">
        <v>430</v>
      </c>
      <c r="C45" s="40">
        <f>IF($C$6="Manual Peak Entry",IF(C20="",0,C20),IF(C28=0,0,C33))</f>
        <v>0</v>
      </c>
    </row>
    <row r="46" spans="1:15" ht="15" customHeight="1" x14ac:dyDescent="0.35">
      <c r="B46" s="249" t="s">
        <v>431</v>
      </c>
      <c r="C46" s="40">
        <f>IF($C$6="Manual Peak Entry",IF(C24="",0,C24),IF(C28=0,0,C35))</f>
        <v>0</v>
      </c>
    </row>
    <row r="47" spans="1:15" ht="15" customHeight="1" x14ac:dyDescent="0.35">
      <c r="B47" s="249" t="s">
        <v>432</v>
      </c>
      <c r="C47" s="40">
        <f>C46*C41</f>
        <v>0</v>
      </c>
    </row>
    <row r="48" spans="1:15" ht="15" customHeight="1" x14ac:dyDescent="0.35">
      <c r="B48" s="249" t="str" cm="1">
        <f t="array" ref="B48">"NEC "&amp;NECREF("220.87")&amp;" Existing Load = 125% × Adjusted Peak (kVA)"</f>
        <v>NEC 220.87 Existing Load = 125% × Adjusted Peak (kVA)</v>
      </c>
      <c r="C48" s="40">
        <f>C47*1.25</f>
        <v>0</v>
      </c>
    </row>
    <row r="49" spans="1:15" ht="15" customHeight="1" x14ac:dyDescent="0.35">
      <c r="B49" s="249" t="str" cm="1">
        <f t="array" ref="B49">"NEC "&amp;NECREF("220.87")&amp;" Existing Load (A)"</f>
        <v>NEC 220.87 Existing Load (A)</v>
      </c>
      <c r="C49" s="40" t="str">
        <f>IF(OR(C48=0,N(C8)=0),"",C48*1000/IF(C9=3,C8*SQRT(3),C8))</f>
        <v/>
      </c>
    </row>
    <row r="50" spans="1:15" ht="15" customHeight="1" x14ac:dyDescent="0.35">
      <c r="B50" s="249" t="s">
        <v>273</v>
      </c>
      <c r="C50" s="40" t="str">
        <f>IF(C11="","",C11)</f>
        <v/>
      </c>
    </row>
    <row r="51" spans="1:15" ht="15" customHeight="1" x14ac:dyDescent="0.35">
      <c r="B51" s="249" t="s">
        <v>322</v>
      </c>
      <c r="C51" s="40" t="str">
        <f>IF(C50="","",C50-C48)</f>
        <v/>
      </c>
    </row>
    <row r="52" spans="1:15" ht="15" customHeight="1" x14ac:dyDescent="0.35">
      <c r="B52" s="249" t="s">
        <v>274</v>
      </c>
      <c r="C52" s="40" t="str">
        <f>IF(C50="","",C48/C50)</f>
        <v/>
      </c>
    </row>
    <row r="53" spans="1:15" ht="15" customHeight="1" x14ac:dyDescent="0.35"/>
    <row r="54" spans="1:15" ht="30" hidden="1" customHeight="1" outlineLevel="1" x14ac:dyDescent="0.35">
      <c r="A54" s="612" t="s">
        <v>1429</v>
      </c>
      <c r="B54" s="612"/>
      <c r="C54" s="612"/>
      <c r="D54" s="612"/>
      <c r="E54" s="612"/>
      <c r="F54" s="612"/>
      <c r="G54" s="612"/>
      <c r="H54" s="612"/>
      <c r="I54" s="612"/>
      <c r="J54" s="612"/>
      <c r="K54" s="612"/>
      <c r="L54" s="612"/>
      <c r="M54" s="612"/>
      <c r="N54" s="612"/>
      <c r="O54" s="612"/>
    </row>
    <row r="55" spans="1:15" ht="15" hidden="1" customHeight="1" outlineLevel="1" x14ac:dyDescent="0.35">
      <c r="A55" s="677" t="s">
        <v>1430</v>
      </c>
      <c r="B55" s="678"/>
      <c r="C55" s="678"/>
      <c r="D55" s="678"/>
      <c r="E55" s="678"/>
      <c r="F55" s="678"/>
      <c r="G55" s="678"/>
      <c r="H55" s="678"/>
      <c r="I55" s="678"/>
      <c r="J55" s="678"/>
      <c r="K55" s="678"/>
      <c r="L55" s="678"/>
      <c r="M55" s="678"/>
      <c r="N55" s="678"/>
      <c r="O55" s="678"/>
    </row>
    <row r="56" spans="1:15" ht="15" hidden="1" customHeight="1" outlineLevel="1" x14ac:dyDescent="0.35"/>
    <row r="57" spans="1:15" ht="15" hidden="1" customHeight="1" outlineLevel="1" x14ac:dyDescent="0.35"/>
    <row r="58" spans="1:15" ht="15" hidden="1" customHeight="1" outlineLevel="1" x14ac:dyDescent="0.35"/>
    <row r="59" spans="1:15" ht="15" hidden="1" customHeight="1" outlineLevel="1" x14ac:dyDescent="0.35"/>
    <row r="60" spans="1:15" ht="15" hidden="1" customHeight="1" outlineLevel="1" x14ac:dyDescent="0.35"/>
    <row r="61" spans="1:15" ht="15" hidden="1" customHeight="1" outlineLevel="1" x14ac:dyDescent="0.35"/>
    <row r="62" spans="1:15" ht="15" hidden="1" customHeight="1" outlineLevel="1" x14ac:dyDescent="0.35"/>
    <row r="63" spans="1:15" ht="15" hidden="1" customHeight="1" outlineLevel="1" x14ac:dyDescent="0.35"/>
    <row r="64" spans="1:15" ht="15" hidden="1" customHeight="1" outlineLevel="1" x14ac:dyDescent="0.35"/>
    <row r="65" spans="1:15" ht="15" hidden="1" customHeight="1" outlineLevel="1" x14ac:dyDescent="0.35"/>
    <row r="66" spans="1:15" ht="15" hidden="1" customHeight="1" outlineLevel="1" x14ac:dyDescent="0.35"/>
    <row r="67" spans="1:15" ht="15" hidden="1" customHeight="1" outlineLevel="1" x14ac:dyDescent="0.35"/>
    <row r="68" spans="1:15" ht="15" hidden="1" customHeight="1" outlineLevel="1" x14ac:dyDescent="0.35"/>
    <row r="69" spans="1:15" ht="15" hidden="1" customHeight="1" outlineLevel="1" x14ac:dyDescent="0.35"/>
    <row r="70" spans="1:15" ht="15" hidden="1" customHeight="1" outlineLevel="1" x14ac:dyDescent="0.35"/>
    <row r="71" spans="1:15" ht="15" hidden="1" customHeight="1" outlineLevel="1" x14ac:dyDescent="0.35"/>
    <row r="72" spans="1:15" ht="15" hidden="1" customHeight="1" outlineLevel="1" x14ac:dyDescent="0.35"/>
    <row r="73" spans="1:15" ht="15" hidden="1" customHeight="1" outlineLevel="1" x14ac:dyDescent="0.35"/>
    <row r="74" spans="1:15" ht="15" hidden="1" customHeight="1" outlineLevel="1" x14ac:dyDescent="0.35"/>
    <row r="75" spans="1:15" ht="15" hidden="1" customHeight="1" collapsed="1" x14ac:dyDescent="0.35"/>
    <row r="76" spans="1:15" ht="30" hidden="1" customHeight="1" outlineLevel="1" x14ac:dyDescent="0.35">
      <c r="A76" s="612" t="s">
        <v>433</v>
      </c>
      <c r="B76" s="612"/>
      <c r="C76" s="612"/>
      <c r="D76" s="612"/>
      <c r="E76" s="612"/>
      <c r="F76" s="612"/>
      <c r="G76" s="612"/>
      <c r="H76" s="612"/>
      <c r="I76" s="612"/>
      <c r="J76" s="612"/>
      <c r="K76" s="612"/>
      <c r="L76" s="612"/>
      <c r="M76" s="612"/>
      <c r="N76" s="612"/>
      <c r="O76" s="612"/>
    </row>
    <row r="77" spans="1:15" ht="15" hidden="1" customHeight="1" outlineLevel="1" x14ac:dyDescent="0.35">
      <c r="B77" s="257"/>
      <c r="C77" s="257"/>
      <c r="D77" s="257"/>
      <c r="E77" s="257"/>
      <c r="F77" s="257"/>
      <c r="G77" s="676" t="s">
        <v>1421</v>
      </c>
      <c r="H77" s="676"/>
      <c r="I77" s="676"/>
      <c r="J77" s="676"/>
      <c r="K77" s="676"/>
      <c r="L77" s="257"/>
      <c r="M77" s="676" t="s">
        <v>1428</v>
      </c>
      <c r="N77" s="676"/>
      <c r="O77" s="676"/>
    </row>
    <row r="78" spans="1:15" ht="15" hidden="1" customHeight="1" outlineLevel="1" x14ac:dyDescent="0.45">
      <c r="B78" s="34" t="s">
        <v>434</v>
      </c>
      <c r="C78" s="34" t="s">
        <v>435</v>
      </c>
      <c r="D78" s="34" t="s">
        <v>436</v>
      </c>
      <c r="E78" s="34" t="s">
        <v>437</v>
      </c>
      <c r="F78" s="21"/>
      <c r="G78" s="21" t="s">
        <v>57</v>
      </c>
      <c r="H78" s="21" t="s">
        <v>1422</v>
      </c>
      <c r="I78" s="21" t="s">
        <v>318</v>
      </c>
      <c r="J78" s="21" t="s">
        <v>436</v>
      </c>
      <c r="K78" s="21" t="s">
        <v>437</v>
      </c>
      <c r="M78" s="24" t="s">
        <v>1426</v>
      </c>
      <c r="N78" s="24" t="s">
        <v>1427</v>
      </c>
    </row>
    <row r="79" spans="1:15" hidden="1" outlineLevel="1" x14ac:dyDescent="0.35">
      <c r="B79" s="203" t="str" cm="1">
        <f t="array" ref="B79">_xlfn.LET(_xlpm.g,$G$79:$G$10025,_xlpm.h,$H$79:$H$10025,_xlpm.i,$I$79:$I$10025,_xlpm.k,_xlpm.i&lt;&gt;"",IF(SUM(--_xlpm.k)=0,"",_xlfn.LET(_xlpm.gf,_xlfn._xlws.FILTER(_xlpm.g,_xlpm.k),_xlpm.hf,_xlfn._xlws.FILTER(_xlpm.h,_xlpm.k),_xlpm.d,_xlfn.SCAN(0,_xlpm.gf,_xlfn.LAMBDA(_xlpm.a,_xlpm.x,IF(_xlpm.x="",_xlpm.a,IF(ISNUMBER(_xlpm.x),_xlpm.x,IFERROR(DATEVALUE(_xlpm.x),_xlpm.a))))),_xlpm.t,IF(ISNUMBER(_xlpm.hf),MOD(_xlpm.hf,1),IFERROR(TIMEVALUE(_xlpm.hf),0)),_xlpm.d+_xlpm.t)))</f>
        <v/>
      </c>
      <c r="C79" s="204" t="str" cm="1">
        <f t="array" ref="C79">_xlfn.LET(_xlpm.i,$I$79:$I$10025,_xlpm.c,$I$79:$I$10025,_xlpm.k,_xlpm.i&lt;&gt;"",IF(SUM(--_xlpm.k)=0,"",_xlfn.LET(_xlpm.v,_xlfn._xlws.FILTER(_xlpm.c,_xlpm.k),IF(_xlpm.v="","",_xlpm.v))))</f>
        <v/>
      </c>
      <c r="D79" s="204" t="str" cm="1">
        <f t="array" ref="D79">_xlfn.LET(_xlpm.i,$I$79:$I$10025,_xlpm.c,$J$79:$J$10025,_xlpm.k,_xlpm.i&lt;&gt;"",IF(SUM(--_xlpm.k)=0,"",_xlfn.LET(_xlpm.v,_xlfn._xlws.FILTER(_xlpm.c,_xlpm.k),IF(_xlpm.v="","",_xlpm.v))))</f>
        <v/>
      </c>
      <c r="E79" s="204" t="str" cm="1">
        <f t="array" ref="E79">_xlfn.LET(_xlpm.i,$I$79:$I$10025,_xlpm.c,$K$79:$K$10025,_xlpm.k,_xlpm.i&lt;&gt;"",IF(SUM(--_xlpm.k)=0,"",_xlfn.LET(_xlpm.v,_xlfn._xlws.FILTER(_xlpm.c,_xlpm.k),IF(_xlpm.v="","",_xlpm.v))))</f>
        <v/>
      </c>
      <c r="F79" s="205"/>
      <c r="G79" s="548"/>
      <c r="H79" s="550"/>
      <c r="I79" s="326"/>
      <c r="J79" s="326"/>
      <c r="K79" s="326"/>
      <c r="M79" s="463" t="str" cm="1">
        <f t="array" ref="M79">IF($C$28=0,"",IFERROR(_xlfn.SEQUENCE(ROWS(_xlfn.ANCHORARRAY($N$79)))/ROWS(_xlfn.ANCHORARRAY($N$79)),""))</f>
        <v/>
      </c>
      <c r="N79" s="464" t="str" cm="1">
        <f t="array" ref="N79">IFERROR(_xlfn._xlws.SORT(_xlfn._xlws.FILTER($C$79:$C$10025,$C$79:$C$10025&lt;&gt;""),1,-1),"")</f>
        <v/>
      </c>
    </row>
    <row r="80" spans="1:15" hidden="1" outlineLevel="1" x14ac:dyDescent="0.35">
      <c r="B80" s="203"/>
      <c r="C80" s="204"/>
      <c r="D80" s="204"/>
      <c r="E80" s="204"/>
      <c r="F80" s="205"/>
      <c r="G80" s="548"/>
      <c r="H80" s="550"/>
      <c r="I80" s="326"/>
      <c r="J80" s="326"/>
      <c r="K80" s="326"/>
      <c r="M80" s="463"/>
      <c r="N80" s="464"/>
    </row>
    <row r="81" spans="2:14" hidden="1" outlineLevel="1" x14ac:dyDescent="0.35">
      <c r="B81" s="203"/>
      <c r="C81" s="204"/>
      <c r="D81" s="204"/>
      <c r="E81" s="204"/>
      <c r="F81" s="205"/>
      <c r="G81" s="548"/>
      <c r="H81" s="550"/>
      <c r="I81" s="326"/>
      <c r="J81" s="326"/>
      <c r="K81" s="326"/>
      <c r="M81" s="463"/>
      <c r="N81" s="464"/>
    </row>
    <row r="82" spans="2:14" hidden="1" outlineLevel="1" x14ac:dyDescent="0.35">
      <c r="B82" s="203"/>
      <c r="C82" s="204"/>
      <c r="D82" s="204"/>
      <c r="E82" s="204"/>
      <c r="F82" s="205"/>
      <c r="G82" s="548"/>
      <c r="H82" s="550"/>
      <c r="I82" s="326"/>
      <c r="J82" s="326"/>
      <c r="K82" s="326"/>
      <c r="M82" s="463"/>
      <c r="N82" s="464"/>
    </row>
    <row r="83" spans="2:14" hidden="1" outlineLevel="1" x14ac:dyDescent="0.35">
      <c r="B83" s="203"/>
      <c r="C83" s="204"/>
      <c r="D83" s="204"/>
      <c r="E83" s="204"/>
      <c r="F83" s="205"/>
      <c r="G83" s="548"/>
      <c r="H83" s="550"/>
      <c r="I83" s="326"/>
      <c r="J83" s="326"/>
      <c r="K83" s="326"/>
      <c r="M83" s="463"/>
      <c r="N83" s="464"/>
    </row>
    <row r="84" spans="2:14" hidden="1" outlineLevel="1" x14ac:dyDescent="0.35">
      <c r="B84" s="203"/>
      <c r="C84" s="204"/>
      <c r="D84" s="204"/>
      <c r="E84" s="204"/>
      <c r="F84" s="205"/>
      <c r="G84" s="548"/>
      <c r="H84" s="550"/>
      <c r="I84" s="326"/>
      <c r="J84" s="326"/>
      <c r="K84" s="326"/>
      <c r="M84" s="463"/>
      <c r="N84" s="464"/>
    </row>
    <row r="85" spans="2:14" hidden="1" outlineLevel="1" x14ac:dyDescent="0.35">
      <c r="B85" s="203"/>
      <c r="C85" s="204"/>
      <c r="D85" s="204"/>
      <c r="E85" s="204"/>
      <c r="F85" s="205"/>
      <c r="G85" s="548"/>
      <c r="H85" s="550"/>
      <c r="I85" s="326"/>
      <c r="J85" s="326"/>
      <c r="K85" s="326"/>
      <c r="M85" s="463"/>
      <c r="N85" s="464"/>
    </row>
    <row r="86" spans="2:14" hidden="1" outlineLevel="1" x14ac:dyDescent="0.35">
      <c r="B86" s="203"/>
      <c r="C86" s="204"/>
      <c r="D86" s="204"/>
      <c r="E86" s="204"/>
      <c r="F86" s="205"/>
      <c r="G86" s="548"/>
      <c r="H86" s="550"/>
      <c r="I86" s="326"/>
      <c r="J86" s="326"/>
      <c r="K86" s="326"/>
      <c r="M86" s="463"/>
      <c r="N86" s="464"/>
    </row>
    <row r="87" spans="2:14" hidden="1" outlineLevel="1" x14ac:dyDescent="0.35">
      <c r="B87" s="203"/>
      <c r="C87" s="204"/>
      <c r="D87" s="204"/>
      <c r="E87" s="204"/>
      <c r="F87" s="205"/>
      <c r="G87" s="548"/>
      <c r="H87" s="550"/>
      <c r="I87" s="326"/>
      <c r="J87" s="326"/>
      <c r="K87" s="326"/>
      <c r="M87" s="463"/>
      <c r="N87" s="464"/>
    </row>
    <row r="88" spans="2:14" hidden="1" outlineLevel="1" x14ac:dyDescent="0.35">
      <c r="B88" s="203"/>
      <c r="C88" s="204"/>
      <c r="D88" s="204"/>
      <c r="E88" s="204"/>
      <c r="F88" s="205"/>
      <c r="G88" s="548"/>
      <c r="H88" s="550"/>
      <c r="I88" s="326"/>
      <c r="J88" s="326"/>
      <c r="K88" s="326"/>
      <c r="M88" s="463"/>
      <c r="N88" s="464"/>
    </row>
    <row r="89" spans="2:14" hidden="1" outlineLevel="1" x14ac:dyDescent="0.35">
      <c r="B89" s="203"/>
      <c r="C89" s="204"/>
      <c r="D89" s="204"/>
      <c r="E89" s="204"/>
      <c r="F89" s="205"/>
      <c r="G89" s="548"/>
      <c r="H89" s="550"/>
      <c r="I89" s="326"/>
      <c r="J89" s="326"/>
      <c r="K89" s="326"/>
      <c r="M89" s="463"/>
      <c r="N89" s="464"/>
    </row>
    <row r="90" spans="2:14" hidden="1" outlineLevel="1" x14ac:dyDescent="0.35">
      <c r="B90" s="203"/>
      <c r="C90" s="204"/>
      <c r="D90" s="204"/>
      <c r="E90" s="204"/>
      <c r="F90" s="205"/>
      <c r="G90" s="548"/>
      <c r="H90" s="550"/>
      <c r="I90" s="326"/>
      <c r="J90" s="326"/>
      <c r="K90" s="326"/>
      <c r="M90" s="463"/>
      <c r="N90" s="464"/>
    </row>
    <row r="91" spans="2:14" hidden="1" outlineLevel="1" x14ac:dyDescent="0.35">
      <c r="B91" s="203"/>
      <c r="C91" s="204"/>
      <c r="D91" s="204"/>
      <c r="E91" s="204"/>
      <c r="F91" s="205"/>
      <c r="G91" s="548"/>
      <c r="H91" s="550"/>
      <c r="I91" s="326"/>
      <c r="J91" s="326"/>
      <c r="K91" s="326"/>
      <c r="M91" s="463"/>
      <c r="N91" s="464"/>
    </row>
    <row r="92" spans="2:14" hidden="1" outlineLevel="1" x14ac:dyDescent="0.35">
      <c r="B92" s="203"/>
      <c r="C92" s="204"/>
      <c r="D92" s="204"/>
      <c r="E92" s="204"/>
      <c r="F92" s="205"/>
      <c r="G92" s="548"/>
      <c r="H92" s="550"/>
      <c r="I92" s="326"/>
      <c r="J92" s="326"/>
      <c r="K92" s="326"/>
      <c r="M92" s="463"/>
      <c r="N92" s="464"/>
    </row>
    <row r="93" spans="2:14" hidden="1" outlineLevel="1" x14ac:dyDescent="0.35">
      <c r="B93" s="203"/>
      <c r="C93" s="204"/>
      <c r="D93" s="204"/>
      <c r="E93" s="204"/>
      <c r="F93" s="205"/>
      <c r="G93" s="548"/>
      <c r="H93" s="550"/>
      <c r="I93" s="326"/>
      <c r="J93" s="326"/>
      <c r="K93" s="326"/>
      <c r="M93" s="463"/>
      <c r="N93" s="464"/>
    </row>
    <row r="94" spans="2:14" hidden="1" outlineLevel="1" x14ac:dyDescent="0.35">
      <c r="B94" s="203"/>
      <c r="C94" s="204"/>
      <c r="D94" s="204"/>
      <c r="E94" s="204"/>
      <c r="F94" s="205"/>
      <c r="G94" s="548"/>
      <c r="H94" s="550"/>
      <c r="I94" s="326"/>
      <c r="J94" s="326"/>
      <c r="K94" s="326"/>
      <c r="M94" s="463"/>
      <c r="N94" s="464"/>
    </row>
    <row r="95" spans="2:14" hidden="1" outlineLevel="1" x14ac:dyDescent="0.35">
      <c r="B95" s="203"/>
      <c r="C95" s="204"/>
      <c r="D95" s="204"/>
      <c r="E95" s="204"/>
      <c r="F95" s="205"/>
      <c r="G95" s="548"/>
      <c r="H95" s="550"/>
      <c r="I95" s="326"/>
      <c r="J95" s="326"/>
      <c r="K95" s="326"/>
      <c r="M95" s="463"/>
      <c r="N95" s="464"/>
    </row>
    <row r="96" spans="2:14" hidden="1" outlineLevel="1" x14ac:dyDescent="0.35">
      <c r="B96" s="203"/>
      <c r="C96" s="204"/>
      <c r="D96" s="204"/>
      <c r="E96" s="204"/>
      <c r="F96" s="205"/>
      <c r="G96" s="548"/>
      <c r="H96" s="550"/>
      <c r="I96" s="326"/>
      <c r="J96" s="326"/>
      <c r="K96" s="326"/>
      <c r="M96" s="463"/>
      <c r="N96" s="464"/>
    </row>
    <row r="97" spans="2:14" hidden="1" outlineLevel="1" x14ac:dyDescent="0.35">
      <c r="B97" s="203"/>
      <c r="C97" s="204"/>
      <c r="D97" s="204"/>
      <c r="E97" s="204"/>
      <c r="F97" s="205"/>
      <c r="G97" s="548"/>
      <c r="H97" s="550"/>
      <c r="I97" s="326"/>
      <c r="J97" s="326"/>
      <c r="K97" s="326"/>
      <c r="M97" s="463"/>
      <c r="N97" s="464"/>
    </row>
    <row r="98" spans="2:14" hidden="1" outlineLevel="1" x14ac:dyDescent="0.35">
      <c r="B98" s="203"/>
      <c r="C98" s="204"/>
      <c r="D98" s="204"/>
      <c r="E98" s="204"/>
      <c r="F98" s="205"/>
      <c r="G98" s="548"/>
      <c r="H98" s="550"/>
      <c r="I98" s="326"/>
      <c r="J98" s="326"/>
      <c r="K98" s="326"/>
      <c r="M98" s="463"/>
      <c r="N98" s="464"/>
    </row>
    <row r="99" spans="2:14" hidden="1" outlineLevel="1" x14ac:dyDescent="0.35">
      <c r="B99" s="203"/>
      <c r="C99" s="204"/>
      <c r="D99" s="204"/>
      <c r="E99" s="204"/>
      <c r="F99" s="205"/>
      <c r="G99" s="548"/>
      <c r="H99" s="550"/>
      <c r="I99" s="326"/>
      <c r="J99" s="326"/>
      <c r="K99" s="326"/>
      <c r="M99" s="463"/>
      <c r="N99" s="464"/>
    </row>
    <row r="100" spans="2:14" hidden="1" outlineLevel="1" x14ac:dyDescent="0.35">
      <c r="B100" s="203"/>
      <c r="C100" s="204"/>
      <c r="D100" s="204"/>
      <c r="E100" s="204"/>
      <c r="F100" s="205"/>
      <c r="G100" s="548"/>
      <c r="H100" s="550"/>
      <c r="I100" s="326"/>
      <c r="J100" s="326"/>
      <c r="K100" s="326"/>
      <c r="M100" s="463"/>
      <c r="N100" s="464"/>
    </row>
    <row r="101" spans="2:14" hidden="1" outlineLevel="1" x14ac:dyDescent="0.35">
      <c r="B101" s="203"/>
      <c r="C101" s="204"/>
      <c r="D101" s="204"/>
      <c r="E101" s="204"/>
      <c r="F101" s="205"/>
      <c r="G101" s="548"/>
      <c r="H101" s="550"/>
      <c r="I101" s="326"/>
      <c r="J101" s="326"/>
      <c r="K101" s="326"/>
      <c r="M101" s="463"/>
      <c r="N101" s="464"/>
    </row>
    <row r="102" spans="2:14" hidden="1" outlineLevel="1" x14ac:dyDescent="0.35">
      <c r="B102" s="203"/>
      <c r="C102" s="204"/>
      <c r="D102" s="204"/>
      <c r="E102" s="204"/>
      <c r="F102" s="205"/>
      <c r="G102" s="548"/>
      <c r="H102" s="550"/>
      <c r="I102" s="326"/>
      <c r="J102" s="326"/>
      <c r="K102" s="326"/>
      <c r="M102" s="463"/>
      <c r="N102" s="464"/>
    </row>
    <row r="103" spans="2:14" hidden="1" outlineLevel="1" x14ac:dyDescent="0.35">
      <c r="B103" s="203"/>
      <c r="C103" s="204"/>
      <c r="D103" s="204"/>
      <c r="E103" s="204"/>
      <c r="F103" s="205"/>
      <c r="G103" s="548"/>
      <c r="H103" s="550"/>
      <c r="I103" s="326"/>
      <c r="J103" s="326"/>
      <c r="K103" s="326"/>
      <c r="M103" s="463"/>
      <c r="N103" s="464"/>
    </row>
    <row r="104" spans="2:14" hidden="1" outlineLevel="1" x14ac:dyDescent="0.35">
      <c r="B104" s="203"/>
      <c r="C104" s="204"/>
      <c r="D104" s="204"/>
      <c r="E104" s="204"/>
      <c r="F104" s="205"/>
      <c r="G104" s="548"/>
      <c r="H104" s="550"/>
      <c r="I104" s="326"/>
      <c r="J104" s="326"/>
      <c r="K104" s="326"/>
      <c r="M104" s="463"/>
      <c r="N104" s="464"/>
    </row>
    <row r="105" spans="2:14" hidden="1" outlineLevel="1" x14ac:dyDescent="0.35">
      <c r="B105" s="203"/>
      <c r="C105" s="204"/>
      <c r="D105" s="204"/>
      <c r="E105" s="204"/>
      <c r="F105" s="205"/>
      <c r="G105" s="548"/>
      <c r="H105" s="550"/>
      <c r="I105" s="326"/>
      <c r="J105" s="326"/>
      <c r="K105" s="326"/>
      <c r="M105" s="463"/>
      <c r="N105" s="464"/>
    </row>
    <row r="106" spans="2:14" hidden="1" outlineLevel="1" x14ac:dyDescent="0.35">
      <c r="B106" s="203"/>
      <c r="C106" s="204"/>
      <c r="D106" s="204"/>
      <c r="E106" s="204"/>
      <c r="F106" s="205"/>
      <c r="G106" s="548"/>
      <c r="H106" s="550"/>
      <c r="I106" s="326"/>
      <c r="J106" s="326"/>
      <c r="K106" s="326"/>
      <c r="M106" s="463"/>
      <c r="N106" s="464"/>
    </row>
    <row r="107" spans="2:14" hidden="1" outlineLevel="1" x14ac:dyDescent="0.35">
      <c r="B107" s="203"/>
      <c r="C107" s="204"/>
      <c r="D107" s="204"/>
      <c r="E107" s="204"/>
      <c r="F107" s="205"/>
      <c r="G107" s="548"/>
      <c r="H107" s="550"/>
      <c r="I107" s="326"/>
      <c r="J107" s="326"/>
      <c r="K107" s="326"/>
      <c r="M107" s="463"/>
      <c r="N107" s="464"/>
    </row>
    <row r="108" spans="2:14" hidden="1" outlineLevel="1" x14ac:dyDescent="0.35">
      <c r="B108" s="203"/>
      <c r="C108" s="204"/>
      <c r="D108" s="204"/>
      <c r="E108" s="204"/>
      <c r="F108" s="205"/>
      <c r="G108" s="548"/>
      <c r="H108" s="550"/>
      <c r="I108" s="326"/>
      <c r="J108" s="326"/>
      <c r="K108" s="326"/>
      <c r="M108" s="463"/>
      <c r="N108" s="464"/>
    </row>
    <row r="109" spans="2:14" hidden="1" outlineLevel="1" x14ac:dyDescent="0.35">
      <c r="B109" s="203"/>
      <c r="C109" s="204"/>
      <c r="D109" s="204"/>
      <c r="E109" s="204"/>
      <c r="F109" s="205"/>
      <c r="G109" s="548"/>
      <c r="H109" s="550"/>
      <c r="I109" s="326"/>
      <c r="J109" s="326"/>
      <c r="K109" s="326"/>
      <c r="M109" s="463"/>
      <c r="N109" s="464"/>
    </row>
    <row r="110" spans="2:14" hidden="1" outlineLevel="1" x14ac:dyDescent="0.35">
      <c r="B110" s="203"/>
      <c r="C110" s="204"/>
      <c r="D110" s="204"/>
      <c r="E110" s="204"/>
      <c r="F110" s="205"/>
      <c r="G110" s="548"/>
      <c r="H110" s="550"/>
      <c r="I110" s="326"/>
      <c r="J110" s="326"/>
      <c r="K110" s="326"/>
      <c r="M110" s="463"/>
      <c r="N110" s="464"/>
    </row>
    <row r="111" spans="2:14" hidden="1" outlineLevel="1" x14ac:dyDescent="0.35">
      <c r="B111" s="203"/>
      <c r="C111" s="204"/>
      <c r="D111" s="204"/>
      <c r="E111" s="204"/>
      <c r="F111" s="205"/>
      <c r="G111" s="548"/>
      <c r="H111" s="550"/>
      <c r="I111" s="326"/>
      <c r="J111" s="326"/>
      <c r="K111" s="326"/>
      <c r="M111" s="463"/>
      <c r="N111" s="464"/>
    </row>
    <row r="112" spans="2:14" hidden="1" outlineLevel="1" x14ac:dyDescent="0.35">
      <c r="B112" s="203"/>
      <c r="C112" s="204"/>
      <c r="D112" s="204"/>
      <c r="E112" s="204"/>
      <c r="F112" s="205"/>
      <c r="G112" s="548"/>
      <c r="H112" s="550"/>
      <c r="I112" s="326"/>
      <c r="J112" s="326"/>
      <c r="K112" s="326"/>
      <c r="M112" s="463"/>
      <c r="N112" s="464"/>
    </row>
    <row r="113" spans="2:14" hidden="1" outlineLevel="1" x14ac:dyDescent="0.35">
      <c r="B113" s="203"/>
      <c r="C113" s="204"/>
      <c r="D113" s="204"/>
      <c r="E113" s="204"/>
      <c r="F113" s="205"/>
      <c r="G113" s="548"/>
      <c r="H113" s="550"/>
      <c r="I113" s="326"/>
      <c r="J113" s="326"/>
      <c r="K113" s="326"/>
      <c r="M113" s="463"/>
      <c r="N113" s="464"/>
    </row>
    <row r="114" spans="2:14" hidden="1" outlineLevel="1" x14ac:dyDescent="0.35">
      <c r="B114" s="203"/>
      <c r="C114" s="204"/>
      <c r="D114" s="204"/>
      <c r="E114" s="204"/>
      <c r="F114" s="205"/>
      <c r="G114" s="548"/>
      <c r="H114" s="550"/>
      <c r="I114" s="326"/>
      <c r="J114" s="326"/>
      <c r="K114" s="326"/>
      <c r="M114" s="463"/>
      <c r="N114" s="464"/>
    </row>
    <row r="115" spans="2:14" hidden="1" outlineLevel="1" x14ac:dyDescent="0.35">
      <c r="B115" s="203"/>
      <c r="C115" s="204"/>
      <c r="D115" s="204"/>
      <c r="E115" s="204"/>
      <c r="F115" s="205"/>
      <c r="G115" s="548"/>
      <c r="H115" s="550"/>
      <c r="I115" s="326"/>
      <c r="J115" s="326"/>
      <c r="K115" s="326"/>
      <c r="M115" s="463"/>
      <c r="N115" s="464"/>
    </row>
    <row r="116" spans="2:14" hidden="1" outlineLevel="1" x14ac:dyDescent="0.35">
      <c r="B116" s="203"/>
      <c r="C116" s="204"/>
      <c r="D116" s="204"/>
      <c r="E116" s="204"/>
      <c r="F116" s="205"/>
      <c r="G116" s="548"/>
      <c r="H116" s="550"/>
      <c r="I116" s="326"/>
      <c r="J116" s="326"/>
      <c r="K116" s="326"/>
      <c r="M116" s="463"/>
      <c r="N116" s="464"/>
    </row>
    <row r="117" spans="2:14" hidden="1" outlineLevel="1" x14ac:dyDescent="0.35">
      <c r="B117" s="203"/>
      <c r="C117" s="204"/>
      <c r="D117" s="204"/>
      <c r="E117" s="204"/>
      <c r="F117" s="205"/>
      <c r="G117" s="548"/>
      <c r="H117" s="550"/>
      <c r="I117" s="326"/>
      <c r="J117" s="326"/>
      <c r="K117" s="326"/>
      <c r="M117" s="463"/>
      <c r="N117" s="464"/>
    </row>
    <row r="118" spans="2:14" hidden="1" outlineLevel="1" x14ac:dyDescent="0.35">
      <c r="B118" s="203"/>
      <c r="C118" s="204"/>
      <c r="D118" s="204"/>
      <c r="E118" s="204"/>
      <c r="F118" s="205"/>
      <c r="G118" s="548"/>
      <c r="H118" s="550"/>
      <c r="I118" s="326"/>
      <c r="J118" s="326"/>
      <c r="K118" s="326"/>
      <c r="M118" s="463"/>
      <c r="N118" s="464"/>
    </row>
    <row r="119" spans="2:14" hidden="1" outlineLevel="1" x14ac:dyDescent="0.35">
      <c r="B119" s="203"/>
      <c r="C119" s="204"/>
      <c r="D119" s="204"/>
      <c r="E119" s="204"/>
      <c r="F119" s="205"/>
      <c r="G119" s="548"/>
      <c r="H119" s="550"/>
      <c r="I119" s="326"/>
      <c r="J119" s="326"/>
      <c r="K119" s="326"/>
      <c r="M119" s="463"/>
      <c r="N119" s="464"/>
    </row>
    <row r="120" spans="2:14" hidden="1" outlineLevel="1" x14ac:dyDescent="0.35">
      <c r="B120" s="203"/>
      <c r="C120" s="204"/>
      <c r="D120" s="204"/>
      <c r="E120" s="204"/>
      <c r="F120" s="205"/>
      <c r="G120" s="548"/>
      <c r="H120" s="550"/>
      <c r="I120" s="326"/>
      <c r="J120" s="326"/>
      <c r="K120" s="326"/>
      <c r="M120" s="463"/>
      <c r="N120" s="464"/>
    </row>
    <row r="121" spans="2:14" hidden="1" outlineLevel="1" x14ac:dyDescent="0.35">
      <c r="B121" s="203"/>
      <c r="C121" s="204"/>
      <c r="D121" s="204"/>
      <c r="E121" s="204"/>
      <c r="F121" s="205"/>
      <c r="G121" s="548"/>
      <c r="H121" s="550"/>
      <c r="I121" s="326"/>
      <c r="J121" s="326"/>
      <c r="K121" s="326"/>
      <c r="M121" s="463"/>
      <c r="N121" s="464"/>
    </row>
    <row r="122" spans="2:14" hidden="1" outlineLevel="1" x14ac:dyDescent="0.35">
      <c r="B122" s="203"/>
      <c r="C122" s="204"/>
      <c r="D122" s="204"/>
      <c r="E122" s="204"/>
      <c r="F122" s="205"/>
      <c r="G122" s="548"/>
      <c r="H122" s="550"/>
      <c r="I122" s="326"/>
      <c r="J122" s="326"/>
      <c r="K122" s="326"/>
      <c r="M122" s="463"/>
      <c r="N122" s="464"/>
    </row>
    <row r="123" spans="2:14" hidden="1" outlineLevel="1" x14ac:dyDescent="0.35">
      <c r="B123" s="203"/>
      <c r="C123" s="204"/>
      <c r="D123" s="204"/>
      <c r="E123" s="204"/>
      <c r="F123" s="205"/>
      <c r="G123" s="548"/>
      <c r="H123" s="550"/>
      <c r="I123" s="326"/>
      <c r="J123" s="326"/>
      <c r="K123" s="326"/>
      <c r="M123" s="463"/>
      <c r="N123" s="464"/>
    </row>
    <row r="124" spans="2:14" hidden="1" outlineLevel="1" x14ac:dyDescent="0.35">
      <c r="B124" s="203"/>
      <c r="C124" s="204"/>
      <c r="D124" s="204"/>
      <c r="E124" s="204"/>
      <c r="F124" s="205"/>
      <c r="G124" s="548"/>
      <c r="H124" s="550"/>
      <c r="I124" s="326"/>
      <c r="J124" s="326"/>
      <c r="K124" s="326"/>
      <c r="M124" s="463"/>
      <c r="N124" s="464"/>
    </row>
    <row r="125" spans="2:14" hidden="1" outlineLevel="1" x14ac:dyDescent="0.35">
      <c r="B125" s="203"/>
      <c r="C125" s="204"/>
      <c r="D125" s="204"/>
      <c r="E125" s="204"/>
      <c r="F125" s="205"/>
      <c r="G125" s="548"/>
      <c r="H125" s="550"/>
      <c r="I125" s="326"/>
      <c r="J125" s="326"/>
      <c r="K125" s="326"/>
      <c r="M125" s="463"/>
      <c r="N125" s="464"/>
    </row>
    <row r="126" spans="2:14" hidden="1" outlineLevel="1" x14ac:dyDescent="0.35">
      <c r="B126" s="203"/>
      <c r="C126" s="204"/>
      <c r="D126" s="204"/>
      <c r="E126" s="204"/>
      <c r="F126" s="205"/>
      <c r="G126" s="548"/>
      <c r="H126" s="550"/>
      <c r="I126" s="326"/>
      <c r="J126" s="326"/>
      <c r="K126" s="326"/>
      <c r="M126" s="463"/>
      <c r="N126" s="464"/>
    </row>
    <row r="127" spans="2:14" hidden="1" outlineLevel="1" x14ac:dyDescent="0.35">
      <c r="B127" s="203"/>
      <c r="C127" s="204"/>
      <c r="D127" s="204"/>
      <c r="E127" s="204"/>
      <c r="F127" s="205"/>
      <c r="G127" s="548"/>
      <c r="H127" s="550"/>
      <c r="I127" s="326"/>
      <c r="J127" s="326"/>
      <c r="K127" s="326"/>
      <c r="M127" s="463"/>
      <c r="N127" s="464"/>
    </row>
    <row r="128" spans="2:14" hidden="1" outlineLevel="1" x14ac:dyDescent="0.35">
      <c r="B128" s="203"/>
      <c r="C128" s="204"/>
      <c r="D128" s="204"/>
      <c r="E128" s="204"/>
      <c r="F128" s="205"/>
      <c r="G128" s="548"/>
      <c r="H128" s="550"/>
      <c r="I128" s="326"/>
      <c r="J128" s="326"/>
      <c r="K128" s="326"/>
      <c r="M128" s="463"/>
      <c r="N128" s="464"/>
    </row>
    <row r="129" spans="2:14" hidden="1" outlineLevel="1" x14ac:dyDescent="0.35">
      <c r="B129" s="203"/>
      <c r="C129" s="204"/>
      <c r="D129" s="204"/>
      <c r="E129" s="204"/>
      <c r="F129" s="205"/>
      <c r="G129" s="548"/>
      <c r="H129" s="550"/>
      <c r="I129" s="326"/>
      <c r="J129" s="326"/>
      <c r="K129" s="326"/>
      <c r="M129" s="463"/>
      <c r="N129" s="464"/>
    </row>
    <row r="130" spans="2:14" hidden="1" outlineLevel="1" x14ac:dyDescent="0.35">
      <c r="B130" s="203"/>
      <c r="C130" s="204"/>
      <c r="D130" s="204"/>
      <c r="E130" s="204"/>
      <c r="F130" s="205"/>
      <c r="G130" s="548"/>
      <c r="H130" s="550"/>
      <c r="I130" s="326"/>
      <c r="J130" s="326"/>
      <c r="K130" s="326"/>
      <c r="M130" s="463"/>
      <c r="N130" s="464"/>
    </row>
    <row r="131" spans="2:14" hidden="1" outlineLevel="1" x14ac:dyDescent="0.35">
      <c r="B131" s="203"/>
      <c r="C131" s="204"/>
      <c r="D131" s="204"/>
      <c r="E131" s="204"/>
      <c r="F131" s="205"/>
      <c r="G131" s="548"/>
      <c r="H131" s="550"/>
      <c r="I131" s="326"/>
      <c r="J131" s="326"/>
      <c r="K131" s="326"/>
      <c r="M131" s="463"/>
      <c r="N131" s="464"/>
    </row>
    <row r="132" spans="2:14" hidden="1" outlineLevel="1" x14ac:dyDescent="0.35">
      <c r="B132" s="203"/>
      <c r="C132" s="204"/>
      <c r="D132" s="204"/>
      <c r="E132" s="204"/>
      <c r="F132" s="205"/>
      <c r="G132" s="548"/>
      <c r="H132" s="550"/>
      <c r="I132" s="326"/>
      <c r="J132" s="326"/>
      <c r="K132" s="326"/>
      <c r="M132" s="463"/>
      <c r="N132" s="464"/>
    </row>
    <row r="133" spans="2:14" hidden="1" outlineLevel="1" x14ac:dyDescent="0.35">
      <c r="B133" s="203"/>
      <c r="C133" s="204"/>
      <c r="D133" s="204"/>
      <c r="E133" s="204"/>
      <c r="F133" s="205"/>
      <c r="G133" s="548"/>
      <c r="H133" s="550"/>
      <c r="I133" s="326"/>
      <c r="J133" s="326"/>
      <c r="K133" s="326"/>
      <c r="M133" s="463"/>
      <c r="N133" s="464"/>
    </row>
    <row r="134" spans="2:14" hidden="1" outlineLevel="1" x14ac:dyDescent="0.35">
      <c r="B134" s="203"/>
      <c r="C134" s="204"/>
      <c r="D134" s="204"/>
      <c r="E134" s="204"/>
      <c r="F134" s="205"/>
      <c r="G134" s="548"/>
      <c r="H134" s="550"/>
      <c r="I134" s="326"/>
      <c r="J134" s="326"/>
      <c r="K134" s="326"/>
      <c r="M134" s="463"/>
      <c r="N134" s="464"/>
    </row>
    <row r="135" spans="2:14" hidden="1" outlineLevel="1" x14ac:dyDescent="0.35">
      <c r="B135" s="203"/>
      <c r="C135" s="204"/>
      <c r="D135" s="204"/>
      <c r="E135" s="204"/>
      <c r="F135" s="205"/>
      <c r="G135" s="548"/>
      <c r="H135" s="550"/>
      <c r="I135" s="326"/>
      <c r="J135" s="326"/>
      <c r="K135" s="326"/>
      <c r="M135" s="463"/>
      <c r="N135" s="464"/>
    </row>
    <row r="136" spans="2:14" hidden="1" outlineLevel="1" x14ac:dyDescent="0.35">
      <c r="B136" s="203"/>
      <c r="C136" s="204"/>
      <c r="D136" s="204"/>
      <c r="E136" s="204"/>
      <c r="F136" s="205"/>
      <c r="G136" s="548"/>
      <c r="H136" s="550"/>
      <c r="I136" s="326"/>
      <c r="J136" s="326"/>
      <c r="K136" s="326"/>
      <c r="M136" s="463"/>
      <c r="N136" s="464"/>
    </row>
    <row r="137" spans="2:14" hidden="1" outlineLevel="1" x14ac:dyDescent="0.35">
      <c r="B137" s="203"/>
      <c r="C137" s="204"/>
      <c r="D137" s="204"/>
      <c r="E137" s="204"/>
      <c r="F137" s="205"/>
      <c r="G137" s="548"/>
      <c r="H137" s="550"/>
      <c r="I137" s="326"/>
      <c r="J137" s="326"/>
      <c r="K137" s="326"/>
      <c r="M137" s="463"/>
      <c r="N137" s="464"/>
    </row>
    <row r="138" spans="2:14" hidden="1" outlineLevel="1" x14ac:dyDescent="0.35">
      <c r="B138" s="203"/>
      <c r="C138" s="204"/>
      <c r="D138" s="204"/>
      <c r="E138" s="204"/>
      <c r="F138" s="205"/>
      <c r="G138" s="548"/>
      <c r="H138" s="550"/>
      <c r="I138" s="326"/>
      <c r="J138" s="326"/>
      <c r="K138" s="326"/>
      <c r="M138" s="463"/>
      <c r="N138" s="464"/>
    </row>
    <row r="139" spans="2:14" hidden="1" outlineLevel="1" x14ac:dyDescent="0.35">
      <c r="B139" s="203"/>
      <c r="C139" s="204"/>
      <c r="D139" s="204"/>
      <c r="E139" s="204"/>
      <c r="F139" s="205"/>
      <c r="G139" s="548"/>
      <c r="H139" s="550"/>
      <c r="I139" s="326"/>
      <c r="J139" s="326"/>
      <c r="K139" s="326"/>
      <c r="M139" s="463"/>
      <c r="N139" s="464"/>
    </row>
    <row r="140" spans="2:14" hidden="1" outlineLevel="1" x14ac:dyDescent="0.35">
      <c r="B140" s="203"/>
      <c r="C140" s="204"/>
      <c r="D140" s="204"/>
      <c r="E140" s="204"/>
      <c r="F140" s="205"/>
      <c r="G140" s="548"/>
      <c r="H140" s="550"/>
      <c r="I140" s="326"/>
      <c r="J140" s="326"/>
      <c r="K140" s="326"/>
      <c r="M140" s="463"/>
      <c r="N140" s="464"/>
    </row>
    <row r="141" spans="2:14" hidden="1" outlineLevel="1" x14ac:dyDescent="0.35">
      <c r="B141" s="203"/>
      <c r="C141" s="204"/>
      <c r="D141" s="204"/>
      <c r="E141" s="204"/>
      <c r="F141" s="205"/>
      <c r="G141" s="548"/>
      <c r="H141" s="550"/>
      <c r="I141" s="326"/>
      <c r="J141" s="326"/>
      <c r="K141" s="326"/>
      <c r="M141" s="463"/>
      <c r="N141" s="464"/>
    </row>
    <row r="142" spans="2:14" hidden="1" outlineLevel="1" x14ac:dyDescent="0.35">
      <c r="B142" s="203"/>
      <c r="C142" s="204"/>
      <c r="D142" s="204"/>
      <c r="E142" s="204"/>
      <c r="F142" s="205"/>
      <c r="G142" s="548"/>
      <c r="H142" s="550"/>
      <c r="I142" s="326"/>
      <c r="J142" s="326"/>
      <c r="K142" s="326"/>
      <c r="M142" s="463"/>
      <c r="N142" s="464"/>
    </row>
    <row r="143" spans="2:14" hidden="1" outlineLevel="1" x14ac:dyDescent="0.35">
      <c r="B143" s="203"/>
      <c r="C143" s="204"/>
      <c r="D143" s="204"/>
      <c r="E143" s="204"/>
      <c r="F143" s="205"/>
      <c r="G143" s="548"/>
      <c r="H143" s="550"/>
      <c r="I143" s="326"/>
      <c r="J143" s="326"/>
      <c r="K143" s="326"/>
      <c r="M143" s="463"/>
      <c r="N143" s="464"/>
    </row>
    <row r="144" spans="2:14" hidden="1" outlineLevel="1" x14ac:dyDescent="0.35">
      <c r="B144" s="203"/>
      <c r="C144" s="204"/>
      <c r="D144" s="204"/>
      <c r="E144" s="204"/>
      <c r="F144" s="205"/>
      <c r="G144" s="548"/>
      <c r="H144" s="550"/>
      <c r="I144" s="326"/>
      <c r="J144" s="326"/>
      <c r="K144" s="326"/>
      <c r="M144" s="463"/>
      <c r="N144" s="464"/>
    </row>
    <row r="145" spans="2:14" hidden="1" outlineLevel="1" x14ac:dyDescent="0.35">
      <c r="B145" s="203"/>
      <c r="C145" s="204"/>
      <c r="D145" s="204"/>
      <c r="E145" s="204"/>
      <c r="F145" s="205"/>
      <c r="G145" s="548"/>
      <c r="H145" s="550"/>
      <c r="I145" s="326"/>
      <c r="J145" s="326"/>
      <c r="K145" s="326"/>
      <c r="M145" s="463"/>
      <c r="N145" s="464"/>
    </row>
    <row r="146" spans="2:14" hidden="1" outlineLevel="1" x14ac:dyDescent="0.35">
      <c r="B146" s="203"/>
      <c r="C146" s="204"/>
      <c r="D146" s="204"/>
      <c r="E146" s="204"/>
      <c r="F146" s="205"/>
      <c r="G146" s="548"/>
      <c r="H146" s="550"/>
      <c r="I146" s="326"/>
      <c r="J146" s="326"/>
      <c r="K146" s="326"/>
      <c r="M146" s="463"/>
      <c r="N146" s="464"/>
    </row>
    <row r="147" spans="2:14" hidden="1" outlineLevel="1" x14ac:dyDescent="0.35">
      <c r="B147" s="203"/>
      <c r="C147" s="204"/>
      <c r="D147" s="204"/>
      <c r="E147" s="204"/>
      <c r="F147" s="205"/>
      <c r="G147" s="548"/>
      <c r="H147" s="550"/>
      <c r="I147" s="326"/>
      <c r="J147" s="326"/>
      <c r="K147" s="326"/>
      <c r="M147" s="463"/>
      <c r="N147" s="464"/>
    </row>
    <row r="148" spans="2:14" hidden="1" outlineLevel="1" x14ac:dyDescent="0.35">
      <c r="B148" s="203"/>
      <c r="C148" s="204"/>
      <c r="D148" s="204"/>
      <c r="E148" s="204"/>
      <c r="F148" s="205"/>
      <c r="G148" s="548"/>
      <c r="H148" s="550"/>
      <c r="I148" s="326"/>
      <c r="J148" s="326"/>
      <c r="K148" s="326"/>
      <c r="M148" s="463"/>
      <c r="N148" s="464"/>
    </row>
    <row r="149" spans="2:14" hidden="1" outlineLevel="1" x14ac:dyDescent="0.35">
      <c r="B149" s="203"/>
      <c r="C149" s="204"/>
      <c r="D149" s="204"/>
      <c r="E149" s="204"/>
      <c r="F149" s="205"/>
      <c r="G149" s="548"/>
      <c r="H149" s="550"/>
      <c r="I149" s="326"/>
      <c r="J149" s="326"/>
      <c r="K149" s="326"/>
      <c r="M149" s="463"/>
      <c r="N149" s="464"/>
    </row>
    <row r="150" spans="2:14" hidden="1" outlineLevel="1" x14ac:dyDescent="0.35">
      <c r="B150" s="203"/>
      <c r="C150" s="204"/>
      <c r="D150" s="204"/>
      <c r="E150" s="204"/>
      <c r="F150" s="205"/>
      <c r="G150" s="548"/>
      <c r="H150" s="550"/>
      <c r="I150" s="326"/>
      <c r="J150" s="326"/>
      <c r="K150" s="326"/>
      <c r="M150" s="463"/>
      <c r="N150" s="464"/>
    </row>
    <row r="151" spans="2:14" hidden="1" outlineLevel="1" x14ac:dyDescent="0.35">
      <c r="B151" s="203"/>
      <c r="C151" s="204"/>
      <c r="D151" s="204"/>
      <c r="E151" s="204"/>
      <c r="F151" s="205"/>
      <c r="G151" s="548"/>
      <c r="H151" s="550"/>
      <c r="I151" s="326"/>
      <c r="J151" s="326"/>
      <c r="K151" s="326"/>
      <c r="M151" s="463"/>
      <c r="N151" s="464"/>
    </row>
    <row r="152" spans="2:14" hidden="1" outlineLevel="1" x14ac:dyDescent="0.35">
      <c r="B152" s="203"/>
      <c r="C152" s="204"/>
      <c r="D152" s="204"/>
      <c r="E152" s="204"/>
      <c r="F152" s="205"/>
      <c r="G152" s="548"/>
      <c r="H152" s="550"/>
      <c r="I152" s="326"/>
      <c r="J152" s="326"/>
      <c r="K152" s="326"/>
      <c r="M152" s="463"/>
      <c r="N152" s="464"/>
    </row>
    <row r="153" spans="2:14" hidden="1" outlineLevel="1" x14ac:dyDescent="0.35">
      <c r="B153" s="203"/>
      <c r="C153" s="204"/>
      <c r="D153" s="204"/>
      <c r="E153" s="204"/>
      <c r="F153" s="205"/>
      <c r="G153" s="548"/>
      <c r="H153" s="550"/>
      <c r="I153" s="326"/>
      <c r="J153" s="326"/>
      <c r="K153" s="326"/>
      <c r="M153" s="463"/>
      <c r="N153" s="464"/>
    </row>
    <row r="154" spans="2:14" hidden="1" outlineLevel="1" x14ac:dyDescent="0.35">
      <c r="B154" s="203"/>
      <c r="C154" s="204"/>
      <c r="D154" s="204"/>
      <c r="E154" s="204"/>
      <c r="F154" s="205"/>
      <c r="G154" s="548"/>
      <c r="H154" s="550"/>
      <c r="I154" s="326"/>
      <c r="J154" s="326"/>
      <c r="K154" s="326"/>
      <c r="M154" s="463"/>
      <c r="N154" s="464"/>
    </row>
    <row r="155" spans="2:14" hidden="1" outlineLevel="1" x14ac:dyDescent="0.35">
      <c r="B155" s="203"/>
      <c r="C155" s="204"/>
      <c r="D155" s="204"/>
      <c r="E155" s="204"/>
      <c r="F155" s="205"/>
      <c r="G155" s="548"/>
      <c r="H155" s="550"/>
      <c r="I155" s="326"/>
      <c r="J155" s="326"/>
      <c r="K155" s="326"/>
      <c r="M155" s="463"/>
      <c r="N155" s="464"/>
    </row>
    <row r="156" spans="2:14" hidden="1" outlineLevel="1" x14ac:dyDescent="0.35">
      <c r="B156" s="203"/>
      <c r="C156" s="204"/>
      <c r="D156" s="204"/>
      <c r="E156" s="204"/>
      <c r="F156" s="205"/>
      <c r="G156" s="548"/>
      <c r="H156" s="550"/>
      <c r="I156" s="326"/>
      <c r="J156" s="326"/>
      <c r="K156" s="326"/>
      <c r="M156" s="463"/>
      <c r="N156" s="464"/>
    </row>
    <row r="157" spans="2:14" hidden="1" outlineLevel="1" x14ac:dyDescent="0.35">
      <c r="B157" s="203"/>
      <c r="C157" s="204"/>
      <c r="D157" s="204"/>
      <c r="E157" s="204"/>
      <c r="F157" s="205"/>
      <c r="G157" s="548"/>
      <c r="H157" s="550"/>
      <c r="I157" s="326"/>
      <c r="J157" s="326"/>
      <c r="K157" s="326"/>
      <c r="M157" s="463"/>
      <c r="N157" s="464"/>
    </row>
    <row r="158" spans="2:14" hidden="1" outlineLevel="1" x14ac:dyDescent="0.35">
      <c r="B158" s="203"/>
      <c r="C158" s="204"/>
      <c r="D158" s="204"/>
      <c r="E158" s="204"/>
      <c r="F158" s="205"/>
      <c r="G158" s="548"/>
      <c r="H158" s="550"/>
      <c r="I158" s="326"/>
      <c r="J158" s="326"/>
      <c r="K158" s="326"/>
      <c r="M158" s="463"/>
      <c r="N158" s="464"/>
    </row>
    <row r="159" spans="2:14" hidden="1" outlineLevel="1" x14ac:dyDescent="0.35">
      <c r="B159" s="203"/>
      <c r="C159" s="204"/>
      <c r="D159" s="204"/>
      <c r="E159" s="204"/>
      <c r="F159" s="205"/>
      <c r="G159" s="548"/>
      <c r="H159" s="550"/>
      <c r="I159" s="326"/>
      <c r="J159" s="326"/>
      <c r="K159" s="326"/>
      <c r="M159" s="463"/>
      <c r="N159" s="464"/>
    </row>
    <row r="160" spans="2:14" hidden="1" outlineLevel="1" x14ac:dyDescent="0.35">
      <c r="B160" s="203"/>
      <c r="C160" s="204"/>
      <c r="D160" s="204"/>
      <c r="E160" s="204"/>
      <c r="F160" s="205"/>
      <c r="G160" s="548"/>
      <c r="H160" s="550"/>
      <c r="I160" s="326"/>
      <c r="J160" s="326"/>
      <c r="K160" s="326"/>
      <c r="M160" s="463"/>
      <c r="N160" s="464"/>
    </row>
    <row r="161" spans="2:14" hidden="1" outlineLevel="1" x14ac:dyDescent="0.35">
      <c r="B161" s="203"/>
      <c r="C161" s="204"/>
      <c r="D161" s="204"/>
      <c r="E161" s="204"/>
      <c r="F161" s="205"/>
      <c r="G161" s="548"/>
      <c r="H161" s="550"/>
      <c r="I161" s="326"/>
      <c r="J161" s="326"/>
      <c r="K161" s="326"/>
      <c r="M161" s="463"/>
      <c r="N161" s="464"/>
    </row>
    <row r="162" spans="2:14" hidden="1" outlineLevel="1" x14ac:dyDescent="0.35">
      <c r="B162" s="203"/>
      <c r="C162" s="204"/>
      <c r="D162" s="204"/>
      <c r="E162" s="204"/>
      <c r="F162" s="205"/>
      <c r="G162" s="548"/>
      <c r="H162" s="550"/>
      <c r="I162" s="326"/>
      <c r="J162" s="326"/>
      <c r="K162" s="326"/>
      <c r="M162" s="463"/>
      <c r="N162" s="464"/>
    </row>
    <row r="163" spans="2:14" hidden="1" outlineLevel="1" x14ac:dyDescent="0.35">
      <c r="B163" s="203"/>
      <c r="C163" s="204"/>
      <c r="D163" s="204"/>
      <c r="E163" s="204"/>
      <c r="F163" s="205"/>
      <c r="G163" s="548"/>
      <c r="H163" s="550"/>
      <c r="I163" s="326"/>
      <c r="J163" s="326"/>
      <c r="K163" s="326"/>
      <c r="M163" s="463"/>
      <c r="N163" s="464"/>
    </row>
    <row r="164" spans="2:14" hidden="1" outlineLevel="1" x14ac:dyDescent="0.35">
      <c r="B164" s="203"/>
      <c r="C164" s="204"/>
      <c r="D164" s="204"/>
      <c r="E164" s="204"/>
      <c r="F164" s="205"/>
      <c r="G164" s="548"/>
      <c r="H164" s="550"/>
      <c r="I164" s="326"/>
      <c r="J164" s="326"/>
      <c r="K164" s="326"/>
      <c r="M164" s="463"/>
      <c r="N164" s="464"/>
    </row>
    <row r="165" spans="2:14" hidden="1" outlineLevel="1" x14ac:dyDescent="0.35">
      <c r="B165" s="203"/>
      <c r="C165" s="204"/>
      <c r="D165" s="204"/>
      <c r="E165" s="204"/>
      <c r="F165" s="205"/>
      <c r="G165" s="548"/>
      <c r="H165" s="550"/>
      <c r="I165" s="326"/>
      <c r="J165" s="326"/>
      <c r="K165" s="326"/>
      <c r="M165" s="463"/>
      <c r="N165" s="464"/>
    </row>
    <row r="166" spans="2:14" hidden="1" outlineLevel="1" x14ac:dyDescent="0.35">
      <c r="B166" s="203"/>
      <c r="C166" s="204"/>
      <c r="D166" s="204"/>
      <c r="E166" s="204"/>
      <c r="F166" s="205"/>
      <c r="G166" s="548"/>
      <c r="H166" s="550"/>
      <c r="I166" s="326"/>
      <c r="J166" s="326"/>
      <c r="K166" s="326"/>
      <c r="M166" s="463"/>
      <c r="N166" s="464"/>
    </row>
    <row r="167" spans="2:14" hidden="1" outlineLevel="1" x14ac:dyDescent="0.35">
      <c r="B167" s="203"/>
      <c r="C167" s="204"/>
      <c r="D167" s="204"/>
      <c r="E167" s="204"/>
      <c r="F167" s="205"/>
      <c r="G167" s="548"/>
      <c r="H167" s="550"/>
      <c r="I167" s="326"/>
      <c r="J167" s="326"/>
      <c r="K167" s="326"/>
      <c r="M167" s="463"/>
      <c r="N167" s="464"/>
    </row>
    <row r="168" spans="2:14" hidden="1" outlineLevel="1" x14ac:dyDescent="0.35">
      <c r="B168" s="203"/>
      <c r="C168" s="204"/>
      <c r="D168" s="204"/>
      <c r="E168" s="204"/>
      <c r="F168" s="205"/>
      <c r="G168" s="548"/>
      <c r="H168" s="550"/>
      <c r="I168" s="326"/>
      <c r="J168" s="326"/>
      <c r="K168" s="326"/>
      <c r="M168" s="463"/>
      <c r="N168" s="464"/>
    </row>
    <row r="169" spans="2:14" hidden="1" outlineLevel="1" x14ac:dyDescent="0.35">
      <c r="B169" s="203"/>
      <c r="C169" s="204"/>
      <c r="D169" s="204"/>
      <c r="E169" s="204"/>
      <c r="F169" s="205"/>
      <c r="G169" s="548"/>
      <c r="H169" s="550"/>
      <c r="I169" s="326"/>
      <c r="J169" s="326"/>
      <c r="K169" s="326"/>
      <c r="M169" s="463"/>
      <c r="N169" s="464"/>
    </row>
    <row r="170" spans="2:14" hidden="1" outlineLevel="1" x14ac:dyDescent="0.35">
      <c r="B170" s="203"/>
      <c r="C170" s="204"/>
      <c r="D170" s="204"/>
      <c r="E170" s="204"/>
      <c r="F170" s="205"/>
      <c r="G170" s="548"/>
      <c r="H170" s="550"/>
      <c r="I170" s="326"/>
      <c r="J170" s="326"/>
      <c r="K170" s="326"/>
      <c r="M170" s="463"/>
      <c r="N170" s="464"/>
    </row>
    <row r="171" spans="2:14" hidden="1" outlineLevel="1" x14ac:dyDescent="0.35">
      <c r="B171" s="203"/>
      <c r="C171" s="204"/>
      <c r="D171" s="204"/>
      <c r="E171" s="204"/>
      <c r="F171" s="205"/>
      <c r="G171" s="548"/>
      <c r="H171" s="550"/>
      <c r="I171" s="326"/>
      <c r="J171" s="326"/>
      <c r="K171" s="326"/>
      <c r="M171" s="463"/>
      <c r="N171" s="464"/>
    </row>
    <row r="172" spans="2:14" hidden="1" outlineLevel="1" x14ac:dyDescent="0.35">
      <c r="B172" s="203"/>
      <c r="C172" s="204"/>
      <c r="D172" s="204"/>
      <c r="E172" s="204"/>
      <c r="F172" s="205"/>
      <c r="G172" s="548"/>
      <c r="H172" s="550"/>
      <c r="I172" s="326"/>
      <c r="J172" s="326"/>
      <c r="K172" s="326"/>
      <c r="M172" s="463"/>
      <c r="N172" s="464"/>
    </row>
    <row r="173" spans="2:14" hidden="1" outlineLevel="1" x14ac:dyDescent="0.35">
      <c r="B173" s="203"/>
      <c r="C173" s="204"/>
      <c r="D173" s="204"/>
      <c r="E173" s="204"/>
      <c r="F173" s="205"/>
      <c r="G173" s="548"/>
      <c r="H173" s="550"/>
      <c r="I173" s="326"/>
      <c r="J173" s="326"/>
      <c r="K173" s="326"/>
      <c r="M173" s="463"/>
      <c r="N173" s="464"/>
    </row>
    <row r="174" spans="2:14" hidden="1" outlineLevel="1" x14ac:dyDescent="0.35">
      <c r="B174" s="203"/>
      <c r="C174" s="204"/>
      <c r="D174" s="204"/>
      <c r="E174" s="204"/>
      <c r="F174" s="205"/>
      <c r="G174" s="548"/>
      <c r="H174" s="550"/>
      <c r="I174" s="326"/>
      <c r="J174" s="326"/>
      <c r="K174" s="326"/>
      <c r="M174" s="463"/>
      <c r="N174" s="464"/>
    </row>
    <row r="175" spans="2:14" hidden="1" outlineLevel="1" x14ac:dyDescent="0.35">
      <c r="B175" s="203"/>
      <c r="C175" s="204"/>
      <c r="D175" s="204"/>
      <c r="E175" s="204"/>
      <c r="F175" s="205"/>
      <c r="G175" s="548"/>
      <c r="H175" s="550"/>
      <c r="I175" s="326"/>
      <c r="J175" s="326"/>
      <c r="K175" s="326"/>
      <c r="M175" s="463"/>
      <c r="N175" s="464"/>
    </row>
    <row r="176" spans="2:14" hidden="1" outlineLevel="1" x14ac:dyDescent="0.35">
      <c r="B176" s="203"/>
      <c r="C176" s="204"/>
      <c r="D176" s="204"/>
      <c r="E176" s="204"/>
      <c r="F176" s="205"/>
      <c r="G176" s="548"/>
      <c r="H176" s="550"/>
      <c r="I176" s="326"/>
      <c r="J176" s="326"/>
      <c r="K176" s="326"/>
      <c r="M176" s="463"/>
      <c r="N176" s="464"/>
    </row>
    <row r="177" spans="2:14" hidden="1" outlineLevel="1" x14ac:dyDescent="0.35">
      <c r="B177" s="203"/>
      <c r="C177" s="204"/>
      <c r="D177" s="204"/>
      <c r="E177" s="204"/>
      <c r="F177" s="205"/>
      <c r="G177" s="548"/>
      <c r="H177" s="550"/>
      <c r="I177" s="326"/>
      <c r="J177" s="326"/>
      <c r="K177" s="326"/>
      <c r="M177" s="463"/>
      <c r="N177" s="464"/>
    </row>
    <row r="178" spans="2:14" hidden="1" outlineLevel="1" x14ac:dyDescent="0.35">
      <c r="B178" s="203"/>
      <c r="C178" s="204"/>
      <c r="D178" s="204"/>
      <c r="E178" s="204"/>
      <c r="F178" s="205"/>
      <c r="G178" s="548"/>
      <c r="H178" s="550"/>
      <c r="I178" s="326"/>
      <c r="J178" s="326"/>
      <c r="K178" s="326"/>
      <c r="M178" s="463"/>
      <c r="N178" s="464"/>
    </row>
    <row r="179" spans="2:14" hidden="1" outlineLevel="1" x14ac:dyDescent="0.35">
      <c r="B179" s="203"/>
      <c r="C179" s="204"/>
      <c r="D179" s="204"/>
      <c r="E179" s="204"/>
      <c r="F179" s="205"/>
      <c r="G179" s="548"/>
      <c r="H179" s="550"/>
      <c r="I179" s="326"/>
      <c r="J179" s="326"/>
      <c r="K179" s="326"/>
      <c r="M179" s="463"/>
      <c r="N179" s="464"/>
    </row>
    <row r="180" spans="2:14" hidden="1" outlineLevel="1" x14ac:dyDescent="0.35">
      <c r="B180" s="203"/>
      <c r="C180" s="204"/>
      <c r="D180" s="204"/>
      <c r="E180" s="204"/>
      <c r="F180" s="205"/>
      <c r="G180" s="548"/>
      <c r="H180" s="550"/>
      <c r="I180" s="326"/>
      <c r="J180" s="326"/>
      <c r="K180" s="326"/>
      <c r="M180" s="463"/>
      <c r="N180" s="464"/>
    </row>
    <row r="181" spans="2:14" hidden="1" outlineLevel="1" x14ac:dyDescent="0.35">
      <c r="B181" s="203"/>
      <c r="C181" s="204"/>
      <c r="D181" s="204"/>
      <c r="E181" s="204"/>
      <c r="F181" s="205"/>
      <c r="G181" s="548"/>
      <c r="H181" s="550"/>
      <c r="I181" s="326"/>
      <c r="J181" s="326"/>
      <c r="K181" s="326"/>
      <c r="M181" s="463"/>
      <c r="N181" s="464"/>
    </row>
    <row r="182" spans="2:14" hidden="1" outlineLevel="1" x14ac:dyDescent="0.35">
      <c r="B182" s="203"/>
      <c r="C182" s="204"/>
      <c r="D182" s="204"/>
      <c r="E182" s="204"/>
      <c r="F182" s="205"/>
      <c r="G182" s="548"/>
      <c r="H182" s="550"/>
      <c r="I182" s="326"/>
      <c r="J182" s="326"/>
      <c r="K182" s="326"/>
      <c r="M182" s="463"/>
      <c r="N182" s="464"/>
    </row>
    <row r="183" spans="2:14" hidden="1" outlineLevel="1" x14ac:dyDescent="0.35">
      <c r="B183" s="203"/>
      <c r="C183" s="204"/>
      <c r="D183" s="204"/>
      <c r="E183" s="204"/>
      <c r="F183" s="205"/>
      <c r="G183" s="548"/>
      <c r="H183" s="550"/>
      <c r="I183" s="326"/>
      <c r="J183" s="326"/>
      <c r="K183" s="326"/>
      <c r="M183" s="463"/>
      <c r="N183" s="464"/>
    </row>
    <row r="184" spans="2:14" hidden="1" outlineLevel="1" x14ac:dyDescent="0.35">
      <c r="B184" s="203"/>
      <c r="C184" s="204"/>
      <c r="D184" s="204"/>
      <c r="E184" s="204"/>
      <c r="F184" s="205"/>
      <c r="G184" s="548"/>
      <c r="H184" s="550"/>
      <c r="I184" s="326"/>
      <c r="J184" s="326"/>
      <c r="K184" s="326"/>
      <c r="M184" s="463"/>
      <c r="N184" s="464"/>
    </row>
    <row r="185" spans="2:14" hidden="1" outlineLevel="1" x14ac:dyDescent="0.35">
      <c r="B185" s="203"/>
      <c r="C185" s="204"/>
      <c r="D185" s="204"/>
      <c r="E185" s="204"/>
      <c r="F185" s="205"/>
      <c r="G185" s="548"/>
      <c r="H185" s="550"/>
      <c r="I185" s="326"/>
      <c r="J185" s="326"/>
      <c r="K185" s="326"/>
      <c r="M185" s="463"/>
      <c r="N185" s="464"/>
    </row>
    <row r="186" spans="2:14" hidden="1" outlineLevel="1" x14ac:dyDescent="0.35">
      <c r="B186" s="203"/>
      <c r="C186" s="204"/>
      <c r="D186" s="204"/>
      <c r="E186" s="204"/>
      <c r="F186" s="205"/>
      <c r="G186" s="548"/>
      <c r="H186" s="550"/>
      <c r="I186" s="326"/>
      <c r="J186" s="326"/>
      <c r="K186" s="326"/>
      <c r="M186" s="463"/>
      <c r="N186" s="464"/>
    </row>
    <row r="187" spans="2:14" hidden="1" outlineLevel="1" x14ac:dyDescent="0.35">
      <c r="B187" s="203"/>
      <c r="C187" s="204"/>
      <c r="D187" s="204"/>
      <c r="E187" s="204"/>
      <c r="F187" s="205"/>
      <c r="G187" s="548"/>
      <c r="H187" s="550"/>
      <c r="I187" s="326"/>
      <c r="J187" s="326"/>
      <c r="K187" s="326"/>
      <c r="M187" s="463"/>
      <c r="N187" s="464"/>
    </row>
    <row r="188" spans="2:14" hidden="1" outlineLevel="1" x14ac:dyDescent="0.35">
      <c r="B188" s="203"/>
      <c r="C188" s="204"/>
      <c r="D188" s="204"/>
      <c r="E188" s="204"/>
      <c r="F188" s="205"/>
      <c r="G188" s="548"/>
      <c r="H188" s="550"/>
      <c r="I188" s="326"/>
      <c r="J188" s="326"/>
      <c r="K188" s="326"/>
      <c r="M188" s="463"/>
      <c r="N188" s="464"/>
    </row>
    <row r="189" spans="2:14" hidden="1" outlineLevel="1" x14ac:dyDescent="0.35">
      <c r="B189" s="203"/>
      <c r="C189" s="204"/>
      <c r="D189" s="204"/>
      <c r="E189" s="204"/>
      <c r="F189" s="205"/>
      <c r="G189" s="548"/>
      <c r="H189" s="550"/>
      <c r="I189" s="326"/>
      <c r="J189" s="326"/>
      <c r="K189" s="326"/>
      <c r="M189" s="463"/>
      <c r="N189" s="464"/>
    </row>
    <row r="190" spans="2:14" hidden="1" outlineLevel="1" x14ac:dyDescent="0.35">
      <c r="B190" s="203"/>
      <c r="C190" s="204"/>
      <c r="D190" s="204"/>
      <c r="E190" s="204"/>
      <c r="F190" s="205"/>
      <c r="G190" s="548"/>
      <c r="H190" s="550"/>
      <c r="I190" s="326"/>
      <c r="J190" s="326"/>
      <c r="K190" s="326"/>
      <c r="M190" s="463"/>
      <c r="N190" s="464"/>
    </row>
    <row r="191" spans="2:14" hidden="1" outlineLevel="1" x14ac:dyDescent="0.35">
      <c r="B191" s="203"/>
      <c r="C191" s="204"/>
      <c r="D191" s="204"/>
      <c r="E191" s="204"/>
      <c r="F191" s="205"/>
      <c r="G191" s="548"/>
      <c r="H191" s="550"/>
      <c r="I191" s="326"/>
      <c r="J191" s="326"/>
      <c r="K191" s="326"/>
      <c r="M191" s="463"/>
      <c r="N191" s="464"/>
    </row>
    <row r="192" spans="2:14" hidden="1" outlineLevel="1" x14ac:dyDescent="0.35">
      <c r="B192" s="203"/>
      <c r="C192" s="204"/>
      <c r="D192" s="204"/>
      <c r="E192" s="204"/>
      <c r="F192" s="205"/>
      <c r="G192" s="548"/>
      <c r="H192" s="550"/>
      <c r="I192" s="326"/>
      <c r="J192" s="326"/>
      <c r="K192" s="326"/>
      <c r="M192" s="463"/>
      <c r="N192" s="464"/>
    </row>
    <row r="193" spans="2:14" hidden="1" outlineLevel="1" x14ac:dyDescent="0.35">
      <c r="B193" s="203"/>
      <c r="C193" s="204"/>
      <c r="D193" s="204"/>
      <c r="E193" s="204"/>
      <c r="F193" s="205"/>
      <c r="G193" s="548"/>
      <c r="H193" s="550"/>
      <c r="I193" s="326"/>
      <c r="J193" s="326"/>
      <c r="K193" s="326"/>
      <c r="M193" s="463"/>
      <c r="N193" s="464"/>
    </row>
    <row r="194" spans="2:14" hidden="1" outlineLevel="1" x14ac:dyDescent="0.35">
      <c r="B194" s="203"/>
      <c r="C194" s="204"/>
      <c r="D194" s="204"/>
      <c r="E194" s="204"/>
      <c r="F194" s="205"/>
      <c r="G194" s="548"/>
      <c r="H194" s="550"/>
      <c r="I194" s="326"/>
      <c r="J194" s="326"/>
      <c r="K194" s="326"/>
      <c r="M194" s="463"/>
      <c r="N194" s="464"/>
    </row>
    <row r="195" spans="2:14" hidden="1" outlineLevel="1" x14ac:dyDescent="0.35">
      <c r="B195" s="203"/>
      <c r="C195" s="204"/>
      <c r="D195" s="204"/>
      <c r="E195" s="204"/>
      <c r="F195" s="205"/>
      <c r="G195" s="548"/>
      <c r="H195" s="550"/>
      <c r="I195" s="326"/>
      <c r="J195" s="326"/>
      <c r="K195" s="326"/>
      <c r="M195" s="463"/>
      <c r="N195" s="464"/>
    </row>
    <row r="196" spans="2:14" hidden="1" outlineLevel="1" x14ac:dyDescent="0.35">
      <c r="B196" s="203"/>
      <c r="C196" s="204"/>
      <c r="D196" s="204"/>
      <c r="E196" s="204"/>
      <c r="F196" s="205"/>
      <c r="G196" s="548"/>
      <c r="H196" s="550"/>
      <c r="I196" s="326"/>
      <c r="J196" s="326"/>
      <c r="K196" s="326"/>
      <c r="M196" s="463"/>
      <c r="N196" s="464"/>
    </row>
    <row r="197" spans="2:14" hidden="1" outlineLevel="1" x14ac:dyDescent="0.35">
      <c r="B197" s="203"/>
      <c r="C197" s="204"/>
      <c r="D197" s="204"/>
      <c r="E197" s="204"/>
      <c r="F197" s="205"/>
      <c r="G197" s="548"/>
      <c r="H197" s="550"/>
      <c r="I197" s="326"/>
      <c r="J197" s="326"/>
      <c r="K197" s="326"/>
      <c r="M197" s="463"/>
      <c r="N197" s="464"/>
    </row>
    <row r="198" spans="2:14" hidden="1" outlineLevel="1" x14ac:dyDescent="0.35">
      <c r="B198" s="203"/>
      <c r="C198" s="204"/>
      <c r="D198" s="204"/>
      <c r="E198" s="204"/>
      <c r="F198" s="205"/>
      <c r="G198" s="548"/>
      <c r="H198" s="550"/>
      <c r="I198" s="326"/>
      <c r="J198" s="326"/>
      <c r="K198" s="326"/>
      <c r="M198" s="463"/>
      <c r="N198" s="464"/>
    </row>
    <row r="199" spans="2:14" hidden="1" outlineLevel="1" x14ac:dyDescent="0.35">
      <c r="B199" s="203"/>
      <c r="C199" s="204"/>
      <c r="D199" s="204"/>
      <c r="E199" s="204"/>
      <c r="F199" s="205"/>
      <c r="G199" s="548"/>
      <c r="H199" s="550"/>
      <c r="I199" s="326"/>
      <c r="J199" s="326"/>
      <c r="K199" s="326"/>
      <c r="M199" s="463"/>
      <c r="N199" s="464"/>
    </row>
    <row r="200" spans="2:14" hidden="1" outlineLevel="1" x14ac:dyDescent="0.35">
      <c r="B200" s="203"/>
      <c r="C200" s="204"/>
      <c r="D200" s="204"/>
      <c r="E200" s="204"/>
      <c r="F200" s="205"/>
      <c r="G200" s="548"/>
      <c r="H200" s="550"/>
      <c r="I200" s="326"/>
      <c r="J200" s="326"/>
      <c r="K200" s="326"/>
      <c r="M200" s="463"/>
      <c r="N200" s="464"/>
    </row>
    <row r="201" spans="2:14" hidden="1" outlineLevel="1" x14ac:dyDescent="0.35">
      <c r="B201" s="203"/>
      <c r="C201" s="204"/>
      <c r="D201" s="204"/>
      <c r="E201" s="204"/>
      <c r="F201" s="205"/>
      <c r="G201" s="548"/>
      <c r="H201" s="550"/>
      <c r="I201" s="326"/>
      <c r="J201" s="326"/>
      <c r="K201" s="326"/>
      <c r="M201" s="463"/>
      <c r="N201" s="464"/>
    </row>
    <row r="202" spans="2:14" hidden="1" outlineLevel="1" x14ac:dyDescent="0.35">
      <c r="B202" s="203"/>
      <c r="C202" s="204"/>
      <c r="D202" s="204"/>
      <c r="E202" s="204"/>
      <c r="F202" s="205"/>
      <c r="G202" s="548"/>
      <c r="H202" s="550"/>
      <c r="I202" s="326"/>
      <c r="J202" s="326"/>
      <c r="K202" s="326"/>
      <c r="M202" s="463"/>
      <c r="N202" s="464"/>
    </row>
    <row r="203" spans="2:14" hidden="1" outlineLevel="1" x14ac:dyDescent="0.35">
      <c r="B203" s="203"/>
      <c r="C203" s="204"/>
      <c r="D203" s="204"/>
      <c r="E203" s="204"/>
      <c r="F203" s="205"/>
      <c r="G203" s="548"/>
      <c r="H203" s="550"/>
      <c r="I203" s="326"/>
      <c r="J203" s="326"/>
      <c r="K203" s="326"/>
      <c r="M203" s="463"/>
      <c r="N203" s="464"/>
    </row>
    <row r="204" spans="2:14" hidden="1" outlineLevel="1" x14ac:dyDescent="0.35">
      <c r="B204" s="203"/>
      <c r="C204" s="204"/>
      <c r="D204" s="204"/>
      <c r="E204" s="204"/>
      <c r="F204" s="205"/>
      <c r="G204" s="548"/>
      <c r="H204" s="550"/>
      <c r="I204" s="326"/>
      <c r="J204" s="326"/>
      <c r="K204" s="326"/>
      <c r="M204" s="463"/>
      <c r="N204" s="464"/>
    </row>
    <row r="205" spans="2:14" hidden="1" outlineLevel="1" x14ac:dyDescent="0.35">
      <c r="B205" s="203"/>
      <c r="C205" s="204"/>
      <c r="D205" s="204"/>
      <c r="E205" s="204"/>
      <c r="F205" s="205"/>
      <c r="G205" s="548"/>
      <c r="H205" s="550"/>
      <c r="I205" s="326"/>
      <c r="J205" s="326"/>
      <c r="K205" s="326"/>
      <c r="M205" s="463"/>
      <c r="N205" s="464"/>
    </row>
    <row r="206" spans="2:14" hidden="1" outlineLevel="1" x14ac:dyDescent="0.35">
      <c r="B206" s="203"/>
      <c r="C206" s="204"/>
      <c r="D206" s="204"/>
      <c r="E206" s="204"/>
      <c r="F206" s="205"/>
      <c r="G206" s="548"/>
      <c r="H206" s="550"/>
      <c r="I206" s="326"/>
      <c r="J206" s="326"/>
      <c r="K206" s="326"/>
      <c r="M206" s="463"/>
      <c r="N206" s="464"/>
    </row>
    <row r="207" spans="2:14" hidden="1" outlineLevel="1" x14ac:dyDescent="0.35">
      <c r="B207" s="203"/>
      <c r="C207" s="204"/>
      <c r="D207" s="204"/>
      <c r="E207" s="204"/>
      <c r="F207" s="205"/>
      <c r="G207" s="548"/>
      <c r="H207" s="550"/>
      <c r="I207" s="326"/>
      <c r="J207" s="326"/>
      <c r="K207" s="326"/>
      <c r="M207" s="463"/>
      <c r="N207" s="464"/>
    </row>
    <row r="208" spans="2:14" hidden="1" outlineLevel="1" x14ac:dyDescent="0.35">
      <c r="B208" s="203"/>
      <c r="C208" s="204"/>
      <c r="D208" s="204"/>
      <c r="E208" s="204"/>
      <c r="F208" s="205"/>
      <c r="G208" s="548"/>
      <c r="H208" s="550"/>
      <c r="I208" s="326"/>
      <c r="J208" s="326"/>
      <c r="K208" s="326"/>
      <c r="M208" s="463"/>
      <c r="N208" s="464"/>
    </row>
    <row r="209" spans="2:14" hidden="1" outlineLevel="1" x14ac:dyDescent="0.35">
      <c r="B209" s="203"/>
      <c r="C209" s="204"/>
      <c r="D209" s="204"/>
      <c r="E209" s="204"/>
      <c r="F209" s="205"/>
      <c r="G209" s="548"/>
      <c r="H209" s="550"/>
      <c r="I209" s="326"/>
      <c r="J209" s="326"/>
      <c r="K209" s="326"/>
      <c r="M209" s="463"/>
      <c r="N209" s="464"/>
    </row>
    <row r="210" spans="2:14" hidden="1" outlineLevel="1" x14ac:dyDescent="0.35">
      <c r="B210" s="203"/>
      <c r="C210" s="204"/>
      <c r="D210" s="204"/>
      <c r="E210" s="204"/>
      <c r="F210" s="205"/>
      <c r="G210" s="548"/>
      <c r="H210" s="550"/>
      <c r="I210" s="326"/>
      <c r="J210" s="326"/>
      <c r="K210" s="326"/>
      <c r="M210" s="463"/>
      <c r="N210" s="464"/>
    </row>
    <row r="211" spans="2:14" hidden="1" outlineLevel="1" x14ac:dyDescent="0.35">
      <c r="B211" s="203"/>
      <c r="C211" s="204"/>
      <c r="D211" s="204"/>
      <c r="E211" s="204"/>
      <c r="F211" s="205"/>
      <c r="G211" s="548"/>
      <c r="H211" s="550"/>
      <c r="I211" s="326"/>
      <c r="J211" s="326"/>
      <c r="K211" s="326"/>
      <c r="M211" s="463"/>
      <c r="N211" s="464"/>
    </row>
    <row r="212" spans="2:14" hidden="1" outlineLevel="1" x14ac:dyDescent="0.35">
      <c r="B212" s="203"/>
      <c r="C212" s="204"/>
      <c r="D212" s="204"/>
      <c r="E212" s="204"/>
      <c r="F212" s="205"/>
      <c r="G212" s="548"/>
      <c r="H212" s="550"/>
      <c r="I212" s="326"/>
      <c r="J212" s="326"/>
      <c r="K212" s="326"/>
      <c r="M212" s="463"/>
      <c r="N212" s="464"/>
    </row>
    <row r="213" spans="2:14" hidden="1" outlineLevel="1" x14ac:dyDescent="0.35">
      <c r="B213" s="203"/>
      <c r="C213" s="204"/>
      <c r="D213" s="204"/>
      <c r="E213" s="204"/>
      <c r="F213" s="205"/>
      <c r="G213" s="548"/>
      <c r="H213" s="550"/>
      <c r="I213" s="326"/>
      <c r="J213" s="326"/>
      <c r="K213" s="326"/>
      <c r="M213" s="463"/>
      <c r="N213" s="464"/>
    </row>
    <row r="214" spans="2:14" hidden="1" outlineLevel="1" x14ac:dyDescent="0.35">
      <c r="B214" s="203"/>
      <c r="C214" s="204"/>
      <c r="D214" s="204"/>
      <c r="E214" s="204"/>
      <c r="F214" s="205"/>
      <c r="G214" s="548"/>
      <c r="H214" s="550"/>
      <c r="I214" s="326"/>
      <c r="J214" s="326"/>
      <c r="K214" s="326"/>
      <c r="M214" s="463"/>
      <c r="N214" s="464"/>
    </row>
    <row r="215" spans="2:14" hidden="1" outlineLevel="1" x14ac:dyDescent="0.35">
      <c r="B215" s="203"/>
      <c r="C215" s="204"/>
      <c r="D215" s="204"/>
      <c r="E215" s="204"/>
      <c r="F215" s="205"/>
      <c r="G215" s="548"/>
      <c r="H215" s="550"/>
      <c r="I215" s="326"/>
      <c r="J215" s="326"/>
      <c r="K215" s="326"/>
      <c r="M215" s="463"/>
      <c r="N215" s="464"/>
    </row>
    <row r="216" spans="2:14" hidden="1" outlineLevel="1" x14ac:dyDescent="0.35">
      <c r="B216" s="203"/>
      <c r="C216" s="204"/>
      <c r="D216" s="204"/>
      <c r="E216" s="204"/>
      <c r="F216" s="205"/>
      <c r="G216" s="548"/>
      <c r="H216" s="550"/>
      <c r="I216" s="326"/>
      <c r="J216" s="326"/>
      <c r="K216" s="326"/>
      <c r="M216" s="463"/>
      <c r="N216" s="464"/>
    </row>
    <row r="217" spans="2:14" hidden="1" outlineLevel="1" x14ac:dyDescent="0.35">
      <c r="B217" s="203"/>
      <c r="C217" s="204"/>
      <c r="D217" s="204"/>
      <c r="E217" s="204"/>
      <c r="F217" s="205"/>
      <c r="G217" s="548"/>
      <c r="H217" s="550"/>
      <c r="I217" s="326"/>
      <c r="J217" s="326"/>
      <c r="K217" s="326"/>
      <c r="M217" s="463"/>
      <c r="N217" s="464"/>
    </row>
    <row r="218" spans="2:14" hidden="1" outlineLevel="1" x14ac:dyDescent="0.35">
      <c r="B218" s="203"/>
      <c r="C218" s="204"/>
      <c r="D218" s="204"/>
      <c r="E218" s="204"/>
      <c r="F218" s="205"/>
      <c r="G218" s="548"/>
      <c r="H218" s="550"/>
      <c r="I218" s="326"/>
      <c r="J218" s="326"/>
      <c r="K218" s="326"/>
      <c r="M218" s="463"/>
      <c r="N218" s="464"/>
    </row>
    <row r="219" spans="2:14" hidden="1" outlineLevel="1" x14ac:dyDescent="0.35">
      <c r="B219" s="203"/>
      <c r="C219" s="204"/>
      <c r="D219" s="204"/>
      <c r="E219" s="204"/>
      <c r="F219" s="205"/>
      <c r="G219" s="548"/>
      <c r="H219" s="550"/>
      <c r="I219" s="326"/>
      <c r="J219" s="326"/>
      <c r="K219" s="326"/>
      <c r="M219" s="463"/>
      <c r="N219" s="464"/>
    </row>
    <row r="220" spans="2:14" hidden="1" outlineLevel="1" x14ac:dyDescent="0.35">
      <c r="B220" s="203"/>
      <c r="C220" s="204"/>
      <c r="D220" s="204"/>
      <c r="E220" s="204"/>
      <c r="F220" s="205"/>
      <c r="G220" s="548"/>
      <c r="H220" s="550"/>
      <c r="I220" s="326"/>
      <c r="J220" s="326"/>
      <c r="K220" s="326"/>
      <c r="M220" s="463"/>
      <c r="N220" s="464"/>
    </row>
    <row r="221" spans="2:14" hidden="1" outlineLevel="1" x14ac:dyDescent="0.35">
      <c r="B221" s="203"/>
      <c r="C221" s="204"/>
      <c r="D221" s="204"/>
      <c r="E221" s="204"/>
      <c r="F221" s="205"/>
      <c r="G221" s="548"/>
      <c r="H221" s="550"/>
      <c r="I221" s="326"/>
      <c r="J221" s="326"/>
      <c r="K221" s="326"/>
      <c r="M221" s="463"/>
      <c r="N221" s="464"/>
    </row>
    <row r="222" spans="2:14" hidden="1" outlineLevel="1" x14ac:dyDescent="0.35">
      <c r="B222" s="203"/>
      <c r="C222" s="204"/>
      <c r="D222" s="204"/>
      <c r="E222" s="204"/>
      <c r="F222" s="205"/>
      <c r="G222" s="548"/>
      <c r="H222" s="550"/>
      <c r="I222" s="326"/>
      <c r="J222" s="326"/>
      <c r="K222" s="326"/>
      <c r="M222" s="463"/>
      <c r="N222" s="464"/>
    </row>
    <row r="223" spans="2:14" hidden="1" outlineLevel="1" x14ac:dyDescent="0.35">
      <c r="B223" s="203"/>
      <c r="C223" s="204"/>
      <c r="D223" s="204"/>
      <c r="E223" s="204"/>
      <c r="F223" s="205"/>
      <c r="G223" s="548"/>
      <c r="H223" s="550"/>
      <c r="I223" s="326"/>
      <c r="J223" s="326"/>
      <c r="K223" s="326"/>
      <c r="M223" s="463"/>
      <c r="N223" s="464"/>
    </row>
    <row r="224" spans="2:14" hidden="1" outlineLevel="1" x14ac:dyDescent="0.35">
      <c r="B224" s="203"/>
      <c r="C224" s="204"/>
      <c r="D224" s="204"/>
      <c r="E224" s="204"/>
      <c r="F224" s="205"/>
      <c r="G224" s="548"/>
      <c r="H224" s="550"/>
      <c r="I224" s="326"/>
      <c r="J224" s="326"/>
      <c r="K224" s="326"/>
      <c r="M224" s="463"/>
      <c r="N224" s="464"/>
    </row>
    <row r="225" spans="2:14" hidden="1" outlineLevel="1" x14ac:dyDescent="0.35">
      <c r="B225" s="203"/>
      <c r="C225" s="204"/>
      <c r="D225" s="204"/>
      <c r="E225" s="204"/>
      <c r="F225" s="205"/>
      <c r="G225" s="548"/>
      <c r="H225" s="550"/>
      <c r="I225" s="326"/>
      <c r="J225" s="326"/>
      <c r="K225" s="326"/>
      <c r="M225" s="463"/>
      <c r="N225" s="464"/>
    </row>
    <row r="226" spans="2:14" hidden="1" outlineLevel="1" x14ac:dyDescent="0.35">
      <c r="B226" s="203"/>
      <c r="C226" s="204"/>
      <c r="D226" s="204"/>
      <c r="E226" s="204"/>
      <c r="F226" s="205"/>
      <c r="G226" s="548"/>
      <c r="H226" s="550"/>
      <c r="I226" s="326"/>
      <c r="J226" s="326"/>
      <c r="K226" s="326"/>
      <c r="M226" s="463"/>
      <c r="N226" s="464"/>
    </row>
    <row r="227" spans="2:14" hidden="1" outlineLevel="1" x14ac:dyDescent="0.35">
      <c r="B227" s="203"/>
      <c r="C227" s="204"/>
      <c r="D227" s="204"/>
      <c r="E227" s="204"/>
      <c r="F227" s="205"/>
      <c r="G227" s="548"/>
      <c r="H227" s="550"/>
      <c r="I227" s="326"/>
      <c r="J227" s="326"/>
      <c r="K227" s="326"/>
      <c r="M227" s="463"/>
      <c r="N227" s="464"/>
    </row>
    <row r="228" spans="2:14" hidden="1" outlineLevel="1" x14ac:dyDescent="0.35">
      <c r="B228" s="203"/>
      <c r="C228" s="204"/>
      <c r="D228" s="204"/>
      <c r="E228" s="204"/>
      <c r="F228" s="205"/>
      <c r="G228" s="548"/>
      <c r="H228" s="550"/>
      <c r="I228" s="326"/>
      <c r="J228" s="326"/>
      <c r="K228" s="326"/>
      <c r="M228" s="463"/>
      <c r="N228" s="464"/>
    </row>
    <row r="229" spans="2:14" hidden="1" outlineLevel="1" x14ac:dyDescent="0.35">
      <c r="B229" s="203"/>
      <c r="C229" s="204"/>
      <c r="D229" s="204"/>
      <c r="E229" s="204"/>
      <c r="F229" s="205"/>
      <c r="G229" s="548"/>
      <c r="H229" s="550"/>
      <c r="I229" s="326"/>
      <c r="J229" s="326"/>
      <c r="K229" s="326"/>
      <c r="M229" s="463"/>
      <c r="N229" s="464"/>
    </row>
    <row r="230" spans="2:14" hidden="1" outlineLevel="1" x14ac:dyDescent="0.35">
      <c r="B230" s="203"/>
      <c r="C230" s="204"/>
      <c r="D230" s="204"/>
      <c r="E230" s="204"/>
      <c r="F230" s="205"/>
      <c r="G230" s="548"/>
      <c r="H230" s="550"/>
      <c r="I230" s="326"/>
      <c r="J230" s="326"/>
      <c r="K230" s="326"/>
      <c r="M230" s="463"/>
      <c r="N230" s="464"/>
    </row>
    <row r="231" spans="2:14" hidden="1" outlineLevel="1" x14ac:dyDescent="0.35">
      <c r="B231" s="203"/>
      <c r="C231" s="204"/>
      <c r="D231" s="204"/>
      <c r="E231" s="204"/>
      <c r="F231" s="205"/>
      <c r="G231" s="548"/>
      <c r="H231" s="550"/>
      <c r="I231" s="326"/>
      <c r="J231" s="326"/>
      <c r="K231" s="326"/>
      <c r="M231" s="463"/>
      <c r="N231" s="464"/>
    </row>
    <row r="232" spans="2:14" hidden="1" outlineLevel="1" x14ac:dyDescent="0.35">
      <c r="B232" s="203"/>
      <c r="C232" s="204"/>
      <c r="D232" s="204"/>
      <c r="E232" s="204"/>
      <c r="F232" s="205"/>
      <c r="G232" s="548"/>
      <c r="H232" s="550"/>
      <c r="I232" s="326"/>
      <c r="J232" s="326"/>
      <c r="K232" s="326"/>
      <c r="M232" s="463"/>
      <c r="N232" s="464"/>
    </row>
    <row r="233" spans="2:14" hidden="1" outlineLevel="1" x14ac:dyDescent="0.35">
      <c r="B233" s="203"/>
      <c r="C233" s="204"/>
      <c r="D233" s="204"/>
      <c r="E233" s="204"/>
      <c r="F233" s="205"/>
      <c r="G233" s="548"/>
      <c r="H233" s="550"/>
      <c r="I233" s="326"/>
      <c r="J233" s="326"/>
      <c r="K233" s="326"/>
      <c r="M233" s="463"/>
      <c r="N233" s="464"/>
    </row>
    <row r="234" spans="2:14" hidden="1" outlineLevel="1" x14ac:dyDescent="0.35">
      <c r="B234" s="203"/>
      <c r="C234" s="204"/>
      <c r="D234" s="204"/>
      <c r="E234" s="204"/>
      <c r="F234" s="205"/>
      <c r="G234" s="548"/>
      <c r="H234" s="550"/>
      <c r="I234" s="326"/>
      <c r="J234" s="326"/>
      <c r="K234" s="326"/>
      <c r="M234" s="463"/>
      <c r="N234" s="464"/>
    </row>
    <row r="235" spans="2:14" hidden="1" outlineLevel="1" x14ac:dyDescent="0.35">
      <c r="B235" s="203"/>
      <c r="C235" s="204"/>
      <c r="D235" s="204"/>
      <c r="E235" s="204"/>
      <c r="F235" s="205"/>
      <c r="G235" s="548"/>
      <c r="H235" s="550"/>
      <c r="I235" s="326"/>
      <c r="J235" s="326"/>
      <c r="K235" s="326"/>
      <c r="M235" s="463"/>
      <c r="N235" s="464"/>
    </row>
    <row r="236" spans="2:14" hidden="1" outlineLevel="1" x14ac:dyDescent="0.35">
      <c r="B236" s="203"/>
      <c r="C236" s="204"/>
      <c r="D236" s="204"/>
      <c r="E236" s="204"/>
      <c r="F236" s="205"/>
      <c r="G236" s="548"/>
      <c r="H236" s="550"/>
      <c r="I236" s="326"/>
      <c r="J236" s="326"/>
      <c r="K236" s="326"/>
      <c r="M236" s="463"/>
      <c r="N236" s="464"/>
    </row>
    <row r="237" spans="2:14" hidden="1" outlineLevel="1" x14ac:dyDescent="0.35">
      <c r="B237" s="203"/>
      <c r="C237" s="204"/>
      <c r="D237" s="204"/>
      <c r="E237" s="204"/>
      <c r="F237" s="205"/>
      <c r="G237" s="548"/>
      <c r="H237" s="550"/>
      <c r="I237" s="326"/>
      <c r="J237" s="326"/>
      <c r="K237" s="326"/>
      <c r="M237" s="463"/>
      <c r="N237" s="464"/>
    </row>
    <row r="238" spans="2:14" hidden="1" outlineLevel="1" x14ac:dyDescent="0.35">
      <c r="B238" s="203"/>
      <c r="C238" s="204"/>
      <c r="D238" s="204"/>
      <c r="E238" s="204"/>
      <c r="F238" s="205"/>
      <c r="G238" s="548"/>
      <c r="H238" s="550"/>
      <c r="I238" s="326"/>
      <c r="J238" s="326"/>
      <c r="K238" s="326"/>
      <c r="M238" s="463"/>
      <c r="N238" s="464"/>
    </row>
    <row r="239" spans="2:14" hidden="1" outlineLevel="1" x14ac:dyDescent="0.35">
      <c r="B239" s="203"/>
      <c r="C239" s="204"/>
      <c r="D239" s="204"/>
      <c r="E239" s="204"/>
      <c r="F239" s="205"/>
      <c r="G239" s="548"/>
      <c r="H239" s="550"/>
      <c r="I239" s="326"/>
      <c r="J239" s="326"/>
      <c r="K239" s="326"/>
      <c r="M239" s="463"/>
      <c r="N239" s="464"/>
    </row>
    <row r="240" spans="2:14" hidden="1" outlineLevel="1" x14ac:dyDescent="0.35">
      <c r="B240" s="203"/>
      <c r="C240" s="204"/>
      <c r="D240" s="204"/>
      <c r="E240" s="204"/>
      <c r="F240" s="205"/>
      <c r="G240" s="548"/>
      <c r="H240" s="550"/>
      <c r="I240" s="326"/>
      <c r="J240" s="326"/>
      <c r="K240" s="326"/>
      <c r="M240" s="463"/>
      <c r="N240" s="464"/>
    </row>
    <row r="241" spans="2:14" hidden="1" outlineLevel="1" x14ac:dyDescent="0.35">
      <c r="B241" s="203"/>
      <c r="C241" s="204"/>
      <c r="D241" s="204"/>
      <c r="E241" s="204"/>
      <c r="F241" s="205"/>
      <c r="G241" s="548"/>
      <c r="H241" s="550"/>
      <c r="I241" s="326"/>
      <c r="J241" s="326"/>
      <c r="K241" s="326"/>
      <c r="M241" s="463"/>
      <c r="N241" s="464"/>
    </row>
    <row r="242" spans="2:14" hidden="1" outlineLevel="1" x14ac:dyDescent="0.35">
      <c r="B242" s="203"/>
      <c r="C242" s="204"/>
      <c r="D242" s="204"/>
      <c r="E242" s="204"/>
      <c r="F242" s="205"/>
      <c r="G242" s="548"/>
      <c r="H242" s="550"/>
      <c r="I242" s="326"/>
      <c r="J242" s="326"/>
      <c r="K242" s="326"/>
      <c r="M242" s="463"/>
      <c r="N242" s="464"/>
    </row>
    <row r="243" spans="2:14" hidden="1" outlineLevel="1" x14ac:dyDescent="0.35">
      <c r="B243" s="203"/>
      <c r="C243" s="204"/>
      <c r="D243" s="204"/>
      <c r="E243" s="204"/>
      <c r="F243" s="205"/>
      <c r="G243" s="548"/>
      <c r="H243" s="550"/>
      <c r="I243" s="326"/>
      <c r="J243" s="326"/>
      <c r="K243" s="326"/>
      <c r="M243" s="463"/>
      <c r="N243" s="464"/>
    </row>
    <row r="244" spans="2:14" hidden="1" outlineLevel="1" x14ac:dyDescent="0.35">
      <c r="B244" s="203"/>
      <c r="C244" s="204"/>
      <c r="D244" s="204"/>
      <c r="E244" s="204"/>
      <c r="F244" s="205"/>
      <c r="G244" s="548"/>
      <c r="H244" s="550"/>
      <c r="I244" s="326"/>
      <c r="J244" s="326"/>
      <c r="K244" s="326"/>
      <c r="M244" s="463"/>
      <c r="N244" s="464"/>
    </row>
    <row r="245" spans="2:14" hidden="1" outlineLevel="1" x14ac:dyDescent="0.35">
      <c r="B245" s="203"/>
      <c r="C245" s="204"/>
      <c r="D245" s="204"/>
      <c r="E245" s="204"/>
      <c r="F245" s="205"/>
      <c r="G245" s="548"/>
      <c r="H245" s="550"/>
      <c r="I245" s="326"/>
      <c r="J245" s="326"/>
      <c r="K245" s="326"/>
      <c r="M245" s="463"/>
      <c r="N245" s="464"/>
    </row>
    <row r="246" spans="2:14" hidden="1" outlineLevel="1" x14ac:dyDescent="0.35">
      <c r="B246" s="203"/>
      <c r="C246" s="204"/>
      <c r="D246" s="204"/>
      <c r="E246" s="204"/>
      <c r="F246" s="205"/>
      <c r="G246" s="548"/>
      <c r="H246" s="550"/>
      <c r="I246" s="326"/>
      <c r="J246" s="326"/>
      <c r="K246" s="326"/>
      <c r="M246" s="463"/>
      <c r="N246" s="464"/>
    </row>
    <row r="247" spans="2:14" hidden="1" outlineLevel="1" x14ac:dyDescent="0.35">
      <c r="B247" s="203"/>
      <c r="C247" s="204"/>
      <c r="D247" s="204"/>
      <c r="E247" s="204"/>
      <c r="F247" s="205"/>
      <c r="G247" s="548"/>
      <c r="H247" s="550"/>
      <c r="I247" s="326"/>
      <c r="J247" s="326"/>
      <c r="K247" s="326"/>
      <c r="M247" s="463"/>
      <c r="N247" s="464"/>
    </row>
    <row r="248" spans="2:14" hidden="1" outlineLevel="1" x14ac:dyDescent="0.35">
      <c r="B248" s="203"/>
      <c r="C248" s="204"/>
      <c r="D248" s="204"/>
      <c r="E248" s="204"/>
      <c r="F248" s="205"/>
      <c r="G248" s="548"/>
      <c r="H248" s="550"/>
      <c r="I248" s="326"/>
      <c r="J248" s="326"/>
      <c r="K248" s="326"/>
      <c r="M248" s="463"/>
      <c r="N248" s="464"/>
    </row>
    <row r="249" spans="2:14" hidden="1" outlineLevel="1" x14ac:dyDescent="0.35">
      <c r="B249" s="203"/>
      <c r="C249" s="204"/>
      <c r="D249" s="204"/>
      <c r="E249" s="204"/>
      <c r="F249" s="205"/>
      <c r="G249" s="548"/>
      <c r="H249" s="550"/>
      <c r="I249" s="326"/>
      <c r="J249" s="326"/>
      <c r="K249" s="326"/>
      <c r="M249" s="463"/>
      <c r="N249" s="464"/>
    </row>
    <row r="250" spans="2:14" hidden="1" outlineLevel="1" x14ac:dyDescent="0.35">
      <c r="B250" s="203"/>
      <c r="C250" s="204"/>
      <c r="D250" s="204"/>
      <c r="E250" s="204"/>
      <c r="F250" s="205"/>
      <c r="G250" s="548"/>
      <c r="H250" s="550"/>
      <c r="I250" s="326"/>
      <c r="J250" s="326"/>
      <c r="K250" s="326"/>
      <c r="M250" s="463"/>
      <c r="N250" s="464"/>
    </row>
    <row r="251" spans="2:14" hidden="1" outlineLevel="1" x14ac:dyDescent="0.35">
      <c r="B251" s="203"/>
      <c r="C251" s="204"/>
      <c r="D251" s="204"/>
      <c r="E251" s="204"/>
      <c r="F251" s="205"/>
      <c r="G251" s="548"/>
      <c r="H251" s="550"/>
      <c r="I251" s="326"/>
      <c r="J251" s="326"/>
      <c r="K251" s="326"/>
      <c r="M251" s="463"/>
      <c r="N251" s="464"/>
    </row>
    <row r="252" spans="2:14" hidden="1" outlineLevel="1" x14ac:dyDescent="0.35">
      <c r="B252" s="203"/>
      <c r="C252" s="204"/>
      <c r="D252" s="204"/>
      <c r="E252" s="204"/>
      <c r="F252" s="205"/>
      <c r="G252" s="548"/>
      <c r="H252" s="550"/>
      <c r="I252" s="326"/>
      <c r="J252" s="326"/>
      <c r="K252" s="326"/>
      <c r="M252" s="463"/>
      <c r="N252" s="464"/>
    </row>
    <row r="253" spans="2:14" hidden="1" outlineLevel="1" x14ac:dyDescent="0.35">
      <c r="B253" s="203"/>
      <c r="C253" s="204"/>
      <c r="D253" s="204"/>
      <c r="E253" s="204"/>
      <c r="F253" s="205"/>
      <c r="G253" s="548"/>
      <c r="H253" s="550"/>
      <c r="I253" s="326"/>
      <c r="J253" s="326"/>
      <c r="K253" s="326"/>
      <c r="M253" s="463"/>
      <c r="N253" s="464"/>
    </row>
    <row r="254" spans="2:14" hidden="1" outlineLevel="1" x14ac:dyDescent="0.35">
      <c r="B254" s="203"/>
      <c r="C254" s="204"/>
      <c r="D254" s="204"/>
      <c r="E254" s="204"/>
      <c r="F254" s="205"/>
      <c r="G254" s="548"/>
      <c r="H254" s="550"/>
      <c r="I254" s="326"/>
      <c r="J254" s="326"/>
      <c r="K254" s="326"/>
      <c r="M254" s="463"/>
      <c r="N254" s="464"/>
    </row>
    <row r="255" spans="2:14" hidden="1" outlineLevel="1" x14ac:dyDescent="0.35">
      <c r="B255" s="203"/>
      <c r="C255" s="204"/>
      <c r="D255" s="204"/>
      <c r="E255" s="204"/>
      <c r="F255" s="205"/>
      <c r="G255" s="548"/>
      <c r="H255" s="550"/>
      <c r="I255" s="326"/>
      <c r="J255" s="326"/>
      <c r="K255" s="326"/>
      <c r="M255" s="463"/>
      <c r="N255" s="464"/>
    </row>
    <row r="256" spans="2:14" hidden="1" outlineLevel="1" x14ac:dyDescent="0.35">
      <c r="B256" s="203"/>
      <c r="C256" s="204"/>
      <c r="D256" s="204"/>
      <c r="E256" s="204"/>
      <c r="F256" s="205"/>
      <c r="G256" s="548"/>
      <c r="H256" s="550"/>
      <c r="I256" s="326"/>
      <c r="J256" s="326"/>
      <c r="K256" s="326"/>
      <c r="M256" s="463"/>
      <c r="N256" s="464"/>
    </row>
    <row r="257" spans="2:14" hidden="1" outlineLevel="1" x14ac:dyDescent="0.35">
      <c r="B257" s="203"/>
      <c r="C257" s="204"/>
      <c r="D257" s="204"/>
      <c r="E257" s="204"/>
      <c r="F257" s="205"/>
      <c r="G257" s="548"/>
      <c r="H257" s="550"/>
      <c r="I257" s="326"/>
      <c r="J257" s="326"/>
      <c r="K257" s="326"/>
      <c r="M257" s="463"/>
      <c r="N257" s="464"/>
    </row>
    <row r="258" spans="2:14" hidden="1" outlineLevel="1" x14ac:dyDescent="0.35">
      <c r="B258" s="203"/>
      <c r="C258" s="204"/>
      <c r="D258" s="204"/>
      <c r="E258" s="204"/>
      <c r="F258" s="205"/>
      <c r="G258" s="548"/>
      <c r="H258" s="550"/>
      <c r="I258" s="326"/>
      <c r="J258" s="326"/>
      <c r="K258" s="326"/>
      <c r="M258" s="463"/>
      <c r="N258" s="464"/>
    </row>
    <row r="259" spans="2:14" hidden="1" outlineLevel="1" x14ac:dyDescent="0.35">
      <c r="B259" s="203"/>
      <c r="C259" s="204"/>
      <c r="D259" s="204"/>
      <c r="E259" s="204"/>
      <c r="F259" s="205"/>
      <c r="G259" s="548"/>
      <c r="H259" s="550"/>
      <c r="I259" s="326"/>
      <c r="J259" s="326"/>
      <c r="K259" s="326"/>
      <c r="M259" s="463"/>
      <c r="N259" s="464"/>
    </row>
    <row r="260" spans="2:14" hidden="1" outlineLevel="1" x14ac:dyDescent="0.35">
      <c r="B260" s="203"/>
      <c r="C260" s="204"/>
      <c r="D260" s="204"/>
      <c r="E260" s="204"/>
      <c r="F260" s="205"/>
      <c r="G260" s="548"/>
      <c r="H260" s="550"/>
      <c r="I260" s="326"/>
      <c r="J260" s="326"/>
      <c r="K260" s="326"/>
      <c r="M260" s="463"/>
      <c r="N260" s="464"/>
    </row>
    <row r="261" spans="2:14" hidden="1" outlineLevel="1" x14ac:dyDescent="0.35">
      <c r="B261" s="203"/>
      <c r="C261" s="204"/>
      <c r="D261" s="204"/>
      <c r="E261" s="204"/>
      <c r="F261" s="205"/>
      <c r="G261" s="548"/>
      <c r="H261" s="550"/>
      <c r="I261" s="326"/>
      <c r="J261" s="326"/>
      <c r="K261" s="326"/>
      <c r="M261" s="463"/>
      <c r="N261" s="464"/>
    </row>
    <row r="262" spans="2:14" hidden="1" outlineLevel="1" x14ac:dyDescent="0.35">
      <c r="B262" s="203"/>
      <c r="C262" s="204"/>
      <c r="D262" s="204"/>
      <c r="E262" s="204"/>
      <c r="F262" s="205"/>
      <c r="G262" s="548"/>
      <c r="H262" s="550"/>
      <c r="I262" s="326"/>
      <c r="J262" s="326"/>
      <c r="K262" s="326"/>
      <c r="M262" s="463"/>
      <c r="N262" s="464"/>
    </row>
    <row r="263" spans="2:14" hidden="1" outlineLevel="1" x14ac:dyDescent="0.35">
      <c r="B263" s="203"/>
      <c r="C263" s="204"/>
      <c r="D263" s="204"/>
      <c r="E263" s="204"/>
      <c r="F263" s="205"/>
      <c r="G263" s="548"/>
      <c r="H263" s="550"/>
      <c r="I263" s="326"/>
      <c r="J263" s="326"/>
      <c r="K263" s="326"/>
      <c r="M263" s="463"/>
      <c r="N263" s="464"/>
    </row>
    <row r="264" spans="2:14" hidden="1" outlineLevel="1" x14ac:dyDescent="0.35">
      <c r="B264" s="203"/>
      <c r="C264" s="204"/>
      <c r="D264" s="204"/>
      <c r="E264" s="204"/>
      <c r="F264" s="205"/>
      <c r="G264" s="548"/>
      <c r="H264" s="550"/>
      <c r="I264" s="326"/>
      <c r="J264" s="326"/>
      <c r="K264" s="326"/>
      <c r="M264" s="463"/>
      <c r="N264" s="464"/>
    </row>
    <row r="265" spans="2:14" hidden="1" outlineLevel="1" x14ac:dyDescent="0.35">
      <c r="B265" s="203"/>
      <c r="C265" s="204"/>
      <c r="D265" s="204"/>
      <c r="E265" s="204"/>
      <c r="F265" s="205"/>
      <c r="G265" s="548"/>
      <c r="H265" s="550"/>
      <c r="I265" s="326"/>
      <c r="J265" s="326"/>
      <c r="K265" s="326"/>
      <c r="M265" s="463"/>
      <c r="N265" s="464"/>
    </row>
    <row r="266" spans="2:14" hidden="1" outlineLevel="1" x14ac:dyDescent="0.35">
      <c r="B266" s="203"/>
      <c r="C266" s="204"/>
      <c r="D266" s="204"/>
      <c r="E266" s="204"/>
      <c r="F266" s="205"/>
      <c r="G266" s="548"/>
      <c r="H266" s="550"/>
      <c r="I266" s="326"/>
      <c r="J266" s="326"/>
      <c r="K266" s="326"/>
      <c r="M266" s="463"/>
      <c r="N266" s="464"/>
    </row>
    <row r="267" spans="2:14" hidden="1" outlineLevel="1" x14ac:dyDescent="0.35">
      <c r="B267" s="203"/>
      <c r="C267" s="204"/>
      <c r="D267" s="204"/>
      <c r="E267" s="204"/>
      <c r="F267" s="205"/>
      <c r="G267" s="548"/>
      <c r="H267" s="550"/>
      <c r="I267" s="326"/>
      <c r="J267" s="326"/>
      <c r="K267" s="326"/>
      <c r="M267" s="463"/>
      <c r="N267" s="464"/>
    </row>
    <row r="268" spans="2:14" hidden="1" outlineLevel="1" x14ac:dyDescent="0.35">
      <c r="B268" s="203"/>
      <c r="C268" s="204"/>
      <c r="D268" s="204"/>
      <c r="E268" s="204"/>
      <c r="F268" s="205"/>
      <c r="G268" s="548"/>
      <c r="H268" s="550"/>
      <c r="I268" s="326"/>
      <c r="J268" s="326"/>
      <c r="K268" s="326"/>
      <c r="M268" s="463"/>
      <c r="N268" s="464"/>
    </row>
    <row r="269" spans="2:14" hidden="1" outlineLevel="1" x14ac:dyDescent="0.35">
      <c r="B269" s="203"/>
      <c r="C269" s="204"/>
      <c r="D269" s="204"/>
      <c r="E269" s="204"/>
      <c r="F269" s="205"/>
      <c r="G269" s="548"/>
      <c r="H269" s="550"/>
      <c r="I269" s="326"/>
      <c r="J269" s="326"/>
      <c r="K269" s="326"/>
      <c r="M269" s="463"/>
      <c r="N269" s="464"/>
    </row>
    <row r="270" spans="2:14" hidden="1" outlineLevel="1" x14ac:dyDescent="0.35">
      <c r="B270" s="203"/>
      <c r="C270" s="204"/>
      <c r="D270" s="204"/>
      <c r="E270" s="204"/>
      <c r="F270" s="205"/>
      <c r="G270" s="548"/>
      <c r="H270" s="550"/>
      <c r="I270" s="326"/>
      <c r="J270" s="326"/>
      <c r="K270" s="326"/>
      <c r="M270" s="463"/>
      <c r="N270" s="464"/>
    </row>
    <row r="271" spans="2:14" hidden="1" outlineLevel="1" x14ac:dyDescent="0.35">
      <c r="B271" s="203"/>
      <c r="C271" s="204"/>
      <c r="D271" s="204"/>
      <c r="E271" s="204"/>
      <c r="F271" s="205"/>
      <c r="G271" s="548"/>
      <c r="H271" s="550"/>
      <c r="I271" s="326"/>
      <c r="J271" s="326"/>
      <c r="K271" s="326"/>
      <c r="M271" s="463"/>
      <c r="N271" s="464"/>
    </row>
    <row r="272" spans="2:14" hidden="1" outlineLevel="1" x14ac:dyDescent="0.35">
      <c r="B272" s="203"/>
      <c r="C272" s="204"/>
      <c r="D272" s="204"/>
      <c r="E272" s="204"/>
      <c r="F272" s="205"/>
      <c r="G272" s="548"/>
      <c r="H272" s="550"/>
      <c r="I272" s="326"/>
      <c r="J272" s="326"/>
      <c r="K272" s="326"/>
      <c r="M272" s="463"/>
      <c r="N272" s="464"/>
    </row>
    <row r="273" spans="2:14" hidden="1" outlineLevel="1" x14ac:dyDescent="0.35">
      <c r="B273" s="203"/>
      <c r="C273" s="204"/>
      <c r="D273" s="204"/>
      <c r="E273" s="204"/>
      <c r="F273" s="205"/>
      <c r="G273" s="548"/>
      <c r="H273" s="550"/>
      <c r="I273" s="326"/>
      <c r="J273" s="326"/>
      <c r="K273" s="326"/>
      <c r="M273" s="463"/>
      <c r="N273" s="464"/>
    </row>
    <row r="274" spans="2:14" hidden="1" outlineLevel="1" x14ac:dyDescent="0.35">
      <c r="B274" s="203"/>
      <c r="C274" s="204"/>
      <c r="D274" s="204"/>
      <c r="E274" s="204"/>
      <c r="F274" s="205"/>
      <c r="G274" s="548"/>
      <c r="H274" s="550"/>
      <c r="I274" s="326"/>
      <c r="J274" s="326"/>
      <c r="K274" s="326"/>
      <c r="M274" s="463"/>
      <c r="N274" s="464"/>
    </row>
    <row r="275" spans="2:14" hidden="1" outlineLevel="1" x14ac:dyDescent="0.35">
      <c r="B275" s="203"/>
      <c r="C275" s="204"/>
      <c r="D275" s="204"/>
      <c r="E275" s="204"/>
      <c r="F275" s="205"/>
      <c r="G275" s="548"/>
      <c r="H275" s="550"/>
      <c r="I275" s="326"/>
      <c r="J275" s="326"/>
      <c r="K275" s="326"/>
      <c r="M275" s="463"/>
      <c r="N275" s="464"/>
    </row>
    <row r="276" spans="2:14" hidden="1" outlineLevel="1" x14ac:dyDescent="0.35">
      <c r="B276" s="203"/>
      <c r="C276" s="204"/>
      <c r="D276" s="204"/>
      <c r="E276" s="204"/>
      <c r="F276" s="205"/>
      <c r="G276" s="548"/>
      <c r="H276" s="550"/>
      <c r="I276" s="326"/>
      <c r="J276" s="326"/>
      <c r="K276" s="326"/>
      <c r="M276" s="463"/>
      <c r="N276" s="464"/>
    </row>
    <row r="277" spans="2:14" hidden="1" outlineLevel="1" x14ac:dyDescent="0.35">
      <c r="B277" s="203"/>
      <c r="C277" s="204"/>
      <c r="D277" s="204"/>
      <c r="E277" s="204"/>
      <c r="F277" s="205"/>
      <c r="G277" s="548"/>
      <c r="H277" s="550"/>
      <c r="I277" s="326"/>
      <c r="J277" s="326"/>
      <c r="K277" s="326"/>
      <c r="M277" s="463"/>
      <c r="N277" s="464"/>
    </row>
    <row r="278" spans="2:14" hidden="1" outlineLevel="1" x14ac:dyDescent="0.35">
      <c r="B278" s="203"/>
      <c r="C278" s="204"/>
      <c r="D278" s="204"/>
      <c r="E278" s="204"/>
      <c r="F278" s="205"/>
      <c r="G278" s="548"/>
      <c r="H278" s="550"/>
      <c r="I278" s="326"/>
      <c r="J278" s="326"/>
      <c r="K278" s="326"/>
      <c r="M278" s="463"/>
      <c r="N278" s="464"/>
    </row>
    <row r="279" spans="2:14" hidden="1" outlineLevel="1" x14ac:dyDescent="0.35">
      <c r="B279" s="203"/>
      <c r="C279" s="204"/>
      <c r="D279" s="204"/>
      <c r="E279" s="204"/>
      <c r="F279" s="205"/>
      <c r="G279" s="548"/>
      <c r="H279" s="550"/>
      <c r="I279" s="326"/>
      <c r="J279" s="326"/>
      <c r="K279" s="326"/>
      <c r="M279" s="463"/>
      <c r="N279" s="464"/>
    </row>
    <row r="280" spans="2:14" hidden="1" outlineLevel="1" x14ac:dyDescent="0.35">
      <c r="B280" s="203"/>
      <c r="C280" s="204"/>
      <c r="D280" s="204"/>
      <c r="E280" s="204"/>
      <c r="F280" s="205"/>
      <c r="G280" s="548"/>
      <c r="H280" s="550"/>
      <c r="I280" s="326"/>
      <c r="J280" s="326"/>
      <c r="K280" s="326"/>
      <c r="M280" s="463"/>
      <c r="N280" s="464"/>
    </row>
    <row r="281" spans="2:14" hidden="1" outlineLevel="1" x14ac:dyDescent="0.35">
      <c r="B281" s="203"/>
      <c r="C281" s="204"/>
      <c r="D281" s="204"/>
      <c r="E281" s="204"/>
      <c r="F281" s="205"/>
      <c r="G281" s="548"/>
      <c r="H281" s="550"/>
      <c r="I281" s="326"/>
      <c r="J281" s="326"/>
      <c r="K281" s="326"/>
      <c r="M281" s="463"/>
      <c r="N281" s="464"/>
    </row>
    <row r="282" spans="2:14" hidden="1" outlineLevel="1" x14ac:dyDescent="0.35">
      <c r="B282" s="203"/>
      <c r="C282" s="204"/>
      <c r="D282" s="204"/>
      <c r="E282" s="204"/>
      <c r="F282" s="205"/>
      <c r="G282" s="548"/>
      <c r="H282" s="550"/>
      <c r="I282" s="326"/>
      <c r="J282" s="326"/>
      <c r="K282" s="326"/>
      <c r="M282" s="463"/>
      <c r="N282" s="464"/>
    </row>
    <row r="283" spans="2:14" hidden="1" outlineLevel="1" x14ac:dyDescent="0.35">
      <c r="B283" s="203"/>
      <c r="C283" s="204"/>
      <c r="D283" s="204"/>
      <c r="E283" s="204"/>
      <c r="F283" s="205"/>
      <c r="G283" s="548"/>
      <c r="H283" s="550"/>
      <c r="I283" s="326"/>
      <c r="J283" s="326"/>
      <c r="K283" s="326"/>
      <c r="M283" s="463"/>
      <c r="N283" s="464"/>
    </row>
    <row r="284" spans="2:14" hidden="1" outlineLevel="1" x14ac:dyDescent="0.35">
      <c r="B284" s="203"/>
      <c r="C284" s="204"/>
      <c r="D284" s="204"/>
      <c r="E284" s="204"/>
      <c r="F284" s="205"/>
      <c r="G284" s="548"/>
      <c r="H284" s="550"/>
      <c r="I284" s="326"/>
      <c r="J284" s="326"/>
      <c r="K284" s="326"/>
      <c r="M284" s="463"/>
      <c r="N284" s="464"/>
    </row>
    <row r="285" spans="2:14" hidden="1" outlineLevel="1" x14ac:dyDescent="0.35">
      <c r="B285" s="203"/>
      <c r="C285" s="204"/>
      <c r="D285" s="204"/>
      <c r="E285" s="204"/>
      <c r="F285" s="205"/>
      <c r="G285" s="548"/>
      <c r="H285" s="550"/>
      <c r="I285" s="326"/>
      <c r="J285" s="326"/>
      <c r="K285" s="326"/>
      <c r="M285" s="463"/>
      <c r="N285" s="464"/>
    </row>
    <row r="286" spans="2:14" hidden="1" outlineLevel="1" x14ac:dyDescent="0.35">
      <c r="B286" s="203"/>
      <c r="C286" s="204"/>
      <c r="D286" s="204"/>
      <c r="E286" s="204"/>
      <c r="F286" s="205"/>
      <c r="G286" s="548"/>
      <c r="H286" s="550"/>
      <c r="I286" s="326"/>
      <c r="J286" s="326"/>
      <c r="K286" s="326"/>
      <c r="M286" s="463"/>
      <c r="N286" s="464"/>
    </row>
    <row r="287" spans="2:14" hidden="1" outlineLevel="1" x14ac:dyDescent="0.35">
      <c r="B287" s="203"/>
      <c r="C287" s="204"/>
      <c r="D287" s="204"/>
      <c r="E287" s="204"/>
      <c r="F287" s="205"/>
      <c r="G287" s="548"/>
      <c r="H287" s="550"/>
      <c r="I287" s="326"/>
      <c r="J287" s="326"/>
      <c r="K287" s="326"/>
      <c r="M287" s="463"/>
      <c r="N287" s="464"/>
    </row>
    <row r="288" spans="2:14" hidden="1" outlineLevel="1" x14ac:dyDescent="0.35">
      <c r="B288" s="203"/>
      <c r="C288" s="204"/>
      <c r="D288" s="204"/>
      <c r="E288" s="204"/>
      <c r="F288" s="205"/>
      <c r="G288" s="548"/>
      <c r="H288" s="550"/>
      <c r="I288" s="326"/>
      <c r="J288" s="326"/>
      <c r="K288" s="326"/>
      <c r="M288" s="463"/>
      <c r="N288" s="464"/>
    </row>
    <row r="289" spans="2:14" hidden="1" outlineLevel="1" x14ac:dyDescent="0.35">
      <c r="B289" s="203"/>
      <c r="C289" s="204"/>
      <c r="D289" s="204"/>
      <c r="E289" s="204"/>
      <c r="F289" s="205"/>
      <c r="G289" s="548"/>
      <c r="H289" s="550"/>
      <c r="I289" s="326"/>
      <c r="J289" s="326"/>
      <c r="K289" s="326"/>
      <c r="M289" s="463"/>
      <c r="N289" s="464"/>
    </row>
    <row r="290" spans="2:14" hidden="1" outlineLevel="1" x14ac:dyDescent="0.35">
      <c r="B290" s="203"/>
      <c r="C290" s="204"/>
      <c r="D290" s="204"/>
      <c r="E290" s="204"/>
      <c r="F290" s="205"/>
      <c r="G290" s="548"/>
      <c r="H290" s="550"/>
      <c r="I290" s="326"/>
      <c r="J290" s="326"/>
      <c r="K290" s="326"/>
      <c r="M290" s="463"/>
      <c r="N290" s="464"/>
    </row>
    <row r="291" spans="2:14" hidden="1" outlineLevel="1" x14ac:dyDescent="0.35">
      <c r="B291" s="203"/>
      <c r="C291" s="204"/>
      <c r="D291" s="204"/>
      <c r="E291" s="204"/>
      <c r="F291" s="205"/>
      <c r="G291" s="548"/>
      <c r="H291" s="550"/>
      <c r="I291" s="326"/>
      <c r="J291" s="326"/>
      <c r="K291" s="326"/>
      <c r="M291" s="463"/>
      <c r="N291" s="464"/>
    </row>
    <row r="292" spans="2:14" hidden="1" outlineLevel="1" x14ac:dyDescent="0.35">
      <c r="B292" s="203"/>
      <c r="C292" s="204"/>
      <c r="D292" s="204"/>
      <c r="E292" s="204"/>
      <c r="F292" s="205"/>
      <c r="G292" s="548"/>
      <c r="H292" s="550"/>
      <c r="I292" s="326"/>
      <c r="J292" s="326"/>
      <c r="K292" s="326"/>
      <c r="M292" s="463"/>
      <c r="N292" s="464"/>
    </row>
    <row r="293" spans="2:14" hidden="1" outlineLevel="1" x14ac:dyDescent="0.35">
      <c r="B293" s="203"/>
      <c r="C293" s="204"/>
      <c r="D293" s="204"/>
      <c r="E293" s="204"/>
      <c r="F293" s="205"/>
      <c r="G293" s="548"/>
      <c r="H293" s="550"/>
      <c r="I293" s="326"/>
      <c r="J293" s="326"/>
      <c r="K293" s="326"/>
      <c r="M293" s="463"/>
      <c r="N293" s="464"/>
    </row>
    <row r="294" spans="2:14" hidden="1" outlineLevel="1" x14ac:dyDescent="0.35">
      <c r="B294" s="203"/>
      <c r="C294" s="204"/>
      <c r="D294" s="204"/>
      <c r="E294" s="204"/>
      <c r="F294" s="205"/>
      <c r="G294" s="548"/>
      <c r="H294" s="550"/>
      <c r="I294" s="326"/>
      <c r="J294" s="326"/>
      <c r="K294" s="326"/>
      <c r="M294" s="463"/>
      <c r="N294" s="464"/>
    </row>
    <row r="295" spans="2:14" hidden="1" outlineLevel="1" x14ac:dyDescent="0.35">
      <c r="B295" s="203"/>
      <c r="C295" s="204"/>
      <c r="D295" s="204"/>
      <c r="E295" s="204"/>
      <c r="F295" s="205"/>
      <c r="G295" s="548"/>
      <c r="H295" s="550"/>
      <c r="I295" s="326"/>
      <c r="J295" s="326"/>
      <c r="K295" s="326"/>
      <c r="M295" s="463"/>
      <c r="N295" s="464"/>
    </row>
    <row r="296" spans="2:14" hidden="1" outlineLevel="1" x14ac:dyDescent="0.35">
      <c r="B296" s="203"/>
      <c r="C296" s="204"/>
      <c r="D296" s="204"/>
      <c r="E296" s="204"/>
      <c r="F296" s="205"/>
      <c r="G296" s="548"/>
      <c r="H296" s="550"/>
      <c r="I296" s="326"/>
      <c r="J296" s="326"/>
      <c r="K296" s="326"/>
      <c r="M296" s="463"/>
      <c r="N296" s="464"/>
    </row>
    <row r="297" spans="2:14" hidden="1" outlineLevel="1" x14ac:dyDescent="0.35">
      <c r="B297" s="203"/>
      <c r="C297" s="204"/>
      <c r="D297" s="204"/>
      <c r="E297" s="204"/>
      <c r="F297" s="205"/>
      <c r="G297" s="548"/>
      <c r="H297" s="550"/>
      <c r="I297" s="326"/>
      <c r="J297" s="326"/>
      <c r="K297" s="326"/>
      <c r="M297" s="463"/>
      <c r="N297" s="464"/>
    </row>
    <row r="298" spans="2:14" hidden="1" outlineLevel="1" x14ac:dyDescent="0.35">
      <c r="B298" s="203"/>
      <c r="C298" s="204"/>
      <c r="D298" s="204"/>
      <c r="E298" s="204"/>
      <c r="F298" s="205"/>
      <c r="G298" s="548"/>
      <c r="H298" s="550"/>
      <c r="I298" s="326"/>
      <c r="J298" s="326"/>
      <c r="K298" s="326"/>
      <c r="M298" s="463"/>
      <c r="N298" s="464"/>
    </row>
    <row r="299" spans="2:14" hidden="1" outlineLevel="1" x14ac:dyDescent="0.35">
      <c r="B299" s="203"/>
      <c r="C299" s="204"/>
      <c r="D299" s="204"/>
      <c r="E299" s="204"/>
      <c r="F299" s="205"/>
      <c r="G299" s="548"/>
      <c r="H299" s="550"/>
      <c r="I299" s="326"/>
      <c r="J299" s="326"/>
      <c r="K299" s="326"/>
      <c r="M299" s="463"/>
      <c r="N299" s="464"/>
    </row>
    <row r="300" spans="2:14" hidden="1" outlineLevel="1" x14ac:dyDescent="0.35">
      <c r="B300" s="203"/>
      <c r="C300" s="204"/>
      <c r="D300" s="204"/>
      <c r="E300" s="204"/>
      <c r="F300" s="205"/>
      <c r="G300" s="548"/>
      <c r="H300" s="550"/>
      <c r="I300" s="326"/>
      <c r="J300" s="326"/>
      <c r="K300" s="326"/>
      <c r="M300" s="463"/>
      <c r="N300" s="464"/>
    </row>
    <row r="301" spans="2:14" hidden="1" outlineLevel="1" x14ac:dyDescent="0.35">
      <c r="B301" s="203"/>
      <c r="C301" s="204"/>
      <c r="D301" s="204"/>
      <c r="E301" s="204"/>
      <c r="F301" s="205"/>
      <c r="G301" s="548"/>
      <c r="H301" s="550"/>
      <c r="I301" s="326"/>
      <c r="J301" s="326"/>
      <c r="K301" s="326"/>
      <c r="M301" s="463"/>
      <c r="N301" s="464"/>
    </row>
    <row r="302" spans="2:14" hidden="1" outlineLevel="1" x14ac:dyDescent="0.35">
      <c r="B302" s="203"/>
      <c r="C302" s="204"/>
      <c r="D302" s="204"/>
      <c r="E302" s="204"/>
      <c r="F302" s="205"/>
      <c r="G302" s="548"/>
      <c r="H302" s="550"/>
      <c r="I302" s="326"/>
      <c r="J302" s="326"/>
      <c r="K302" s="326"/>
      <c r="M302" s="463"/>
      <c r="N302" s="464"/>
    </row>
    <row r="303" spans="2:14" hidden="1" outlineLevel="1" x14ac:dyDescent="0.35">
      <c r="B303" s="203"/>
      <c r="C303" s="204"/>
      <c r="D303" s="204"/>
      <c r="E303" s="204"/>
      <c r="F303" s="205"/>
      <c r="G303" s="548"/>
      <c r="H303" s="550"/>
      <c r="I303" s="326"/>
      <c r="J303" s="326"/>
      <c r="K303" s="326"/>
      <c r="M303" s="463"/>
      <c r="N303" s="464"/>
    </row>
    <row r="304" spans="2:14" hidden="1" outlineLevel="1" x14ac:dyDescent="0.35">
      <c r="B304" s="203"/>
      <c r="C304" s="204"/>
      <c r="D304" s="204"/>
      <c r="E304" s="204"/>
      <c r="F304" s="205"/>
      <c r="G304" s="548"/>
      <c r="H304" s="550"/>
      <c r="I304" s="326"/>
      <c r="J304" s="326"/>
      <c r="K304" s="326"/>
      <c r="M304" s="463"/>
      <c r="N304" s="464"/>
    </row>
    <row r="305" spans="2:14" hidden="1" outlineLevel="1" x14ac:dyDescent="0.35">
      <c r="B305" s="203"/>
      <c r="C305" s="204"/>
      <c r="D305" s="204"/>
      <c r="E305" s="204"/>
      <c r="F305" s="205"/>
      <c r="G305" s="548"/>
      <c r="H305" s="550"/>
      <c r="I305" s="326"/>
      <c r="J305" s="326"/>
      <c r="K305" s="326"/>
      <c r="M305" s="463"/>
      <c r="N305" s="464"/>
    </row>
    <row r="306" spans="2:14" hidden="1" outlineLevel="1" x14ac:dyDescent="0.35">
      <c r="B306" s="203"/>
      <c r="C306" s="204"/>
      <c r="D306" s="204"/>
      <c r="E306" s="204"/>
      <c r="F306" s="205"/>
      <c r="G306" s="548"/>
      <c r="H306" s="550"/>
      <c r="I306" s="326"/>
      <c r="J306" s="326"/>
      <c r="K306" s="326"/>
      <c r="M306" s="463"/>
      <c r="N306" s="464"/>
    </row>
    <row r="307" spans="2:14" hidden="1" outlineLevel="1" x14ac:dyDescent="0.35">
      <c r="B307" s="203"/>
      <c r="C307" s="204"/>
      <c r="D307" s="204"/>
      <c r="E307" s="204"/>
      <c r="F307" s="205"/>
      <c r="G307" s="548"/>
      <c r="H307" s="550"/>
      <c r="I307" s="326"/>
      <c r="J307" s="326"/>
      <c r="K307" s="326"/>
      <c r="M307" s="463"/>
      <c r="N307" s="464"/>
    </row>
    <row r="308" spans="2:14" hidden="1" outlineLevel="1" x14ac:dyDescent="0.35">
      <c r="B308" s="203"/>
      <c r="C308" s="204"/>
      <c r="D308" s="204"/>
      <c r="E308" s="204"/>
      <c r="F308" s="205"/>
      <c r="G308" s="548"/>
      <c r="H308" s="550"/>
      <c r="I308" s="326"/>
      <c r="J308" s="326"/>
      <c r="K308" s="326"/>
      <c r="M308" s="463"/>
      <c r="N308" s="464"/>
    </row>
    <row r="309" spans="2:14" hidden="1" outlineLevel="1" x14ac:dyDescent="0.35">
      <c r="B309" s="203"/>
      <c r="C309" s="204"/>
      <c r="D309" s="204"/>
      <c r="E309" s="204"/>
      <c r="F309" s="205"/>
      <c r="G309" s="548"/>
      <c r="H309" s="550"/>
      <c r="I309" s="326"/>
      <c r="J309" s="326"/>
      <c r="K309" s="326"/>
      <c r="M309" s="463"/>
      <c r="N309" s="464"/>
    </row>
    <row r="310" spans="2:14" hidden="1" outlineLevel="1" x14ac:dyDescent="0.35">
      <c r="B310" s="203"/>
      <c r="C310" s="204"/>
      <c r="D310" s="204"/>
      <c r="E310" s="204"/>
      <c r="F310" s="205"/>
      <c r="G310" s="548"/>
      <c r="H310" s="550"/>
      <c r="I310" s="326"/>
      <c r="J310" s="326"/>
      <c r="K310" s="326"/>
      <c r="M310" s="463"/>
      <c r="N310" s="464"/>
    </row>
    <row r="311" spans="2:14" hidden="1" outlineLevel="1" x14ac:dyDescent="0.35">
      <c r="B311" s="203"/>
      <c r="C311" s="204"/>
      <c r="D311" s="204"/>
      <c r="E311" s="204"/>
      <c r="F311" s="205"/>
      <c r="G311" s="548"/>
      <c r="H311" s="550"/>
      <c r="I311" s="326"/>
      <c r="J311" s="326"/>
      <c r="K311" s="326"/>
      <c r="M311" s="463"/>
      <c r="N311" s="464"/>
    </row>
    <row r="312" spans="2:14" hidden="1" outlineLevel="1" x14ac:dyDescent="0.35">
      <c r="B312" s="203"/>
      <c r="C312" s="204"/>
      <c r="D312" s="204"/>
      <c r="E312" s="204"/>
      <c r="F312" s="205"/>
      <c r="G312" s="548"/>
      <c r="H312" s="550"/>
      <c r="I312" s="326"/>
      <c r="J312" s="326"/>
      <c r="K312" s="326"/>
      <c r="M312" s="463"/>
      <c r="N312" s="464"/>
    </row>
    <row r="313" spans="2:14" hidden="1" outlineLevel="1" x14ac:dyDescent="0.35">
      <c r="B313" s="203"/>
      <c r="C313" s="204"/>
      <c r="D313" s="204"/>
      <c r="E313" s="204"/>
      <c r="F313" s="205"/>
      <c r="G313" s="548"/>
      <c r="H313" s="550"/>
      <c r="I313" s="326"/>
      <c r="J313" s="326"/>
      <c r="K313" s="326"/>
      <c r="M313" s="463"/>
      <c r="N313" s="464"/>
    </row>
    <row r="314" spans="2:14" hidden="1" outlineLevel="1" x14ac:dyDescent="0.35">
      <c r="B314" s="203"/>
      <c r="C314" s="204"/>
      <c r="D314" s="204"/>
      <c r="E314" s="204"/>
      <c r="F314" s="205"/>
      <c r="G314" s="548"/>
      <c r="H314" s="550"/>
      <c r="I314" s="326"/>
      <c r="J314" s="326"/>
      <c r="K314" s="326"/>
      <c r="M314" s="463"/>
      <c r="N314" s="464"/>
    </row>
    <row r="315" spans="2:14" hidden="1" outlineLevel="1" x14ac:dyDescent="0.35">
      <c r="B315" s="203"/>
      <c r="C315" s="204"/>
      <c r="D315" s="204"/>
      <c r="E315" s="204"/>
      <c r="F315" s="205"/>
      <c r="G315" s="548"/>
      <c r="H315" s="550"/>
      <c r="I315" s="326"/>
      <c r="J315" s="326"/>
      <c r="K315" s="326"/>
      <c r="M315" s="463"/>
      <c r="N315" s="464"/>
    </row>
    <row r="316" spans="2:14" hidden="1" outlineLevel="1" x14ac:dyDescent="0.35">
      <c r="B316" s="203"/>
      <c r="C316" s="204"/>
      <c r="D316" s="204"/>
      <c r="E316" s="204"/>
      <c r="F316" s="205"/>
      <c r="G316" s="548"/>
      <c r="H316" s="550"/>
      <c r="I316" s="326"/>
      <c r="J316" s="326"/>
      <c r="K316" s="326"/>
      <c r="M316" s="463"/>
      <c r="N316" s="464"/>
    </row>
    <row r="317" spans="2:14" hidden="1" outlineLevel="1" x14ac:dyDescent="0.35">
      <c r="B317" s="203"/>
      <c r="C317" s="204"/>
      <c r="D317" s="204"/>
      <c r="E317" s="204"/>
      <c r="F317" s="205"/>
      <c r="G317" s="548"/>
      <c r="H317" s="550"/>
      <c r="I317" s="326"/>
      <c r="J317" s="326"/>
      <c r="K317" s="326"/>
      <c r="M317" s="463"/>
      <c r="N317" s="464"/>
    </row>
    <row r="318" spans="2:14" hidden="1" outlineLevel="1" x14ac:dyDescent="0.35">
      <c r="B318" s="203"/>
      <c r="C318" s="204"/>
      <c r="D318" s="204"/>
      <c r="E318" s="204"/>
      <c r="F318" s="205"/>
      <c r="G318" s="548"/>
      <c r="H318" s="550"/>
      <c r="I318" s="326"/>
      <c r="J318" s="326"/>
      <c r="K318" s="326"/>
      <c r="M318" s="463"/>
      <c r="N318" s="464"/>
    </row>
    <row r="319" spans="2:14" hidden="1" outlineLevel="1" x14ac:dyDescent="0.35">
      <c r="B319" s="203"/>
      <c r="C319" s="204"/>
      <c r="D319" s="204"/>
      <c r="E319" s="204"/>
      <c r="F319" s="205"/>
      <c r="G319" s="548"/>
      <c r="H319" s="550"/>
      <c r="I319" s="326"/>
      <c r="J319" s="326"/>
      <c r="K319" s="326"/>
      <c r="M319" s="463"/>
      <c r="N319" s="464"/>
    </row>
    <row r="320" spans="2:14" hidden="1" outlineLevel="1" x14ac:dyDescent="0.35">
      <c r="B320" s="203"/>
      <c r="C320" s="204"/>
      <c r="D320" s="204"/>
      <c r="E320" s="204"/>
      <c r="F320" s="205"/>
      <c r="G320" s="548"/>
      <c r="H320" s="550"/>
      <c r="I320" s="326"/>
      <c r="J320" s="326"/>
      <c r="K320" s="326"/>
      <c r="M320" s="463"/>
      <c r="N320" s="464"/>
    </row>
    <row r="321" spans="2:14" hidden="1" outlineLevel="1" x14ac:dyDescent="0.35">
      <c r="B321" s="203"/>
      <c r="C321" s="204"/>
      <c r="D321" s="204"/>
      <c r="E321" s="204"/>
      <c r="F321" s="205"/>
      <c r="G321" s="548"/>
      <c r="H321" s="550"/>
      <c r="I321" s="326"/>
      <c r="J321" s="326"/>
      <c r="K321" s="326"/>
      <c r="M321" s="463"/>
      <c r="N321" s="464"/>
    </row>
    <row r="322" spans="2:14" hidden="1" outlineLevel="1" x14ac:dyDescent="0.35">
      <c r="B322" s="203"/>
      <c r="C322" s="204"/>
      <c r="D322" s="204"/>
      <c r="E322" s="204"/>
      <c r="F322" s="205"/>
      <c r="G322" s="548"/>
      <c r="H322" s="550"/>
      <c r="I322" s="326"/>
      <c r="J322" s="326"/>
      <c r="K322" s="326"/>
      <c r="M322" s="463"/>
      <c r="N322" s="464"/>
    </row>
    <row r="323" spans="2:14" hidden="1" outlineLevel="1" x14ac:dyDescent="0.35">
      <c r="B323" s="203"/>
      <c r="C323" s="204"/>
      <c r="D323" s="204"/>
      <c r="E323" s="204"/>
      <c r="F323" s="205"/>
      <c r="G323" s="548"/>
      <c r="H323" s="550"/>
      <c r="I323" s="326"/>
      <c r="J323" s="326"/>
      <c r="K323" s="326"/>
      <c r="M323" s="463"/>
      <c r="N323" s="464"/>
    </row>
    <row r="324" spans="2:14" hidden="1" outlineLevel="1" x14ac:dyDescent="0.35">
      <c r="B324" s="203"/>
      <c r="C324" s="204"/>
      <c r="D324" s="204"/>
      <c r="E324" s="204"/>
      <c r="F324" s="205"/>
      <c r="G324" s="548"/>
      <c r="H324" s="550"/>
      <c r="I324" s="326"/>
      <c r="J324" s="326"/>
      <c r="K324" s="326"/>
      <c r="M324" s="463"/>
      <c r="N324" s="464"/>
    </row>
    <row r="325" spans="2:14" hidden="1" outlineLevel="1" x14ac:dyDescent="0.35">
      <c r="B325" s="203"/>
      <c r="C325" s="204"/>
      <c r="D325" s="204"/>
      <c r="E325" s="204"/>
      <c r="F325" s="205"/>
      <c r="G325" s="548"/>
      <c r="H325" s="550"/>
      <c r="I325" s="326"/>
      <c r="J325" s="326"/>
      <c r="K325" s="326"/>
      <c r="M325" s="463"/>
      <c r="N325" s="464"/>
    </row>
    <row r="326" spans="2:14" hidden="1" outlineLevel="1" x14ac:dyDescent="0.35">
      <c r="B326" s="203"/>
      <c r="C326" s="204"/>
      <c r="D326" s="204"/>
      <c r="E326" s="204"/>
      <c r="F326" s="205"/>
      <c r="G326" s="548"/>
      <c r="H326" s="550"/>
      <c r="I326" s="326"/>
      <c r="J326" s="326"/>
      <c r="K326" s="326"/>
      <c r="M326" s="463"/>
      <c r="N326" s="464"/>
    </row>
    <row r="327" spans="2:14" hidden="1" outlineLevel="1" x14ac:dyDescent="0.35">
      <c r="B327" s="203"/>
      <c r="C327" s="204"/>
      <c r="D327" s="204"/>
      <c r="E327" s="204"/>
      <c r="F327" s="205"/>
      <c r="G327" s="548"/>
      <c r="H327" s="550"/>
      <c r="I327" s="326"/>
      <c r="J327" s="326"/>
      <c r="K327" s="326"/>
      <c r="M327" s="463"/>
      <c r="N327" s="464"/>
    </row>
    <row r="328" spans="2:14" hidden="1" outlineLevel="1" x14ac:dyDescent="0.35">
      <c r="B328" s="203"/>
      <c r="C328" s="204"/>
      <c r="D328" s="204"/>
      <c r="E328" s="204"/>
      <c r="F328" s="205"/>
      <c r="G328" s="548"/>
      <c r="H328" s="550"/>
      <c r="I328" s="326"/>
      <c r="J328" s="326"/>
      <c r="K328" s="326"/>
      <c r="M328" s="463"/>
      <c r="N328" s="464"/>
    </row>
    <row r="329" spans="2:14" hidden="1" outlineLevel="1" x14ac:dyDescent="0.35">
      <c r="B329" s="203"/>
      <c r="C329" s="204"/>
      <c r="D329" s="204"/>
      <c r="E329" s="204"/>
      <c r="F329" s="205"/>
      <c r="G329" s="548"/>
      <c r="H329" s="550"/>
      <c r="I329" s="326"/>
      <c r="J329" s="326"/>
      <c r="K329" s="326"/>
      <c r="M329" s="463"/>
      <c r="N329" s="464"/>
    </row>
    <row r="330" spans="2:14" hidden="1" outlineLevel="1" x14ac:dyDescent="0.35">
      <c r="B330" s="203"/>
      <c r="C330" s="204"/>
      <c r="D330" s="204"/>
      <c r="E330" s="204"/>
      <c r="F330" s="205"/>
      <c r="G330" s="548"/>
      <c r="H330" s="550"/>
      <c r="I330" s="326"/>
      <c r="J330" s="326"/>
      <c r="K330" s="326"/>
      <c r="M330" s="463"/>
      <c r="N330" s="464"/>
    </row>
    <row r="331" spans="2:14" hidden="1" outlineLevel="1" x14ac:dyDescent="0.35">
      <c r="B331" s="203"/>
      <c r="C331" s="204"/>
      <c r="D331" s="204"/>
      <c r="E331" s="204"/>
      <c r="F331" s="205"/>
      <c r="G331" s="548"/>
      <c r="H331" s="550"/>
      <c r="I331" s="326"/>
      <c r="J331" s="326"/>
      <c r="K331" s="326"/>
      <c r="M331" s="463"/>
      <c r="N331" s="464"/>
    </row>
    <row r="332" spans="2:14" hidden="1" outlineLevel="1" x14ac:dyDescent="0.35">
      <c r="B332" s="203"/>
      <c r="C332" s="204"/>
      <c r="D332" s="204"/>
      <c r="E332" s="204"/>
      <c r="F332" s="205"/>
      <c r="G332" s="548"/>
      <c r="H332" s="550"/>
      <c r="I332" s="326"/>
      <c r="J332" s="326"/>
      <c r="K332" s="326"/>
      <c r="M332" s="463"/>
      <c r="N332" s="464"/>
    </row>
    <row r="333" spans="2:14" hidden="1" outlineLevel="1" x14ac:dyDescent="0.35">
      <c r="B333" s="203"/>
      <c r="C333" s="204"/>
      <c r="D333" s="204"/>
      <c r="E333" s="204"/>
      <c r="F333" s="205"/>
      <c r="G333" s="548"/>
      <c r="H333" s="550"/>
      <c r="I333" s="326"/>
      <c r="J333" s="326"/>
      <c r="K333" s="326"/>
      <c r="M333" s="463"/>
      <c r="N333" s="464"/>
    </row>
    <row r="334" spans="2:14" hidden="1" outlineLevel="1" x14ac:dyDescent="0.35">
      <c r="B334" s="203"/>
      <c r="C334" s="204"/>
      <c r="D334" s="204"/>
      <c r="E334" s="204"/>
      <c r="F334" s="205"/>
      <c r="G334" s="548"/>
      <c r="H334" s="550"/>
      <c r="I334" s="326"/>
      <c r="J334" s="326"/>
      <c r="K334" s="326"/>
      <c r="M334" s="463"/>
      <c r="N334" s="464"/>
    </row>
    <row r="335" spans="2:14" hidden="1" outlineLevel="1" x14ac:dyDescent="0.35">
      <c r="B335" s="203"/>
      <c r="C335" s="204"/>
      <c r="D335" s="204"/>
      <c r="E335" s="204"/>
      <c r="F335" s="205"/>
      <c r="G335" s="548"/>
      <c r="H335" s="550"/>
      <c r="I335" s="326"/>
      <c r="J335" s="326"/>
      <c r="K335" s="326"/>
      <c r="M335" s="463"/>
      <c r="N335" s="464"/>
    </row>
    <row r="336" spans="2:14" hidden="1" outlineLevel="1" x14ac:dyDescent="0.35">
      <c r="B336" s="203"/>
      <c r="C336" s="204"/>
      <c r="D336" s="204"/>
      <c r="E336" s="204"/>
      <c r="F336" s="205"/>
      <c r="G336" s="548"/>
      <c r="H336" s="550"/>
      <c r="I336" s="326"/>
      <c r="J336" s="326"/>
      <c r="K336" s="326"/>
      <c r="M336" s="463"/>
      <c r="N336" s="464"/>
    </row>
    <row r="337" spans="2:14" hidden="1" outlineLevel="1" x14ac:dyDescent="0.35">
      <c r="B337" s="203"/>
      <c r="C337" s="204"/>
      <c r="D337" s="204"/>
      <c r="E337" s="204"/>
      <c r="F337" s="205"/>
      <c r="G337" s="548"/>
      <c r="H337" s="550"/>
      <c r="I337" s="326"/>
      <c r="J337" s="326"/>
      <c r="K337" s="326"/>
      <c r="M337" s="463"/>
      <c r="N337" s="464"/>
    </row>
    <row r="338" spans="2:14" hidden="1" outlineLevel="1" x14ac:dyDescent="0.35">
      <c r="B338" s="203"/>
      <c r="C338" s="204"/>
      <c r="D338" s="204"/>
      <c r="E338" s="204"/>
      <c r="F338" s="205"/>
      <c r="G338" s="548"/>
      <c r="H338" s="550"/>
      <c r="I338" s="326"/>
      <c r="J338" s="326"/>
      <c r="K338" s="326"/>
      <c r="M338" s="463"/>
      <c r="N338" s="464"/>
    </row>
    <row r="339" spans="2:14" hidden="1" outlineLevel="1" x14ac:dyDescent="0.35">
      <c r="B339" s="203"/>
      <c r="C339" s="204"/>
      <c r="D339" s="204"/>
      <c r="E339" s="204"/>
      <c r="F339" s="205"/>
      <c r="G339" s="548"/>
      <c r="H339" s="550"/>
      <c r="I339" s="326"/>
      <c r="J339" s="326"/>
      <c r="K339" s="326"/>
      <c r="M339" s="463"/>
      <c r="N339" s="464"/>
    </row>
    <row r="340" spans="2:14" hidden="1" outlineLevel="1" x14ac:dyDescent="0.35">
      <c r="B340" s="203"/>
      <c r="C340" s="204"/>
      <c r="D340" s="204"/>
      <c r="E340" s="204"/>
      <c r="F340" s="205"/>
      <c r="G340" s="548"/>
      <c r="H340" s="550"/>
      <c r="I340" s="326"/>
      <c r="J340" s="326"/>
      <c r="K340" s="326"/>
      <c r="M340" s="463"/>
      <c r="N340" s="464"/>
    </row>
    <row r="341" spans="2:14" hidden="1" outlineLevel="1" x14ac:dyDescent="0.35">
      <c r="B341" s="203"/>
      <c r="C341" s="204"/>
      <c r="D341" s="204"/>
      <c r="E341" s="204"/>
      <c r="F341" s="205"/>
      <c r="G341" s="548"/>
      <c r="H341" s="550"/>
      <c r="I341" s="326"/>
      <c r="J341" s="326"/>
      <c r="K341" s="326"/>
      <c r="M341" s="463"/>
      <c r="N341" s="464"/>
    </row>
    <row r="342" spans="2:14" hidden="1" outlineLevel="1" x14ac:dyDescent="0.35">
      <c r="B342" s="203"/>
      <c r="C342" s="204"/>
      <c r="D342" s="204"/>
      <c r="E342" s="204"/>
      <c r="F342" s="205"/>
      <c r="G342" s="548"/>
      <c r="H342" s="550"/>
      <c r="I342" s="326"/>
      <c r="J342" s="326"/>
      <c r="K342" s="326"/>
      <c r="M342" s="463"/>
      <c r="N342" s="464"/>
    </row>
    <row r="343" spans="2:14" hidden="1" outlineLevel="1" x14ac:dyDescent="0.35">
      <c r="B343" s="203"/>
      <c r="C343" s="204"/>
      <c r="D343" s="204"/>
      <c r="E343" s="204"/>
      <c r="F343" s="205"/>
      <c r="G343" s="548"/>
      <c r="H343" s="550"/>
      <c r="I343" s="326"/>
      <c r="J343" s="326"/>
      <c r="K343" s="326"/>
      <c r="M343" s="463"/>
      <c r="N343" s="464"/>
    </row>
    <row r="344" spans="2:14" hidden="1" outlineLevel="1" x14ac:dyDescent="0.35">
      <c r="B344" s="203"/>
      <c r="C344" s="204"/>
      <c r="D344" s="204"/>
      <c r="E344" s="204"/>
      <c r="F344" s="205"/>
      <c r="G344" s="548"/>
      <c r="H344" s="550"/>
      <c r="I344" s="326"/>
      <c r="J344" s="326"/>
      <c r="K344" s="326"/>
      <c r="M344" s="463"/>
      <c r="N344" s="464"/>
    </row>
    <row r="345" spans="2:14" hidden="1" outlineLevel="1" x14ac:dyDescent="0.35">
      <c r="B345" s="203"/>
      <c r="C345" s="204"/>
      <c r="D345" s="204"/>
      <c r="E345" s="204"/>
      <c r="F345" s="205"/>
      <c r="G345" s="548"/>
      <c r="H345" s="550"/>
      <c r="I345" s="326"/>
      <c r="J345" s="326"/>
      <c r="K345" s="326"/>
      <c r="M345" s="463"/>
      <c r="N345" s="464"/>
    </row>
    <row r="346" spans="2:14" hidden="1" outlineLevel="1" x14ac:dyDescent="0.35">
      <c r="B346" s="203"/>
      <c r="C346" s="204"/>
      <c r="D346" s="204"/>
      <c r="E346" s="204"/>
      <c r="F346" s="205"/>
      <c r="G346" s="548"/>
      <c r="H346" s="550"/>
      <c r="I346" s="326"/>
      <c r="J346" s="326"/>
      <c r="K346" s="326"/>
      <c r="M346" s="463"/>
      <c r="N346" s="464"/>
    </row>
    <row r="347" spans="2:14" hidden="1" outlineLevel="1" x14ac:dyDescent="0.35">
      <c r="B347" s="203"/>
      <c r="C347" s="204"/>
      <c r="D347" s="204"/>
      <c r="E347" s="204"/>
      <c r="F347" s="205"/>
      <c r="G347" s="548"/>
      <c r="H347" s="550"/>
      <c r="I347" s="326"/>
      <c r="J347" s="326"/>
      <c r="K347" s="326"/>
      <c r="M347" s="463"/>
      <c r="N347" s="464"/>
    </row>
    <row r="348" spans="2:14" hidden="1" outlineLevel="1" x14ac:dyDescent="0.35">
      <c r="B348" s="203"/>
      <c r="C348" s="204"/>
      <c r="D348" s="204"/>
      <c r="E348" s="204"/>
      <c r="F348" s="205"/>
      <c r="G348" s="548"/>
      <c r="H348" s="550"/>
      <c r="I348" s="326"/>
      <c r="J348" s="326"/>
      <c r="K348" s="326"/>
      <c r="M348" s="463"/>
      <c r="N348" s="464"/>
    </row>
    <row r="349" spans="2:14" hidden="1" outlineLevel="1" x14ac:dyDescent="0.35">
      <c r="B349" s="203"/>
      <c r="C349" s="204"/>
      <c r="D349" s="204"/>
      <c r="E349" s="204"/>
      <c r="F349" s="205"/>
      <c r="G349" s="548"/>
      <c r="H349" s="550"/>
      <c r="I349" s="326"/>
      <c r="J349" s="326"/>
      <c r="K349" s="326"/>
      <c r="M349" s="463"/>
      <c r="N349" s="464"/>
    </row>
    <row r="350" spans="2:14" hidden="1" outlineLevel="1" x14ac:dyDescent="0.35">
      <c r="B350" s="203"/>
      <c r="C350" s="204"/>
      <c r="D350" s="204"/>
      <c r="E350" s="204"/>
      <c r="F350" s="205"/>
      <c r="G350" s="548"/>
      <c r="H350" s="550"/>
      <c r="I350" s="326"/>
      <c r="J350" s="326"/>
      <c r="K350" s="326"/>
      <c r="M350" s="463"/>
      <c r="N350" s="464"/>
    </row>
    <row r="351" spans="2:14" hidden="1" outlineLevel="1" x14ac:dyDescent="0.35">
      <c r="B351" s="203"/>
      <c r="C351" s="204"/>
      <c r="D351" s="204"/>
      <c r="E351" s="204"/>
      <c r="F351" s="205"/>
      <c r="G351" s="548"/>
      <c r="H351" s="550"/>
      <c r="I351" s="326"/>
      <c r="J351" s="326"/>
      <c r="K351" s="326"/>
      <c r="M351" s="463"/>
      <c r="N351" s="464"/>
    </row>
    <row r="352" spans="2:14" hidden="1" outlineLevel="1" x14ac:dyDescent="0.35">
      <c r="B352" s="203"/>
      <c r="C352" s="204"/>
      <c r="D352" s="204"/>
      <c r="E352" s="204"/>
      <c r="F352" s="205"/>
      <c r="G352" s="548"/>
      <c r="H352" s="550"/>
      <c r="I352" s="326"/>
      <c r="J352" s="326"/>
      <c r="K352" s="326"/>
      <c r="M352" s="463"/>
      <c r="N352" s="464"/>
    </row>
    <row r="353" spans="2:14" hidden="1" outlineLevel="1" x14ac:dyDescent="0.35">
      <c r="B353" s="203"/>
      <c r="C353" s="204"/>
      <c r="D353" s="204"/>
      <c r="E353" s="204"/>
      <c r="F353" s="205"/>
      <c r="G353" s="548"/>
      <c r="H353" s="550"/>
      <c r="I353" s="326"/>
      <c r="J353" s="326"/>
      <c r="K353" s="326"/>
      <c r="M353" s="463"/>
      <c r="N353" s="464"/>
    </row>
    <row r="354" spans="2:14" hidden="1" outlineLevel="1" x14ac:dyDescent="0.35">
      <c r="B354" s="203"/>
      <c r="C354" s="204"/>
      <c r="D354" s="204"/>
      <c r="E354" s="204"/>
      <c r="F354" s="205"/>
      <c r="G354" s="548"/>
      <c r="H354" s="550"/>
      <c r="I354" s="326"/>
      <c r="J354" s="326"/>
      <c r="K354" s="326"/>
      <c r="M354" s="463"/>
      <c r="N354" s="464"/>
    </row>
    <row r="355" spans="2:14" hidden="1" outlineLevel="1" x14ac:dyDescent="0.35">
      <c r="B355" s="203"/>
      <c r="C355" s="204"/>
      <c r="D355" s="204"/>
      <c r="E355" s="204"/>
      <c r="F355" s="205"/>
      <c r="G355" s="548"/>
      <c r="H355" s="550"/>
      <c r="I355" s="326"/>
      <c r="J355" s="326"/>
      <c r="K355" s="326"/>
      <c r="M355" s="463"/>
      <c r="N355" s="464"/>
    </row>
    <row r="356" spans="2:14" hidden="1" outlineLevel="1" x14ac:dyDescent="0.35">
      <c r="B356" s="203"/>
      <c r="C356" s="204"/>
      <c r="D356" s="204"/>
      <c r="E356" s="204"/>
      <c r="F356" s="205"/>
      <c r="G356" s="548"/>
      <c r="H356" s="550"/>
      <c r="I356" s="326"/>
      <c r="J356" s="326"/>
      <c r="K356" s="326"/>
      <c r="M356" s="463"/>
      <c r="N356" s="464"/>
    </row>
    <row r="357" spans="2:14" hidden="1" outlineLevel="1" x14ac:dyDescent="0.35">
      <c r="B357" s="203"/>
      <c r="C357" s="204"/>
      <c r="D357" s="204"/>
      <c r="E357" s="204"/>
      <c r="F357" s="205"/>
      <c r="G357" s="548"/>
      <c r="H357" s="550"/>
      <c r="I357" s="326"/>
      <c r="J357" s="326"/>
      <c r="K357" s="326"/>
      <c r="M357" s="463"/>
      <c r="N357" s="464"/>
    </row>
    <row r="358" spans="2:14" hidden="1" outlineLevel="1" x14ac:dyDescent="0.35">
      <c r="B358" s="203"/>
      <c r="C358" s="204"/>
      <c r="D358" s="204"/>
      <c r="E358" s="204"/>
      <c r="F358" s="205"/>
      <c r="G358" s="548"/>
      <c r="H358" s="550"/>
      <c r="I358" s="326"/>
      <c r="J358" s="326"/>
      <c r="K358" s="326"/>
      <c r="M358" s="463"/>
      <c r="N358" s="464"/>
    </row>
    <row r="359" spans="2:14" hidden="1" outlineLevel="1" x14ac:dyDescent="0.35">
      <c r="B359" s="203"/>
      <c r="C359" s="204"/>
      <c r="D359" s="204"/>
      <c r="E359" s="204"/>
      <c r="F359" s="205"/>
      <c r="G359" s="548"/>
      <c r="H359" s="550"/>
      <c r="I359" s="326"/>
      <c r="J359" s="326"/>
      <c r="K359" s="326"/>
      <c r="M359" s="463"/>
      <c r="N359" s="464"/>
    </row>
    <row r="360" spans="2:14" hidden="1" outlineLevel="1" x14ac:dyDescent="0.35">
      <c r="B360" s="203"/>
      <c r="C360" s="204"/>
      <c r="D360" s="204"/>
      <c r="E360" s="204"/>
      <c r="F360" s="205"/>
      <c r="G360" s="548"/>
      <c r="H360" s="550"/>
      <c r="I360" s="326"/>
      <c r="J360" s="326"/>
      <c r="K360" s="326"/>
      <c r="M360" s="463"/>
      <c r="N360" s="464"/>
    </row>
    <row r="361" spans="2:14" hidden="1" outlineLevel="1" x14ac:dyDescent="0.35">
      <c r="B361" s="203"/>
      <c r="C361" s="204"/>
      <c r="D361" s="204"/>
      <c r="E361" s="204"/>
      <c r="F361" s="205"/>
      <c r="G361" s="548"/>
      <c r="H361" s="550"/>
      <c r="I361" s="326"/>
      <c r="J361" s="326"/>
      <c r="K361" s="326"/>
      <c r="M361" s="463"/>
      <c r="N361" s="464"/>
    </row>
    <row r="362" spans="2:14" hidden="1" outlineLevel="1" x14ac:dyDescent="0.35">
      <c r="B362" s="203"/>
      <c r="C362" s="204"/>
      <c r="D362" s="204"/>
      <c r="E362" s="204"/>
      <c r="F362" s="205"/>
      <c r="G362" s="548"/>
      <c r="H362" s="550"/>
      <c r="I362" s="326"/>
      <c r="J362" s="326"/>
      <c r="K362" s="326"/>
      <c r="M362" s="463"/>
      <c r="N362" s="464"/>
    </row>
    <row r="363" spans="2:14" hidden="1" outlineLevel="1" x14ac:dyDescent="0.35">
      <c r="B363" s="203"/>
      <c r="C363" s="204"/>
      <c r="D363" s="204"/>
      <c r="E363" s="204"/>
      <c r="F363" s="205"/>
      <c r="G363" s="548"/>
      <c r="H363" s="550"/>
      <c r="I363" s="326"/>
      <c r="J363" s="326"/>
      <c r="K363" s="326"/>
      <c r="M363" s="463"/>
      <c r="N363" s="464"/>
    </row>
    <row r="364" spans="2:14" hidden="1" outlineLevel="1" x14ac:dyDescent="0.35">
      <c r="B364" s="203"/>
      <c r="C364" s="204"/>
      <c r="D364" s="204"/>
      <c r="E364" s="204"/>
      <c r="F364" s="205"/>
      <c r="G364" s="548"/>
      <c r="H364" s="550"/>
      <c r="I364" s="326"/>
      <c r="J364" s="326"/>
      <c r="K364" s="326"/>
      <c r="M364" s="463"/>
      <c r="N364" s="464"/>
    </row>
    <row r="365" spans="2:14" hidden="1" outlineLevel="1" x14ac:dyDescent="0.35">
      <c r="B365" s="203"/>
      <c r="C365" s="204"/>
      <c r="D365" s="204"/>
      <c r="E365" s="204"/>
      <c r="F365" s="205"/>
      <c r="G365" s="548"/>
      <c r="H365" s="550"/>
      <c r="I365" s="326"/>
      <c r="J365" s="326"/>
      <c r="K365" s="326"/>
      <c r="M365" s="463"/>
      <c r="N365" s="464"/>
    </row>
    <row r="366" spans="2:14" hidden="1" outlineLevel="1" x14ac:dyDescent="0.35">
      <c r="B366" s="203"/>
      <c r="C366" s="204"/>
      <c r="D366" s="204"/>
      <c r="E366" s="204"/>
      <c r="F366" s="205"/>
      <c r="G366" s="548"/>
      <c r="H366" s="550"/>
      <c r="I366" s="326"/>
      <c r="J366" s="326"/>
      <c r="K366" s="326"/>
      <c r="M366" s="463"/>
      <c r="N366" s="464"/>
    </row>
    <row r="367" spans="2:14" hidden="1" outlineLevel="1" x14ac:dyDescent="0.35">
      <c r="B367" s="203"/>
      <c r="C367" s="204"/>
      <c r="D367" s="204"/>
      <c r="E367" s="204"/>
      <c r="F367" s="205"/>
      <c r="G367" s="548"/>
      <c r="H367" s="550"/>
      <c r="I367" s="326"/>
      <c r="J367" s="326"/>
      <c r="K367" s="326"/>
      <c r="M367" s="463"/>
      <c r="N367" s="464"/>
    </row>
    <row r="368" spans="2:14" hidden="1" outlineLevel="1" x14ac:dyDescent="0.35">
      <c r="B368" s="203"/>
      <c r="C368" s="204"/>
      <c r="D368" s="204"/>
      <c r="E368" s="204"/>
      <c r="F368" s="205"/>
      <c r="G368" s="548"/>
      <c r="H368" s="550"/>
      <c r="I368" s="326"/>
      <c r="J368" s="326"/>
      <c r="K368" s="326"/>
      <c r="M368" s="463"/>
      <c r="N368" s="464"/>
    </row>
    <row r="369" spans="2:14" hidden="1" outlineLevel="1" x14ac:dyDescent="0.35">
      <c r="B369" s="203"/>
      <c r="C369" s="204"/>
      <c r="D369" s="204"/>
      <c r="E369" s="204"/>
      <c r="F369" s="205"/>
      <c r="G369" s="548"/>
      <c r="H369" s="550"/>
      <c r="I369" s="326"/>
      <c r="J369" s="326"/>
      <c r="K369" s="326"/>
      <c r="M369" s="463"/>
      <c r="N369" s="464"/>
    </row>
    <row r="370" spans="2:14" hidden="1" outlineLevel="1" x14ac:dyDescent="0.35">
      <c r="B370" s="203"/>
      <c r="C370" s="204"/>
      <c r="D370" s="204"/>
      <c r="E370" s="204"/>
      <c r="F370" s="205"/>
      <c r="G370" s="548"/>
      <c r="H370" s="550"/>
      <c r="I370" s="326"/>
      <c r="J370" s="326"/>
      <c r="K370" s="326"/>
      <c r="M370" s="463"/>
      <c r="N370" s="464"/>
    </row>
    <row r="371" spans="2:14" hidden="1" outlineLevel="1" x14ac:dyDescent="0.35">
      <c r="B371" s="203"/>
      <c r="C371" s="204"/>
      <c r="D371" s="204"/>
      <c r="E371" s="204"/>
      <c r="F371" s="205"/>
      <c r="G371" s="548"/>
      <c r="H371" s="550"/>
      <c r="I371" s="326"/>
      <c r="J371" s="326"/>
      <c r="K371" s="326"/>
      <c r="M371" s="463"/>
      <c r="N371" s="464"/>
    </row>
    <row r="372" spans="2:14" hidden="1" outlineLevel="1" x14ac:dyDescent="0.35">
      <c r="B372" s="203"/>
      <c r="C372" s="204"/>
      <c r="D372" s="204"/>
      <c r="E372" s="204"/>
      <c r="F372" s="205"/>
      <c r="G372" s="548"/>
      <c r="H372" s="550"/>
      <c r="I372" s="326"/>
      <c r="J372" s="326"/>
      <c r="K372" s="326"/>
      <c r="M372" s="463"/>
      <c r="N372" s="464"/>
    </row>
    <row r="373" spans="2:14" hidden="1" outlineLevel="1" x14ac:dyDescent="0.35">
      <c r="B373" s="203"/>
      <c r="C373" s="204"/>
      <c r="D373" s="204"/>
      <c r="E373" s="204"/>
      <c r="F373" s="205"/>
      <c r="G373" s="548"/>
      <c r="H373" s="550"/>
      <c r="I373" s="326"/>
      <c r="J373" s="326"/>
      <c r="K373" s="326"/>
      <c r="M373" s="463"/>
      <c r="N373" s="464"/>
    </row>
    <row r="374" spans="2:14" hidden="1" outlineLevel="1" x14ac:dyDescent="0.35">
      <c r="B374" s="203"/>
      <c r="C374" s="204"/>
      <c r="D374" s="204"/>
      <c r="E374" s="204"/>
      <c r="F374" s="205"/>
      <c r="G374" s="548"/>
      <c r="H374" s="550"/>
      <c r="I374" s="326"/>
      <c r="J374" s="326"/>
      <c r="K374" s="326"/>
      <c r="M374" s="463"/>
      <c r="N374" s="464"/>
    </row>
    <row r="375" spans="2:14" hidden="1" outlineLevel="1" x14ac:dyDescent="0.35">
      <c r="B375" s="203"/>
      <c r="C375" s="204"/>
      <c r="D375" s="204"/>
      <c r="E375" s="204"/>
      <c r="F375" s="205"/>
      <c r="G375" s="548"/>
      <c r="H375" s="550"/>
      <c r="I375" s="326"/>
      <c r="J375" s="326"/>
      <c r="K375" s="326"/>
      <c r="M375" s="463"/>
      <c r="N375" s="464"/>
    </row>
    <row r="376" spans="2:14" hidden="1" outlineLevel="1" x14ac:dyDescent="0.35">
      <c r="B376" s="203"/>
      <c r="C376" s="204"/>
      <c r="D376" s="204"/>
      <c r="E376" s="204"/>
      <c r="F376" s="205"/>
      <c r="G376" s="548"/>
      <c r="H376" s="550"/>
      <c r="I376" s="326"/>
      <c r="J376" s="326"/>
      <c r="K376" s="326"/>
      <c r="M376" s="463"/>
      <c r="N376" s="464"/>
    </row>
    <row r="377" spans="2:14" hidden="1" outlineLevel="1" x14ac:dyDescent="0.35">
      <c r="B377" s="203"/>
      <c r="C377" s="204"/>
      <c r="D377" s="204"/>
      <c r="E377" s="204"/>
      <c r="F377" s="205"/>
      <c r="G377" s="548"/>
      <c r="H377" s="550"/>
      <c r="I377" s="326"/>
      <c r="J377" s="326"/>
      <c r="K377" s="326"/>
      <c r="M377" s="463"/>
      <c r="N377" s="464"/>
    </row>
    <row r="378" spans="2:14" hidden="1" outlineLevel="1" x14ac:dyDescent="0.35">
      <c r="B378" s="203"/>
      <c r="C378" s="204"/>
      <c r="D378" s="204"/>
      <c r="E378" s="204"/>
      <c r="F378" s="205"/>
      <c r="G378" s="548"/>
      <c r="H378" s="550"/>
      <c r="I378" s="326"/>
      <c r="J378" s="326"/>
      <c r="K378" s="326"/>
      <c r="M378" s="463"/>
      <c r="N378" s="464"/>
    </row>
    <row r="379" spans="2:14" hidden="1" outlineLevel="1" x14ac:dyDescent="0.35">
      <c r="B379" s="203"/>
      <c r="C379" s="204"/>
      <c r="D379" s="204"/>
      <c r="E379" s="204"/>
      <c r="F379" s="205"/>
      <c r="G379" s="548"/>
      <c r="H379" s="550"/>
      <c r="I379" s="326"/>
      <c r="J379" s="326"/>
      <c r="K379" s="326"/>
      <c r="M379" s="463"/>
      <c r="N379" s="464"/>
    </row>
    <row r="380" spans="2:14" hidden="1" outlineLevel="1" x14ac:dyDescent="0.35">
      <c r="B380" s="203"/>
      <c r="C380" s="204"/>
      <c r="D380" s="204"/>
      <c r="E380" s="204"/>
      <c r="F380" s="205"/>
      <c r="G380" s="548"/>
      <c r="H380" s="550"/>
      <c r="I380" s="326"/>
      <c r="J380" s="326"/>
      <c r="K380" s="326"/>
      <c r="M380" s="463"/>
      <c r="N380" s="464"/>
    </row>
    <row r="381" spans="2:14" hidden="1" outlineLevel="1" x14ac:dyDescent="0.35">
      <c r="B381" s="203"/>
      <c r="C381" s="204"/>
      <c r="D381" s="204"/>
      <c r="E381" s="204"/>
      <c r="F381" s="205"/>
      <c r="G381" s="548"/>
      <c r="H381" s="550"/>
      <c r="I381" s="326"/>
      <c r="J381" s="326"/>
      <c r="K381" s="326"/>
      <c r="M381" s="463"/>
      <c r="N381" s="464"/>
    </row>
    <row r="382" spans="2:14" hidden="1" outlineLevel="1" x14ac:dyDescent="0.35">
      <c r="B382" s="203"/>
      <c r="C382" s="204"/>
      <c r="D382" s="204"/>
      <c r="E382" s="204"/>
      <c r="F382" s="205"/>
      <c r="G382" s="548"/>
      <c r="H382" s="550"/>
      <c r="I382" s="326"/>
      <c r="J382" s="326"/>
      <c r="K382" s="326"/>
      <c r="M382" s="463"/>
      <c r="N382" s="464"/>
    </row>
    <row r="383" spans="2:14" hidden="1" outlineLevel="1" x14ac:dyDescent="0.35">
      <c r="B383" s="203"/>
      <c r="C383" s="204"/>
      <c r="D383" s="204"/>
      <c r="E383" s="204"/>
      <c r="F383" s="205"/>
      <c r="G383" s="548"/>
      <c r="H383" s="550"/>
      <c r="I383" s="326"/>
      <c r="J383" s="326"/>
      <c r="K383" s="326"/>
      <c r="M383" s="463"/>
      <c r="N383" s="464"/>
    </row>
    <row r="384" spans="2:14" hidden="1" outlineLevel="1" x14ac:dyDescent="0.35">
      <c r="B384" s="203"/>
      <c r="C384" s="204"/>
      <c r="D384" s="204"/>
      <c r="E384" s="204"/>
      <c r="F384" s="205"/>
      <c r="G384" s="548"/>
      <c r="H384" s="550"/>
      <c r="I384" s="326"/>
      <c r="J384" s="326"/>
      <c r="K384" s="326"/>
      <c r="M384" s="463"/>
      <c r="N384" s="464"/>
    </row>
    <row r="385" spans="2:14" hidden="1" outlineLevel="1" x14ac:dyDescent="0.35">
      <c r="B385" s="203"/>
      <c r="C385" s="204"/>
      <c r="D385" s="204"/>
      <c r="E385" s="204"/>
      <c r="F385" s="205"/>
      <c r="G385" s="548"/>
      <c r="H385" s="550"/>
      <c r="I385" s="326"/>
      <c r="J385" s="326"/>
      <c r="K385" s="326"/>
      <c r="M385" s="463"/>
      <c r="N385" s="464"/>
    </row>
    <row r="386" spans="2:14" hidden="1" outlineLevel="1" x14ac:dyDescent="0.35">
      <c r="B386" s="203"/>
      <c r="C386" s="204"/>
      <c r="D386" s="204"/>
      <c r="E386" s="204"/>
      <c r="F386" s="205"/>
      <c r="G386" s="548"/>
      <c r="H386" s="550"/>
      <c r="I386" s="326"/>
      <c r="J386" s="326"/>
      <c r="K386" s="326"/>
      <c r="M386" s="463"/>
      <c r="N386" s="464"/>
    </row>
    <row r="387" spans="2:14" hidden="1" outlineLevel="1" x14ac:dyDescent="0.35">
      <c r="B387" s="203"/>
      <c r="C387" s="204"/>
      <c r="D387" s="204"/>
      <c r="E387" s="204"/>
      <c r="F387" s="205"/>
      <c r="G387" s="548"/>
      <c r="H387" s="550"/>
      <c r="I387" s="326"/>
      <c r="J387" s="326"/>
      <c r="K387" s="326"/>
      <c r="M387" s="463"/>
      <c r="N387" s="464"/>
    </row>
    <row r="388" spans="2:14" hidden="1" outlineLevel="1" x14ac:dyDescent="0.35">
      <c r="B388" s="203"/>
      <c r="C388" s="204"/>
      <c r="D388" s="204"/>
      <c r="E388" s="204"/>
      <c r="F388" s="205"/>
      <c r="G388" s="548"/>
      <c r="H388" s="550"/>
      <c r="I388" s="326"/>
      <c r="J388" s="326"/>
      <c r="K388" s="326"/>
      <c r="M388" s="463"/>
      <c r="N388" s="464"/>
    </row>
    <row r="389" spans="2:14" hidden="1" outlineLevel="1" x14ac:dyDescent="0.35">
      <c r="B389" s="203"/>
      <c r="C389" s="204"/>
      <c r="D389" s="204"/>
      <c r="E389" s="204"/>
      <c r="F389" s="205"/>
      <c r="G389" s="548"/>
      <c r="H389" s="550"/>
      <c r="I389" s="326"/>
      <c r="J389" s="326"/>
      <c r="K389" s="326"/>
      <c r="M389" s="463"/>
      <c r="N389" s="464"/>
    </row>
    <row r="390" spans="2:14" hidden="1" outlineLevel="1" x14ac:dyDescent="0.35">
      <c r="B390" s="203"/>
      <c r="C390" s="204"/>
      <c r="D390" s="204"/>
      <c r="E390" s="204"/>
      <c r="F390" s="205"/>
      <c r="G390" s="548"/>
      <c r="H390" s="550"/>
      <c r="I390" s="326"/>
      <c r="J390" s="326"/>
      <c r="K390" s="326"/>
      <c r="M390" s="463"/>
      <c r="N390" s="464"/>
    </row>
    <row r="391" spans="2:14" hidden="1" outlineLevel="1" x14ac:dyDescent="0.35">
      <c r="B391" s="203"/>
      <c r="C391" s="204"/>
      <c r="D391" s="204"/>
      <c r="E391" s="204"/>
      <c r="F391" s="205"/>
      <c r="G391" s="548"/>
      <c r="H391" s="550"/>
      <c r="I391" s="326"/>
      <c r="J391" s="326"/>
      <c r="K391" s="326"/>
      <c r="M391" s="463"/>
      <c r="N391" s="464"/>
    </row>
    <row r="392" spans="2:14" hidden="1" outlineLevel="1" x14ac:dyDescent="0.35">
      <c r="B392" s="203"/>
      <c r="C392" s="204"/>
      <c r="D392" s="204"/>
      <c r="E392" s="204"/>
      <c r="F392" s="205"/>
      <c r="G392" s="548"/>
      <c r="H392" s="550"/>
      <c r="I392" s="326"/>
      <c r="J392" s="326"/>
      <c r="K392" s="326"/>
      <c r="M392" s="463"/>
      <c r="N392" s="464"/>
    </row>
    <row r="393" spans="2:14" hidden="1" outlineLevel="1" x14ac:dyDescent="0.35">
      <c r="B393" s="203"/>
      <c r="C393" s="204"/>
      <c r="D393" s="204"/>
      <c r="E393" s="204"/>
      <c r="F393" s="205"/>
      <c r="G393" s="548"/>
      <c r="H393" s="550"/>
      <c r="I393" s="326"/>
      <c r="J393" s="326"/>
      <c r="K393" s="326"/>
      <c r="M393" s="463"/>
      <c r="N393" s="464"/>
    </row>
    <row r="394" spans="2:14" hidden="1" outlineLevel="1" x14ac:dyDescent="0.35">
      <c r="B394" s="203"/>
      <c r="C394" s="204"/>
      <c r="D394" s="204"/>
      <c r="E394" s="204"/>
      <c r="F394" s="205"/>
      <c r="G394" s="548"/>
      <c r="H394" s="550"/>
      <c r="I394" s="326"/>
      <c r="J394" s="326"/>
      <c r="K394" s="326"/>
      <c r="M394" s="463"/>
      <c r="N394" s="464"/>
    </row>
    <row r="395" spans="2:14" hidden="1" outlineLevel="1" x14ac:dyDescent="0.35">
      <c r="B395" s="203"/>
      <c r="C395" s="204"/>
      <c r="D395" s="204"/>
      <c r="E395" s="204"/>
      <c r="F395" s="205"/>
      <c r="G395" s="548"/>
      <c r="H395" s="550"/>
      <c r="I395" s="326"/>
      <c r="J395" s="326"/>
      <c r="K395" s="326"/>
      <c r="M395" s="463"/>
      <c r="N395" s="464"/>
    </row>
    <row r="396" spans="2:14" hidden="1" outlineLevel="1" x14ac:dyDescent="0.35">
      <c r="B396" s="203"/>
      <c r="C396" s="204"/>
      <c r="D396" s="204"/>
      <c r="E396" s="204"/>
      <c r="F396" s="205"/>
      <c r="G396" s="548"/>
      <c r="H396" s="550"/>
      <c r="I396" s="326"/>
      <c r="J396" s="326"/>
      <c r="K396" s="326"/>
      <c r="M396" s="463"/>
      <c r="N396" s="464"/>
    </row>
    <row r="397" spans="2:14" hidden="1" outlineLevel="1" x14ac:dyDescent="0.35">
      <c r="B397" s="203"/>
      <c r="C397" s="204"/>
      <c r="D397" s="204"/>
      <c r="E397" s="204"/>
      <c r="F397" s="205"/>
      <c r="G397" s="548"/>
      <c r="H397" s="550"/>
      <c r="I397" s="326"/>
      <c r="J397" s="326"/>
      <c r="K397" s="326"/>
      <c r="M397" s="463"/>
      <c r="N397" s="464"/>
    </row>
    <row r="398" spans="2:14" hidden="1" outlineLevel="1" x14ac:dyDescent="0.35">
      <c r="B398" s="203"/>
      <c r="C398" s="204"/>
      <c r="D398" s="204"/>
      <c r="E398" s="204"/>
      <c r="F398" s="205"/>
      <c r="G398" s="548"/>
      <c r="H398" s="550"/>
      <c r="I398" s="326"/>
      <c r="J398" s="326"/>
      <c r="K398" s="326"/>
      <c r="M398" s="463"/>
      <c r="N398" s="464"/>
    </row>
    <row r="399" spans="2:14" hidden="1" outlineLevel="1" x14ac:dyDescent="0.35">
      <c r="B399" s="203"/>
      <c r="C399" s="204"/>
      <c r="D399" s="204"/>
      <c r="E399" s="204"/>
      <c r="F399" s="205"/>
      <c r="G399" s="548"/>
      <c r="H399" s="550"/>
      <c r="I399" s="326"/>
      <c r="J399" s="326"/>
      <c r="K399" s="326"/>
      <c r="M399" s="463"/>
      <c r="N399" s="464"/>
    </row>
    <row r="400" spans="2:14" hidden="1" outlineLevel="1" x14ac:dyDescent="0.35">
      <c r="B400" s="203"/>
      <c r="C400" s="204"/>
      <c r="D400" s="204"/>
      <c r="E400" s="204"/>
      <c r="F400" s="205"/>
      <c r="G400" s="548"/>
      <c r="H400" s="550"/>
      <c r="I400" s="326"/>
      <c r="J400" s="326"/>
      <c r="K400" s="326"/>
      <c r="M400" s="463"/>
      <c r="N400" s="464"/>
    </row>
    <row r="401" spans="2:14" hidden="1" outlineLevel="1" x14ac:dyDescent="0.35">
      <c r="B401" s="203"/>
      <c r="C401" s="204"/>
      <c r="D401" s="204"/>
      <c r="E401" s="204"/>
      <c r="F401" s="205"/>
      <c r="G401" s="548"/>
      <c r="H401" s="550"/>
      <c r="I401" s="326"/>
      <c r="J401" s="326"/>
      <c r="K401" s="326"/>
      <c r="M401" s="463"/>
      <c r="N401" s="464"/>
    </row>
    <row r="402" spans="2:14" hidden="1" outlineLevel="1" x14ac:dyDescent="0.35">
      <c r="B402" s="203"/>
      <c r="C402" s="204"/>
      <c r="D402" s="204"/>
      <c r="E402" s="204"/>
      <c r="F402" s="205"/>
      <c r="G402" s="548"/>
      <c r="H402" s="550"/>
      <c r="I402" s="326"/>
      <c r="J402" s="326"/>
      <c r="K402" s="326"/>
      <c r="M402" s="463"/>
      <c r="N402" s="464"/>
    </row>
    <row r="403" spans="2:14" hidden="1" outlineLevel="1" x14ac:dyDescent="0.35">
      <c r="B403" s="203"/>
      <c r="C403" s="204"/>
      <c r="D403" s="204"/>
      <c r="E403" s="204"/>
      <c r="F403" s="205"/>
      <c r="G403" s="548"/>
      <c r="H403" s="550"/>
      <c r="I403" s="326"/>
      <c r="J403" s="326"/>
      <c r="K403" s="326"/>
      <c r="M403" s="463"/>
      <c r="N403" s="464"/>
    </row>
    <row r="404" spans="2:14" hidden="1" outlineLevel="1" x14ac:dyDescent="0.35">
      <c r="B404" s="203"/>
      <c r="C404" s="204"/>
      <c r="D404" s="204"/>
      <c r="E404" s="204"/>
      <c r="F404" s="205"/>
      <c r="G404" s="548"/>
      <c r="H404" s="550"/>
      <c r="I404" s="326"/>
      <c r="J404" s="326"/>
      <c r="K404" s="326"/>
      <c r="M404" s="463"/>
      <c r="N404" s="464"/>
    </row>
    <row r="405" spans="2:14" hidden="1" outlineLevel="1" x14ac:dyDescent="0.35">
      <c r="B405" s="203"/>
      <c r="C405" s="204"/>
      <c r="D405" s="204"/>
      <c r="E405" s="204"/>
      <c r="F405" s="205"/>
      <c r="G405" s="548"/>
      <c r="H405" s="550"/>
      <c r="I405" s="326"/>
      <c r="J405" s="326"/>
      <c r="K405" s="326"/>
      <c r="M405" s="463"/>
      <c r="N405" s="464"/>
    </row>
    <row r="406" spans="2:14" hidden="1" outlineLevel="1" x14ac:dyDescent="0.35">
      <c r="B406" s="203"/>
      <c r="C406" s="204"/>
      <c r="D406" s="204"/>
      <c r="E406" s="204"/>
      <c r="F406" s="205"/>
      <c r="G406" s="548"/>
      <c r="H406" s="550"/>
      <c r="I406" s="326"/>
      <c r="J406" s="326"/>
      <c r="K406" s="326"/>
      <c r="M406" s="463"/>
      <c r="N406" s="464"/>
    </row>
    <row r="407" spans="2:14" hidden="1" outlineLevel="1" x14ac:dyDescent="0.35">
      <c r="B407" s="203"/>
      <c r="C407" s="204"/>
      <c r="D407" s="204"/>
      <c r="E407" s="204"/>
      <c r="F407" s="205"/>
      <c r="G407" s="548"/>
      <c r="H407" s="550"/>
      <c r="I407" s="326"/>
      <c r="J407" s="326"/>
      <c r="K407" s="326"/>
      <c r="M407" s="463"/>
      <c r="N407" s="464"/>
    </row>
    <row r="408" spans="2:14" hidden="1" outlineLevel="1" x14ac:dyDescent="0.35">
      <c r="B408" s="203"/>
      <c r="C408" s="204"/>
      <c r="D408" s="204"/>
      <c r="E408" s="204"/>
      <c r="F408" s="205"/>
      <c r="G408" s="548"/>
      <c r="H408" s="550"/>
      <c r="I408" s="326"/>
      <c r="J408" s="326"/>
      <c r="K408" s="326"/>
      <c r="M408" s="463"/>
      <c r="N408" s="464"/>
    </row>
    <row r="409" spans="2:14" hidden="1" outlineLevel="1" x14ac:dyDescent="0.35">
      <c r="B409" s="203"/>
      <c r="C409" s="204"/>
      <c r="D409" s="204"/>
      <c r="E409" s="204"/>
      <c r="F409" s="205"/>
      <c r="G409" s="548"/>
      <c r="H409" s="550"/>
      <c r="I409" s="326"/>
      <c r="J409" s="326"/>
      <c r="K409" s="326"/>
      <c r="M409" s="463"/>
      <c r="N409" s="464"/>
    </row>
    <row r="410" spans="2:14" hidden="1" outlineLevel="1" x14ac:dyDescent="0.35">
      <c r="B410" s="203"/>
      <c r="C410" s="204"/>
      <c r="D410" s="204"/>
      <c r="E410" s="204"/>
      <c r="F410" s="205"/>
      <c r="G410" s="548"/>
      <c r="H410" s="550"/>
      <c r="I410" s="326"/>
      <c r="J410" s="326"/>
      <c r="K410" s="326"/>
      <c r="M410" s="463"/>
      <c r="N410" s="464"/>
    </row>
    <row r="411" spans="2:14" hidden="1" outlineLevel="1" x14ac:dyDescent="0.35">
      <c r="B411" s="203"/>
      <c r="C411" s="204"/>
      <c r="D411" s="204"/>
      <c r="E411" s="204"/>
      <c r="F411" s="205"/>
      <c r="G411" s="548"/>
      <c r="H411" s="550"/>
      <c r="I411" s="326"/>
      <c r="J411" s="326"/>
      <c r="K411" s="326"/>
      <c r="M411" s="463"/>
      <c r="N411" s="464"/>
    </row>
    <row r="412" spans="2:14" hidden="1" outlineLevel="1" x14ac:dyDescent="0.35">
      <c r="B412" s="203"/>
      <c r="C412" s="204"/>
      <c r="D412" s="204"/>
      <c r="E412" s="204"/>
      <c r="F412" s="205"/>
      <c r="G412" s="548"/>
      <c r="H412" s="550"/>
      <c r="I412" s="326"/>
      <c r="J412" s="326"/>
      <c r="K412" s="326"/>
      <c r="M412" s="463"/>
      <c r="N412" s="464"/>
    </row>
    <row r="413" spans="2:14" hidden="1" outlineLevel="1" x14ac:dyDescent="0.35">
      <c r="B413" s="203"/>
      <c r="C413" s="204"/>
      <c r="D413" s="204"/>
      <c r="E413" s="204"/>
      <c r="F413" s="205"/>
      <c r="G413" s="548"/>
      <c r="H413" s="550"/>
      <c r="I413" s="326"/>
      <c r="J413" s="326"/>
      <c r="K413" s="326"/>
      <c r="M413" s="463"/>
      <c r="N413" s="464"/>
    </row>
    <row r="414" spans="2:14" hidden="1" outlineLevel="1" x14ac:dyDescent="0.35">
      <c r="B414" s="203"/>
      <c r="C414" s="204"/>
      <c r="D414" s="204"/>
      <c r="E414" s="204"/>
      <c r="F414" s="205"/>
      <c r="G414" s="548"/>
      <c r="H414" s="550"/>
      <c r="I414" s="326"/>
      <c r="J414" s="326"/>
      <c r="K414" s="326"/>
      <c r="M414" s="463"/>
      <c r="N414" s="464"/>
    </row>
    <row r="415" spans="2:14" hidden="1" outlineLevel="1" x14ac:dyDescent="0.35">
      <c r="B415" s="203"/>
      <c r="C415" s="204"/>
      <c r="D415" s="204"/>
      <c r="E415" s="204"/>
      <c r="F415" s="205"/>
      <c r="G415" s="548"/>
      <c r="H415" s="550"/>
      <c r="I415" s="326"/>
      <c r="J415" s="326"/>
      <c r="K415" s="326"/>
      <c r="M415" s="463"/>
      <c r="N415" s="464"/>
    </row>
    <row r="416" spans="2:14" hidden="1" outlineLevel="1" x14ac:dyDescent="0.35">
      <c r="B416" s="203"/>
      <c r="C416" s="204"/>
      <c r="D416" s="204"/>
      <c r="E416" s="204"/>
      <c r="F416" s="205"/>
      <c r="G416" s="548"/>
      <c r="H416" s="550"/>
      <c r="I416" s="326"/>
      <c r="J416" s="326"/>
      <c r="K416" s="326"/>
      <c r="M416" s="463"/>
      <c r="N416" s="464"/>
    </row>
    <row r="417" spans="2:14" hidden="1" outlineLevel="1" x14ac:dyDescent="0.35">
      <c r="B417" s="203"/>
      <c r="C417" s="204"/>
      <c r="D417" s="204"/>
      <c r="E417" s="204"/>
      <c r="F417" s="205"/>
      <c r="G417" s="548"/>
      <c r="H417" s="550"/>
      <c r="I417" s="326"/>
      <c r="J417" s="326"/>
      <c r="K417" s="326"/>
      <c r="M417" s="463"/>
      <c r="N417" s="464"/>
    </row>
    <row r="418" spans="2:14" hidden="1" outlineLevel="1" x14ac:dyDescent="0.35">
      <c r="B418" s="203"/>
      <c r="C418" s="204"/>
      <c r="D418" s="204"/>
      <c r="E418" s="204"/>
      <c r="F418" s="205"/>
      <c r="G418" s="548"/>
      <c r="H418" s="550"/>
      <c r="I418" s="326"/>
      <c r="J418" s="326"/>
      <c r="K418" s="326"/>
      <c r="M418" s="463"/>
      <c r="N418" s="464"/>
    </row>
    <row r="419" spans="2:14" hidden="1" outlineLevel="1" x14ac:dyDescent="0.35">
      <c r="B419" s="203"/>
      <c r="C419" s="204"/>
      <c r="D419" s="204"/>
      <c r="E419" s="204"/>
      <c r="F419" s="205"/>
      <c r="G419" s="548"/>
      <c r="H419" s="550"/>
      <c r="I419" s="326"/>
      <c r="J419" s="326"/>
      <c r="K419" s="326"/>
      <c r="M419" s="463"/>
      <c r="N419" s="464"/>
    </row>
    <row r="420" spans="2:14" hidden="1" outlineLevel="1" x14ac:dyDescent="0.35">
      <c r="B420" s="203"/>
      <c r="C420" s="204"/>
      <c r="D420" s="204"/>
      <c r="E420" s="204"/>
      <c r="F420" s="205"/>
      <c r="G420" s="548"/>
      <c r="H420" s="550"/>
      <c r="I420" s="326"/>
      <c r="J420" s="326"/>
      <c r="K420" s="326"/>
      <c r="M420" s="463"/>
      <c r="N420" s="464"/>
    </row>
    <row r="421" spans="2:14" hidden="1" outlineLevel="1" x14ac:dyDescent="0.35">
      <c r="B421" s="203"/>
      <c r="C421" s="204"/>
      <c r="D421" s="204"/>
      <c r="E421" s="204"/>
      <c r="F421" s="205"/>
      <c r="G421" s="548"/>
      <c r="H421" s="550"/>
      <c r="I421" s="326"/>
      <c r="J421" s="326"/>
      <c r="K421" s="326"/>
      <c r="M421" s="463"/>
      <c r="N421" s="464"/>
    </row>
    <row r="422" spans="2:14" hidden="1" outlineLevel="1" x14ac:dyDescent="0.35">
      <c r="B422" s="203"/>
      <c r="C422" s="204"/>
      <c r="D422" s="204"/>
      <c r="E422" s="204"/>
      <c r="F422" s="205"/>
      <c r="G422" s="548"/>
      <c r="H422" s="550"/>
      <c r="I422" s="326"/>
      <c r="J422" s="326"/>
      <c r="K422" s="326"/>
      <c r="M422" s="463"/>
      <c r="N422" s="464"/>
    </row>
    <row r="423" spans="2:14" hidden="1" outlineLevel="1" x14ac:dyDescent="0.35">
      <c r="B423" s="203"/>
      <c r="C423" s="204"/>
      <c r="D423" s="204"/>
      <c r="E423" s="204"/>
      <c r="F423" s="205"/>
      <c r="G423" s="548"/>
      <c r="H423" s="550"/>
      <c r="I423" s="326"/>
      <c r="J423" s="326"/>
      <c r="K423" s="326"/>
      <c r="M423" s="463"/>
      <c r="N423" s="464"/>
    </row>
    <row r="424" spans="2:14" hidden="1" outlineLevel="1" x14ac:dyDescent="0.35">
      <c r="B424" s="203"/>
      <c r="C424" s="204"/>
      <c r="D424" s="204"/>
      <c r="E424" s="204"/>
      <c r="F424" s="205"/>
      <c r="G424" s="548"/>
      <c r="H424" s="550"/>
      <c r="I424" s="326"/>
      <c r="J424" s="326"/>
      <c r="K424" s="326"/>
      <c r="M424" s="463"/>
      <c r="N424" s="464"/>
    </row>
    <row r="425" spans="2:14" hidden="1" outlineLevel="1" x14ac:dyDescent="0.35">
      <c r="B425" s="203"/>
      <c r="C425" s="204"/>
      <c r="D425" s="204"/>
      <c r="E425" s="204"/>
      <c r="F425" s="205"/>
      <c r="G425" s="548"/>
      <c r="H425" s="550"/>
      <c r="I425" s="326"/>
      <c r="J425" s="326"/>
      <c r="K425" s="326"/>
      <c r="M425" s="463"/>
      <c r="N425" s="464"/>
    </row>
    <row r="426" spans="2:14" hidden="1" outlineLevel="1" x14ac:dyDescent="0.35">
      <c r="B426" s="203"/>
      <c r="C426" s="204"/>
      <c r="D426" s="204"/>
      <c r="E426" s="204"/>
      <c r="F426" s="205"/>
      <c r="G426" s="548"/>
      <c r="H426" s="550"/>
      <c r="I426" s="326"/>
      <c r="J426" s="326"/>
      <c r="K426" s="326"/>
      <c r="M426" s="463"/>
      <c r="N426" s="464"/>
    </row>
    <row r="427" spans="2:14" hidden="1" outlineLevel="1" x14ac:dyDescent="0.35">
      <c r="B427" s="203"/>
      <c r="C427" s="204"/>
      <c r="D427" s="204"/>
      <c r="E427" s="204"/>
      <c r="F427" s="205"/>
      <c r="G427" s="548"/>
      <c r="H427" s="550"/>
      <c r="I427" s="326"/>
      <c r="J427" s="326"/>
      <c r="K427" s="326"/>
      <c r="M427" s="463"/>
      <c r="N427" s="464"/>
    </row>
    <row r="428" spans="2:14" hidden="1" outlineLevel="1" x14ac:dyDescent="0.35">
      <c r="B428" s="203"/>
      <c r="C428" s="204"/>
      <c r="D428" s="204"/>
      <c r="E428" s="204"/>
      <c r="F428" s="205"/>
      <c r="G428" s="548"/>
      <c r="H428" s="550"/>
      <c r="I428" s="326"/>
      <c r="J428" s="326"/>
      <c r="K428" s="326"/>
      <c r="M428" s="463"/>
      <c r="N428" s="464"/>
    </row>
    <row r="429" spans="2:14" hidden="1" outlineLevel="1" x14ac:dyDescent="0.35">
      <c r="B429" s="203"/>
      <c r="C429" s="204"/>
      <c r="D429" s="204"/>
      <c r="E429" s="204"/>
      <c r="F429" s="205"/>
      <c r="G429" s="548"/>
      <c r="H429" s="550"/>
      <c r="I429" s="326"/>
      <c r="J429" s="326"/>
      <c r="K429" s="326"/>
      <c r="M429" s="463"/>
      <c r="N429" s="464"/>
    </row>
    <row r="430" spans="2:14" hidden="1" outlineLevel="1" x14ac:dyDescent="0.35">
      <c r="B430" s="203"/>
      <c r="C430" s="204"/>
      <c r="D430" s="204"/>
      <c r="E430" s="204"/>
      <c r="F430" s="205"/>
      <c r="G430" s="548"/>
      <c r="H430" s="550"/>
      <c r="I430" s="326"/>
      <c r="J430" s="326"/>
      <c r="K430" s="326"/>
      <c r="M430" s="463"/>
      <c r="N430" s="464"/>
    </row>
    <row r="431" spans="2:14" hidden="1" outlineLevel="1" x14ac:dyDescent="0.35">
      <c r="B431" s="203"/>
      <c r="C431" s="204"/>
      <c r="D431" s="204"/>
      <c r="E431" s="204"/>
      <c r="F431" s="205"/>
      <c r="G431" s="548"/>
      <c r="H431" s="550"/>
      <c r="I431" s="326"/>
      <c r="J431" s="326"/>
      <c r="K431" s="326"/>
      <c r="M431" s="463"/>
      <c r="N431" s="464"/>
    </row>
    <row r="432" spans="2:14" hidden="1" outlineLevel="1" x14ac:dyDescent="0.35">
      <c r="B432" s="203"/>
      <c r="C432" s="204"/>
      <c r="D432" s="204"/>
      <c r="E432" s="204"/>
      <c r="F432" s="205"/>
      <c r="G432" s="548"/>
      <c r="H432" s="550"/>
      <c r="I432" s="326"/>
      <c r="J432" s="326"/>
      <c r="K432" s="326"/>
      <c r="M432" s="463"/>
      <c r="N432" s="464"/>
    </row>
    <row r="433" spans="2:14" hidden="1" outlineLevel="1" x14ac:dyDescent="0.35">
      <c r="B433" s="203"/>
      <c r="C433" s="204"/>
      <c r="D433" s="204"/>
      <c r="E433" s="204"/>
      <c r="F433" s="205"/>
      <c r="G433" s="548"/>
      <c r="H433" s="550"/>
      <c r="I433" s="326"/>
      <c r="J433" s="326"/>
      <c r="K433" s="326"/>
      <c r="M433" s="463"/>
      <c r="N433" s="464"/>
    </row>
    <row r="434" spans="2:14" hidden="1" outlineLevel="1" x14ac:dyDescent="0.35">
      <c r="B434" s="203"/>
      <c r="C434" s="204"/>
      <c r="D434" s="204"/>
      <c r="E434" s="204"/>
      <c r="F434" s="205"/>
      <c r="G434" s="548"/>
      <c r="H434" s="550"/>
      <c r="I434" s="326"/>
      <c r="J434" s="326"/>
      <c r="K434" s="326"/>
      <c r="M434" s="463"/>
      <c r="N434" s="464"/>
    </row>
    <row r="435" spans="2:14" hidden="1" outlineLevel="1" x14ac:dyDescent="0.35">
      <c r="B435" s="203"/>
      <c r="C435" s="204"/>
      <c r="D435" s="204"/>
      <c r="E435" s="204"/>
      <c r="F435" s="205"/>
      <c r="G435" s="548"/>
      <c r="H435" s="550"/>
      <c r="I435" s="326"/>
      <c r="J435" s="326"/>
      <c r="K435" s="326"/>
      <c r="M435" s="463"/>
      <c r="N435" s="464"/>
    </row>
    <row r="436" spans="2:14" hidden="1" outlineLevel="1" x14ac:dyDescent="0.35">
      <c r="B436" s="203"/>
      <c r="C436" s="204"/>
      <c r="D436" s="204"/>
      <c r="E436" s="204"/>
      <c r="F436" s="205"/>
      <c r="G436" s="548"/>
      <c r="H436" s="550"/>
      <c r="I436" s="326"/>
      <c r="J436" s="326"/>
      <c r="K436" s="326"/>
      <c r="M436" s="463"/>
      <c r="N436" s="464"/>
    </row>
    <row r="437" spans="2:14" hidden="1" outlineLevel="1" x14ac:dyDescent="0.35">
      <c r="B437" s="203"/>
      <c r="C437" s="204"/>
      <c r="D437" s="204"/>
      <c r="E437" s="204"/>
      <c r="F437" s="205"/>
      <c r="G437" s="548"/>
      <c r="H437" s="550"/>
      <c r="I437" s="326"/>
      <c r="J437" s="326"/>
      <c r="K437" s="326"/>
      <c r="M437" s="463"/>
      <c r="N437" s="464"/>
    </row>
    <row r="438" spans="2:14" hidden="1" outlineLevel="1" x14ac:dyDescent="0.35">
      <c r="B438" s="203"/>
      <c r="C438" s="204"/>
      <c r="D438" s="204"/>
      <c r="E438" s="204"/>
      <c r="F438" s="205"/>
      <c r="G438" s="548"/>
      <c r="H438" s="550"/>
      <c r="I438" s="326"/>
      <c r="J438" s="326"/>
      <c r="K438" s="326"/>
      <c r="M438" s="463"/>
      <c r="N438" s="464"/>
    </row>
    <row r="439" spans="2:14" hidden="1" outlineLevel="1" x14ac:dyDescent="0.35">
      <c r="B439" s="203"/>
      <c r="C439" s="204"/>
      <c r="D439" s="204"/>
      <c r="E439" s="204"/>
      <c r="F439" s="205"/>
      <c r="G439" s="548"/>
      <c r="H439" s="550"/>
      <c r="I439" s="326"/>
      <c r="J439" s="326"/>
      <c r="K439" s="326"/>
      <c r="M439" s="463"/>
      <c r="N439" s="464"/>
    </row>
    <row r="440" spans="2:14" hidden="1" outlineLevel="1" x14ac:dyDescent="0.35">
      <c r="B440" s="203"/>
      <c r="C440" s="204"/>
      <c r="D440" s="204"/>
      <c r="E440" s="204"/>
      <c r="F440" s="205"/>
      <c r="G440" s="548"/>
      <c r="H440" s="550"/>
      <c r="I440" s="326"/>
      <c r="J440" s="326"/>
      <c r="K440" s="326"/>
      <c r="M440" s="463"/>
      <c r="N440" s="464"/>
    </row>
    <row r="441" spans="2:14" hidden="1" outlineLevel="1" x14ac:dyDescent="0.35">
      <c r="B441" s="203"/>
      <c r="C441" s="204"/>
      <c r="D441" s="204"/>
      <c r="E441" s="204"/>
      <c r="F441" s="205"/>
      <c r="G441" s="548"/>
      <c r="H441" s="550"/>
      <c r="I441" s="326"/>
      <c r="J441" s="326"/>
      <c r="K441" s="326"/>
      <c r="M441" s="463"/>
      <c r="N441" s="464"/>
    </row>
    <row r="442" spans="2:14" hidden="1" outlineLevel="1" x14ac:dyDescent="0.35">
      <c r="B442" s="203"/>
      <c r="C442" s="204"/>
      <c r="D442" s="204"/>
      <c r="E442" s="204"/>
      <c r="F442" s="205"/>
      <c r="G442" s="548"/>
      <c r="H442" s="550"/>
      <c r="I442" s="326"/>
      <c r="J442" s="326"/>
      <c r="K442" s="326"/>
      <c r="M442" s="463"/>
      <c r="N442" s="464"/>
    </row>
    <row r="443" spans="2:14" hidden="1" outlineLevel="1" x14ac:dyDescent="0.35">
      <c r="B443" s="203"/>
      <c r="C443" s="204"/>
      <c r="D443" s="204"/>
      <c r="E443" s="204"/>
      <c r="F443" s="205"/>
      <c r="G443" s="548"/>
      <c r="H443" s="550"/>
      <c r="I443" s="326"/>
      <c r="J443" s="326"/>
      <c r="K443" s="326"/>
      <c r="M443" s="463"/>
      <c r="N443" s="464"/>
    </row>
    <row r="444" spans="2:14" hidden="1" outlineLevel="1" x14ac:dyDescent="0.35">
      <c r="B444" s="203"/>
      <c r="C444" s="204"/>
      <c r="D444" s="204"/>
      <c r="E444" s="204"/>
      <c r="F444" s="205"/>
      <c r="G444" s="548"/>
      <c r="H444" s="550"/>
      <c r="I444" s="326"/>
      <c r="J444" s="326"/>
      <c r="K444" s="326"/>
      <c r="M444" s="463"/>
      <c r="N444" s="464"/>
    </row>
    <row r="445" spans="2:14" hidden="1" outlineLevel="1" x14ac:dyDescent="0.35">
      <c r="B445" s="203"/>
      <c r="C445" s="204"/>
      <c r="D445" s="204"/>
      <c r="E445" s="204"/>
      <c r="F445" s="205"/>
      <c r="G445" s="548"/>
      <c r="H445" s="550"/>
      <c r="I445" s="326"/>
      <c r="J445" s="326"/>
      <c r="K445" s="326"/>
      <c r="M445" s="463"/>
      <c r="N445" s="464"/>
    </row>
    <row r="446" spans="2:14" hidden="1" outlineLevel="1" x14ac:dyDescent="0.35">
      <c r="B446" s="203"/>
      <c r="C446" s="204"/>
      <c r="D446" s="204"/>
      <c r="E446" s="204"/>
      <c r="F446" s="205"/>
      <c r="G446" s="548"/>
      <c r="H446" s="550"/>
      <c r="I446" s="326"/>
      <c r="J446" s="326"/>
      <c r="K446" s="326"/>
      <c r="M446" s="463"/>
      <c r="N446" s="464"/>
    </row>
    <row r="447" spans="2:14" hidden="1" outlineLevel="1" x14ac:dyDescent="0.35">
      <c r="B447" s="203"/>
      <c r="C447" s="204"/>
      <c r="D447" s="204"/>
      <c r="E447" s="204"/>
      <c r="F447" s="205"/>
      <c r="G447" s="548"/>
      <c r="H447" s="550"/>
      <c r="I447" s="326"/>
      <c r="J447" s="326"/>
      <c r="K447" s="326"/>
      <c r="M447" s="463"/>
      <c r="N447" s="464"/>
    </row>
    <row r="448" spans="2:14" hidden="1" outlineLevel="1" x14ac:dyDescent="0.35">
      <c r="B448" s="203"/>
      <c r="C448" s="204"/>
      <c r="D448" s="204"/>
      <c r="E448" s="204"/>
      <c r="F448" s="205"/>
      <c r="G448" s="548"/>
      <c r="H448" s="550"/>
      <c r="I448" s="326"/>
      <c r="J448" s="326"/>
      <c r="K448" s="326"/>
      <c r="M448" s="463"/>
      <c r="N448" s="464"/>
    </row>
    <row r="449" spans="2:14" hidden="1" outlineLevel="1" x14ac:dyDescent="0.35">
      <c r="B449" s="203"/>
      <c r="C449" s="204"/>
      <c r="D449" s="204"/>
      <c r="E449" s="204"/>
      <c r="F449" s="205"/>
      <c r="G449" s="548"/>
      <c r="H449" s="550"/>
      <c r="I449" s="326"/>
      <c r="J449" s="326"/>
      <c r="K449" s="326"/>
      <c r="M449" s="463"/>
      <c r="N449" s="464"/>
    </row>
    <row r="450" spans="2:14" hidden="1" outlineLevel="1" x14ac:dyDescent="0.35">
      <c r="B450" s="203"/>
      <c r="C450" s="204"/>
      <c r="D450" s="204"/>
      <c r="E450" s="204"/>
      <c r="F450" s="205"/>
      <c r="G450" s="548"/>
      <c r="H450" s="550"/>
      <c r="I450" s="326"/>
      <c r="J450" s="326"/>
      <c r="K450" s="326"/>
      <c r="M450" s="463"/>
      <c r="N450" s="464"/>
    </row>
    <row r="451" spans="2:14" hidden="1" outlineLevel="1" x14ac:dyDescent="0.35">
      <c r="B451" s="203"/>
      <c r="C451" s="204"/>
      <c r="D451" s="204"/>
      <c r="E451" s="204"/>
      <c r="F451" s="205"/>
      <c r="G451" s="548"/>
      <c r="H451" s="550"/>
      <c r="I451" s="326"/>
      <c r="J451" s="326"/>
      <c r="K451" s="326"/>
      <c r="M451" s="463"/>
      <c r="N451" s="464"/>
    </row>
    <row r="452" spans="2:14" hidden="1" outlineLevel="1" x14ac:dyDescent="0.35">
      <c r="B452" s="203"/>
      <c r="C452" s="204"/>
      <c r="D452" s="204"/>
      <c r="E452" s="204"/>
      <c r="F452" s="205"/>
      <c r="G452" s="548"/>
      <c r="H452" s="550"/>
      <c r="I452" s="326"/>
      <c r="J452" s="326"/>
      <c r="K452" s="326"/>
      <c r="M452" s="463"/>
      <c r="N452" s="464"/>
    </row>
    <row r="453" spans="2:14" hidden="1" outlineLevel="1" x14ac:dyDescent="0.35">
      <c r="B453" s="203"/>
      <c r="C453" s="204"/>
      <c r="D453" s="204"/>
      <c r="E453" s="204"/>
      <c r="F453" s="205"/>
      <c r="G453" s="548"/>
      <c r="H453" s="550"/>
      <c r="I453" s="326"/>
      <c r="J453" s="326"/>
      <c r="K453" s="326"/>
      <c r="M453" s="463"/>
      <c r="N453" s="464"/>
    </row>
    <row r="454" spans="2:14" hidden="1" outlineLevel="1" x14ac:dyDescent="0.35">
      <c r="B454" s="203"/>
      <c r="C454" s="204"/>
      <c r="D454" s="204"/>
      <c r="E454" s="204"/>
      <c r="F454" s="205"/>
      <c r="G454" s="548"/>
      <c r="H454" s="550"/>
      <c r="I454" s="326"/>
      <c r="J454" s="326"/>
      <c r="K454" s="326"/>
      <c r="M454" s="463"/>
      <c r="N454" s="464"/>
    </row>
    <row r="455" spans="2:14" hidden="1" outlineLevel="1" x14ac:dyDescent="0.35">
      <c r="B455" s="203"/>
      <c r="C455" s="204"/>
      <c r="D455" s="204"/>
      <c r="E455" s="204"/>
      <c r="F455" s="205"/>
      <c r="G455" s="548"/>
      <c r="H455" s="550"/>
      <c r="I455" s="326"/>
      <c r="J455" s="326"/>
      <c r="K455" s="326"/>
      <c r="M455" s="463"/>
      <c r="N455" s="464"/>
    </row>
    <row r="456" spans="2:14" hidden="1" outlineLevel="1" x14ac:dyDescent="0.35">
      <c r="B456" s="203"/>
      <c r="C456" s="204"/>
      <c r="D456" s="204"/>
      <c r="E456" s="204"/>
      <c r="F456" s="205"/>
      <c r="G456" s="548"/>
      <c r="H456" s="550"/>
      <c r="I456" s="326"/>
      <c r="J456" s="326"/>
      <c r="K456" s="326"/>
      <c r="M456" s="463"/>
      <c r="N456" s="464"/>
    </row>
    <row r="457" spans="2:14" hidden="1" outlineLevel="1" x14ac:dyDescent="0.35">
      <c r="B457" s="203"/>
      <c r="C457" s="204"/>
      <c r="D457" s="204"/>
      <c r="E457" s="204"/>
      <c r="F457" s="205"/>
      <c r="G457" s="548"/>
      <c r="H457" s="550"/>
      <c r="I457" s="326"/>
      <c r="J457" s="326"/>
      <c r="K457" s="326"/>
      <c r="M457" s="463"/>
      <c r="N457" s="464"/>
    </row>
    <row r="458" spans="2:14" hidden="1" outlineLevel="1" x14ac:dyDescent="0.35">
      <c r="B458" s="203"/>
      <c r="C458" s="204"/>
      <c r="D458" s="204"/>
      <c r="E458" s="204"/>
      <c r="F458" s="205"/>
      <c r="G458" s="548"/>
      <c r="H458" s="550"/>
      <c r="I458" s="326"/>
      <c r="J458" s="326"/>
      <c r="K458" s="326"/>
      <c r="M458" s="463"/>
      <c r="N458" s="464"/>
    </row>
    <row r="459" spans="2:14" hidden="1" outlineLevel="1" x14ac:dyDescent="0.35">
      <c r="B459" s="203"/>
      <c r="C459" s="204"/>
      <c r="D459" s="204"/>
      <c r="E459" s="204"/>
      <c r="F459" s="205"/>
      <c r="G459" s="548"/>
      <c r="H459" s="550"/>
      <c r="I459" s="326"/>
      <c r="J459" s="326"/>
      <c r="K459" s="326"/>
      <c r="M459" s="463"/>
      <c r="N459" s="464"/>
    </row>
    <row r="460" spans="2:14" hidden="1" outlineLevel="1" x14ac:dyDescent="0.35">
      <c r="B460" s="203"/>
      <c r="C460" s="204"/>
      <c r="D460" s="204"/>
      <c r="E460" s="204"/>
      <c r="F460" s="205"/>
      <c r="G460" s="548"/>
      <c r="H460" s="550"/>
      <c r="I460" s="326"/>
      <c r="J460" s="326"/>
      <c r="K460" s="326"/>
      <c r="M460" s="463"/>
      <c r="N460" s="464"/>
    </row>
    <row r="461" spans="2:14" hidden="1" outlineLevel="1" x14ac:dyDescent="0.35">
      <c r="B461" s="203"/>
      <c r="C461" s="204"/>
      <c r="D461" s="204"/>
      <c r="E461" s="204"/>
      <c r="F461" s="205"/>
      <c r="G461" s="548"/>
      <c r="H461" s="550"/>
      <c r="I461" s="326"/>
      <c r="J461" s="326"/>
      <c r="K461" s="326"/>
      <c r="M461" s="463"/>
      <c r="N461" s="464"/>
    </row>
    <row r="462" spans="2:14" hidden="1" outlineLevel="1" x14ac:dyDescent="0.35">
      <c r="B462" s="203"/>
      <c r="C462" s="204"/>
      <c r="D462" s="204"/>
      <c r="E462" s="204"/>
      <c r="F462" s="205"/>
      <c r="G462" s="548"/>
      <c r="H462" s="550"/>
      <c r="I462" s="326"/>
      <c r="J462" s="326"/>
      <c r="K462" s="326"/>
      <c r="M462" s="463"/>
      <c r="N462" s="464"/>
    </row>
    <row r="463" spans="2:14" hidden="1" outlineLevel="1" x14ac:dyDescent="0.35">
      <c r="B463" s="203"/>
      <c r="C463" s="204"/>
      <c r="D463" s="204"/>
      <c r="E463" s="204"/>
      <c r="F463" s="205"/>
      <c r="G463" s="548"/>
      <c r="H463" s="550"/>
      <c r="I463" s="326"/>
      <c r="J463" s="326"/>
      <c r="K463" s="326"/>
      <c r="M463" s="463"/>
      <c r="N463" s="464"/>
    </row>
    <row r="464" spans="2:14" hidden="1" outlineLevel="1" x14ac:dyDescent="0.35">
      <c r="B464" s="203"/>
      <c r="C464" s="204"/>
      <c r="D464" s="204"/>
      <c r="E464" s="204"/>
      <c r="F464" s="205"/>
      <c r="G464" s="548"/>
      <c r="H464" s="550"/>
      <c r="I464" s="326"/>
      <c r="J464" s="326"/>
      <c r="K464" s="326"/>
      <c r="M464" s="463"/>
      <c r="N464" s="464"/>
    </row>
    <row r="465" spans="2:14" hidden="1" outlineLevel="1" x14ac:dyDescent="0.35">
      <c r="B465" s="203"/>
      <c r="C465" s="204"/>
      <c r="D465" s="204"/>
      <c r="E465" s="204"/>
      <c r="F465" s="205"/>
      <c r="G465" s="548"/>
      <c r="H465" s="550"/>
      <c r="I465" s="326"/>
      <c r="J465" s="326"/>
      <c r="K465" s="326"/>
      <c r="M465" s="463"/>
      <c r="N465" s="464"/>
    </row>
    <row r="466" spans="2:14" hidden="1" outlineLevel="1" x14ac:dyDescent="0.35">
      <c r="B466" s="203"/>
      <c r="C466" s="204"/>
      <c r="D466" s="204"/>
      <c r="E466" s="204"/>
      <c r="F466" s="205"/>
      <c r="G466" s="548"/>
      <c r="H466" s="550"/>
      <c r="I466" s="326"/>
      <c r="J466" s="326"/>
      <c r="K466" s="326"/>
      <c r="M466" s="463"/>
      <c r="N466" s="464"/>
    </row>
    <row r="467" spans="2:14" hidden="1" outlineLevel="1" x14ac:dyDescent="0.35">
      <c r="B467" s="203"/>
      <c r="C467" s="204"/>
      <c r="D467" s="204"/>
      <c r="E467" s="204"/>
      <c r="F467" s="205"/>
      <c r="G467" s="548"/>
      <c r="H467" s="550"/>
      <c r="I467" s="326"/>
      <c r="J467" s="326"/>
      <c r="K467" s="326"/>
      <c r="M467" s="463"/>
      <c r="N467" s="464"/>
    </row>
    <row r="468" spans="2:14" hidden="1" outlineLevel="1" x14ac:dyDescent="0.35">
      <c r="B468" s="203"/>
      <c r="C468" s="204"/>
      <c r="D468" s="204"/>
      <c r="E468" s="204"/>
      <c r="F468" s="205"/>
      <c r="G468" s="548"/>
      <c r="H468" s="550"/>
      <c r="I468" s="326"/>
      <c r="J468" s="326"/>
      <c r="K468" s="326"/>
      <c r="M468" s="463"/>
      <c r="N468" s="464"/>
    </row>
    <row r="469" spans="2:14" hidden="1" outlineLevel="1" x14ac:dyDescent="0.35">
      <c r="B469" s="203"/>
      <c r="C469" s="204"/>
      <c r="D469" s="204"/>
      <c r="E469" s="204"/>
      <c r="F469" s="205"/>
      <c r="G469" s="548"/>
      <c r="H469" s="550"/>
      <c r="I469" s="326"/>
      <c r="J469" s="326"/>
      <c r="K469" s="326"/>
      <c r="M469" s="463"/>
      <c r="N469" s="464"/>
    </row>
    <row r="470" spans="2:14" hidden="1" outlineLevel="1" x14ac:dyDescent="0.35">
      <c r="B470" s="203"/>
      <c r="C470" s="204"/>
      <c r="D470" s="204"/>
      <c r="E470" s="204"/>
      <c r="F470" s="205"/>
      <c r="G470" s="548"/>
      <c r="H470" s="550"/>
      <c r="I470" s="326"/>
      <c r="J470" s="326"/>
      <c r="K470" s="326"/>
      <c r="M470" s="463"/>
      <c r="N470" s="464"/>
    </row>
    <row r="471" spans="2:14" hidden="1" outlineLevel="1" x14ac:dyDescent="0.35">
      <c r="B471" s="203"/>
      <c r="C471" s="204"/>
      <c r="D471" s="204"/>
      <c r="E471" s="204"/>
      <c r="F471" s="205"/>
      <c r="G471" s="548"/>
      <c r="H471" s="550"/>
      <c r="I471" s="326"/>
      <c r="J471" s="326"/>
      <c r="K471" s="326"/>
      <c r="M471" s="463"/>
      <c r="N471" s="464"/>
    </row>
    <row r="472" spans="2:14" hidden="1" outlineLevel="1" x14ac:dyDescent="0.35">
      <c r="B472" s="203"/>
      <c r="C472" s="204"/>
      <c r="D472" s="204"/>
      <c r="E472" s="204"/>
      <c r="F472" s="205"/>
      <c r="G472" s="548"/>
      <c r="H472" s="550"/>
      <c r="I472" s="326"/>
      <c r="J472" s="326"/>
      <c r="K472" s="326"/>
      <c r="M472" s="463"/>
      <c r="N472" s="464"/>
    </row>
    <row r="473" spans="2:14" hidden="1" outlineLevel="1" x14ac:dyDescent="0.35">
      <c r="B473" s="203"/>
      <c r="C473" s="204"/>
      <c r="D473" s="204"/>
      <c r="E473" s="204"/>
      <c r="F473" s="205"/>
      <c r="G473" s="548"/>
      <c r="H473" s="550"/>
      <c r="I473" s="326"/>
      <c r="J473" s="326"/>
      <c r="K473" s="326"/>
      <c r="M473" s="463"/>
      <c r="N473" s="464"/>
    </row>
    <row r="474" spans="2:14" hidden="1" outlineLevel="1" x14ac:dyDescent="0.35">
      <c r="B474" s="203"/>
      <c r="C474" s="204"/>
      <c r="D474" s="204"/>
      <c r="E474" s="204"/>
      <c r="F474" s="205"/>
      <c r="G474" s="548"/>
      <c r="H474" s="550"/>
      <c r="I474" s="326"/>
      <c r="J474" s="326"/>
      <c r="K474" s="326"/>
      <c r="M474" s="463"/>
      <c r="N474" s="464"/>
    </row>
    <row r="475" spans="2:14" hidden="1" outlineLevel="1" x14ac:dyDescent="0.35">
      <c r="B475" s="203"/>
      <c r="C475" s="204"/>
      <c r="D475" s="204"/>
      <c r="E475" s="204"/>
      <c r="F475" s="205"/>
      <c r="G475" s="548"/>
      <c r="H475" s="550"/>
      <c r="I475" s="326"/>
      <c r="J475" s="326"/>
      <c r="K475" s="326"/>
      <c r="M475" s="463"/>
      <c r="N475" s="464"/>
    </row>
    <row r="476" spans="2:14" hidden="1" outlineLevel="1" x14ac:dyDescent="0.35">
      <c r="B476" s="203"/>
      <c r="C476" s="204"/>
      <c r="D476" s="204"/>
      <c r="E476" s="204"/>
      <c r="F476" s="205"/>
      <c r="G476" s="548"/>
      <c r="H476" s="550"/>
      <c r="I476" s="326"/>
      <c r="J476" s="326"/>
      <c r="K476" s="326"/>
      <c r="M476" s="463"/>
      <c r="N476" s="464"/>
    </row>
    <row r="477" spans="2:14" hidden="1" outlineLevel="1" x14ac:dyDescent="0.35">
      <c r="B477" s="203"/>
      <c r="C477" s="204"/>
      <c r="D477" s="204"/>
      <c r="E477" s="204"/>
      <c r="F477" s="205"/>
      <c r="G477" s="548"/>
      <c r="H477" s="550"/>
      <c r="I477" s="326"/>
      <c r="J477" s="326"/>
      <c r="K477" s="326"/>
      <c r="M477" s="463"/>
      <c r="N477" s="464"/>
    </row>
    <row r="478" spans="2:14" hidden="1" outlineLevel="1" x14ac:dyDescent="0.35">
      <c r="B478" s="203"/>
      <c r="C478" s="204"/>
      <c r="D478" s="204"/>
      <c r="E478" s="204"/>
      <c r="F478" s="205"/>
      <c r="G478" s="548"/>
      <c r="H478" s="550"/>
      <c r="I478" s="326"/>
      <c r="J478" s="326"/>
      <c r="K478" s="326"/>
      <c r="M478" s="463"/>
      <c r="N478" s="464"/>
    </row>
    <row r="479" spans="2:14" hidden="1" outlineLevel="1" x14ac:dyDescent="0.35">
      <c r="B479" s="203"/>
      <c r="C479" s="204"/>
      <c r="D479" s="204"/>
      <c r="E479" s="204"/>
      <c r="F479" s="205"/>
      <c r="G479" s="548"/>
      <c r="H479" s="550"/>
      <c r="I479" s="326"/>
      <c r="J479" s="326"/>
      <c r="K479" s="326"/>
      <c r="M479" s="463"/>
      <c r="N479" s="464"/>
    </row>
    <row r="480" spans="2:14" hidden="1" outlineLevel="1" x14ac:dyDescent="0.35">
      <c r="B480" s="203"/>
      <c r="C480" s="204"/>
      <c r="D480" s="204"/>
      <c r="E480" s="204"/>
      <c r="F480" s="205"/>
      <c r="G480" s="548"/>
      <c r="H480" s="550"/>
      <c r="I480" s="326"/>
      <c r="J480" s="326"/>
      <c r="K480" s="326"/>
      <c r="M480" s="463"/>
      <c r="N480" s="464"/>
    </row>
    <row r="481" spans="2:14" hidden="1" outlineLevel="1" x14ac:dyDescent="0.35">
      <c r="B481" s="203"/>
      <c r="C481" s="204"/>
      <c r="D481" s="204"/>
      <c r="E481" s="204"/>
      <c r="F481" s="205"/>
      <c r="G481" s="548"/>
      <c r="H481" s="550"/>
      <c r="I481" s="326"/>
      <c r="J481" s="326"/>
      <c r="K481" s="326"/>
      <c r="M481" s="463"/>
      <c r="N481" s="464"/>
    </row>
    <row r="482" spans="2:14" hidden="1" outlineLevel="1" x14ac:dyDescent="0.35">
      <c r="B482" s="203"/>
      <c r="C482" s="204"/>
      <c r="D482" s="204"/>
      <c r="E482" s="204"/>
      <c r="F482" s="205"/>
      <c r="G482" s="548"/>
      <c r="H482" s="550"/>
      <c r="I482" s="326"/>
      <c r="J482" s="326"/>
      <c r="K482" s="326"/>
      <c r="M482" s="463"/>
      <c r="N482" s="464"/>
    </row>
    <row r="483" spans="2:14" hidden="1" outlineLevel="1" x14ac:dyDescent="0.35">
      <c r="B483" s="203"/>
      <c r="C483" s="204"/>
      <c r="D483" s="204"/>
      <c r="E483" s="204"/>
      <c r="F483" s="205"/>
      <c r="G483" s="548"/>
      <c r="H483" s="550"/>
      <c r="I483" s="326"/>
      <c r="J483" s="326"/>
      <c r="K483" s="326"/>
      <c r="M483" s="463"/>
      <c r="N483" s="464"/>
    </row>
    <row r="484" spans="2:14" hidden="1" outlineLevel="1" x14ac:dyDescent="0.35">
      <c r="B484" s="203"/>
      <c r="C484" s="204"/>
      <c r="D484" s="204"/>
      <c r="E484" s="204"/>
      <c r="F484" s="205"/>
      <c r="G484" s="548"/>
      <c r="H484" s="550"/>
      <c r="I484" s="326"/>
      <c r="J484" s="326"/>
      <c r="K484" s="326"/>
      <c r="M484" s="463"/>
      <c r="N484" s="464"/>
    </row>
    <row r="485" spans="2:14" hidden="1" outlineLevel="1" x14ac:dyDescent="0.35">
      <c r="B485" s="203"/>
      <c r="C485" s="204"/>
      <c r="D485" s="204"/>
      <c r="E485" s="204"/>
      <c r="F485" s="205"/>
      <c r="G485" s="548"/>
      <c r="H485" s="550"/>
      <c r="I485" s="326"/>
      <c r="J485" s="326"/>
      <c r="K485" s="326"/>
      <c r="M485" s="463"/>
      <c r="N485" s="464"/>
    </row>
    <row r="486" spans="2:14" hidden="1" outlineLevel="1" x14ac:dyDescent="0.35">
      <c r="B486" s="203"/>
      <c r="C486" s="204"/>
      <c r="D486" s="204"/>
      <c r="E486" s="204"/>
      <c r="F486" s="205"/>
      <c r="G486" s="548"/>
      <c r="H486" s="550"/>
      <c r="I486" s="326"/>
      <c r="J486" s="326"/>
      <c r="K486" s="326"/>
      <c r="M486" s="463"/>
      <c r="N486" s="464"/>
    </row>
    <row r="487" spans="2:14" hidden="1" outlineLevel="1" x14ac:dyDescent="0.35">
      <c r="B487" s="203"/>
      <c r="C487" s="204"/>
      <c r="D487" s="204"/>
      <c r="E487" s="204"/>
      <c r="F487" s="205"/>
      <c r="G487" s="548"/>
      <c r="H487" s="550"/>
      <c r="I487" s="326"/>
      <c r="J487" s="326"/>
      <c r="K487" s="326"/>
      <c r="M487" s="463"/>
      <c r="N487" s="464"/>
    </row>
    <row r="488" spans="2:14" hidden="1" outlineLevel="1" x14ac:dyDescent="0.35">
      <c r="B488" s="203"/>
      <c r="C488" s="204"/>
      <c r="D488" s="204"/>
      <c r="E488" s="204"/>
      <c r="F488" s="205"/>
      <c r="G488" s="548"/>
      <c r="H488" s="550"/>
      <c r="I488" s="326"/>
      <c r="J488" s="326"/>
      <c r="K488" s="326"/>
      <c r="M488" s="463"/>
      <c r="N488" s="464"/>
    </row>
    <row r="489" spans="2:14" hidden="1" outlineLevel="1" x14ac:dyDescent="0.35">
      <c r="B489" s="203"/>
      <c r="C489" s="204"/>
      <c r="D489" s="204"/>
      <c r="E489" s="204"/>
      <c r="F489" s="205"/>
      <c r="G489" s="548"/>
      <c r="H489" s="550"/>
      <c r="I489" s="326"/>
      <c r="J489" s="326"/>
      <c r="K489" s="326"/>
      <c r="M489" s="463"/>
      <c r="N489" s="464"/>
    </row>
    <row r="490" spans="2:14" hidden="1" outlineLevel="1" x14ac:dyDescent="0.35">
      <c r="B490" s="203"/>
      <c r="C490" s="204"/>
      <c r="D490" s="204"/>
      <c r="E490" s="204"/>
      <c r="F490" s="205"/>
      <c r="G490" s="548"/>
      <c r="H490" s="550"/>
      <c r="I490" s="326"/>
      <c r="J490" s="326"/>
      <c r="K490" s="326"/>
      <c r="M490" s="463"/>
      <c r="N490" s="464"/>
    </row>
    <row r="491" spans="2:14" hidden="1" outlineLevel="1" x14ac:dyDescent="0.35">
      <c r="B491" s="203"/>
      <c r="C491" s="204"/>
      <c r="D491" s="204"/>
      <c r="E491" s="204"/>
      <c r="F491" s="205"/>
      <c r="G491" s="548"/>
      <c r="H491" s="550"/>
      <c r="I491" s="326"/>
      <c r="J491" s="326"/>
      <c r="K491" s="326"/>
      <c r="M491" s="463"/>
      <c r="N491" s="464"/>
    </row>
    <row r="492" spans="2:14" hidden="1" outlineLevel="1" x14ac:dyDescent="0.35">
      <c r="B492" s="203"/>
      <c r="C492" s="204"/>
      <c r="D492" s="204"/>
      <c r="E492" s="204"/>
      <c r="F492" s="205"/>
      <c r="G492" s="548"/>
      <c r="H492" s="550"/>
      <c r="I492" s="326"/>
      <c r="J492" s="326"/>
      <c r="K492" s="326"/>
      <c r="M492" s="463"/>
      <c r="N492" s="464"/>
    </row>
    <row r="493" spans="2:14" hidden="1" outlineLevel="1" x14ac:dyDescent="0.35">
      <c r="B493" s="203"/>
      <c r="C493" s="204"/>
      <c r="D493" s="204"/>
      <c r="E493" s="204"/>
      <c r="F493" s="205"/>
      <c r="G493" s="548"/>
      <c r="H493" s="550"/>
      <c r="I493" s="326"/>
      <c r="J493" s="326"/>
      <c r="K493" s="326"/>
      <c r="M493" s="463"/>
      <c r="N493" s="464"/>
    </row>
    <row r="494" spans="2:14" hidden="1" outlineLevel="1" x14ac:dyDescent="0.35">
      <c r="B494" s="203"/>
      <c r="C494" s="204"/>
      <c r="D494" s="204"/>
      <c r="E494" s="204"/>
      <c r="F494" s="205"/>
      <c r="G494" s="548"/>
      <c r="H494" s="550"/>
      <c r="I494" s="326"/>
      <c r="J494" s="326"/>
      <c r="K494" s="326"/>
      <c r="M494" s="463"/>
      <c r="N494" s="464"/>
    </row>
    <row r="495" spans="2:14" hidden="1" outlineLevel="1" x14ac:dyDescent="0.35">
      <c r="B495" s="203"/>
      <c r="C495" s="204"/>
      <c r="D495" s="204"/>
      <c r="E495" s="204"/>
      <c r="F495" s="205"/>
      <c r="G495" s="548"/>
      <c r="H495" s="550"/>
      <c r="I495" s="326"/>
      <c r="J495" s="326"/>
      <c r="K495" s="326"/>
      <c r="M495" s="463"/>
      <c r="N495" s="464"/>
    </row>
    <row r="496" spans="2:14" hidden="1" outlineLevel="1" x14ac:dyDescent="0.35">
      <c r="B496" s="203"/>
      <c r="C496" s="204"/>
      <c r="D496" s="204"/>
      <c r="E496" s="204"/>
      <c r="F496" s="205"/>
      <c r="G496" s="548"/>
      <c r="H496" s="550"/>
      <c r="I496" s="326"/>
      <c r="J496" s="326"/>
      <c r="K496" s="326"/>
      <c r="M496" s="463"/>
      <c r="N496" s="464"/>
    </row>
    <row r="497" spans="2:14" hidden="1" outlineLevel="1" x14ac:dyDescent="0.35">
      <c r="B497" s="203"/>
      <c r="C497" s="204"/>
      <c r="D497" s="204"/>
      <c r="E497" s="204"/>
      <c r="F497" s="205"/>
      <c r="G497" s="548"/>
      <c r="H497" s="550"/>
      <c r="I497" s="326"/>
      <c r="J497" s="326"/>
      <c r="K497" s="326"/>
      <c r="M497" s="463"/>
      <c r="N497" s="464"/>
    </row>
    <row r="498" spans="2:14" hidden="1" outlineLevel="1" x14ac:dyDescent="0.35">
      <c r="B498" s="203"/>
      <c r="C498" s="204"/>
      <c r="D498" s="204"/>
      <c r="E498" s="204"/>
      <c r="F498" s="205"/>
      <c r="G498" s="548"/>
      <c r="H498" s="550"/>
      <c r="I498" s="326"/>
      <c r="J498" s="326"/>
      <c r="K498" s="326"/>
      <c r="M498" s="463"/>
      <c r="N498" s="464"/>
    </row>
    <row r="499" spans="2:14" hidden="1" outlineLevel="1" x14ac:dyDescent="0.35">
      <c r="B499" s="203"/>
      <c r="C499" s="204"/>
      <c r="D499" s="204"/>
      <c r="E499" s="204"/>
      <c r="F499" s="205"/>
      <c r="G499" s="548"/>
      <c r="H499" s="550"/>
      <c r="I499" s="326"/>
      <c r="J499" s="326"/>
      <c r="K499" s="326"/>
      <c r="M499" s="463"/>
      <c r="N499" s="464"/>
    </row>
    <row r="500" spans="2:14" hidden="1" outlineLevel="1" x14ac:dyDescent="0.35">
      <c r="B500" s="203"/>
      <c r="C500" s="204"/>
      <c r="D500" s="204"/>
      <c r="E500" s="204"/>
      <c r="F500" s="205"/>
      <c r="G500" s="548"/>
      <c r="H500" s="550"/>
      <c r="I500" s="326"/>
      <c r="J500" s="326"/>
      <c r="K500" s="326"/>
      <c r="M500" s="463"/>
      <c r="N500" s="464"/>
    </row>
    <row r="501" spans="2:14" hidden="1" outlineLevel="1" x14ac:dyDescent="0.35">
      <c r="B501" s="203"/>
      <c r="C501" s="204"/>
      <c r="D501" s="204"/>
      <c r="E501" s="204"/>
      <c r="F501" s="205"/>
      <c r="G501" s="548"/>
      <c r="H501" s="550"/>
      <c r="I501" s="326"/>
      <c r="J501" s="326"/>
      <c r="K501" s="326"/>
      <c r="M501" s="463"/>
      <c r="N501" s="464"/>
    </row>
    <row r="502" spans="2:14" hidden="1" outlineLevel="1" x14ac:dyDescent="0.35">
      <c r="B502" s="203"/>
      <c r="C502" s="204"/>
      <c r="D502" s="204"/>
      <c r="E502" s="204"/>
      <c r="F502" s="205"/>
      <c r="G502" s="548"/>
      <c r="H502" s="550"/>
      <c r="I502" s="326"/>
      <c r="J502" s="326"/>
      <c r="K502" s="326"/>
      <c r="M502" s="463"/>
      <c r="N502" s="464"/>
    </row>
    <row r="503" spans="2:14" hidden="1" outlineLevel="1" x14ac:dyDescent="0.35">
      <c r="B503" s="203"/>
      <c r="C503" s="204"/>
      <c r="D503" s="204"/>
      <c r="E503" s="204"/>
      <c r="F503" s="205"/>
      <c r="G503" s="548"/>
      <c r="H503" s="550"/>
      <c r="I503" s="326"/>
      <c r="J503" s="326"/>
      <c r="K503" s="326"/>
      <c r="M503" s="463"/>
      <c r="N503" s="464"/>
    </row>
    <row r="504" spans="2:14" hidden="1" outlineLevel="1" x14ac:dyDescent="0.35">
      <c r="B504" s="203"/>
      <c r="C504" s="204"/>
      <c r="D504" s="204"/>
      <c r="E504" s="204"/>
      <c r="F504" s="205"/>
      <c r="G504" s="548"/>
      <c r="H504" s="550"/>
      <c r="I504" s="326"/>
      <c r="J504" s="326"/>
      <c r="K504" s="326"/>
      <c r="M504" s="463"/>
      <c r="N504" s="464"/>
    </row>
    <row r="505" spans="2:14" hidden="1" outlineLevel="1" x14ac:dyDescent="0.35">
      <c r="B505" s="203"/>
      <c r="C505" s="204"/>
      <c r="D505" s="204"/>
      <c r="E505" s="204"/>
      <c r="F505" s="205"/>
      <c r="G505" s="548"/>
      <c r="H505" s="550"/>
      <c r="I505" s="326"/>
      <c r="J505" s="326"/>
      <c r="K505" s="326"/>
      <c r="M505" s="463"/>
      <c r="N505" s="464"/>
    </row>
    <row r="506" spans="2:14" hidden="1" outlineLevel="1" x14ac:dyDescent="0.35">
      <c r="B506" s="203"/>
      <c r="C506" s="204"/>
      <c r="D506" s="204"/>
      <c r="E506" s="204"/>
      <c r="F506" s="205"/>
      <c r="G506" s="548"/>
      <c r="H506" s="550"/>
      <c r="I506" s="326"/>
      <c r="J506" s="326"/>
      <c r="K506" s="326"/>
      <c r="M506" s="463"/>
      <c r="N506" s="464"/>
    </row>
    <row r="507" spans="2:14" hidden="1" outlineLevel="1" x14ac:dyDescent="0.35">
      <c r="B507" s="203"/>
      <c r="C507" s="204"/>
      <c r="D507" s="204"/>
      <c r="E507" s="204"/>
      <c r="F507" s="205"/>
      <c r="G507" s="548"/>
      <c r="H507" s="550"/>
      <c r="I507" s="326"/>
      <c r="J507" s="326"/>
      <c r="K507" s="326"/>
      <c r="M507" s="463"/>
      <c r="N507" s="464"/>
    </row>
    <row r="508" spans="2:14" hidden="1" outlineLevel="1" x14ac:dyDescent="0.35">
      <c r="B508" s="203"/>
      <c r="C508" s="204"/>
      <c r="D508" s="204"/>
      <c r="E508" s="204"/>
      <c r="F508" s="205"/>
      <c r="G508" s="548"/>
      <c r="H508" s="550"/>
      <c r="I508" s="326"/>
      <c r="J508" s="326"/>
      <c r="K508" s="326"/>
      <c r="M508" s="463"/>
      <c r="N508" s="464"/>
    </row>
    <row r="509" spans="2:14" hidden="1" outlineLevel="1" x14ac:dyDescent="0.35">
      <c r="B509" s="203"/>
      <c r="C509" s="204"/>
      <c r="D509" s="204"/>
      <c r="E509" s="204"/>
      <c r="F509" s="205"/>
      <c r="G509" s="548"/>
      <c r="H509" s="550"/>
      <c r="I509" s="326"/>
      <c r="J509" s="326"/>
      <c r="K509" s="326"/>
      <c r="M509" s="463"/>
      <c r="N509" s="464"/>
    </row>
    <row r="510" spans="2:14" hidden="1" outlineLevel="1" x14ac:dyDescent="0.35">
      <c r="B510" s="203"/>
      <c r="C510" s="204"/>
      <c r="D510" s="204"/>
      <c r="E510" s="204"/>
      <c r="F510" s="205"/>
      <c r="G510" s="548"/>
      <c r="H510" s="550"/>
      <c r="I510" s="326"/>
      <c r="J510" s="326"/>
      <c r="K510" s="326"/>
      <c r="M510" s="463"/>
      <c r="N510" s="464"/>
    </row>
    <row r="511" spans="2:14" hidden="1" outlineLevel="1" x14ac:dyDescent="0.35">
      <c r="B511" s="203"/>
      <c r="C511" s="204"/>
      <c r="D511" s="204"/>
      <c r="E511" s="204"/>
      <c r="F511" s="205"/>
      <c r="G511" s="548"/>
      <c r="H511" s="550"/>
      <c r="I511" s="326"/>
      <c r="J511" s="326"/>
      <c r="K511" s="326"/>
      <c r="M511" s="463"/>
      <c r="N511" s="464"/>
    </row>
    <row r="512" spans="2:14" hidden="1" outlineLevel="1" x14ac:dyDescent="0.35">
      <c r="B512" s="203"/>
      <c r="C512" s="204"/>
      <c r="D512" s="204"/>
      <c r="E512" s="204"/>
      <c r="F512" s="205"/>
      <c r="G512" s="548"/>
      <c r="H512" s="550"/>
      <c r="I512" s="326"/>
      <c r="J512" s="326"/>
      <c r="K512" s="326"/>
      <c r="M512" s="463"/>
      <c r="N512" s="464"/>
    </row>
    <row r="513" spans="2:14" hidden="1" outlineLevel="1" x14ac:dyDescent="0.35">
      <c r="B513" s="203"/>
      <c r="C513" s="204"/>
      <c r="D513" s="204"/>
      <c r="E513" s="204"/>
      <c r="F513" s="205"/>
      <c r="G513" s="548"/>
      <c r="H513" s="550"/>
      <c r="I513" s="326"/>
      <c r="J513" s="326"/>
      <c r="K513" s="326"/>
      <c r="M513" s="463"/>
      <c r="N513" s="464"/>
    </row>
    <row r="514" spans="2:14" hidden="1" outlineLevel="1" x14ac:dyDescent="0.35">
      <c r="B514" s="203"/>
      <c r="C514" s="204"/>
      <c r="D514" s="204"/>
      <c r="E514" s="204"/>
      <c r="F514" s="205"/>
      <c r="G514" s="548"/>
      <c r="H514" s="550"/>
      <c r="I514" s="326"/>
      <c r="J514" s="326"/>
      <c r="K514" s="326"/>
      <c r="M514" s="463"/>
      <c r="N514" s="464"/>
    </row>
    <row r="515" spans="2:14" hidden="1" outlineLevel="1" x14ac:dyDescent="0.35">
      <c r="B515" s="203"/>
      <c r="C515" s="204"/>
      <c r="D515" s="204"/>
      <c r="E515" s="204"/>
      <c r="F515" s="205"/>
      <c r="G515" s="548"/>
      <c r="H515" s="550"/>
      <c r="I515" s="326"/>
      <c r="J515" s="326"/>
      <c r="K515" s="326"/>
      <c r="M515" s="463"/>
      <c r="N515" s="464"/>
    </row>
    <row r="516" spans="2:14" hidden="1" outlineLevel="1" x14ac:dyDescent="0.35">
      <c r="B516" s="203"/>
      <c r="C516" s="204"/>
      <c r="D516" s="204"/>
      <c r="E516" s="204"/>
      <c r="F516" s="205"/>
      <c r="G516" s="548"/>
      <c r="H516" s="550"/>
      <c r="I516" s="326"/>
      <c r="J516" s="326"/>
      <c r="K516" s="326"/>
      <c r="M516" s="463"/>
      <c r="N516" s="464"/>
    </row>
    <row r="517" spans="2:14" hidden="1" outlineLevel="1" x14ac:dyDescent="0.35">
      <c r="B517" s="203"/>
      <c r="C517" s="204"/>
      <c r="D517" s="204"/>
      <c r="E517" s="204"/>
      <c r="F517" s="205"/>
      <c r="G517" s="548"/>
      <c r="H517" s="550"/>
      <c r="I517" s="326"/>
      <c r="J517" s="326"/>
      <c r="K517" s="326"/>
      <c r="M517" s="463"/>
      <c r="N517" s="464"/>
    </row>
    <row r="518" spans="2:14" hidden="1" outlineLevel="1" x14ac:dyDescent="0.35">
      <c r="B518" s="203"/>
      <c r="C518" s="204"/>
      <c r="D518" s="204"/>
      <c r="E518" s="204"/>
      <c r="F518" s="205"/>
      <c r="G518" s="548"/>
      <c r="H518" s="550"/>
      <c r="I518" s="326"/>
      <c r="J518" s="326"/>
      <c r="K518" s="326"/>
      <c r="M518" s="463"/>
      <c r="N518" s="464"/>
    </row>
    <row r="519" spans="2:14" hidden="1" outlineLevel="1" x14ac:dyDescent="0.35">
      <c r="B519" s="203"/>
      <c r="C519" s="204"/>
      <c r="D519" s="204"/>
      <c r="E519" s="204"/>
      <c r="F519" s="205"/>
      <c r="G519" s="548"/>
      <c r="H519" s="550"/>
      <c r="I519" s="326"/>
      <c r="J519" s="326"/>
      <c r="K519" s="326"/>
      <c r="M519" s="463"/>
      <c r="N519" s="464"/>
    </row>
    <row r="520" spans="2:14" hidden="1" outlineLevel="1" x14ac:dyDescent="0.35">
      <c r="B520" s="203"/>
      <c r="C520" s="204"/>
      <c r="D520" s="204"/>
      <c r="E520" s="204"/>
      <c r="F520" s="205"/>
      <c r="G520" s="548"/>
      <c r="H520" s="550"/>
      <c r="I520" s="326"/>
      <c r="J520" s="326"/>
      <c r="K520" s="326"/>
      <c r="M520" s="463"/>
      <c r="N520" s="464"/>
    </row>
    <row r="521" spans="2:14" hidden="1" outlineLevel="1" x14ac:dyDescent="0.35">
      <c r="B521" s="203"/>
      <c r="C521" s="204"/>
      <c r="D521" s="204"/>
      <c r="E521" s="204"/>
      <c r="F521" s="205"/>
      <c r="G521" s="548"/>
      <c r="H521" s="550"/>
      <c r="I521" s="326"/>
      <c r="J521" s="326"/>
      <c r="K521" s="326"/>
      <c r="M521" s="463"/>
      <c r="N521" s="464"/>
    </row>
    <row r="522" spans="2:14" hidden="1" outlineLevel="1" x14ac:dyDescent="0.35">
      <c r="B522" s="203"/>
      <c r="C522" s="204"/>
      <c r="D522" s="204"/>
      <c r="E522" s="204"/>
      <c r="F522" s="205"/>
      <c r="G522" s="548"/>
      <c r="H522" s="550"/>
      <c r="I522" s="326"/>
      <c r="J522" s="326"/>
      <c r="K522" s="326"/>
      <c r="M522" s="463"/>
      <c r="N522" s="464"/>
    </row>
    <row r="523" spans="2:14" hidden="1" outlineLevel="1" x14ac:dyDescent="0.35">
      <c r="B523" s="203"/>
      <c r="C523" s="204"/>
      <c r="D523" s="204"/>
      <c r="E523" s="204"/>
      <c r="F523" s="205"/>
      <c r="G523" s="548"/>
      <c r="H523" s="550"/>
      <c r="I523" s="326"/>
      <c r="J523" s="326"/>
      <c r="K523" s="326"/>
      <c r="M523" s="463"/>
      <c r="N523" s="464"/>
    </row>
    <row r="524" spans="2:14" hidden="1" outlineLevel="1" x14ac:dyDescent="0.35">
      <c r="B524" s="203"/>
      <c r="C524" s="204"/>
      <c r="D524" s="204"/>
      <c r="E524" s="204"/>
      <c r="F524" s="205"/>
      <c r="G524" s="548"/>
      <c r="H524" s="550"/>
      <c r="I524" s="326"/>
      <c r="J524" s="326"/>
      <c r="K524" s="326"/>
      <c r="M524" s="463"/>
      <c r="N524" s="464"/>
    </row>
    <row r="525" spans="2:14" hidden="1" outlineLevel="1" x14ac:dyDescent="0.35">
      <c r="B525" s="203"/>
      <c r="C525" s="204"/>
      <c r="D525" s="204"/>
      <c r="E525" s="204"/>
      <c r="F525" s="205"/>
      <c r="G525" s="548"/>
      <c r="H525" s="550"/>
      <c r="I525" s="326"/>
      <c r="J525" s="326"/>
      <c r="K525" s="326"/>
      <c r="M525" s="463"/>
      <c r="N525" s="464"/>
    </row>
    <row r="526" spans="2:14" hidden="1" outlineLevel="1" x14ac:dyDescent="0.35">
      <c r="B526" s="203"/>
      <c r="C526" s="204"/>
      <c r="D526" s="204"/>
      <c r="E526" s="204"/>
      <c r="F526" s="205"/>
      <c r="G526" s="548"/>
      <c r="H526" s="550"/>
      <c r="I526" s="326"/>
      <c r="J526" s="326"/>
      <c r="K526" s="326"/>
      <c r="M526" s="463"/>
      <c r="N526" s="464"/>
    </row>
    <row r="527" spans="2:14" hidden="1" outlineLevel="1" x14ac:dyDescent="0.35">
      <c r="B527" s="203"/>
      <c r="C527" s="204"/>
      <c r="D527" s="204"/>
      <c r="E527" s="204"/>
      <c r="F527" s="205"/>
      <c r="G527" s="548"/>
      <c r="H527" s="550"/>
      <c r="I527" s="326"/>
      <c r="J527" s="326"/>
      <c r="K527" s="326"/>
      <c r="M527" s="463"/>
      <c r="N527" s="464"/>
    </row>
    <row r="528" spans="2:14" hidden="1" outlineLevel="1" x14ac:dyDescent="0.35">
      <c r="B528" s="203"/>
      <c r="C528" s="204"/>
      <c r="D528" s="204"/>
      <c r="E528" s="204"/>
      <c r="F528" s="205"/>
      <c r="G528" s="548"/>
      <c r="H528" s="550"/>
      <c r="I528" s="326"/>
      <c r="J528" s="326"/>
      <c r="K528" s="326"/>
      <c r="M528" s="463"/>
      <c r="N528" s="464"/>
    </row>
    <row r="529" spans="2:14" hidden="1" outlineLevel="1" x14ac:dyDescent="0.35">
      <c r="B529" s="203"/>
      <c r="C529" s="204"/>
      <c r="D529" s="204"/>
      <c r="E529" s="204"/>
      <c r="F529" s="205"/>
      <c r="G529" s="548"/>
      <c r="H529" s="550"/>
      <c r="I529" s="326"/>
      <c r="J529" s="326"/>
      <c r="K529" s="326"/>
      <c r="M529" s="463"/>
      <c r="N529" s="464"/>
    </row>
    <row r="530" spans="2:14" hidden="1" outlineLevel="1" x14ac:dyDescent="0.35">
      <c r="B530" s="203"/>
      <c r="C530" s="204"/>
      <c r="D530" s="204"/>
      <c r="E530" s="204"/>
      <c r="F530" s="205"/>
      <c r="G530" s="548"/>
      <c r="H530" s="550"/>
      <c r="I530" s="326"/>
      <c r="J530" s="326"/>
      <c r="K530" s="326"/>
      <c r="M530" s="463"/>
      <c r="N530" s="464"/>
    </row>
    <row r="531" spans="2:14" hidden="1" outlineLevel="1" x14ac:dyDescent="0.35">
      <c r="B531" s="203"/>
      <c r="C531" s="204"/>
      <c r="D531" s="204"/>
      <c r="E531" s="204"/>
      <c r="F531" s="205"/>
      <c r="G531" s="548"/>
      <c r="H531" s="550"/>
      <c r="I531" s="326"/>
      <c r="J531" s="326"/>
      <c r="K531" s="326"/>
      <c r="M531" s="463"/>
      <c r="N531" s="464"/>
    </row>
    <row r="532" spans="2:14" hidden="1" outlineLevel="1" x14ac:dyDescent="0.35">
      <c r="B532" s="203"/>
      <c r="C532" s="204"/>
      <c r="D532" s="204"/>
      <c r="E532" s="204"/>
      <c r="F532" s="205"/>
      <c r="G532" s="548"/>
      <c r="H532" s="550"/>
      <c r="I532" s="326"/>
      <c r="J532" s="326"/>
      <c r="K532" s="326"/>
      <c r="M532" s="463"/>
      <c r="N532" s="464"/>
    </row>
    <row r="533" spans="2:14" hidden="1" outlineLevel="1" x14ac:dyDescent="0.35">
      <c r="B533" s="203"/>
      <c r="C533" s="204"/>
      <c r="D533" s="204"/>
      <c r="E533" s="204"/>
      <c r="F533" s="205"/>
      <c r="G533" s="548"/>
      <c r="H533" s="550"/>
      <c r="I533" s="326"/>
      <c r="J533" s="326"/>
      <c r="K533" s="326"/>
      <c r="M533" s="463"/>
      <c r="N533" s="464"/>
    </row>
    <row r="534" spans="2:14" hidden="1" outlineLevel="1" x14ac:dyDescent="0.35">
      <c r="B534" s="203"/>
      <c r="C534" s="204"/>
      <c r="D534" s="204"/>
      <c r="E534" s="204"/>
      <c r="F534" s="205"/>
      <c r="G534" s="548"/>
      <c r="H534" s="550"/>
      <c r="I534" s="326"/>
      <c r="J534" s="326"/>
      <c r="K534" s="326"/>
      <c r="M534" s="463"/>
      <c r="N534" s="464"/>
    </row>
    <row r="535" spans="2:14" hidden="1" outlineLevel="1" x14ac:dyDescent="0.35">
      <c r="B535" s="203"/>
      <c r="C535" s="204"/>
      <c r="D535" s="204"/>
      <c r="E535" s="204"/>
      <c r="F535" s="205"/>
      <c r="G535" s="548"/>
      <c r="H535" s="550"/>
      <c r="I535" s="326"/>
      <c r="J535" s="326"/>
      <c r="K535" s="326"/>
      <c r="M535" s="463"/>
      <c r="N535" s="464"/>
    </row>
    <row r="536" spans="2:14" hidden="1" outlineLevel="1" x14ac:dyDescent="0.35">
      <c r="B536" s="203"/>
      <c r="C536" s="204"/>
      <c r="D536" s="204"/>
      <c r="E536" s="204"/>
      <c r="F536" s="205"/>
      <c r="G536" s="548"/>
      <c r="H536" s="550"/>
      <c r="I536" s="326"/>
      <c r="J536" s="326"/>
      <c r="K536" s="326"/>
      <c r="M536" s="463"/>
      <c r="N536" s="464"/>
    </row>
    <row r="537" spans="2:14" hidden="1" outlineLevel="1" x14ac:dyDescent="0.35">
      <c r="B537" s="203"/>
      <c r="C537" s="204"/>
      <c r="D537" s="204"/>
      <c r="E537" s="204"/>
      <c r="F537" s="205"/>
      <c r="G537" s="548"/>
      <c r="H537" s="550"/>
      <c r="I537" s="326"/>
      <c r="J537" s="326"/>
      <c r="K537" s="326"/>
      <c r="M537" s="463"/>
      <c r="N537" s="464"/>
    </row>
    <row r="538" spans="2:14" hidden="1" outlineLevel="1" x14ac:dyDescent="0.35">
      <c r="B538" s="203"/>
      <c r="C538" s="204"/>
      <c r="D538" s="204"/>
      <c r="E538" s="204"/>
      <c r="F538" s="205"/>
      <c r="G538" s="548"/>
      <c r="H538" s="550"/>
      <c r="I538" s="326"/>
      <c r="J538" s="326"/>
      <c r="K538" s="326"/>
      <c r="M538" s="463"/>
      <c r="N538" s="464"/>
    </row>
    <row r="539" spans="2:14" hidden="1" outlineLevel="1" x14ac:dyDescent="0.35">
      <c r="B539" s="203"/>
      <c r="C539" s="204"/>
      <c r="D539" s="204"/>
      <c r="E539" s="204"/>
      <c r="F539" s="205"/>
      <c r="G539" s="548"/>
      <c r="H539" s="550"/>
      <c r="I539" s="326"/>
      <c r="J539" s="326"/>
      <c r="K539" s="326"/>
      <c r="M539" s="463"/>
      <c r="N539" s="464"/>
    </row>
    <row r="540" spans="2:14" hidden="1" outlineLevel="1" x14ac:dyDescent="0.35">
      <c r="B540" s="203"/>
      <c r="C540" s="204"/>
      <c r="D540" s="204"/>
      <c r="E540" s="204"/>
      <c r="F540" s="205"/>
      <c r="G540" s="548"/>
      <c r="H540" s="550"/>
      <c r="I540" s="326"/>
      <c r="J540" s="326"/>
      <c r="K540" s="326"/>
      <c r="M540" s="463"/>
      <c r="N540" s="464"/>
    </row>
    <row r="541" spans="2:14" hidden="1" outlineLevel="1" x14ac:dyDescent="0.35">
      <c r="B541" s="203"/>
      <c r="C541" s="204"/>
      <c r="D541" s="204"/>
      <c r="E541" s="204"/>
      <c r="F541" s="205"/>
      <c r="G541" s="548"/>
      <c r="H541" s="550"/>
      <c r="I541" s="326"/>
      <c r="J541" s="326"/>
      <c r="K541" s="326"/>
      <c r="M541" s="463"/>
      <c r="N541" s="464"/>
    </row>
    <row r="542" spans="2:14" hidden="1" outlineLevel="1" x14ac:dyDescent="0.35">
      <c r="B542" s="203"/>
      <c r="C542" s="204"/>
      <c r="D542" s="204"/>
      <c r="E542" s="204"/>
      <c r="F542" s="205"/>
      <c r="G542" s="548"/>
      <c r="H542" s="550"/>
      <c r="I542" s="326"/>
      <c r="J542" s="326"/>
      <c r="K542" s="326"/>
      <c r="M542" s="463"/>
      <c r="N542" s="464"/>
    </row>
    <row r="543" spans="2:14" hidden="1" outlineLevel="1" x14ac:dyDescent="0.35">
      <c r="B543" s="203"/>
      <c r="C543" s="204"/>
      <c r="D543" s="204"/>
      <c r="E543" s="204"/>
      <c r="F543" s="205"/>
      <c r="G543" s="548"/>
      <c r="H543" s="550"/>
      <c r="I543" s="326"/>
      <c r="J543" s="326"/>
      <c r="K543" s="326"/>
      <c r="M543" s="463"/>
      <c r="N543" s="464"/>
    </row>
    <row r="544" spans="2:14" hidden="1" outlineLevel="1" x14ac:dyDescent="0.35">
      <c r="B544" s="203"/>
      <c r="C544" s="204"/>
      <c r="D544" s="204"/>
      <c r="E544" s="204"/>
      <c r="F544" s="205"/>
      <c r="G544" s="548"/>
      <c r="H544" s="550"/>
      <c r="I544" s="326"/>
      <c r="J544" s="326"/>
      <c r="K544" s="326"/>
      <c r="M544" s="463"/>
      <c r="N544" s="464"/>
    </row>
    <row r="545" spans="2:14" hidden="1" outlineLevel="1" x14ac:dyDescent="0.35">
      <c r="B545" s="203"/>
      <c r="C545" s="204"/>
      <c r="D545" s="204"/>
      <c r="E545" s="204"/>
      <c r="F545" s="205"/>
      <c r="G545" s="548"/>
      <c r="H545" s="550"/>
      <c r="I545" s="326"/>
      <c r="J545" s="326"/>
      <c r="K545" s="326"/>
      <c r="M545" s="463"/>
      <c r="N545" s="464"/>
    </row>
    <row r="546" spans="2:14" hidden="1" outlineLevel="1" x14ac:dyDescent="0.35">
      <c r="B546" s="203"/>
      <c r="C546" s="204"/>
      <c r="D546" s="204"/>
      <c r="E546" s="204"/>
      <c r="F546" s="205"/>
      <c r="G546" s="548"/>
      <c r="H546" s="550"/>
      <c r="I546" s="326"/>
      <c r="J546" s="326"/>
      <c r="K546" s="326"/>
      <c r="M546" s="463"/>
      <c r="N546" s="464"/>
    </row>
    <row r="547" spans="2:14" hidden="1" outlineLevel="1" x14ac:dyDescent="0.35">
      <c r="B547" s="203"/>
      <c r="C547" s="204"/>
      <c r="D547" s="204"/>
      <c r="E547" s="204"/>
      <c r="F547" s="205"/>
      <c r="G547" s="548"/>
      <c r="H547" s="550"/>
      <c r="I547" s="326"/>
      <c r="J547" s="326"/>
      <c r="K547" s="326"/>
      <c r="M547" s="463"/>
      <c r="N547" s="464"/>
    </row>
    <row r="548" spans="2:14" hidden="1" outlineLevel="1" x14ac:dyDescent="0.35">
      <c r="B548" s="203"/>
      <c r="C548" s="204"/>
      <c r="D548" s="204"/>
      <c r="E548" s="204"/>
      <c r="F548" s="205"/>
      <c r="G548" s="548"/>
      <c r="H548" s="550"/>
      <c r="I548" s="326"/>
      <c r="J548" s="326"/>
      <c r="K548" s="326"/>
      <c r="M548" s="463"/>
      <c r="N548" s="464"/>
    </row>
    <row r="549" spans="2:14" hidden="1" outlineLevel="1" x14ac:dyDescent="0.35">
      <c r="B549" s="203"/>
      <c r="C549" s="204"/>
      <c r="D549" s="204"/>
      <c r="E549" s="204"/>
      <c r="F549" s="205"/>
      <c r="G549" s="548"/>
      <c r="H549" s="550"/>
      <c r="I549" s="326"/>
      <c r="J549" s="326"/>
      <c r="K549" s="326"/>
      <c r="M549" s="463"/>
      <c r="N549" s="464"/>
    </row>
    <row r="550" spans="2:14" hidden="1" outlineLevel="1" x14ac:dyDescent="0.35">
      <c r="B550" s="203"/>
      <c r="C550" s="204"/>
      <c r="D550" s="204"/>
      <c r="E550" s="204"/>
      <c r="F550" s="205"/>
      <c r="G550" s="548"/>
      <c r="H550" s="550"/>
      <c r="I550" s="326"/>
      <c r="J550" s="326"/>
      <c r="K550" s="326"/>
      <c r="M550" s="463"/>
      <c r="N550" s="464"/>
    </row>
    <row r="551" spans="2:14" hidden="1" outlineLevel="1" x14ac:dyDescent="0.35">
      <c r="B551" s="203"/>
      <c r="C551" s="204"/>
      <c r="D551" s="204"/>
      <c r="E551" s="204"/>
      <c r="F551" s="205"/>
      <c r="G551" s="548"/>
      <c r="H551" s="550"/>
      <c r="I551" s="326"/>
      <c r="J551" s="326"/>
      <c r="K551" s="326"/>
      <c r="M551" s="463"/>
      <c r="N551" s="464"/>
    </row>
    <row r="552" spans="2:14" hidden="1" outlineLevel="1" x14ac:dyDescent="0.35">
      <c r="B552" s="203"/>
      <c r="C552" s="204"/>
      <c r="D552" s="204"/>
      <c r="E552" s="204"/>
      <c r="F552" s="205"/>
      <c r="G552" s="548"/>
      <c r="H552" s="550"/>
      <c r="I552" s="326"/>
      <c r="J552" s="326"/>
      <c r="K552" s="326"/>
      <c r="M552" s="463"/>
      <c r="N552" s="464"/>
    </row>
    <row r="553" spans="2:14" hidden="1" outlineLevel="1" x14ac:dyDescent="0.35">
      <c r="B553" s="203"/>
      <c r="C553" s="204"/>
      <c r="D553" s="204"/>
      <c r="E553" s="204"/>
      <c r="F553" s="205"/>
      <c r="G553" s="548"/>
      <c r="H553" s="550"/>
      <c r="I553" s="326"/>
      <c r="J553" s="326"/>
      <c r="K553" s="326"/>
      <c r="M553" s="463"/>
      <c r="N553" s="464"/>
    </row>
    <row r="554" spans="2:14" hidden="1" outlineLevel="1" x14ac:dyDescent="0.35">
      <c r="B554" s="203"/>
      <c r="C554" s="204"/>
      <c r="D554" s="204"/>
      <c r="E554" s="204"/>
      <c r="F554" s="205"/>
      <c r="G554" s="548"/>
      <c r="H554" s="550"/>
      <c r="I554" s="326"/>
      <c r="J554" s="326"/>
      <c r="K554" s="326"/>
      <c r="M554" s="463"/>
      <c r="N554" s="464"/>
    </row>
    <row r="555" spans="2:14" hidden="1" outlineLevel="1" x14ac:dyDescent="0.35">
      <c r="B555" s="203"/>
      <c r="C555" s="204"/>
      <c r="D555" s="204"/>
      <c r="E555" s="204"/>
      <c r="F555" s="205"/>
      <c r="G555" s="548"/>
      <c r="H555" s="550"/>
      <c r="I555" s="326"/>
      <c r="J555" s="326"/>
      <c r="K555" s="326"/>
      <c r="M555" s="463"/>
      <c r="N555" s="464"/>
    </row>
    <row r="556" spans="2:14" hidden="1" outlineLevel="1" x14ac:dyDescent="0.35">
      <c r="B556" s="203"/>
      <c r="C556" s="204"/>
      <c r="D556" s="204"/>
      <c r="E556" s="204"/>
      <c r="F556" s="205"/>
      <c r="G556" s="548"/>
      <c r="H556" s="550"/>
      <c r="I556" s="326"/>
      <c r="J556" s="326"/>
      <c r="K556" s="326"/>
      <c r="M556" s="463"/>
      <c r="N556" s="464"/>
    </row>
    <row r="557" spans="2:14" hidden="1" outlineLevel="1" x14ac:dyDescent="0.35">
      <c r="B557" s="203"/>
      <c r="C557" s="204"/>
      <c r="D557" s="204"/>
      <c r="E557" s="204"/>
      <c r="F557" s="205"/>
      <c r="G557" s="548"/>
      <c r="H557" s="550"/>
      <c r="I557" s="326"/>
      <c r="J557" s="326"/>
      <c r="K557" s="326"/>
      <c r="M557" s="463"/>
      <c r="N557" s="464"/>
    </row>
    <row r="558" spans="2:14" hidden="1" outlineLevel="1" x14ac:dyDescent="0.35">
      <c r="B558" s="203"/>
      <c r="C558" s="204"/>
      <c r="D558" s="204"/>
      <c r="E558" s="204"/>
      <c r="F558" s="205"/>
      <c r="G558" s="548"/>
      <c r="H558" s="550"/>
      <c r="I558" s="326"/>
      <c r="J558" s="326"/>
      <c r="K558" s="326"/>
      <c r="M558" s="463"/>
      <c r="N558" s="464"/>
    </row>
    <row r="559" spans="2:14" hidden="1" outlineLevel="1" x14ac:dyDescent="0.35">
      <c r="B559" s="203"/>
      <c r="C559" s="204"/>
      <c r="D559" s="204"/>
      <c r="E559" s="204"/>
      <c r="F559" s="205"/>
      <c r="G559" s="548"/>
      <c r="H559" s="550"/>
      <c r="I559" s="326"/>
      <c r="J559" s="326"/>
      <c r="K559" s="326"/>
      <c r="M559" s="463"/>
      <c r="N559" s="464"/>
    </row>
    <row r="560" spans="2:14" hidden="1" outlineLevel="1" x14ac:dyDescent="0.35">
      <c r="B560" s="203"/>
      <c r="C560" s="204"/>
      <c r="D560" s="204"/>
      <c r="E560" s="204"/>
      <c r="F560" s="205"/>
      <c r="G560" s="548"/>
      <c r="H560" s="550"/>
      <c r="I560" s="326"/>
      <c r="J560" s="326"/>
      <c r="K560" s="326"/>
      <c r="M560" s="463"/>
      <c r="N560" s="464"/>
    </row>
    <row r="561" spans="2:14" hidden="1" outlineLevel="1" x14ac:dyDescent="0.35">
      <c r="B561" s="203"/>
      <c r="C561" s="204"/>
      <c r="D561" s="204"/>
      <c r="E561" s="204"/>
      <c r="F561" s="205"/>
      <c r="G561" s="548"/>
      <c r="H561" s="550"/>
      <c r="I561" s="326"/>
      <c r="J561" s="326"/>
      <c r="K561" s="326"/>
      <c r="M561" s="463"/>
      <c r="N561" s="464"/>
    </row>
    <row r="562" spans="2:14" hidden="1" outlineLevel="1" x14ac:dyDescent="0.35">
      <c r="B562" s="203"/>
      <c r="C562" s="204"/>
      <c r="D562" s="204"/>
      <c r="E562" s="204"/>
      <c r="F562" s="205"/>
      <c r="G562" s="548"/>
      <c r="H562" s="550"/>
      <c r="I562" s="326"/>
      <c r="J562" s="326"/>
      <c r="K562" s="326"/>
      <c r="M562" s="463"/>
      <c r="N562" s="464"/>
    </row>
    <row r="563" spans="2:14" hidden="1" outlineLevel="1" x14ac:dyDescent="0.35">
      <c r="B563" s="203"/>
      <c r="C563" s="204"/>
      <c r="D563" s="204"/>
      <c r="E563" s="204"/>
      <c r="F563" s="205"/>
      <c r="G563" s="548"/>
      <c r="H563" s="550"/>
      <c r="I563" s="326"/>
      <c r="J563" s="326"/>
      <c r="K563" s="326"/>
      <c r="M563" s="463"/>
      <c r="N563" s="464"/>
    </row>
    <row r="564" spans="2:14" hidden="1" outlineLevel="1" x14ac:dyDescent="0.35">
      <c r="B564" s="203"/>
      <c r="C564" s="204"/>
      <c r="D564" s="204"/>
      <c r="E564" s="204"/>
      <c r="F564" s="205"/>
      <c r="G564" s="548"/>
      <c r="H564" s="550"/>
      <c r="I564" s="326"/>
      <c r="J564" s="326"/>
      <c r="K564" s="326"/>
      <c r="M564" s="463"/>
      <c r="N564" s="464"/>
    </row>
    <row r="565" spans="2:14" hidden="1" outlineLevel="1" x14ac:dyDescent="0.35">
      <c r="B565" s="203"/>
      <c r="C565" s="204"/>
      <c r="D565" s="204"/>
      <c r="E565" s="204"/>
      <c r="F565" s="205"/>
      <c r="G565" s="548"/>
      <c r="H565" s="550"/>
      <c r="I565" s="326"/>
      <c r="J565" s="326"/>
      <c r="K565" s="326"/>
      <c r="M565" s="463"/>
      <c r="N565" s="464"/>
    </row>
    <row r="566" spans="2:14" hidden="1" outlineLevel="1" x14ac:dyDescent="0.35">
      <c r="B566" s="203"/>
      <c r="C566" s="204"/>
      <c r="D566" s="204"/>
      <c r="E566" s="204"/>
      <c r="F566" s="205"/>
      <c r="G566" s="548"/>
      <c r="H566" s="550"/>
      <c r="I566" s="326"/>
      <c r="J566" s="326"/>
      <c r="K566" s="326"/>
      <c r="M566" s="463"/>
      <c r="N566" s="464"/>
    </row>
    <row r="567" spans="2:14" hidden="1" outlineLevel="1" x14ac:dyDescent="0.35">
      <c r="B567" s="203"/>
      <c r="C567" s="204"/>
      <c r="D567" s="204"/>
      <c r="E567" s="204"/>
      <c r="F567" s="205"/>
      <c r="G567" s="548"/>
      <c r="H567" s="550"/>
      <c r="I567" s="326"/>
      <c r="J567" s="326"/>
      <c r="K567" s="326"/>
      <c r="M567" s="463"/>
      <c r="N567" s="464"/>
    </row>
    <row r="568" spans="2:14" hidden="1" outlineLevel="1" x14ac:dyDescent="0.35">
      <c r="B568" s="203"/>
      <c r="C568" s="204"/>
      <c r="D568" s="204"/>
      <c r="E568" s="204"/>
      <c r="F568" s="205"/>
      <c r="G568" s="548"/>
      <c r="H568" s="550"/>
      <c r="I568" s="326"/>
      <c r="J568" s="326"/>
      <c r="K568" s="326"/>
      <c r="M568" s="463"/>
      <c r="N568" s="464"/>
    </row>
    <row r="569" spans="2:14" hidden="1" outlineLevel="1" x14ac:dyDescent="0.35">
      <c r="B569" s="203"/>
      <c r="C569" s="204"/>
      <c r="D569" s="204"/>
      <c r="E569" s="204"/>
      <c r="F569" s="205"/>
      <c r="G569" s="548"/>
      <c r="H569" s="550"/>
      <c r="I569" s="326"/>
      <c r="J569" s="326"/>
      <c r="K569" s="326"/>
      <c r="M569" s="463"/>
      <c r="N569" s="464"/>
    </row>
    <row r="570" spans="2:14" hidden="1" outlineLevel="1" x14ac:dyDescent="0.35">
      <c r="B570" s="203"/>
      <c r="C570" s="204"/>
      <c r="D570" s="204"/>
      <c r="E570" s="204"/>
      <c r="F570" s="205"/>
      <c r="G570" s="548"/>
      <c r="H570" s="550"/>
      <c r="I570" s="326"/>
      <c r="J570" s="326"/>
      <c r="K570" s="326"/>
      <c r="M570" s="463"/>
      <c r="N570" s="464"/>
    </row>
    <row r="571" spans="2:14" hidden="1" outlineLevel="1" x14ac:dyDescent="0.35">
      <c r="B571" s="203"/>
      <c r="C571" s="204"/>
      <c r="D571" s="204"/>
      <c r="E571" s="204"/>
      <c r="F571" s="205"/>
      <c r="G571" s="548"/>
      <c r="H571" s="550"/>
      <c r="I571" s="326"/>
      <c r="J571" s="326"/>
      <c r="K571" s="326"/>
      <c r="M571" s="463"/>
      <c r="N571" s="464"/>
    </row>
    <row r="572" spans="2:14" hidden="1" outlineLevel="1" x14ac:dyDescent="0.35">
      <c r="B572" s="203"/>
      <c r="C572" s="204"/>
      <c r="D572" s="204"/>
      <c r="E572" s="204"/>
      <c r="F572" s="205"/>
      <c r="G572" s="548"/>
      <c r="H572" s="550"/>
      <c r="I572" s="326"/>
      <c r="J572" s="326"/>
      <c r="K572" s="326"/>
      <c r="M572" s="463"/>
      <c r="N572" s="464"/>
    </row>
    <row r="573" spans="2:14" hidden="1" outlineLevel="1" x14ac:dyDescent="0.35">
      <c r="B573" s="203"/>
      <c r="C573" s="204"/>
      <c r="D573" s="204"/>
      <c r="E573" s="204"/>
      <c r="F573" s="205"/>
      <c r="G573" s="548"/>
      <c r="H573" s="550"/>
      <c r="I573" s="326"/>
      <c r="J573" s="326"/>
      <c r="K573" s="326"/>
      <c r="M573" s="463"/>
      <c r="N573" s="464"/>
    </row>
    <row r="574" spans="2:14" hidden="1" outlineLevel="1" x14ac:dyDescent="0.35">
      <c r="B574" s="203"/>
      <c r="C574" s="204"/>
      <c r="D574" s="204"/>
      <c r="E574" s="204"/>
      <c r="F574" s="205"/>
      <c r="G574" s="548"/>
      <c r="H574" s="550"/>
      <c r="I574" s="326"/>
      <c r="J574" s="326"/>
      <c r="K574" s="326"/>
      <c r="M574" s="463"/>
      <c r="N574" s="464"/>
    </row>
    <row r="575" spans="2:14" hidden="1" outlineLevel="1" x14ac:dyDescent="0.35">
      <c r="B575" s="203"/>
      <c r="C575" s="204"/>
      <c r="D575" s="204"/>
      <c r="E575" s="204"/>
      <c r="F575" s="205"/>
      <c r="G575" s="548"/>
      <c r="H575" s="550"/>
      <c r="I575" s="326"/>
      <c r="J575" s="326"/>
      <c r="K575" s="326"/>
      <c r="M575" s="463"/>
      <c r="N575" s="464"/>
    </row>
    <row r="576" spans="2:14" hidden="1" outlineLevel="1" x14ac:dyDescent="0.35">
      <c r="B576" s="203"/>
      <c r="C576" s="204"/>
      <c r="D576" s="204"/>
      <c r="E576" s="204"/>
      <c r="F576" s="205"/>
      <c r="G576" s="548"/>
      <c r="H576" s="550"/>
      <c r="I576" s="326"/>
      <c r="J576" s="326"/>
      <c r="K576" s="326"/>
      <c r="M576" s="463"/>
      <c r="N576" s="464"/>
    </row>
    <row r="577" spans="2:14" hidden="1" outlineLevel="1" x14ac:dyDescent="0.35">
      <c r="B577" s="203"/>
      <c r="C577" s="204"/>
      <c r="D577" s="204"/>
      <c r="E577" s="204"/>
      <c r="F577" s="205"/>
      <c r="G577" s="548"/>
      <c r="H577" s="550"/>
      <c r="I577" s="326"/>
      <c r="J577" s="326"/>
      <c r="K577" s="326"/>
      <c r="M577" s="463"/>
      <c r="N577" s="464"/>
    </row>
    <row r="578" spans="2:14" hidden="1" outlineLevel="1" x14ac:dyDescent="0.35">
      <c r="B578" s="203"/>
      <c r="C578" s="204"/>
      <c r="D578" s="204"/>
      <c r="E578" s="204"/>
      <c r="F578" s="205"/>
      <c r="G578" s="548"/>
      <c r="H578" s="550"/>
      <c r="I578" s="326"/>
      <c r="J578" s="326"/>
      <c r="K578" s="326"/>
      <c r="M578" s="463"/>
      <c r="N578" s="464"/>
    </row>
    <row r="579" spans="2:14" hidden="1" outlineLevel="1" x14ac:dyDescent="0.35">
      <c r="B579" s="203"/>
      <c r="C579" s="204"/>
      <c r="D579" s="204"/>
      <c r="E579" s="204"/>
      <c r="F579" s="205"/>
      <c r="G579" s="548"/>
      <c r="H579" s="550"/>
      <c r="I579" s="326"/>
      <c r="J579" s="326"/>
      <c r="K579" s="326"/>
      <c r="M579" s="463"/>
      <c r="N579" s="464"/>
    </row>
    <row r="580" spans="2:14" hidden="1" outlineLevel="1" x14ac:dyDescent="0.35">
      <c r="B580" s="203"/>
      <c r="C580" s="204"/>
      <c r="D580" s="204"/>
      <c r="E580" s="204"/>
      <c r="F580" s="205"/>
      <c r="G580" s="548"/>
      <c r="H580" s="550"/>
      <c r="I580" s="326"/>
      <c r="J580" s="326"/>
      <c r="K580" s="326"/>
      <c r="M580" s="463"/>
      <c r="N580" s="464"/>
    </row>
    <row r="581" spans="2:14" hidden="1" outlineLevel="1" x14ac:dyDescent="0.35">
      <c r="B581" s="203"/>
      <c r="C581" s="204"/>
      <c r="D581" s="204"/>
      <c r="E581" s="204"/>
      <c r="F581" s="205"/>
      <c r="G581" s="548"/>
      <c r="H581" s="550"/>
      <c r="I581" s="326"/>
      <c r="J581" s="326"/>
      <c r="K581" s="326"/>
      <c r="M581" s="463"/>
      <c r="N581" s="464"/>
    </row>
    <row r="582" spans="2:14" hidden="1" outlineLevel="1" x14ac:dyDescent="0.35">
      <c r="B582" s="203"/>
      <c r="C582" s="204"/>
      <c r="D582" s="204"/>
      <c r="E582" s="204"/>
      <c r="F582" s="205"/>
      <c r="G582" s="548"/>
      <c r="H582" s="550"/>
      <c r="I582" s="326"/>
      <c r="J582" s="326"/>
      <c r="K582" s="326"/>
      <c r="M582" s="463"/>
      <c r="N582" s="464"/>
    </row>
    <row r="583" spans="2:14" hidden="1" outlineLevel="1" x14ac:dyDescent="0.35">
      <c r="B583" s="203"/>
      <c r="C583" s="204"/>
      <c r="D583" s="204"/>
      <c r="E583" s="204"/>
      <c r="F583" s="205"/>
      <c r="G583" s="548"/>
      <c r="H583" s="550"/>
      <c r="I583" s="326"/>
      <c r="J583" s="326"/>
      <c r="K583" s="326"/>
      <c r="M583" s="463"/>
      <c r="N583" s="464"/>
    </row>
    <row r="584" spans="2:14" hidden="1" outlineLevel="1" x14ac:dyDescent="0.35">
      <c r="B584" s="203"/>
      <c r="C584" s="204"/>
      <c r="D584" s="204"/>
      <c r="E584" s="204"/>
      <c r="F584" s="205"/>
      <c r="G584" s="548"/>
      <c r="H584" s="550"/>
      <c r="I584" s="326"/>
      <c r="J584" s="326"/>
      <c r="K584" s="326"/>
      <c r="M584" s="463"/>
      <c r="N584" s="464"/>
    </row>
    <row r="585" spans="2:14" hidden="1" outlineLevel="1" x14ac:dyDescent="0.35">
      <c r="B585" s="203"/>
      <c r="C585" s="204"/>
      <c r="D585" s="204"/>
      <c r="E585" s="204"/>
      <c r="F585" s="205"/>
      <c r="G585" s="548"/>
      <c r="H585" s="550"/>
      <c r="I585" s="326"/>
      <c r="J585" s="326"/>
      <c r="K585" s="326"/>
      <c r="M585" s="463"/>
      <c r="N585" s="464"/>
    </row>
    <row r="586" spans="2:14" hidden="1" outlineLevel="1" x14ac:dyDescent="0.35">
      <c r="B586" s="203"/>
      <c r="C586" s="204"/>
      <c r="D586" s="204"/>
      <c r="E586" s="204"/>
      <c r="F586" s="205"/>
      <c r="G586" s="548"/>
      <c r="H586" s="550"/>
      <c r="I586" s="326"/>
      <c r="J586" s="326"/>
      <c r="K586" s="326"/>
      <c r="M586" s="463"/>
      <c r="N586" s="464"/>
    </row>
    <row r="587" spans="2:14" hidden="1" outlineLevel="1" x14ac:dyDescent="0.35">
      <c r="B587" s="203"/>
      <c r="C587" s="204"/>
      <c r="D587" s="204"/>
      <c r="E587" s="204"/>
      <c r="F587" s="205"/>
      <c r="G587" s="548"/>
      <c r="H587" s="550"/>
      <c r="I587" s="326"/>
      <c r="J587" s="326"/>
      <c r="K587" s="326"/>
      <c r="M587" s="463"/>
      <c r="N587" s="464"/>
    </row>
    <row r="588" spans="2:14" hidden="1" outlineLevel="1" x14ac:dyDescent="0.35">
      <c r="B588" s="203"/>
      <c r="C588" s="204"/>
      <c r="D588" s="204"/>
      <c r="E588" s="204"/>
      <c r="F588" s="205"/>
      <c r="G588" s="548"/>
      <c r="H588" s="550"/>
      <c r="I588" s="326"/>
      <c r="J588" s="326"/>
      <c r="K588" s="326"/>
      <c r="M588" s="463"/>
      <c r="N588" s="464"/>
    </row>
    <row r="589" spans="2:14" hidden="1" outlineLevel="1" x14ac:dyDescent="0.35">
      <c r="B589" s="203"/>
      <c r="C589" s="204"/>
      <c r="D589" s="204"/>
      <c r="E589" s="204"/>
      <c r="F589" s="205"/>
      <c r="G589" s="548"/>
      <c r="H589" s="550"/>
      <c r="I589" s="326"/>
      <c r="J589" s="326"/>
      <c r="K589" s="326"/>
      <c r="M589" s="463"/>
      <c r="N589" s="464"/>
    </row>
    <row r="590" spans="2:14" hidden="1" outlineLevel="1" x14ac:dyDescent="0.35">
      <c r="B590" s="203"/>
      <c r="C590" s="204"/>
      <c r="D590" s="204"/>
      <c r="E590" s="204"/>
      <c r="F590" s="205"/>
      <c r="G590" s="548"/>
      <c r="H590" s="550"/>
      <c r="I590" s="326"/>
      <c r="J590" s="326"/>
      <c r="K590" s="326"/>
      <c r="M590" s="463"/>
      <c r="N590" s="464"/>
    </row>
    <row r="591" spans="2:14" hidden="1" outlineLevel="1" x14ac:dyDescent="0.35">
      <c r="B591" s="203"/>
      <c r="C591" s="204"/>
      <c r="D591" s="204"/>
      <c r="E591" s="204"/>
      <c r="F591" s="205"/>
      <c r="G591" s="548"/>
      <c r="H591" s="550"/>
      <c r="I591" s="326"/>
      <c r="J591" s="326"/>
      <c r="K591" s="326"/>
      <c r="M591" s="463"/>
      <c r="N591" s="464"/>
    </row>
    <row r="592" spans="2:14" hidden="1" outlineLevel="1" x14ac:dyDescent="0.35">
      <c r="B592" s="203"/>
      <c r="C592" s="204"/>
      <c r="D592" s="204"/>
      <c r="E592" s="204"/>
      <c r="F592" s="205"/>
      <c r="G592" s="548"/>
      <c r="H592" s="550"/>
      <c r="I592" s="326"/>
      <c r="J592" s="326"/>
      <c r="K592" s="326"/>
      <c r="M592" s="463"/>
      <c r="N592" s="464"/>
    </row>
    <row r="593" spans="2:14" hidden="1" outlineLevel="1" x14ac:dyDescent="0.35">
      <c r="B593" s="203"/>
      <c r="C593" s="204"/>
      <c r="D593" s="204"/>
      <c r="E593" s="204"/>
      <c r="F593" s="205"/>
      <c r="G593" s="548"/>
      <c r="H593" s="550"/>
      <c r="I593" s="326"/>
      <c r="J593" s="326"/>
      <c r="K593" s="326"/>
      <c r="M593" s="463"/>
      <c r="N593" s="464"/>
    </row>
    <row r="594" spans="2:14" hidden="1" outlineLevel="1" x14ac:dyDescent="0.35">
      <c r="B594" s="203"/>
      <c r="C594" s="204"/>
      <c r="D594" s="204"/>
      <c r="E594" s="204"/>
      <c r="F594" s="205"/>
      <c r="G594" s="548"/>
      <c r="H594" s="550"/>
      <c r="I594" s="326"/>
      <c r="J594" s="326"/>
      <c r="K594" s="326"/>
      <c r="M594" s="463"/>
      <c r="N594" s="464"/>
    </row>
    <row r="595" spans="2:14" hidden="1" outlineLevel="1" x14ac:dyDescent="0.35">
      <c r="B595" s="203"/>
      <c r="C595" s="204"/>
      <c r="D595" s="204"/>
      <c r="E595" s="204"/>
      <c r="F595" s="205"/>
      <c r="G595" s="548"/>
      <c r="H595" s="550"/>
      <c r="I595" s="326"/>
      <c r="J595" s="326"/>
      <c r="K595" s="326"/>
      <c r="M595" s="463"/>
      <c r="N595" s="464"/>
    </row>
    <row r="596" spans="2:14" hidden="1" outlineLevel="1" x14ac:dyDescent="0.35">
      <c r="B596" s="203"/>
      <c r="C596" s="204"/>
      <c r="D596" s="204"/>
      <c r="E596" s="204"/>
      <c r="F596" s="205"/>
      <c r="G596" s="548"/>
      <c r="H596" s="550"/>
      <c r="I596" s="326"/>
      <c r="J596" s="326"/>
      <c r="K596" s="326"/>
      <c r="M596" s="463"/>
      <c r="N596" s="464"/>
    </row>
    <row r="597" spans="2:14" hidden="1" outlineLevel="1" x14ac:dyDescent="0.35">
      <c r="B597" s="203"/>
      <c r="C597" s="204"/>
      <c r="D597" s="204"/>
      <c r="E597" s="204"/>
      <c r="F597" s="205"/>
      <c r="G597" s="548"/>
      <c r="H597" s="550"/>
      <c r="I597" s="326"/>
      <c r="J597" s="326"/>
      <c r="K597" s="326"/>
      <c r="M597" s="463"/>
      <c r="N597" s="464"/>
    </row>
    <row r="598" spans="2:14" hidden="1" outlineLevel="1" x14ac:dyDescent="0.35">
      <c r="B598" s="203"/>
      <c r="C598" s="204"/>
      <c r="D598" s="204"/>
      <c r="E598" s="204"/>
      <c r="F598" s="205"/>
      <c r="G598" s="548"/>
      <c r="H598" s="550"/>
      <c r="I598" s="326"/>
      <c r="J598" s="326"/>
      <c r="K598" s="326"/>
      <c r="M598" s="463"/>
      <c r="N598" s="464"/>
    </row>
    <row r="599" spans="2:14" hidden="1" outlineLevel="1" x14ac:dyDescent="0.35">
      <c r="B599" s="203"/>
      <c r="C599" s="204"/>
      <c r="D599" s="204"/>
      <c r="E599" s="204"/>
      <c r="F599" s="205"/>
      <c r="G599" s="548"/>
      <c r="H599" s="550"/>
      <c r="I599" s="326"/>
      <c r="J599" s="326"/>
      <c r="K599" s="326"/>
      <c r="M599" s="463"/>
      <c r="N599" s="464"/>
    </row>
    <row r="600" spans="2:14" hidden="1" outlineLevel="1" x14ac:dyDescent="0.35">
      <c r="B600" s="203"/>
      <c r="C600" s="204"/>
      <c r="D600" s="204"/>
      <c r="E600" s="204"/>
      <c r="F600" s="205"/>
      <c r="G600" s="548"/>
      <c r="H600" s="550"/>
      <c r="I600" s="326"/>
      <c r="J600" s="326"/>
      <c r="K600" s="326"/>
      <c r="M600" s="463"/>
      <c r="N600" s="464"/>
    </row>
    <row r="601" spans="2:14" hidden="1" outlineLevel="1" x14ac:dyDescent="0.35">
      <c r="B601" s="203"/>
      <c r="C601" s="204"/>
      <c r="D601" s="204"/>
      <c r="E601" s="204"/>
      <c r="F601" s="205"/>
      <c r="G601" s="548"/>
      <c r="H601" s="550"/>
      <c r="I601" s="326"/>
      <c r="J601" s="326"/>
      <c r="K601" s="326"/>
      <c r="M601" s="463"/>
      <c r="N601" s="464"/>
    </row>
    <row r="602" spans="2:14" hidden="1" outlineLevel="1" x14ac:dyDescent="0.35">
      <c r="B602" s="203"/>
      <c r="C602" s="204"/>
      <c r="D602" s="204"/>
      <c r="E602" s="204"/>
      <c r="F602" s="205"/>
      <c r="G602" s="548"/>
      <c r="H602" s="550"/>
      <c r="I602" s="326"/>
      <c r="J602" s="326"/>
      <c r="K602" s="326"/>
      <c r="M602" s="463"/>
      <c r="N602" s="464"/>
    </row>
    <row r="603" spans="2:14" hidden="1" outlineLevel="1" x14ac:dyDescent="0.35">
      <c r="B603" s="203"/>
      <c r="C603" s="204"/>
      <c r="D603" s="204"/>
      <c r="E603" s="204"/>
      <c r="F603" s="205"/>
      <c r="G603" s="548"/>
      <c r="H603" s="550"/>
      <c r="I603" s="326"/>
      <c r="J603" s="326"/>
      <c r="K603" s="326"/>
      <c r="M603" s="463"/>
      <c r="N603" s="464"/>
    </row>
    <row r="604" spans="2:14" hidden="1" outlineLevel="1" x14ac:dyDescent="0.35">
      <c r="B604" s="203"/>
      <c r="C604" s="204"/>
      <c r="D604" s="204"/>
      <c r="E604" s="204"/>
      <c r="F604" s="205"/>
      <c r="G604" s="548"/>
      <c r="H604" s="550"/>
      <c r="I604" s="326"/>
      <c r="J604" s="326"/>
      <c r="K604" s="326"/>
      <c r="M604" s="463"/>
      <c r="N604" s="464"/>
    </row>
    <row r="605" spans="2:14" hidden="1" outlineLevel="1" x14ac:dyDescent="0.35">
      <c r="B605" s="203"/>
      <c r="C605" s="204"/>
      <c r="D605" s="204"/>
      <c r="E605" s="204"/>
      <c r="F605" s="205"/>
      <c r="G605" s="548"/>
      <c r="H605" s="550"/>
      <c r="I605" s="326"/>
      <c r="J605" s="326"/>
      <c r="K605" s="326"/>
      <c r="M605" s="463"/>
      <c r="N605" s="464"/>
    </row>
    <row r="606" spans="2:14" hidden="1" outlineLevel="1" x14ac:dyDescent="0.35">
      <c r="B606" s="203"/>
      <c r="C606" s="204"/>
      <c r="D606" s="204"/>
      <c r="E606" s="204"/>
      <c r="F606" s="205"/>
      <c r="G606" s="548"/>
      <c r="H606" s="550"/>
      <c r="I606" s="326"/>
      <c r="J606" s="326"/>
      <c r="K606" s="326"/>
      <c r="M606" s="463"/>
      <c r="N606" s="464"/>
    </row>
    <row r="607" spans="2:14" hidden="1" outlineLevel="1" x14ac:dyDescent="0.35">
      <c r="B607" s="203"/>
      <c r="C607" s="204"/>
      <c r="D607" s="204"/>
      <c r="E607" s="204"/>
      <c r="F607" s="205"/>
      <c r="G607" s="548"/>
      <c r="H607" s="550"/>
      <c r="I607" s="326"/>
      <c r="J607" s="326"/>
      <c r="K607" s="326"/>
      <c r="M607" s="463"/>
      <c r="N607" s="464"/>
    </row>
    <row r="608" spans="2:14" hidden="1" outlineLevel="1" x14ac:dyDescent="0.35">
      <c r="B608" s="203"/>
      <c r="C608" s="204"/>
      <c r="D608" s="204"/>
      <c r="E608" s="204"/>
      <c r="F608" s="205"/>
      <c r="G608" s="548"/>
      <c r="H608" s="550"/>
      <c r="I608" s="326"/>
      <c r="J608" s="326"/>
      <c r="K608" s="326"/>
      <c r="M608" s="463"/>
      <c r="N608" s="464"/>
    </row>
    <row r="609" spans="2:14" hidden="1" outlineLevel="1" x14ac:dyDescent="0.35">
      <c r="B609" s="203"/>
      <c r="C609" s="204"/>
      <c r="D609" s="204"/>
      <c r="E609" s="204"/>
      <c r="F609" s="205"/>
      <c r="G609" s="548"/>
      <c r="H609" s="550"/>
      <c r="I609" s="326"/>
      <c r="J609" s="326"/>
      <c r="K609" s="326"/>
      <c r="M609" s="463"/>
      <c r="N609" s="464"/>
    </row>
    <row r="610" spans="2:14" hidden="1" outlineLevel="1" x14ac:dyDescent="0.35">
      <c r="B610" s="203"/>
      <c r="C610" s="204"/>
      <c r="D610" s="204"/>
      <c r="E610" s="204"/>
      <c r="F610" s="205"/>
      <c r="G610" s="548"/>
      <c r="H610" s="550"/>
      <c r="I610" s="326"/>
      <c r="J610" s="326"/>
      <c r="K610" s="326"/>
      <c r="M610" s="463"/>
      <c r="N610" s="464"/>
    </row>
    <row r="611" spans="2:14" hidden="1" outlineLevel="1" x14ac:dyDescent="0.35">
      <c r="B611" s="203"/>
      <c r="C611" s="204"/>
      <c r="D611" s="204"/>
      <c r="E611" s="204"/>
      <c r="F611" s="205"/>
      <c r="G611" s="548"/>
      <c r="H611" s="550"/>
      <c r="I611" s="326"/>
      <c r="J611" s="326"/>
      <c r="K611" s="326"/>
      <c r="M611" s="463"/>
      <c r="N611" s="464"/>
    </row>
    <row r="612" spans="2:14" hidden="1" outlineLevel="1" x14ac:dyDescent="0.35">
      <c r="B612" s="203"/>
      <c r="C612" s="204"/>
      <c r="D612" s="204"/>
      <c r="E612" s="204"/>
      <c r="F612" s="205"/>
      <c r="G612" s="548"/>
      <c r="H612" s="550"/>
      <c r="I612" s="326"/>
      <c r="J612" s="326"/>
      <c r="K612" s="326"/>
      <c r="M612" s="463"/>
      <c r="N612" s="464"/>
    </row>
    <row r="613" spans="2:14" hidden="1" outlineLevel="1" x14ac:dyDescent="0.35">
      <c r="B613" s="203"/>
      <c r="C613" s="204"/>
      <c r="D613" s="204"/>
      <c r="E613" s="204"/>
      <c r="F613" s="205"/>
      <c r="G613" s="548"/>
      <c r="H613" s="550"/>
      <c r="I613" s="326"/>
      <c r="J613" s="326"/>
      <c r="K613" s="326"/>
      <c r="M613" s="463"/>
      <c r="N613" s="464"/>
    </row>
    <row r="614" spans="2:14" hidden="1" outlineLevel="1" x14ac:dyDescent="0.35">
      <c r="B614" s="203"/>
      <c r="C614" s="204"/>
      <c r="D614" s="204"/>
      <c r="E614" s="204"/>
      <c r="F614" s="205"/>
      <c r="G614" s="548"/>
      <c r="H614" s="550"/>
      <c r="I614" s="326"/>
      <c r="J614" s="326"/>
      <c r="K614" s="326"/>
      <c r="M614" s="463"/>
      <c r="N614" s="464"/>
    </row>
    <row r="615" spans="2:14" hidden="1" outlineLevel="1" x14ac:dyDescent="0.35">
      <c r="B615" s="203"/>
      <c r="C615" s="204"/>
      <c r="D615" s="204"/>
      <c r="E615" s="204"/>
      <c r="F615" s="205"/>
      <c r="G615" s="548"/>
      <c r="H615" s="550"/>
      <c r="I615" s="326"/>
      <c r="J615" s="326"/>
      <c r="K615" s="326"/>
      <c r="M615" s="463"/>
      <c r="N615" s="464"/>
    </row>
    <row r="616" spans="2:14" hidden="1" outlineLevel="1" x14ac:dyDescent="0.35">
      <c r="B616" s="203"/>
      <c r="C616" s="204"/>
      <c r="D616" s="204"/>
      <c r="E616" s="204"/>
      <c r="F616" s="205"/>
      <c r="G616" s="548"/>
      <c r="H616" s="550"/>
      <c r="I616" s="326"/>
      <c r="J616" s="326"/>
      <c r="K616" s="326"/>
      <c r="M616" s="463"/>
      <c r="N616" s="464"/>
    </row>
    <row r="617" spans="2:14" hidden="1" outlineLevel="1" x14ac:dyDescent="0.35">
      <c r="B617" s="203"/>
      <c r="C617" s="204"/>
      <c r="D617" s="204"/>
      <c r="E617" s="204"/>
      <c r="F617" s="205"/>
      <c r="G617" s="548"/>
      <c r="H617" s="550"/>
      <c r="I617" s="326"/>
      <c r="J617" s="326"/>
      <c r="K617" s="326"/>
      <c r="M617" s="463"/>
      <c r="N617" s="464"/>
    </row>
    <row r="618" spans="2:14" hidden="1" outlineLevel="1" x14ac:dyDescent="0.35">
      <c r="B618" s="203"/>
      <c r="C618" s="204"/>
      <c r="D618" s="204"/>
      <c r="E618" s="204"/>
      <c r="F618" s="205"/>
      <c r="G618" s="548"/>
      <c r="H618" s="550"/>
      <c r="I618" s="326"/>
      <c r="J618" s="326"/>
      <c r="K618" s="326"/>
      <c r="M618" s="463"/>
      <c r="N618" s="464"/>
    </row>
    <row r="619" spans="2:14" hidden="1" outlineLevel="1" x14ac:dyDescent="0.35">
      <c r="B619" s="203"/>
      <c r="C619" s="204"/>
      <c r="D619" s="204"/>
      <c r="E619" s="204"/>
      <c r="F619" s="205"/>
      <c r="G619" s="548"/>
      <c r="H619" s="550"/>
      <c r="I619" s="326"/>
      <c r="J619" s="326"/>
      <c r="K619" s="326"/>
      <c r="M619" s="463"/>
      <c r="N619" s="464"/>
    </row>
    <row r="620" spans="2:14" hidden="1" outlineLevel="1" x14ac:dyDescent="0.35">
      <c r="B620" s="203"/>
      <c r="C620" s="204"/>
      <c r="D620" s="204"/>
      <c r="E620" s="204"/>
      <c r="F620" s="205"/>
      <c r="G620" s="548"/>
      <c r="H620" s="550"/>
      <c r="I620" s="326"/>
      <c r="J620" s="326"/>
      <c r="K620" s="326"/>
      <c r="M620" s="463"/>
      <c r="N620" s="464"/>
    </row>
    <row r="621" spans="2:14" hidden="1" outlineLevel="1" x14ac:dyDescent="0.35">
      <c r="B621" s="203"/>
      <c r="C621" s="204"/>
      <c r="D621" s="204"/>
      <c r="E621" s="204"/>
      <c r="F621" s="205"/>
      <c r="G621" s="548"/>
      <c r="H621" s="550"/>
      <c r="I621" s="326"/>
      <c r="J621" s="326"/>
      <c r="K621" s="326"/>
      <c r="M621" s="463"/>
      <c r="N621" s="464"/>
    </row>
    <row r="622" spans="2:14" hidden="1" outlineLevel="1" x14ac:dyDescent="0.35">
      <c r="B622" s="203"/>
      <c r="C622" s="204"/>
      <c r="D622" s="204"/>
      <c r="E622" s="204"/>
      <c r="F622" s="205"/>
      <c r="G622" s="548"/>
      <c r="H622" s="550"/>
      <c r="I622" s="326"/>
      <c r="J622" s="326"/>
      <c r="K622" s="326"/>
      <c r="M622" s="463"/>
      <c r="N622" s="464"/>
    </row>
    <row r="623" spans="2:14" hidden="1" outlineLevel="1" x14ac:dyDescent="0.35">
      <c r="B623" s="203"/>
      <c r="C623" s="204"/>
      <c r="D623" s="204"/>
      <c r="E623" s="204"/>
      <c r="F623" s="205"/>
      <c r="G623" s="548"/>
      <c r="H623" s="550"/>
      <c r="I623" s="326"/>
      <c r="J623" s="326"/>
      <c r="K623" s="326"/>
      <c r="M623" s="463"/>
      <c r="N623" s="464"/>
    </row>
    <row r="624" spans="2:14" hidden="1" outlineLevel="1" x14ac:dyDescent="0.35">
      <c r="B624" s="203"/>
      <c r="C624" s="204"/>
      <c r="D624" s="204"/>
      <c r="E624" s="204"/>
      <c r="F624" s="205"/>
      <c r="G624" s="548"/>
      <c r="H624" s="550"/>
      <c r="I624" s="326"/>
      <c r="J624" s="326"/>
      <c r="K624" s="326"/>
      <c r="M624" s="463"/>
      <c r="N624" s="464"/>
    </row>
    <row r="625" spans="2:14" hidden="1" outlineLevel="1" x14ac:dyDescent="0.35">
      <c r="B625" s="203"/>
      <c r="C625" s="204"/>
      <c r="D625" s="204"/>
      <c r="E625" s="204"/>
      <c r="F625" s="205"/>
      <c r="G625" s="548"/>
      <c r="H625" s="550"/>
      <c r="I625" s="326"/>
      <c r="J625" s="326"/>
      <c r="K625" s="326"/>
      <c r="M625" s="463"/>
      <c r="N625" s="464"/>
    </row>
    <row r="626" spans="2:14" hidden="1" outlineLevel="1" x14ac:dyDescent="0.35">
      <c r="B626" s="203"/>
      <c r="C626" s="204"/>
      <c r="D626" s="204"/>
      <c r="E626" s="204"/>
      <c r="F626" s="205"/>
      <c r="G626" s="548"/>
      <c r="H626" s="550"/>
      <c r="I626" s="326"/>
      <c r="J626" s="326"/>
      <c r="K626" s="326"/>
      <c r="M626" s="463"/>
      <c r="N626" s="464"/>
    </row>
    <row r="627" spans="2:14" hidden="1" outlineLevel="1" x14ac:dyDescent="0.35">
      <c r="B627" s="203"/>
      <c r="C627" s="204"/>
      <c r="D627" s="204"/>
      <c r="E627" s="204"/>
      <c r="F627" s="205"/>
      <c r="G627" s="548"/>
      <c r="H627" s="550"/>
      <c r="I627" s="326"/>
      <c r="J627" s="326"/>
      <c r="K627" s="326"/>
      <c r="M627" s="463"/>
      <c r="N627" s="464"/>
    </row>
    <row r="628" spans="2:14" hidden="1" outlineLevel="1" x14ac:dyDescent="0.35">
      <c r="B628" s="203"/>
      <c r="C628" s="204"/>
      <c r="D628" s="204"/>
      <c r="E628" s="204"/>
      <c r="F628" s="205"/>
      <c r="G628" s="548"/>
      <c r="H628" s="550"/>
      <c r="I628" s="326"/>
      <c r="J628" s="326"/>
      <c r="K628" s="326"/>
      <c r="M628" s="463"/>
      <c r="N628" s="464"/>
    </row>
    <row r="629" spans="2:14" hidden="1" outlineLevel="1" x14ac:dyDescent="0.35">
      <c r="B629" s="203"/>
      <c r="C629" s="204"/>
      <c r="D629" s="204"/>
      <c r="E629" s="204"/>
      <c r="F629" s="205"/>
      <c r="G629" s="548"/>
      <c r="H629" s="550"/>
      <c r="I629" s="326"/>
      <c r="J629" s="326"/>
      <c r="K629" s="326"/>
      <c r="M629" s="463"/>
      <c r="N629" s="464"/>
    </row>
    <row r="630" spans="2:14" hidden="1" outlineLevel="1" x14ac:dyDescent="0.35">
      <c r="B630" s="203"/>
      <c r="C630" s="204"/>
      <c r="D630" s="204"/>
      <c r="E630" s="204"/>
      <c r="F630" s="205"/>
      <c r="G630" s="548"/>
      <c r="H630" s="550"/>
      <c r="I630" s="326"/>
      <c r="J630" s="326"/>
      <c r="K630" s="326"/>
      <c r="M630" s="463"/>
      <c r="N630" s="464"/>
    </row>
    <row r="631" spans="2:14" hidden="1" outlineLevel="1" x14ac:dyDescent="0.35">
      <c r="B631" s="203"/>
      <c r="C631" s="204"/>
      <c r="D631" s="204"/>
      <c r="E631" s="204"/>
      <c r="F631" s="205"/>
      <c r="G631" s="548"/>
      <c r="H631" s="550"/>
      <c r="I631" s="326"/>
      <c r="J631" s="326"/>
      <c r="K631" s="326"/>
      <c r="M631" s="463"/>
      <c r="N631" s="464"/>
    </row>
    <row r="632" spans="2:14" hidden="1" outlineLevel="1" x14ac:dyDescent="0.35">
      <c r="B632" s="203"/>
      <c r="C632" s="204"/>
      <c r="D632" s="204"/>
      <c r="E632" s="204"/>
      <c r="F632" s="205"/>
      <c r="G632" s="548"/>
      <c r="H632" s="550"/>
      <c r="I632" s="326"/>
      <c r="J632" s="326"/>
      <c r="K632" s="326"/>
      <c r="M632" s="463"/>
      <c r="N632" s="464"/>
    </row>
    <row r="633" spans="2:14" hidden="1" outlineLevel="1" x14ac:dyDescent="0.35">
      <c r="B633" s="203"/>
      <c r="C633" s="204"/>
      <c r="D633" s="204"/>
      <c r="E633" s="204"/>
      <c r="F633" s="205"/>
      <c r="G633" s="548"/>
      <c r="H633" s="550"/>
      <c r="I633" s="326"/>
      <c r="J633" s="326"/>
      <c r="K633" s="326"/>
      <c r="M633" s="463"/>
      <c r="N633" s="464"/>
    </row>
    <row r="634" spans="2:14" hidden="1" outlineLevel="1" x14ac:dyDescent="0.35">
      <c r="B634" s="203"/>
      <c r="C634" s="204"/>
      <c r="D634" s="204"/>
      <c r="E634" s="204"/>
      <c r="F634" s="205"/>
      <c r="G634" s="548"/>
      <c r="H634" s="550"/>
      <c r="I634" s="326"/>
      <c r="J634" s="326"/>
      <c r="K634" s="326"/>
      <c r="M634" s="463"/>
      <c r="N634" s="464"/>
    </row>
    <row r="635" spans="2:14" hidden="1" outlineLevel="1" x14ac:dyDescent="0.35">
      <c r="B635" s="203"/>
      <c r="C635" s="204"/>
      <c r="D635" s="204"/>
      <c r="E635" s="204"/>
      <c r="F635" s="205"/>
      <c r="G635" s="548"/>
      <c r="H635" s="550"/>
      <c r="I635" s="326"/>
      <c r="J635" s="326"/>
      <c r="K635" s="326"/>
      <c r="M635" s="463"/>
      <c r="N635" s="464"/>
    </row>
    <row r="636" spans="2:14" hidden="1" outlineLevel="1" x14ac:dyDescent="0.35">
      <c r="B636" s="203"/>
      <c r="C636" s="204"/>
      <c r="D636" s="204"/>
      <c r="E636" s="204"/>
      <c r="F636" s="205"/>
      <c r="G636" s="548"/>
      <c r="H636" s="550"/>
      <c r="I636" s="326"/>
      <c r="J636" s="326"/>
      <c r="K636" s="326"/>
      <c r="M636" s="463"/>
      <c r="N636" s="464"/>
    </row>
    <row r="637" spans="2:14" hidden="1" outlineLevel="1" x14ac:dyDescent="0.35">
      <c r="B637" s="203"/>
      <c r="C637" s="204"/>
      <c r="D637" s="204"/>
      <c r="E637" s="204"/>
      <c r="F637" s="205"/>
      <c r="G637" s="548"/>
      <c r="H637" s="550"/>
      <c r="I637" s="326"/>
      <c r="J637" s="326"/>
      <c r="K637" s="326"/>
      <c r="M637" s="463"/>
      <c r="N637" s="464"/>
    </row>
    <row r="638" spans="2:14" hidden="1" outlineLevel="1" x14ac:dyDescent="0.35">
      <c r="B638" s="203"/>
      <c r="C638" s="204"/>
      <c r="D638" s="204"/>
      <c r="E638" s="204"/>
      <c r="F638" s="205"/>
      <c r="G638" s="548"/>
      <c r="H638" s="550"/>
      <c r="I638" s="326"/>
      <c r="J638" s="326"/>
      <c r="K638" s="326"/>
      <c r="M638" s="463"/>
      <c r="N638" s="464"/>
    </row>
    <row r="639" spans="2:14" hidden="1" outlineLevel="1" x14ac:dyDescent="0.35">
      <c r="B639" s="203"/>
      <c r="C639" s="204"/>
      <c r="D639" s="204"/>
      <c r="E639" s="204"/>
      <c r="F639" s="205"/>
      <c r="G639" s="548"/>
      <c r="H639" s="550"/>
      <c r="I639" s="326"/>
      <c r="J639" s="326"/>
      <c r="K639" s="326"/>
      <c r="M639" s="463"/>
      <c r="N639" s="464"/>
    </row>
    <row r="640" spans="2:14" hidden="1" outlineLevel="1" x14ac:dyDescent="0.35">
      <c r="B640" s="203"/>
      <c r="C640" s="204"/>
      <c r="D640" s="204"/>
      <c r="E640" s="204"/>
      <c r="F640" s="205"/>
      <c r="G640" s="548"/>
      <c r="H640" s="550"/>
      <c r="I640" s="326"/>
      <c r="J640" s="326"/>
      <c r="K640" s="326"/>
      <c r="M640" s="463"/>
      <c r="N640" s="464"/>
    </row>
    <row r="641" spans="2:14" hidden="1" outlineLevel="1" x14ac:dyDescent="0.35">
      <c r="B641" s="203"/>
      <c r="C641" s="204"/>
      <c r="D641" s="204"/>
      <c r="E641" s="204"/>
      <c r="F641" s="205"/>
      <c r="G641" s="548"/>
      <c r="H641" s="550"/>
      <c r="I641" s="326"/>
      <c r="J641" s="326"/>
      <c r="K641" s="326"/>
      <c r="M641" s="463"/>
      <c r="N641" s="464"/>
    </row>
    <row r="642" spans="2:14" hidden="1" outlineLevel="1" x14ac:dyDescent="0.35">
      <c r="B642" s="203"/>
      <c r="C642" s="204"/>
      <c r="D642" s="204"/>
      <c r="E642" s="204"/>
      <c r="F642" s="205"/>
      <c r="G642" s="548"/>
      <c r="H642" s="550"/>
      <c r="I642" s="326"/>
      <c r="J642" s="326"/>
      <c r="K642" s="326"/>
      <c r="M642" s="463"/>
      <c r="N642" s="464"/>
    </row>
    <row r="643" spans="2:14" hidden="1" outlineLevel="1" x14ac:dyDescent="0.35">
      <c r="B643" s="203"/>
      <c r="C643" s="204"/>
      <c r="D643" s="204"/>
      <c r="E643" s="204"/>
      <c r="F643" s="205"/>
      <c r="G643" s="548"/>
      <c r="H643" s="550"/>
      <c r="I643" s="326"/>
      <c r="J643" s="326"/>
      <c r="K643" s="326"/>
      <c r="M643" s="463"/>
      <c r="N643" s="464"/>
    </row>
    <row r="644" spans="2:14" hidden="1" outlineLevel="1" x14ac:dyDescent="0.35">
      <c r="B644" s="203"/>
      <c r="C644" s="204"/>
      <c r="D644" s="204"/>
      <c r="E644" s="204"/>
      <c r="F644" s="205"/>
      <c r="G644" s="548"/>
      <c r="H644" s="550"/>
      <c r="I644" s="326"/>
      <c r="J644" s="326"/>
      <c r="K644" s="326"/>
      <c r="M644" s="463"/>
      <c r="N644" s="464"/>
    </row>
    <row r="645" spans="2:14" hidden="1" outlineLevel="1" x14ac:dyDescent="0.35">
      <c r="B645" s="203"/>
      <c r="C645" s="204"/>
      <c r="D645" s="204"/>
      <c r="E645" s="204"/>
      <c r="F645" s="205"/>
      <c r="G645" s="548"/>
      <c r="H645" s="550"/>
      <c r="I645" s="326"/>
      <c r="J645" s="326"/>
      <c r="K645" s="326"/>
      <c r="M645" s="463"/>
      <c r="N645" s="464"/>
    </row>
    <row r="646" spans="2:14" hidden="1" outlineLevel="1" x14ac:dyDescent="0.35">
      <c r="B646" s="203"/>
      <c r="C646" s="204"/>
      <c r="D646" s="204"/>
      <c r="E646" s="204"/>
      <c r="F646" s="205"/>
      <c r="G646" s="548"/>
      <c r="H646" s="550"/>
      <c r="I646" s="326"/>
      <c r="J646" s="326"/>
      <c r="K646" s="326"/>
      <c r="M646" s="463"/>
      <c r="N646" s="464"/>
    </row>
    <row r="647" spans="2:14" hidden="1" outlineLevel="1" x14ac:dyDescent="0.35">
      <c r="B647" s="203"/>
      <c r="C647" s="204"/>
      <c r="D647" s="204"/>
      <c r="E647" s="204"/>
      <c r="F647" s="205"/>
      <c r="G647" s="548"/>
      <c r="H647" s="550"/>
      <c r="I647" s="326"/>
      <c r="J647" s="326"/>
      <c r="K647" s="326"/>
      <c r="M647" s="463"/>
      <c r="N647" s="464"/>
    </row>
    <row r="648" spans="2:14" hidden="1" outlineLevel="1" x14ac:dyDescent="0.35">
      <c r="B648" s="203"/>
      <c r="C648" s="204"/>
      <c r="D648" s="204"/>
      <c r="E648" s="204"/>
      <c r="F648" s="205"/>
      <c r="G648" s="548"/>
      <c r="H648" s="550"/>
      <c r="I648" s="326"/>
      <c r="J648" s="326"/>
      <c r="K648" s="326"/>
      <c r="M648" s="463"/>
      <c r="N648" s="464"/>
    </row>
    <row r="649" spans="2:14" hidden="1" outlineLevel="1" x14ac:dyDescent="0.35">
      <c r="B649" s="203"/>
      <c r="C649" s="204"/>
      <c r="D649" s="204"/>
      <c r="E649" s="204"/>
      <c r="F649" s="205"/>
      <c r="G649" s="548"/>
      <c r="H649" s="550"/>
      <c r="I649" s="326"/>
      <c r="J649" s="326"/>
      <c r="K649" s="326"/>
      <c r="M649" s="463"/>
      <c r="N649" s="464"/>
    </row>
    <row r="650" spans="2:14" hidden="1" outlineLevel="1" x14ac:dyDescent="0.35">
      <c r="B650" s="203"/>
      <c r="C650" s="204"/>
      <c r="D650" s="204"/>
      <c r="E650" s="204"/>
      <c r="F650" s="205"/>
      <c r="G650" s="548"/>
      <c r="H650" s="550"/>
      <c r="I650" s="326"/>
      <c r="J650" s="326"/>
      <c r="K650" s="326"/>
      <c r="M650" s="463"/>
      <c r="N650" s="464"/>
    </row>
    <row r="651" spans="2:14" hidden="1" outlineLevel="1" x14ac:dyDescent="0.35">
      <c r="B651" s="203"/>
      <c r="C651" s="204"/>
      <c r="D651" s="204"/>
      <c r="E651" s="204"/>
      <c r="F651" s="205"/>
      <c r="G651" s="548"/>
      <c r="H651" s="550"/>
      <c r="I651" s="326"/>
      <c r="J651" s="326"/>
      <c r="K651" s="326"/>
      <c r="M651" s="463"/>
      <c r="N651" s="464"/>
    </row>
    <row r="652" spans="2:14" hidden="1" outlineLevel="1" x14ac:dyDescent="0.35">
      <c r="B652" s="203"/>
      <c r="C652" s="204"/>
      <c r="D652" s="204"/>
      <c r="E652" s="204"/>
      <c r="F652" s="205"/>
      <c r="G652" s="548"/>
      <c r="H652" s="550"/>
      <c r="I652" s="326"/>
      <c r="J652" s="326"/>
      <c r="K652" s="326"/>
      <c r="M652" s="463"/>
      <c r="N652" s="464"/>
    </row>
    <row r="653" spans="2:14" hidden="1" outlineLevel="1" x14ac:dyDescent="0.35">
      <c r="B653" s="203"/>
      <c r="C653" s="204"/>
      <c r="D653" s="204"/>
      <c r="E653" s="204"/>
      <c r="F653" s="205"/>
      <c r="G653" s="548"/>
      <c r="H653" s="550"/>
      <c r="I653" s="326"/>
      <c r="J653" s="326"/>
      <c r="K653" s="326"/>
      <c r="M653" s="463"/>
      <c r="N653" s="464"/>
    </row>
    <row r="654" spans="2:14" hidden="1" outlineLevel="1" x14ac:dyDescent="0.35">
      <c r="B654" s="203"/>
      <c r="C654" s="204"/>
      <c r="D654" s="204"/>
      <c r="E654" s="204"/>
      <c r="F654" s="205"/>
      <c r="G654" s="548"/>
      <c r="H654" s="550"/>
      <c r="I654" s="326"/>
      <c r="J654" s="326"/>
      <c r="K654" s="326"/>
      <c r="M654" s="463"/>
      <c r="N654" s="464"/>
    </row>
    <row r="655" spans="2:14" hidden="1" outlineLevel="1" x14ac:dyDescent="0.35">
      <c r="B655" s="203"/>
      <c r="C655" s="204"/>
      <c r="D655" s="204"/>
      <c r="E655" s="204"/>
      <c r="F655" s="205"/>
      <c r="G655" s="548"/>
      <c r="H655" s="550"/>
      <c r="I655" s="326"/>
      <c r="J655" s="326"/>
      <c r="K655" s="326"/>
      <c r="M655" s="463"/>
      <c r="N655" s="464"/>
    </row>
    <row r="656" spans="2:14" hidden="1" outlineLevel="1" x14ac:dyDescent="0.35">
      <c r="B656" s="203"/>
      <c r="C656" s="204"/>
      <c r="D656" s="204"/>
      <c r="E656" s="204"/>
      <c r="F656" s="205"/>
      <c r="G656" s="548"/>
      <c r="H656" s="550"/>
      <c r="I656" s="326"/>
      <c r="J656" s="326"/>
      <c r="K656" s="326"/>
      <c r="M656" s="463"/>
      <c r="N656" s="464"/>
    </row>
    <row r="657" spans="2:14" hidden="1" outlineLevel="1" x14ac:dyDescent="0.35">
      <c r="B657" s="203"/>
      <c r="C657" s="204"/>
      <c r="D657" s="204"/>
      <c r="E657" s="204"/>
      <c r="F657" s="205"/>
      <c r="G657" s="548"/>
      <c r="H657" s="550"/>
      <c r="I657" s="326"/>
      <c r="J657" s="326"/>
      <c r="K657" s="326"/>
      <c r="M657" s="463"/>
      <c r="N657" s="464"/>
    </row>
    <row r="658" spans="2:14" hidden="1" outlineLevel="1" x14ac:dyDescent="0.35">
      <c r="B658" s="203"/>
      <c r="C658" s="204"/>
      <c r="D658" s="204"/>
      <c r="E658" s="204"/>
      <c r="F658" s="205"/>
      <c r="G658" s="548"/>
      <c r="H658" s="550"/>
      <c r="I658" s="326"/>
      <c r="J658" s="326"/>
      <c r="K658" s="326"/>
      <c r="M658" s="463"/>
      <c r="N658" s="464"/>
    </row>
    <row r="659" spans="2:14" hidden="1" outlineLevel="1" x14ac:dyDescent="0.35">
      <c r="B659" s="203"/>
      <c r="C659" s="204"/>
      <c r="D659" s="204"/>
      <c r="E659" s="204"/>
      <c r="F659" s="205"/>
      <c r="G659" s="548"/>
      <c r="H659" s="550"/>
      <c r="I659" s="326"/>
      <c r="J659" s="326"/>
      <c r="K659" s="326"/>
      <c r="M659" s="463"/>
      <c r="N659" s="464"/>
    </row>
    <row r="660" spans="2:14" hidden="1" outlineLevel="1" x14ac:dyDescent="0.35">
      <c r="B660" s="203"/>
      <c r="C660" s="204"/>
      <c r="D660" s="204"/>
      <c r="E660" s="204"/>
      <c r="F660" s="205"/>
      <c r="G660" s="548"/>
      <c r="H660" s="550"/>
      <c r="I660" s="326"/>
      <c r="J660" s="326"/>
      <c r="K660" s="326"/>
      <c r="M660" s="463"/>
      <c r="N660" s="464"/>
    </row>
    <row r="661" spans="2:14" hidden="1" outlineLevel="1" x14ac:dyDescent="0.35">
      <c r="B661" s="203"/>
      <c r="C661" s="204"/>
      <c r="D661" s="204"/>
      <c r="E661" s="204"/>
      <c r="F661" s="205"/>
      <c r="G661" s="548"/>
      <c r="H661" s="550"/>
      <c r="I661" s="326"/>
      <c r="J661" s="326"/>
      <c r="K661" s="326"/>
      <c r="M661" s="463"/>
      <c r="N661" s="464"/>
    </row>
    <row r="662" spans="2:14" hidden="1" outlineLevel="1" x14ac:dyDescent="0.35">
      <c r="B662" s="203"/>
      <c r="C662" s="204"/>
      <c r="D662" s="204"/>
      <c r="E662" s="204"/>
      <c r="F662" s="205"/>
      <c r="G662" s="548"/>
      <c r="H662" s="550"/>
      <c r="I662" s="326"/>
      <c r="J662" s="326"/>
      <c r="K662" s="326"/>
      <c r="M662" s="463"/>
      <c r="N662" s="464"/>
    </row>
    <row r="663" spans="2:14" hidden="1" outlineLevel="1" x14ac:dyDescent="0.35">
      <c r="B663" s="203"/>
      <c r="C663" s="204"/>
      <c r="D663" s="204"/>
      <c r="E663" s="204"/>
      <c r="F663" s="205"/>
      <c r="G663" s="548"/>
      <c r="H663" s="550"/>
      <c r="I663" s="326"/>
      <c r="J663" s="326"/>
      <c r="K663" s="326"/>
      <c r="M663" s="463"/>
      <c r="N663" s="464"/>
    </row>
    <row r="664" spans="2:14" hidden="1" outlineLevel="1" x14ac:dyDescent="0.35">
      <c r="B664" s="203"/>
      <c r="C664" s="204"/>
      <c r="D664" s="204"/>
      <c r="E664" s="204"/>
      <c r="F664" s="205"/>
      <c r="G664" s="548"/>
      <c r="H664" s="550"/>
      <c r="I664" s="326"/>
      <c r="J664" s="326"/>
      <c r="K664" s="326"/>
      <c r="M664" s="463"/>
      <c r="N664" s="464"/>
    </row>
    <row r="665" spans="2:14" hidden="1" outlineLevel="1" x14ac:dyDescent="0.35">
      <c r="B665" s="203"/>
      <c r="C665" s="204"/>
      <c r="D665" s="204"/>
      <c r="E665" s="204"/>
      <c r="F665" s="205"/>
      <c r="G665" s="548"/>
      <c r="H665" s="550"/>
      <c r="I665" s="326"/>
      <c r="J665" s="326"/>
      <c r="K665" s="326"/>
      <c r="M665" s="463"/>
      <c r="N665" s="464"/>
    </row>
    <row r="666" spans="2:14" hidden="1" outlineLevel="1" x14ac:dyDescent="0.35">
      <c r="B666" s="203"/>
      <c r="C666" s="204"/>
      <c r="D666" s="204"/>
      <c r="E666" s="204"/>
      <c r="F666" s="205"/>
      <c r="G666" s="548"/>
      <c r="H666" s="550"/>
      <c r="I666" s="326"/>
      <c r="J666" s="326"/>
      <c r="K666" s="326"/>
      <c r="M666" s="463"/>
      <c r="N666" s="464"/>
    </row>
    <row r="667" spans="2:14" hidden="1" outlineLevel="1" x14ac:dyDescent="0.35">
      <c r="B667" s="203"/>
      <c r="C667" s="204"/>
      <c r="D667" s="204"/>
      <c r="E667" s="204"/>
      <c r="F667" s="205"/>
      <c r="G667" s="548"/>
      <c r="H667" s="550"/>
      <c r="I667" s="326"/>
      <c r="J667" s="326"/>
      <c r="K667" s="326"/>
      <c r="M667" s="463"/>
      <c r="N667" s="464"/>
    </row>
    <row r="668" spans="2:14" hidden="1" outlineLevel="1" x14ac:dyDescent="0.35">
      <c r="B668" s="203"/>
      <c r="C668" s="204"/>
      <c r="D668" s="204"/>
      <c r="E668" s="204"/>
      <c r="F668" s="205"/>
      <c r="G668" s="548"/>
      <c r="H668" s="550"/>
      <c r="I668" s="326"/>
      <c r="J668" s="326"/>
      <c r="K668" s="326"/>
      <c r="M668" s="463"/>
      <c r="N668" s="464"/>
    </row>
    <row r="669" spans="2:14" hidden="1" outlineLevel="1" x14ac:dyDescent="0.35">
      <c r="B669" s="203"/>
      <c r="C669" s="204"/>
      <c r="D669" s="204"/>
      <c r="E669" s="204"/>
      <c r="F669" s="205"/>
      <c r="G669" s="548"/>
      <c r="H669" s="550"/>
      <c r="I669" s="326"/>
      <c r="J669" s="326"/>
      <c r="K669" s="326"/>
      <c r="M669" s="463"/>
      <c r="N669" s="464"/>
    </row>
    <row r="670" spans="2:14" hidden="1" outlineLevel="1" x14ac:dyDescent="0.35">
      <c r="B670" s="203"/>
      <c r="C670" s="204"/>
      <c r="D670" s="204"/>
      <c r="E670" s="204"/>
      <c r="F670" s="205"/>
      <c r="G670" s="548"/>
      <c r="H670" s="550"/>
      <c r="I670" s="326"/>
      <c r="J670" s="326"/>
      <c r="K670" s="326"/>
      <c r="M670" s="463"/>
      <c r="N670" s="464"/>
    </row>
    <row r="671" spans="2:14" hidden="1" outlineLevel="1" x14ac:dyDescent="0.35">
      <c r="B671" s="203"/>
      <c r="C671" s="204"/>
      <c r="D671" s="204"/>
      <c r="E671" s="204"/>
      <c r="F671" s="205"/>
      <c r="G671" s="548"/>
      <c r="H671" s="550"/>
      <c r="I671" s="326"/>
      <c r="J671" s="326"/>
      <c r="K671" s="326"/>
      <c r="M671" s="463"/>
      <c r="N671" s="464"/>
    </row>
    <row r="672" spans="2:14" hidden="1" outlineLevel="1" x14ac:dyDescent="0.35">
      <c r="B672" s="203"/>
      <c r="C672" s="204"/>
      <c r="D672" s="204"/>
      <c r="E672" s="204"/>
      <c r="F672" s="205"/>
      <c r="G672" s="548"/>
      <c r="H672" s="550"/>
      <c r="I672" s="326"/>
      <c r="J672" s="326"/>
      <c r="K672" s="326"/>
      <c r="M672" s="463"/>
      <c r="N672" s="464"/>
    </row>
    <row r="673" spans="2:14" hidden="1" outlineLevel="1" x14ac:dyDescent="0.35">
      <c r="B673" s="203"/>
      <c r="C673" s="204"/>
      <c r="D673" s="204"/>
      <c r="E673" s="204"/>
      <c r="F673" s="205"/>
      <c r="G673" s="548"/>
      <c r="H673" s="550"/>
      <c r="I673" s="326"/>
      <c r="J673" s="326"/>
      <c r="K673" s="326"/>
      <c r="M673" s="463"/>
      <c r="N673" s="464"/>
    </row>
    <row r="674" spans="2:14" hidden="1" outlineLevel="1" x14ac:dyDescent="0.35">
      <c r="B674" s="203"/>
      <c r="C674" s="204"/>
      <c r="D674" s="204"/>
      <c r="E674" s="204"/>
      <c r="F674" s="205"/>
      <c r="G674" s="548"/>
      <c r="H674" s="550"/>
      <c r="I674" s="326"/>
      <c r="J674" s="326"/>
      <c r="K674" s="326"/>
      <c r="M674" s="463"/>
      <c r="N674" s="464"/>
    </row>
    <row r="675" spans="2:14" hidden="1" outlineLevel="1" x14ac:dyDescent="0.35">
      <c r="B675" s="203"/>
      <c r="C675" s="204"/>
      <c r="D675" s="204"/>
      <c r="E675" s="204"/>
      <c r="F675" s="205"/>
      <c r="G675" s="548"/>
      <c r="H675" s="550"/>
      <c r="I675" s="326"/>
      <c r="J675" s="326"/>
      <c r="K675" s="326"/>
      <c r="M675" s="463"/>
      <c r="N675" s="464"/>
    </row>
    <row r="676" spans="2:14" hidden="1" outlineLevel="1" x14ac:dyDescent="0.35">
      <c r="B676" s="203"/>
      <c r="C676" s="204"/>
      <c r="D676" s="204"/>
      <c r="E676" s="204"/>
      <c r="F676" s="205"/>
      <c r="G676" s="548"/>
      <c r="H676" s="550"/>
      <c r="I676" s="326"/>
      <c r="J676" s="326"/>
      <c r="K676" s="326"/>
      <c r="M676" s="463"/>
      <c r="N676" s="464"/>
    </row>
    <row r="677" spans="2:14" hidden="1" outlineLevel="1" x14ac:dyDescent="0.35">
      <c r="B677" s="203"/>
      <c r="C677" s="204"/>
      <c r="D677" s="204"/>
      <c r="E677" s="204"/>
      <c r="F677" s="205"/>
      <c r="G677" s="548"/>
      <c r="H677" s="550"/>
      <c r="I677" s="326"/>
      <c r="J677" s="326"/>
      <c r="K677" s="326"/>
      <c r="M677" s="463"/>
      <c r="N677" s="464"/>
    </row>
    <row r="678" spans="2:14" hidden="1" outlineLevel="1" x14ac:dyDescent="0.35">
      <c r="B678" s="203"/>
      <c r="C678" s="204"/>
      <c r="D678" s="204"/>
      <c r="E678" s="204"/>
      <c r="F678" s="205"/>
      <c r="G678" s="548"/>
      <c r="H678" s="550"/>
      <c r="I678" s="326"/>
      <c r="J678" s="326"/>
      <c r="K678" s="326"/>
      <c r="M678" s="463"/>
      <c r="N678" s="464"/>
    </row>
    <row r="679" spans="2:14" hidden="1" outlineLevel="1" x14ac:dyDescent="0.35">
      <c r="B679" s="203"/>
      <c r="C679" s="204"/>
      <c r="D679" s="204"/>
      <c r="E679" s="204"/>
      <c r="F679" s="205"/>
      <c r="G679" s="548"/>
      <c r="H679" s="550"/>
      <c r="I679" s="326"/>
      <c r="J679" s="326"/>
      <c r="K679" s="326"/>
      <c r="M679" s="463"/>
      <c r="N679" s="464"/>
    </row>
    <row r="680" spans="2:14" hidden="1" outlineLevel="1" x14ac:dyDescent="0.35">
      <c r="B680" s="203"/>
      <c r="C680" s="204"/>
      <c r="D680" s="204"/>
      <c r="E680" s="204"/>
      <c r="F680" s="205"/>
      <c r="G680" s="548"/>
      <c r="H680" s="550"/>
      <c r="I680" s="326"/>
      <c r="J680" s="326"/>
      <c r="K680" s="326"/>
      <c r="M680" s="463"/>
      <c r="N680" s="464"/>
    </row>
    <row r="681" spans="2:14" hidden="1" outlineLevel="1" x14ac:dyDescent="0.35">
      <c r="B681" s="203"/>
      <c r="C681" s="204"/>
      <c r="D681" s="204"/>
      <c r="E681" s="204"/>
      <c r="F681" s="205"/>
      <c r="G681" s="548"/>
      <c r="H681" s="550"/>
      <c r="I681" s="326"/>
      <c r="J681" s="326"/>
      <c r="K681" s="326"/>
      <c r="M681" s="463"/>
      <c r="N681" s="464"/>
    </row>
    <row r="682" spans="2:14" hidden="1" outlineLevel="1" x14ac:dyDescent="0.35">
      <c r="B682" s="203"/>
      <c r="C682" s="204"/>
      <c r="D682" s="204"/>
      <c r="E682" s="204"/>
      <c r="F682" s="205"/>
      <c r="G682" s="548"/>
      <c r="H682" s="550"/>
      <c r="I682" s="326"/>
      <c r="J682" s="326"/>
      <c r="K682" s="326"/>
      <c r="M682" s="463"/>
      <c r="N682" s="464"/>
    </row>
    <row r="683" spans="2:14" hidden="1" outlineLevel="1" x14ac:dyDescent="0.35">
      <c r="B683" s="203"/>
      <c r="C683" s="204"/>
      <c r="D683" s="204"/>
      <c r="E683" s="204"/>
      <c r="F683" s="205"/>
      <c r="G683" s="548"/>
      <c r="H683" s="550"/>
      <c r="I683" s="326"/>
      <c r="J683" s="326"/>
      <c r="K683" s="326"/>
      <c r="M683" s="463"/>
      <c r="N683" s="464"/>
    </row>
    <row r="684" spans="2:14" hidden="1" outlineLevel="1" x14ac:dyDescent="0.35">
      <c r="B684" s="203"/>
      <c r="C684" s="204"/>
      <c r="D684" s="204"/>
      <c r="E684" s="204"/>
      <c r="F684" s="205"/>
      <c r="G684" s="548"/>
      <c r="H684" s="550"/>
      <c r="I684" s="326"/>
      <c r="J684" s="326"/>
      <c r="K684" s="326"/>
      <c r="M684" s="463"/>
      <c r="N684" s="464"/>
    </row>
    <row r="685" spans="2:14" hidden="1" outlineLevel="1" x14ac:dyDescent="0.35">
      <c r="B685" s="203"/>
      <c r="C685" s="204"/>
      <c r="D685" s="204"/>
      <c r="E685" s="204"/>
      <c r="F685" s="205"/>
      <c r="G685" s="548"/>
      <c r="H685" s="550"/>
      <c r="I685" s="326"/>
      <c r="J685" s="326"/>
      <c r="K685" s="326"/>
      <c r="M685" s="463"/>
      <c r="N685" s="464"/>
    </row>
    <row r="686" spans="2:14" hidden="1" outlineLevel="1" x14ac:dyDescent="0.35">
      <c r="B686" s="203"/>
      <c r="C686" s="204"/>
      <c r="D686" s="204"/>
      <c r="E686" s="204"/>
      <c r="F686" s="205"/>
      <c r="G686" s="548"/>
      <c r="H686" s="550"/>
      <c r="I686" s="326"/>
      <c r="J686" s="326"/>
      <c r="K686" s="326"/>
      <c r="M686" s="463"/>
      <c r="N686" s="464"/>
    </row>
    <row r="687" spans="2:14" hidden="1" outlineLevel="1" x14ac:dyDescent="0.35">
      <c r="B687" s="203"/>
      <c r="C687" s="204"/>
      <c r="D687" s="204"/>
      <c r="E687" s="204"/>
      <c r="F687" s="205"/>
      <c r="G687" s="548"/>
      <c r="H687" s="550"/>
      <c r="I687" s="326"/>
      <c r="J687" s="326"/>
      <c r="K687" s="326"/>
      <c r="M687" s="463"/>
      <c r="N687" s="464"/>
    </row>
    <row r="688" spans="2:14" hidden="1" outlineLevel="1" x14ac:dyDescent="0.35">
      <c r="B688" s="203"/>
      <c r="C688" s="204"/>
      <c r="D688" s="204"/>
      <c r="E688" s="204"/>
      <c r="F688" s="205"/>
      <c r="G688" s="548"/>
      <c r="H688" s="550"/>
      <c r="I688" s="326"/>
      <c r="J688" s="326"/>
      <c r="K688" s="326"/>
      <c r="M688" s="463"/>
      <c r="N688" s="464"/>
    </row>
    <row r="689" spans="2:14" hidden="1" outlineLevel="1" x14ac:dyDescent="0.35">
      <c r="B689" s="203"/>
      <c r="C689" s="204"/>
      <c r="D689" s="204"/>
      <c r="E689" s="204"/>
      <c r="F689" s="205"/>
      <c r="G689" s="548"/>
      <c r="H689" s="550"/>
      <c r="I689" s="326"/>
      <c r="J689" s="326"/>
      <c r="K689" s="326"/>
      <c r="M689" s="463"/>
      <c r="N689" s="464"/>
    </row>
    <row r="690" spans="2:14" hidden="1" outlineLevel="1" x14ac:dyDescent="0.35">
      <c r="B690" s="203"/>
      <c r="C690" s="204"/>
      <c r="D690" s="204"/>
      <c r="E690" s="204"/>
      <c r="F690" s="205"/>
      <c r="G690" s="548"/>
      <c r="H690" s="550"/>
      <c r="I690" s="326"/>
      <c r="J690" s="326"/>
      <c r="K690" s="326"/>
      <c r="M690" s="463"/>
      <c r="N690" s="464"/>
    </row>
    <row r="691" spans="2:14" hidden="1" outlineLevel="1" x14ac:dyDescent="0.35">
      <c r="B691" s="203"/>
      <c r="C691" s="204"/>
      <c r="D691" s="204"/>
      <c r="E691" s="204"/>
      <c r="F691" s="205"/>
      <c r="G691" s="548"/>
      <c r="H691" s="550"/>
      <c r="I691" s="326"/>
      <c r="J691" s="326"/>
      <c r="K691" s="326"/>
      <c r="M691" s="463"/>
      <c r="N691" s="464"/>
    </row>
    <row r="692" spans="2:14" hidden="1" outlineLevel="1" x14ac:dyDescent="0.35">
      <c r="B692" s="203"/>
      <c r="C692" s="204"/>
      <c r="D692" s="204"/>
      <c r="E692" s="204"/>
      <c r="F692" s="205"/>
      <c r="G692" s="548"/>
      <c r="H692" s="550"/>
      <c r="I692" s="326"/>
      <c r="J692" s="326"/>
      <c r="K692" s="326"/>
      <c r="M692" s="463"/>
      <c r="N692" s="464"/>
    </row>
    <row r="693" spans="2:14" hidden="1" outlineLevel="1" x14ac:dyDescent="0.35">
      <c r="B693" s="203"/>
      <c r="C693" s="204"/>
      <c r="D693" s="204"/>
      <c r="E693" s="204"/>
      <c r="F693" s="205"/>
      <c r="G693" s="548"/>
      <c r="H693" s="550"/>
      <c r="I693" s="326"/>
      <c r="J693" s="326"/>
      <c r="K693" s="326"/>
      <c r="M693" s="463"/>
      <c r="N693" s="464"/>
    </row>
    <row r="694" spans="2:14" hidden="1" outlineLevel="1" x14ac:dyDescent="0.35">
      <c r="B694" s="203"/>
      <c r="C694" s="204"/>
      <c r="D694" s="204"/>
      <c r="E694" s="204"/>
      <c r="F694" s="205"/>
      <c r="G694" s="548"/>
      <c r="H694" s="550"/>
      <c r="I694" s="326"/>
      <c r="J694" s="326"/>
      <c r="K694" s="326"/>
      <c r="M694" s="463"/>
      <c r="N694" s="464"/>
    </row>
    <row r="695" spans="2:14" hidden="1" outlineLevel="1" x14ac:dyDescent="0.35">
      <c r="B695" s="203"/>
      <c r="C695" s="204"/>
      <c r="D695" s="204"/>
      <c r="E695" s="204"/>
      <c r="F695" s="205"/>
      <c r="G695" s="548"/>
      <c r="H695" s="550"/>
      <c r="I695" s="326"/>
      <c r="J695" s="326"/>
      <c r="K695" s="326"/>
      <c r="M695" s="463"/>
      <c r="N695" s="464"/>
    </row>
    <row r="696" spans="2:14" hidden="1" outlineLevel="1" x14ac:dyDescent="0.35">
      <c r="B696" s="203"/>
      <c r="C696" s="204"/>
      <c r="D696" s="204"/>
      <c r="E696" s="204"/>
      <c r="F696" s="205"/>
      <c r="G696" s="548"/>
      <c r="H696" s="550"/>
      <c r="I696" s="326"/>
      <c r="J696" s="326"/>
      <c r="K696" s="326"/>
      <c r="M696" s="463"/>
      <c r="N696" s="464"/>
    </row>
    <row r="697" spans="2:14" hidden="1" outlineLevel="1" x14ac:dyDescent="0.35">
      <c r="B697" s="203"/>
      <c r="C697" s="204"/>
      <c r="D697" s="204"/>
      <c r="E697" s="204"/>
      <c r="F697" s="205"/>
      <c r="G697" s="548"/>
      <c r="H697" s="550"/>
      <c r="I697" s="326"/>
      <c r="J697" s="326"/>
      <c r="K697" s="326"/>
      <c r="M697" s="463"/>
      <c r="N697" s="464"/>
    </row>
    <row r="698" spans="2:14" hidden="1" outlineLevel="1" x14ac:dyDescent="0.35">
      <c r="B698" s="203"/>
      <c r="C698" s="204"/>
      <c r="D698" s="204"/>
      <c r="E698" s="204"/>
      <c r="F698" s="205"/>
      <c r="G698" s="548"/>
      <c r="H698" s="550"/>
      <c r="I698" s="326"/>
      <c r="J698" s="326"/>
      <c r="K698" s="326"/>
      <c r="M698" s="463"/>
      <c r="N698" s="464"/>
    </row>
    <row r="699" spans="2:14" hidden="1" outlineLevel="1" x14ac:dyDescent="0.35">
      <c r="B699" s="203"/>
      <c r="C699" s="204"/>
      <c r="D699" s="204"/>
      <c r="E699" s="204"/>
      <c r="F699" s="205"/>
      <c r="G699" s="548"/>
      <c r="H699" s="550"/>
      <c r="I699" s="326"/>
      <c r="J699" s="326"/>
      <c r="K699" s="326"/>
      <c r="M699" s="463"/>
      <c r="N699" s="464"/>
    </row>
    <row r="700" spans="2:14" hidden="1" outlineLevel="1" x14ac:dyDescent="0.35">
      <c r="B700" s="203"/>
      <c r="C700" s="204"/>
      <c r="D700" s="204"/>
      <c r="E700" s="204"/>
      <c r="F700" s="205"/>
      <c r="G700" s="548"/>
      <c r="H700" s="550"/>
      <c r="I700" s="326"/>
      <c r="J700" s="326"/>
      <c r="K700" s="326"/>
      <c r="M700" s="463"/>
      <c r="N700" s="464"/>
    </row>
    <row r="701" spans="2:14" hidden="1" outlineLevel="1" x14ac:dyDescent="0.35">
      <c r="B701" s="203"/>
      <c r="C701" s="204"/>
      <c r="D701" s="204"/>
      <c r="E701" s="204"/>
      <c r="F701" s="205"/>
      <c r="G701" s="548"/>
      <c r="H701" s="550"/>
      <c r="I701" s="326"/>
      <c r="J701" s="326"/>
      <c r="K701" s="326"/>
      <c r="M701" s="463"/>
      <c r="N701" s="464"/>
    </row>
    <row r="702" spans="2:14" hidden="1" outlineLevel="1" x14ac:dyDescent="0.35">
      <c r="B702" s="203"/>
      <c r="C702" s="204"/>
      <c r="D702" s="204"/>
      <c r="E702" s="204"/>
      <c r="F702" s="205"/>
      <c r="G702" s="548"/>
      <c r="H702" s="550"/>
      <c r="I702" s="326"/>
      <c r="J702" s="326"/>
      <c r="K702" s="326"/>
      <c r="M702" s="463"/>
      <c r="N702" s="464"/>
    </row>
    <row r="703" spans="2:14" hidden="1" outlineLevel="1" x14ac:dyDescent="0.35">
      <c r="B703" s="203"/>
      <c r="C703" s="204"/>
      <c r="D703" s="204"/>
      <c r="E703" s="204"/>
      <c r="F703" s="205"/>
      <c r="G703" s="548"/>
      <c r="H703" s="550"/>
      <c r="I703" s="326"/>
      <c r="J703" s="326"/>
      <c r="K703" s="326"/>
      <c r="M703" s="463"/>
      <c r="N703" s="464"/>
    </row>
    <row r="704" spans="2:14" hidden="1" outlineLevel="1" x14ac:dyDescent="0.35">
      <c r="B704" s="203"/>
      <c r="C704" s="204"/>
      <c r="D704" s="204"/>
      <c r="E704" s="204"/>
      <c r="F704" s="205"/>
      <c r="G704" s="548"/>
      <c r="H704" s="550"/>
      <c r="I704" s="326"/>
      <c r="J704" s="326"/>
      <c r="K704" s="326"/>
      <c r="M704" s="463"/>
      <c r="N704" s="464"/>
    </row>
    <row r="705" spans="2:14" hidden="1" outlineLevel="1" x14ac:dyDescent="0.35">
      <c r="B705" s="203"/>
      <c r="C705" s="204"/>
      <c r="D705" s="204"/>
      <c r="E705" s="204"/>
      <c r="F705" s="205"/>
      <c r="G705" s="548"/>
      <c r="H705" s="550"/>
      <c r="I705" s="326"/>
      <c r="J705" s="326"/>
      <c r="K705" s="326"/>
      <c r="M705" s="463"/>
      <c r="N705" s="464"/>
    </row>
    <row r="706" spans="2:14" hidden="1" outlineLevel="1" x14ac:dyDescent="0.35">
      <c r="B706" s="203"/>
      <c r="C706" s="204"/>
      <c r="D706" s="204"/>
      <c r="E706" s="204"/>
      <c r="F706" s="205"/>
      <c r="G706" s="548"/>
      <c r="H706" s="550"/>
      <c r="I706" s="326"/>
      <c r="J706" s="326"/>
      <c r="K706" s="326"/>
      <c r="M706" s="463"/>
      <c r="N706" s="464"/>
    </row>
    <row r="707" spans="2:14" hidden="1" outlineLevel="1" x14ac:dyDescent="0.35">
      <c r="B707" s="203"/>
      <c r="C707" s="204"/>
      <c r="D707" s="204"/>
      <c r="E707" s="204"/>
      <c r="F707" s="205"/>
      <c r="G707" s="548"/>
      <c r="H707" s="550"/>
      <c r="I707" s="326"/>
      <c r="J707" s="326"/>
      <c r="K707" s="326"/>
      <c r="M707" s="463"/>
      <c r="N707" s="464"/>
    </row>
    <row r="708" spans="2:14" hidden="1" outlineLevel="1" x14ac:dyDescent="0.35">
      <c r="B708" s="203"/>
      <c r="C708" s="204"/>
      <c r="D708" s="204"/>
      <c r="E708" s="204"/>
      <c r="F708" s="205"/>
      <c r="G708" s="548"/>
      <c r="H708" s="550"/>
      <c r="I708" s="326"/>
      <c r="J708" s="326"/>
      <c r="K708" s="326"/>
      <c r="M708" s="463"/>
      <c r="N708" s="464"/>
    </row>
    <row r="709" spans="2:14" hidden="1" outlineLevel="1" x14ac:dyDescent="0.35">
      <c r="B709" s="203"/>
      <c r="C709" s="204"/>
      <c r="D709" s="204"/>
      <c r="E709" s="204"/>
      <c r="F709" s="205"/>
      <c r="G709" s="548"/>
      <c r="H709" s="550"/>
      <c r="I709" s="326"/>
      <c r="J709" s="326"/>
      <c r="K709" s="326"/>
      <c r="M709" s="463"/>
      <c r="N709" s="464"/>
    </row>
    <row r="710" spans="2:14" hidden="1" outlineLevel="1" x14ac:dyDescent="0.35">
      <c r="B710" s="203"/>
      <c r="C710" s="204"/>
      <c r="D710" s="204"/>
      <c r="E710" s="204"/>
      <c r="F710" s="205"/>
      <c r="G710" s="548"/>
      <c r="H710" s="550"/>
      <c r="I710" s="326"/>
      <c r="J710" s="326"/>
      <c r="K710" s="326"/>
      <c r="M710" s="463"/>
      <c r="N710" s="464"/>
    </row>
    <row r="711" spans="2:14" hidden="1" outlineLevel="1" x14ac:dyDescent="0.35">
      <c r="B711" s="203"/>
      <c r="C711" s="204"/>
      <c r="D711" s="204"/>
      <c r="E711" s="204"/>
      <c r="F711" s="205"/>
      <c r="G711" s="548"/>
      <c r="H711" s="550"/>
      <c r="I711" s="326"/>
      <c r="J711" s="326"/>
      <c r="K711" s="326"/>
      <c r="M711" s="463"/>
      <c r="N711" s="464"/>
    </row>
    <row r="712" spans="2:14" hidden="1" outlineLevel="1" x14ac:dyDescent="0.35">
      <c r="B712" s="203"/>
      <c r="C712" s="204"/>
      <c r="D712" s="204"/>
      <c r="E712" s="204"/>
      <c r="F712" s="205"/>
      <c r="G712" s="548"/>
      <c r="H712" s="550"/>
      <c r="I712" s="326"/>
      <c r="J712" s="326"/>
      <c r="K712" s="326"/>
      <c r="M712" s="463"/>
      <c r="N712" s="464"/>
    </row>
    <row r="713" spans="2:14" hidden="1" outlineLevel="1" x14ac:dyDescent="0.35">
      <c r="B713" s="203"/>
      <c r="C713" s="204"/>
      <c r="D713" s="204"/>
      <c r="E713" s="204"/>
      <c r="F713" s="205"/>
      <c r="G713" s="548"/>
      <c r="H713" s="550"/>
      <c r="I713" s="326"/>
      <c r="J713" s="326"/>
      <c r="K713" s="326"/>
      <c r="M713" s="463"/>
      <c r="N713" s="464"/>
    </row>
    <row r="714" spans="2:14" hidden="1" outlineLevel="1" x14ac:dyDescent="0.35">
      <c r="B714" s="203"/>
      <c r="C714" s="204"/>
      <c r="D714" s="204"/>
      <c r="E714" s="204"/>
      <c r="F714" s="205"/>
      <c r="G714" s="548"/>
      <c r="H714" s="550"/>
      <c r="I714" s="326"/>
      <c r="J714" s="326"/>
      <c r="K714" s="326"/>
      <c r="M714" s="463"/>
      <c r="N714" s="464"/>
    </row>
    <row r="715" spans="2:14" hidden="1" outlineLevel="1" x14ac:dyDescent="0.35">
      <c r="B715" s="203"/>
      <c r="C715" s="204"/>
      <c r="D715" s="204"/>
      <c r="E715" s="204"/>
      <c r="F715" s="205"/>
      <c r="G715" s="548"/>
      <c r="H715" s="550"/>
      <c r="I715" s="326"/>
      <c r="J715" s="326"/>
      <c r="K715" s="326"/>
      <c r="M715" s="463"/>
      <c r="N715" s="464"/>
    </row>
    <row r="716" spans="2:14" hidden="1" outlineLevel="1" x14ac:dyDescent="0.35">
      <c r="B716" s="203"/>
      <c r="C716" s="204"/>
      <c r="D716" s="204"/>
      <c r="E716" s="204"/>
      <c r="F716" s="205"/>
      <c r="G716" s="548"/>
      <c r="H716" s="550"/>
      <c r="I716" s="326"/>
      <c r="J716" s="326"/>
      <c r="K716" s="326"/>
      <c r="M716" s="463"/>
      <c r="N716" s="464"/>
    </row>
    <row r="717" spans="2:14" hidden="1" outlineLevel="1" x14ac:dyDescent="0.35">
      <c r="B717" s="203"/>
      <c r="C717" s="204"/>
      <c r="D717" s="204"/>
      <c r="E717" s="204"/>
      <c r="F717" s="205"/>
      <c r="G717" s="548"/>
      <c r="H717" s="550"/>
      <c r="I717" s="326"/>
      <c r="J717" s="326"/>
      <c r="K717" s="326"/>
      <c r="M717" s="463"/>
      <c r="N717" s="464"/>
    </row>
    <row r="718" spans="2:14" hidden="1" outlineLevel="1" x14ac:dyDescent="0.35">
      <c r="B718" s="203"/>
      <c r="C718" s="204"/>
      <c r="D718" s="204"/>
      <c r="E718" s="204"/>
      <c r="F718" s="205"/>
      <c r="G718" s="548"/>
      <c r="H718" s="550"/>
      <c r="I718" s="326"/>
      <c r="J718" s="326"/>
      <c r="K718" s="326"/>
      <c r="M718" s="463"/>
      <c r="N718" s="464"/>
    </row>
    <row r="719" spans="2:14" hidden="1" outlineLevel="1" x14ac:dyDescent="0.35">
      <c r="B719" s="203"/>
      <c r="C719" s="204"/>
      <c r="D719" s="204"/>
      <c r="E719" s="204"/>
      <c r="F719" s="205"/>
      <c r="G719" s="548"/>
      <c r="H719" s="550"/>
      <c r="I719" s="326"/>
      <c r="J719" s="326"/>
      <c r="K719" s="326"/>
      <c r="M719" s="463"/>
      <c r="N719" s="464"/>
    </row>
    <row r="720" spans="2:14" hidden="1" outlineLevel="1" x14ac:dyDescent="0.35">
      <c r="B720" s="203"/>
      <c r="C720" s="204"/>
      <c r="D720" s="204"/>
      <c r="E720" s="204"/>
      <c r="F720" s="205"/>
      <c r="G720" s="548"/>
      <c r="H720" s="550"/>
      <c r="I720" s="326"/>
      <c r="J720" s="326"/>
      <c r="K720" s="326"/>
      <c r="M720" s="463"/>
      <c r="N720" s="464"/>
    </row>
    <row r="721" spans="2:14" hidden="1" outlineLevel="1" x14ac:dyDescent="0.35">
      <c r="B721" s="203"/>
      <c r="C721" s="204"/>
      <c r="D721" s="204"/>
      <c r="E721" s="204"/>
      <c r="F721" s="205"/>
      <c r="G721" s="548"/>
      <c r="H721" s="550"/>
      <c r="I721" s="326"/>
      <c r="J721" s="326"/>
      <c r="K721" s="326"/>
      <c r="M721" s="463"/>
      <c r="N721" s="464"/>
    </row>
    <row r="722" spans="2:14" hidden="1" outlineLevel="1" x14ac:dyDescent="0.35">
      <c r="B722" s="203"/>
      <c r="C722" s="204"/>
      <c r="D722" s="204"/>
      <c r="E722" s="204"/>
      <c r="F722" s="205"/>
      <c r="G722" s="548"/>
      <c r="H722" s="550"/>
      <c r="I722" s="326"/>
      <c r="J722" s="326"/>
      <c r="K722" s="326"/>
      <c r="M722" s="463"/>
      <c r="N722" s="464"/>
    </row>
    <row r="723" spans="2:14" hidden="1" outlineLevel="1" x14ac:dyDescent="0.35">
      <c r="B723" s="203"/>
      <c r="C723" s="204"/>
      <c r="D723" s="204"/>
      <c r="E723" s="204"/>
      <c r="F723" s="205"/>
      <c r="G723" s="548"/>
      <c r="H723" s="550"/>
      <c r="I723" s="326"/>
      <c r="J723" s="326"/>
      <c r="K723" s="326"/>
      <c r="M723" s="463"/>
      <c r="N723" s="464"/>
    </row>
    <row r="724" spans="2:14" hidden="1" outlineLevel="1" x14ac:dyDescent="0.35">
      <c r="B724" s="203"/>
      <c r="C724" s="204"/>
      <c r="D724" s="204"/>
      <c r="E724" s="204"/>
      <c r="F724" s="205"/>
      <c r="G724" s="548"/>
      <c r="H724" s="550"/>
      <c r="I724" s="326"/>
      <c r="J724" s="326"/>
      <c r="K724" s="326"/>
      <c r="M724" s="463"/>
      <c r="N724" s="464"/>
    </row>
    <row r="725" spans="2:14" hidden="1" outlineLevel="1" x14ac:dyDescent="0.35">
      <c r="B725" s="203"/>
      <c r="C725" s="204"/>
      <c r="D725" s="204"/>
      <c r="E725" s="204"/>
      <c r="F725" s="205"/>
      <c r="G725" s="548"/>
      <c r="H725" s="550"/>
      <c r="I725" s="326"/>
      <c r="J725" s="326"/>
      <c r="K725" s="326"/>
      <c r="M725" s="463"/>
      <c r="N725" s="464"/>
    </row>
    <row r="726" spans="2:14" hidden="1" outlineLevel="1" x14ac:dyDescent="0.35">
      <c r="B726" s="203"/>
      <c r="C726" s="204"/>
      <c r="D726" s="204"/>
      <c r="E726" s="204"/>
      <c r="F726" s="205"/>
      <c r="G726" s="548"/>
      <c r="H726" s="550"/>
      <c r="I726" s="326"/>
      <c r="J726" s="326"/>
      <c r="K726" s="326"/>
      <c r="M726" s="463"/>
      <c r="N726" s="464"/>
    </row>
    <row r="727" spans="2:14" hidden="1" outlineLevel="1" x14ac:dyDescent="0.35">
      <c r="B727" s="203"/>
      <c r="C727" s="204"/>
      <c r="D727" s="204"/>
      <c r="E727" s="204"/>
      <c r="F727" s="205"/>
      <c r="G727" s="548"/>
      <c r="H727" s="550"/>
      <c r="I727" s="326"/>
      <c r="J727" s="326"/>
      <c r="K727" s="326"/>
      <c r="M727" s="463"/>
      <c r="N727" s="464"/>
    </row>
    <row r="728" spans="2:14" hidden="1" outlineLevel="1" x14ac:dyDescent="0.35">
      <c r="B728" s="203"/>
      <c r="C728" s="204"/>
      <c r="D728" s="204"/>
      <c r="E728" s="204"/>
      <c r="F728" s="205"/>
      <c r="G728" s="548"/>
      <c r="H728" s="550"/>
      <c r="I728" s="326"/>
      <c r="J728" s="326"/>
      <c r="K728" s="326"/>
      <c r="M728" s="463"/>
      <c r="N728" s="464"/>
    </row>
    <row r="729" spans="2:14" hidden="1" outlineLevel="1" x14ac:dyDescent="0.35">
      <c r="B729" s="203"/>
      <c r="C729" s="204"/>
      <c r="D729" s="204"/>
      <c r="E729" s="204"/>
      <c r="F729" s="205"/>
      <c r="G729" s="548"/>
      <c r="H729" s="550"/>
      <c r="I729" s="326"/>
      <c r="J729" s="326"/>
      <c r="K729" s="326"/>
      <c r="M729" s="463"/>
      <c r="N729" s="464"/>
    </row>
    <row r="730" spans="2:14" hidden="1" outlineLevel="1" x14ac:dyDescent="0.35">
      <c r="B730" s="203"/>
      <c r="C730" s="204"/>
      <c r="D730" s="204"/>
      <c r="E730" s="204"/>
      <c r="F730" s="205"/>
      <c r="G730" s="548"/>
      <c r="H730" s="550"/>
      <c r="I730" s="326"/>
      <c r="J730" s="326"/>
      <c r="K730" s="326"/>
      <c r="M730" s="463"/>
      <c r="N730" s="464"/>
    </row>
    <row r="731" spans="2:14" hidden="1" outlineLevel="1" x14ac:dyDescent="0.35">
      <c r="B731" s="203"/>
      <c r="C731" s="204"/>
      <c r="D731" s="204"/>
      <c r="E731" s="204"/>
      <c r="F731" s="205"/>
      <c r="G731" s="548"/>
      <c r="H731" s="550"/>
      <c r="I731" s="326"/>
      <c r="J731" s="326"/>
      <c r="K731" s="326"/>
      <c r="M731" s="463"/>
      <c r="N731" s="464"/>
    </row>
    <row r="732" spans="2:14" hidden="1" outlineLevel="1" x14ac:dyDescent="0.35">
      <c r="B732" s="203"/>
      <c r="C732" s="204"/>
      <c r="D732" s="204"/>
      <c r="E732" s="204"/>
      <c r="F732" s="205"/>
      <c r="G732" s="548"/>
      <c r="H732" s="550"/>
      <c r="I732" s="326"/>
      <c r="J732" s="326"/>
      <c r="K732" s="326"/>
      <c r="M732" s="463"/>
      <c r="N732" s="464"/>
    </row>
    <row r="733" spans="2:14" hidden="1" outlineLevel="1" x14ac:dyDescent="0.35">
      <c r="B733" s="203"/>
      <c r="C733" s="204"/>
      <c r="D733" s="204"/>
      <c r="E733" s="204"/>
      <c r="F733" s="205"/>
      <c r="G733" s="548"/>
      <c r="H733" s="550"/>
      <c r="I733" s="326"/>
      <c r="J733" s="326"/>
      <c r="K733" s="326"/>
      <c r="M733" s="463"/>
      <c r="N733" s="464"/>
    </row>
    <row r="734" spans="2:14" hidden="1" outlineLevel="1" x14ac:dyDescent="0.35">
      <c r="B734" s="203"/>
      <c r="C734" s="204"/>
      <c r="D734" s="204"/>
      <c r="E734" s="204"/>
      <c r="F734" s="205"/>
      <c r="G734" s="548"/>
      <c r="H734" s="550"/>
      <c r="I734" s="326"/>
      <c r="J734" s="326"/>
      <c r="K734" s="326"/>
      <c r="M734" s="463"/>
      <c r="N734" s="464"/>
    </row>
    <row r="735" spans="2:14" hidden="1" outlineLevel="1" x14ac:dyDescent="0.35">
      <c r="B735" s="203"/>
      <c r="C735" s="204"/>
      <c r="D735" s="204"/>
      <c r="E735" s="204"/>
      <c r="F735" s="205"/>
      <c r="G735" s="548"/>
      <c r="H735" s="550"/>
      <c r="I735" s="326"/>
      <c r="J735" s="326"/>
      <c r="K735" s="326"/>
      <c r="M735" s="463"/>
      <c r="N735" s="464"/>
    </row>
    <row r="736" spans="2:14" hidden="1" outlineLevel="1" x14ac:dyDescent="0.35">
      <c r="B736" s="203"/>
      <c r="C736" s="204"/>
      <c r="D736" s="204"/>
      <c r="E736" s="204"/>
      <c r="F736" s="205"/>
      <c r="G736" s="548"/>
      <c r="H736" s="550"/>
      <c r="I736" s="326"/>
      <c r="J736" s="326"/>
      <c r="K736" s="326"/>
      <c r="M736" s="463"/>
      <c r="N736" s="464"/>
    </row>
    <row r="737" spans="2:14" hidden="1" outlineLevel="1" x14ac:dyDescent="0.35">
      <c r="B737" s="203"/>
      <c r="C737" s="204"/>
      <c r="D737" s="204"/>
      <c r="E737" s="204"/>
      <c r="F737" s="205"/>
      <c r="G737" s="548"/>
      <c r="H737" s="550"/>
      <c r="I737" s="326"/>
      <c r="J737" s="326"/>
      <c r="K737" s="326"/>
      <c r="M737" s="463"/>
      <c r="N737" s="464"/>
    </row>
    <row r="738" spans="2:14" hidden="1" outlineLevel="1" x14ac:dyDescent="0.35">
      <c r="B738" s="203"/>
      <c r="C738" s="204"/>
      <c r="D738" s="204"/>
      <c r="E738" s="204"/>
      <c r="F738" s="205"/>
      <c r="G738" s="548"/>
      <c r="H738" s="550"/>
      <c r="I738" s="326"/>
      <c r="J738" s="326"/>
      <c r="K738" s="326"/>
      <c r="M738" s="463"/>
      <c r="N738" s="464"/>
    </row>
    <row r="739" spans="2:14" hidden="1" outlineLevel="1" x14ac:dyDescent="0.35">
      <c r="B739" s="203"/>
      <c r="C739" s="204"/>
      <c r="D739" s="204"/>
      <c r="E739" s="204"/>
      <c r="F739" s="205"/>
      <c r="G739" s="548"/>
      <c r="H739" s="550"/>
      <c r="I739" s="326"/>
      <c r="J739" s="326"/>
      <c r="K739" s="326"/>
      <c r="M739" s="463"/>
      <c r="N739" s="464"/>
    </row>
    <row r="740" spans="2:14" hidden="1" outlineLevel="1" x14ac:dyDescent="0.35">
      <c r="B740" s="203"/>
      <c r="C740" s="204"/>
      <c r="D740" s="204"/>
      <c r="E740" s="204"/>
      <c r="F740" s="205"/>
      <c r="G740" s="548"/>
      <c r="H740" s="550"/>
      <c r="I740" s="326"/>
      <c r="J740" s="326"/>
      <c r="K740" s="326"/>
      <c r="M740" s="463"/>
      <c r="N740" s="464"/>
    </row>
    <row r="741" spans="2:14" hidden="1" outlineLevel="1" x14ac:dyDescent="0.35">
      <c r="B741" s="203"/>
      <c r="C741" s="204"/>
      <c r="D741" s="204"/>
      <c r="E741" s="204"/>
      <c r="F741" s="205"/>
      <c r="G741" s="548"/>
      <c r="H741" s="550"/>
      <c r="I741" s="326"/>
      <c r="J741" s="326"/>
      <c r="K741" s="326"/>
      <c r="M741" s="463"/>
      <c r="N741" s="464"/>
    </row>
    <row r="742" spans="2:14" hidden="1" outlineLevel="1" x14ac:dyDescent="0.35">
      <c r="B742" s="203"/>
      <c r="C742" s="204"/>
      <c r="D742" s="204"/>
      <c r="E742" s="204"/>
      <c r="F742" s="205"/>
      <c r="G742" s="548"/>
      <c r="H742" s="550"/>
      <c r="I742" s="326"/>
      <c r="J742" s="326"/>
      <c r="K742" s="326"/>
      <c r="M742" s="463"/>
      <c r="N742" s="464"/>
    </row>
    <row r="743" spans="2:14" hidden="1" outlineLevel="1" x14ac:dyDescent="0.35">
      <c r="B743" s="203"/>
      <c r="C743" s="204"/>
      <c r="D743" s="204"/>
      <c r="E743" s="204"/>
      <c r="F743" s="205"/>
      <c r="G743" s="548"/>
      <c r="H743" s="550"/>
      <c r="I743" s="326"/>
      <c r="J743" s="326"/>
      <c r="K743" s="326"/>
      <c r="M743" s="463"/>
      <c r="N743" s="464"/>
    </row>
    <row r="744" spans="2:14" hidden="1" outlineLevel="1" x14ac:dyDescent="0.35">
      <c r="B744" s="203"/>
      <c r="C744" s="204"/>
      <c r="D744" s="204"/>
      <c r="E744" s="204"/>
      <c r="F744" s="205"/>
      <c r="G744" s="548"/>
      <c r="H744" s="550"/>
      <c r="I744" s="326"/>
      <c r="J744" s="326"/>
      <c r="K744" s="326"/>
      <c r="M744" s="463"/>
      <c r="N744" s="464"/>
    </row>
    <row r="745" spans="2:14" hidden="1" outlineLevel="1" x14ac:dyDescent="0.35">
      <c r="B745" s="203"/>
      <c r="C745" s="204"/>
      <c r="D745" s="204"/>
      <c r="E745" s="204"/>
      <c r="F745" s="205"/>
      <c r="G745" s="548"/>
      <c r="H745" s="550"/>
      <c r="I745" s="326"/>
      <c r="J745" s="326"/>
      <c r="K745" s="326"/>
      <c r="M745" s="463"/>
      <c r="N745" s="464"/>
    </row>
    <row r="746" spans="2:14" hidden="1" outlineLevel="1" x14ac:dyDescent="0.35">
      <c r="B746" s="203"/>
      <c r="C746" s="204"/>
      <c r="D746" s="204"/>
      <c r="E746" s="204"/>
      <c r="F746" s="205"/>
      <c r="G746" s="548"/>
      <c r="H746" s="550"/>
      <c r="I746" s="326"/>
      <c r="J746" s="326"/>
      <c r="K746" s="326"/>
      <c r="M746" s="463"/>
      <c r="N746" s="464"/>
    </row>
    <row r="747" spans="2:14" hidden="1" outlineLevel="1" x14ac:dyDescent="0.35">
      <c r="B747" s="203"/>
      <c r="C747" s="204"/>
      <c r="D747" s="204"/>
      <c r="E747" s="204"/>
      <c r="F747" s="205"/>
      <c r="G747" s="548"/>
      <c r="H747" s="550"/>
      <c r="I747" s="326"/>
      <c r="J747" s="326"/>
      <c r="K747" s="326"/>
      <c r="M747" s="463"/>
      <c r="N747" s="464"/>
    </row>
    <row r="748" spans="2:14" hidden="1" outlineLevel="1" x14ac:dyDescent="0.35">
      <c r="B748" s="203"/>
      <c r="C748" s="204"/>
      <c r="D748" s="204"/>
      <c r="E748" s="204"/>
      <c r="F748" s="205"/>
      <c r="G748" s="548"/>
      <c r="H748" s="550"/>
      <c r="I748" s="326"/>
      <c r="J748" s="326"/>
      <c r="K748" s="326"/>
      <c r="M748" s="463"/>
      <c r="N748" s="464"/>
    </row>
    <row r="749" spans="2:14" hidden="1" outlineLevel="1" x14ac:dyDescent="0.35">
      <c r="B749" s="203"/>
      <c r="C749" s="204"/>
      <c r="D749" s="204"/>
      <c r="E749" s="204"/>
      <c r="F749" s="205"/>
      <c r="G749" s="548"/>
      <c r="H749" s="550"/>
      <c r="I749" s="326"/>
      <c r="J749" s="326"/>
      <c r="K749" s="326"/>
      <c r="M749" s="463"/>
      <c r="N749" s="464"/>
    </row>
    <row r="750" spans="2:14" hidden="1" outlineLevel="1" x14ac:dyDescent="0.35">
      <c r="B750" s="203"/>
      <c r="C750" s="204"/>
      <c r="D750" s="204"/>
      <c r="E750" s="204"/>
      <c r="F750" s="205"/>
      <c r="G750" s="548"/>
      <c r="H750" s="550"/>
      <c r="I750" s="326"/>
      <c r="J750" s="326"/>
      <c r="K750" s="326"/>
      <c r="M750" s="463"/>
      <c r="N750" s="464"/>
    </row>
    <row r="751" spans="2:14" hidden="1" outlineLevel="1" x14ac:dyDescent="0.35">
      <c r="B751" s="203"/>
      <c r="C751" s="204"/>
      <c r="D751" s="204"/>
      <c r="E751" s="204"/>
      <c r="F751" s="205"/>
      <c r="G751" s="548"/>
      <c r="H751" s="550"/>
      <c r="I751" s="326"/>
      <c r="J751" s="326"/>
      <c r="K751" s="326"/>
      <c r="M751" s="463"/>
      <c r="N751" s="464"/>
    </row>
    <row r="752" spans="2:14" hidden="1" outlineLevel="1" x14ac:dyDescent="0.35">
      <c r="B752" s="203"/>
      <c r="C752" s="204"/>
      <c r="D752" s="204"/>
      <c r="E752" s="204"/>
      <c r="F752" s="205"/>
      <c r="G752" s="548"/>
      <c r="H752" s="550"/>
      <c r="I752" s="326"/>
      <c r="J752" s="326"/>
      <c r="K752" s="326"/>
      <c r="M752" s="463"/>
      <c r="N752" s="464"/>
    </row>
    <row r="753" spans="2:14" hidden="1" outlineLevel="1" x14ac:dyDescent="0.35">
      <c r="B753" s="203"/>
      <c r="C753" s="204"/>
      <c r="D753" s="204"/>
      <c r="E753" s="204"/>
      <c r="F753" s="205"/>
      <c r="G753" s="548"/>
      <c r="H753" s="550"/>
      <c r="I753" s="326"/>
      <c r="J753" s="326"/>
      <c r="K753" s="326"/>
      <c r="M753" s="463"/>
      <c r="N753" s="464"/>
    </row>
    <row r="754" spans="2:14" hidden="1" outlineLevel="1" x14ac:dyDescent="0.35">
      <c r="B754" s="203"/>
      <c r="C754" s="204"/>
      <c r="D754" s="204"/>
      <c r="E754" s="204"/>
      <c r="F754" s="205"/>
      <c r="G754" s="548"/>
      <c r="H754" s="550"/>
      <c r="I754" s="326"/>
      <c r="J754" s="326"/>
      <c r="K754" s="326"/>
      <c r="M754" s="463"/>
      <c r="N754" s="464"/>
    </row>
    <row r="755" spans="2:14" hidden="1" outlineLevel="1" x14ac:dyDescent="0.35">
      <c r="B755" s="203"/>
      <c r="C755" s="204"/>
      <c r="D755" s="204"/>
      <c r="E755" s="204"/>
      <c r="F755" s="205"/>
      <c r="G755" s="548"/>
      <c r="H755" s="550"/>
      <c r="I755" s="326"/>
      <c r="J755" s="326"/>
      <c r="K755" s="326"/>
      <c r="M755" s="463"/>
      <c r="N755" s="464"/>
    </row>
    <row r="756" spans="2:14" hidden="1" outlineLevel="1" x14ac:dyDescent="0.35">
      <c r="B756" s="203"/>
      <c r="C756" s="204"/>
      <c r="D756" s="204"/>
      <c r="E756" s="204"/>
      <c r="F756" s="205"/>
      <c r="G756" s="548"/>
      <c r="H756" s="550"/>
      <c r="I756" s="326"/>
      <c r="J756" s="326"/>
      <c r="K756" s="326"/>
      <c r="M756" s="463"/>
      <c r="N756" s="464"/>
    </row>
    <row r="757" spans="2:14" hidden="1" outlineLevel="1" x14ac:dyDescent="0.35">
      <c r="B757" s="203"/>
      <c r="C757" s="204"/>
      <c r="D757" s="204"/>
      <c r="E757" s="204"/>
      <c r="F757" s="205"/>
      <c r="G757" s="548"/>
      <c r="H757" s="550"/>
      <c r="I757" s="326"/>
      <c r="J757" s="326"/>
      <c r="K757" s="326"/>
      <c r="M757" s="463"/>
      <c r="N757" s="464"/>
    </row>
    <row r="758" spans="2:14" hidden="1" outlineLevel="1" x14ac:dyDescent="0.35">
      <c r="B758" s="203"/>
      <c r="C758" s="204"/>
      <c r="D758" s="204"/>
      <c r="E758" s="204"/>
      <c r="F758" s="205"/>
      <c r="G758" s="548"/>
      <c r="H758" s="550"/>
      <c r="I758" s="326"/>
      <c r="J758" s="326"/>
      <c r="K758" s="326"/>
      <c r="M758" s="463"/>
      <c r="N758" s="464"/>
    </row>
    <row r="759" spans="2:14" hidden="1" outlineLevel="1" x14ac:dyDescent="0.35">
      <c r="B759" s="203"/>
      <c r="C759" s="204"/>
      <c r="D759" s="204"/>
      <c r="E759" s="204"/>
      <c r="F759" s="205"/>
      <c r="G759" s="548"/>
      <c r="H759" s="550"/>
      <c r="I759" s="326"/>
      <c r="J759" s="326"/>
      <c r="K759" s="326"/>
      <c r="M759" s="463"/>
      <c r="N759" s="464"/>
    </row>
    <row r="760" spans="2:14" hidden="1" outlineLevel="1" x14ac:dyDescent="0.35">
      <c r="B760" s="203"/>
      <c r="C760" s="204"/>
      <c r="D760" s="204"/>
      <c r="E760" s="204"/>
      <c r="F760" s="205"/>
      <c r="G760" s="548"/>
      <c r="H760" s="550"/>
      <c r="I760" s="326"/>
      <c r="J760" s="326"/>
      <c r="K760" s="326"/>
      <c r="M760" s="463"/>
      <c r="N760" s="464"/>
    </row>
    <row r="761" spans="2:14" hidden="1" outlineLevel="1" x14ac:dyDescent="0.35">
      <c r="B761" s="203"/>
      <c r="C761" s="204"/>
      <c r="D761" s="204"/>
      <c r="E761" s="204"/>
      <c r="F761" s="205"/>
      <c r="G761" s="548"/>
      <c r="H761" s="550"/>
      <c r="I761" s="326"/>
      <c r="J761" s="326"/>
      <c r="K761" s="326"/>
      <c r="M761" s="463"/>
      <c r="N761" s="464"/>
    </row>
    <row r="762" spans="2:14" hidden="1" outlineLevel="1" x14ac:dyDescent="0.35">
      <c r="B762" s="203"/>
      <c r="C762" s="204"/>
      <c r="D762" s="204"/>
      <c r="E762" s="204"/>
      <c r="F762" s="205"/>
      <c r="G762" s="548"/>
      <c r="H762" s="550"/>
      <c r="I762" s="326"/>
      <c r="J762" s="326"/>
      <c r="K762" s="326"/>
      <c r="M762" s="463"/>
      <c r="N762" s="464"/>
    </row>
    <row r="763" spans="2:14" hidden="1" outlineLevel="1" x14ac:dyDescent="0.35">
      <c r="B763" s="203"/>
      <c r="C763" s="204"/>
      <c r="D763" s="204"/>
      <c r="E763" s="204"/>
      <c r="F763" s="205"/>
      <c r="G763" s="548"/>
      <c r="H763" s="550"/>
      <c r="I763" s="326"/>
      <c r="J763" s="326"/>
      <c r="K763" s="326"/>
      <c r="M763" s="463"/>
      <c r="N763" s="464"/>
    </row>
    <row r="764" spans="2:14" hidden="1" outlineLevel="1" x14ac:dyDescent="0.35">
      <c r="B764" s="203"/>
      <c r="C764" s="204"/>
      <c r="D764" s="204"/>
      <c r="E764" s="204"/>
      <c r="F764" s="205"/>
      <c r="G764" s="548"/>
      <c r="H764" s="550"/>
      <c r="I764" s="326"/>
      <c r="J764" s="326"/>
      <c r="K764" s="326"/>
      <c r="M764" s="463"/>
      <c r="N764" s="464"/>
    </row>
    <row r="765" spans="2:14" hidden="1" outlineLevel="1" x14ac:dyDescent="0.35">
      <c r="B765" s="203"/>
      <c r="C765" s="204"/>
      <c r="D765" s="204"/>
      <c r="E765" s="204"/>
      <c r="F765" s="205"/>
      <c r="G765" s="548"/>
      <c r="H765" s="550"/>
      <c r="I765" s="326"/>
      <c r="J765" s="326"/>
      <c r="K765" s="326"/>
      <c r="M765" s="463"/>
      <c r="N765" s="464"/>
    </row>
    <row r="766" spans="2:14" hidden="1" outlineLevel="1" x14ac:dyDescent="0.35">
      <c r="B766" s="203"/>
      <c r="C766" s="204"/>
      <c r="D766" s="204"/>
      <c r="E766" s="204"/>
      <c r="F766" s="205"/>
      <c r="G766" s="548"/>
      <c r="H766" s="550"/>
      <c r="I766" s="326"/>
      <c r="J766" s="326"/>
      <c r="K766" s="326"/>
      <c r="M766" s="463"/>
      <c r="N766" s="464"/>
    </row>
    <row r="767" spans="2:14" hidden="1" outlineLevel="1" x14ac:dyDescent="0.35">
      <c r="B767" s="203"/>
      <c r="C767" s="204"/>
      <c r="D767" s="204"/>
      <c r="E767" s="204"/>
      <c r="F767" s="205"/>
      <c r="G767" s="548"/>
      <c r="H767" s="550"/>
      <c r="I767" s="326"/>
      <c r="J767" s="326"/>
      <c r="K767" s="326"/>
      <c r="M767" s="463"/>
      <c r="N767" s="464"/>
    </row>
    <row r="768" spans="2:14" hidden="1" outlineLevel="1" x14ac:dyDescent="0.35">
      <c r="B768" s="203"/>
      <c r="C768" s="204"/>
      <c r="D768" s="204"/>
      <c r="E768" s="204"/>
      <c r="F768" s="205"/>
      <c r="G768" s="548"/>
      <c r="H768" s="550"/>
      <c r="I768" s="326"/>
      <c r="J768" s="326"/>
      <c r="K768" s="326"/>
      <c r="M768" s="463"/>
      <c r="N768" s="464"/>
    </row>
    <row r="769" spans="2:14" hidden="1" outlineLevel="1" x14ac:dyDescent="0.35">
      <c r="B769" s="203"/>
      <c r="C769" s="204"/>
      <c r="D769" s="204"/>
      <c r="E769" s="204"/>
      <c r="F769" s="205"/>
      <c r="G769" s="548"/>
      <c r="H769" s="550"/>
      <c r="I769" s="326"/>
      <c r="J769" s="326"/>
      <c r="K769" s="326"/>
      <c r="M769" s="463"/>
      <c r="N769" s="464"/>
    </row>
    <row r="770" spans="2:14" hidden="1" outlineLevel="1" x14ac:dyDescent="0.35">
      <c r="B770" s="203"/>
      <c r="C770" s="204"/>
      <c r="D770" s="204"/>
      <c r="E770" s="204"/>
      <c r="F770" s="205"/>
      <c r="G770" s="548"/>
      <c r="H770" s="550"/>
      <c r="I770" s="326"/>
      <c r="J770" s="326"/>
      <c r="K770" s="326"/>
      <c r="M770" s="463"/>
      <c r="N770" s="464"/>
    </row>
    <row r="771" spans="2:14" hidden="1" outlineLevel="1" x14ac:dyDescent="0.35">
      <c r="B771" s="203"/>
      <c r="C771" s="204"/>
      <c r="D771" s="204"/>
      <c r="E771" s="204"/>
      <c r="F771" s="205"/>
      <c r="G771" s="548"/>
      <c r="H771" s="550"/>
      <c r="I771" s="326"/>
      <c r="J771" s="326"/>
      <c r="K771" s="326"/>
      <c r="M771" s="463"/>
      <c r="N771" s="464"/>
    </row>
    <row r="772" spans="2:14" hidden="1" outlineLevel="1" x14ac:dyDescent="0.35">
      <c r="B772" s="203"/>
      <c r="C772" s="204"/>
      <c r="D772" s="204"/>
      <c r="E772" s="204"/>
      <c r="F772" s="205"/>
      <c r="G772" s="548"/>
      <c r="H772" s="550"/>
      <c r="I772" s="326"/>
      <c r="J772" s="326"/>
      <c r="K772" s="326"/>
      <c r="M772" s="463"/>
      <c r="N772" s="464"/>
    </row>
    <row r="773" spans="2:14" hidden="1" outlineLevel="1" x14ac:dyDescent="0.35">
      <c r="B773" s="203"/>
      <c r="C773" s="204"/>
      <c r="D773" s="204"/>
      <c r="E773" s="204"/>
      <c r="F773" s="205"/>
      <c r="G773" s="548"/>
      <c r="H773" s="550"/>
      <c r="I773" s="326"/>
      <c r="J773" s="326"/>
      <c r="K773" s="326"/>
      <c r="M773" s="463"/>
      <c r="N773" s="464"/>
    </row>
    <row r="774" spans="2:14" hidden="1" outlineLevel="1" x14ac:dyDescent="0.35">
      <c r="B774" s="203"/>
      <c r="C774" s="204"/>
      <c r="D774" s="204"/>
      <c r="E774" s="204"/>
      <c r="F774" s="205"/>
      <c r="G774" s="548"/>
      <c r="H774" s="550"/>
      <c r="I774" s="326"/>
      <c r="J774" s="326"/>
      <c r="K774" s="326"/>
      <c r="M774" s="463"/>
      <c r="N774" s="464"/>
    </row>
    <row r="775" spans="2:14" hidden="1" outlineLevel="1" x14ac:dyDescent="0.35">
      <c r="B775" s="203"/>
      <c r="C775" s="204"/>
      <c r="D775" s="204"/>
      <c r="E775" s="204"/>
      <c r="F775" s="205"/>
      <c r="G775" s="548"/>
      <c r="H775" s="550"/>
      <c r="I775" s="326"/>
      <c r="J775" s="326"/>
      <c r="K775" s="326"/>
      <c r="M775" s="463"/>
      <c r="N775" s="464"/>
    </row>
    <row r="776" spans="2:14" hidden="1" outlineLevel="1" x14ac:dyDescent="0.35">
      <c r="B776" s="203"/>
      <c r="C776" s="204"/>
      <c r="D776" s="204"/>
      <c r="E776" s="204"/>
      <c r="F776" s="205"/>
      <c r="G776" s="548"/>
      <c r="H776" s="550"/>
      <c r="I776" s="326"/>
      <c r="J776" s="326"/>
      <c r="K776" s="326"/>
      <c r="M776" s="463"/>
      <c r="N776" s="464"/>
    </row>
    <row r="777" spans="2:14" hidden="1" outlineLevel="1" x14ac:dyDescent="0.35">
      <c r="B777" s="203"/>
      <c r="C777" s="204"/>
      <c r="D777" s="204"/>
      <c r="E777" s="204"/>
      <c r="F777" s="205"/>
      <c r="G777" s="548"/>
      <c r="H777" s="550"/>
      <c r="I777" s="326"/>
      <c r="J777" s="326"/>
      <c r="K777" s="326"/>
      <c r="M777" s="463"/>
      <c r="N777" s="464"/>
    </row>
    <row r="778" spans="2:14" hidden="1" outlineLevel="1" x14ac:dyDescent="0.35">
      <c r="B778" s="203"/>
      <c r="C778" s="204"/>
      <c r="D778" s="204"/>
      <c r="E778" s="204"/>
      <c r="F778" s="205"/>
      <c r="G778" s="548"/>
      <c r="H778" s="550"/>
      <c r="I778" s="326"/>
      <c r="J778" s="326"/>
      <c r="K778" s="326"/>
      <c r="M778" s="463"/>
      <c r="N778" s="464"/>
    </row>
    <row r="779" spans="2:14" hidden="1" outlineLevel="1" x14ac:dyDescent="0.35">
      <c r="B779" s="203"/>
      <c r="C779" s="204"/>
      <c r="D779" s="204"/>
      <c r="E779" s="204"/>
      <c r="F779" s="205"/>
      <c r="G779" s="548"/>
      <c r="H779" s="550"/>
      <c r="I779" s="326"/>
      <c r="J779" s="326"/>
      <c r="K779" s="326"/>
      <c r="M779" s="463"/>
      <c r="N779" s="464"/>
    </row>
    <row r="780" spans="2:14" hidden="1" outlineLevel="1" x14ac:dyDescent="0.35">
      <c r="B780" s="203"/>
      <c r="C780" s="204"/>
      <c r="D780" s="204"/>
      <c r="E780" s="204"/>
      <c r="F780" s="205"/>
      <c r="G780" s="548"/>
      <c r="H780" s="550"/>
      <c r="I780" s="326"/>
      <c r="J780" s="326"/>
      <c r="K780" s="326"/>
      <c r="M780" s="463"/>
      <c r="N780" s="464"/>
    </row>
    <row r="781" spans="2:14" hidden="1" outlineLevel="1" x14ac:dyDescent="0.35">
      <c r="B781" s="203"/>
      <c r="C781" s="204"/>
      <c r="D781" s="204"/>
      <c r="E781" s="204"/>
      <c r="F781" s="205"/>
      <c r="G781" s="548"/>
      <c r="H781" s="550"/>
      <c r="I781" s="326"/>
      <c r="J781" s="326"/>
      <c r="K781" s="326"/>
      <c r="M781" s="463"/>
      <c r="N781" s="464"/>
    </row>
    <row r="782" spans="2:14" hidden="1" outlineLevel="1" x14ac:dyDescent="0.35">
      <c r="B782" s="203"/>
      <c r="C782" s="204"/>
      <c r="D782" s="204"/>
      <c r="E782" s="204"/>
      <c r="F782" s="205"/>
      <c r="G782" s="548"/>
      <c r="H782" s="550"/>
      <c r="I782" s="326"/>
      <c r="J782" s="326"/>
      <c r="K782" s="326"/>
      <c r="M782" s="463"/>
      <c r="N782" s="464"/>
    </row>
    <row r="783" spans="2:14" hidden="1" outlineLevel="1" x14ac:dyDescent="0.35">
      <c r="B783" s="203"/>
      <c r="C783" s="204"/>
      <c r="D783" s="204"/>
      <c r="E783" s="204"/>
      <c r="F783" s="205"/>
      <c r="G783" s="548"/>
      <c r="H783" s="550"/>
      <c r="I783" s="326"/>
      <c r="J783" s="326"/>
      <c r="K783" s="326"/>
      <c r="M783" s="463"/>
      <c r="N783" s="464"/>
    </row>
    <row r="784" spans="2:14" hidden="1" outlineLevel="1" x14ac:dyDescent="0.35">
      <c r="B784" s="203"/>
      <c r="C784" s="204"/>
      <c r="D784" s="204"/>
      <c r="E784" s="204"/>
      <c r="F784" s="205"/>
      <c r="G784" s="548"/>
      <c r="H784" s="550"/>
      <c r="I784" s="326"/>
      <c r="J784" s="326"/>
      <c r="K784" s="326"/>
      <c r="M784" s="463"/>
      <c r="N784" s="464"/>
    </row>
    <row r="785" spans="2:14" hidden="1" outlineLevel="1" x14ac:dyDescent="0.35">
      <c r="B785" s="203"/>
      <c r="C785" s="204"/>
      <c r="D785" s="204"/>
      <c r="E785" s="204"/>
      <c r="F785" s="205"/>
      <c r="G785" s="548"/>
      <c r="H785" s="550"/>
      <c r="I785" s="326"/>
      <c r="J785" s="326"/>
      <c r="K785" s="326"/>
      <c r="M785" s="463"/>
      <c r="N785" s="464"/>
    </row>
    <row r="786" spans="2:14" hidden="1" outlineLevel="1" x14ac:dyDescent="0.35">
      <c r="B786" s="203"/>
      <c r="C786" s="204"/>
      <c r="D786" s="204"/>
      <c r="E786" s="204"/>
      <c r="F786" s="205"/>
      <c r="G786" s="548"/>
      <c r="H786" s="550"/>
      <c r="I786" s="326"/>
      <c r="J786" s="326"/>
      <c r="K786" s="326"/>
      <c r="M786" s="463"/>
      <c r="N786" s="464"/>
    </row>
    <row r="787" spans="2:14" hidden="1" outlineLevel="1" x14ac:dyDescent="0.35">
      <c r="B787" s="203"/>
      <c r="C787" s="204"/>
      <c r="D787" s="204"/>
      <c r="E787" s="204"/>
      <c r="F787" s="205"/>
      <c r="G787" s="548"/>
      <c r="H787" s="550"/>
      <c r="I787" s="326"/>
      <c r="J787" s="326"/>
      <c r="K787" s="326"/>
      <c r="M787" s="463"/>
      <c r="N787" s="464"/>
    </row>
    <row r="788" spans="2:14" hidden="1" outlineLevel="1" x14ac:dyDescent="0.35">
      <c r="B788" s="203"/>
      <c r="C788" s="204"/>
      <c r="D788" s="204"/>
      <c r="E788" s="204"/>
      <c r="F788" s="205"/>
      <c r="G788" s="548"/>
      <c r="H788" s="550"/>
      <c r="I788" s="326"/>
      <c r="J788" s="326"/>
      <c r="K788" s="326"/>
      <c r="M788" s="463"/>
      <c r="N788" s="464"/>
    </row>
    <row r="789" spans="2:14" hidden="1" outlineLevel="1" x14ac:dyDescent="0.35">
      <c r="B789" s="203"/>
      <c r="C789" s="204"/>
      <c r="D789" s="204"/>
      <c r="E789" s="204"/>
      <c r="F789" s="205"/>
      <c r="G789" s="548"/>
      <c r="H789" s="550"/>
      <c r="I789" s="326"/>
      <c r="J789" s="326"/>
      <c r="K789" s="326"/>
      <c r="M789" s="463"/>
      <c r="N789" s="464"/>
    </row>
    <row r="790" spans="2:14" hidden="1" outlineLevel="1" x14ac:dyDescent="0.35">
      <c r="B790" s="203"/>
      <c r="C790" s="204"/>
      <c r="D790" s="204"/>
      <c r="E790" s="204"/>
      <c r="F790" s="205"/>
      <c r="G790" s="548"/>
      <c r="H790" s="550"/>
      <c r="I790" s="326"/>
      <c r="J790" s="326"/>
      <c r="K790" s="326"/>
      <c r="M790" s="463"/>
      <c r="N790" s="464"/>
    </row>
    <row r="791" spans="2:14" hidden="1" outlineLevel="1" x14ac:dyDescent="0.35">
      <c r="B791" s="203"/>
      <c r="C791" s="204"/>
      <c r="D791" s="204"/>
      <c r="E791" s="204"/>
      <c r="F791" s="205"/>
      <c r="G791" s="548"/>
      <c r="H791" s="550"/>
      <c r="I791" s="326"/>
      <c r="J791" s="326"/>
      <c r="K791" s="326"/>
      <c r="M791" s="463"/>
      <c r="N791" s="464"/>
    </row>
    <row r="792" spans="2:14" hidden="1" outlineLevel="1" x14ac:dyDescent="0.35">
      <c r="B792" s="203"/>
      <c r="C792" s="204"/>
      <c r="D792" s="204"/>
      <c r="E792" s="204"/>
      <c r="F792" s="205"/>
      <c r="G792" s="548"/>
      <c r="H792" s="550"/>
      <c r="I792" s="326"/>
      <c r="J792" s="326"/>
      <c r="K792" s="326"/>
      <c r="M792" s="463"/>
      <c r="N792" s="464"/>
    </row>
    <row r="793" spans="2:14" hidden="1" outlineLevel="1" x14ac:dyDescent="0.35">
      <c r="B793" s="203"/>
      <c r="C793" s="204"/>
      <c r="D793" s="204"/>
      <c r="E793" s="204"/>
      <c r="F793" s="205"/>
      <c r="G793" s="548"/>
      <c r="H793" s="550"/>
      <c r="I793" s="326"/>
      <c r="J793" s="326"/>
      <c r="K793" s="326"/>
      <c r="M793" s="463"/>
      <c r="N793" s="464"/>
    </row>
    <row r="794" spans="2:14" hidden="1" outlineLevel="1" x14ac:dyDescent="0.35">
      <c r="B794" s="203"/>
      <c r="C794" s="204"/>
      <c r="D794" s="204"/>
      <c r="E794" s="204"/>
      <c r="F794" s="205"/>
      <c r="G794" s="548"/>
      <c r="H794" s="550"/>
      <c r="I794" s="326"/>
      <c r="J794" s="326"/>
      <c r="K794" s="326"/>
      <c r="M794" s="463"/>
      <c r="N794" s="464"/>
    </row>
    <row r="795" spans="2:14" hidden="1" outlineLevel="1" x14ac:dyDescent="0.35">
      <c r="B795" s="203"/>
      <c r="C795" s="204"/>
      <c r="D795" s="204"/>
      <c r="E795" s="204"/>
      <c r="F795" s="205"/>
      <c r="G795" s="548"/>
      <c r="H795" s="550"/>
      <c r="I795" s="326"/>
      <c r="J795" s="326"/>
      <c r="K795" s="326"/>
      <c r="M795" s="463"/>
      <c r="N795" s="464"/>
    </row>
    <row r="796" spans="2:14" hidden="1" outlineLevel="1" x14ac:dyDescent="0.35">
      <c r="B796" s="203"/>
      <c r="C796" s="204"/>
      <c r="D796" s="204"/>
      <c r="E796" s="204"/>
      <c r="F796" s="205"/>
      <c r="G796" s="548"/>
      <c r="H796" s="550"/>
      <c r="I796" s="326"/>
      <c r="J796" s="326"/>
      <c r="K796" s="326"/>
      <c r="M796" s="463"/>
      <c r="N796" s="464"/>
    </row>
    <row r="797" spans="2:14" hidden="1" outlineLevel="1" x14ac:dyDescent="0.35">
      <c r="B797" s="203"/>
      <c r="C797" s="204"/>
      <c r="D797" s="204"/>
      <c r="E797" s="204"/>
      <c r="F797" s="205"/>
      <c r="G797" s="548"/>
      <c r="H797" s="550"/>
      <c r="I797" s="326"/>
      <c r="J797" s="326"/>
      <c r="K797" s="326"/>
      <c r="M797" s="463"/>
      <c r="N797" s="464"/>
    </row>
    <row r="798" spans="2:14" hidden="1" outlineLevel="1" x14ac:dyDescent="0.35">
      <c r="B798" s="203"/>
      <c r="C798" s="204"/>
      <c r="D798" s="204"/>
      <c r="E798" s="204"/>
      <c r="F798" s="205"/>
      <c r="G798" s="548"/>
      <c r="H798" s="550"/>
      <c r="I798" s="326"/>
      <c r="J798" s="326"/>
      <c r="K798" s="326"/>
      <c r="M798" s="463"/>
      <c r="N798" s="464"/>
    </row>
    <row r="799" spans="2:14" hidden="1" outlineLevel="1" x14ac:dyDescent="0.35">
      <c r="B799" s="203"/>
      <c r="C799" s="204"/>
      <c r="D799" s="204"/>
      <c r="E799" s="204"/>
      <c r="F799" s="205"/>
      <c r="G799" s="548"/>
      <c r="H799" s="550"/>
      <c r="I799" s="326"/>
      <c r="J799" s="326"/>
      <c r="K799" s="326"/>
      <c r="M799" s="463"/>
      <c r="N799" s="464"/>
    </row>
    <row r="800" spans="2:14" hidden="1" outlineLevel="1" x14ac:dyDescent="0.35">
      <c r="B800" s="203"/>
      <c r="C800" s="204"/>
      <c r="D800" s="204"/>
      <c r="E800" s="204"/>
      <c r="F800" s="205"/>
      <c r="G800" s="548"/>
      <c r="H800" s="550"/>
      <c r="I800" s="326"/>
      <c r="J800" s="326"/>
      <c r="K800" s="326"/>
      <c r="M800" s="463"/>
      <c r="N800" s="464"/>
    </row>
    <row r="801" spans="2:14" hidden="1" outlineLevel="1" x14ac:dyDescent="0.35">
      <c r="B801" s="203"/>
      <c r="C801" s="204"/>
      <c r="D801" s="204"/>
      <c r="E801" s="204"/>
      <c r="F801" s="205"/>
      <c r="G801" s="548"/>
      <c r="H801" s="550"/>
      <c r="I801" s="326"/>
      <c r="J801" s="326"/>
      <c r="K801" s="326"/>
      <c r="M801" s="463"/>
      <c r="N801" s="464"/>
    </row>
    <row r="802" spans="2:14" hidden="1" outlineLevel="1" x14ac:dyDescent="0.35">
      <c r="B802" s="203"/>
      <c r="C802" s="204"/>
      <c r="D802" s="204"/>
      <c r="E802" s="204"/>
      <c r="F802" s="205"/>
      <c r="G802" s="548"/>
      <c r="H802" s="550"/>
      <c r="I802" s="326"/>
      <c r="J802" s="326"/>
      <c r="K802" s="326"/>
      <c r="M802" s="463"/>
      <c r="N802" s="464"/>
    </row>
    <row r="803" spans="2:14" hidden="1" outlineLevel="1" x14ac:dyDescent="0.35">
      <c r="B803" s="203"/>
      <c r="C803" s="204"/>
      <c r="D803" s="204"/>
      <c r="E803" s="204"/>
      <c r="F803" s="205"/>
      <c r="G803" s="548"/>
      <c r="H803" s="550"/>
      <c r="I803" s="326"/>
      <c r="J803" s="326"/>
      <c r="K803" s="326"/>
      <c r="M803" s="463"/>
      <c r="N803" s="464"/>
    </row>
    <row r="804" spans="2:14" hidden="1" outlineLevel="1" x14ac:dyDescent="0.35">
      <c r="B804" s="203"/>
      <c r="C804" s="204"/>
      <c r="D804" s="204"/>
      <c r="E804" s="204"/>
      <c r="F804" s="205"/>
      <c r="G804" s="548"/>
      <c r="H804" s="550"/>
      <c r="I804" s="326"/>
      <c r="J804" s="326"/>
      <c r="K804" s="326"/>
      <c r="M804" s="463"/>
      <c r="N804" s="464"/>
    </row>
    <row r="805" spans="2:14" hidden="1" outlineLevel="1" x14ac:dyDescent="0.35">
      <c r="B805" s="203"/>
      <c r="C805" s="204"/>
      <c r="D805" s="204"/>
      <c r="E805" s="204"/>
      <c r="F805" s="205"/>
      <c r="G805" s="548"/>
      <c r="H805" s="550"/>
      <c r="I805" s="326"/>
      <c r="J805" s="326"/>
      <c r="K805" s="326"/>
      <c r="M805" s="463"/>
      <c r="N805" s="464"/>
    </row>
    <row r="806" spans="2:14" hidden="1" outlineLevel="1" x14ac:dyDescent="0.35">
      <c r="B806" s="203"/>
      <c r="C806" s="204"/>
      <c r="D806" s="204"/>
      <c r="E806" s="204"/>
      <c r="F806" s="205"/>
      <c r="G806" s="548"/>
      <c r="H806" s="550"/>
      <c r="I806" s="326"/>
      <c r="J806" s="326"/>
      <c r="K806" s="326"/>
      <c r="M806" s="463"/>
      <c r="N806" s="464"/>
    </row>
    <row r="807" spans="2:14" hidden="1" outlineLevel="1" x14ac:dyDescent="0.35">
      <c r="B807" s="203"/>
      <c r="C807" s="204"/>
      <c r="D807" s="204"/>
      <c r="E807" s="204"/>
      <c r="F807" s="205"/>
      <c r="G807" s="548"/>
      <c r="H807" s="550"/>
      <c r="I807" s="326"/>
      <c r="J807" s="326"/>
      <c r="K807" s="326"/>
      <c r="M807" s="463"/>
      <c r="N807" s="464"/>
    </row>
    <row r="808" spans="2:14" hidden="1" outlineLevel="1" x14ac:dyDescent="0.35">
      <c r="B808" s="203"/>
      <c r="C808" s="204"/>
      <c r="D808" s="204"/>
      <c r="E808" s="204"/>
      <c r="F808" s="205"/>
      <c r="G808" s="548"/>
      <c r="H808" s="550"/>
      <c r="I808" s="326"/>
      <c r="J808" s="326"/>
      <c r="K808" s="326"/>
      <c r="M808" s="463"/>
      <c r="N808" s="464"/>
    </row>
    <row r="809" spans="2:14" hidden="1" outlineLevel="1" x14ac:dyDescent="0.35">
      <c r="B809" s="203"/>
      <c r="C809" s="204"/>
      <c r="D809" s="204"/>
      <c r="E809" s="204"/>
      <c r="F809" s="205"/>
      <c r="G809" s="548"/>
      <c r="H809" s="550"/>
      <c r="I809" s="326"/>
      <c r="J809" s="326"/>
      <c r="K809" s="326"/>
      <c r="M809" s="463"/>
      <c r="N809" s="464"/>
    </row>
    <row r="810" spans="2:14" hidden="1" outlineLevel="1" x14ac:dyDescent="0.35">
      <c r="B810" s="203"/>
      <c r="C810" s="204"/>
      <c r="D810" s="204"/>
      <c r="E810" s="204"/>
      <c r="F810" s="205"/>
      <c r="G810" s="548"/>
      <c r="H810" s="550"/>
      <c r="I810" s="326"/>
      <c r="J810" s="326"/>
      <c r="K810" s="326"/>
      <c r="M810" s="463"/>
      <c r="N810" s="464"/>
    </row>
    <row r="811" spans="2:14" hidden="1" outlineLevel="1" x14ac:dyDescent="0.35">
      <c r="B811" s="203"/>
      <c r="C811" s="204"/>
      <c r="D811" s="204"/>
      <c r="E811" s="204"/>
      <c r="F811" s="205"/>
      <c r="G811" s="548"/>
      <c r="H811" s="550"/>
      <c r="I811" s="326"/>
      <c r="J811" s="326"/>
      <c r="K811" s="326"/>
      <c r="M811" s="463"/>
      <c r="N811" s="464"/>
    </row>
    <row r="812" spans="2:14" hidden="1" outlineLevel="1" x14ac:dyDescent="0.35">
      <c r="B812" s="203"/>
      <c r="C812" s="204"/>
      <c r="D812" s="204"/>
      <c r="E812" s="204"/>
      <c r="F812" s="205"/>
      <c r="G812" s="548"/>
      <c r="H812" s="550"/>
      <c r="I812" s="326"/>
      <c r="J812" s="326"/>
      <c r="K812" s="326"/>
      <c r="M812" s="463"/>
      <c r="N812" s="464"/>
    </row>
    <row r="813" spans="2:14" hidden="1" outlineLevel="1" x14ac:dyDescent="0.35">
      <c r="B813" s="203"/>
      <c r="C813" s="204"/>
      <c r="D813" s="204"/>
      <c r="E813" s="204"/>
      <c r="F813" s="205"/>
      <c r="G813" s="548"/>
      <c r="H813" s="550"/>
      <c r="I813" s="326"/>
      <c r="J813" s="326"/>
      <c r="K813" s="326"/>
      <c r="M813" s="463"/>
      <c r="N813" s="464"/>
    </row>
    <row r="814" spans="2:14" hidden="1" outlineLevel="1" x14ac:dyDescent="0.35">
      <c r="B814" s="203"/>
      <c r="C814" s="204"/>
      <c r="D814" s="204"/>
      <c r="E814" s="204"/>
      <c r="F814" s="205"/>
      <c r="G814" s="548"/>
      <c r="H814" s="550"/>
      <c r="I814" s="326"/>
      <c r="J814" s="326"/>
      <c r="K814" s="326"/>
      <c r="M814" s="463"/>
      <c r="N814" s="464"/>
    </row>
    <row r="815" spans="2:14" hidden="1" outlineLevel="1" x14ac:dyDescent="0.35">
      <c r="B815" s="203"/>
      <c r="C815" s="204"/>
      <c r="D815" s="204"/>
      <c r="E815" s="204"/>
      <c r="F815" s="205"/>
      <c r="G815" s="548"/>
      <c r="H815" s="550"/>
      <c r="I815" s="326"/>
      <c r="J815" s="326"/>
      <c r="K815" s="326"/>
      <c r="M815" s="463"/>
      <c r="N815" s="464"/>
    </row>
    <row r="816" spans="2:14" hidden="1" outlineLevel="1" x14ac:dyDescent="0.35">
      <c r="B816" s="203"/>
      <c r="C816" s="204"/>
      <c r="D816" s="204"/>
      <c r="E816" s="204"/>
      <c r="F816" s="205"/>
      <c r="G816" s="548"/>
      <c r="H816" s="550"/>
      <c r="I816" s="326"/>
      <c r="J816" s="326"/>
      <c r="K816" s="326"/>
      <c r="M816" s="463"/>
      <c r="N816" s="464"/>
    </row>
    <row r="817" spans="2:14" hidden="1" outlineLevel="1" x14ac:dyDescent="0.35">
      <c r="B817" s="203"/>
      <c r="C817" s="204"/>
      <c r="D817" s="204"/>
      <c r="E817" s="204"/>
      <c r="F817" s="205"/>
      <c r="G817" s="548"/>
      <c r="H817" s="550"/>
      <c r="I817" s="326"/>
      <c r="J817" s="326"/>
      <c r="K817" s="326"/>
      <c r="M817" s="463"/>
      <c r="N817" s="464"/>
    </row>
    <row r="818" spans="2:14" hidden="1" outlineLevel="1" x14ac:dyDescent="0.35">
      <c r="B818" s="203"/>
      <c r="C818" s="204"/>
      <c r="D818" s="204"/>
      <c r="E818" s="204"/>
      <c r="F818" s="205"/>
      <c r="G818" s="548"/>
      <c r="H818" s="550"/>
      <c r="I818" s="326"/>
      <c r="J818" s="326"/>
      <c r="K818" s="326"/>
      <c r="M818" s="463"/>
      <c r="N818" s="464"/>
    </row>
    <row r="819" spans="2:14" hidden="1" outlineLevel="1" x14ac:dyDescent="0.35">
      <c r="B819" s="203"/>
      <c r="C819" s="204"/>
      <c r="D819" s="204"/>
      <c r="E819" s="204"/>
      <c r="F819" s="205"/>
      <c r="G819" s="548"/>
      <c r="H819" s="550"/>
      <c r="I819" s="326"/>
      <c r="J819" s="326"/>
      <c r="K819" s="326"/>
      <c r="M819" s="463"/>
      <c r="N819" s="464"/>
    </row>
    <row r="820" spans="2:14" hidden="1" outlineLevel="1" x14ac:dyDescent="0.35">
      <c r="B820" s="203"/>
      <c r="C820" s="204"/>
      <c r="D820" s="204"/>
      <c r="E820" s="204"/>
      <c r="F820" s="205"/>
      <c r="G820" s="548"/>
      <c r="H820" s="550"/>
      <c r="I820" s="326"/>
      <c r="J820" s="326"/>
      <c r="K820" s="326"/>
      <c r="M820" s="463"/>
      <c r="N820" s="464"/>
    </row>
    <row r="821" spans="2:14" hidden="1" outlineLevel="1" x14ac:dyDescent="0.35">
      <c r="B821" s="203"/>
      <c r="C821" s="204"/>
      <c r="D821" s="204"/>
      <c r="E821" s="204"/>
      <c r="F821" s="205"/>
      <c r="G821" s="548"/>
      <c r="H821" s="550"/>
      <c r="I821" s="326"/>
      <c r="J821" s="326"/>
      <c r="K821" s="326"/>
      <c r="M821" s="463"/>
      <c r="N821" s="464"/>
    </row>
    <row r="822" spans="2:14" hidden="1" outlineLevel="1" x14ac:dyDescent="0.35">
      <c r="B822" s="203"/>
      <c r="C822" s="204"/>
      <c r="D822" s="204"/>
      <c r="E822" s="204"/>
      <c r="F822" s="205"/>
      <c r="G822" s="548"/>
      <c r="H822" s="550"/>
      <c r="I822" s="326"/>
      <c r="J822" s="326"/>
      <c r="K822" s="326"/>
      <c r="M822" s="463"/>
      <c r="N822" s="464"/>
    </row>
    <row r="823" spans="2:14" hidden="1" outlineLevel="1" x14ac:dyDescent="0.35">
      <c r="B823" s="203"/>
      <c r="C823" s="204"/>
      <c r="D823" s="204"/>
      <c r="E823" s="204"/>
      <c r="F823" s="205"/>
      <c r="G823" s="548"/>
      <c r="H823" s="550"/>
      <c r="I823" s="326"/>
      <c r="J823" s="326"/>
      <c r="K823" s="326"/>
      <c r="M823" s="463"/>
      <c r="N823" s="464"/>
    </row>
    <row r="824" spans="2:14" hidden="1" outlineLevel="1" x14ac:dyDescent="0.35">
      <c r="B824" s="203"/>
      <c r="C824" s="204"/>
      <c r="D824" s="204"/>
      <c r="E824" s="204"/>
      <c r="F824" s="205"/>
      <c r="G824" s="548"/>
      <c r="H824" s="550"/>
      <c r="I824" s="326"/>
      <c r="J824" s="326"/>
      <c r="K824" s="326"/>
      <c r="M824" s="463"/>
      <c r="N824" s="464"/>
    </row>
    <row r="825" spans="2:14" hidden="1" outlineLevel="1" x14ac:dyDescent="0.35">
      <c r="B825" s="203"/>
      <c r="C825" s="204"/>
      <c r="D825" s="204"/>
      <c r="E825" s="204"/>
      <c r="F825" s="205"/>
      <c r="G825" s="548"/>
      <c r="H825" s="550"/>
      <c r="I825" s="326"/>
      <c r="J825" s="326"/>
      <c r="K825" s="326"/>
      <c r="M825" s="463"/>
      <c r="N825" s="464"/>
    </row>
    <row r="826" spans="2:14" hidden="1" outlineLevel="1" x14ac:dyDescent="0.35">
      <c r="B826" s="203"/>
      <c r="C826" s="204"/>
      <c r="D826" s="204"/>
      <c r="E826" s="204"/>
      <c r="F826" s="205"/>
      <c r="G826" s="548"/>
      <c r="H826" s="550"/>
      <c r="I826" s="326"/>
      <c r="J826" s="326"/>
      <c r="K826" s="326"/>
      <c r="M826" s="463"/>
      <c r="N826" s="464"/>
    </row>
    <row r="827" spans="2:14" hidden="1" outlineLevel="1" x14ac:dyDescent="0.35">
      <c r="B827" s="203"/>
      <c r="C827" s="204"/>
      <c r="D827" s="204"/>
      <c r="E827" s="204"/>
      <c r="F827" s="205"/>
      <c r="G827" s="548"/>
      <c r="H827" s="550"/>
      <c r="I827" s="326"/>
      <c r="J827" s="326"/>
      <c r="K827" s="326"/>
      <c r="M827" s="463"/>
      <c r="N827" s="464"/>
    </row>
    <row r="828" spans="2:14" hidden="1" outlineLevel="1" x14ac:dyDescent="0.35">
      <c r="B828" s="203"/>
      <c r="C828" s="204"/>
      <c r="D828" s="204"/>
      <c r="E828" s="204"/>
      <c r="F828" s="205"/>
      <c r="G828" s="548"/>
      <c r="H828" s="550"/>
      <c r="I828" s="326"/>
      <c r="J828" s="326"/>
      <c r="K828" s="326"/>
      <c r="M828" s="463"/>
      <c r="N828" s="464"/>
    </row>
    <row r="829" spans="2:14" hidden="1" outlineLevel="1" x14ac:dyDescent="0.35">
      <c r="B829" s="203"/>
      <c r="C829" s="204"/>
      <c r="D829" s="204"/>
      <c r="E829" s="204"/>
      <c r="F829" s="205"/>
      <c r="G829" s="548"/>
      <c r="H829" s="550"/>
      <c r="I829" s="326"/>
      <c r="J829" s="326"/>
      <c r="K829" s="326"/>
      <c r="M829" s="463"/>
      <c r="N829" s="464"/>
    </row>
    <row r="830" spans="2:14" hidden="1" outlineLevel="1" x14ac:dyDescent="0.35">
      <c r="B830" s="203"/>
      <c r="C830" s="204"/>
      <c r="D830" s="204"/>
      <c r="E830" s="204"/>
      <c r="F830" s="205"/>
      <c r="G830" s="548"/>
      <c r="H830" s="550"/>
      <c r="I830" s="326"/>
      <c r="J830" s="326"/>
      <c r="K830" s="326"/>
      <c r="M830" s="463"/>
      <c r="N830" s="464"/>
    </row>
    <row r="831" spans="2:14" hidden="1" outlineLevel="1" x14ac:dyDescent="0.35">
      <c r="B831" s="203"/>
      <c r="C831" s="204"/>
      <c r="D831" s="204"/>
      <c r="E831" s="204"/>
      <c r="F831" s="205"/>
      <c r="G831" s="548"/>
      <c r="H831" s="550"/>
      <c r="I831" s="326"/>
      <c r="J831" s="326"/>
      <c r="K831" s="326"/>
      <c r="M831" s="463"/>
      <c r="N831" s="464"/>
    </row>
    <row r="832" spans="2:14" hidden="1" outlineLevel="1" x14ac:dyDescent="0.35">
      <c r="B832" s="203"/>
      <c r="C832" s="204"/>
      <c r="D832" s="204"/>
      <c r="E832" s="204"/>
      <c r="F832" s="205"/>
      <c r="G832" s="548"/>
      <c r="H832" s="550"/>
      <c r="I832" s="326"/>
      <c r="J832" s="326"/>
      <c r="K832" s="326"/>
      <c r="M832" s="463"/>
      <c r="N832" s="464"/>
    </row>
    <row r="833" spans="2:14" hidden="1" outlineLevel="1" x14ac:dyDescent="0.35">
      <c r="B833" s="203"/>
      <c r="C833" s="204"/>
      <c r="D833" s="204"/>
      <c r="E833" s="204"/>
      <c r="F833" s="205"/>
      <c r="G833" s="548"/>
      <c r="H833" s="550"/>
      <c r="I833" s="326"/>
      <c r="J833" s="326"/>
      <c r="K833" s="326"/>
      <c r="M833" s="463"/>
      <c r="N833" s="464"/>
    </row>
    <row r="834" spans="2:14" hidden="1" outlineLevel="1" x14ac:dyDescent="0.35">
      <c r="B834" s="203"/>
      <c r="C834" s="204"/>
      <c r="D834" s="204"/>
      <c r="E834" s="204"/>
      <c r="F834" s="205"/>
      <c r="G834" s="548"/>
      <c r="H834" s="550"/>
      <c r="I834" s="326"/>
      <c r="J834" s="326"/>
      <c r="K834" s="326"/>
      <c r="M834" s="463"/>
      <c r="N834" s="464"/>
    </row>
    <row r="835" spans="2:14" hidden="1" outlineLevel="1" x14ac:dyDescent="0.35">
      <c r="B835" s="203"/>
      <c r="C835" s="204"/>
      <c r="D835" s="204"/>
      <c r="E835" s="204"/>
      <c r="F835" s="205"/>
      <c r="G835" s="548"/>
      <c r="H835" s="550"/>
      <c r="I835" s="326"/>
      <c r="J835" s="326"/>
      <c r="K835" s="326"/>
      <c r="M835" s="463"/>
      <c r="N835" s="464"/>
    </row>
    <row r="836" spans="2:14" hidden="1" outlineLevel="1" x14ac:dyDescent="0.35">
      <c r="B836" s="203"/>
      <c r="C836" s="204"/>
      <c r="D836" s="204"/>
      <c r="E836" s="204"/>
      <c r="F836" s="205"/>
      <c r="G836" s="548"/>
      <c r="H836" s="550"/>
      <c r="I836" s="326"/>
      <c r="J836" s="326"/>
      <c r="K836" s="326"/>
      <c r="M836" s="463"/>
      <c r="N836" s="464"/>
    </row>
    <row r="837" spans="2:14" hidden="1" outlineLevel="1" x14ac:dyDescent="0.35">
      <c r="B837" s="203"/>
      <c r="C837" s="204"/>
      <c r="D837" s="204"/>
      <c r="E837" s="204"/>
      <c r="F837" s="205"/>
      <c r="G837" s="548"/>
      <c r="H837" s="550"/>
      <c r="I837" s="326"/>
      <c r="J837" s="326"/>
      <c r="K837" s="326"/>
      <c r="M837" s="463"/>
      <c r="N837" s="464"/>
    </row>
    <row r="838" spans="2:14" hidden="1" outlineLevel="1" x14ac:dyDescent="0.35">
      <c r="B838" s="203"/>
      <c r="C838" s="204"/>
      <c r="D838" s="204"/>
      <c r="E838" s="204"/>
      <c r="F838" s="205"/>
      <c r="G838" s="548"/>
      <c r="H838" s="550"/>
      <c r="I838" s="326"/>
      <c r="J838" s="326"/>
      <c r="K838" s="326"/>
      <c r="M838" s="463"/>
      <c r="N838" s="464"/>
    </row>
    <row r="839" spans="2:14" hidden="1" outlineLevel="1" x14ac:dyDescent="0.35">
      <c r="B839" s="203"/>
      <c r="C839" s="204"/>
      <c r="D839" s="204"/>
      <c r="E839" s="204"/>
      <c r="F839" s="205"/>
      <c r="G839" s="548"/>
      <c r="H839" s="550"/>
      <c r="I839" s="326"/>
      <c r="J839" s="326"/>
      <c r="K839" s="326"/>
      <c r="M839" s="463"/>
      <c r="N839" s="464"/>
    </row>
    <row r="840" spans="2:14" hidden="1" outlineLevel="1" x14ac:dyDescent="0.35">
      <c r="B840" s="203"/>
      <c r="C840" s="204"/>
      <c r="D840" s="204"/>
      <c r="E840" s="204"/>
      <c r="F840" s="205"/>
      <c r="G840" s="548"/>
      <c r="H840" s="550"/>
      <c r="I840" s="326"/>
      <c r="J840" s="326"/>
      <c r="K840" s="326"/>
      <c r="M840" s="463"/>
      <c r="N840" s="464"/>
    </row>
    <row r="841" spans="2:14" hidden="1" outlineLevel="1" x14ac:dyDescent="0.35">
      <c r="B841" s="203"/>
      <c r="C841" s="204"/>
      <c r="D841" s="204"/>
      <c r="E841" s="204"/>
      <c r="F841" s="205"/>
      <c r="G841" s="548"/>
      <c r="H841" s="550"/>
      <c r="I841" s="326"/>
      <c r="J841" s="326"/>
      <c r="K841" s="326"/>
      <c r="M841" s="463"/>
      <c r="N841" s="464"/>
    </row>
    <row r="842" spans="2:14" hidden="1" outlineLevel="1" x14ac:dyDescent="0.35">
      <c r="B842" s="203"/>
      <c r="C842" s="204"/>
      <c r="D842" s="204"/>
      <c r="E842" s="204"/>
      <c r="F842" s="205"/>
      <c r="G842" s="548"/>
      <c r="H842" s="550"/>
      <c r="I842" s="326"/>
      <c r="J842" s="326"/>
      <c r="K842" s="326"/>
      <c r="M842" s="463"/>
      <c r="N842" s="464"/>
    </row>
    <row r="843" spans="2:14" hidden="1" outlineLevel="1" x14ac:dyDescent="0.35">
      <c r="B843" s="203"/>
      <c r="C843" s="204"/>
      <c r="D843" s="204"/>
      <c r="E843" s="204"/>
      <c r="F843" s="205"/>
      <c r="G843" s="548"/>
      <c r="H843" s="550"/>
      <c r="I843" s="326"/>
      <c r="J843" s="326"/>
      <c r="K843" s="326"/>
      <c r="M843" s="463"/>
      <c r="N843" s="464"/>
    </row>
    <row r="844" spans="2:14" hidden="1" outlineLevel="1" x14ac:dyDescent="0.35">
      <c r="B844" s="203"/>
      <c r="C844" s="204"/>
      <c r="D844" s="204"/>
      <c r="E844" s="204"/>
      <c r="F844" s="205"/>
      <c r="G844" s="548"/>
      <c r="H844" s="550"/>
      <c r="I844" s="326"/>
      <c r="J844" s="326"/>
      <c r="K844" s="326"/>
      <c r="M844" s="463"/>
      <c r="N844" s="464"/>
    </row>
    <row r="845" spans="2:14" hidden="1" outlineLevel="1" x14ac:dyDescent="0.35">
      <c r="B845" s="203"/>
      <c r="C845" s="204"/>
      <c r="D845" s="204"/>
      <c r="E845" s="204"/>
      <c r="F845" s="205"/>
      <c r="G845" s="548"/>
      <c r="H845" s="550"/>
      <c r="I845" s="326"/>
      <c r="J845" s="326"/>
      <c r="K845" s="326"/>
      <c r="M845" s="463"/>
      <c r="N845" s="464"/>
    </row>
    <row r="846" spans="2:14" hidden="1" outlineLevel="1" x14ac:dyDescent="0.35">
      <c r="B846" s="203"/>
      <c r="C846" s="204"/>
      <c r="D846" s="204"/>
      <c r="E846" s="204"/>
      <c r="F846" s="205"/>
      <c r="G846" s="548"/>
      <c r="H846" s="550"/>
      <c r="I846" s="326"/>
      <c r="J846" s="326"/>
      <c r="K846" s="326"/>
      <c r="M846" s="463"/>
      <c r="N846" s="464"/>
    </row>
    <row r="847" spans="2:14" hidden="1" outlineLevel="1" x14ac:dyDescent="0.35">
      <c r="B847" s="203"/>
      <c r="C847" s="204"/>
      <c r="D847" s="204"/>
      <c r="E847" s="204"/>
      <c r="F847" s="205"/>
      <c r="G847" s="548"/>
      <c r="H847" s="550"/>
      <c r="I847" s="326"/>
      <c r="J847" s="326"/>
      <c r="K847" s="326"/>
      <c r="M847" s="463"/>
      <c r="N847" s="464"/>
    </row>
    <row r="848" spans="2:14" hidden="1" outlineLevel="1" x14ac:dyDescent="0.35">
      <c r="B848" s="203"/>
      <c r="C848" s="204"/>
      <c r="D848" s="204"/>
      <c r="E848" s="204"/>
      <c r="F848" s="205"/>
      <c r="G848" s="548"/>
      <c r="H848" s="550"/>
      <c r="I848" s="326"/>
      <c r="J848" s="326"/>
      <c r="K848" s="326"/>
      <c r="M848" s="463"/>
      <c r="N848" s="464"/>
    </row>
    <row r="849" spans="2:14" hidden="1" outlineLevel="1" x14ac:dyDescent="0.35">
      <c r="B849" s="203"/>
      <c r="C849" s="204"/>
      <c r="D849" s="204"/>
      <c r="E849" s="204"/>
      <c r="F849" s="205"/>
      <c r="G849" s="548"/>
      <c r="H849" s="550"/>
      <c r="I849" s="326"/>
      <c r="J849" s="326"/>
      <c r="K849" s="326"/>
      <c r="M849" s="463"/>
      <c r="N849" s="464"/>
    </row>
    <row r="850" spans="2:14" hidden="1" outlineLevel="1" x14ac:dyDescent="0.35">
      <c r="B850" s="203"/>
      <c r="C850" s="204"/>
      <c r="D850" s="204"/>
      <c r="E850" s="204"/>
      <c r="F850" s="205"/>
      <c r="G850" s="548"/>
      <c r="H850" s="550"/>
      <c r="I850" s="326"/>
      <c r="J850" s="326"/>
      <c r="K850" s="326"/>
      <c r="M850" s="463"/>
      <c r="N850" s="464"/>
    </row>
    <row r="851" spans="2:14" hidden="1" outlineLevel="1" x14ac:dyDescent="0.35">
      <c r="B851" s="203"/>
      <c r="C851" s="204"/>
      <c r="D851" s="204"/>
      <c r="E851" s="204"/>
      <c r="F851" s="205"/>
      <c r="G851" s="548"/>
      <c r="H851" s="550"/>
      <c r="I851" s="326"/>
      <c r="J851" s="326"/>
      <c r="K851" s="326"/>
      <c r="M851" s="463"/>
      <c r="N851" s="464"/>
    </row>
    <row r="852" spans="2:14" hidden="1" outlineLevel="1" x14ac:dyDescent="0.35">
      <c r="B852" s="203"/>
      <c r="C852" s="204"/>
      <c r="D852" s="204"/>
      <c r="E852" s="204"/>
      <c r="F852" s="205"/>
      <c r="G852" s="548"/>
      <c r="H852" s="550"/>
      <c r="I852" s="326"/>
      <c r="J852" s="326"/>
      <c r="K852" s="326"/>
      <c r="M852" s="463"/>
      <c r="N852" s="464"/>
    </row>
    <row r="853" spans="2:14" hidden="1" outlineLevel="1" x14ac:dyDescent="0.35">
      <c r="B853" s="203"/>
      <c r="C853" s="204"/>
      <c r="D853" s="204"/>
      <c r="E853" s="204"/>
      <c r="F853" s="205"/>
      <c r="G853" s="548"/>
      <c r="H853" s="550"/>
      <c r="I853" s="326"/>
      <c r="J853" s="326"/>
      <c r="K853" s="326"/>
      <c r="M853" s="463"/>
      <c r="N853" s="464"/>
    </row>
    <row r="854" spans="2:14" hidden="1" outlineLevel="1" x14ac:dyDescent="0.35">
      <c r="B854" s="203"/>
      <c r="C854" s="204"/>
      <c r="D854" s="204"/>
      <c r="E854" s="204"/>
      <c r="F854" s="205"/>
      <c r="G854" s="548"/>
      <c r="H854" s="550"/>
      <c r="I854" s="326"/>
      <c r="J854" s="326"/>
      <c r="K854" s="326"/>
      <c r="M854" s="463"/>
      <c r="N854" s="464"/>
    </row>
    <row r="855" spans="2:14" hidden="1" outlineLevel="1" x14ac:dyDescent="0.35">
      <c r="B855" s="203"/>
      <c r="C855" s="204"/>
      <c r="D855" s="204"/>
      <c r="E855" s="204"/>
      <c r="F855" s="205"/>
      <c r="G855" s="548"/>
      <c r="H855" s="550"/>
      <c r="I855" s="326"/>
      <c r="J855" s="326"/>
      <c r="K855" s="326"/>
      <c r="M855" s="463"/>
      <c r="N855" s="464"/>
    </row>
    <row r="856" spans="2:14" hidden="1" outlineLevel="1" x14ac:dyDescent="0.35">
      <c r="B856" s="203"/>
      <c r="C856" s="204"/>
      <c r="D856" s="204"/>
      <c r="E856" s="204"/>
      <c r="F856" s="205"/>
      <c r="G856" s="548"/>
      <c r="H856" s="550"/>
      <c r="I856" s="326"/>
      <c r="J856" s="326"/>
      <c r="K856" s="326"/>
      <c r="M856" s="463"/>
      <c r="N856" s="464"/>
    </row>
    <row r="857" spans="2:14" hidden="1" outlineLevel="1" x14ac:dyDescent="0.35">
      <c r="B857" s="203"/>
      <c r="C857" s="204"/>
      <c r="D857" s="204"/>
      <c r="E857" s="204"/>
      <c r="F857" s="205"/>
      <c r="G857" s="548"/>
      <c r="H857" s="550"/>
      <c r="I857" s="326"/>
      <c r="J857" s="326"/>
      <c r="K857" s="326"/>
      <c r="M857" s="463"/>
      <c r="N857" s="464"/>
    </row>
    <row r="858" spans="2:14" hidden="1" outlineLevel="1" x14ac:dyDescent="0.35">
      <c r="B858" s="203"/>
      <c r="C858" s="204"/>
      <c r="D858" s="204"/>
      <c r="E858" s="204"/>
      <c r="F858" s="205"/>
      <c r="G858" s="548"/>
      <c r="H858" s="550"/>
      <c r="I858" s="326"/>
      <c r="J858" s="326"/>
      <c r="K858" s="326"/>
      <c r="M858" s="463"/>
      <c r="N858" s="464"/>
    </row>
    <row r="859" spans="2:14" hidden="1" outlineLevel="1" x14ac:dyDescent="0.35">
      <c r="B859" s="203"/>
      <c r="C859" s="204"/>
      <c r="D859" s="204"/>
      <c r="E859" s="204"/>
      <c r="F859" s="205"/>
      <c r="G859" s="548"/>
      <c r="H859" s="550"/>
      <c r="I859" s="326"/>
      <c r="J859" s="326"/>
      <c r="K859" s="326"/>
      <c r="M859" s="463"/>
      <c r="N859" s="464"/>
    </row>
    <row r="860" spans="2:14" hidden="1" outlineLevel="1" x14ac:dyDescent="0.35">
      <c r="B860" s="203"/>
      <c r="C860" s="204"/>
      <c r="D860" s="204"/>
      <c r="E860" s="204"/>
      <c r="F860" s="205"/>
      <c r="G860" s="548"/>
      <c r="H860" s="550"/>
      <c r="I860" s="326"/>
      <c r="J860" s="326"/>
      <c r="K860" s="326"/>
      <c r="M860" s="463"/>
      <c r="N860" s="464"/>
    </row>
    <row r="861" spans="2:14" hidden="1" outlineLevel="1" x14ac:dyDescent="0.35">
      <c r="B861" s="203"/>
      <c r="C861" s="204"/>
      <c r="D861" s="204"/>
      <c r="E861" s="204"/>
      <c r="F861" s="205"/>
      <c r="G861" s="548"/>
      <c r="H861" s="550"/>
      <c r="I861" s="326"/>
      <c r="J861" s="326"/>
      <c r="K861" s="326"/>
      <c r="M861" s="463"/>
      <c r="N861" s="464"/>
    </row>
    <row r="862" spans="2:14" hidden="1" outlineLevel="1" x14ac:dyDescent="0.35">
      <c r="B862" s="203"/>
      <c r="C862" s="204"/>
      <c r="D862" s="204"/>
      <c r="E862" s="204"/>
      <c r="F862" s="205"/>
      <c r="G862" s="548"/>
      <c r="H862" s="550"/>
      <c r="I862" s="326"/>
      <c r="J862" s="326"/>
      <c r="K862" s="326"/>
      <c r="M862" s="463"/>
      <c r="N862" s="464"/>
    </row>
    <row r="863" spans="2:14" hidden="1" outlineLevel="1" x14ac:dyDescent="0.35">
      <c r="B863" s="203"/>
      <c r="C863" s="204"/>
      <c r="D863" s="204"/>
      <c r="E863" s="204"/>
      <c r="F863" s="205"/>
      <c r="G863" s="548"/>
      <c r="H863" s="550"/>
      <c r="I863" s="326"/>
      <c r="J863" s="326"/>
      <c r="K863" s="326"/>
      <c r="M863" s="463"/>
      <c r="N863" s="464"/>
    </row>
    <row r="864" spans="2:14" hidden="1" outlineLevel="1" x14ac:dyDescent="0.35">
      <c r="B864" s="203"/>
      <c r="C864" s="204"/>
      <c r="D864" s="204"/>
      <c r="E864" s="204"/>
      <c r="F864" s="205"/>
      <c r="G864" s="548"/>
      <c r="H864" s="550"/>
      <c r="I864" s="326"/>
      <c r="J864" s="326"/>
      <c r="K864" s="326"/>
      <c r="M864" s="463"/>
      <c r="N864" s="464"/>
    </row>
    <row r="865" spans="2:14" hidden="1" outlineLevel="1" x14ac:dyDescent="0.35">
      <c r="B865" s="203"/>
      <c r="C865" s="204"/>
      <c r="D865" s="204"/>
      <c r="E865" s="204"/>
      <c r="F865" s="205"/>
      <c r="G865" s="548"/>
      <c r="H865" s="550"/>
      <c r="I865" s="326"/>
      <c r="J865" s="326"/>
      <c r="K865" s="326"/>
      <c r="M865" s="463"/>
      <c r="N865" s="464"/>
    </row>
    <row r="866" spans="2:14" hidden="1" outlineLevel="1" x14ac:dyDescent="0.35">
      <c r="B866" s="203"/>
      <c r="C866" s="204"/>
      <c r="D866" s="204"/>
      <c r="E866" s="204"/>
      <c r="F866" s="205"/>
      <c r="G866" s="548"/>
      <c r="H866" s="550"/>
      <c r="I866" s="326"/>
      <c r="J866" s="326"/>
      <c r="K866" s="326"/>
      <c r="M866" s="463"/>
      <c r="N866" s="464"/>
    </row>
    <row r="867" spans="2:14" hidden="1" outlineLevel="1" x14ac:dyDescent="0.35">
      <c r="B867" s="203"/>
      <c r="C867" s="204"/>
      <c r="D867" s="204"/>
      <c r="E867" s="204"/>
      <c r="F867" s="205"/>
      <c r="G867" s="548"/>
      <c r="H867" s="550"/>
      <c r="I867" s="326"/>
      <c r="J867" s="326"/>
      <c r="K867" s="326"/>
      <c r="M867" s="463"/>
      <c r="N867" s="464"/>
    </row>
    <row r="868" spans="2:14" hidden="1" outlineLevel="1" x14ac:dyDescent="0.35">
      <c r="B868" s="203"/>
      <c r="C868" s="204"/>
      <c r="D868" s="204"/>
      <c r="E868" s="204"/>
      <c r="F868" s="205"/>
      <c r="G868" s="548"/>
      <c r="H868" s="550"/>
      <c r="I868" s="326"/>
      <c r="J868" s="326"/>
      <c r="K868" s="326"/>
      <c r="M868" s="463"/>
      <c r="N868" s="464"/>
    </row>
    <row r="869" spans="2:14" hidden="1" outlineLevel="1" x14ac:dyDescent="0.35">
      <c r="B869" s="203"/>
      <c r="C869" s="204"/>
      <c r="D869" s="204"/>
      <c r="E869" s="204"/>
      <c r="F869" s="205"/>
      <c r="G869" s="548"/>
      <c r="H869" s="550"/>
      <c r="I869" s="326"/>
      <c r="J869" s="326"/>
      <c r="K869" s="326"/>
      <c r="M869" s="463"/>
      <c r="N869" s="464"/>
    </row>
    <row r="870" spans="2:14" hidden="1" outlineLevel="1" x14ac:dyDescent="0.35">
      <c r="B870" s="203"/>
      <c r="C870" s="204"/>
      <c r="D870" s="204"/>
      <c r="E870" s="204"/>
      <c r="F870" s="205"/>
      <c r="G870" s="548"/>
      <c r="H870" s="550"/>
      <c r="I870" s="326"/>
      <c r="J870" s="326"/>
      <c r="K870" s="326"/>
      <c r="M870" s="463"/>
      <c r="N870" s="464"/>
    </row>
    <row r="871" spans="2:14" hidden="1" outlineLevel="1" x14ac:dyDescent="0.35">
      <c r="B871" s="203"/>
      <c r="C871" s="204"/>
      <c r="D871" s="204"/>
      <c r="E871" s="204"/>
      <c r="F871" s="205"/>
      <c r="G871" s="548"/>
      <c r="H871" s="550"/>
      <c r="I871" s="326"/>
      <c r="J871" s="326"/>
      <c r="K871" s="326"/>
      <c r="M871" s="463"/>
      <c r="N871" s="464"/>
    </row>
    <row r="872" spans="2:14" hidden="1" outlineLevel="1" x14ac:dyDescent="0.35">
      <c r="B872" s="203"/>
      <c r="C872" s="204"/>
      <c r="D872" s="204"/>
      <c r="E872" s="204"/>
      <c r="F872" s="205"/>
      <c r="G872" s="548"/>
      <c r="H872" s="550"/>
      <c r="I872" s="326"/>
      <c r="J872" s="326"/>
      <c r="K872" s="326"/>
      <c r="M872" s="463"/>
      <c r="N872" s="464"/>
    </row>
    <row r="873" spans="2:14" hidden="1" outlineLevel="1" x14ac:dyDescent="0.35">
      <c r="B873" s="203"/>
      <c r="C873" s="204"/>
      <c r="D873" s="204"/>
      <c r="E873" s="204"/>
      <c r="F873" s="205"/>
      <c r="G873" s="548"/>
      <c r="H873" s="550"/>
      <c r="I873" s="326"/>
      <c r="J873" s="326"/>
      <c r="K873" s="326"/>
      <c r="M873" s="463"/>
      <c r="N873" s="464"/>
    </row>
    <row r="874" spans="2:14" hidden="1" outlineLevel="1" x14ac:dyDescent="0.35">
      <c r="B874" s="203"/>
      <c r="C874" s="204"/>
      <c r="D874" s="204"/>
      <c r="E874" s="204"/>
      <c r="F874" s="205"/>
      <c r="G874" s="548"/>
      <c r="H874" s="550"/>
      <c r="I874" s="326"/>
      <c r="J874" s="326"/>
      <c r="K874" s="326"/>
      <c r="M874" s="463"/>
      <c r="N874" s="464"/>
    </row>
    <row r="875" spans="2:14" hidden="1" outlineLevel="1" x14ac:dyDescent="0.35">
      <c r="B875" s="203"/>
      <c r="C875" s="204"/>
      <c r="D875" s="204"/>
      <c r="E875" s="204"/>
      <c r="F875" s="205"/>
      <c r="G875" s="548"/>
      <c r="H875" s="550"/>
      <c r="I875" s="326"/>
      <c r="J875" s="326"/>
      <c r="K875" s="326"/>
      <c r="M875" s="463"/>
      <c r="N875" s="464"/>
    </row>
    <row r="876" spans="2:14" hidden="1" outlineLevel="1" x14ac:dyDescent="0.35">
      <c r="B876" s="203"/>
      <c r="C876" s="204"/>
      <c r="D876" s="204"/>
      <c r="E876" s="204"/>
      <c r="F876" s="205"/>
      <c r="G876" s="548"/>
      <c r="H876" s="550"/>
      <c r="I876" s="326"/>
      <c r="J876" s="326"/>
      <c r="K876" s="326"/>
      <c r="M876" s="463"/>
      <c r="N876" s="464"/>
    </row>
    <row r="877" spans="2:14" hidden="1" outlineLevel="1" x14ac:dyDescent="0.35">
      <c r="B877" s="203"/>
      <c r="C877" s="204"/>
      <c r="D877" s="204"/>
      <c r="E877" s="204"/>
      <c r="F877" s="205"/>
      <c r="G877" s="548"/>
      <c r="H877" s="550"/>
      <c r="I877" s="326"/>
      <c r="J877" s="326"/>
      <c r="K877" s="326"/>
      <c r="M877" s="463"/>
      <c r="N877" s="464"/>
    </row>
    <row r="878" spans="2:14" hidden="1" outlineLevel="1" x14ac:dyDescent="0.35">
      <c r="B878" s="203"/>
      <c r="C878" s="204"/>
      <c r="D878" s="204"/>
      <c r="E878" s="204"/>
      <c r="F878" s="205"/>
      <c r="G878" s="548"/>
      <c r="H878" s="550"/>
      <c r="I878" s="326"/>
      <c r="J878" s="326"/>
      <c r="K878" s="326"/>
      <c r="M878" s="463"/>
      <c r="N878" s="464"/>
    </row>
    <row r="879" spans="2:14" hidden="1" outlineLevel="1" x14ac:dyDescent="0.35">
      <c r="B879" s="203"/>
      <c r="C879" s="204"/>
      <c r="D879" s="204"/>
      <c r="E879" s="204"/>
      <c r="F879" s="205"/>
      <c r="G879" s="548"/>
      <c r="H879" s="550"/>
      <c r="I879" s="326"/>
      <c r="J879" s="326"/>
      <c r="K879" s="326"/>
      <c r="M879" s="463"/>
      <c r="N879" s="464"/>
    </row>
    <row r="880" spans="2:14" hidden="1" outlineLevel="1" x14ac:dyDescent="0.35">
      <c r="B880" s="203"/>
      <c r="C880" s="204"/>
      <c r="D880" s="204"/>
      <c r="E880" s="204"/>
      <c r="F880" s="205"/>
      <c r="G880" s="548"/>
      <c r="H880" s="550"/>
      <c r="I880" s="326"/>
      <c r="J880" s="326"/>
      <c r="K880" s="326"/>
      <c r="M880" s="463"/>
      <c r="N880" s="464"/>
    </row>
    <row r="881" spans="2:14" hidden="1" outlineLevel="1" x14ac:dyDescent="0.35">
      <c r="B881" s="203"/>
      <c r="C881" s="204"/>
      <c r="D881" s="204"/>
      <c r="E881" s="204"/>
      <c r="F881" s="205"/>
      <c r="G881" s="548"/>
      <c r="H881" s="550"/>
      <c r="I881" s="326"/>
      <c r="J881" s="326"/>
      <c r="K881" s="326"/>
      <c r="M881" s="463"/>
      <c r="N881" s="464"/>
    </row>
    <row r="882" spans="2:14" hidden="1" outlineLevel="1" x14ac:dyDescent="0.35">
      <c r="B882" s="203"/>
      <c r="C882" s="204"/>
      <c r="D882" s="204"/>
      <c r="E882" s="204"/>
      <c r="F882" s="205"/>
      <c r="G882" s="548"/>
      <c r="H882" s="550"/>
      <c r="I882" s="326"/>
      <c r="J882" s="326"/>
      <c r="K882" s="326"/>
      <c r="M882" s="463"/>
      <c r="N882" s="464"/>
    </row>
    <row r="883" spans="2:14" hidden="1" outlineLevel="1" x14ac:dyDescent="0.35">
      <c r="B883" s="203"/>
      <c r="C883" s="204"/>
      <c r="D883" s="204"/>
      <c r="E883" s="204"/>
      <c r="F883" s="205"/>
      <c r="G883" s="548"/>
      <c r="H883" s="550"/>
      <c r="I883" s="326"/>
      <c r="J883" s="326"/>
      <c r="K883" s="326"/>
      <c r="M883" s="463"/>
      <c r="N883" s="464"/>
    </row>
    <row r="884" spans="2:14" hidden="1" outlineLevel="1" x14ac:dyDescent="0.35">
      <c r="B884" s="203"/>
      <c r="C884" s="204"/>
      <c r="D884" s="204"/>
      <c r="E884" s="204"/>
      <c r="F884" s="205"/>
      <c r="G884" s="548"/>
      <c r="H884" s="550"/>
      <c r="I884" s="326"/>
      <c r="J884" s="326"/>
      <c r="K884" s="326"/>
      <c r="M884" s="463"/>
      <c r="N884" s="464"/>
    </row>
    <row r="885" spans="2:14" hidden="1" outlineLevel="1" x14ac:dyDescent="0.35">
      <c r="B885" s="203"/>
      <c r="C885" s="204"/>
      <c r="D885" s="204"/>
      <c r="E885" s="204"/>
      <c r="F885" s="205"/>
      <c r="G885" s="548"/>
      <c r="H885" s="550"/>
      <c r="I885" s="326"/>
      <c r="J885" s="326"/>
      <c r="K885" s="326"/>
      <c r="M885" s="463"/>
      <c r="N885" s="464"/>
    </row>
    <row r="886" spans="2:14" hidden="1" outlineLevel="1" x14ac:dyDescent="0.35">
      <c r="B886" s="203"/>
      <c r="C886" s="204"/>
      <c r="D886" s="204"/>
      <c r="E886" s="204"/>
      <c r="F886" s="205"/>
      <c r="G886" s="548"/>
      <c r="H886" s="550"/>
      <c r="I886" s="326"/>
      <c r="J886" s="326"/>
      <c r="K886" s="326"/>
      <c r="M886" s="463"/>
      <c r="N886" s="464"/>
    </row>
    <row r="887" spans="2:14" hidden="1" outlineLevel="1" x14ac:dyDescent="0.35">
      <c r="B887" s="203"/>
      <c r="C887" s="204"/>
      <c r="D887" s="204"/>
      <c r="E887" s="204"/>
      <c r="F887" s="205"/>
      <c r="G887" s="548"/>
      <c r="H887" s="550"/>
      <c r="I887" s="326"/>
      <c r="J887" s="326"/>
      <c r="K887" s="326"/>
      <c r="M887" s="463"/>
      <c r="N887" s="464"/>
    </row>
    <row r="888" spans="2:14" hidden="1" outlineLevel="1" x14ac:dyDescent="0.35">
      <c r="B888" s="203"/>
      <c r="C888" s="204"/>
      <c r="D888" s="204"/>
      <c r="E888" s="204"/>
      <c r="F888" s="205"/>
      <c r="G888" s="548"/>
      <c r="H888" s="550"/>
      <c r="I888" s="326"/>
      <c r="J888" s="326"/>
      <c r="K888" s="326"/>
      <c r="M888" s="463"/>
      <c r="N888" s="464"/>
    </row>
    <row r="889" spans="2:14" hidden="1" outlineLevel="1" x14ac:dyDescent="0.35">
      <c r="B889" s="203"/>
      <c r="C889" s="204"/>
      <c r="D889" s="204"/>
      <c r="E889" s="204"/>
      <c r="F889" s="205"/>
      <c r="G889" s="548"/>
      <c r="H889" s="550"/>
      <c r="I889" s="326"/>
      <c r="J889" s="326"/>
      <c r="K889" s="326"/>
      <c r="M889" s="463"/>
      <c r="N889" s="464"/>
    </row>
    <row r="890" spans="2:14" hidden="1" outlineLevel="1" x14ac:dyDescent="0.35">
      <c r="B890" s="203"/>
      <c r="C890" s="204"/>
      <c r="D890" s="204"/>
      <c r="E890" s="204"/>
      <c r="F890" s="205"/>
      <c r="G890" s="548"/>
      <c r="H890" s="550"/>
      <c r="I890" s="326"/>
      <c r="J890" s="326"/>
      <c r="K890" s="326"/>
      <c r="M890" s="463"/>
      <c r="N890" s="464"/>
    </row>
    <row r="891" spans="2:14" hidden="1" outlineLevel="1" x14ac:dyDescent="0.35">
      <c r="B891" s="203"/>
      <c r="C891" s="204"/>
      <c r="D891" s="204"/>
      <c r="E891" s="204"/>
      <c r="F891" s="205"/>
      <c r="G891" s="548"/>
      <c r="H891" s="550"/>
      <c r="I891" s="326"/>
      <c r="J891" s="326"/>
      <c r="K891" s="326"/>
      <c r="M891" s="463"/>
      <c r="N891" s="464"/>
    </row>
    <row r="892" spans="2:14" hidden="1" outlineLevel="1" x14ac:dyDescent="0.35">
      <c r="B892" s="203"/>
      <c r="C892" s="204"/>
      <c r="D892" s="204"/>
      <c r="E892" s="204"/>
      <c r="F892" s="205"/>
      <c r="G892" s="548"/>
      <c r="H892" s="550"/>
      <c r="I892" s="326"/>
      <c r="J892" s="326"/>
      <c r="K892" s="326"/>
      <c r="M892" s="463"/>
      <c r="N892" s="464"/>
    </row>
    <row r="893" spans="2:14" hidden="1" outlineLevel="1" x14ac:dyDescent="0.35">
      <c r="B893" s="203"/>
      <c r="C893" s="204"/>
      <c r="D893" s="204"/>
      <c r="E893" s="204"/>
      <c r="F893" s="205"/>
      <c r="G893" s="548"/>
      <c r="H893" s="550"/>
      <c r="I893" s="326"/>
      <c r="J893" s="326"/>
      <c r="K893" s="326"/>
      <c r="M893" s="463"/>
      <c r="N893" s="464"/>
    </row>
    <row r="894" spans="2:14" hidden="1" outlineLevel="1" x14ac:dyDescent="0.35">
      <c r="B894" s="203"/>
      <c r="C894" s="204"/>
      <c r="D894" s="204"/>
      <c r="E894" s="204"/>
      <c r="F894" s="205"/>
      <c r="G894" s="548"/>
      <c r="H894" s="550"/>
      <c r="I894" s="326"/>
      <c r="J894" s="326"/>
      <c r="K894" s="326"/>
      <c r="M894" s="463"/>
      <c r="N894" s="464"/>
    </row>
    <row r="895" spans="2:14" hidden="1" outlineLevel="1" x14ac:dyDescent="0.35">
      <c r="B895" s="203"/>
      <c r="C895" s="204"/>
      <c r="D895" s="204"/>
      <c r="E895" s="204"/>
      <c r="F895" s="205"/>
      <c r="G895" s="548"/>
      <c r="H895" s="550"/>
      <c r="I895" s="326"/>
      <c r="J895" s="326"/>
      <c r="K895" s="326"/>
      <c r="M895" s="463"/>
      <c r="N895" s="464"/>
    </row>
    <row r="896" spans="2:14" hidden="1" outlineLevel="1" x14ac:dyDescent="0.35">
      <c r="B896" s="203"/>
      <c r="C896" s="204"/>
      <c r="D896" s="204"/>
      <c r="E896" s="204"/>
      <c r="F896" s="205"/>
      <c r="G896" s="548"/>
      <c r="H896" s="550"/>
      <c r="I896" s="326"/>
      <c r="J896" s="326"/>
      <c r="K896" s="326"/>
      <c r="M896" s="463"/>
      <c r="N896" s="464"/>
    </row>
    <row r="897" spans="2:14" hidden="1" outlineLevel="1" x14ac:dyDescent="0.35">
      <c r="B897" s="203"/>
      <c r="C897" s="204"/>
      <c r="D897" s="204"/>
      <c r="E897" s="204"/>
      <c r="F897" s="205"/>
      <c r="G897" s="548"/>
      <c r="H897" s="550"/>
      <c r="I897" s="326"/>
      <c r="J897" s="326"/>
      <c r="K897" s="326"/>
      <c r="M897" s="463"/>
      <c r="N897" s="464"/>
    </row>
    <row r="898" spans="2:14" hidden="1" outlineLevel="1" x14ac:dyDescent="0.35">
      <c r="B898" s="203"/>
      <c r="C898" s="204"/>
      <c r="D898" s="204"/>
      <c r="E898" s="204"/>
      <c r="F898" s="205"/>
      <c r="G898" s="548"/>
      <c r="H898" s="550"/>
      <c r="I898" s="326"/>
      <c r="J898" s="326"/>
      <c r="K898" s="326"/>
      <c r="M898" s="463"/>
      <c r="N898" s="464"/>
    </row>
    <row r="899" spans="2:14" hidden="1" outlineLevel="1" x14ac:dyDescent="0.35">
      <c r="B899" s="203"/>
      <c r="C899" s="204"/>
      <c r="D899" s="204"/>
      <c r="E899" s="204"/>
      <c r="F899" s="205"/>
      <c r="G899" s="548"/>
      <c r="H899" s="550"/>
      <c r="I899" s="326"/>
      <c r="J899" s="326"/>
      <c r="K899" s="326"/>
      <c r="M899" s="463"/>
      <c r="N899" s="464"/>
    </row>
    <row r="900" spans="2:14" hidden="1" outlineLevel="1" x14ac:dyDescent="0.35">
      <c r="B900" s="203"/>
      <c r="C900" s="204"/>
      <c r="D900" s="204"/>
      <c r="E900" s="204"/>
      <c r="F900" s="205"/>
      <c r="G900" s="548"/>
      <c r="H900" s="550"/>
      <c r="I900" s="326"/>
      <c r="J900" s="326"/>
      <c r="K900" s="326"/>
      <c r="M900" s="463"/>
      <c r="N900" s="464"/>
    </row>
    <row r="901" spans="2:14" hidden="1" outlineLevel="1" x14ac:dyDescent="0.35">
      <c r="B901" s="203"/>
      <c r="C901" s="204"/>
      <c r="D901" s="204"/>
      <c r="E901" s="204"/>
      <c r="F901" s="205"/>
      <c r="G901" s="548"/>
      <c r="H901" s="550"/>
      <c r="I901" s="326"/>
      <c r="J901" s="326"/>
      <c r="K901" s="326"/>
      <c r="M901" s="463"/>
      <c r="N901" s="464"/>
    </row>
    <row r="902" spans="2:14" hidden="1" outlineLevel="1" x14ac:dyDescent="0.35">
      <c r="B902" s="203"/>
      <c r="C902" s="204"/>
      <c r="D902" s="204"/>
      <c r="E902" s="204"/>
      <c r="F902" s="205"/>
      <c r="G902" s="548"/>
      <c r="H902" s="550"/>
      <c r="I902" s="326"/>
      <c r="J902" s="326"/>
      <c r="K902" s="326"/>
      <c r="M902" s="463"/>
      <c r="N902" s="464"/>
    </row>
    <row r="903" spans="2:14" hidden="1" outlineLevel="1" x14ac:dyDescent="0.35">
      <c r="B903" s="203"/>
      <c r="C903" s="204"/>
      <c r="D903" s="204"/>
      <c r="E903" s="204"/>
      <c r="F903" s="205"/>
      <c r="G903" s="548"/>
      <c r="H903" s="550"/>
      <c r="I903" s="326"/>
      <c r="J903" s="326"/>
      <c r="K903" s="326"/>
      <c r="M903" s="463"/>
      <c r="N903" s="464"/>
    </row>
    <row r="904" spans="2:14" hidden="1" outlineLevel="1" x14ac:dyDescent="0.35">
      <c r="B904" s="203"/>
      <c r="C904" s="204"/>
      <c r="D904" s="204"/>
      <c r="E904" s="204"/>
      <c r="F904" s="205"/>
      <c r="G904" s="548"/>
      <c r="H904" s="550"/>
      <c r="I904" s="326"/>
      <c r="J904" s="326"/>
      <c r="K904" s="326"/>
      <c r="M904" s="463"/>
      <c r="N904" s="464"/>
    </row>
    <row r="905" spans="2:14" hidden="1" outlineLevel="1" x14ac:dyDescent="0.35">
      <c r="B905" s="203"/>
      <c r="C905" s="204"/>
      <c r="D905" s="204"/>
      <c r="E905" s="204"/>
      <c r="F905" s="205"/>
      <c r="G905" s="548"/>
      <c r="H905" s="550"/>
      <c r="I905" s="326"/>
      <c r="J905" s="326"/>
      <c r="K905" s="326"/>
      <c r="M905" s="463"/>
      <c r="N905" s="464"/>
    </row>
    <row r="906" spans="2:14" hidden="1" outlineLevel="1" x14ac:dyDescent="0.35">
      <c r="B906" s="203"/>
      <c r="C906" s="204"/>
      <c r="D906" s="204"/>
      <c r="E906" s="204"/>
      <c r="F906" s="205"/>
      <c r="G906" s="548"/>
      <c r="H906" s="550"/>
      <c r="I906" s="326"/>
      <c r="J906" s="326"/>
      <c r="K906" s="326"/>
      <c r="M906" s="463"/>
      <c r="N906" s="464"/>
    </row>
    <row r="907" spans="2:14" hidden="1" outlineLevel="1" x14ac:dyDescent="0.35">
      <c r="B907" s="203"/>
      <c r="C907" s="204"/>
      <c r="D907" s="204"/>
      <c r="E907" s="204"/>
      <c r="F907" s="205"/>
      <c r="G907" s="548"/>
      <c r="H907" s="550"/>
      <c r="I907" s="326"/>
      <c r="J907" s="326"/>
      <c r="K907" s="326"/>
      <c r="M907" s="463"/>
      <c r="N907" s="464"/>
    </row>
    <row r="908" spans="2:14" hidden="1" outlineLevel="1" x14ac:dyDescent="0.35">
      <c r="B908" s="203"/>
      <c r="C908" s="204"/>
      <c r="D908" s="204"/>
      <c r="E908" s="204"/>
      <c r="F908" s="205"/>
      <c r="G908" s="548"/>
      <c r="H908" s="550"/>
      <c r="I908" s="326"/>
      <c r="J908" s="326"/>
      <c r="K908" s="326"/>
      <c r="M908" s="463"/>
      <c r="N908" s="464"/>
    </row>
    <row r="909" spans="2:14" hidden="1" outlineLevel="1" x14ac:dyDescent="0.35">
      <c r="B909" s="203"/>
      <c r="C909" s="204"/>
      <c r="D909" s="204"/>
      <c r="E909" s="204"/>
      <c r="F909" s="205"/>
      <c r="G909" s="548"/>
      <c r="H909" s="550"/>
      <c r="I909" s="326"/>
      <c r="J909" s="326"/>
      <c r="K909" s="326"/>
      <c r="M909" s="463"/>
      <c r="N909" s="464"/>
    </row>
    <row r="910" spans="2:14" hidden="1" outlineLevel="1" x14ac:dyDescent="0.35">
      <c r="B910" s="203"/>
      <c r="C910" s="204"/>
      <c r="D910" s="204"/>
      <c r="E910" s="204"/>
      <c r="F910" s="205"/>
      <c r="G910" s="548"/>
      <c r="H910" s="550"/>
      <c r="I910" s="326"/>
      <c r="J910" s="326"/>
      <c r="K910" s="326"/>
      <c r="M910" s="463"/>
      <c r="N910" s="464"/>
    </row>
    <row r="911" spans="2:14" hidden="1" outlineLevel="1" x14ac:dyDescent="0.35">
      <c r="B911" s="203"/>
      <c r="C911" s="204"/>
      <c r="D911" s="204"/>
      <c r="E911" s="204"/>
      <c r="F911" s="205"/>
      <c r="G911" s="548"/>
      <c r="H911" s="550"/>
      <c r="I911" s="326"/>
      <c r="J911" s="326"/>
      <c r="K911" s="326"/>
      <c r="M911" s="463"/>
      <c r="N911" s="464"/>
    </row>
    <row r="912" spans="2:14" hidden="1" outlineLevel="1" x14ac:dyDescent="0.35">
      <c r="B912" s="203"/>
      <c r="C912" s="204"/>
      <c r="D912" s="204"/>
      <c r="E912" s="204"/>
      <c r="F912" s="205"/>
      <c r="G912" s="548"/>
      <c r="H912" s="550"/>
      <c r="I912" s="326"/>
      <c r="J912" s="326"/>
      <c r="K912" s="326"/>
      <c r="M912" s="463"/>
      <c r="N912" s="464"/>
    </row>
    <row r="913" spans="2:14" hidden="1" outlineLevel="1" x14ac:dyDescent="0.35">
      <c r="B913" s="203"/>
      <c r="C913" s="204"/>
      <c r="D913" s="204"/>
      <c r="E913" s="204"/>
      <c r="F913" s="205"/>
      <c r="G913" s="548"/>
      <c r="H913" s="550"/>
      <c r="I913" s="326"/>
      <c r="J913" s="326"/>
      <c r="K913" s="326"/>
      <c r="M913" s="463"/>
      <c r="N913" s="464"/>
    </row>
    <row r="914" spans="2:14" hidden="1" outlineLevel="1" x14ac:dyDescent="0.35">
      <c r="B914" s="203"/>
      <c r="C914" s="204"/>
      <c r="D914" s="204"/>
      <c r="E914" s="204"/>
      <c r="F914" s="205"/>
      <c r="G914" s="548"/>
      <c r="H914" s="550"/>
      <c r="I914" s="326"/>
      <c r="J914" s="326"/>
      <c r="K914" s="326"/>
      <c r="M914" s="463"/>
      <c r="N914" s="464"/>
    </row>
    <row r="915" spans="2:14" hidden="1" outlineLevel="1" x14ac:dyDescent="0.35">
      <c r="B915" s="203"/>
      <c r="C915" s="204"/>
      <c r="D915" s="204"/>
      <c r="E915" s="204"/>
      <c r="F915" s="205"/>
      <c r="G915" s="548"/>
      <c r="H915" s="550"/>
      <c r="I915" s="326"/>
      <c r="J915" s="326"/>
      <c r="K915" s="326"/>
      <c r="M915" s="463"/>
      <c r="N915" s="464"/>
    </row>
    <row r="916" spans="2:14" hidden="1" outlineLevel="1" x14ac:dyDescent="0.35">
      <c r="B916" s="203"/>
      <c r="C916" s="204"/>
      <c r="D916" s="204"/>
      <c r="E916" s="204"/>
      <c r="F916" s="205"/>
      <c r="G916" s="548"/>
      <c r="H916" s="550"/>
      <c r="I916" s="326"/>
      <c r="J916" s="326"/>
      <c r="K916" s="326"/>
      <c r="M916" s="463"/>
      <c r="N916" s="464"/>
    </row>
    <row r="917" spans="2:14" hidden="1" outlineLevel="1" x14ac:dyDescent="0.35">
      <c r="B917" s="203"/>
      <c r="C917" s="204"/>
      <c r="D917" s="204"/>
      <c r="E917" s="204"/>
      <c r="F917" s="205"/>
      <c r="G917" s="548"/>
      <c r="H917" s="550"/>
      <c r="I917" s="326"/>
      <c r="J917" s="326"/>
      <c r="K917" s="326"/>
      <c r="M917" s="463"/>
      <c r="N917" s="464"/>
    </row>
    <row r="918" spans="2:14" hidden="1" outlineLevel="1" x14ac:dyDescent="0.35">
      <c r="B918" s="203"/>
      <c r="C918" s="204"/>
      <c r="D918" s="204"/>
      <c r="E918" s="204"/>
      <c r="F918" s="205"/>
      <c r="G918" s="548"/>
      <c r="H918" s="550"/>
      <c r="I918" s="326"/>
      <c r="J918" s="326"/>
      <c r="K918" s="326"/>
      <c r="M918" s="463"/>
      <c r="N918" s="464"/>
    </row>
    <row r="919" spans="2:14" hidden="1" outlineLevel="1" x14ac:dyDescent="0.35">
      <c r="B919" s="203"/>
      <c r="C919" s="204"/>
      <c r="D919" s="204"/>
      <c r="E919" s="204"/>
      <c r="F919" s="205"/>
      <c r="G919" s="548"/>
      <c r="H919" s="550"/>
      <c r="I919" s="326"/>
      <c r="J919" s="326"/>
      <c r="K919" s="326"/>
      <c r="M919" s="463"/>
      <c r="N919" s="464"/>
    </row>
    <row r="920" spans="2:14" hidden="1" outlineLevel="1" x14ac:dyDescent="0.35">
      <c r="B920" s="203"/>
      <c r="C920" s="204"/>
      <c r="D920" s="204"/>
      <c r="E920" s="204"/>
      <c r="F920" s="205"/>
      <c r="G920" s="548"/>
      <c r="H920" s="550"/>
      <c r="I920" s="326"/>
      <c r="J920" s="326"/>
      <c r="K920" s="326"/>
      <c r="M920" s="463"/>
      <c r="N920" s="464"/>
    </row>
    <row r="921" spans="2:14" hidden="1" outlineLevel="1" x14ac:dyDescent="0.35">
      <c r="B921" s="203"/>
      <c r="C921" s="204"/>
      <c r="D921" s="204"/>
      <c r="E921" s="204"/>
      <c r="F921" s="205"/>
      <c r="G921" s="548"/>
      <c r="H921" s="550"/>
      <c r="I921" s="326"/>
      <c r="J921" s="326"/>
      <c r="K921" s="326"/>
      <c r="M921" s="463"/>
      <c r="N921" s="464"/>
    </row>
    <row r="922" spans="2:14" hidden="1" outlineLevel="1" x14ac:dyDescent="0.35">
      <c r="B922" s="203"/>
      <c r="C922" s="204"/>
      <c r="D922" s="204"/>
      <c r="E922" s="204"/>
      <c r="F922" s="205"/>
      <c r="G922" s="548"/>
      <c r="H922" s="550"/>
      <c r="I922" s="326"/>
      <c r="J922" s="326"/>
      <c r="K922" s="326"/>
      <c r="M922" s="463"/>
      <c r="N922" s="464"/>
    </row>
    <row r="923" spans="2:14" hidden="1" outlineLevel="1" x14ac:dyDescent="0.35">
      <c r="B923" s="203"/>
      <c r="C923" s="204"/>
      <c r="D923" s="204"/>
      <c r="E923" s="204"/>
      <c r="F923" s="205"/>
      <c r="G923" s="548"/>
      <c r="H923" s="550"/>
      <c r="I923" s="326"/>
      <c r="J923" s="326"/>
      <c r="K923" s="326"/>
      <c r="M923" s="463"/>
      <c r="N923" s="464"/>
    </row>
    <row r="924" spans="2:14" hidden="1" outlineLevel="1" x14ac:dyDescent="0.35">
      <c r="B924" s="203"/>
      <c r="C924" s="204"/>
      <c r="D924" s="204"/>
      <c r="E924" s="204"/>
      <c r="F924" s="205"/>
      <c r="G924" s="548"/>
      <c r="H924" s="550"/>
      <c r="I924" s="326"/>
      <c r="J924" s="326"/>
      <c r="K924" s="326"/>
      <c r="M924" s="463"/>
      <c r="N924" s="464"/>
    </row>
    <row r="925" spans="2:14" hidden="1" outlineLevel="1" x14ac:dyDescent="0.35">
      <c r="B925" s="203"/>
      <c r="C925" s="204"/>
      <c r="D925" s="204"/>
      <c r="E925" s="204"/>
      <c r="F925" s="205"/>
      <c r="G925" s="548"/>
      <c r="H925" s="550"/>
      <c r="I925" s="326"/>
      <c r="J925" s="326"/>
      <c r="K925" s="326"/>
      <c r="M925" s="463"/>
      <c r="N925" s="464"/>
    </row>
    <row r="926" spans="2:14" hidden="1" outlineLevel="1" x14ac:dyDescent="0.35">
      <c r="B926" s="203"/>
      <c r="C926" s="204"/>
      <c r="D926" s="204"/>
      <c r="E926" s="204"/>
      <c r="F926" s="205"/>
      <c r="G926" s="548"/>
      <c r="H926" s="550"/>
      <c r="I926" s="326"/>
      <c r="J926" s="326"/>
      <c r="K926" s="326"/>
      <c r="M926" s="463"/>
      <c r="N926" s="464"/>
    </row>
    <row r="927" spans="2:14" hidden="1" outlineLevel="1" x14ac:dyDescent="0.35">
      <c r="B927" s="203"/>
      <c r="C927" s="204"/>
      <c r="D927" s="204"/>
      <c r="E927" s="204"/>
      <c r="F927" s="205"/>
      <c r="G927" s="548"/>
      <c r="H927" s="550"/>
      <c r="I927" s="326"/>
      <c r="J927" s="326"/>
      <c r="K927" s="326"/>
      <c r="M927" s="463"/>
      <c r="N927" s="464"/>
    </row>
    <row r="928" spans="2:14" hidden="1" outlineLevel="1" x14ac:dyDescent="0.35">
      <c r="B928" s="203"/>
      <c r="C928" s="204"/>
      <c r="D928" s="204"/>
      <c r="E928" s="204"/>
      <c r="F928" s="205"/>
      <c r="G928" s="548"/>
      <c r="H928" s="550"/>
      <c r="I928" s="326"/>
      <c r="J928" s="326"/>
      <c r="K928" s="326"/>
      <c r="M928" s="463"/>
      <c r="N928" s="464"/>
    </row>
    <row r="929" spans="2:14" hidden="1" outlineLevel="1" x14ac:dyDescent="0.35">
      <c r="B929" s="203"/>
      <c r="C929" s="204"/>
      <c r="D929" s="204"/>
      <c r="E929" s="204"/>
      <c r="F929" s="205"/>
      <c r="G929" s="548"/>
      <c r="H929" s="550"/>
      <c r="I929" s="326"/>
      <c r="J929" s="326"/>
      <c r="K929" s="326"/>
      <c r="M929" s="463"/>
      <c r="N929" s="464"/>
    </row>
    <row r="930" spans="2:14" hidden="1" outlineLevel="1" x14ac:dyDescent="0.35">
      <c r="B930" s="203"/>
      <c r="C930" s="204"/>
      <c r="D930" s="204"/>
      <c r="E930" s="204"/>
      <c r="F930" s="205"/>
      <c r="G930" s="548"/>
      <c r="H930" s="550"/>
      <c r="I930" s="326"/>
      <c r="J930" s="326"/>
      <c r="K930" s="326"/>
      <c r="M930" s="463"/>
      <c r="N930" s="464"/>
    </row>
    <row r="931" spans="2:14" hidden="1" outlineLevel="1" x14ac:dyDescent="0.35">
      <c r="B931" s="203"/>
      <c r="C931" s="204"/>
      <c r="D931" s="204"/>
      <c r="E931" s="204"/>
      <c r="F931" s="205"/>
      <c r="G931" s="548"/>
      <c r="H931" s="550"/>
      <c r="I931" s="326"/>
      <c r="J931" s="326"/>
      <c r="K931" s="326"/>
      <c r="M931" s="463"/>
      <c r="N931" s="464"/>
    </row>
    <row r="932" spans="2:14" hidden="1" outlineLevel="1" x14ac:dyDescent="0.35">
      <c r="B932" s="203"/>
      <c r="C932" s="204"/>
      <c r="D932" s="204"/>
      <c r="E932" s="204"/>
      <c r="F932" s="205"/>
      <c r="G932" s="548"/>
      <c r="H932" s="550"/>
      <c r="I932" s="326"/>
      <c r="J932" s="326"/>
      <c r="K932" s="326"/>
      <c r="M932" s="463"/>
      <c r="N932" s="464"/>
    </row>
    <row r="933" spans="2:14" hidden="1" outlineLevel="1" x14ac:dyDescent="0.35">
      <c r="B933" s="203"/>
      <c r="C933" s="204"/>
      <c r="D933" s="204"/>
      <c r="E933" s="204"/>
      <c r="F933" s="205"/>
      <c r="G933" s="548"/>
      <c r="H933" s="550"/>
      <c r="I933" s="326"/>
      <c r="J933" s="326"/>
      <c r="K933" s="326"/>
      <c r="M933" s="463"/>
      <c r="N933" s="464"/>
    </row>
    <row r="934" spans="2:14" hidden="1" outlineLevel="1" x14ac:dyDescent="0.35">
      <c r="B934" s="203"/>
      <c r="C934" s="204"/>
      <c r="D934" s="204"/>
      <c r="E934" s="204"/>
      <c r="F934" s="205"/>
      <c r="G934" s="548"/>
      <c r="H934" s="550"/>
      <c r="I934" s="326"/>
      <c r="J934" s="326"/>
      <c r="K934" s="326"/>
      <c r="M934" s="463"/>
      <c r="N934" s="464"/>
    </row>
    <row r="935" spans="2:14" hidden="1" outlineLevel="1" x14ac:dyDescent="0.35">
      <c r="B935" s="203"/>
      <c r="C935" s="204"/>
      <c r="D935" s="204"/>
      <c r="E935" s="204"/>
      <c r="F935" s="205"/>
      <c r="G935" s="548"/>
      <c r="H935" s="550"/>
      <c r="I935" s="326"/>
      <c r="J935" s="326"/>
      <c r="K935" s="326"/>
      <c r="M935" s="463"/>
      <c r="N935" s="464"/>
    </row>
    <row r="936" spans="2:14" hidden="1" outlineLevel="1" x14ac:dyDescent="0.35">
      <c r="B936" s="203"/>
      <c r="C936" s="204"/>
      <c r="D936" s="204"/>
      <c r="E936" s="204"/>
      <c r="F936" s="205"/>
      <c r="G936" s="548"/>
      <c r="H936" s="550"/>
      <c r="I936" s="326"/>
      <c r="J936" s="326"/>
      <c r="K936" s="326"/>
      <c r="M936" s="463"/>
      <c r="N936" s="464"/>
    </row>
    <row r="937" spans="2:14" hidden="1" outlineLevel="1" x14ac:dyDescent="0.35">
      <c r="B937" s="203"/>
      <c r="C937" s="204"/>
      <c r="D937" s="204"/>
      <c r="E937" s="204"/>
      <c r="F937" s="205"/>
      <c r="G937" s="548"/>
      <c r="H937" s="550"/>
      <c r="I937" s="326"/>
      <c r="J937" s="326"/>
      <c r="K937" s="326"/>
      <c r="M937" s="463"/>
      <c r="N937" s="464"/>
    </row>
    <row r="938" spans="2:14" hidden="1" outlineLevel="1" x14ac:dyDescent="0.35">
      <c r="B938" s="203"/>
      <c r="C938" s="204"/>
      <c r="D938" s="204"/>
      <c r="E938" s="204"/>
      <c r="F938" s="205"/>
      <c r="G938" s="548"/>
      <c r="H938" s="550"/>
      <c r="I938" s="326"/>
      <c r="J938" s="326"/>
      <c r="K938" s="326"/>
      <c r="M938" s="463"/>
      <c r="N938" s="464"/>
    </row>
    <row r="939" spans="2:14" hidden="1" outlineLevel="1" x14ac:dyDescent="0.35">
      <c r="B939" s="203"/>
      <c r="C939" s="204"/>
      <c r="D939" s="204"/>
      <c r="E939" s="204"/>
      <c r="F939" s="205"/>
      <c r="G939" s="548"/>
      <c r="H939" s="550"/>
      <c r="I939" s="326"/>
      <c r="J939" s="326"/>
      <c r="K939" s="326"/>
      <c r="M939" s="463"/>
      <c r="N939" s="464"/>
    </row>
    <row r="940" spans="2:14" hidden="1" outlineLevel="1" x14ac:dyDescent="0.35">
      <c r="B940" s="203"/>
      <c r="C940" s="204"/>
      <c r="D940" s="204"/>
      <c r="E940" s="204"/>
      <c r="F940" s="205"/>
      <c r="G940" s="548"/>
      <c r="H940" s="550"/>
      <c r="I940" s="326"/>
      <c r="J940" s="326"/>
      <c r="K940" s="326"/>
      <c r="M940" s="463"/>
      <c r="N940" s="464"/>
    </row>
    <row r="941" spans="2:14" hidden="1" outlineLevel="1" x14ac:dyDescent="0.35">
      <c r="B941" s="203"/>
      <c r="C941" s="204"/>
      <c r="D941" s="204"/>
      <c r="E941" s="204"/>
      <c r="F941" s="205"/>
      <c r="G941" s="548"/>
      <c r="H941" s="550"/>
      <c r="I941" s="326"/>
      <c r="J941" s="326"/>
      <c r="K941" s="326"/>
      <c r="M941" s="463"/>
      <c r="N941" s="464"/>
    </row>
    <row r="942" spans="2:14" hidden="1" outlineLevel="1" x14ac:dyDescent="0.35">
      <c r="B942" s="203"/>
      <c r="C942" s="204"/>
      <c r="D942" s="204"/>
      <c r="E942" s="204"/>
      <c r="F942" s="205"/>
      <c r="G942" s="548"/>
      <c r="H942" s="550"/>
      <c r="I942" s="326"/>
      <c r="J942" s="326"/>
      <c r="K942" s="326"/>
      <c r="M942" s="463"/>
      <c r="N942" s="464"/>
    </row>
    <row r="943" spans="2:14" hidden="1" outlineLevel="1" x14ac:dyDescent="0.35">
      <c r="B943" s="203"/>
      <c r="C943" s="204"/>
      <c r="D943" s="204"/>
      <c r="E943" s="204"/>
      <c r="F943" s="205"/>
      <c r="G943" s="548"/>
      <c r="H943" s="550"/>
      <c r="I943" s="326"/>
      <c r="J943" s="326"/>
      <c r="K943" s="326"/>
      <c r="M943" s="463"/>
      <c r="N943" s="464"/>
    </row>
    <row r="944" spans="2:14" hidden="1" outlineLevel="1" x14ac:dyDescent="0.35">
      <c r="B944" s="203"/>
      <c r="C944" s="204"/>
      <c r="D944" s="204"/>
      <c r="E944" s="204"/>
      <c r="F944" s="205"/>
      <c r="G944" s="548"/>
      <c r="H944" s="550"/>
      <c r="I944" s="326"/>
      <c r="J944" s="326"/>
      <c r="K944" s="326"/>
      <c r="M944" s="463"/>
      <c r="N944" s="464"/>
    </row>
    <row r="945" spans="2:14" hidden="1" outlineLevel="1" x14ac:dyDescent="0.35">
      <c r="B945" s="203"/>
      <c r="C945" s="204"/>
      <c r="D945" s="204"/>
      <c r="E945" s="204"/>
      <c r="F945" s="205"/>
      <c r="G945" s="548"/>
      <c r="H945" s="550"/>
      <c r="I945" s="326"/>
      <c r="J945" s="326"/>
      <c r="K945" s="326"/>
      <c r="M945" s="463"/>
      <c r="N945" s="464"/>
    </row>
    <row r="946" spans="2:14" hidden="1" outlineLevel="1" x14ac:dyDescent="0.35">
      <c r="B946" s="203"/>
      <c r="C946" s="204"/>
      <c r="D946" s="204"/>
      <c r="E946" s="204"/>
      <c r="F946" s="205"/>
      <c r="G946" s="548"/>
      <c r="H946" s="550"/>
      <c r="I946" s="326"/>
      <c r="J946" s="326"/>
      <c r="K946" s="326"/>
      <c r="M946" s="463"/>
      <c r="N946" s="464"/>
    </row>
    <row r="947" spans="2:14" hidden="1" outlineLevel="1" x14ac:dyDescent="0.35">
      <c r="B947" s="203"/>
      <c r="C947" s="204"/>
      <c r="D947" s="204"/>
      <c r="E947" s="204"/>
      <c r="F947" s="205"/>
      <c r="G947" s="548"/>
      <c r="H947" s="550"/>
      <c r="I947" s="326"/>
      <c r="J947" s="326"/>
      <c r="K947" s="326"/>
      <c r="M947" s="463"/>
      <c r="N947" s="464"/>
    </row>
    <row r="948" spans="2:14" hidden="1" outlineLevel="1" x14ac:dyDescent="0.35">
      <c r="B948" s="203"/>
      <c r="C948" s="204"/>
      <c r="D948" s="204"/>
      <c r="E948" s="204"/>
      <c r="F948" s="205"/>
      <c r="G948" s="548"/>
      <c r="H948" s="550"/>
      <c r="I948" s="326"/>
      <c r="J948" s="326"/>
      <c r="K948" s="326"/>
      <c r="M948" s="463"/>
      <c r="N948" s="464"/>
    </row>
    <row r="949" spans="2:14" hidden="1" outlineLevel="1" x14ac:dyDescent="0.35">
      <c r="B949" s="203"/>
      <c r="C949" s="204"/>
      <c r="D949" s="204"/>
      <c r="E949" s="204"/>
      <c r="F949" s="205"/>
      <c r="G949" s="548"/>
      <c r="H949" s="550"/>
      <c r="I949" s="326"/>
      <c r="J949" s="326"/>
      <c r="K949" s="326"/>
      <c r="M949" s="463"/>
      <c r="N949" s="464"/>
    </row>
    <row r="950" spans="2:14" hidden="1" outlineLevel="1" x14ac:dyDescent="0.35">
      <c r="B950" s="203"/>
      <c r="C950" s="204"/>
      <c r="D950" s="204"/>
      <c r="E950" s="204"/>
      <c r="F950" s="205"/>
      <c r="G950" s="548"/>
      <c r="H950" s="550"/>
      <c r="I950" s="326"/>
      <c r="J950" s="326"/>
      <c r="K950" s="326"/>
      <c r="M950" s="463"/>
      <c r="N950" s="464"/>
    </row>
    <row r="951" spans="2:14" hidden="1" outlineLevel="1" x14ac:dyDescent="0.35">
      <c r="B951" s="203"/>
      <c r="C951" s="204"/>
      <c r="D951" s="204"/>
      <c r="E951" s="204"/>
      <c r="F951" s="205"/>
      <c r="G951" s="548"/>
      <c r="H951" s="550"/>
      <c r="I951" s="326"/>
      <c r="J951" s="326"/>
      <c r="K951" s="326"/>
      <c r="M951" s="463"/>
      <c r="N951" s="464"/>
    </row>
    <row r="952" spans="2:14" hidden="1" outlineLevel="1" x14ac:dyDescent="0.35">
      <c r="B952" s="203"/>
      <c r="C952" s="204"/>
      <c r="D952" s="204"/>
      <c r="E952" s="204"/>
      <c r="F952" s="205"/>
      <c r="G952" s="548"/>
      <c r="H952" s="550"/>
      <c r="I952" s="326"/>
      <c r="J952" s="326"/>
      <c r="K952" s="326"/>
      <c r="M952" s="463"/>
      <c r="N952" s="464"/>
    </row>
    <row r="953" spans="2:14" hidden="1" outlineLevel="1" x14ac:dyDescent="0.35">
      <c r="B953" s="203"/>
      <c r="C953" s="204"/>
      <c r="D953" s="204"/>
      <c r="E953" s="204"/>
      <c r="F953" s="205"/>
      <c r="G953" s="548"/>
      <c r="H953" s="550"/>
      <c r="I953" s="326"/>
      <c r="J953" s="326"/>
      <c r="K953" s="326"/>
      <c r="M953" s="463"/>
      <c r="N953" s="464"/>
    </row>
    <row r="954" spans="2:14" hidden="1" outlineLevel="1" x14ac:dyDescent="0.35">
      <c r="B954" s="203"/>
      <c r="C954" s="204"/>
      <c r="D954" s="204"/>
      <c r="E954" s="204"/>
      <c r="F954" s="205"/>
      <c r="G954" s="548"/>
      <c r="H954" s="550"/>
      <c r="I954" s="326"/>
      <c r="J954" s="326"/>
      <c r="K954" s="326"/>
      <c r="M954" s="463"/>
      <c r="N954" s="464"/>
    </row>
    <row r="955" spans="2:14" hidden="1" outlineLevel="1" x14ac:dyDescent="0.35">
      <c r="B955" s="203"/>
      <c r="C955" s="204"/>
      <c r="D955" s="204"/>
      <c r="E955" s="204"/>
      <c r="F955" s="205"/>
      <c r="G955" s="548"/>
      <c r="H955" s="550"/>
      <c r="I955" s="326"/>
      <c r="J955" s="326"/>
      <c r="K955" s="326"/>
      <c r="M955" s="463"/>
      <c r="N955" s="464"/>
    </row>
    <row r="956" spans="2:14" hidden="1" outlineLevel="1" x14ac:dyDescent="0.35">
      <c r="B956" s="203"/>
      <c r="C956" s="204"/>
      <c r="D956" s="204"/>
      <c r="E956" s="204"/>
      <c r="F956" s="205"/>
      <c r="G956" s="548"/>
      <c r="H956" s="550"/>
      <c r="I956" s="326"/>
      <c r="J956" s="326"/>
      <c r="K956" s="326"/>
      <c r="M956" s="463"/>
      <c r="N956" s="464"/>
    </row>
    <row r="957" spans="2:14" hidden="1" outlineLevel="1" x14ac:dyDescent="0.35">
      <c r="B957" s="203"/>
      <c r="C957" s="204"/>
      <c r="D957" s="204"/>
      <c r="E957" s="204"/>
      <c r="F957" s="205"/>
      <c r="G957" s="548"/>
      <c r="H957" s="550"/>
      <c r="I957" s="326"/>
      <c r="J957" s="326"/>
      <c r="K957" s="326"/>
      <c r="M957" s="463"/>
      <c r="N957" s="464"/>
    </row>
    <row r="958" spans="2:14" hidden="1" outlineLevel="1" x14ac:dyDescent="0.35">
      <c r="B958" s="203"/>
      <c r="C958" s="204"/>
      <c r="D958" s="204"/>
      <c r="E958" s="204"/>
      <c r="F958" s="205"/>
      <c r="G958" s="548"/>
      <c r="H958" s="550"/>
      <c r="I958" s="326"/>
      <c r="J958" s="326"/>
      <c r="K958" s="326"/>
      <c r="M958" s="463"/>
      <c r="N958" s="464"/>
    </row>
    <row r="959" spans="2:14" hidden="1" outlineLevel="1" x14ac:dyDescent="0.35">
      <c r="B959" s="203"/>
      <c r="C959" s="204"/>
      <c r="D959" s="204"/>
      <c r="E959" s="204"/>
      <c r="F959" s="205"/>
      <c r="G959" s="548"/>
      <c r="H959" s="550"/>
      <c r="I959" s="326"/>
      <c r="J959" s="326"/>
      <c r="K959" s="326"/>
      <c r="M959" s="463"/>
      <c r="N959" s="464"/>
    </row>
    <row r="960" spans="2:14" hidden="1" outlineLevel="1" x14ac:dyDescent="0.35">
      <c r="B960" s="203"/>
      <c r="C960" s="204"/>
      <c r="D960" s="204"/>
      <c r="E960" s="204"/>
      <c r="F960" s="205"/>
      <c r="G960" s="548"/>
      <c r="H960" s="550"/>
      <c r="I960" s="326"/>
      <c r="J960" s="326"/>
      <c r="K960" s="326"/>
      <c r="M960" s="463"/>
      <c r="N960" s="464"/>
    </row>
    <row r="961" spans="2:14" hidden="1" outlineLevel="1" x14ac:dyDescent="0.35">
      <c r="B961" s="203"/>
      <c r="C961" s="204"/>
      <c r="D961" s="204"/>
      <c r="E961" s="204"/>
      <c r="F961" s="205"/>
      <c r="G961" s="548"/>
      <c r="H961" s="550"/>
      <c r="I961" s="326"/>
      <c r="J961" s="326"/>
      <c r="K961" s="326"/>
      <c r="M961" s="463"/>
      <c r="N961" s="464"/>
    </row>
    <row r="962" spans="2:14" hidden="1" outlineLevel="1" x14ac:dyDescent="0.35">
      <c r="B962" s="203"/>
      <c r="C962" s="204"/>
      <c r="D962" s="204"/>
      <c r="E962" s="204"/>
      <c r="F962" s="205"/>
      <c r="G962" s="548"/>
      <c r="H962" s="550"/>
      <c r="I962" s="326"/>
      <c r="J962" s="326"/>
      <c r="K962" s="326"/>
      <c r="M962" s="463"/>
      <c r="N962" s="464"/>
    </row>
    <row r="963" spans="2:14" hidden="1" outlineLevel="1" x14ac:dyDescent="0.35">
      <c r="B963" s="203"/>
      <c r="C963" s="204"/>
      <c r="D963" s="204"/>
      <c r="E963" s="204"/>
      <c r="F963" s="205"/>
      <c r="G963" s="548"/>
      <c r="H963" s="550"/>
      <c r="I963" s="326"/>
      <c r="J963" s="326"/>
      <c r="K963" s="326"/>
      <c r="M963" s="463"/>
      <c r="N963" s="464"/>
    </row>
    <row r="964" spans="2:14" hidden="1" outlineLevel="1" x14ac:dyDescent="0.35">
      <c r="B964" s="203"/>
      <c r="C964" s="204"/>
      <c r="D964" s="204"/>
      <c r="E964" s="204"/>
      <c r="F964" s="205"/>
      <c r="G964" s="548"/>
      <c r="H964" s="550"/>
      <c r="I964" s="326"/>
      <c r="J964" s="326"/>
      <c r="K964" s="326"/>
      <c r="M964" s="463"/>
      <c r="N964" s="464"/>
    </row>
    <row r="965" spans="2:14" hidden="1" outlineLevel="1" x14ac:dyDescent="0.35">
      <c r="B965" s="203"/>
      <c r="C965" s="204"/>
      <c r="D965" s="204"/>
      <c r="E965" s="204"/>
      <c r="F965" s="205"/>
      <c r="G965" s="548"/>
      <c r="H965" s="550"/>
      <c r="I965" s="326"/>
      <c r="J965" s="326"/>
      <c r="K965" s="326"/>
      <c r="M965" s="463"/>
      <c r="N965" s="464"/>
    </row>
    <row r="966" spans="2:14" hidden="1" outlineLevel="1" x14ac:dyDescent="0.35">
      <c r="B966" s="203"/>
      <c r="C966" s="204"/>
      <c r="D966" s="204"/>
      <c r="E966" s="204"/>
      <c r="F966" s="205"/>
      <c r="G966" s="548"/>
      <c r="H966" s="550"/>
      <c r="I966" s="326"/>
      <c r="J966" s="326"/>
      <c r="K966" s="326"/>
      <c r="M966" s="463"/>
      <c r="N966" s="464"/>
    </row>
    <row r="967" spans="2:14" hidden="1" outlineLevel="1" x14ac:dyDescent="0.35">
      <c r="B967" s="203"/>
      <c r="C967" s="204"/>
      <c r="D967" s="204"/>
      <c r="E967" s="204"/>
      <c r="F967" s="205"/>
      <c r="G967" s="548"/>
      <c r="H967" s="550"/>
      <c r="I967" s="326"/>
      <c r="J967" s="326"/>
      <c r="K967" s="326"/>
      <c r="M967" s="463"/>
      <c r="N967" s="464"/>
    </row>
    <row r="968" spans="2:14" hidden="1" outlineLevel="1" x14ac:dyDescent="0.35">
      <c r="B968" s="203"/>
      <c r="C968" s="204"/>
      <c r="D968" s="204"/>
      <c r="E968" s="204"/>
      <c r="F968" s="205"/>
      <c r="G968" s="548"/>
      <c r="H968" s="550"/>
      <c r="I968" s="326"/>
      <c r="J968" s="326"/>
      <c r="K968" s="326"/>
      <c r="M968" s="463"/>
      <c r="N968" s="464"/>
    </row>
    <row r="969" spans="2:14" hidden="1" outlineLevel="1" x14ac:dyDescent="0.35">
      <c r="B969" s="203"/>
      <c r="C969" s="204"/>
      <c r="D969" s="204"/>
      <c r="E969" s="204"/>
      <c r="F969" s="205"/>
      <c r="G969" s="548"/>
      <c r="H969" s="550"/>
      <c r="I969" s="326"/>
      <c r="J969" s="326"/>
      <c r="K969" s="326"/>
      <c r="M969" s="463"/>
      <c r="N969" s="464"/>
    </row>
    <row r="970" spans="2:14" hidden="1" outlineLevel="1" x14ac:dyDescent="0.35">
      <c r="B970" s="203"/>
      <c r="C970" s="204"/>
      <c r="D970" s="204"/>
      <c r="E970" s="204"/>
      <c r="F970" s="205"/>
      <c r="G970" s="548"/>
      <c r="H970" s="550"/>
      <c r="I970" s="326"/>
      <c r="J970" s="326"/>
      <c r="K970" s="326"/>
      <c r="M970" s="463"/>
      <c r="N970" s="464"/>
    </row>
    <row r="971" spans="2:14" hidden="1" outlineLevel="1" x14ac:dyDescent="0.35">
      <c r="B971" s="203"/>
      <c r="C971" s="204"/>
      <c r="D971" s="204"/>
      <c r="E971" s="204"/>
      <c r="F971" s="205"/>
      <c r="G971" s="548"/>
      <c r="H971" s="550"/>
      <c r="I971" s="326"/>
      <c r="J971" s="326"/>
      <c r="K971" s="326"/>
      <c r="M971" s="463"/>
      <c r="N971" s="464"/>
    </row>
    <row r="972" spans="2:14" hidden="1" outlineLevel="1" x14ac:dyDescent="0.35">
      <c r="B972" s="203"/>
      <c r="C972" s="204"/>
      <c r="D972" s="204"/>
      <c r="E972" s="204"/>
      <c r="F972" s="205"/>
      <c r="G972" s="548"/>
      <c r="H972" s="550"/>
      <c r="I972" s="326"/>
      <c r="J972" s="326"/>
      <c r="K972" s="326"/>
      <c r="M972" s="463"/>
      <c r="N972" s="464"/>
    </row>
    <row r="973" spans="2:14" hidden="1" outlineLevel="1" x14ac:dyDescent="0.35">
      <c r="B973" s="203"/>
      <c r="C973" s="204"/>
      <c r="D973" s="204"/>
      <c r="E973" s="204"/>
      <c r="F973" s="205"/>
      <c r="G973" s="548"/>
      <c r="H973" s="550"/>
      <c r="I973" s="326"/>
      <c r="J973" s="326"/>
      <c r="K973" s="326"/>
      <c r="M973" s="463"/>
      <c r="N973" s="464"/>
    </row>
    <row r="974" spans="2:14" hidden="1" outlineLevel="1" x14ac:dyDescent="0.35">
      <c r="B974" s="203"/>
      <c r="C974" s="204"/>
      <c r="D974" s="204"/>
      <c r="E974" s="204"/>
      <c r="F974" s="205"/>
      <c r="G974" s="548"/>
      <c r="H974" s="550"/>
      <c r="I974" s="326"/>
      <c r="J974" s="326"/>
      <c r="K974" s="326"/>
      <c r="M974" s="463"/>
      <c r="N974" s="464"/>
    </row>
    <row r="975" spans="2:14" hidden="1" outlineLevel="1" x14ac:dyDescent="0.35">
      <c r="B975" s="203"/>
      <c r="C975" s="204"/>
      <c r="D975" s="204"/>
      <c r="E975" s="204"/>
      <c r="F975" s="205"/>
      <c r="G975" s="548"/>
      <c r="H975" s="550"/>
      <c r="I975" s="326"/>
      <c r="J975" s="326"/>
      <c r="K975" s="326"/>
      <c r="M975" s="463"/>
      <c r="N975" s="464"/>
    </row>
    <row r="976" spans="2:14" hidden="1" outlineLevel="1" x14ac:dyDescent="0.35">
      <c r="B976" s="203"/>
      <c r="C976" s="204"/>
      <c r="D976" s="204"/>
      <c r="E976" s="204"/>
      <c r="F976" s="205"/>
      <c r="G976" s="548"/>
      <c r="H976" s="550"/>
      <c r="I976" s="326"/>
      <c r="J976" s="326"/>
      <c r="K976" s="326"/>
      <c r="M976" s="463"/>
      <c r="N976" s="464"/>
    </row>
    <row r="977" spans="2:14" hidden="1" outlineLevel="1" x14ac:dyDescent="0.35">
      <c r="B977" s="203"/>
      <c r="C977" s="204"/>
      <c r="D977" s="204"/>
      <c r="E977" s="204"/>
      <c r="F977" s="205"/>
      <c r="G977" s="548"/>
      <c r="H977" s="550"/>
      <c r="I977" s="326"/>
      <c r="J977" s="326"/>
      <c r="K977" s="326"/>
      <c r="M977" s="463"/>
      <c r="N977" s="464"/>
    </row>
    <row r="978" spans="2:14" hidden="1" outlineLevel="1" x14ac:dyDescent="0.35">
      <c r="B978" s="203"/>
      <c r="C978" s="204"/>
      <c r="D978" s="204"/>
      <c r="E978" s="204"/>
      <c r="F978" s="205"/>
      <c r="G978" s="548"/>
      <c r="H978" s="550"/>
      <c r="I978" s="326"/>
      <c r="J978" s="326"/>
      <c r="K978" s="326"/>
      <c r="M978" s="463"/>
      <c r="N978" s="464"/>
    </row>
    <row r="979" spans="2:14" hidden="1" outlineLevel="1" x14ac:dyDescent="0.35">
      <c r="B979" s="203"/>
      <c r="C979" s="204"/>
      <c r="D979" s="204"/>
      <c r="E979" s="204"/>
      <c r="F979" s="205"/>
      <c r="G979" s="548"/>
      <c r="H979" s="550"/>
      <c r="I979" s="326"/>
      <c r="J979" s="326"/>
      <c r="K979" s="326"/>
      <c r="M979" s="463"/>
      <c r="N979" s="464"/>
    </row>
    <row r="980" spans="2:14" hidden="1" outlineLevel="1" x14ac:dyDescent="0.35">
      <c r="B980" s="203"/>
      <c r="C980" s="204"/>
      <c r="D980" s="204"/>
      <c r="E980" s="204"/>
      <c r="F980" s="205"/>
      <c r="G980" s="548"/>
      <c r="H980" s="550"/>
      <c r="I980" s="326"/>
      <c r="J980" s="326"/>
      <c r="K980" s="326"/>
      <c r="M980" s="463"/>
      <c r="N980" s="464"/>
    </row>
    <row r="981" spans="2:14" hidden="1" outlineLevel="1" x14ac:dyDescent="0.35">
      <c r="B981" s="203"/>
      <c r="C981" s="204"/>
      <c r="D981" s="204"/>
      <c r="E981" s="204"/>
      <c r="F981" s="205"/>
      <c r="G981" s="548"/>
      <c r="H981" s="550"/>
      <c r="I981" s="326"/>
      <c r="J981" s="326"/>
      <c r="K981" s="326"/>
      <c r="M981" s="463"/>
      <c r="N981" s="464"/>
    </row>
    <row r="982" spans="2:14" hidden="1" outlineLevel="1" x14ac:dyDescent="0.35">
      <c r="B982" s="203"/>
      <c r="C982" s="204"/>
      <c r="D982" s="204"/>
      <c r="E982" s="204"/>
      <c r="F982" s="205"/>
      <c r="G982" s="548"/>
      <c r="H982" s="550"/>
      <c r="I982" s="326"/>
      <c r="J982" s="326"/>
      <c r="K982" s="326"/>
      <c r="M982" s="463"/>
      <c r="N982" s="464"/>
    </row>
    <row r="983" spans="2:14" hidden="1" outlineLevel="1" x14ac:dyDescent="0.35">
      <c r="B983" s="203"/>
      <c r="C983" s="204"/>
      <c r="D983" s="204"/>
      <c r="E983" s="204"/>
      <c r="F983" s="205"/>
      <c r="G983" s="548"/>
      <c r="H983" s="550"/>
      <c r="I983" s="326"/>
      <c r="J983" s="326"/>
      <c r="K983" s="326"/>
      <c r="M983" s="463"/>
      <c r="N983" s="464"/>
    </row>
    <row r="984" spans="2:14" hidden="1" outlineLevel="1" x14ac:dyDescent="0.35">
      <c r="B984" s="203"/>
      <c r="C984" s="204"/>
      <c r="D984" s="204"/>
      <c r="E984" s="204"/>
      <c r="F984" s="205"/>
      <c r="G984" s="548"/>
      <c r="H984" s="550"/>
      <c r="I984" s="326"/>
      <c r="J984" s="326"/>
      <c r="K984" s="326"/>
      <c r="M984" s="463"/>
      <c r="N984" s="464"/>
    </row>
    <row r="985" spans="2:14" hidden="1" outlineLevel="1" x14ac:dyDescent="0.35">
      <c r="B985" s="203"/>
      <c r="C985" s="204"/>
      <c r="D985" s="204"/>
      <c r="E985" s="204"/>
      <c r="F985" s="205"/>
      <c r="G985" s="548"/>
      <c r="H985" s="550"/>
      <c r="I985" s="326"/>
      <c r="J985" s="326"/>
      <c r="K985" s="326"/>
      <c r="M985" s="463"/>
      <c r="N985" s="464"/>
    </row>
    <row r="986" spans="2:14" hidden="1" outlineLevel="1" x14ac:dyDescent="0.35">
      <c r="B986" s="203"/>
      <c r="C986" s="204"/>
      <c r="D986" s="204"/>
      <c r="E986" s="204"/>
      <c r="F986" s="205"/>
      <c r="G986" s="548"/>
      <c r="H986" s="550"/>
      <c r="I986" s="326"/>
      <c r="J986" s="326"/>
      <c r="K986" s="326"/>
      <c r="M986" s="463"/>
      <c r="N986" s="464"/>
    </row>
    <row r="987" spans="2:14" hidden="1" outlineLevel="1" x14ac:dyDescent="0.35">
      <c r="B987" s="203"/>
      <c r="C987" s="204"/>
      <c r="D987" s="204"/>
      <c r="E987" s="204"/>
      <c r="F987" s="205"/>
      <c r="G987" s="548"/>
      <c r="H987" s="550"/>
      <c r="I987" s="326"/>
      <c r="J987" s="326"/>
      <c r="K987" s="326"/>
      <c r="M987" s="463"/>
      <c r="N987" s="464"/>
    </row>
    <row r="988" spans="2:14" hidden="1" outlineLevel="1" x14ac:dyDescent="0.35">
      <c r="B988" s="203"/>
      <c r="C988" s="204"/>
      <c r="D988" s="204"/>
      <c r="E988" s="204"/>
      <c r="F988" s="205"/>
      <c r="G988" s="548"/>
      <c r="H988" s="550"/>
      <c r="I988" s="326"/>
      <c r="J988" s="326"/>
      <c r="K988" s="326"/>
      <c r="M988" s="463"/>
      <c r="N988" s="464"/>
    </row>
    <row r="989" spans="2:14" hidden="1" outlineLevel="1" x14ac:dyDescent="0.35">
      <c r="B989" s="203"/>
      <c r="C989" s="204"/>
      <c r="D989" s="204"/>
      <c r="E989" s="204"/>
      <c r="F989" s="205"/>
      <c r="G989" s="548"/>
      <c r="H989" s="550"/>
      <c r="I989" s="326"/>
      <c r="J989" s="326"/>
      <c r="K989" s="326"/>
      <c r="M989" s="463"/>
      <c r="N989" s="464"/>
    </row>
    <row r="990" spans="2:14" hidden="1" outlineLevel="1" x14ac:dyDescent="0.35">
      <c r="B990" s="203"/>
      <c r="C990" s="204"/>
      <c r="D990" s="204"/>
      <c r="E990" s="204"/>
      <c r="F990" s="205"/>
      <c r="G990" s="548"/>
      <c r="H990" s="550"/>
      <c r="I990" s="326"/>
      <c r="J990" s="326"/>
      <c r="K990" s="326"/>
      <c r="M990" s="463"/>
      <c r="N990" s="464"/>
    </row>
    <row r="991" spans="2:14" hidden="1" outlineLevel="1" x14ac:dyDescent="0.35">
      <c r="B991" s="203"/>
      <c r="C991" s="204"/>
      <c r="D991" s="204"/>
      <c r="E991" s="204"/>
      <c r="F991" s="205"/>
      <c r="G991" s="548"/>
      <c r="H991" s="550"/>
      <c r="I991" s="326"/>
      <c r="J991" s="326"/>
      <c r="K991" s="326"/>
      <c r="M991" s="463"/>
      <c r="N991" s="464"/>
    </row>
    <row r="992" spans="2:14" hidden="1" outlineLevel="1" x14ac:dyDescent="0.35">
      <c r="B992" s="203"/>
      <c r="C992" s="204"/>
      <c r="D992" s="204"/>
      <c r="E992" s="204"/>
      <c r="F992" s="205"/>
      <c r="G992" s="548"/>
      <c r="H992" s="550"/>
      <c r="I992" s="326"/>
      <c r="J992" s="326"/>
      <c r="K992" s="326"/>
      <c r="M992" s="463"/>
      <c r="N992" s="464"/>
    </row>
    <row r="993" spans="2:14" hidden="1" outlineLevel="1" x14ac:dyDescent="0.35">
      <c r="B993" s="203"/>
      <c r="C993" s="204"/>
      <c r="D993" s="204"/>
      <c r="E993" s="204"/>
      <c r="F993" s="205"/>
      <c r="G993" s="548"/>
      <c r="H993" s="550"/>
      <c r="I993" s="326"/>
      <c r="J993" s="326"/>
      <c r="K993" s="326"/>
      <c r="M993" s="463"/>
      <c r="N993" s="464"/>
    </row>
    <row r="994" spans="2:14" hidden="1" outlineLevel="1" x14ac:dyDescent="0.35">
      <c r="B994" s="203"/>
      <c r="C994" s="204"/>
      <c r="D994" s="204"/>
      <c r="E994" s="204"/>
      <c r="F994" s="205"/>
      <c r="G994" s="548"/>
      <c r="H994" s="550"/>
      <c r="I994" s="326"/>
      <c r="J994" s="326"/>
      <c r="K994" s="326"/>
      <c r="M994" s="463"/>
      <c r="N994" s="464"/>
    </row>
    <row r="995" spans="2:14" hidden="1" outlineLevel="1" x14ac:dyDescent="0.35">
      <c r="B995" s="203"/>
      <c r="C995" s="204"/>
      <c r="D995" s="204"/>
      <c r="E995" s="204"/>
      <c r="F995" s="205"/>
      <c r="G995" s="548"/>
      <c r="H995" s="550"/>
      <c r="I995" s="326"/>
      <c r="J995" s="326"/>
      <c r="K995" s="326"/>
      <c r="M995" s="463"/>
      <c r="N995" s="464"/>
    </row>
    <row r="996" spans="2:14" hidden="1" outlineLevel="1" x14ac:dyDescent="0.35">
      <c r="B996" s="203"/>
      <c r="C996" s="204"/>
      <c r="D996" s="204"/>
      <c r="E996" s="204"/>
      <c r="F996" s="205"/>
      <c r="G996" s="548"/>
      <c r="H996" s="550"/>
      <c r="I996" s="326"/>
      <c r="J996" s="326"/>
      <c r="K996" s="326"/>
      <c r="M996" s="463"/>
      <c r="N996" s="464"/>
    </row>
    <row r="997" spans="2:14" hidden="1" outlineLevel="1" x14ac:dyDescent="0.35">
      <c r="B997" s="203"/>
      <c r="C997" s="204"/>
      <c r="D997" s="204"/>
      <c r="E997" s="204"/>
      <c r="F997" s="205"/>
      <c r="G997" s="548"/>
      <c r="H997" s="550"/>
      <c r="I997" s="326"/>
      <c r="J997" s="326"/>
      <c r="K997" s="326"/>
      <c r="M997" s="463"/>
      <c r="N997" s="464"/>
    </row>
    <row r="998" spans="2:14" hidden="1" outlineLevel="1" x14ac:dyDescent="0.35">
      <c r="B998" s="203"/>
      <c r="C998" s="204"/>
      <c r="D998" s="204"/>
      <c r="E998" s="204"/>
      <c r="F998" s="205"/>
      <c r="G998" s="548"/>
      <c r="H998" s="550"/>
      <c r="I998" s="326"/>
      <c r="J998" s="326"/>
      <c r="K998" s="326"/>
      <c r="M998" s="463"/>
      <c r="N998" s="464"/>
    </row>
    <row r="999" spans="2:14" hidden="1" outlineLevel="1" x14ac:dyDescent="0.35">
      <c r="B999" s="203"/>
      <c r="C999" s="204"/>
      <c r="D999" s="204"/>
      <c r="E999" s="204"/>
      <c r="F999" s="205"/>
      <c r="G999" s="548"/>
      <c r="H999" s="550"/>
      <c r="I999" s="326"/>
      <c r="J999" s="326"/>
      <c r="K999" s="326"/>
      <c r="M999" s="463"/>
      <c r="N999" s="464"/>
    </row>
    <row r="1000" spans="2:14" hidden="1" outlineLevel="1" x14ac:dyDescent="0.35">
      <c r="B1000" s="203"/>
      <c r="C1000" s="204"/>
      <c r="D1000" s="204"/>
      <c r="E1000" s="204"/>
      <c r="F1000" s="205"/>
      <c r="G1000" s="548"/>
      <c r="H1000" s="550"/>
      <c r="I1000" s="326"/>
      <c r="J1000" s="326"/>
      <c r="K1000" s="326"/>
      <c r="M1000" s="463"/>
      <c r="N1000" s="464"/>
    </row>
    <row r="1001" spans="2:14" hidden="1" outlineLevel="1" x14ac:dyDescent="0.35">
      <c r="B1001" s="203"/>
      <c r="C1001" s="204"/>
      <c r="D1001" s="204"/>
      <c r="E1001" s="204"/>
      <c r="F1001" s="205"/>
      <c r="G1001" s="548"/>
      <c r="H1001" s="550"/>
      <c r="I1001" s="326"/>
      <c r="J1001" s="326"/>
      <c r="K1001" s="326"/>
      <c r="M1001" s="463"/>
      <c r="N1001" s="464"/>
    </row>
    <row r="1002" spans="2:14" hidden="1" outlineLevel="1" x14ac:dyDescent="0.35">
      <c r="B1002" s="203"/>
      <c r="C1002" s="204"/>
      <c r="D1002" s="204"/>
      <c r="E1002" s="204"/>
      <c r="F1002" s="205"/>
      <c r="G1002" s="548"/>
      <c r="H1002" s="550"/>
      <c r="I1002" s="326"/>
      <c r="J1002" s="326"/>
      <c r="K1002" s="326"/>
      <c r="M1002" s="463"/>
      <c r="N1002" s="464"/>
    </row>
    <row r="1003" spans="2:14" hidden="1" outlineLevel="1" x14ac:dyDescent="0.35">
      <c r="B1003" s="203"/>
      <c r="C1003" s="204"/>
      <c r="D1003" s="204"/>
      <c r="E1003" s="204"/>
      <c r="F1003" s="205"/>
      <c r="G1003" s="548"/>
      <c r="H1003" s="550"/>
      <c r="I1003" s="326"/>
      <c r="J1003" s="326"/>
      <c r="K1003" s="326"/>
      <c r="M1003" s="463"/>
      <c r="N1003" s="464"/>
    </row>
    <row r="1004" spans="2:14" hidden="1" outlineLevel="1" x14ac:dyDescent="0.35">
      <c r="B1004" s="203"/>
      <c r="C1004" s="204"/>
      <c r="D1004" s="204"/>
      <c r="E1004" s="204"/>
      <c r="F1004" s="205"/>
      <c r="G1004" s="548"/>
      <c r="H1004" s="550"/>
      <c r="I1004" s="326"/>
      <c r="J1004" s="326"/>
      <c r="K1004" s="326"/>
      <c r="M1004" s="463"/>
      <c r="N1004" s="464"/>
    </row>
    <row r="1005" spans="2:14" hidden="1" outlineLevel="1" x14ac:dyDescent="0.35">
      <c r="B1005" s="203"/>
      <c r="C1005" s="204"/>
      <c r="D1005" s="204"/>
      <c r="E1005" s="204"/>
      <c r="F1005" s="205"/>
      <c r="G1005" s="548"/>
      <c r="H1005" s="550"/>
      <c r="I1005" s="326"/>
      <c r="J1005" s="326"/>
      <c r="K1005" s="326"/>
      <c r="M1005" s="463"/>
      <c r="N1005" s="464"/>
    </row>
    <row r="1006" spans="2:14" hidden="1" outlineLevel="1" x14ac:dyDescent="0.35">
      <c r="B1006" s="203"/>
      <c r="C1006" s="204"/>
      <c r="D1006" s="204"/>
      <c r="E1006" s="204"/>
      <c r="F1006" s="205"/>
      <c r="G1006" s="548"/>
      <c r="H1006" s="550"/>
      <c r="I1006" s="326"/>
      <c r="J1006" s="326"/>
      <c r="K1006" s="326"/>
      <c r="M1006" s="463"/>
      <c r="N1006" s="464"/>
    </row>
    <row r="1007" spans="2:14" hidden="1" outlineLevel="1" x14ac:dyDescent="0.35">
      <c r="B1007" s="203"/>
      <c r="C1007" s="204"/>
      <c r="D1007" s="204"/>
      <c r="E1007" s="204"/>
      <c r="F1007" s="205"/>
      <c r="G1007" s="548"/>
      <c r="H1007" s="550"/>
      <c r="I1007" s="326"/>
      <c r="J1007" s="326"/>
      <c r="K1007" s="326"/>
      <c r="M1007" s="463"/>
      <c r="N1007" s="464"/>
    </row>
    <row r="1008" spans="2:14" hidden="1" outlineLevel="1" x14ac:dyDescent="0.35">
      <c r="B1008" s="203"/>
      <c r="C1008" s="204"/>
      <c r="D1008" s="204"/>
      <c r="E1008" s="204"/>
      <c r="F1008" s="205"/>
      <c r="G1008" s="548"/>
      <c r="H1008" s="550"/>
      <c r="I1008" s="326"/>
      <c r="J1008" s="326"/>
      <c r="K1008" s="326"/>
      <c r="M1008" s="463"/>
      <c r="N1008" s="464"/>
    </row>
    <row r="1009" spans="2:14" hidden="1" outlineLevel="1" x14ac:dyDescent="0.35">
      <c r="B1009" s="203"/>
      <c r="C1009" s="204"/>
      <c r="D1009" s="204"/>
      <c r="E1009" s="204"/>
      <c r="F1009" s="205"/>
      <c r="G1009" s="548"/>
      <c r="H1009" s="550"/>
      <c r="I1009" s="326"/>
      <c r="J1009" s="326"/>
      <c r="K1009" s="326"/>
      <c r="M1009" s="463"/>
      <c r="N1009" s="464"/>
    </row>
    <row r="1010" spans="2:14" hidden="1" outlineLevel="1" x14ac:dyDescent="0.35">
      <c r="B1010" s="203"/>
      <c r="C1010" s="204"/>
      <c r="D1010" s="204"/>
      <c r="E1010" s="204"/>
      <c r="F1010" s="205"/>
      <c r="G1010" s="548"/>
      <c r="H1010" s="550"/>
      <c r="I1010" s="326"/>
      <c r="J1010" s="326"/>
      <c r="K1010" s="326"/>
      <c r="M1010" s="463"/>
      <c r="N1010" s="464"/>
    </row>
    <row r="1011" spans="2:14" hidden="1" outlineLevel="1" x14ac:dyDescent="0.35">
      <c r="B1011" s="203"/>
      <c r="C1011" s="204"/>
      <c r="D1011" s="204"/>
      <c r="E1011" s="204"/>
      <c r="F1011" s="205"/>
      <c r="G1011" s="548"/>
      <c r="H1011" s="550"/>
      <c r="I1011" s="326"/>
      <c r="J1011" s="326"/>
      <c r="K1011" s="326"/>
      <c r="M1011" s="463"/>
      <c r="N1011" s="464"/>
    </row>
    <row r="1012" spans="2:14" hidden="1" outlineLevel="1" x14ac:dyDescent="0.35">
      <c r="B1012" s="203"/>
      <c r="C1012" s="204"/>
      <c r="D1012" s="204"/>
      <c r="E1012" s="204"/>
      <c r="F1012" s="205"/>
      <c r="G1012" s="548"/>
      <c r="H1012" s="550"/>
      <c r="I1012" s="326"/>
      <c r="J1012" s="326"/>
      <c r="K1012" s="326"/>
      <c r="M1012" s="463"/>
      <c r="N1012" s="464"/>
    </row>
    <row r="1013" spans="2:14" hidden="1" outlineLevel="1" x14ac:dyDescent="0.35">
      <c r="B1013" s="203"/>
      <c r="C1013" s="204"/>
      <c r="D1013" s="204"/>
      <c r="E1013" s="204"/>
      <c r="F1013" s="205"/>
      <c r="G1013" s="548"/>
      <c r="H1013" s="550"/>
      <c r="I1013" s="326"/>
      <c r="J1013" s="326"/>
      <c r="K1013" s="326"/>
      <c r="M1013" s="463"/>
      <c r="N1013" s="464"/>
    </row>
    <row r="1014" spans="2:14" hidden="1" outlineLevel="1" x14ac:dyDescent="0.35">
      <c r="B1014" s="203"/>
      <c r="C1014" s="204"/>
      <c r="D1014" s="204"/>
      <c r="E1014" s="204"/>
      <c r="F1014" s="205"/>
      <c r="G1014" s="548"/>
      <c r="H1014" s="550"/>
      <c r="I1014" s="326"/>
      <c r="J1014" s="326"/>
      <c r="K1014" s="326"/>
      <c r="M1014" s="463"/>
      <c r="N1014" s="464"/>
    </row>
    <row r="1015" spans="2:14" hidden="1" outlineLevel="1" x14ac:dyDescent="0.35">
      <c r="B1015" s="203"/>
      <c r="C1015" s="204"/>
      <c r="D1015" s="204"/>
      <c r="E1015" s="204"/>
      <c r="F1015" s="205"/>
      <c r="G1015" s="548"/>
      <c r="H1015" s="550"/>
      <c r="I1015" s="326"/>
      <c r="J1015" s="326"/>
      <c r="K1015" s="326"/>
      <c r="M1015" s="463"/>
      <c r="N1015" s="464"/>
    </row>
    <row r="1016" spans="2:14" hidden="1" outlineLevel="1" x14ac:dyDescent="0.35">
      <c r="B1016" s="203"/>
      <c r="C1016" s="204"/>
      <c r="D1016" s="204"/>
      <c r="E1016" s="204"/>
      <c r="F1016" s="205"/>
      <c r="G1016" s="548"/>
      <c r="H1016" s="550"/>
      <c r="I1016" s="326"/>
      <c r="J1016" s="326"/>
      <c r="K1016" s="326"/>
      <c r="M1016" s="463"/>
      <c r="N1016" s="464"/>
    </row>
    <row r="1017" spans="2:14" hidden="1" outlineLevel="1" x14ac:dyDescent="0.35">
      <c r="B1017" s="203"/>
      <c r="C1017" s="204"/>
      <c r="D1017" s="204"/>
      <c r="E1017" s="204"/>
      <c r="F1017" s="205"/>
      <c r="G1017" s="548"/>
      <c r="H1017" s="550"/>
      <c r="I1017" s="326"/>
      <c r="J1017" s="326"/>
      <c r="K1017" s="326"/>
      <c r="M1017" s="463"/>
      <c r="N1017" s="464"/>
    </row>
    <row r="1018" spans="2:14" hidden="1" outlineLevel="1" x14ac:dyDescent="0.35">
      <c r="B1018" s="203"/>
      <c r="C1018" s="204"/>
      <c r="D1018" s="204"/>
      <c r="E1018" s="204"/>
      <c r="F1018" s="205"/>
      <c r="G1018" s="548"/>
      <c r="H1018" s="550"/>
      <c r="I1018" s="326"/>
      <c r="J1018" s="326"/>
      <c r="K1018" s="326"/>
      <c r="M1018" s="463"/>
      <c r="N1018" s="464"/>
    </row>
    <row r="1019" spans="2:14" hidden="1" outlineLevel="1" x14ac:dyDescent="0.35">
      <c r="B1019" s="203"/>
      <c r="C1019" s="204"/>
      <c r="D1019" s="204"/>
      <c r="E1019" s="204"/>
      <c r="F1019" s="205"/>
      <c r="G1019" s="548"/>
      <c r="H1019" s="550"/>
      <c r="I1019" s="326"/>
      <c r="J1019" s="326"/>
      <c r="K1019" s="326"/>
      <c r="M1019" s="463"/>
      <c r="N1019" s="464"/>
    </row>
    <row r="1020" spans="2:14" hidden="1" outlineLevel="1" x14ac:dyDescent="0.35">
      <c r="B1020" s="203"/>
      <c r="C1020" s="204"/>
      <c r="D1020" s="204"/>
      <c r="E1020" s="204"/>
      <c r="F1020" s="205"/>
      <c r="G1020" s="548"/>
      <c r="H1020" s="550"/>
      <c r="I1020" s="326"/>
      <c r="J1020" s="326"/>
      <c r="K1020" s="326"/>
      <c r="M1020" s="463"/>
      <c r="N1020" s="464"/>
    </row>
    <row r="1021" spans="2:14" hidden="1" outlineLevel="1" x14ac:dyDescent="0.35">
      <c r="B1021" s="203"/>
      <c r="C1021" s="204"/>
      <c r="D1021" s="204"/>
      <c r="E1021" s="204"/>
      <c r="F1021" s="205"/>
      <c r="G1021" s="548"/>
      <c r="H1021" s="550"/>
      <c r="I1021" s="326"/>
      <c r="J1021" s="326"/>
      <c r="K1021" s="326"/>
      <c r="M1021" s="463"/>
      <c r="N1021" s="464"/>
    </row>
    <row r="1022" spans="2:14" hidden="1" outlineLevel="1" x14ac:dyDescent="0.35">
      <c r="B1022" s="203"/>
      <c r="C1022" s="204"/>
      <c r="D1022" s="204"/>
      <c r="E1022" s="204"/>
      <c r="F1022" s="205"/>
      <c r="G1022" s="548"/>
      <c r="H1022" s="550"/>
      <c r="I1022" s="326"/>
      <c r="J1022" s="326"/>
      <c r="K1022" s="326"/>
      <c r="M1022" s="463"/>
      <c r="N1022" s="464"/>
    </row>
    <row r="1023" spans="2:14" hidden="1" outlineLevel="1" x14ac:dyDescent="0.35">
      <c r="B1023" s="203"/>
      <c r="C1023" s="204"/>
      <c r="D1023" s="204"/>
      <c r="E1023" s="204"/>
      <c r="F1023" s="205"/>
      <c r="G1023" s="548"/>
      <c r="H1023" s="550"/>
      <c r="I1023" s="326"/>
      <c r="J1023" s="326"/>
      <c r="K1023" s="326"/>
      <c r="M1023" s="463"/>
      <c r="N1023" s="464"/>
    </row>
    <row r="1024" spans="2:14" hidden="1" outlineLevel="1" x14ac:dyDescent="0.35">
      <c r="B1024" s="203"/>
      <c r="C1024" s="204"/>
      <c r="D1024" s="204"/>
      <c r="E1024" s="204"/>
      <c r="F1024" s="205"/>
      <c r="G1024" s="548"/>
      <c r="H1024" s="550"/>
      <c r="I1024" s="326"/>
      <c r="J1024" s="326"/>
      <c r="K1024" s="326"/>
      <c r="M1024" s="463"/>
      <c r="N1024" s="464"/>
    </row>
    <row r="1025" spans="2:14" hidden="1" outlineLevel="1" x14ac:dyDescent="0.35">
      <c r="B1025" s="203"/>
      <c r="C1025" s="204"/>
      <c r="D1025" s="204"/>
      <c r="E1025" s="204"/>
      <c r="F1025" s="205"/>
      <c r="G1025" s="548"/>
      <c r="H1025" s="550"/>
      <c r="I1025" s="326"/>
      <c r="J1025" s="326"/>
      <c r="K1025" s="326"/>
      <c r="M1025" s="463"/>
      <c r="N1025" s="464"/>
    </row>
    <row r="1026" spans="2:14" hidden="1" outlineLevel="1" x14ac:dyDescent="0.35">
      <c r="B1026" s="203"/>
      <c r="C1026" s="204"/>
      <c r="D1026" s="204"/>
      <c r="E1026" s="204"/>
      <c r="F1026" s="205"/>
      <c r="G1026" s="548"/>
      <c r="H1026" s="550"/>
      <c r="I1026" s="326"/>
      <c r="J1026" s="326"/>
      <c r="K1026" s="326"/>
      <c r="M1026" s="463"/>
      <c r="N1026" s="464"/>
    </row>
    <row r="1027" spans="2:14" hidden="1" outlineLevel="1" x14ac:dyDescent="0.35">
      <c r="B1027" s="203"/>
      <c r="C1027" s="204"/>
      <c r="D1027" s="204"/>
      <c r="E1027" s="204"/>
      <c r="F1027" s="205"/>
      <c r="G1027" s="548"/>
      <c r="H1027" s="550"/>
      <c r="I1027" s="326"/>
      <c r="J1027" s="326"/>
      <c r="K1027" s="326"/>
      <c r="M1027" s="463"/>
      <c r="N1027" s="464"/>
    </row>
    <row r="1028" spans="2:14" hidden="1" outlineLevel="1" x14ac:dyDescent="0.35">
      <c r="B1028" s="203"/>
      <c r="C1028" s="204"/>
      <c r="D1028" s="204"/>
      <c r="E1028" s="204"/>
      <c r="F1028" s="205"/>
      <c r="G1028" s="548"/>
      <c r="H1028" s="550"/>
      <c r="I1028" s="326"/>
      <c r="J1028" s="326"/>
      <c r="K1028" s="326"/>
      <c r="M1028" s="463"/>
      <c r="N1028" s="464"/>
    </row>
    <row r="1029" spans="2:14" hidden="1" outlineLevel="1" x14ac:dyDescent="0.35">
      <c r="B1029" s="203"/>
      <c r="C1029" s="204"/>
      <c r="D1029" s="204"/>
      <c r="E1029" s="204"/>
      <c r="F1029" s="205"/>
      <c r="G1029" s="548"/>
      <c r="H1029" s="550"/>
      <c r="I1029" s="326"/>
      <c r="J1029" s="326"/>
      <c r="K1029" s="326"/>
      <c r="M1029" s="463"/>
      <c r="N1029" s="464"/>
    </row>
    <row r="1030" spans="2:14" hidden="1" outlineLevel="1" x14ac:dyDescent="0.35">
      <c r="B1030" s="203"/>
      <c r="C1030" s="204"/>
      <c r="D1030" s="204"/>
      <c r="E1030" s="204"/>
      <c r="F1030" s="205"/>
      <c r="G1030" s="548"/>
      <c r="H1030" s="550"/>
      <c r="I1030" s="326"/>
      <c r="J1030" s="326"/>
      <c r="K1030" s="326"/>
      <c r="M1030" s="463"/>
      <c r="N1030" s="464"/>
    </row>
    <row r="1031" spans="2:14" hidden="1" outlineLevel="1" x14ac:dyDescent="0.35">
      <c r="B1031" s="203"/>
      <c r="C1031" s="204"/>
      <c r="D1031" s="204"/>
      <c r="E1031" s="204"/>
      <c r="F1031" s="205"/>
      <c r="G1031" s="548"/>
      <c r="H1031" s="550"/>
      <c r="I1031" s="326"/>
      <c r="J1031" s="326"/>
      <c r="K1031" s="326"/>
      <c r="M1031" s="463"/>
      <c r="N1031" s="464"/>
    </row>
    <row r="1032" spans="2:14" hidden="1" outlineLevel="1" x14ac:dyDescent="0.35">
      <c r="B1032" s="203"/>
      <c r="C1032" s="204"/>
      <c r="D1032" s="204"/>
      <c r="E1032" s="204"/>
      <c r="F1032" s="205"/>
      <c r="G1032" s="548"/>
      <c r="H1032" s="550"/>
      <c r="I1032" s="326"/>
      <c r="J1032" s="326"/>
      <c r="K1032" s="326"/>
      <c r="M1032" s="463"/>
      <c r="N1032" s="464"/>
    </row>
    <row r="1033" spans="2:14" hidden="1" outlineLevel="1" x14ac:dyDescent="0.35">
      <c r="B1033" s="203"/>
      <c r="C1033" s="204"/>
      <c r="D1033" s="204"/>
      <c r="E1033" s="204"/>
      <c r="F1033" s="205"/>
      <c r="G1033" s="548"/>
      <c r="H1033" s="550"/>
      <c r="I1033" s="326"/>
      <c r="J1033" s="326"/>
      <c r="K1033" s="326"/>
      <c r="M1033" s="463"/>
      <c r="N1033" s="464"/>
    </row>
    <row r="1034" spans="2:14" hidden="1" outlineLevel="1" x14ac:dyDescent="0.35">
      <c r="B1034" s="203"/>
      <c r="C1034" s="204"/>
      <c r="D1034" s="204"/>
      <c r="E1034" s="204"/>
      <c r="F1034" s="205"/>
      <c r="G1034" s="548"/>
      <c r="H1034" s="550"/>
      <c r="I1034" s="326"/>
      <c r="J1034" s="326"/>
      <c r="K1034" s="326"/>
      <c r="M1034" s="463"/>
      <c r="N1034" s="464"/>
    </row>
    <row r="1035" spans="2:14" hidden="1" outlineLevel="1" x14ac:dyDescent="0.35">
      <c r="B1035" s="203"/>
      <c r="C1035" s="204"/>
      <c r="D1035" s="204"/>
      <c r="E1035" s="204"/>
      <c r="F1035" s="205"/>
      <c r="G1035" s="548"/>
      <c r="H1035" s="550"/>
      <c r="I1035" s="326"/>
      <c r="J1035" s="326"/>
      <c r="K1035" s="326"/>
      <c r="M1035" s="463"/>
      <c r="N1035" s="464"/>
    </row>
    <row r="1036" spans="2:14" hidden="1" outlineLevel="1" x14ac:dyDescent="0.35">
      <c r="B1036" s="203"/>
      <c r="C1036" s="204"/>
      <c r="D1036" s="204"/>
      <c r="E1036" s="204"/>
      <c r="F1036" s="205"/>
      <c r="G1036" s="548"/>
      <c r="H1036" s="550"/>
      <c r="I1036" s="326"/>
      <c r="J1036" s="326"/>
      <c r="K1036" s="326"/>
      <c r="M1036" s="463"/>
      <c r="N1036" s="464"/>
    </row>
    <row r="1037" spans="2:14" hidden="1" outlineLevel="1" x14ac:dyDescent="0.35">
      <c r="B1037" s="203"/>
      <c r="C1037" s="204"/>
      <c r="D1037" s="204"/>
      <c r="E1037" s="204"/>
      <c r="F1037" s="205"/>
      <c r="G1037" s="548"/>
      <c r="H1037" s="550"/>
      <c r="I1037" s="326"/>
      <c r="J1037" s="326"/>
      <c r="K1037" s="326"/>
      <c r="M1037" s="463"/>
      <c r="N1037" s="464"/>
    </row>
    <row r="1038" spans="2:14" hidden="1" outlineLevel="1" x14ac:dyDescent="0.35">
      <c r="B1038" s="203"/>
      <c r="C1038" s="204"/>
      <c r="D1038" s="204"/>
      <c r="E1038" s="204"/>
      <c r="F1038" s="205"/>
      <c r="G1038" s="548"/>
      <c r="H1038" s="550"/>
      <c r="I1038" s="326"/>
      <c r="J1038" s="326"/>
      <c r="K1038" s="326"/>
      <c r="M1038" s="463"/>
      <c r="N1038" s="464"/>
    </row>
    <row r="1039" spans="2:14" hidden="1" outlineLevel="1" x14ac:dyDescent="0.35">
      <c r="B1039" s="203"/>
      <c r="C1039" s="204"/>
      <c r="D1039" s="204"/>
      <c r="E1039" s="204"/>
      <c r="F1039" s="205"/>
      <c r="G1039" s="548"/>
      <c r="H1039" s="550"/>
      <c r="I1039" s="326"/>
      <c r="J1039" s="326"/>
      <c r="K1039" s="326"/>
      <c r="M1039" s="463"/>
      <c r="N1039" s="464"/>
    </row>
    <row r="1040" spans="2:14" hidden="1" outlineLevel="1" x14ac:dyDescent="0.35">
      <c r="B1040" s="203"/>
      <c r="C1040" s="204"/>
      <c r="D1040" s="204"/>
      <c r="E1040" s="204"/>
      <c r="F1040" s="205"/>
      <c r="G1040" s="548"/>
      <c r="H1040" s="550"/>
      <c r="I1040" s="326"/>
      <c r="J1040" s="326"/>
      <c r="K1040" s="326"/>
      <c r="M1040" s="463"/>
      <c r="N1040" s="464"/>
    </row>
    <row r="1041" spans="2:14" hidden="1" outlineLevel="1" x14ac:dyDescent="0.35">
      <c r="B1041" s="203"/>
      <c r="C1041" s="204"/>
      <c r="D1041" s="204"/>
      <c r="E1041" s="204"/>
      <c r="F1041" s="205"/>
      <c r="G1041" s="548"/>
      <c r="H1041" s="550"/>
      <c r="I1041" s="326"/>
      <c r="J1041" s="326"/>
      <c r="K1041" s="326"/>
      <c r="M1041" s="463"/>
      <c r="N1041" s="464"/>
    </row>
    <row r="1042" spans="2:14" hidden="1" outlineLevel="1" x14ac:dyDescent="0.35">
      <c r="B1042" s="203"/>
      <c r="C1042" s="204"/>
      <c r="D1042" s="204"/>
      <c r="E1042" s="204"/>
      <c r="F1042" s="205"/>
      <c r="G1042" s="548"/>
      <c r="H1042" s="550"/>
      <c r="I1042" s="326"/>
      <c r="J1042" s="326"/>
      <c r="K1042" s="326"/>
      <c r="M1042" s="463"/>
      <c r="N1042" s="464"/>
    </row>
    <row r="1043" spans="2:14" hidden="1" outlineLevel="1" x14ac:dyDescent="0.35">
      <c r="B1043" s="203"/>
      <c r="C1043" s="204"/>
      <c r="D1043" s="204"/>
      <c r="E1043" s="204"/>
      <c r="F1043" s="205"/>
      <c r="G1043" s="548"/>
      <c r="H1043" s="550"/>
      <c r="I1043" s="326"/>
      <c r="J1043" s="326"/>
      <c r="K1043" s="326"/>
      <c r="M1043" s="463"/>
      <c r="N1043" s="464"/>
    </row>
    <row r="1044" spans="2:14" hidden="1" outlineLevel="1" x14ac:dyDescent="0.35">
      <c r="B1044" s="203"/>
      <c r="C1044" s="204"/>
      <c r="D1044" s="204"/>
      <c r="E1044" s="204"/>
      <c r="F1044" s="205"/>
      <c r="G1044" s="548"/>
      <c r="H1044" s="550"/>
      <c r="I1044" s="326"/>
      <c r="J1044" s="326"/>
      <c r="K1044" s="326"/>
      <c r="M1044" s="463"/>
      <c r="N1044" s="464"/>
    </row>
    <row r="1045" spans="2:14" hidden="1" outlineLevel="1" x14ac:dyDescent="0.35">
      <c r="B1045" s="203"/>
      <c r="C1045" s="204"/>
      <c r="D1045" s="204"/>
      <c r="E1045" s="204"/>
      <c r="F1045" s="205"/>
      <c r="G1045" s="548"/>
      <c r="H1045" s="550"/>
      <c r="I1045" s="326"/>
      <c r="J1045" s="326"/>
      <c r="K1045" s="326"/>
      <c r="M1045" s="463"/>
      <c r="N1045" s="464"/>
    </row>
    <row r="1046" spans="2:14" hidden="1" outlineLevel="1" x14ac:dyDescent="0.35">
      <c r="B1046" s="203"/>
      <c r="C1046" s="204"/>
      <c r="D1046" s="204"/>
      <c r="E1046" s="204"/>
      <c r="F1046" s="205"/>
      <c r="G1046" s="548"/>
      <c r="H1046" s="550"/>
      <c r="I1046" s="326"/>
      <c r="J1046" s="326"/>
      <c r="K1046" s="326"/>
      <c r="M1046" s="463"/>
      <c r="N1046" s="464"/>
    </row>
    <row r="1047" spans="2:14" hidden="1" outlineLevel="1" x14ac:dyDescent="0.35">
      <c r="B1047" s="203"/>
      <c r="C1047" s="204"/>
      <c r="D1047" s="204"/>
      <c r="E1047" s="204"/>
      <c r="F1047" s="205"/>
      <c r="G1047" s="548"/>
      <c r="H1047" s="550"/>
      <c r="I1047" s="326"/>
      <c r="J1047" s="326"/>
      <c r="K1047" s="326"/>
      <c r="M1047" s="463"/>
      <c r="N1047" s="464"/>
    </row>
    <row r="1048" spans="2:14" hidden="1" outlineLevel="1" x14ac:dyDescent="0.35">
      <c r="B1048" s="203"/>
      <c r="C1048" s="204"/>
      <c r="D1048" s="204"/>
      <c r="E1048" s="204"/>
      <c r="F1048" s="205"/>
      <c r="G1048" s="548"/>
      <c r="H1048" s="550"/>
      <c r="I1048" s="326"/>
      <c r="J1048" s="326"/>
      <c r="K1048" s="326"/>
      <c r="M1048" s="463"/>
      <c r="N1048" s="464"/>
    </row>
    <row r="1049" spans="2:14" hidden="1" outlineLevel="1" x14ac:dyDescent="0.35">
      <c r="B1049" s="203"/>
      <c r="C1049" s="204"/>
      <c r="D1049" s="204"/>
      <c r="E1049" s="204"/>
      <c r="F1049" s="205"/>
      <c r="G1049" s="548"/>
      <c r="H1049" s="550"/>
      <c r="I1049" s="326"/>
      <c r="J1049" s="326"/>
      <c r="K1049" s="326"/>
      <c r="M1049" s="463"/>
      <c r="N1049" s="464"/>
    </row>
    <row r="1050" spans="2:14" hidden="1" outlineLevel="1" x14ac:dyDescent="0.35">
      <c r="B1050" s="203"/>
      <c r="C1050" s="204"/>
      <c r="D1050" s="204"/>
      <c r="E1050" s="204"/>
      <c r="F1050" s="205"/>
      <c r="G1050" s="548"/>
      <c r="H1050" s="550"/>
      <c r="I1050" s="326"/>
      <c r="J1050" s="326"/>
      <c r="K1050" s="326"/>
      <c r="M1050" s="463"/>
      <c r="N1050" s="464"/>
    </row>
    <row r="1051" spans="2:14" hidden="1" outlineLevel="1" x14ac:dyDescent="0.35">
      <c r="B1051" s="203"/>
      <c r="C1051" s="204"/>
      <c r="D1051" s="204"/>
      <c r="E1051" s="204"/>
      <c r="F1051" s="205"/>
      <c r="G1051" s="548"/>
      <c r="H1051" s="550"/>
      <c r="I1051" s="326"/>
      <c r="J1051" s="326"/>
      <c r="K1051" s="326"/>
      <c r="M1051" s="463"/>
      <c r="N1051" s="464"/>
    </row>
    <row r="1052" spans="2:14" hidden="1" outlineLevel="1" x14ac:dyDescent="0.35">
      <c r="B1052" s="203"/>
      <c r="C1052" s="204"/>
      <c r="D1052" s="204"/>
      <c r="E1052" s="204"/>
      <c r="F1052" s="205"/>
      <c r="G1052" s="548"/>
      <c r="H1052" s="550"/>
      <c r="I1052" s="326"/>
      <c r="J1052" s="326"/>
      <c r="K1052" s="326"/>
      <c r="M1052" s="463"/>
      <c r="N1052" s="464"/>
    </row>
    <row r="1053" spans="2:14" hidden="1" outlineLevel="1" x14ac:dyDescent="0.35">
      <c r="B1053" s="203"/>
      <c r="C1053" s="204"/>
      <c r="D1053" s="204"/>
      <c r="E1053" s="204"/>
      <c r="F1053" s="205"/>
      <c r="G1053" s="548"/>
      <c r="H1053" s="550"/>
      <c r="I1053" s="326"/>
      <c r="J1053" s="326"/>
      <c r="K1053" s="326"/>
      <c r="M1053" s="463"/>
      <c r="N1053" s="464"/>
    </row>
    <row r="1054" spans="2:14" hidden="1" outlineLevel="1" x14ac:dyDescent="0.35">
      <c r="B1054" s="203"/>
      <c r="C1054" s="204"/>
      <c r="D1054" s="204"/>
      <c r="E1054" s="204"/>
      <c r="F1054" s="205"/>
      <c r="G1054" s="548"/>
      <c r="H1054" s="550"/>
      <c r="I1054" s="326"/>
      <c r="J1054" s="326"/>
      <c r="K1054" s="326"/>
      <c r="M1054" s="463"/>
      <c r="N1054" s="464"/>
    </row>
    <row r="1055" spans="2:14" hidden="1" outlineLevel="1" x14ac:dyDescent="0.35">
      <c r="B1055" s="203"/>
      <c r="C1055" s="204"/>
      <c r="D1055" s="204"/>
      <c r="E1055" s="204"/>
      <c r="F1055" s="205"/>
      <c r="G1055" s="548"/>
      <c r="H1055" s="550"/>
      <c r="I1055" s="326"/>
      <c r="J1055" s="326"/>
      <c r="K1055" s="326"/>
      <c r="M1055" s="463"/>
      <c r="N1055" s="464"/>
    </row>
    <row r="1056" spans="2:14" hidden="1" outlineLevel="1" x14ac:dyDescent="0.35">
      <c r="B1056" s="203"/>
      <c r="C1056" s="204"/>
      <c r="D1056" s="204"/>
      <c r="E1056" s="204"/>
      <c r="F1056" s="205"/>
      <c r="G1056" s="548"/>
      <c r="H1056" s="550"/>
      <c r="I1056" s="326"/>
      <c r="J1056" s="326"/>
      <c r="K1056" s="326"/>
      <c r="M1056" s="463"/>
      <c r="N1056" s="464"/>
    </row>
    <row r="1057" spans="2:14" hidden="1" outlineLevel="1" x14ac:dyDescent="0.35">
      <c r="B1057" s="203"/>
      <c r="C1057" s="204"/>
      <c r="D1057" s="204"/>
      <c r="E1057" s="204"/>
      <c r="F1057" s="205"/>
      <c r="G1057" s="548"/>
      <c r="H1057" s="550"/>
      <c r="I1057" s="326"/>
      <c r="J1057" s="326"/>
      <c r="K1057" s="326"/>
      <c r="M1057" s="463"/>
      <c r="N1057" s="464"/>
    </row>
    <row r="1058" spans="2:14" hidden="1" outlineLevel="1" x14ac:dyDescent="0.35">
      <c r="B1058" s="203"/>
      <c r="C1058" s="204"/>
      <c r="D1058" s="204"/>
      <c r="E1058" s="204"/>
      <c r="F1058" s="205"/>
      <c r="G1058" s="548"/>
      <c r="H1058" s="550"/>
      <c r="I1058" s="326"/>
      <c r="J1058" s="326"/>
      <c r="K1058" s="326"/>
      <c r="M1058" s="463"/>
      <c r="N1058" s="464"/>
    </row>
    <row r="1059" spans="2:14" hidden="1" outlineLevel="1" x14ac:dyDescent="0.35">
      <c r="B1059" s="203"/>
      <c r="C1059" s="204"/>
      <c r="D1059" s="204"/>
      <c r="E1059" s="204"/>
      <c r="F1059" s="205"/>
      <c r="G1059" s="548"/>
      <c r="H1059" s="550"/>
      <c r="I1059" s="326"/>
      <c r="J1059" s="326"/>
      <c r="K1059" s="326"/>
      <c r="M1059" s="463"/>
      <c r="N1059" s="464"/>
    </row>
    <row r="1060" spans="2:14" hidden="1" outlineLevel="1" x14ac:dyDescent="0.35">
      <c r="B1060" s="203"/>
      <c r="C1060" s="204"/>
      <c r="D1060" s="204"/>
      <c r="E1060" s="204"/>
      <c r="F1060" s="205"/>
      <c r="G1060" s="548"/>
      <c r="H1060" s="550"/>
      <c r="I1060" s="326"/>
      <c r="J1060" s="326"/>
      <c r="K1060" s="326"/>
      <c r="M1060" s="463"/>
      <c r="N1060" s="464"/>
    </row>
    <row r="1061" spans="2:14" hidden="1" outlineLevel="1" x14ac:dyDescent="0.35">
      <c r="B1061" s="203"/>
      <c r="C1061" s="204"/>
      <c r="D1061" s="204"/>
      <c r="E1061" s="204"/>
      <c r="F1061" s="205"/>
      <c r="G1061" s="548"/>
      <c r="H1061" s="550"/>
      <c r="I1061" s="326"/>
      <c r="J1061" s="326"/>
      <c r="K1061" s="326"/>
      <c r="M1061" s="463"/>
      <c r="N1061" s="464"/>
    </row>
    <row r="1062" spans="2:14" hidden="1" outlineLevel="1" x14ac:dyDescent="0.35">
      <c r="B1062" s="203"/>
      <c r="C1062" s="204"/>
      <c r="D1062" s="204"/>
      <c r="E1062" s="204"/>
      <c r="F1062" s="205"/>
      <c r="G1062" s="548"/>
      <c r="H1062" s="550"/>
      <c r="I1062" s="326"/>
      <c r="J1062" s="326"/>
      <c r="K1062" s="326"/>
      <c r="M1062" s="463"/>
      <c r="N1062" s="464"/>
    </row>
    <row r="1063" spans="2:14" hidden="1" outlineLevel="1" x14ac:dyDescent="0.35">
      <c r="B1063" s="203"/>
      <c r="C1063" s="204"/>
      <c r="D1063" s="204"/>
      <c r="E1063" s="204"/>
      <c r="F1063" s="205"/>
      <c r="G1063" s="548"/>
      <c r="H1063" s="550"/>
      <c r="I1063" s="326"/>
      <c r="J1063" s="326"/>
      <c r="K1063" s="326"/>
      <c r="M1063" s="463"/>
      <c r="N1063" s="464"/>
    </row>
    <row r="1064" spans="2:14" hidden="1" outlineLevel="1" x14ac:dyDescent="0.35">
      <c r="B1064" s="203"/>
      <c r="C1064" s="204"/>
      <c r="D1064" s="204"/>
      <c r="E1064" s="204"/>
      <c r="F1064" s="205"/>
      <c r="G1064" s="548"/>
      <c r="H1064" s="550"/>
      <c r="I1064" s="326"/>
      <c r="J1064" s="326"/>
      <c r="K1064" s="326"/>
      <c r="M1064" s="463"/>
      <c r="N1064" s="464"/>
    </row>
    <row r="1065" spans="2:14" hidden="1" outlineLevel="1" x14ac:dyDescent="0.35">
      <c r="B1065" s="203"/>
      <c r="C1065" s="204"/>
      <c r="D1065" s="204"/>
      <c r="E1065" s="204"/>
      <c r="F1065" s="205"/>
      <c r="G1065" s="548"/>
      <c r="H1065" s="550"/>
      <c r="I1065" s="326"/>
      <c r="J1065" s="326"/>
      <c r="K1065" s="326"/>
      <c r="M1065" s="463"/>
      <c r="N1065" s="464"/>
    </row>
    <row r="1066" spans="2:14" hidden="1" outlineLevel="1" x14ac:dyDescent="0.35">
      <c r="B1066" s="203"/>
      <c r="C1066" s="204"/>
      <c r="D1066" s="204"/>
      <c r="E1066" s="204"/>
      <c r="F1066" s="205"/>
      <c r="G1066" s="548"/>
      <c r="H1066" s="550"/>
      <c r="I1066" s="326"/>
      <c r="J1066" s="326"/>
      <c r="K1066" s="326"/>
      <c r="M1066" s="463"/>
      <c r="N1066" s="464"/>
    </row>
    <row r="1067" spans="2:14" hidden="1" outlineLevel="1" x14ac:dyDescent="0.35">
      <c r="B1067" s="203"/>
      <c r="C1067" s="204"/>
      <c r="D1067" s="204"/>
      <c r="E1067" s="204"/>
      <c r="F1067" s="205"/>
      <c r="G1067" s="548"/>
      <c r="H1067" s="550"/>
      <c r="I1067" s="326"/>
      <c r="J1067" s="326"/>
      <c r="K1067" s="326"/>
      <c r="M1067" s="463"/>
      <c r="N1067" s="464"/>
    </row>
    <row r="1068" spans="2:14" hidden="1" outlineLevel="1" x14ac:dyDescent="0.35">
      <c r="B1068" s="203"/>
      <c r="C1068" s="204"/>
      <c r="D1068" s="204"/>
      <c r="E1068" s="204"/>
      <c r="F1068" s="205"/>
      <c r="G1068" s="548"/>
      <c r="H1068" s="550"/>
      <c r="I1068" s="326"/>
      <c r="J1068" s="326"/>
      <c r="K1068" s="326"/>
      <c r="M1068" s="463"/>
      <c r="N1068" s="464"/>
    </row>
    <row r="1069" spans="2:14" hidden="1" outlineLevel="1" x14ac:dyDescent="0.35">
      <c r="B1069" s="203"/>
      <c r="C1069" s="204"/>
      <c r="D1069" s="204"/>
      <c r="E1069" s="204"/>
      <c r="F1069" s="205"/>
      <c r="G1069" s="548"/>
      <c r="H1069" s="550"/>
      <c r="I1069" s="326"/>
      <c r="J1069" s="326"/>
      <c r="K1069" s="326"/>
      <c r="M1069" s="463"/>
      <c r="N1069" s="464"/>
    </row>
    <row r="1070" spans="2:14" hidden="1" outlineLevel="1" x14ac:dyDescent="0.35">
      <c r="B1070" s="203"/>
      <c r="C1070" s="204"/>
      <c r="D1070" s="204"/>
      <c r="E1070" s="204"/>
      <c r="F1070" s="205"/>
      <c r="G1070" s="548"/>
      <c r="H1070" s="550"/>
      <c r="I1070" s="326"/>
      <c r="J1070" s="326"/>
      <c r="K1070" s="326"/>
      <c r="M1070" s="463"/>
      <c r="N1070" s="464"/>
    </row>
    <row r="1071" spans="2:14" hidden="1" outlineLevel="1" x14ac:dyDescent="0.35">
      <c r="B1071" s="203"/>
      <c r="C1071" s="204"/>
      <c r="D1071" s="204"/>
      <c r="E1071" s="204"/>
      <c r="F1071" s="205"/>
      <c r="G1071" s="548"/>
      <c r="H1071" s="550"/>
      <c r="I1071" s="326"/>
      <c r="J1071" s="326"/>
      <c r="K1071" s="326"/>
      <c r="M1071" s="463"/>
      <c r="N1071" s="464"/>
    </row>
    <row r="1072" spans="2:14" hidden="1" outlineLevel="1" x14ac:dyDescent="0.35">
      <c r="B1072" s="203"/>
      <c r="C1072" s="204"/>
      <c r="D1072" s="204"/>
      <c r="E1072" s="204"/>
      <c r="F1072" s="205"/>
      <c r="G1072" s="548"/>
      <c r="H1072" s="550"/>
      <c r="I1072" s="326"/>
      <c r="J1072" s="326"/>
      <c r="K1072" s="326"/>
      <c r="M1072" s="463"/>
      <c r="N1072" s="464"/>
    </row>
    <row r="1073" spans="2:14" hidden="1" outlineLevel="1" x14ac:dyDescent="0.35">
      <c r="B1073" s="203"/>
      <c r="C1073" s="204"/>
      <c r="D1073" s="204"/>
      <c r="E1073" s="204"/>
      <c r="F1073" s="205"/>
      <c r="G1073" s="548"/>
      <c r="H1073" s="550"/>
      <c r="I1073" s="326"/>
      <c r="J1073" s="326"/>
      <c r="K1073" s="326"/>
      <c r="M1073" s="463"/>
      <c r="N1073" s="464"/>
    </row>
    <row r="1074" spans="2:14" hidden="1" outlineLevel="1" x14ac:dyDescent="0.35">
      <c r="B1074" s="203"/>
      <c r="C1074" s="204"/>
      <c r="D1074" s="204"/>
      <c r="E1074" s="204"/>
      <c r="F1074" s="205"/>
      <c r="G1074" s="548"/>
      <c r="H1074" s="550"/>
      <c r="I1074" s="326"/>
      <c r="J1074" s="326"/>
      <c r="K1074" s="326"/>
      <c r="M1074" s="463"/>
      <c r="N1074" s="464"/>
    </row>
    <row r="1075" spans="2:14" hidden="1" outlineLevel="1" x14ac:dyDescent="0.35">
      <c r="B1075" s="203"/>
      <c r="C1075" s="204"/>
      <c r="D1075" s="204"/>
      <c r="E1075" s="204"/>
      <c r="F1075" s="205"/>
      <c r="G1075" s="548"/>
      <c r="H1075" s="550"/>
      <c r="I1075" s="326"/>
      <c r="J1075" s="326"/>
      <c r="K1075" s="326"/>
      <c r="M1075" s="463"/>
      <c r="N1075" s="464"/>
    </row>
    <row r="1076" spans="2:14" hidden="1" outlineLevel="1" x14ac:dyDescent="0.35">
      <c r="B1076" s="203"/>
      <c r="C1076" s="204"/>
      <c r="D1076" s="204"/>
      <c r="E1076" s="204"/>
      <c r="F1076" s="205"/>
      <c r="G1076" s="548"/>
      <c r="H1076" s="550"/>
      <c r="I1076" s="326"/>
      <c r="J1076" s="326"/>
      <c r="K1076" s="326"/>
      <c r="M1076" s="463"/>
      <c r="N1076" s="464"/>
    </row>
    <row r="1077" spans="2:14" hidden="1" outlineLevel="1" x14ac:dyDescent="0.35">
      <c r="B1077" s="203"/>
      <c r="C1077" s="204"/>
      <c r="D1077" s="204"/>
      <c r="E1077" s="204"/>
      <c r="F1077" s="205"/>
      <c r="G1077" s="548"/>
      <c r="H1077" s="550"/>
      <c r="I1077" s="326"/>
      <c r="J1077" s="326"/>
      <c r="K1077" s="326"/>
      <c r="M1077" s="463"/>
      <c r="N1077" s="464"/>
    </row>
    <row r="1078" spans="2:14" hidden="1" outlineLevel="1" x14ac:dyDescent="0.35">
      <c r="B1078" s="203"/>
      <c r="C1078" s="204"/>
      <c r="D1078" s="204"/>
      <c r="E1078" s="204"/>
      <c r="F1078" s="205"/>
      <c r="G1078" s="548"/>
      <c r="H1078" s="550"/>
      <c r="I1078" s="326"/>
      <c r="J1078" s="326"/>
      <c r="K1078" s="326"/>
      <c r="M1078" s="463"/>
      <c r="N1078" s="464"/>
    </row>
    <row r="1079" spans="2:14" hidden="1" outlineLevel="1" x14ac:dyDescent="0.35">
      <c r="B1079" s="203"/>
      <c r="C1079" s="204"/>
      <c r="D1079" s="204"/>
      <c r="E1079" s="204"/>
      <c r="F1079" s="205"/>
      <c r="G1079" s="548"/>
      <c r="H1079" s="550"/>
      <c r="I1079" s="326"/>
      <c r="J1079" s="326"/>
      <c r="K1079" s="326"/>
      <c r="M1079" s="463"/>
      <c r="N1079" s="464"/>
    </row>
    <row r="1080" spans="2:14" hidden="1" outlineLevel="1" x14ac:dyDescent="0.35">
      <c r="B1080" s="203"/>
      <c r="C1080" s="204"/>
      <c r="D1080" s="204"/>
      <c r="E1080" s="204"/>
      <c r="F1080" s="205"/>
      <c r="G1080" s="548"/>
      <c r="H1080" s="550"/>
      <c r="I1080" s="326"/>
      <c r="J1080" s="326"/>
      <c r="K1080" s="326"/>
      <c r="M1080" s="463"/>
      <c r="N1080" s="464"/>
    </row>
    <row r="1081" spans="2:14" hidden="1" outlineLevel="1" x14ac:dyDescent="0.35">
      <c r="B1081" s="203"/>
      <c r="C1081" s="204"/>
      <c r="D1081" s="204"/>
      <c r="E1081" s="204"/>
      <c r="F1081" s="205"/>
      <c r="G1081" s="548"/>
      <c r="H1081" s="550"/>
      <c r="I1081" s="326"/>
      <c r="J1081" s="326"/>
      <c r="K1081" s="326"/>
      <c r="M1081" s="463"/>
      <c r="N1081" s="464"/>
    </row>
    <row r="1082" spans="2:14" hidden="1" outlineLevel="1" x14ac:dyDescent="0.35">
      <c r="B1082" s="203"/>
      <c r="C1082" s="204"/>
      <c r="D1082" s="204"/>
      <c r="E1082" s="204"/>
      <c r="F1082" s="205"/>
      <c r="G1082" s="548"/>
      <c r="H1082" s="550"/>
      <c r="I1082" s="326"/>
      <c r="J1082" s="326"/>
      <c r="K1082" s="326"/>
      <c r="M1082" s="463"/>
      <c r="N1082" s="464"/>
    </row>
    <row r="1083" spans="2:14" hidden="1" outlineLevel="1" x14ac:dyDescent="0.35">
      <c r="B1083" s="203"/>
      <c r="C1083" s="204"/>
      <c r="D1083" s="204"/>
      <c r="E1083" s="204"/>
      <c r="F1083" s="205"/>
      <c r="G1083" s="548"/>
      <c r="H1083" s="550"/>
      <c r="I1083" s="326"/>
      <c r="J1083" s="326"/>
      <c r="K1083" s="326"/>
      <c r="M1083" s="463"/>
      <c r="N1083" s="464"/>
    </row>
    <row r="1084" spans="2:14" hidden="1" outlineLevel="1" x14ac:dyDescent="0.35">
      <c r="B1084" s="203"/>
      <c r="C1084" s="204"/>
      <c r="D1084" s="204"/>
      <c r="E1084" s="204"/>
      <c r="F1084" s="205"/>
      <c r="G1084" s="548"/>
      <c r="H1084" s="550"/>
      <c r="I1084" s="326"/>
      <c r="J1084" s="326"/>
      <c r="K1084" s="326"/>
      <c r="M1084" s="463"/>
      <c r="N1084" s="464"/>
    </row>
    <row r="1085" spans="2:14" hidden="1" outlineLevel="1" x14ac:dyDescent="0.35">
      <c r="B1085" s="203"/>
      <c r="C1085" s="204"/>
      <c r="D1085" s="204"/>
      <c r="E1085" s="204"/>
      <c r="F1085" s="205"/>
      <c r="G1085" s="548"/>
      <c r="H1085" s="550"/>
      <c r="I1085" s="326"/>
      <c r="J1085" s="326"/>
      <c r="K1085" s="326"/>
      <c r="M1085" s="463"/>
      <c r="N1085" s="464"/>
    </row>
    <row r="1086" spans="2:14" hidden="1" outlineLevel="1" x14ac:dyDescent="0.35">
      <c r="B1086" s="203"/>
      <c r="C1086" s="204"/>
      <c r="D1086" s="204"/>
      <c r="E1086" s="204"/>
      <c r="F1086" s="205"/>
      <c r="G1086" s="548"/>
      <c r="H1086" s="550"/>
      <c r="I1086" s="326"/>
      <c r="J1086" s="326"/>
      <c r="K1086" s="326"/>
      <c r="M1086" s="463"/>
      <c r="N1086" s="464"/>
    </row>
    <row r="1087" spans="2:14" hidden="1" outlineLevel="1" x14ac:dyDescent="0.35">
      <c r="B1087" s="203"/>
      <c r="C1087" s="204"/>
      <c r="D1087" s="204"/>
      <c r="E1087" s="204"/>
      <c r="F1087" s="205"/>
      <c r="G1087" s="548"/>
      <c r="H1087" s="550"/>
      <c r="I1087" s="326"/>
      <c r="J1087" s="326"/>
      <c r="K1087" s="326"/>
      <c r="M1087" s="463"/>
      <c r="N1087" s="464"/>
    </row>
    <row r="1088" spans="2:14" hidden="1" outlineLevel="1" x14ac:dyDescent="0.35">
      <c r="B1088" s="203"/>
      <c r="C1088" s="204"/>
      <c r="D1088" s="204"/>
      <c r="E1088" s="204"/>
      <c r="F1088" s="205"/>
      <c r="G1088" s="548"/>
      <c r="H1088" s="550"/>
      <c r="I1088" s="326"/>
      <c r="J1088" s="326"/>
      <c r="K1088" s="326"/>
      <c r="M1088" s="463"/>
      <c r="N1088" s="464"/>
    </row>
    <row r="1089" spans="2:14" hidden="1" outlineLevel="1" x14ac:dyDescent="0.35">
      <c r="B1089" s="203"/>
      <c r="C1089" s="204"/>
      <c r="D1089" s="204"/>
      <c r="E1089" s="204"/>
      <c r="F1089" s="205"/>
      <c r="G1089" s="548"/>
      <c r="H1089" s="550"/>
      <c r="I1089" s="326"/>
      <c r="J1089" s="326"/>
      <c r="K1089" s="326"/>
      <c r="M1089" s="463"/>
      <c r="N1089" s="464"/>
    </row>
    <row r="1090" spans="2:14" hidden="1" outlineLevel="1" x14ac:dyDescent="0.35">
      <c r="B1090" s="203"/>
      <c r="C1090" s="204"/>
      <c r="D1090" s="204"/>
      <c r="E1090" s="204"/>
      <c r="F1090" s="205"/>
      <c r="G1090" s="548"/>
      <c r="H1090" s="550"/>
      <c r="I1090" s="326"/>
      <c r="J1090" s="326"/>
      <c r="K1090" s="326"/>
      <c r="M1090" s="463"/>
      <c r="N1090" s="464"/>
    </row>
    <row r="1091" spans="2:14" hidden="1" outlineLevel="1" x14ac:dyDescent="0.35">
      <c r="B1091" s="203"/>
      <c r="C1091" s="204"/>
      <c r="D1091" s="204"/>
      <c r="E1091" s="204"/>
      <c r="F1091" s="205"/>
      <c r="G1091" s="548"/>
      <c r="H1091" s="550"/>
      <c r="I1091" s="326"/>
      <c r="J1091" s="326"/>
      <c r="K1091" s="326"/>
      <c r="M1091" s="463"/>
      <c r="N1091" s="464"/>
    </row>
    <row r="1092" spans="2:14" hidden="1" outlineLevel="1" x14ac:dyDescent="0.35">
      <c r="B1092" s="203"/>
      <c r="C1092" s="204"/>
      <c r="D1092" s="204"/>
      <c r="E1092" s="204"/>
      <c r="F1092" s="205"/>
      <c r="G1092" s="548"/>
      <c r="H1092" s="550"/>
      <c r="I1092" s="326"/>
      <c r="J1092" s="326"/>
      <c r="K1092" s="326"/>
      <c r="M1092" s="463"/>
      <c r="N1092" s="464"/>
    </row>
    <row r="1093" spans="2:14" hidden="1" outlineLevel="1" x14ac:dyDescent="0.35">
      <c r="B1093" s="203"/>
      <c r="C1093" s="204"/>
      <c r="D1093" s="204"/>
      <c r="E1093" s="204"/>
      <c r="F1093" s="205"/>
      <c r="G1093" s="548"/>
      <c r="H1093" s="550"/>
      <c r="I1093" s="326"/>
      <c r="J1093" s="326"/>
      <c r="K1093" s="326"/>
      <c r="M1093" s="463"/>
      <c r="N1093" s="464"/>
    </row>
    <row r="1094" spans="2:14" hidden="1" outlineLevel="1" x14ac:dyDescent="0.35">
      <c r="B1094" s="203"/>
      <c r="C1094" s="204"/>
      <c r="D1094" s="204"/>
      <c r="E1094" s="204"/>
      <c r="F1094" s="205"/>
      <c r="G1094" s="548"/>
      <c r="H1094" s="550"/>
      <c r="I1094" s="326"/>
      <c r="J1094" s="326"/>
      <c r="K1094" s="326"/>
      <c r="M1094" s="463"/>
      <c r="N1094" s="464"/>
    </row>
    <row r="1095" spans="2:14" hidden="1" outlineLevel="1" x14ac:dyDescent="0.35">
      <c r="B1095" s="203"/>
      <c r="C1095" s="204"/>
      <c r="D1095" s="204"/>
      <c r="E1095" s="204"/>
      <c r="F1095" s="205"/>
      <c r="G1095" s="548"/>
      <c r="H1095" s="550"/>
      <c r="I1095" s="326"/>
      <c r="J1095" s="326"/>
      <c r="K1095" s="326"/>
      <c r="M1095" s="463"/>
      <c r="N1095" s="464"/>
    </row>
    <row r="1096" spans="2:14" hidden="1" outlineLevel="1" x14ac:dyDescent="0.35">
      <c r="B1096" s="203"/>
      <c r="C1096" s="204"/>
      <c r="D1096" s="204"/>
      <c r="E1096" s="204"/>
      <c r="F1096" s="205"/>
      <c r="G1096" s="548"/>
      <c r="H1096" s="550"/>
      <c r="I1096" s="326"/>
      <c r="J1096" s="326"/>
      <c r="K1096" s="326"/>
      <c r="M1096" s="463"/>
      <c r="N1096" s="464"/>
    </row>
    <row r="1097" spans="2:14" hidden="1" outlineLevel="1" x14ac:dyDescent="0.35">
      <c r="B1097" s="203"/>
      <c r="C1097" s="204"/>
      <c r="D1097" s="204"/>
      <c r="E1097" s="204"/>
      <c r="F1097" s="205"/>
      <c r="G1097" s="548"/>
      <c r="H1097" s="550"/>
      <c r="I1097" s="326"/>
      <c r="J1097" s="326"/>
      <c r="K1097" s="326"/>
      <c r="M1097" s="463"/>
      <c r="N1097" s="464"/>
    </row>
    <row r="1098" spans="2:14" hidden="1" outlineLevel="1" x14ac:dyDescent="0.35">
      <c r="B1098" s="203"/>
      <c r="C1098" s="204"/>
      <c r="D1098" s="204"/>
      <c r="E1098" s="204"/>
      <c r="F1098" s="205"/>
      <c r="G1098" s="548"/>
      <c r="H1098" s="550"/>
      <c r="I1098" s="326"/>
      <c r="J1098" s="326"/>
      <c r="K1098" s="326"/>
      <c r="M1098" s="463"/>
      <c r="N1098" s="464"/>
    </row>
    <row r="1099" spans="2:14" hidden="1" outlineLevel="1" x14ac:dyDescent="0.35">
      <c r="B1099" s="203"/>
      <c r="C1099" s="204"/>
      <c r="D1099" s="204"/>
      <c r="E1099" s="204"/>
      <c r="F1099" s="205"/>
      <c r="G1099" s="548"/>
      <c r="H1099" s="550"/>
      <c r="I1099" s="326"/>
      <c r="J1099" s="326"/>
      <c r="K1099" s="326"/>
      <c r="M1099" s="463"/>
      <c r="N1099" s="464"/>
    </row>
    <row r="1100" spans="2:14" hidden="1" outlineLevel="1" x14ac:dyDescent="0.35">
      <c r="B1100" s="203"/>
      <c r="C1100" s="204"/>
      <c r="D1100" s="204"/>
      <c r="E1100" s="204"/>
      <c r="F1100" s="205"/>
      <c r="G1100" s="548"/>
      <c r="H1100" s="550"/>
      <c r="I1100" s="326"/>
      <c r="J1100" s="326"/>
      <c r="K1100" s="326"/>
      <c r="M1100" s="463"/>
      <c r="N1100" s="464"/>
    </row>
    <row r="1101" spans="2:14" hidden="1" outlineLevel="1" x14ac:dyDescent="0.35">
      <c r="B1101" s="203"/>
      <c r="C1101" s="204"/>
      <c r="D1101" s="204"/>
      <c r="E1101" s="204"/>
      <c r="F1101" s="205"/>
      <c r="G1101" s="548"/>
      <c r="H1101" s="550"/>
      <c r="I1101" s="326"/>
      <c r="J1101" s="326"/>
      <c r="K1101" s="326"/>
      <c r="M1101" s="463"/>
      <c r="N1101" s="464"/>
    </row>
    <row r="1102" spans="2:14" hidden="1" outlineLevel="1" x14ac:dyDescent="0.35">
      <c r="B1102" s="203"/>
      <c r="C1102" s="204"/>
      <c r="D1102" s="204"/>
      <c r="E1102" s="204"/>
      <c r="F1102" s="205"/>
      <c r="G1102" s="548"/>
      <c r="H1102" s="550"/>
      <c r="I1102" s="326"/>
      <c r="J1102" s="326"/>
      <c r="K1102" s="326"/>
      <c r="M1102" s="463"/>
      <c r="N1102" s="464"/>
    </row>
    <row r="1103" spans="2:14" hidden="1" outlineLevel="1" x14ac:dyDescent="0.35">
      <c r="B1103" s="203"/>
      <c r="C1103" s="204"/>
      <c r="D1103" s="204"/>
      <c r="E1103" s="204"/>
      <c r="F1103" s="205"/>
      <c r="G1103" s="548"/>
      <c r="H1103" s="550"/>
      <c r="I1103" s="326"/>
      <c r="J1103" s="326"/>
      <c r="K1103" s="326"/>
      <c r="M1103" s="463"/>
      <c r="N1103" s="464"/>
    </row>
    <row r="1104" spans="2:14" hidden="1" outlineLevel="1" x14ac:dyDescent="0.35">
      <c r="B1104" s="203"/>
      <c r="C1104" s="204"/>
      <c r="D1104" s="204"/>
      <c r="E1104" s="204"/>
      <c r="F1104" s="205"/>
      <c r="G1104" s="548"/>
      <c r="H1104" s="550"/>
      <c r="I1104" s="326"/>
      <c r="J1104" s="326"/>
      <c r="K1104" s="326"/>
      <c r="M1104" s="463"/>
      <c r="N1104" s="464"/>
    </row>
    <row r="1105" spans="2:14" hidden="1" outlineLevel="1" x14ac:dyDescent="0.35">
      <c r="B1105" s="203"/>
      <c r="C1105" s="204"/>
      <c r="D1105" s="204"/>
      <c r="E1105" s="204"/>
      <c r="F1105" s="205"/>
      <c r="G1105" s="548"/>
      <c r="H1105" s="550"/>
      <c r="I1105" s="326"/>
      <c r="J1105" s="326"/>
      <c r="K1105" s="326"/>
      <c r="M1105" s="463"/>
      <c r="N1105" s="464"/>
    </row>
    <row r="1106" spans="2:14" hidden="1" outlineLevel="1" x14ac:dyDescent="0.35">
      <c r="B1106" s="203"/>
      <c r="C1106" s="204"/>
      <c r="D1106" s="204"/>
      <c r="E1106" s="204"/>
      <c r="F1106" s="205"/>
      <c r="G1106" s="548"/>
      <c r="H1106" s="550"/>
      <c r="I1106" s="326"/>
      <c r="J1106" s="326"/>
      <c r="K1106" s="326"/>
      <c r="M1106" s="463"/>
      <c r="N1106" s="464"/>
    </row>
    <row r="1107" spans="2:14" hidden="1" outlineLevel="1" x14ac:dyDescent="0.35">
      <c r="B1107" s="203"/>
      <c r="C1107" s="204"/>
      <c r="D1107" s="204"/>
      <c r="E1107" s="204"/>
      <c r="F1107" s="205"/>
      <c r="G1107" s="548"/>
      <c r="H1107" s="550"/>
      <c r="I1107" s="326"/>
      <c r="J1107" s="326"/>
      <c r="K1107" s="326"/>
      <c r="M1107" s="463"/>
      <c r="N1107" s="464"/>
    </row>
    <row r="1108" spans="2:14" hidden="1" outlineLevel="1" x14ac:dyDescent="0.35">
      <c r="B1108" s="203"/>
      <c r="C1108" s="204"/>
      <c r="D1108" s="204"/>
      <c r="E1108" s="204"/>
      <c r="F1108" s="205"/>
      <c r="G1108" s="548"/>
      <c r="H1108" s="550"/>
      <c r="I1108" s="326"/>
      <c r="J1108" s="326"/>
      <c r="K1108" s="326"/>
      <c r="M1108" s="463"/>
      <c r="N1108" s="464"/>
    </row>
    <row r="1109" spans="2:14" hidden="1" outlineLevel="1" x14ac:dyDescent="0.35">
      <c r="B1109" s="203"/>
      <c r="C1109" s="204"/>
      <c r="D1109" s="204"/>
      <c r="E1109" s="204"/>
      <c r="F1109" s="205"/>
      <c r="G1109" s="548"/>
      <c r="H1109" s="550"/>
      <c r="I1109" s="326"/>
      <c r="J1109" s="326"/>
      <c r="K1109" s="326"/>
      <c r="M1109" s="463"/>
      <c r="N1109" s="464"/>
    </row>
    <row r="1110" spans="2:14" hidden="1" outlineLevel="1" x14ac:dyDescent="0.35">
      <c r="B1110" s="203"/>
      <c r="C1110" s="204"/>
      <c r="D1110" s="204"/>
      <c r="E1110" s="204"/>
      <c r="F1110" s="205"/>
      <c r="G1110" s="548"/>
      <c r="H1110" s="550"/>
      <c r="I1110" s="326"/>
      <c r="J1110" s="326"/>
      <c r="K1110" s="326"/>
      <c r="M1110" s="463"/>
      <c r="N1110" s="464"/>
    </row>
    <row r="1111" spans="2:14" hidden="1" outlineLevel="1" x14ac:dyDescent="0.35">
      <c r="B1111" s="203"/>
      <c r="C1111" s="204"/>
      <c r="D1111" s="204"/>
      <c r="E1111" s="204"/>
      <c r="F1111" s="205"/>
      <c r="G1111" s="548"/>
      <c r="H1111" s="550"/>
      <c r="I1111" s="326"/>
      <c r="J1111" s="326"/>
      <c r="K1111" s="326"/>
      <c r="M1111" s="463"/>
      <c r="N1111" s="464"/>
    </row>
    <row r="1112" spans="2:14" hidden="1" outlineLevel="1" x14ac:dyDescent="0.35">
      <c r="B1112" s="203"/>
      <c r="C1112" s="204"/>
      <c r="D1112" s="204"/>
      <c r="E1112" s="204"/>
      <c r="F1112" s="205"/>
      <c r="G1112" s="548"/>
      <c r="H1112" s="550"/>
      <c r="I1112" s="326"/>
      <c r="J1112" s="326"/>
      <c r="K1112" s="326"/>
      <c r="M1112" s="463"/>
      <c r="N1112" s="464"/>
    </row>
    <row r="1113" spans="2:14" hidden="1" outlineLevel="1" x14ac:dyDescent="0.35">
      <c r="B1113" s="203"/>
      <c r="C1113" s="204"/>
      <c r="D1113" s="204"/>
      <c r="E1113" s="204"/>
      <c r="F1113" s="205"/>
      <c r="G1113" s="548"/>
      <c r="H1113" s="550"/>
      <c r="I1113" s="326"/>
      <c r="J1113" s="326"/>
      <c r="K1113" s="326"/>
      <c r="M1113" s="463"/>
      <c r="N1113" s="464"/>
    </row>
    <row r="1114" spans="2:14" hidden="1" outlineLevel="1" x14ac:dyDescent="0.35">
      <c r="B1114" s="203"/>
      <c r="C1114" s="204"/>
      <c r="D1114" s="204"/>
      <c r="E1114" s="204"/>
      <c r="F1114" s="205"/>
      <c r="G1114" s="548"/>
      <c r="H1114" s="550"/>
      <c r="I1114" s="326"/>
      <c r="J1114" s="326"/>
      <c r="K1114" s="326"/>
      <c r="M1114" s="463"/>
      <c r="N1114" s="464"/>
    </row>
    <row r="1115" spans="2:14" hidden="1" outlineLevel="1" x14ac:dyDescent="0.35">
      <c r="B1115" s="203"/>
      <c r="C1115" s="204"/>
      <c r="D1115" s="204"/>
      <c r="E1115" s="204"/>
      <c r="F1115" s="205"/>
      <c r="G1115" s="548"/>
      <c r="H1115" s="550"/>
      <c r="I1115" s="326"/>
      <c r="J1115" s="326"/>
      <c r="K1115" s="326"/>
      <c r="M1115" s="463"/>
      <c r="N1115" s="464"/>
    </row>
    <row r="1116" spans="2:14" hidden="1" outlineLevel="1" x14ac:dyDescent="0.35">
      <c r="B1116" s="203"/>
      <c r="C1116" s="204"/>
      <c r="D1116" s="204"/>
      <c r="E1116" s="204"/>
      <c r="F1116" s="205"/>
      <c r="G1116" s="548"/>
      <c r="H1116" s="550"/>
      <c r="I1116" s="326"/>
      <c r="J1116" s="326"/>
      <c r="K1116" s="326"/>
      <c r="M1116" s="463"/>
      <c r="N1116" s="464"/>
    </row>
    <row r="1117" spans="2:14" hidden="1" outlineLevel="1" x14ac:dyDescent="0.35">
      <c r="B1117" s="203"/>
      <c r="C1117" s="204"/>
      <c r="D1117" s="204"/>
      <c r="E1117" s="204"/>
      <c r="F1117" s="205"/>
      <c r="G1117" s="548"/>
      <c r="H1117" s="550"/>
      <c r="I1117" s="326"/>
      <c r="J1117" s="326"/>
      <c r="K1117" s="326"/>
      <c r="M1117" s="463"/>
      <c r="N1117" s="464"/>
    </row>
    <row r="1118" spans="2:14" hidden="1" outlineLevel="1" x14ac:dyDescent="0.35">
      <c r="B1118" s="203"/>
      <c r="C1118" s="204"/>
      <c r="D1118" s="204"/>
      <c r="E1118" s="204"/>
      <c r="F1118" s="205"/>
      <c r="G1118" s="548"/>
      <c r="H1118" s="550"/>
      <c r="I1118" s="326"/>
      <c r="J1118" s="326"/>
      <c r="K1118" s="326"/>
      <c r="M1118" s="463"/>
      <c r="N1118" s="464"/>
    </row>
    <row r="1119" spans="2:14" hidden="1" outlineLevel="1" x14ac:dyDescent="0.35">
      <c r="B1119" s="203"/>
      <c r="C1119" s="204"/>
      <c r="D1119" s="204"/>
      <c r="E1119" s="204"/>
      <c r="F1119" s="205"/>
      <c r="G1119" s="548"/>
      <c r="H1119" s="550"/>
      <c r="I1119" s="326"/>
      <c r="J1119" s="326"/>
      <c r="K1119" s="326"/>
      <c r="M1119" s="463"/>
      <c r="N1119" s="464"/>
    </row>
    <row r="1120" spans="2:14" hidden="1" outlineLevel="1" x14ac:dyDescent="0.35">
      <c r="B1120" s="203"/>
      <c r="C1120" s="204"/>
      <c r="D1120" s="204"/>
      <c r="E1120" s="204"/>
      <c r="F1120" s="205"/>
      <c r="G1120" s="548"/>
      <c r="H1120" s="550"/>
      <c r="I1120" s="326"/>
      <c r="J1120" s="326"/>
      <c r="K1120" s="326"/>
      <c r="M1120" s="463"/>
      <c r="N1120" s="464"/>
    </row>
    <row r="1121" spans="2:14" hidden="1" outlineLevel="1" x14ac:dyDescent="0.35">
      <c r="B1121" s="203"/>
      <c r="C1121" s="204"/>
      <c r="D1121" s="204"/>
      <c r="E1121" s="204"/>
      <c r="F1121" s="205"/>
      <c r="G1121" s="548"/>
      <c r="H1121" s="550"/>
      <c r="I1121" s="326"/>
      <c r="J1121" s="326"/>
      <c r="K1121" s="326"/>
      <c r="M1121" s="463"/>
      <c r="N1121" s="464"/>
    </row>
    <row r="1122" spans="2:14" hidden="1" outlineLevel="1" x14ac:dyDescent="0.35">
      <c r="B1122" s="203"/>
      <c r="C1122" s="204"/>
      <c r="D1122" s="204"/>
      <c r="E1122" s="204"/>
      <c r="F1122" s="205"/>
      <c r="G1122" s="548"/>
      <c r="H1122" s="550"/>
      <c r="I1122" s="326"/>
      <c r="J1122" s="326"/>
      <c r="K1122" s="326"/>
      <c r="M1122" s="463"/>
      <c r="N1122" s="464"/>
    </row>
    <row r="1123" spans="2:14" hidden="1" outlineLevel="1" x14ac:dyDescent="0.35">
      <c r="B1123" s="203"/>
      <c r="C1123" s="204"/>
      <c r="D1123" s="204"/>
      <c r="E1123" s="204"/>
      <c r="F1123" s="205"/>
      <c r="G1123" s="548"/>
      <c r="H1123" s="550"/>
      <c r="I1123" s="326"/>
      <c r="J1123" s="326"/>
      <c r="K1123" s="326"/>
      <c r="M1123" s="463"/>
      <c r="N1123" s="464"/>
    </row>
    <row r="1124" spans="2:14" hidden="1" outlineLevel="1" x14ac:dyDescent="0.35">
      <c r="B1124" s="203"/>
      <c r="C1124" s="204"/>
      <c r="D1124" s="204"/>
      <c r="E1124" s="204"/>
      <c r="F1124" s="205"/>
      <c r="G1124" s="548"/>
      <c r="H1124" s="550"/>
      <c r="I1124" s="326"/>
      <c r="J1124" s="326"/>
      <c r="K1124" s="326"/>
      <c r="M1124" s="463"/>
      <c r="N1124" s="464"/>
    </row>
    <row r="1125" spans="2:14" hidden="1" outlineLevel="1" x14ac:dyDescent="0.35">
      <c r="B1125" s="203"/>
      <c r="C1125" s="204"/>
      <c r="D1125" s="204"/>
      <c r="E1125" s="204"/>
      <c r="F1125" s="205"/>
      <c r="G1125" s="548"/>
      <c r="H1125" s="550"/>
      <c r="I1125" s="326"/>
      <c r="J1125" s="326"/>
      <c r="K1125" s="326"/>
      <c r="M1125" s="463"/>
      <c r="N1125" s="464"/>
    </row>
    <row r="1126" spans="2:14" hidden="1" outlineLevel="1" x14ac:dyDescent="0.35">
      <c r="B1126" s="203"/>
      <c r="C1126" s="204"/>
      <c r="D1126" s="204"/>
      <c r="E1126" s="204"/>
      <c r="F1126" s="205"/>
      <c r="G1126" s="548"/>
      <c r="H1126" s="550"/>
      <c r="I1126" s="326"/>
      <c r="J1126" s="326"/>
      <c r="K1126" s="326"/>
      <c r="M1126" s="463"/>
      <c r="N1126" s="464"/>
    </row>
    <row r="1127" spans="2:14" hidden="1" outlineLevel="1" x14ac:dyDescent="0.35">
      <c r="B1127" s="203"/>
      <c r="C1127" s="204"/>
      <c r="D1127" s="204"/>
      <c r="E1127" s="204"/>
      <c r="F1127" s="205"/>
      <c r="G1127" s="548"/>
      <c r="H1127" s="550"/>
      <c r="I1127" s="326"/>
      <c r="J1127" s="326"/>
      <c r="K1127" s="326"/>
      <c r="M1127" s="463"/>
      <c r="N1127" s="464"/>
    </row>
    <row r="1128" spans="2:14" hidden="1" outlineLevel="1" x14ac:dyDescent="0.35">
      <c r="B1128" s="203"/>
      <c r="C1128" s="204"/>
      <c r="D1128" s="204"/>
      <c r="E1128" s="204"/>
      <c r="F1128" s="205"/>
      <c r="G1128" s="548"/>
      <c r="H1128" s="550"/>
      <c r="I1128" s="326"/>
      <c r="J1128" s="326"/>
      <c r="K1128" s="326"/>
      <c r="M1128" s="463"/>
      <c r="N1128" s="464"/>
    </row>
    <row r="1129" spans="2:14" hidden="1" outlineLevel="1" x14ac:dyDescent="0.35">
      <c r="B1129" s="203"/>
      <c r="C1129" s="204"/>
      <c r="D1129" s="204"/>
      <c r="E1129" s="204"/>
      <c r="F1129" s="205"/>
      <c r="G1129" s="548"/>
      <c r="H1129" s="550"/>
      <c r="I1129" s="326"/>
      <c r="J1129" s="326"/>
      <c r="K1129" s="326"/>
      <c r="M1129" s="463"/>
      <c r="N1129" s="464"/>
    </row>
    <row r="1130" spans="2:14" hidden="1" outlineLevel="1" x14ac:dyDescent="0.35">
      <c r="B1130" s="203"/>
      <c r="C1130" s="204"/>
      <c r="D1130" s="204"/>
      <c r="E1130" s="204"/>
      <c r="F1130" s="205"/>
      <c r="G1130" s="548"/>
      <c r="H1130" s="550"/>
      <c r="I1130" s="326"/>
      <c r="J1130" s="326"/>
      <c r="K1130" s="326"/>
      <c r="M1130" s="463"/>
      <c r="N1130" s="464"/>
    </row>
    <row r="1131" spans="2:14" hidden="1" outlineLevel="1" x14ac:dyDescent="0.35">
      <c r="B1131" s="203"/>
      <c r="C1131" s="204"/>
      <c r="D1131" s="204"/>
      <c r="E1131" s="204"/>
      <c r="F1131" s="205"/>
      <c r="G1131" s="548"/>
      <c r="H1131" s="550"/>
      <c r="I1131" s="326"/>
      <c r="J1131" s="326"/>
      <c r="K1131" s="326"/>
      <c r="M1131" s="463"/>
      <c r="N1131" s="464"/>
    </row>
    <row r="1132" spans="2:14" hidden="1" outlineLevel="1" x14ac:dyDescent="0.35">
      <c r="B1132" s="203"/>
      <c r="C1132" s="204"/>
      <c r="D1132" s="204"/>
      <c r="E1132" s="204"/>
      <c r="F1132" s="205"/>
      <c r="G1132" s="548"/>
      <c r="H1132" s="550"/>
      <c r="I1132" s="326"/>
      <c r="J1132" s="326"/>
      <c r="K1132" s="326"/>
      <c r="M1132" s="463"/>
      <c r="N1132" s="464"/>
    </row>
    <row r="1133" spans="2:14" hidden="1" outlineLevel="1" x14ac:dyDescent="0.35">
      <c r="B1133" s="203"/>
      <c r="C1133" s="204"/>
      <c r="D1133" s="204"/>
      <c r="E1133" s="204"/>
      <c r="F1133" s="205"/>
      <c r="G1133" s="548"/>
      <c r="H1133" s="550"/>
      <c r="I1133" s="326"/>
      <c r="J1133" s="326"/>
      <c r="K1133" s="326"/>
      <c r="M1133" s="463"/>
      <c r="N1133" s="464"/>
    </row>
    <row r="1134" spans="2:14" hidden="1" outlineLevel="1" x14ac:dyDescent="0.35">
      <c r="B1134" s="203"/>
      <c r="C1134" s="204"/>
      <c r="D1134" s="204"/>
      <c r="E1134" s="204"/>
      <c r="F1134" s="205"/>
      <c r="G1134" s="548"/>
      <c r="H1134" s="550"/>
      <c r="I1134" s="326"/>
      <c r="J1134" s="326"/>
      <c r="K1134" s="326"/>
      <c r="M1134" s="463"/>
      <c r="N1134" s="464"/>
    </row>
    <row r="1135" spans="2:14" hidden="1" outlineLevel="1" x14ac:dyDescent="0.35">
      <c r="B1135" s="203"/>
      <c r="C1135" s="204"/>
      <c r="D1135" s="204"/>
      <c r="E1135" s="204"/>
      <c r="F1135" s="205"/>
      <c r="G1135" s="548"/>
      <c r="H1135" s="550"/>
      <c r="I1135" s="326"/>
      <c r="J1135" s="326"/>
      <c r="K1135" s="326"/>
      <c r="M1135" s="463"/>
      <c r="N1135" s="464"/>
    </row>
    <row r="1136" spans="2:14" hidden="1" outlineLevel="1" x14ac:dyDescent="0.35">
      <c r="B1136" s="203"/>
      <c r="C1136" s="204"/>
      <c r="D1136" s="204"/>
      <c r="E1136" s="204"/>
      <c r="F1136" s="205"/>
      <c r="G1136" s="548"/>
      <c r="H1136" s="550"/>
      <c r="I1136" s="326"/>
      <c r="J1136" s="326"/>
      <c r="K1136" s="326"/>
      <c r="M1136" s="463"/>
      <c r="N1136" s="464"/>
    </row>
    <row r="1137" spans="2:14" hidden="1" outlineLevel="1" x14ac:dyDescent="0.35">
      <c r="B1137" s="203"/>
      <c r="C1137" s="204"/>
      <c r="D1137" s="204"/>
      <c r="E1137" s="204"/>
      <c r="F1137" s="205"/>
      <c r="G1137" s="548"/>
      <c r="H1137" s="550"/>
      <c r="I1137" s="326"/>
      <c r="J1137" s="326"/>
      <c r="K1137" s="326"/>
      <c r="M1137" s="463"/>
      <c r="N1137" s="464"/>
    </row>
    <row r="1138" spans="2:14" hidden="1" outlineLevel="1" x14ac:dyDescent="0.35">
      <c r="B1138" s="203"/>
      <c r="C1138" s="204"/>
      <c r="D1138" s="204"/>
      <c r="E1138" s="204"/>
      <c r="F1138" s="205"/>
      <c r="G1138" s="548"/>
      <c r="H1138" s="550"/>
      <c r="I1138" s="326"/>
      <c r="J1138" s="326"/>
      <c r="K1138" s="326"/>
      <c r="M1138" s="463"/>
      <c r="N1138" s="464"/>
    </row>
    <row r="1139" spans="2:14" hidden="1" outlineLevel="1" x14ac:dyDescent="0.35">
      <c r="B1139" s="203"/>
      <c r="C1139" s="204"/>
      <c r="D1139" s="204"/>
      <c r="E1139" s="204"/>
      <c r="F1139" s="205"/>
      <c r="G1139" s="548"/>
      <c r="H1139" s="550"/>
      <c r="I1139" s="326"/>
      <c r="J1139" s="326"/>
      <c r="K1139" s="326"/>
      <c r="M1139" s="463"/>
      <c r="N1139" s="464"/>
    </row>
    <row r="1140" spans="2:14" hidden="1" outlineLevel="1" x14ac:dyDescent="0.35">
      <c r="B1140" s="203"/>
      <c r="C1140" s="204"/>
      <c r="D1140" s="204"/>
      <c r="E1140" s="204"/>
      <c r="F1140" s="205"/>
      <c r="G1140" s="548"/>
      <c r="H1140" s="550"/>
      <c r="I1140" s="326"/>
      <c r="J1140" s="326"/>
      <c r="K1140" s="326"/>
      <c r="M1140" s="463"/>
      <c r="N1140" s="464"/>
    </row>
    <row r="1141" spans="2:14" hidden="1" outlineLevel="1" x14ac:dyDescent="0.35">
      <c r="B1141" s="203"/>
      <c r="C1141" s="204"/>
      <c r="D1141" s="204"/>
      <c r="E1141" s="204"/>
      <c r="F1141" s="205"/>
      <c r="G1141" s="548"/>
      <c r="H1141" s="550"/>
      <c r="I1141" s="326"/>
      <c r="J1141" s="326"/>
      <c r="K1141" s="326"/>
      <c r="M1141" s="463"/>
      <c r="N1141" s="464"/>
    </row>
    <row r="1142" spans="2:14" hidden="1" outlineLevel="1" x14ac:dyDescent="0.35">
      <c r="B1142" s="203"/>
      <c r="C1142" s="204"/>
      <c r="D1142" s="204"/>
      <c r="E1142" s="204"/>
      <c r="F1142" s="205"/>
      <c r="G1142" s="548"/>
      <c r="H1142" s="550"/>
      <c r="I1142" s="326"/>
      <c r="J1142" s="326"/>
      <c r="K1142" s="326"/>
      <c r="M1142" s="463"/>
      <c r="N1142" s="464"/>
    </row>
    <row r="1143" spans="2:14" hidden="1" outlineLevel="1" x14ac:dyDescent="0.35">
      <c r="B1143" s="203"/>
      <c r="C1143" s="204"/>
      <c r="D1143" s="204"/>
      <c r="E1143" s="204"/>
      <c r="F1143" s="205"/>
      <c r="G1143" s="548"/>
      <c r="H1143" s="550"/>
      <c r="I1143" s="326"/>
      <c r="J1143" s="326"/>
      <c r="K1143" s="326"/>
      <c r="M1143" s="463"/>
      <c r="N1143" s="464"/>
    </row>
    <row r="1144" spans="2:14" hidden="1" outlineLevel="1" x14ac:dyDescent="0.35">
      <c r="B1144" s="203"/>
      <c r="C1144" s="204"/>
      <c r="D1144" s="204"/>
      <c r="E1144" s="204"/>
      <c r="F1144" s="205"/>
      <c r="G1144" s="548"/>
      <c r="H1144" s="550"/>
      <c r="I1144" s="326"/>
      <c r="J1144" s="326"/>
      <c r="K1144" s="326"/>
      <c r="M1144" s="463"/>
      <c r="N1144" s="464"/>
    </row>
    <row r="1145" spans="2:14" hidden="1" outlineLevel="1" x14ac:dyDescent="0.35">
      <c r="B1145" s="203"/>
      <c r="C1145" s="204"/>
      <c r="D1145" s="204"/>
      <c r="E1145" s="204"/>
      <c r="F1145" s="205"/>
      <c r="G1145" s="548"/>
      <c r="H1145" s="550"/>
      <c r="I1145" s="326"/>
      <c r="J1145" s="326"/>
      <c r="K1145" s="326"/>
      <c r="M1145" s="463"/>
      <c r="N1145" s="464"/>
    </row>
    <row r="1146" spans="2:14" hidden="1" outlineLevel="1" x14ac:dyDescent="0.35">
      <c r="B1146" s="203"/>
      <c r="C1146" s="204"/>
      <c r="D1146" s="204"/>
      <c r="E1146" s="204"/>
      <c r="F1146" s="205"/>
      <c r="G1146" s="548"/>
      <c r="H1146" s="550"/>
      <c r="I1146" s="326"/>
      <c r="J1146" s="326"/>
      <c r="K1146" s="326"/>
      <c r="M1146" s="463"/>
      <c r="N1146" s="464"/>
    </row>
    <row r="1147" spans="2:14" hidden="1" outlineLevel="1" x14ac:dyDescent="0.35">
      <c r="B1147" s="203"/>
      <c r="C1147" s="204"/>
      <c r="D1147" s="204"/>
      <c r="E1147" s="204"/>
      <c r="F1147" s="205"/>
      <c r="G1147" s="548"/>
      <c r="H1147" s="550"/>
      <c r="I1147" s="326"/>
      <c r="J1147" s="326"/>
      <c r="K1147" s="326"/>
      <c r="M1147" s="463"/>
      <c r="N1147" s="464"/>
    </row>
    <row r="1148" spans="2:14" hidden="1" outlineLevel="1" x14ac:dyDescent="0.35">
      <c r="B1148" s="203"/>
      <c r="C1148" s="204"/>
      <c r="D1148" s="204"/>
      <c r="E1148" s="204"/>
      <c r="F1148" s="205"/>
      <c r="G1148" s="548"/>
      <c r="H1148" s="550"/>
      <c r="I1148" s="326"/>
      <c r="J1148" s="326"/>
      <c r="K1148" s="326"/>
      <c r="M1148" s="463"/>
      <c r="N1148" s="464"/>
    </row>
    <row r="1149" spans="2:14" hidden="1" outlineLevel="1" x14ac:dyDescent="0.35">
      <c r="B1149" s="203"/>
      <c r="C1149" s="204"/>
      <c r="D1149" s="204"/>
      <c r="E1149" s="204"/>
      <c r="F1149" s="205"/>
      <c r="G1149" s="548"/>
      <c r="H1149" s="550"/>
      <c r="I1149" s="326"/>
      <c r="J1149" s="326"/>
      <c r="K1149" s="326"/>
      <c r="M1149" s="463"/>
      <c r="N1149" s="464"/>
    </row>
    <row r="1150" spans="2:14" hidden="1" outlineLevel="1" x14ac:dyDescent="0.35">
      <c r="B1150" s="203"/>
      <c r="C1150" s="204"/>
      <c r="D1150" s="204"/>
      <c r="E1150" s="204"/>
      <c r="F1150" s="205"/>
      <c r="G1150" s="548"/>
      <c r="H1150" s="550"/>
      <c r="I1150" s="326"/>
      <c r="J1150" s="326"/>
      <c r="K1150" s="326"/>
      <c r="M1150" s="463"/>
      <c r="N1150" s="464"/>
    </row>
    <row r="1151" spans="2:14" hidden="1" outlineLevel="1" x14ac:dyDescent="0.35">
      <c r="B1151" s="203"/>
      <c r="C1151" s="204"/>
      <c r="D1151" s="204"/>
      <c r="E1151" s="204"/>
      <c r="F1151" s="205"/>
      <c r="G1151" s="548"/>
      <c r="H1151" s="550"/>
      <c r="I1151" s="326"/>
      <c r="J1151" s="326"/>
      <c r="K1151" s="326"/>
      <c r="M1151" s="463"/>
      <c r="N1151" s="464"/>
    </row>
    <row r="1152" spans="2:14" hidden="1" outlineLevel="1" x14ac:dyDescent="0.35">
      <c r="B1152" s="203"/>
      <c r="C1152" s="204"/>
      <c r="D1152" s="204"/>
      <c r="E1152" s="204"/>
      <c r="F1152" s="205"/>
      <c r="G1152" s="548"/>
      <c r="H1152" s="550"/>
      <c r="I1152" s="326"/>
      <c r="J1152" s="326"/>
      <c r="K1152" s="326"/>
      <c r="M1152" s="463"/>
      <c r="N1152" s="464"/>
    </row>
    <row r="1153" spans="2:14" hidden="1" outlineLevel="1" x14ac:dyDescent="0.35">
      <c r="B1153" s="203"/>
      <c r="C1153" s="204"/>
      <c r="D1153" s="204"/>
      <c r="E1153" s="204"/>
      <c r="F1153" s="205"/>
      <c r="G1153" s="548"/>
      <c r="H1153" s="550"/>
      <c r="I1153" s="326"/>
      <c r="J1153" s="326"/>
      <c r="K1153" s="326"/>
      <c r="M1153" s="463"/>
      <c r="N1153" s="464"/>
    </row>
    <row r="1154" spans="2:14" hidden="1" outlineLevel="1" x14ac:dyDescent="0.35">
      <c r="B1154" s="203"/>
      <c r="C1154" s="204"/>
      <c r="D1154" s="204"/>
      <c r="E1154" s="204"/>
      <c r="F1154" s="205"/>
      <c r="G1154" s="548"/>
      <c r="H1154" s="550"/>
      <c r="I1154" s="326"/>
      <c r="J1154" s="326"/>
      <c r="K1154" s="326"/>
      <c r="M1154" s="463"/>
      <c r="N1154" s="464"/>
    </row>
    <row r="1155" spans="2:14" hidden="1" outlineLevel="1" x14ac:dyDescent="0.35">
      <c r="B1155" s="203"/>
      <c r="C1155" s="204"/>
      <c r="D1155" s="204"/>
      <c r="E1155" s="204"/>
      <c r="F1155" s="205"/>
      <c r="G1155" s="548"/>
      <c r="H1155" s="550"/>
      <c r="I1155" s="326"/>
      <c r="J1155" s="326"/>
      <c r="K1155" s="326"/>
      <c r="M1155" s="463"/>
      <c r="N1155" s="464"/>
    </row>
    <row r="1156" spans="2:14" hidden="1" outlineLevel="1" x14ac:dyDescent="0.35">
      <c r="B1156" s="203"/>
      <c r="C1156" s="204"/>
      <c r="D1156" s="204"/>
      <c r="E1156" s="204"/>
      <c r="F1156" s="205"/>
      <c r="G1156" s="548"/>
      <c r="H1156" s="550"/>
      <c r="I1156" s="326"/>
      <c r="J1156" s="326"/>
      <c r="K1156" s="326"/>
      <c r="M1156" s="463"/>
      <c r="N1156" s="464"/>
    </row>
    <row r="1157" spans="2:14" hidden="1" outlineLevel="1" x14ac:dyDescent="0.35">
      <c r="B1157" s="203"/>
      <c r="C1157" s="204"/>
      <c r="D1157" s="204"/>
      <c r="E1157" s="204"/>
      <c r="F1157" s="205"/>
      <c r="G1157" s="548"/>
      <c r="H1157" s="550"/>
      <c r="I1157" s="326"/>
      <c r="J1157" s="326"/>
      <c r="K1157" s="326"/>
      <c r="M1157" s="463"/>
      <c r="N1157" s="464"/>
    </row>
    <row r="1158" spans="2:14" hidden="1" outlineLevel="1" x14ac:dyDescent="0.35">
      <c r="B1158" s="203"/>
      <c r="C1158" s="204"/>
      <c r="D1158" s="204"/>
      <c r="E1158" s="204"/>
      <c r="F1158" s="205"/>
      <c r="G1158" s="548"/>
      <c r="H1158" s="550"/>
      <c r="I1158" s="326"/>
      <c r="J1158" s="326"/>
      <c r="K1158" s="326"/>
      <c r="M1158" s="463"/>
      <c r="N1158" s="464"/>
    </row>
    <row r="1159" spans="2:14" hidden="1" outlineLevel="1" x14ac:dyDescent="0.35">
      <c r="B1159" s="203"/>
      <c r="C1159" s="204"/>
      <c r="D1159" s="204"/>
      <c r="E1159" s="204"/>
      <c r="F1159" s="205"/>
      <c r="G1159" s="548"/>
      <c r="H1159" s="550"/>
      <c r="I1159" s="326"/>
      <c r="J1159" s="326"/>
      <c r="K1159" s="326"/>
      <c r="M1159" s="463"/>
      <c r="N1159" s="464"/>
    </row>
    <row r="1160" spans="2:14" hidden="1" outlineLevel="1" x14ac:dyDescent="0.35">
      <c r="B1160" s="203"/>
      <c r="C1160" s="204"/>
      <c r="D1160" s="204"/>
      <c r="E1160" s="204"/>
      <c r="F1160" s="205"/>
      <c r="G1160" s="548"/>
      <c r="H1160" s="550"/>
      <c r="I1160" s="326"/>
      <c r="J1160" s="326"/>
      <c r="K1160" s="326"/>
      <c r="M1160" s="463"/>
      <c r="N1160" s="464"/>
    </row>
    <row r="1161" spans="2:14" hidden="1" outlineLevel="1" x14ac:dyDescent="0.35">
      <c r="B1161" s="203"/>
      <c r="C1161" s="204"/>
      <c r="D1161" s="204"/>
      <c r="E1161" s="204"/>
      <c r="F1161" s="205"/>
      <c r="G1161" s="548"/>
      <c r="H1161" s="550"/>
      <c r="I1161" s="326"/>
      <c r="J1161" s="326"/>
      <c r="K1161" s="326"/>
      <c r="M1161" s="463"/>
      <c r="N1161" s="464"/>
    </row>
    <row r="1162" spans="2:14" hidden="1" outlineLevel="1" x14ac:dyDescent="0.35">
      <c r="B1162" s="203"/>
      <c r="C1162" s="204"/>
      <c r="D1162" s="204"/>
      <c r="E1162" s="204"/>
      <c r="F1162" s="205"/>
      <c r="G1162" s="548"/>
      <c r="H1162" s="550"/>
      <c r="I1162" s="326"/>
      <c r="J1162" s="326"/>
      <c r="K1162" s="326"/>
      <c r="M1162" s="463"/>
      <c r="N1162" s="464"/>
    </row>
    <row r="1163" spans="2:14" hidden="1" outlineLevel="1" x14ac:dyDescent="0.35">
      <c r="B1163" s="203"/>
      <c r="C1163" s="204"/>
      <c r="D1163" s="204"/>
      <c r="E1163" s="204"/>
      <c r="F1163" s="205"/>
      <c r="G1163" s="548"/>
      <c r="H1163" s="550"/>
      <c r="I1163" s="326"/>
      <c r="J1163" s="326"/>
      <c r="K1163" s="326"/>
      <c r="M1163" s="463"/>
      <c r="N1163" s="464"/>
    </row>
    <row r="1164" spans="2:14" hidden="1" outlineLevel="1" x14ac:dyDescent="0.35">
      <c r="B1164" s="203"/>
      <c r="C1164" s="204"/>
      <c r="D1164" s="204"/>
      <c r="E1164" s="204"/>
      <c r="F1164" s="205"/>
      <c r="G1164" s="548"/>
      <c r="H1164" s="550"/>
      <c r="I1164" s="326"/>
      <c r="J1164" s="326"/>
      <c r="K1164" s="326"/>
      <c r="M1164" s="463"/>
      <c r="N1164" s="464"/>
    </row>
    <row r="1165" spans="2:14" hidden="1" outlineLevel="1" x14ac:dyDescent="0.35">
      <c r="B1165" s="203"/>
      <c r="C1165" s="204"/>
      <c r="D1165" s="204"/>
      <c r="E1165" s="204"/>
      <c r="F1165" s="205"/>
      <c r="G1165" s="548"/>
      <c r="H1165" s="550"/>
      <c r="I1165" s="326"/>
      <c r="J1165" s="326"/>
      <c r="K1165" s="326"/>
      <c r="M1165" s="463"/>
      <c r="N1165" s="464"/>
    </row>
    <row r="1166" spans="2:14" hidden="1" outlineLevel="1" x14ac:dyDescent="0.35">
      <c r="B1166" s="203"/>
      <c r="C1166" s="204"/>
      <c r="D1166" s="204"/>
      <c r="E1166" s="204"/>
      <c r="F1166" s="205"/>
      <c r="G1166" s="548"/>
      <c r="H1166" s="550"/>
      <c r="I1166" s="326"/>
      <c r="J1166" s="326"/>
      <c r="K1166" s="326"/>
      <c r="M1166" s="463"/>
      <c r="N1166" s="464"/>
    </row>
    <row r="1167" spans="2:14" hidden="1" outlineLevel="1" x14ac:dyDescent="0.35">
      <c r="B1167" s="203"/>
      <c r="C1167" s="204"/>
      <c r="D1167" s="204"/>
      <c r="E1167" s="204"/>
      <c r="F1167" s="205"/>
      <c r="G1167" s="548"/>
      <c r="H1167" s="550"/>
      <c r="I1167" s="326"/>
      <c r="J1167" s="326"/>
      <c r="K1167" s="326"/>
      <c r="M1167" s="463"/>
      <c r="N1167" s="464"/>
    </row>
    <row r="1168" spans="2:14" hidden="1" outlineLevel="1" x14ac:dyDescent="0.35">
      <c r="B1168" s="203"/>
      <c r="C1168" s="204"/>
      <c r="D1168" s="204"/>
      <c r="E1168" s="204"/>
      <c r="F1168" s="205"/>
      <c r="G1168" s="548"/>
      <c r="H1168" s="550"/>
      <c r="I1168" s="326"/>
      <c r="J1168" s="326"/>
      <c r="K1168" s="326"/>
      <c r="M1168" s="463"/>
      <c r="N1168" s="464"/>
    </row>
    <row r="1169" spans="2:14" hidden="1" outlineLevel="1" x14ac:dyDescent="0.35">
      <c r="B1169" s="203"/>
      <c r="C1169" s="204"/>
      <c r="D1169" s="204"/>
      <c r="E1169" s="204"/>
      <c r="F1169" s="205"/>
      <c r="G1169" s="548"/>
      <c r="H1169" s="550"/>
      <c r="I1169" s="326"/>
      <c r="J1169" s="326"/>
      <c r="K1169" s="326"/>
      <c r="M1169" s="463"/>
      <c r="N1169" s="464"/>
    </row>
    <row r="1170" spans="2:14" hidden="1" outlineLevel="1" x14ac:dyDescent="0.35">
      <c r="B1170" s="203"/>
      <c r="C1170" s="204"/>
      <c r="D1170" s="204"/>
      <c r="E1170" s="204"/>
      <c r="F1170" s="205"/>
      <c r="G1170" s="548"/>
      <c r="H1170" s="550"/>
      <c r="I1170" s="326"/>
      <c r="J1170" s="326"/>
      <c r="K1170" s="326"/>
      <c r="M1170" s="463"/>
      <c r="N1170" s="464"/>
    </row>
    <row r="1171" spans="2:14" hidden="1" outlineLevel="1" x14ac:dyDescent="0.35">
      <c r="B1171" s="203"/>
      <c r="C1171" s="204"/>
      <c r="D1171" s="204"/>
      <c r="E1171" s="204"/>
      <c r="F1171" s="205"/>
      <c r="G1171" s="548"/>
      <c r="H1171" s="550"/>
      <c r="I1171" s="326"/>
      <c r="J1171" s="326"/>
      <c r="K1171" s="326"/>
      <c r="M1171" s="463"/>
      <c r="N1171" s="464"/>
    </row>
    <row r="1172" spans="2:14" hidden="1" outlineLevel="1" x14ac:dyDescent="0.35">
      <c r="B1172" s="203"/>
      <c r="C1172" s="204"/>
      <c r="D1172" s="204"/>
      <c r="E1172" s="204"/>
      <c r="F1172" s="205"/>
      <c r="G1172" s="548"/>
      <c r="H1172" s="550"/>
      <c r="I1172" s="326"/>
      <c r="J1172" s="326"/>
      <c r="K1172" s="326"/>
      <c r="M1172" s="463"/>
      <c r="N1172" s="464"/>
    </row>
    <row r="1173" spans="2:14" hidden="1" outlineLevel="1" x14ac:dyDescent="0.35">
      <c r="B1173" s="203"/>
      <c r="C1173" s="204"/>
      <c r="D1173" s="204"/>
      <c r="E1173" s="204"/>
      <c r="F1173" s="205"/>
      <c r="G1173" s="548"/>
      <c r="H1173" s="550"/>
      <c r="I1173" s="326"/>
      <c r="J1173" s="326"/>
      <c r="K1173" s="326"/>
      <c r="M1173" s="463"/>
      <c r="N1173" s="464"/>
    </row>
    <row r="1174" spans="2:14" hidden="1" outlineLevel="1" x14ac:dyDescent="0.35">
      <c r="B1174" s="203"/>
      <c r="C1174" s="204"/>
      <c r="D1174" s="204"/>
      <c r="E1174" s="204"/>
      <c r="F1174" s="205"/>
      <c r="G1174" s="548"/>
      <c r="H1174" s="550"/>
      <c r="I1174" s="326"/>
      <c r="J1174" s="326"/>
      <c r="K1174" s="326"/>
      <c r="M1174" s="463"/>
      <c r="N1174" s="464"/>
    </row>
    <row r="1175" spans="2:14" hidden="1" outlineLevel="1" x14ac:dyDescent="0.35">
      <c r="B1175" s="203"/>
      <c r="C1175" s="204"/>
      <c r="D1175" s="204"/>
      <c r="E1175" s="204"/>
      <c r="F1175" s="205"/>
      <c r="G1175" s="548"/>
      <c r="H1175" s="550"/>
      <c r="I1175" s="326"/>
      <c r="J1175" s="326"/>
      <c r="K1175" s="326"/>
      <c r="M1175" s="463"/>
      <c r="N1175" s="464"/>
    </row>
    <row r="1176" spans="2:14" hidden="1" outlineLevel="1" x14ac:dyDescent="0.35">
      <c r="B1176" s="203"/>
      <c r="C1176" s="204"/>
      <c r="D1176" s="204"/>
      <c r="E1176" s="204"/>
      <c r="F1176" s="205"/>
      <c r="G1176" s="548"/>
      <c r="H1176" s="550"/>
      <c r="I1176" s="326"/>
      <c r="J1176" s="326"/>
      <c r="K1176" s="326"/>
      <c r="M1176" s="463"/>
      <c r="N1176" s="464"/>
    </row>
    <row r="1177" spans="2:14" hidden="1" outlineLevel="1" x14ac:dyDescent="0.35">
      <c r="B1177" s="203"/>
      <c r="C1177" s="204"/>
      <c r="D1177" s="204"/>
      <c r="E1177" s="204"/>
      <c r="F1177" s="205"/>
      <c r="G1177" s="548"/>
      <c r="H1177" s="550"/>
      <c r="I1177" s="326"/>
      <c r="J1177" s="326"/>
      <c r="K1177" s="326"/>
      <c r="M1177" s="463"/>
      <c r="N1177" s="464"/>
    </row>
    <row r="1178" spans="2:14" hidden="1" outlineLevel="1" x14ac:dyDescent="0.35">
      <c r="B1178" s="203"/>
      <c r="C1178" s="204"/>
      <c r="D1178" s="204"/>
      <c r="E1178" s="204"/>
      <c r="F1178" s="205"/>
      <c r="G1178" s="548"/>
      <c r="H1178" s="550"/>
      <c r="I1178" s="326"/>
      <c r="J1178" s="326"/>
      <c r="K1178" s="326"/>
      <c r="M1178" s="463"/>
      <c r="N1178" s="464"/>
    </row>
    <row r="1179" spans="2:14" hidden="1" outlineLevel="1" x14ac:dyDescent="0.35">
      <c r="B1179" s="203"/>
      <c r="C1179" s="204"/>
      <c r="D1179" s="204"/>
      <c r="E1179" s="204"/>
      <c r="F1179" s="205"/>
      <c r="G1179" s="548"/>
      <c r="H1179" s="550"/>
      <c r="I1179" s="326"/>
      <c r="J1179" s="326"/>
      <c r="K1179" s="326"/>
      <c r="M1179" s="463"/>
      <c r="N1179" s="464"/>
    </row>
    <row r="1180" spans="2:14" hidden="1" outlineLevel="1" x14ac:dyDescent="0.35">
      <c r="B1180" s="203"/>
      <c r="C1180" s="204"/>
      <c r="D1180" s="204"/>
      <c r="E1180" s="204"/>
      <c r="F1180" s="205"/>
      <c r="G1180" s="548"/>
      <c r="H1180" s="550"/>
      <c r="I1180" s="326"/>
      <c r="J1180" s="326"/>
      <c r="K1180" s="326"/>
      <c r="M1180" s="463"/>
      <c r="N1180" s="464"/>
    </row>
    <row r="1181" spans="2:14" hidden="1" outlineLevel="1" x14ac:dyDescent="0.35">
      <c r="B1181" s="203"/>
      <c r="C1181" s="204"/>
      <c r="D1181" s="204"/>
      <c r="E1181" s="204"/>
      <c r="F1181" s="205"/>
      <c r="G1181" s="548"/>
      <c r="H1181" s="550"/>
      <c r="I1181" s="326"/>
      <c r="J1181" s="326"/>
      <c r="K1181" s="326"/>
      <c r="M1181" s="463"/>
      <c r="N1181" s="464"/>
    </row>
    <row r="1182" spans="2:14" hidden="1" outlineLevel="1" x14ac:dyDescent="0.35">
      <c r="B1182" s="203"/>
      <c r="C1182" s="204"/>
      <c r="D1182" s="204"/>
      <c r="E1182" s="204"/>
      <c r="F1182" s="205"/>
      <c r="G1182" s="548"/>
      <c r="H1182" s="550"/>
      <c r="I1182" s="326"/>
      <c r="J1182" s="326"/>
      <c r="K1182" s="326"/>
      <c r="M1182" s="463"/>
      <c r="N1182" s="464"/>
    </row>
    <row r="1183" spans="2:14" hidden="1" outlineLevel="1" x14ac:dyDescent="0.35">
      <c r="B1183" s="203"/>
      <c r="C1183" s="204"/>
      <c r="D1183" s="204"/>
      <c r="E1183" s="204"/>
      <c r="F1183" s="205"/>
      <c r="G1183" s="548"/>
      <c r="H1183" s="550"/>
      <c r="I1183" s="326"/>
      <c r="J1183" s="326"/>
      <c r="K1183" s="326"/>
      <c r="M1183" s="463"/>
      <c r="N1183" s="464"/>
    </row>
    <row r="1184" spans="2:14" hidden="1" outlineLevel="1" x14ac:dyDescent="0.35">
      <c r="B1184" s="203"/>
      <c r="C1184" s="204"/>
      <c r="D1184" s="204"/>
      <c r="E1184" s="204"/>
      <c r="F1184" s="205"/>
      <c r="G1184" s="548"/>
      <c r="H1184" s="550"/>
      <c r="I1184" s="326"/>
      <c r="J1184" s="326"/>
      <c r="K1184" s="326"/>
      <c r="M1184" s="463"/>
      <c r="N1184" s="464"/>
    </row>
    <row r="1185" spans="2:14" hidden="1" outlineLevel="1" x14ac:dyDescent="0.35">
      <c r="B1185" s="203"/>
      <c r="C1185" s="204"/>
      <c r="D1185" s="204"/>
      <c r="E1185" s="204"/>
      <c r="F1185" s="205"/>
      <c r="G1185" s="548"/>
      <c r="H1185" s="550"/>
      <c r="I1185" s="326"/>
      <c r="J1185" s="326"/>
      <c r="K1185" s="326"/>
      <c r="M1185" s="463"/>
      <c r="N1185" s="464"/>
    </row>
    <row r="1186" spans="2:14" hidden="1" outlineLevel="1" x14ac:dyDescent="0.35">
      <c r="B1186" s="203"/>
      <c r="C1186" s="204"/>
      <c r="D1186" s="204"/>
      <c r="E1186" s="204"/>
      <c r="F1186" s="205"/>
      <c r="G1186" s="548"/>
      <c r="H1186" s="550"/>
      <c r="I1186" s="326"/>
      <c r="J1186" s="326"/>
      <c r="K1186" s="326"/>
      <c r="M1186" s="463"/>
      <c r="N1186" s="464"/>
    </row>
    <row r="1187" spans="2:14" hidden="1" outlineLevel="1" x14ac:dyDescent="0.35">
      <c r="B1187" s="203"/>
      <c r="C1187" s="204"/>
      <c r="D1187" s="204"/>
      <c r="E1187" s="204"/>
      <c r="F1187" s="205"/>
      <c r="G1187" s="548"/>
      <c r="H1187" s="550"/>
      <c r="I1187" s="326"/>
      <c r="J1187" s="326"/>
      <c r="K1187" s="326"/>
      <c r="M1187" s="463"/>
      <c r="N1187" s="464"/>
    </row>
    <row r="1188" spans="2:14" hidden="1" outlineLevel="1" x14ac:dyDescent="0.35">
      <c r="B1188" s="203"/>
      <c r="C1188" s="204"/>
      <c r="D1188" s="204"/>
      <c r="E1188" s="204"/>
      <c r="F1188" s="205"/>
      <c r="G1188" s="548"/>
      <c r="H1188" s="550"/>
      <c r="I1188" s="326"/>
      <c r="J1188" s="326"/>
      <c r="K1188" s="326"/>
      <c r="M1188" s="463"/>
      <c r="N1188" s="464"/>
    </row>
    <row r="1189" spans="2:14" hidden="1" outlineLevel="1" x14ac:dyDescent="0.35">
      <c r="B1189" s="203"/>
      <c r="C1189" s="204"/>
      <c r="D1189" s="204"/>
      <c r="E1189" s="204"/>
      <c r="F1189" s="205"/>
      <c r="G1189" s="548"/>
      <c r="H1189" s="550"/>
      <c r="I1189" s="326"/>
      <c r="J1189" s="326"/>
      <c r="K1189" s="326"/>
      <c r="M1189" s="463"/>
      <c r="N1189" s="464"/>
    </row>
    <row r="1190" spans="2:14" hidden="1" outlineLevel="1" x14ac:dyDescent="0.35">
      <c r="B1190" s="203"/>
      <c r="C1190" s="204"/>
      <c r="D1190" s="204"/>
      <c r="E1190" s="204"/>
      <c r="F1190" s="205"/>
      <c r="G1190" s="548"/>
      <c r="H1190" s="550"/>
      <c r="I1190" s="326"/>
      <c r="J1190" s="326"/>
      <c r="K1190" s="326"/>
      <c r="M1190" s="463"/>
      <c r="N1190" s="464"/>
    </row>
    <row r="1191" spans="2:14" hidden="1" outlineLevel="1" x14ac:dyDescent="0.35">
      <c r="B1191" s="203"/>
      <c r="C1191" s="204"/>
      <c r="D1191" s="204"/>
      <c r="E1191" s="204"/>
      <c r="F1191" s="205"/>
      <c r="G1191" s="548"/>
      <c r="H1191" s="550"/>
      <c r="I1191" s="326"/>
      <c r="J1191" s="326"/>
      <c r="K1191" s="326"/>
      <c r="M1191" s="463"/>
      <c r="N1191" s="464"/>
    </row>
    <row r="1192" spans="2:14" hidden="1" outlineLevel="1" x14ac:dyDescent="0.35">
      <c r="B1192" s="203"/>
      <c r="C1192" s="204"/>
      <c r="D1192" s="204"/>
      <c r="E1192" s="204"/>
      <c r="F1192" s="205"/>
      <c r="G1192" s="548"/>
      <c r="H1192" s="550"/>
      <c r="I1192" s="326"/>
      <c r="J1192" s="326"/>
      <c r="K1192" s="326"/>
      <c r="M1192" s="463"/>
      <c r="N1192" s="464"/>
    </row>
    <row r="1193" spans="2:14" hidden="1" outlineLevel="1" x14ac:dyDescent="0.35">
      <c r="B1193" s="203"/>
      <c r="C1193" s="204"/>
      <c r="D1193" s="204"/>
      <c r="E1193" s="204"/>
      <c r="F1193" s="205"/>
      <c r="G1193" s="548"/>
      <c r="H1193" s="550"/>
      <c r="I1193" s="326"/>
      <c r="J1193" s="326"/>
      <c r="K1193" s="326"/>
      <c r="M1193" s="463"/>
      <c r="N1193" s="464"/>
    </row>
    <row r="1194" spans="2:14" hidden="1" outlineLevel="1" x14ac:dyDescent="0.35">
      <c r="B1194" s="203"/>
      <c r="C1194" s="204"/>
      <c r="D1194" s="204"/>
      <c r="E1194" s="204"/>
      <c r="F1194" s="205"/>
      <c r="G1194" s="548"/>
      <c r="H1194" s="550"/>
      <c r="I1194" s="326"/>
      <c r="J1194" s="326"/>
      <c r="K1194" s="326"/>
      <c r="M1194" s="463"/>
      <c r="N1194" s="464"/>
    </row>
    <row r="1195" spans="2:14" hidden="1" outlineLevel="1" x14ac:dyDescent="0.35">
      <c r="B1195" s="203"/>
      <c r="C1195" s="204"/>
      <c r="D1195" s="204"/>
      <c r="E1195" s="204"/>
      <c r="F1195" s="205"/>
      <c r="G1195" s="548"/>
      <c r="H1195" s="550"/>
      <c r="I1195" s="326"/>
      <c r="J1195" s="326"/>
      <c r="K1195" s="326"/>
      <c r="M1195" s="463"/>
      <c r="N1195" s="464"/>
    </row>
    <row r="1196" spans="2:14" hidden="1" outlineLevel="1" x14ac:dyDescent="0.35">
      <c r="B1196" s="203"/>
      <c r="C1196" s="204"/>
      <c r="D1196" s="204"/>
      <c r="E1196" s="204"/>
      <c r="F1196" s="205"/>
      <c r="G1196" s="548"/>
      <c r="H1196" s="550"/>
      <c r="I1196" s="326"/>
      <c r="J1196" s="326"/>
      <c r="K1196" s="326"/>
      <c r="M1196" s="463"/>
      <c r="N1196" s="464"/>
    </row>
    <row r="1197" spans="2:14" hidden="1" outlineLevel="1" x14ac:dyDescent="0.35">
      <c r="B1197" s="203"/>
      <c r="C1197" s="204"/>
      <c r="D1197" s="204"/>
      <c r="E1197" s="204"/>
      <c r="F1197" s="205"/>
      <c r="G1197" s="548"/>
      <c r="H1197" s="550"/>
      <c r="I1197" s="326"/>
      <c r="J1197" s="326"/>
      <c r="K1197" s="326"/>
      <c r="M1197" s="463"/>
      <c r="N1197" s="464"/>
    </row>
    <row r="1198" spans="2:14" hidden="1" outlineLevel="1" x14ac:dyDescent="0.35">
      <c r="B1198" s="203"/>
      <c r="C1198" s="204"/>
      <c r="D1198" s="204"/>
      <c r="E1198" s="204"/>
      <c r="F1198" s="205"/>
      <c r="G1198" s="548"/>
      <c r="H1198" s="550"/>
      <c r="I1198" s="326"/>
      <c r="J1198" s="326"/>
      <c r="K1198" s="326"/>
      <c r="M1198" s="463"/>
      <c r="N1198" s="464"/>
    </row>
    <row r="1199" spans="2:14" hidden="1" outlineLevel="1" x14ac:dyDescent="0.35">
      <c r="B1199" s="203"/>
      <c r="C1199" s="204"/>
      <c r="D1199" s="204"/>
      <c r="E1199" s="204"/>
      <c r="F1199" s="205"/>
      <c r="G1199" s="548"/>
      <c r="H1199" s="550"/>
      <c r="I1199" s="326"/>
      <c r="J1199" s="326"/>
      <c r="K1199" s="326"/>
      <c r="M1199" s="463"/>
      <c r="N1199" s="464"/>
    </row>
    <row r="1200" spans="2:14" hidden="1" outlineLevel="1" x14ac:dyDescent="0.35">
      <c r="B1200" s="203"/>
      <c r="C1200" s="204"/>
      <c r="D1200" s="204"/>
      <c r="E1200" s="204"/>
      <c r="F1200" s="205"/>
      <c r="G1200" s="548"/>
      <c r="H1200" s="550"/>
      <c r="I1200" s="326"/>
      <c r="J1200" s="326"/>
      <c r="K1200" s="326"/>
      <c r="M1200" s="463"/>
      <c r="N1200" s="464"/>
    </row>
    <row r="1201" spans="2:14" hidden="1" outlineLevel="1" x14ac:dyDescent="0.35">
      <c r="B1201" s="203"/>
      <c r="C1201" s="204"/>
      <c r="D1201" s="204"/>
      <c r="E1201" s="204"/>
      <c r="F1201" s="205"/>
      <c r="G1201" s="548"/>
      <c r="H1201" s="550"/>
      <c r="I1201" s="326"/>
      <c r="J1201" s="326"/>
      <c r="K1201" s="326"/>
      <c r="M1201" s="463"/>
      <c r="N1201" s="464"/>
    </row>
    <row r="1202" spans="2:14" hidden="1" outlineLevel="1" x14ac:dyDescent="0.35">
      <c r="B1202" s="203"/>
      <c r="C1202" s="204"/>
      <c r="D1202" s="204"/>
      <c r="E1202" s="204"/>
      <c r="F1202" s="205"/>
      <c r="G1202" s="548"/>
      <c r="H1202" s="550"/>
      <c r="I1202" s="326"/>
      <c r="J1202" s="326"/>
      <c r="K1202" s="326"/>
      <c r="M1202" s="463"/>
      <c r="N1202" s="464"/>
    </row>
    <row r="1203" spans="2:14" hidden="1" outlineLevel="1" x14ac:dyDescent="0.35">
      <c r="B1203" s="203"/>
      <c r="C1203" s="204"/>
      <c r="D1203" s="204"/>
      <c r="E1203" s="204"/>
      <c r="F1203" s="205"/>
      <c r="G1203" s="548"/>
      <c r="H1203" s="550"/>
      <c r="I1203" s="326"/>
      <c r="J1203" s="326"/>
      <c r="K1203" s="326"/>
      <c r="M1203" s="463"/>
      <c r="N1203" s="464"/>
    </row>
    <row r="1204" spans="2:14" hidden="1" outlineLevel="1" x14ac:dyDescent="0.35">
      <c r="B1204" s="203"/>
      <c r="C1204" s="204"/>
      <c r="D1204" s="204"/>
      <c r="E1204" s="204"/>
      <c r="F1204" s="205"/>
      <c r="G1204" s="548"/>
      <c r="H1204" s="550"/>
      <c r="I1204" s="326"/>
      <c r="J1204" s="326"/>
      <c r="K1204" s="326"/>
      <c r="M1204" s="463"/>
      <c r="N1204" s="464"/>
    </row>
    <row r="1205" spans="2:14" hidden="1" outlineLevel="1" x14ac:dyDescent="0.35">
      <c r="B1205" s="203"/>
      <c r="C1205" s="204"/>
      <c r="D1205" s="204"/>
      <c r="E1205" s="204"/>
      <c r="F1205" s="205"/>
      <c r="G1205" s="548"/>
      <c r="H1205" s="550"/>
      <c r="I1205" s="326"/>
      <c r="J1205" s="326"/>
      <c r="K1205" s="326"/>
      <c r="M1205" s="463"/>
      <c r="N1205" s="464"/>
    </row>
    <row r="1206" spans="2:14" hidden="1" outlineLevel="1" x14ac:dyDescent="0.35">
      <c r="B1206" s="203"/>
      <c r="C1206" s="204"/>
      <c r="D1206" s="204"/>
      <c r="E1206" s="204"/>
      <c r="F1206" s="205"/>
      <c r="G1206" s="548"/>
      <c r="H1206" s="550"/>
      <c r="I1206" s="326"/>
      <c r="J1206" s="326"/>
      <c r="K1206" s="326"/>
      <c r="M1206" s="463"/>
      <c r="N1206" s="464"/>
    </row>
    <row r="1207" spans="2:14" hidden="1" outlineLevel="1" x14ac:dyDescent="0.35">
      <c r="B1207" s="203"/>
      <c r="C1207" s="204"/>
      <c r="D1207" s="204"/>
      <c r="E1207" s="204"/>
      <c r="F1207" s="205"/>
      <c r="G1207" s="548"/>
      <c r="H1207" s="550"/>
      <c r="I1207" s="326"/>
      <c r="J1207" s="326"/>
      <c r="K1207" s="326"/>
      <c r="M1207" s="463"/>
      <c r="N1207" s="464"/>
    </row>
    <row r="1208" spans="2:14" hidden="1" outlineLevel="1" x14ac:dyDescent="0.35">
      <c r="B1208" s="203"/>
      <c r="C1208" s="204"/>
      <c r="D1208" s="204"/>
      <c r="E1208" s="204"/>
      <c r="F1208" s="205"/>
      <c r="G1208" s="548"/>
      <c r="H1208" s="550"/>
      <c r="I1208" s="326"/>
      <c r="J1208" s="326"/>
      <c r="K1208" s="326"/>
      <c r="M1208" s="463"/>
      <c r="N1208" s="464"/>
    </row>
    <row r="1209" spans="2:14" hidden="1" outlineLevel="1" x14ac:dyDescent="0.35">
      <c r="B1209" s="203"/>
      <c r="C1209" s="204"/>
      <c r="D1209" s="204"/>
      <c r="E1209" s="204"/>
      <c r="F1209" s="205"/>
      <c r="G1209" s="548"/>
      <c r="H1209" s="550"/>
      <c r="I1209" s="326"/>
      <c r="J1209" s="326"/>
      <c r="K1209" s="326"/>
      <c r="M1209" s="463"/>
      <c r="N1209" s="464"/>
    </row>
    <row r="1210" spans="2:14" hidden="1" outlineLevel="1" x14ac:dyDescent="0.35">
      <c r="B1210" s="203"/>
      <c r="C1210" s="204"/>
      <c r="D1210" s="204"/>
      <c r="E1210" s="204"/>
      <c r="F1210" s="205"/>
      <c r="G1210" s="548"/>
      <c r="H1210" s="550"/>
      <c r="I1210" s="326"/>
      <c r="J1210" s="326"/>
      <c r="K1210" s="326"/>
      <c r="M1210" s="463"/>
      <c r="N1210" s="464"/>
    </row>
    <row r="1211" spans="2:14" hidden="1" outlineLevel="1" x14ac:dyDescent="0.35">
      <c r="B1211" s="203"/>
      <c r="C1211" s="204"/>
      <c r="D1211" s="204"/>
      <c r="E1211" s="204"/>
      <c r="F1211" s="205"/>
      <c r="G1211" s="548"/>
      <c r="H1211" s="550"/>
      <c r="I1211" s="326"/>
      <c r="J1211" s="326"/>
      <c r="K1211" s="326"/>
      <c r="M1211" s="463"/>
      <c r="N1211" s="464"/>
    </row>
    <row r="1212" spans="2:14" hidden="1" outlineLevel="1" x14ac:dyDescent="0.35">
      <c r="B1212" s="203"/>
      <c r="C1212" s="204"/>
      <c r="D1212" s="204"/>
      <c r="E1212" s="204"/>
      <c r="F1212" s="205"/>
      <c r="G1212" s="548"/>
      <c r="H1212" s="550"/>
      <c r="I1212" s="326"/>
      <c r="J1212" s="326"/>
      <c r="K1212" s="326"/>
      <c r="M1212" s="463"/>
      <c r="N1212" s="464"/>
    </row>
    <row r="1213" spans="2:14" hidden="1" outlineLevel="1" x14ac:dyDescent="0.35">
      <c r="B1213" s="203"/>
      <c r="C1213" s="204"/>
      <c r="D1213" s="204"/>
      <c r="E1213" s="204"/>
      <c r="F1213" s="205"/>
      <c r="G1213" s="548"/>
      <c r="H1213" s="550"/>
      <c r="I1213" s="326"/>
      <c r="J1213" s="326"/>
      <c r="K1213" s="326"/>
      <c r="M1213" s="463"/>
      <c r="N1213" s="464"/>
    </row>
    <row r="1214" spans="2:14" hidden="1" outlineLevel="1" x14ac:dyDescent="0.35">
      <c r="B1214" s="203"/>
      <c r="C1214" s="204"/>
      <c r="D1214" s="204"/>
      <c r="E1214" s="204"/>
      <c r="F1214" s="205"/>
      <c r="G1214" s="548"/>
      <c r="H1214" s="550"/>
      <c r="I1214" s="326"/>
      <c r="J1214" s="326"/>
      <c r="K1214" s="326"/>
      <c r="M1214" s="463"/>
      <c r="N1214" s="464"/>
    </row>
    <row r="1215" spans="2:14" hidden="1" outlineLevel="1" x14ac:dyDescent="0.35">
      <c r="B1215" s="203"/>
      <c r="C1215" s="204"/>
      <c r="D1215" s="204"/>
      <c r="E1215" s="204"/>
      <c r="F1215" s="205"/>
      <c r="G1215" s="548"/>
      <c r="H1215" s="550"/>
      <c r="I1215" s="326"/>
      <c r="J1215" s="326"/>
      <c r="K1215" s="326"/>
      <c r="M1215" s="463"/>
      <c r="N1215" s="464"/>
    </row>
    <row r="1216" spans="2:14" hidden="1" outlineLevel="1" x14ac:dyDescent="0.35">
      <c r="B1216" s="203"/>
      <c r="C1216" s="204"/>
      <c r="D1216" s="204"/>
      <c r="E1216" s="204"/>
      <c r="F1216" s="205"/>
      <c r="G1216" s="548"/>
      <c r="H1216" s="550"/>
      <c r="I1216" s="326"/>
      <c r="J1216" s="326"/>
      <c r="K1216" s="326"/>
      <c r="M1216" s="463"/>
      <c r="N1216" s="464"/>
    </row>
    <row r="1217" spans="2:14" hidden="1" outlineLevel="1" x14ac:dyDescent="0.35">
      <c r="B1217" s="203"/>
      <c r="C1217" s="204"/>
      <c r="D1217" s="204"/>
      <c r="E1217" s="204"/>
      <c r="F1217" s="205"/>
      <c r="G1217" s="548"/>
      <c r="H1217" s="550"/>
      <c r="I1217" s="326"/>
      <c r="J1217" s="326"/>
      <c r="K1217" s="326"/>
      <c r="M1217" s="463"/>
      <c r="N1217" s="464"/>
    </row>
    <row r="1218" spans="2:14" hidden="1" outlineLevel="1" x14ac:dyDescent="0.35">
      <c r="B1218" s="203"/>
      <c r="C1218" s="204"/>
      <c r="D1218" s="204"/>
      <c r="E1218" s="204"/>
      <c r="F1218" s="205"/>
      <c r="G1218" s="548"/>
      <c r="H1218" s="550"/>
      <c r="I1218" s="326"/>
      <c r="J1218" s="326"/>
      <c r="K1218" s="326"/>
      <c r="M1218" s="463"/>
      <c r="N1218" s="464"/>
    </row>
    <row r="1219" spans="2:14" hidden="1" outlineLevel="1" x14ac:dyDescent="0.35">
      <c r="B1219" s="203"/>
      <c r="C1219" s="204"/>
      <c r="D1219" s="204"/>
      <c r="E1219" s="204"/>
      <c r="F1219" s="205"/>
      <c r="G1219" s="548"/>
      <c r="H1219" s="550"/>
      <c r="I1219" s="326"/>
      <c r="J1219" s="326"/>
      <c r="K1219" s="326"/>
      <c r="M1219" s="463"/>
      <c r="N1219" s="464"/>
    </row>
    <row r="1220" spans="2:14" hidden="1" outlineLevel="1" x14ac:dyDescent="0.35">
      <c r="B1220" s="203"/>
      <c r="C1220" s="204"/>
      <c r="D1220" s="204"/>
      <c r="E1220" s="204"/>
      <c r="F1220" s="205"/>
      <c r="G1220" s="548"/>
      <c r="H1220" s="550"/>
      <c r="I1220" s="326"/>
      <c r="J1220" s="326"/>
      <c r="K1220" s="326"/>
      <c r="M1220" s="463"/>
      <c r="N1220" s="464"/>
    </row>
    <row r="1221" spans="2:14" hidden="1" outlineLevel="1" x14ac:dyDescent="0.35">
      <c r="B1221" s="203"/>
      <c r="C1221" s="204"/>
      <c r="D1221" s="204"/>
      <c r="E1221" s="204"/>
      <c r="F1221" s="205"/>
      <c r="G1221" s="548"/>
      <c r="H1221" s="550"/>
      <c r="I1221" s="326"/>
      <c r="J1221" s="326"/>
      <c r="K1221" s="326"/>
      <c r="M1221" s="463"/>
      <c r="N1221" s="464"/>
    </row>
    <row r="1222" spans="2:14" hidden="1" outlineLevel="1" x14ac:dyDescent="0.35">
      <c r="B1222" s="203"/>
      <c r="C1222" s="204"/>
      <c r="D1222" s="204"/>
      <c r="E1222" s="204"/>
      <c r="F1222" s="205"/>
      <c r="G1222" s="548"/>
      <c r="H1222" s="550"/>
      <c r="I1222" s="326"/>
      <c r="J1222" s="326"/>
      <c r="K1222" s="326"/>
      <c r="M1222" s="463"/>
      <c r="N1222" s="464"/>
    </row>
    <row r="1223" spans="2:14" hidden="1" outlineLevel="1" x14ac:dyDescent="0.35">
      <c r="B1223" s="203"/>
      <c r="C1223" s="204"/>
      <c r="D1223" s="204"/>
      <c r="E1223" s="204"/>
      <c r="F1223" s="205"/>
      <c r="G1223" s="548"/>
      <c r="H1223" s="550"/>
      <c r="I1223" s="326"/>
      <c r="J1223" s="326"/>
      <c r="K1223" s="326"/>
      <c r="M1223" s="463"/>
      <c r="N1223" s="464"/>
    </row>
    <row r="1224" spans="2:14" hidden="1" outlineLevel="1" x14ac:dyDescent="0.35">
      <c r="B1224" s="203"/>
      <c r="C1224" s="204"/>
      <c r="D1224" s="204"/>
      <c r="E1224" s="204"/>
      <c r="F1224" s="205"/>
      <c r="G1224" s="548"/>
      <c r="H1224" s="550"/>
      <c r="I1224" s="326"/>
      <c r="J1224" s="326"/>
      <c r="K1224" s="326"/>
      <c r="M1224" s="463"/>
      <c r="N1224" s="464"/>
    </row>
    <row r="1225" spans="2:14" hidden="1" outlineLevel="1" x14ac:dyDescent="0.35">
      <c r="B1225" s="203"/>
      <c r="C1225" s="204"/>
      <c r="D1225" s="204"/>
      <c r="E1225" s="204"/>
      <c r="F1225" s="205"/>
      <c r="G1225" s="548"/>
      <c r="H1225" s="550"/>
      <c r="I1225" s="326"/>
      <c r="J1225" s="326"/>
      <c r="K1225" s="326"/>
      <c r="M1225" s="463"/>
      <c r="N1225" s="464"/>
    </row>
    <row r="1226" spans="2:14" hidden="1" outlineLevel="1" x14ac:dyDescent="0.35">
      <c r="B1226" s="203"/>
      <c r="C1226" s="204"/>
      <c r="D1226" s="204"/>
      <c r="E1226" s="204"/>
      <c r="F1226" s="205"/>
      <c r="G1226" s="548"/>
      <c r="H1226" s="550"/>
      <c r="I1226" s="326"/>
      <c r="J1226" s="326"/>
      <c r="K1226" s="326"/>
      <c r="M1226" s="463"/>
      <c r="N1226" s="464"/>
    </row>
    <row r="1227" spans="2:14" hidden="1" outlineLevel="1" x14ac:dyDescent="0.35">
      <c r="B1227" s="203"/>
      <c r="C1227" s="204"/>
      <c r="D1227" s="204"/>
      <c r="E1227" s="204"/>
      <c r="F1227" s="205"/>
      <c r="G1227" s="548"/>
      <c r="H1227" s="550"/>
      <c r="I1227" s="326"/>
      <c r="J1227" s="326"/>
      <c r="K1227" s="326"/>
      <c r="M1227" s="463"/>
      <c r="N1227" s="464"/>
    </row>
    <row r="1228" spans="2:14" hidden="1" outlineLevel="1" x14ac:dyDescent="0.35">
      <c r="B1228" s="203"/>
      <c r="C1228" s="204"/>
      <c r="D1228" s="204"/>
      <c r="E1228" s="204"/>
      <c r="F1228" s="205"/>
      <c r="G1228" s="548"/>
      <c r="H1228" s="550"/>
      <c r="I1228" s="326"/>
      <c r="J1228" s="326"/>
      <c r="K1228" s="326"/>
      <c r="M1228" s="463"/>
      <c r="N1228" s="464"/>
    </row>
    <row r="1229" spans="2:14" hidden="1" outlineLevel="1" x14ac:dyDescent="0.35">
      <c r="B1229" s="203"/>
      <c r="C1229" s="204"/>
      <c r="D1229" s="204"/>
      <c r="E1229" s="204"/>
      <c r="F1229" s="205"/>
      <c r="G1229" s="548"/>
      <c r="H1229" s="550"/>
      <c r="I1229" s="326"/>
      <c r="J1229" s="326"/>
      <c r="K1229" s="326"/>
      <c r="M1229" s="463"/>
      <c r="N1229" s="464"/>
    </row>
    <row r="1230" spans="2:14" hidden="1" outlineLevel="1" x14ac:dyDescent="0.35">
      <c r="B1230" s="203"/>
      <c r="C1230" s="204"/>
      <c r="D1230" s="204"/>
      <c r="E1230" s="204"/>
      <c r="F1230" s="205"/>
      <c r="G1230" s="548"/>
      <c r="H1230" s="550"/>
      <c r="I1230" s="326"/>
      <c r="J1230" s="326"/>
      <c r="K1230" s="326"/>
      <c r="M1230" s="463"/>
      <c r="N1230" s="464"/>
    </row>
    <row r="1231" spans="2:14" hidden="1" outlineLevel="1" x14ac:dyDescent="0.35">
      <c r="B1231" s="203"/>
      <c r="C1231" s="204"/>
      <c r="D1231" s="204"/>
      <c r="E1231" s="204"/>
      <c r="F1231" s="205"/>
      <c r="G1231" s="548"/>
      <c r="H1231" s="550"/>
      <c r="I1231" s="326"/>
      <c r="J1231" s="326"/>
      <c r="K1231" s="326"/>
      <c r="M1231" s="463"/>
      <c r="N1231" s="464"/>
    </row>
    <row r="1232" spans="2:14" hidden="1" outlineLevel="1" x14ac:dyDescent="0.35">
      <c r="B1232" s="203"/>
      <c r="C1232" s="204"/>
      <c r="D1232" s="204"/>
      <c r="E1232" s="204"/>
      <c r="F1232" s="205"/>
      <c r="G1232" s="548"/>
      <c r="H1232" s="550"/>
      <c r="I1232" s="326"/>
      <c r="J1232" s="326"/>
      <c r="K1232" s="326"/>
      <c r="M1232" s="463"/>
      <c r="N1232" s="464"/>
    </row>
    <row r="1233" spans="2:14" hidden="1" outlineLevel="1" x14ac:dyDescent="0.35">
      <c r="B1233" s="203"/>
      <c r="C1233" s="204"/>
      <c r="D1233" s="204"/>
      <c r="E1233" s="204"/>
      <c r="F1233" s="205"/>
      <c r="G1233" s="548"/>
      <c r="H1233" s="550"/>
      <c r="I1233" s="326"/>
      <c r="J1233" s="326"/>
      <c r="K1233" s="326"/>
      <c r="M1233" s="463"/>
      <c r="N1233" s="464"/>
    </row>
    <row r="1234" spans="2:14" hidden="1" outlineLevel="1" x14ac:dyDescent="0.35">
      <c r="B1234" s="203"/>
      <c r="C1234" s="204"/>
      <c r="D1234" s="204"/>
      <c r="E1234" s="204"/>
      <c r="F1234" s="205"/>
      <c r="G1234" s="548"/>
      <c r="H1234" s="550"/>
      <c r="I1234" s="326"/>
      <c r="J1234" s="326"/>
      <c r="K1234" s="326"/>
      <c r="M1234" s="463"/>
      <c r="N1234" s="464"/>
    </row>
    <row r="1235" spans="2:14" hidden="1" outlineLevel="1" x14ac:dyDescent="0.35">
      <c r="B1235" s="203"/>
      <c r="C1235" s="204"/>
      <c r="D1235" s="204"/>
      <c r="E1235" s="204"/>
      <c r="F1235" s="205"/>
      <c r="G1235" s="548"/>
      <c r="H1235" s="550"/>
      <c r="I1235" s="326"/>
      <c r="J1235" s="326"/>
      <c r="K1235" s="326"/>
      <c r="M1235" s="463"/>
      <c r="N1235" s="464"/>
    </row>
    <row r="1236" spans="2:14" hidden="1" outlineLevel="1" x14ac:dyDescent="0.35">
      <c r="B1236" s="203"/>
      <c r="C1236" s="204"/>
      <c r="D1236" s="204"/>
      <c r="E1236" s="204"/>
      <c r="F1236" s="205"/>
      <c r="G1236" s="548"/>
      <c r="H1236" s="550"/>
      <c r="I1236" s="326"/>
      <c r="J1236" s="326"/>
      <c r="K1236" s="326"/>
      <c r="M1236" s="463"/>
      <c r="N1236" s="464"/>
    </row>
    <row r="1237" spans="2:14" hidden="1" outlineLevel="1" x14ac:dyDescent="0.35">
      <c r="B1237" s="203"/>
      <c r="C1237" s="204"/>
      <c r="D1237" s="204"/>
      <c r="E1237" s="204"/>
      <c r="F1237" s="205"/>
      <c r="G1237" s="548"/>
      <c r="H1237" s="550"/>
      <c r="I1237" s="326"/>
      <c r="J1237" s="326"/>
      <c r="K1237" s="326"/>
      <c r="M1237" s="463"/>
      <c r="N1237" s="464"/>
    </row>
    <row r="1238" spans="2:14" hidden="1" outlineLevel="1" x14ac:dyDescent="0.35">
      <c r="B1238" s="203"/>
      <c r="C1238" s="204"/>
      <c r="D1238" s="204"/>
      <c r="E1238" s="204"/>
      <c r="F1238" s="205"/>
      <c r="G1238" s="548"/>
      <c r="H1238" s="550"/>
      <c r="I1238" s="326"/>
      <c r="J1238" s="326"/>
      <c r="K1238" s="326"/>
      <c r="M1238" s="463"/>
      <c r="N1238" s="464"/>
    </row>
    <row r="1239" spans="2:14" hidden="1" outlineLevel="1" x14ac:dyDescent="0.35">
      <c r="B1239" s="203"/>
      <c r="C1239" s="204"/>
      <c r="D1239" s="204"/>
      <c r="E1239" s="204"/>
      <c r="F1239" s="205"/>
      <c r="G1239" s="548"/>
      <c r="H1239" s="550"/>
      <c r="I1239" s="326"/>
      <c r="J1239" s="326"/>
      <c r="K1239" s="326"/>
      <c r="M1239" s="463"/>
      <c r="N1239" s="464"/>
    </row>
    <row r="1240" spans="2:14" hidden="1" outlineLevel="1" x14ac:dyDescent="0.35">
      <c r="B1240" s="203"/>
      <c r="C1240" s="204"/>
      <c r="D1240" s="204"/>
      <c r="E1240" s="204"/>
      <c r="F1240" s="205"/>
      <c r="G1240" s="548"/>
      <c r="H1240" s="550"/>
      <c r="I1240" s="326"/>
      <c r="J1240" s="326"/>
      <c r="K1240" s="326"/>
      <c r="M1240" s="463"/>
      <c r="N1240" s="464"/>
    </row>
    <row r="1241" spans="2:14" hidden="1" outlineLevel="1" x14ac:dyDescent="0.35">
      <c r="B1241" s="203"/>
      <c r="C1241" s="204"/>
      <c r="D1241" s="204"/>
      <c r="E1241" s="204"/>
      <c r="F1241" s="205"/>
      <c r="G1241" s="548"/>
      <c r="H1241" s="550"/>
      <c r="I1241" s="326"/>
      <c r="J1241" s="326"/>
      <c r="K1241" s="326"/>
      <c r="M1241" s="463"/>
      <c r="N1241" s="464"/>
    </row>
    <row r="1242" spans="2:14" hidden="1" outlineLevel="1" x14ac:dyDescent="0.35">
      <c r="B1242" s="203"/>
      <c r="C1242" s="204"/>
      <c r="D1242" s="204"/>
      <c r="E1242" s="204"/>
      <c r="F1242" s="205"/>
      <c r="G1242" s="548"/>
      <c r="H1242" s="550"/>
      <c r="I1242" s="326"/>
      <c r="J1242" s="326"/>
      <c r="K1242" s="326"/>
      <c r="M1242" s="463"/>
      <c r="N1242" s="464"/>
    </row>
    <row r="1243" spans="2:14" hidden="1" outlineLevel="1" x14ac:dyDescent="0.35">
      <c r="B1243" s="203"/>
      <c r="C1243" s="204"/>
      <c r="D1243" s="204"/>
      <c r="E1243" s="204"/>
      <c r="F1243" s="205"/>
      <c r="G1243" s="548"/>
      <c r="H1243" s="550"/>
      <c r="I1243" s="326"/>
      <c r="J1243" s="326"/>
      <c r="K1243" s="326"/>
      <c r="M1243" s="463"/>
      <c r="N1243" s="464"/>
    </row>
    <row r="1244" spans="2:14" hidden="1" outlineLevel="1" x14ac:dyDescent="0.35">
      <c r="B1244" s="203"/>
      <c r="C1244" s="204"/>
      <c r="D1244" s="204"/>
      <c r="E1244" s="204"/>
      <c r="F1244" s="205"/>
      <c r="G1244" s="548"/>
      <c r="H1244" s="550"/>
      <c r="I1244" s="326"/>
      <c r="J1244" s="326"/>
      <c r="K1244" s="326"/>
      <c r="M1244" s="463"/>
      <c r="N1244" s="464"/>
    </row>
    <row r="1245" spans="2:14" hidden="1" outlineLevel="1" x14ac:dyDescent="0.35">
      <c r="B1245" s="203"/>
      <c r="C1245" s="204"/>
      <c r="D1245" s="204"/>
      <c r="E1245" s="204"/>
      <c r="F1245" s="205"/>
      <c r="G1245" s="548"/>
      <c r="H1245" s="550"/>
      <c r="I1245" s="326"/>
      <c r="J1245" s="326"/>
      <c r="K1245" s="326"/>
      <c r="M1245" s="463"/>
      <c r="N1245" s="464"/>
    </row>
    <row r="1246" spans="2:14" hidden="1" outlineLevel="1" x14ac:dyDescent="0.35">
      <c r="B1246" s="203"/>
      <c r="C1246" s="204"/>
      <c r="D1246" s="204"/>
      <c r="E1246" s="204"/>
      <c r="F1246" s="205"/>
      <c r="G1246" s="548"/>
      <c r="H1246" s="550"/>
      <c r="I1246" s="326"/>
      <c r="J1246" s="326"/>
      <c r="K1246" s="326"/>
      <c r="M1246" s="463"/>
      <c r="N1246" s="464"/>
    </row>
    <row r="1247" spans="2:14" hidden="1" outlineLevel="1" x14ac:dyDescent="0.35">
      <c r="B1247" s="203"/>
      <c r="C1247" s="204"/>
      <c r="D1247" s="204"/>
      <c r="E1247" s="204"/>
      <c r="F1247" s="205"/>
      <c r="G1247" s="548"/>
      <c r="H1247" s="550"/>
      <c r="I1247" s="326"/>
      <c r="J1247" s="326"/>
      <c r="K1247" s="326"/>
      <c r="M1247" s="463"/>
      <c r="N1247" s="464"/>
    </row>
    <row r="1248" spans="2:14" hidden="1" outlineLevel="1" x14ac:dyDescent="0.35">
      <c r="B1248" s="203"/>
      <c r="C1248" s="204"/>
      <c r="D1248" s="204"/>
      <c r="E1248" s="204"/>
      <c r="F1248" s="205"/>
      <c r="G1248" s="548"/>
      <c r="H1248" s="550"/>
      <c r="I1248" s="326"/>
      <c r="J1248" s="326"/>
      <c r="K1248" s="326"/>
      <c r="M1248" s="463"/>
      <c r="N1248" s="464"/>
    </row>
    <row r="1249" spans="2:14" hidden="1" outlineLevel="1" x14ac:dyDescent="0.35">
      <c r="B1249" s="203"/>
      <c r="C1249" s="204"/>
      <c r="D1249" s="204"/>
      <c r="E1249" s="204"/>
      <c r="F1249" s="205"/>
      <c r="G1249" s="548"/>
      <c r="H1249" s="550"/>
      <c r="I1249" s="326"/>
      <c r="J1249" s="326"/>
      <c r="K1249" s="326"/>
      <c r="M1249" s="463"/>
      <c r="N1249" s="464"/>
    </row>
    <row r="1250" spans="2:14" hidden="1" outlineLevel="1" x14ac:dyDescent="0.35">
      <c r="B1250" s="203"/>
      <c r="C1250" s="204"/>
      <c r="D1250" s="204"/>
      <c r="E1250" s="204"/>
      <c r="F1250" s="205"/>
      <c r="G1250" s="548"/>
      <c r="H1250" s="550"/>
      <c r="I1250" s="326"/>
      <c r="J1250" s="326"/>
      <c r="K1250" s="326"/>
      <c r="M1250" s="463"/>
      <c r="N1250" s="464"/>
    </row>
    <row r="1251" spans="2:14" hidden="1" outlineLevel="1" x14ac:dyDescent="0.35">
      <c r="B1251" s="203"/>
      <c r="C1251" s="204"/>
      <c r="D1251" s="204"/>
      <c r="E1251" s="204"/>
      <c r="F1251" s="205"/>
      <c r="G1251" s="548"/>
      <c r="H1251" s="550"/>
      <c r="I1251" s="326"/>
      <c r="J1251" s="326"/>
      <c r="K1251" s="326"/>
      <c r="M1251" s="463"/>
      <c r="N1251" s="464"/>
    </row>
    <row r="1252" spans="2:14" hidden="1" outlineLevel="1" x14ac:dyDescent="0.35">
      <c r="B1252" s="203"/>
      <c r="C1252" s="204"/>
      <c r="D1252" s="204"/>
      <c r="E1252" s="204"/>
      <c r="F1252" s="205"/>
      <c r="G1252" s="548"/>
      <c r="H1252" s="550"/>
      <c r="I1252" s="326"/>
      <c r="J1252" s="326"/>
      <c r="K1252" s="326"/>
      <c r="M1252" s="463"/>
      <c r="N1252" s="464"/>
    </row>
    <row r="1253" spans="2:14" hidden="1" outlineLevel="1" x14ac:dyDescent="0.35">
      <c r="B1253" s="203"/>
      <c r="C1253" s="204"/>
      <c r="D1253" s="204"/>
      <c r="E1253" s="204"/>
      <c r="F1253" s="205"/>
      <c r="G1253" s="548"/>
      <c r="H1253" s="550"/>
      <c r="I1253" s="326"/>
      <c r="J1253" s="326"/>
      <c r="K1253" s="326"/>
      <c r="M1253" s="463"/>
      <c r="N1253" s="464"/>
    </row>
    <row r="1254" spans="2:14" hidden="1" outlineLevel="1" x14ac:dyDescent="0.35">
      <c r="B1254" s="203"/>
      <c r="C1254" s="204"/>
      <c r="D1254" s="204"/>
      <c r="E1254" s="204"/>
      <c r="F1254" s="205"/>
      <c r="G1254" s="548"/>
      <c r="H1254" s="550"/>
      <c r="I1254" s="326"/>
      <c r="J1254" s="326"/>
      <c r="K1254" s="326"/>
      <c r="M1254" s="463"/>
      <c r="N1254" s="464"/>
    </row>
    <row r="1255" spans="2:14" hidden="1" outlineLevel="1" x14ac:dyDescent="0.35">
      <c r="B1255" s="203"/>
      <c r="C1255" s="204"/>
      <c r="D1255" s="204"/>
      <c r="E1255" s="204"/>
      <c r="F1255" s="205"/>
      <c r="G1255" s="548"/>
      <c r="H1255" s="550"/>
      <c r="I1255" s="326"/>
      <c r="J1255" s="326"/>
      <c r="K1255" s="326"/>
      <c r="M1255" s="463"/>
      <c r="N1255" s="464"/>
    </row>
    <row r="1256" spans="2:14" hidden="1" outlineLevel="1" x14ac:dyDescent="0.35">
      <c r="B1256" s="203"/>
      <c r="C1256" s="204"/>
      <c r="D1256" s="204"/>
      <c r="E1256" s="204"/>
      <c r="F1256" s="205"/>
      <c r="G1256" s="548"/>
      <c r="H1256" s="550"/>
      <c r="I1256" s="326"/>
      <c r="J1256" s="326"/>
      <c r="K1256" s="326"/>
      <c r="M1256" s="463"/>
      <c r="N1256" s="464"/>
    </row>
    <row r="1257" spans="2:14" hidden="1" outlineLevel="1" x14ac:dyDescent="0.35">
      <c r="B1257" s="203"/>
      <c r="C1257" s="204"/>
      <c r="D1257" s="204"/>
      <c r="E1257" s="204"/>
      <c r="F1257" s="205"/>
      <c r="G1257" s="548"/>
      <c r="H1257" s="550"/>
      <c r="I1257" s="326"/>
      <c r="J1257" s="326"/>
      <c r="K1257" s="326"/>
      <c r="M1257" s="463"/>
      <c r="N1257" s="464"/>
    </row>
    <row r="1258" spans="2:14" hidden="1" outlineLevel="1" x14ac:dyDescent="0.35">
      <c r="B1258" s="203"/>
      <c r="C1258" s="204"/>
      <c r="D1258" s="204"/>
      <c r="E1258" s="204"/>
      <c r="F1258" s="205"/>
      <c r="G1258" s="548"/>
      <c r="H1258" s="550"/>
      <c r="I1258" s="326"/>
      <c r="J1258" s="326"/>
      <c r="K1258" s="326"/>
      <c r="M1258" s="463"/>
      <c r="N1258" s="464"/>
    </row>
    <row r="1259" spans="2:14" hidden="1" outlineLevel="1" x14ac:dyDescent="0.35">
      <c r="B1259" s="203"/>
      <c r="C1259" s="204"/>
      <c r="D1259" s="204"/>
      <c r="E1259" s="204"/>
      <c r="F1259" s="205"/>
      <c r="G1259" s="548"/>
      <c r="H1259" s="550"/>
      <c r="I1259" s="326"/>
      <c r="J1259" s="326"/>
      <c r="K1259" s="326"/>
      <c r="M1259" s="463"/>
      <c r="N1259" s="464"/>
    </row>
    <row r="1260" spans="2:14" hidden="1" outlineLevel="1" x14ac:dyDescent="0.35">
      <c r="B1260" s="203"/>
      <c r="C1260" s="204"/>
      <c r="D1260" s="204"/>
      <c r="E1260" s="204"/>
      <c r="F1260" s="205"/>
      <c r="G1260" s="548"/>
      <c r="H1260" s="550"/>
      <c r="I1260" s="326"/>
      <c r="J1260" s="326"/>
      <c r="K1260" s="326"/>
      <c r="M1260" s="463"/>
      <c r="N1260" s="464"/>
    </row>
    <row r="1261" spans="2:14" hidden="1" outlineLevel="1" x14ac:dyDescent="0.35">
      <c r="B1261" s="203"/>
      <c r="C1261" s="204"/>
      <c r="D1261" s="204"/>
      <c r="E1261" s="204"/>
      <c r="F1261" s="205"/>
      <c r="G1261" s="548"/>
      <c r="H1261" s="550"/>
      <c r="I1261" s="326"/>
      <c r="J1261" s="326"/>
      <c r="K1261" s="326"/>
      <c r="M1261" s="463"/>
      <c r="N1261" s="464"/>
    </row>
    <row r="1262" spans="2:14" hidden="1" outlineLevel="1" x14ac:dyDescent="0.35">
      <c r="B1262" s="203"/>
      <c r="C1262" s="204"/>
      <c r="D1262" s="204"/>
      <c r="E1262" s="204"/>
      <c r="F1262" s="205"/>
      <c r="G1262" s="548"/>
      <c r="H1262" s="550"/>
      <c r="I1262" s="326"/>
      <c r="J1262" s="326"/>
      <c r="K1262" s="326"/>
      <c r="M1262" s="463"/>
      <c r="N1262" s="464"/>
    </row>
    <row r="1263" spans="2:14" hidden="1" outlineLevel="1" x14ac:dyDescent="0.35">
      <c r="B1263" s="203"/>
      <c r="C1263" s="204"/>
      <c r="D1263" s="204"/>
      <c r="E1263" s="204"/>
      <c r="F1263" s="205"/>
      <c r="G1263" s="548"/>
      <c r="H1263" s="550"/>
      <c r="I1263" s="326"/>
      <c r="J1263" s="326"/>
      <c r="K1263" s="326"/>
      <c r="M1263" s="463"/>
      <c r="N1263" s="464"/>
    </row>
    <row r="1264" spans="2:14" hidden="1" outlineLevel="1" x14ac:dyDescent="0.35">
      <c r="B1264" s="203"/>
      <c r="C1264" s="204"/>
      <c r="D1264" s="204"/>
      <c r="E1264" s="204"/>
      <c r="F1264" s="205"/>
      <c r="G1264" s="548"/>
      <c r="H1264" s="550"/>
      <c r="I1264" s="326"/>
      <c r="J1264" s="326"/>
      <c r="K1264" s="326"/>
      <c r="M1264" s="463"/>
      <c r="N1264" s="464"/>
    </row>
    <row r="1265" spans="2:14" hidden="1" outlineLevel="1" x14ac:dyDescent="0.35">
      <c r="B1265" s="203"/>
      <c r="C1265" s="204"/>
      <c r="D1265" s="204"/>
      <c r="E1265" s="204"/>
      <c r="F1265" s="205"/>
      <c r="G1265" s="548"/>
      <c r="H1265" s="550"/>
      <c r="I1265" s="326"/>
      <c r="J1265" s="326"/>
      <c r="K1265" s="326"/>
      <c r="M1265" s="463"/>
      <c r="N1265" s="464"/>
    </row>
    <row r="1266" spans="2:14" hidden="1" outlineLevel="1" x14ac:dyDescent="0.35">
      <c r="B1266" s="203"/>
      <c r="C1266" s="204"/>
      <c r="D1266" s="204"/>
      <c r="E1266" s="204"/>
      <c r="F1266" s="205"/>
      <c r="G1266" s="548"/>
      <c r="H1266" s="550"/>
      <c r="I1266" s="326"/>
      <c r="J1266" s="326"/>
      <c r="K1266" s="326"/>
      <c r="M1266" s="463"/>
      <c r="N1266" s="464"/>
    </row>
    <row r="1267" spans="2:14" hidden="1" outlineLevel="1" x14ac:dyDescent="0.35">
      <c r="B1267" s="203"/>
      <c r="C1267" s="204"/>
      <c r="D1267" s="204"/>
      <c r="E1267" s="204"/>
      <c r="F1267" s="205"/>
      <c r="G1267" s="548"/>
      <c r="H1267" s="550"/>
      <c r="I1267" s="326"/>
      <c r="J1267" s="326"/>
      <c r="K1267" s="326"/>
      <c r="M1267" s="463"/>
      <c r="N1267" s="464"/>
    </row>
    <row r="1268" spans="2:14" hidden="1" outlineLevel="1" x14ac:dyDescent="0.35">
      <c r="B1268" s="203"/>
      <c r="C1268" s="204"/>
      <c r="D1268" s="204"/>
      <c r="E1268" s="204"/>
      <c r="F1268" s="205"/>
      <c r="G1268" s="548"/>
      <c r="H1268" s="550"/>
      <c r="I1268" s="326"/>
      <c r="J1268" s="326"/>
      <c r="K1268" s="326"/>
      <c r="M1268" s="463"/>
      <c r="N1268" s="464"/>
    </row>
    <row r="1269" spans="2:14" hidden="1" outlineLevel="1" x14ac:dyDescent="0.35">
      <c r="B1269" s="203"/>
      <c r="C1269" s="204"/>
      <c r="D1269" s="204"/>
      <c r="E1269" s="204"/>
      <c r="F1269" s="205"/>
      <c r="G1269" s="548"/>
      <c r="H1269" s="550"/>
      <c r="I1269" s="326"/>
      <c r="J1269" s="326"/>
      <c r="K1269" s="326"/>
      <c r="M1269" s="463"/>
      <c r="N1269" s="464"/>
    </row>
    <row r="1270" spans="2:14" hidden="1" outlineLevel="1" x14ac:dyDescent="0.35">
      <c r="B1270" s="203"/>
      <c r="C1270" s="204"/>
      <c r="D1270" s="204"/>
      <c r="E1270" s="204"/>
      <c r="F1270" s="205"/>
      <c r="G1270" s="548"/>
      <c r="H1270" s="550"/>
      <c r="I1270" s="326"/>
      <c r="J1270" s="326"/>
      <c r="K1270" s="326"/>
      <c r="M1270" s="463"/>
      <c r="N1270" s="464"/>
    </row>
    <row r="1271" spans="2:14" hidden="1" outlineLevel="1" x14ac:dyDescent="0.35">
      <c r="B1271" s="203"/>
      <c r="C1271" s="204"/>
      <c r="D1271" s="204"/>
      <c r="E1271" s="204"/>
      <c r="F1271" s="205"/>
      <c r="G1271" s="548"/>
      <c r="H1271" s="550"/>
      <c r="I1271" s="326"/>
      <c r="J1271" s="326"/>
      <c r="K1271" s="326"/>
      <c r="M1271" s="463"/>
      <c r="N1271" s="464"/>
    </row>
    <row r="1272" spans="2:14" hidden="1" outlineLevel="1" x14ac:dyDescent="0.35">
      <c r="B1272" s="203"/>
      <c r="C1272" s="204"/>
      <c r="D1272" s="204"/>
      <c r="E1272" s="204"/>
      <c r="F1272" s="205"/>
      <c r="G1272" s="548"/>
      <c r="H1272" s="550"/>
      <c r="I1272" s="326"/>
      <c r="J1272" s="326"/>
      <c r="K1272" s="326"/>
      <c r="M1272" s="463"/>
      <c r="N1272" s="464"/>
    </row>
    <row r="1273" spans="2:14" hidden="1" outlineLevel="1" x14ac:dyDescent="0.35">
      <c r="B1273" s="203"/>
      <c r="C1273" s="204"/>
      <c r="D1273" s="204"/>
      <c r="E1273" s="204"/>
      <c r="F1273" s="205"/>
      <c r="G1273" s="548"/>
      <c r="H1273" s="550"/>
      <c r="I1273" s="326"/>
      <c r="J1273" s="326"/>
      <c r="K1273" s="326"/>
      <c r="M1273" s="463"/>
      <c r="N1273" s="464"/>
    </row>
    <row r="1274" spans="2:14" hidden="1" outlineLevel="1" x14ac:dyDescent="0.35">
      <c r="B1274" s="203"/>
      <c r="C1274" s="204"/>
      <c r="D1274" s="204"/>
      <c r="E1274" s="204"/>
      <c r="F1274" s="205"/>
      <c r="G1274" s="548"/>
      <c r="H1274" s="550"/>
      <c r="I1274" s="326"/>
      <c r="J1274" s="326"/>
      <c r="K1274" s="326"/>
      <c r="M1274" s="463"/>
      <c r="N1274" s="464"/>
    </row>
    <row r="1275" spans="2:14" hidden="1" outlineLevel="1" x14ac:dyDescent="0.35">
      <c r="B1275" s="203"/>
      <c r="C1275" s="204"/>
      <c r="D1275" s="204"/>
      <c r="E1275" s="204"/>
      <c r="F1275" s="205"/>
      <c r="G1275" s="548"/>
      <c r="H1275" s="550"/>
      <c r="I1275" s="326"/>
      <c r="J1275" s="326"/>
      <c r="K1275" s="326"/>
      <c r="M1275" s="463"/>
      <c r="N1275" s="464"/>
    </row>
    <row r="1276" spans="2:14" hidden="1" outlineLevel="1" x14ac:dyDescent="0.35">
      <c r="B1276" s="203"/>
      <c r="C1276" s="204"/>
      <c r="D1276" s="204"/>
      <c r="E1276" s="204"/>
      <c r="F1276" s="205"/>
      <c r="G1276" s="548"/>
      <c r="H1276" s="550"/>
      <c r="I1276" s="326"/>
      <c r="J1276" s="326"/>
      <c r="K1276" s="326"/>
      <c r="M1276" s="463"/>
      <c r="N1276" s="464"/>
    </row>
    <row r="1277" spans="2:14" hidden="1" outlineLevel="1" x14ac:dyDescent="0.35">
      <c r="B1277" s="203"/>
      <c r="C1277" s="204"/>
      <c r="D1277" s="204"/>
      <c r="E1277" s="204"/>
      <c r="F1277" s="205"/>
      <c r="G1277" s="548"/>
      <c r="H1277" s="550"/>
      <c r="I1277" s="326"/>
      <c r="J1277" s="326"/>
      <c r="K1277" s="326"/>
      <c r="M1277" s="463"/>
      <c r="N1277" s="464"/>
    </row>
    <row r="1278" spans="2:14" hidden="1" outlineLevel="1" x14ac:dyDescent="0.35">
      <c r="B1278" s="203"/>
      <c r="C1278" s="204"/>
      <c r="D1278" s="204"/>
      <c r="E1278" s="204"/>
      <c r="F1278" s="205"/>
      <c r="G1278" s="548"/>
      <c r="H1278" s="550"/>
      <c r="I1278" s="326"/>
      <c r="J1278" s="326"/>
      <c r="K1278" s="326"/>
      <c r="M1278" s="463"/>
      <c r="N1278" s="464"/>
    </row>
    <row r="1279" spans="2:14" hidden="1" outlineLevel="1" x14ac:dyDescent="0.35">
      <c r="B1279" s="203"/>
      <c r="C1279" s="204"/>
      <c r="D1279" s="204"/>
      <c r="E1279" s="204"/>
      <c r="F1279" s="205"/>
      <c r="G1279" s="548"/>
      <c r="H1279" s="550"/>
      <c r="I1279" s="326"/>
      <c r="J1279" s="326"/>
      <c r="K1279" s="326"/>
      <c r="M1279" s="463"/>
      <c r="N1279" s="464"/>
    </row>
    <row r="1280" spans="2:14" hidden="1" outlineLevel="1" x14ac:dyDescent="0.35">
      <c r="B1280" s="203"/>
      <c r="C1280" s="204"/>
      <c r="D1280" s="204"/>
      <c r="E1280" s="204"/>
      <c r="F1280" s="205"/>
      <c r="G1280" s="548"/>
      <c r="H1280" s="550"/>
      <c r="I1280" s="326"/>
      <c r="J1280" s="326"/>
      <c r="K1280" s="326"/>
      <c r="M1280" s="463"/>
      <c r="N1280" s="464"/>
    </row>
    <row r="1281" spans="2:14" hidden="1" outlineLevel="1" x14ac:dyDescent="0.35">
      <c r="B1281" s="203"/>
      <c r="C1281" s="204"/>
      <c r="D1281" s="204"/>
      <c r="E1281" s="204"/>
      <c r="F1281" s="205"/>
      <c r="G1281" s="548"/>
      <c r="H1281" s="550"/>
      <c r="I1281" s="326"/>
      <c r="J1281" s="326"/>
      <c r="K1281" s="326"/>
      <c r="M1281" s="463"/>
      <c r="N1281" s="464"/>
    </row>
    <row r="1282" spans="2:14" hidden="1" outlineLevel="1" x14ac:dyDescent="0.35">
      <c r="B1282" s="203"/>
      <c r="C1282" s="204"/>
      <c r="D1282" s="204"/>
      <c r="E1282" s="204"/>
      <c r="F1282" s="205"/>
      <c r="G1282" s="548"/>
      <c r="H1282" s="550"/>
      <c r="I1282" s="326"/>
      <c r="J1282" s="326"/>
      <c r="K1282" s="326"/>
      <c r="M1282" s="463"/>
      <c r="N1282" s="464"/>
    </row>
    <row r="1283" spans="2:14" hidden="1" outlineLevel="1" x14ac:dyDescent="0.35">
      <c r="B1283" s="203"/>
      <c r="C1283" s="204"/>
      <c r="D1283" s="204"/>
      <c r="E1283" s="204"/>
      <c r="F1283" s="205"/>
      <c r="G1283" s="548"/>
      <c r="H1283" s="550"/>
      <c r="I1283" s="326"/>
      <c r="J1283" s="326"/>
      <c r="K1283" s="326"/>
      <c r="M1283" s="463"/>
      <c r="N1283" s="464"/>
    </row>
    <row r="1284" spans="2:14" hidden="1" outlineLevel="1" x14ac:dyDescent="0.35">
      <c r="B1284" s="203"/>
      <c r="C1284" s="204"/>
      <c r="D1284" s="204"/>
      <c r="E1284" s="204"/>
      <c r="F1284" s="205"/>
      <c r="G1284" s="548"/>
      <c r="H1284" s="550"/>
      <c r="I1284" s="326"/>
      <c r="J1284" s="326"/>
      <c r="K1284" s="326"/>
      <c r="M1284" s="463"/>
      <c r="N1284" s="464"/>
    </row>
    <row r="1285" spans="2:14" hidden="1" outlineLevel="1" x14ac:dyDescent="0.35">
      <c r="B1285" s="203"/>
      <c r="C1285" s="204"/>
      <c r="D1285" s="204"/>
      <c r="E1285" s="204"/>
      <c r="F1285" s="205"/>
      <c r="G1285" s="548"/>
      <c r="H1285" s="550"/>
      <c r="I1285" s="326"/>
      <c r="J1285" s="326"/>
      <c r="K1285" s="326"/>
      <c r="M1285" s="463"/>
      <c r="N1285" s="464"/>
    </row>
    <row r="1286" spans="2:14" hidden="1" outlineLevel="1" x14ac:dyDescent="0.35">
      <c r="B1286" s="203"/>
      <c r="C1286" s="204"/>
      <c r="D1286" s="204"/>
      <c r="E1286" s="204"/>
      <c r="F1286" s="205"/>
      <c r="G1286" s="548"/>
      <c r="H1286" s="550"/>
      <c r="I1286" s="326"/>
      <c r="J1286" s="326"/>
      <c r="K1286" s="326"/>
      <c r="M1286" s="463"/>
      <c r="N1286" s="464"/>
    </row>
    <row r="1287" spans="2:14" hidden="1" outlineLevel="1" x14ac:dyDescent="0.35">
      <c r="B1287" s="203"/>
      <c r="C1287" s="204"/>
      <c r="D1287" s="204"/>
      <c r="E1287" s="204"/>
      <c r="F1287" s="205"/>
      <c r="G1287" s="548"/>
      <c r="H1287" s="550"/>
      <c r="I1287" s="326"/>
      <c r="J1287" s="326"/>
      <c r="K1287" s="326"/>
      <c r="M1287" s="463"/>
      <c r="N1287" s="464"/>
    </row>
    <row r="1288" spans="2:14" hidden="1" outlineLevel="1" x14ac:dyDescent="0.35">
      <c r="B1288" s="203"/>
      <c r="C1288" s="204"/>
      <c r="D1288" s="204"/>
      <c r="E1288" s="204"/>
      <c r="F1288" s="205"/>
      <c r="G1288" s="548"/>
      <c r="H1288" s="550"/>
      <c r="I1288" s="326"/>
      <c r="J1288" s="326"/>
      <c r="K1288" s="326"/>
      <c r="M1288" s="463"/>
      <c r="N1288" s="464"/>
    </row>
    <row r="1289" spans="2:14" hidden="1" outlineLevel="1" x14ac:dyDescent="0.35">
      <c r="B1289" s="203"/>
      <c r="C1289" s="204"/>
      <c r="D1289" s="204"/>
      <c r="E1289" s="204"/>
      <c r="F1289" s="205"/>
      <c r="G1289" s="548"/>
      <c r="H1289" s="550"/>
      <c r="I1289" s="326"/>
      <c r="J1289" s="326"/>
      <c r="K1289" s="326"/>
      <c r="M1289" s="463"/>
      <c r="N1289" s="464"/>
    </row>
    <row r="1290" spans="2:14" hidden="1" outlineLevel="1" x14ac:dyDescent="0.35">
      <c r="B1290" s="203"/>
      <c r="C1290" s="204"/>
      <c r="D1290" s="204"/>
      <c r="E1290" s="204"/>
      <c r="F1290" s="205"/>
      <c r="G1290" s="548"/>
      <c r="H1290" s="550"/>
      <c r="I1290" s="326"/>
      <c r="J1290" s="326"/>
      <c r="K1290" s="326"/>
      <c r="M1290" s="463"/>
      <c r="N1290" s="464"/>
    </row>
    <row r="1291" spans="2:14" hidden="1" outlineLevel="1" x14ac:dyDescent="0.35">
      <c r="B1291" s="203"/>
      <c r="C1291" s="204"/>
      <c r="D1291" s="204"/>
      <c r="E1291" s="204"/>
      <c r="F1291" s="205"/>
      <c r="G1291" s="548"/>
      <c r="H1291" s="550"/>
      <c r="I1291" s="326"/>
      <c r="J1291" s="326"/>
      <c r="K1291" s="326"/>
      <c r="M1291" s="463"/>
      <c r="N1291" s="464"/>
    </row>
    <row r="1292" spans="2:14" hidden="1" outlineLevel="1" x14ac:dyDescent="0.35">
      <c r="B1292" s="203"/>
      <c r="C1292" s="204"/>
      <c r="D1292" s="204"/>
      <c r="E1292" s="204"/>
      <c r="F1292" s="205"/>
      <c r="G1292" s="548"/>
      <c r="H1292" s="550"/>
      <c r="I1292" s="326"/>
      <c r="J1292" s="326"/>
      <c r="K1292" s="326"/>
      <c r="M1292" s="463"/>
      <c r="N1292" s="464"/>
    </row>
    <row r="1293" spans="2:14" hidden="1" outlineLevel="1" x14ac:dyDescent="0.35">
      <c r="B1293" s="203"/>
      <c r="C1293" s="204"/>
      <c r="D1293" s="204"/>
      <c r="E1293" s="204"/>
      <c r="F1293" s="205"/>
      <c r="G1293" s="548"/>
      <c r="H1293" s="550"/>
      <c r="I1293" s="326"/>
      <c r="J1293" s="326"/>
      <c r="K1293" s="326"/>
      <c r="M1293" s="463"/>
      <c r="N1293" s="464"/>
    </row>
    <row r="1294" spans="2:14" hidden="1" outlineLevel="1" x14ac:dyDescent="0.35">
      <c r="B1294" s="203"/>
      <c r="C1294" s="204"/>
      <c r="D1294" s="204"/>
      <c r="E1294" s="204"/>
      <c r="F1294" s="205"/>
      <c r="G1294" s="548"/>
      <c r="H1294" s="550"/>
      <c r="I1294" s="326"/>
      <c r="J1294" s="326"/>
      <c r="K1294" s="326"/>
      <c r="M1294" s="463"/>
      <c r="N1294" s="464"/>
    </row>
    <row r="1295" spans="2:14" hidden="1" outlineLevel="1" x14ac:dyDescent="0.35">
      <c r="B1295" s="203"/>
      <c r="C1295" s="204"/>
      <c r="D1295" s="204"/>
      <c r="E1295" s="204"/>
      <c r="F1295" s="205"/>
      <c r="G1295" s="548"/>
      <c r="H1295" s="550"/>
      <c r="I1295" s="326"/>
      <c r="J1295" s="326"/>
      <c r="K1295" s="326"/>
      <c r="M1295" s="463"/>
      <c r="N1295" s="464"/>
    </row>
    <row r="1296" spans="2:14" hidden="1" outlineLevel="1" x14ac:dyDescent="0.35">
      <c r="B1296" s="203"/>
      <c r="C1296" s="204"/>
      <c r="D1296" s="204"/>
      <c r="E1296" s="204"/>
      <c r="F1296" s="205"/>
      <c r="G1296" s="548"/>
      <c r="H1296" s="550"/>
      <c r="I1296" s="326"/>
      <c r="J1296" s="326"/>
      <c r="K1296" s="326"/>
      <c r="M1296" s="463"/>
      <c r="N1296" s="464"/>
    </row>
    <row r="1297" spans="2:14" hidden="1" outlineLevel="1" x14ac:dyDescent="0.35">
      <c r="B1297" s="203"/>
      <c r="C1297" s="204"/>
      <c r="D1297" s="204"/>
      <c r="E1297" s="204"/>
      <c r="F1297" s="205"/>
      <c r="G1297" s="548"/>
      <c r="H1297" s="550"/>
      <c r="I1297" s="326"/>
      <c r="J1297" s="326"/>
      <c r="K1297" s="326"/>
      <c r="M1297" s="463"/>
      <c r="N1297" s="464"/>
    </row>
    <row r="1298" spans="2:14" hidden="1" outlineLevel="1" x14ac:dyDescent="0.35">
      <c r="B1298" s="203"/>
      <c r="C1298" s="204"/>
      <c r="D1298" s="204"/>
      <c r="E1298" s="204"/>
      <c r="F1298" s="205"/>
      <c r="G1298" s="548"/>
      <c r="H1298" s="550"/>
      <c r="I1298" s="326"/>
      <c r="J1298" s="326"/>
      <c r="K1298" s="326"/>
      <c r="M1298" s="463"/>
      <c r="N1298" s="464"/>
    </row>
    <row r="1299" spans="2:14" hidden="1" outlineLevel="1" x14ac:dyDescent="0.35">
      <c r="B1299" s="203"/>
      <c r="C1299" s="204"/>
      <c r="D1299" s="204"/>
      <c r="E1299" s="204"/>
      <c r="F1299" s="205"/>
      <c r="G1299" s="548"/>
      <c r="H1299" s="550"/>
      <c r="I1299" s="326"/>
      <c r="J1299" s="326"/>
      <c r="K1299" s="326"/>
      <c r="M1299" s="463"/>
      <c r="N1299" s="464"/>
    </row>
    <row r="1300" spans="2:14" hidden="1" outlineLevel="1" x14ac:dyDescent="0.35">
      <c r="B1300" s="203"/>
      <c r="C1300" s="204"/>
      <c r="D1300" s="204"/>
      <c r="E1300" s="204"/>
      <c r="F1300" s="205"/>
      <c r="G1300" s="548"/>
      <c r="H1300" s="550"/>
      <c r="I1300" s="326"/>
      <c r="J1300" s="326"/>
      <c r="K1300" s="326"/>
      <c r="M1300" s="463"/>
      <c r="N1300" s="464"/>
    </row>
    <row r="1301" spans="2:14" hidden="1" outlineLevel="1" x14ac:dyDescent="0.35">
      <c r="B1301" s="203"/>
      <c r="C1301" s="204"/>
      <c r="D1301" s="204"/>
      <c r="E1301" s="204"/>
      <c r="F1301" s="205"/>
      <c r="G1301" s="548"/>
      <c r="H1301" s="550"/>
      <c r="I1301" s="326"/>
      <c r="J1301" s="326"/>
      <c r="K1301" s="326"/>
      <c r="M1301" s="463"/>
      <c r="N1301" s="464"/>
    </row>
    <row r="1302" spans="2:14" hidden="1" outlineLevel="1" x14ac:dyDescent="0.35">
      <c r="B1302" s="203"/>
      <c r="C1302" s="204"/>
      <c r="D1302" s="204"/>
      <c r="E1302" s="204"/>
      <c r="F1302" s="205"/>
      <c r="G1302" s="548"/>
      <c r="H1302" s="550"/>
      <c r="I1302" s="326"/>
      <c r="J1302" s="326"/>
      <c r="K1302" s="326"/>
      <c r="M1302" s="463"/>
      <c r="N1302" s="464"/>
    </row>
    <row r="1303" spans="2:14" hidden="1" outlineLevel="1" x14ac:dyDescent="0.35">
      <c r="B1303" s="203"/>
      <c r="C1303" s="204"/>
      <c r="D1303" s="204"/>
      <c r="E1303" s="204"/>
      <c r="F1303" s="205"/>
      <c r="G1303" s="548"/>
      <c r="H1303" s="550"/>
      <c r="I1303" s="326"/>
      <c r="J1303" s="326"/>
      <c r="K1303" s="326"/>
      <c r="M1303" s="463"/>
      <c r="N1303" s="464"/>
    </row>
    <row r="1304" spans="2:14" hidden="1" outlineLevel="1" x14ac:dyDescent="0.35">
      <c r="B1304" s="203"/>
      <c r="C1304" s="204"/>
      <c r="D1304" s="204"/>
      <c r="E1304" s="204"/>
      <c r="F1304" s="205"/>
      <c r="G1304" s="548"/>
      <c r="H1304" s="550"/>
      <c r="I1304" s="326"/>
      <c r="J1304" s="326"/>
      <c r="K1304" s="326"/>
      <c r="M1304" s="463"/>
      <c r="N1304" s="464"/>
    </row>
    <row r="1305" spans="2:14" hidden="1" outlineLevel="1" x14ac:dyDescent="0.35">
      <c r="B1305" s="203"/>
      <c r="C1305" s="204"/>
      <c r="D1305" s="204"/>
      <c r="E1305" s="204"/>
      <c r="F1305" s="205"/>
      <c r="G1305" s="548"/>
      <c r="H1305" s="550"/>
      <c r="I1305" s="326"/>
      <c r="J1305" s="326"/>
      <c r="K1305" s="326"/>
      <c r="M1305" s="463"/>
      <c r="N1305" s="464"/>
    </row>
    <row r="1306" spans="2:14" hidden="1" outlineLevel="1" x14ac:dyDescent="0.35">
      <c r="B1306" s="203"/>
      <c r="C1306" s="204"/>
      <c r="D1306" s="204"/>
      <c r="E1306" s="204"/>
      <c r="F1306" s="205"/>
      <c r="G1306" s="548"/>
      <c r="H1306" s="550"/>
      <c r="I1306" s="326"/>
      <c r="J1306" s="326"/>
      <c r="K1306" s="326"/>
      <c r="M1306" s="463"/>
      <c r="N1306" s="464"/>
    </row>
    <row r="1307" spans="2:14" hidden="1" outlineLevel="1" x14ac:dyDescent="0.35">
      <c r="B1307" s="203"/>
      <c r="C1307" s="204"/>
      <c r="D1307" s="204"/>
      <c r="E1307" s="204"/>
      <c r="F1307" s="205"/>
      <c r="G1307" s="548"/>
      <c r="H1307" s="550"/>
      <c r="I1307" s="326"/>
      <c r="J1307" s="326"/>
      <c r="K1307" s="326"/>
      <c r="M1307" s="463"/>
      <c r="N1307" s="464"/>
    </row>
    <row r="1308" spans="2:14" hidden="1" outlineLevel="1" x14ac:dyDescent="0.35">
      <c r="B1308" s="203"/>
      <c r="C1308" s="204"/>
      <c r="D1308" s="204"/>
      <c r="E1308" s="204"/>
      <c r="F1308" s="205"/>
      <c r="G1308" s="548"/>
      <c r="H1308" s="550"/>
      <c r="I1308" s="326"/>
      <c r="J1308" s="326"/>
      <c r="K1308" s="326"/>
      <c r="M1308" s="463"/>
      <c r="N1308" s="464"/>
    </row>
    <row r="1309" spans="2:14" hidden="1" outlineLevel="1" x14ac:dyDescent="0.35">
      <c r="B1309" s="203"/>
      <c r="C1309" s="204"/>
      <c r="D1309" s="204"/>
      <c r="E1309" s="204"/>
      <c r="F1309" s="205"/>
      <c r="G1309" s="548"/>
      <c r="H1309" s="550"/>
      <c r="I1309" s="326"/>
      <c r="J1309" s="326"/>
      <c r="K1309" s="326"/>
      <c r="M1309" s="463"/>
      <c r="N1309" s="464"/>
    </row>
    <row r="1310" spans="2:14" hidden="1" outlineLevel="1" x14ac:dyDescent="0.35">
      <c r="B1310" s="203"/>
      <c r="C1310" s="204"/>
      <c r="D1310" s="204"/>
      <c r="E1310" s="204"/>
      <c r="F1310" s="205"/>
      <c r="G1310" s="548"/>
      <c r="H1310" s="550"/>
      <c r="I1310" s="326"/>
      <c r="J1310" s="326"/>
      <c r="K1310" s="326"/>
      <c r="M1310" s="463"/>
      <c r="N1310" s="464"/>
    </row>
    <row r="1311" spans="2:14" hidden="1" outlineLevel="1" x14ac:dyDescent="0.35">
      <c r="B1311" s="203"/>
      <c r="C1311" s="204"/>
      <c r="D1311" s="204"/>
      <c r="E1311" s="204"/>
      <c r="F1311" s="205"/>
      <c r="G1311" s="548"/>
      <c r="H1311" s="550"/>
      <c r="I1311" s="326"/>
      <c r="J1311" s="326"/>
      <c r="K1311" s="326"/>
      <c r="M1311" s="463"/>
      <c r="N1311" s="464"/>
    </row>
    <row r="1312" spans="2:14" hidden="1" outlineLevel="1" x14ac:dyDescent="0.35">
      <c r="B1312" s="203"/>
      <c r="C1312" s="204"/>
      <c r="D1312" s="204"/>
      <c r="E1312" s="204"/>
      <c r="F1312" s="205"/>
      <c r="G1312" s="548"/>
      <c r="H1312" s="550"/>
      <c r="I1312" s="326"/>
      <c r="J1312" s="326"/>
      <c r="K1312" s="326"/>
      <c r="M1312" s="463"/>
      <c r="N1312" s="464"/>
    </row>
    <row r="1313" spans="2:14" hidden="1" outlineLevel="1" x14ac:dyDescent="0.35">
      <c r="B1313" s="203"/>
      <c r="C1313" s="204"/>
      <c r="D1313" s="204"/>
      <c r="E1313" s="204"/>
      <c r="F1313" s="205"/>
      <c r="G1313" s="548"/>
      <c r="H1313" s="550"/>
      <c r="I1313" s="326"/>
      <c r="J1313" s="326"/>
      <c r="K1313" s="326"/>
      <c r="M1313" s="463"/>
      <c r="N1313" s="464"/>
    </row>
    <row r="1314" spans="2:14" hidden="1" outlineLevel="1" x14ac:dyDescent="0.35">
      <c r="B1314" s="203"/>
      <c r="C1314" s="204"/>
      <c r="D1314" s="204"/>
      <c r="E1314" s="204"/>
      <c r="F1314" s="205"/>
      <c r="G1314" s="548"/>
      <c r="H1314" s="550"/>
      <c r="I1314" s="326"/>
      <c r="J1314" s="326"/>
      <c r="K1314" s="326"/>
      <c r="M1314" s="463"/>
      <c r="N1314" s="464"/>
    </row>
    <row r="1315" spans="2:14" hidden="1" outlineLevel="1" x14ac:dyDescent="0.35">
      <c r="B1315" s="203"/>
      <c r="C1315" s="204"/>
      <c r="D1315" s="204"/>
      <c r="E1315" s="204"/>
      <c r="F1315" s="205"/>
      <c r="G1315" s="548"/>
      <c r="H1315" s="550"/>
      <c r="I1315" s="326"/>
      <c r="J1315" s="326"/>
      <c r="K1315" s="326"/>
      <c r="M1315" s="463"/>
      <c r="N1315" s="464"/>
    </row>
    <row r="1316" spans="2:14" hidden="1" outlineLevel="1" x14ac:dyDescent="0.35">
      <c r="B1316" s="203"/>
      <c r="C1316" s="204"/>
      <c r="D1316" s="204"/>
      <c r="E1316" s="204"/>
      <c r="F1316" s="205"/>
      <c r="G1316" s="548"/>
      <c r="H1316" s="550"/>
      <c r="I1316" s="326"/>
      <c r="J1316" s="326"/>
      <c r="K1316" s="326"/>
      <c r="M1316" s="463"/>
      <c r="N1316" s="464"/>
    </row>
    <row r="1317" spans="2:14" hidden="1" outlineLevel="1" x14ac:dyDescent="0.35">
      <c r="B1317" s="203"/>
      <c r="C1317" s="204"/>
      <c r="D1317" s="204"/>
      <c r="E1317" s="204"/>
      <c r="F1317" s="205"/>
      <c r="G1317" s="548"/>
      <c r="H1317" s="550"/>
      <c r="I1317" s="326"/>
      <c r="J1317" s="326"/>
      <c r="K1317" s="326"/>
      <c r="M1317" s="463"/>
      <c r="N1317" s="464"/>
    </row>
    <row r="1318" spans="2:14" hidden="1" outlineLevel="1" x14ac:dyDescent="0.35">
      <c r="B1318" s="203"/>
      <c r="C1318" s="204"/>
      <c r="D1318" s="204"/>
      <c r="E1318" s="204"/>
      <c r="F1318" s="205"/>
      <c r="G1318" s="548"/>
      <c r="H1318" s="550"/>
      <c r="I1318" s="326"/>
      <c r="J1318" s="326"/>
      <c r="K1318" s="326"/>
      <c r="M1318" s="463"/>
      <c r="N1318" s="464"/>
    </row>
    <row r="1319" spans="2:14" hidden="1" outlineLevel="1" x14ac:dyDescent="0.35">
      <c r="B1319" s="203"/>
      <c r="C1319" s="204"/>
      <c r="D1319" s="204"/>
      <c r="E1319" s="204"/>
      <c r="F1319" s="205"/>
      <c r="G1319" s="548"/>
      <c r="H1319" s="550"/>
      <c r="I1319" s="326"/>
      <c r="J1319" s="326"/>
      <c r="K1319" s="326"/>
      <c r="M1319" s="463"/>
      <c r="N1319" s="464"/>
    </row>
    <row r="1320" spans="2:14" hidden="1" outlineLevel="1" x14ac:dyDescent="0.35">
      <c r="B1320" s="203"/>
      <c r="C1320" s="204"/>
      <c r="D1320" s="204"/>
      <c r="E1320" s="204"/>
      <c r="F1320" s="205"/>
      <c r="G1320" s="548"/>
      <c r="H1320" s="550"/>
      <c r="I1320" s="326"/>
      <c r="J1320" s="326"/>
      <c r="K1320" s="326"/>
      <c r="M1320" s="463"/>
      <c r="N1320" s="464"/>
    </row>
    <row r="1321" spans="2:14" hidden="1" outlineLevel="1" x14ac:dyDescent="0.35">
      <c r="B1321" s="203"/>
      <c r="C1321" s="204"/>
      <c r="D1321" s="204"/>
      <c r="E1321" s="204"/>
      <c r="F1321" s="205"/>
      <c r="G1321" s="548"/>
      <c r="H1321" s="550"/>
      <c r="I1321" s="326"/>
      <c r="J1321" s="326"/>
      <c r="K1321" s="326"/>
      <c r="M1321" s="463"/>
      <c r="N1321" s="464"/>
    </row>
    <row r="1322" spans="2:14" hidden="1" outlineLevel="1" x14ac:dyDescent="0.35">
      <c r="B1322" s="203"/>
      <c r="C1322" s="204"/>
      <c r="D1322" s="204"/>
      <c r="E1322" s="204"/>
      <c r="F1322" s="205"/>
      <c r="G1322" s="548"/>
      <c r="H1322" s="550"/>
      <c r="I1322" s="326"/>
      <c r="J1322" s="326"/>
      <c r="K1322" s="326"/>
      <c r="M1322" s="463"/>
      <c r="N1322" s="464"/>
    </row>
    <row r="1323" spans="2:14" hidden="1" outlineLevel="1" x14ac:dyDescent="0.35">
      <c r="B1323" s="203"/>
      <c r="C1323" s="204"/>
      <c r="D1323" s="204"/>
      <c r="E1323" s="204"/>
      <c r="F1323" s="205"/>
      <c r="G1323" s="548"/>
      <c r="H1323" s="550"/>
      <c r="I1323" s="326"/>
      <c r="J1323" s="326"/>
      <c r="K1323" s="326"/>
      <c r="M1323" s="463"/>
      <c r="N1323" s="464"/>
    </row>
    <row r="1324" spans="2:14" hidden="1" outlineLevel="1" x14ac:dyDescent="0.35">
      <c r="B1324" s="203"/>
      <c r="C1324" s="204"/>
      <c r="D1324" s="204"/>
      <c r="E1324" s="204"/>
      <c r="F1324" s="205"/>
      <c r="G1324" s="548"/>
      <c r="H1324" s="550"/>
      <c r="I1324" s="326"/>
      <c r="J1324" s="326"/>
      <c r="K1324" s="326"/>
      <c r="M1324" s="463"/>
      <c r="N1324" s="464"/>
    </row>
    <row r="1325" spans="2:14" hidden="1" outlineLevel="1" x14ac:dyDescent="0.35">
      <c r="B1325" s="203"/>
      <c r="C1325" s="204"/>
      <c r="D1325" s="204"/>
      <c r="E1325" s="204"/>
      <c r="F1325" s="205"/>
      <c r="G1325" s="548"/>
      <c r="H1325" s="550"/>
      <c r="I1325" s="326"/>
      <c r="J1325" s="326"/>
      <c r="K1325" s="326"/>
      <c r="M1325" s="463"/>
      <c r="N1325" s="464"/>
    </row>
    <row r="1326" spans="2:14" hidden="1" outlineLevel="1" x14ac:dyDescent="0.35">
      <c r="B1326" s="203"/>
      <c r="C1326" s="204"/>
      <c r="D1326" s="204"/>
      <c r="E1326" s="204"/>
      <c r="F1326" s="205"/>
      <c r="G1326" s="548"/>
      <c r="H1326" s="550"/>
      <c r="I1326" s="326"/>
      <c r="J1326" s="326"/>
      <c r="K1326" s="326"/>
      <c r="M1326" s="463"/>
      <c r="N1326" s="464"/>
    </row>
    <row r="1327" spans="2:14" hidden="1" outlineLevel="1" x14ac:dyDescent="0.35">
      <c r="B1327" s="203"/>
      <c r="C1327" s="204"/>
      <c r="D1327" s="204"/>
      <c r="E1327" s="204"/>
      <c r="F1327" s="205"/>
      <c r="G1327" s="548"/>
      <c r="H1327" s="550"/>
      <c r="I1327" s="326"/>
      <c r="J1327" s="326"/>
      <c r="K1327" s="326"/>
      <c r="M1327" s="463"/>
      <c r="N1327" s="464"/>
    </row>
    <row r="1328" spans="2:14" hidden="1" outlineLevel="1" x14ac:dyDescent="0.35">
      <c r="B1328" s="203"/>
      <c r="C1328" s="204"/>
      <c r="D1328" s="204"/>
      <c r="E1328" s="204"/>
      <c r="F1328" s="205"/>
      <c r="G1328" s="548"/>
      <c r="H1328" s="550"/>
      <c r="I1328" s="326"/>
      <c r="J1328" s="326"/>
      <c r="K1328" s="326"/>
      <c r="M1328" s="463"/>
      <c r="N1328" s="464"/>
    </row>
    <row r="1329" spans="2:14" hidden="1" outlineLevel="1" x14ac:dyDescent="0.35">
      <c r="B1329" s="203"/>
      <c r="C1329" s="204"/>
      <c r="D1329" s="204"/>
      <c r="E1329" s="204"/>
      <c r="F1329" s="205"/>
      <c r="G1329" s="548"/>
      <c r="H1329" s="550"/>
      <c r="I1329" s="326"/>
      <c r="J1329" s="326"/>
      <c r="K1329" s="326"/>
      <c r="M1329" s="463"/>
      <c r="N1329" s="464"/>
    </row>
    <row r="1330" spans="2:14" hidden="1" outlineLevel="1" x14ac:dyDescent="0.35">
      <c r="B1330" s="203"/>
      <c r="C1330" s="204"/>
      <c r="D1330" s="204"/>
      <c r="E1330" s="204"/>
      <c r="F1330" s="205"/>
      <c r="G1330" s="548"/>
      <c r="H1330" s="550"/>
      <c r="I1330" s="326"/>
      <c r="J1330" s="326"/>
      <c r="K1330" s="326"/>
      <c r="M1330" s="463"/>
      <c r="N1330" s="464"/>
    </row>
    <row r="1331" spans="2:14" hidden="1" outlineLevel="1" x14ac:dyDescent="0.35">
      <c r="B1331" s="203"/>
      <c r="C1331" s="204"/>
      <c r="D1331" s="204"/>
      <c r="E1331" s="204"/>
      <c r="F1331" s="205"/>
      <c r="G1331" s="548"/>
      <c r="H1331" s="550"/>
      <c r="I1331" s="326"/>
      <c r="J1331" s="326"/>
      <c r="K1331" s="326"/>
      <c r="M1331" s="463"/>
      <c r="N1331" s="464"/>
    </row>
    <row r="1332" spans="2:14" hidden="1" outlineLevel="1" x14ac:dyDescent="0.35">
      <c r="B1332" s="203"/>
      <c r="C1332" s="204"/>
      <c r="D1332" s="204"/>
      <c r="E1332" s="204"/>
      <c r="F1332" s="205"/>
      <c r="G1332" s="548"/>
      <c r="H1332" s="550"/>
      <c r="I1332" s="326"/>
      <c r="J1332" s="326"/>
      <c r="K1332" s="326"/>
      <c r="M1332" s="463"/>
      <c r="N1332" s="464"/>
    </row>
    <row r="1333" spans="2:14" hidden="1" outlineLevel="1" x14ac:dyDescent="0.35">
      <c r="B1333" s="203"/>
      <c r="C1333" s="204"/>
      <c r="D1333" s="204"/>
      <c r="E1333" s="204"/>
      <c r="F1333" s="205"/>
      <c r="G1333" s="548"/>
      <c r="H1333" s="550"/>
      <c r="I1333" s="326"/>
      <c r="J1333" s="326"/>
      <c r="K1333" s="326"/>
      <c r="M1333" s="463"/>
      <c r="N1333" s="464"/>
    </row>
    <row r="1334" spans="2:14" hidden="1" outlineLevel="1" x14ac:dyDescent="0.35">
      <c r="B1334" s="203"/>
      <c r="C1334" s="204"/>
      <c r="D1334" s="204"/>
      <c r="E1334" s="204"/>
      <c r="F1334" s="205"/>
      <c r="G1334" s="548"/>
      <c r="H1334" s="550"/>
      <c r="I1334" s="326"/>
      <c r="J1334" s="326"/>
      <c r="K1334" s="326"/>
      <c r="M1334" s="463"/>
      <c r="N1334" s="464"/>
    </row>
    <row r="1335" spans="2:14" hidden="1" outlineLevel="1" x14ac:dyDescent="0.35">
      <c r="B1335" s="203"/>
      <c r="C1335" s="204"/>
      <c r="D1335" s="204"/>
      <c r="E1335" s="204"/>
      <c r="F1335" s="205"/>
      <c r="G1335" s="548"/>
      <c r="H1335" s="550"/>
      <c r="I1335" s="326"/>
      <c r="J1335" s="326"/>
      <c r="K1335" s="326"/>
      <c r="M1335" s="463"/>
      <c r="N1335" s="464"/>
    </row>
    <row r="1336" spans="2:14" hidden="1" outlineLevel="1" x14ac:dyDescent="0.35">
      <c r="B1336" s="203"/>
      <c r="C1336" s="204"/>
      <c r="D1336" s="204"/>
      <c r="E1336" s="204"/>
      <c r="F1336" s="205"/>
      <c r="G1336" s="548"/>
      <c r="H1336" s="550"/>
      <c r="I1336" s="326"/>
      <c r="J1336" s="326"/>
      <c r="K1336" s="326"/>
      <c r="M1336" s="463"/>
      <c r="N1336" s="464"/>
    </row>
    <row r="1337" spans="2:14" hidden="1" outlineLevel="1" x14ac:dyDescent="0.35">
      <c r="B1337" s="203"/>
      <c r="C1337" s="204"/>
      <c r="D1337" s="204"/>
      <c r="E1337" s="204"/>
      <c r="F1337" s="205"/>
      <c r="G1337" s="548"/>
      <c r="H1337" s="550"/>
      <c r="I1337" s="326"/>
      <c r="J1337" s="326"/>
      <c r="K1337" s="326"/>
      <c r="M1337" s="463"/>
      <c r="N1337" s="464"/>
    </row>
    <row r="1338" spans="2:14" hidden="1" outlineLevel="1" x14ac:dyDescent="0.35">
      <c r="B1338" s="203"/>
      <c r="C1338" s="204"/>
      <c r="D1338" s="204"/>
      <c r="E1338" s="204"/>
      <c r="F1338" s="205"/>
      <c r="G1338" s="548"/>
      <c r="H1338" s="550"/>
      <c r="I1338" s="326"/>
      <c r="J1338" s="326"/>
      <c r="K1338" s="326"/>
      <c r="M1338" s="463"/>
      <c r="N1338" s="464"/>
    </row>
    <row r="1339" spans="2:14" hidden="1" outlineLevel="1" x14ac:dyDescent="0.35">
      <c r="B1339" s="203"/>
      <c r="C1339" s="204"/>
      <c r="D1339" s="204"/>
      <c r="E1339" s="204"/>
      <c r="F1339" s="205"/>
      <c r="G1339" s="548"/>
      <c r="H1339" s="550"/>
      <c r="I1339" s="326"/>
      <c r="J1339" s="326"/>
      <c r="K1339" s="326"/>
      <c r="M1339" s="463"/>
      <c r="N1339" s="464"/>
    </row>
    <row r="1340" spans="2:14" hidden="1" outlineLevel="1" x14ac:dyDescent="0.35">
      <c r="B1340" s="203"/>
      <c r="C1340" s="204"/>
      <c r="D1340" s="204"/>
      <c r="E1340" s="204"/>
      <c r="F1340" s="205"/>
      <c r="G1340" s="548"/>
      <c r="H1340" s="550"/>
      <c r="I1340" s="326"/>
      <c r="J1340" s="326"/>
      <c r="K1340" s="326"/>
      <c r="M1340" s="463"/>
      <c r="N1340" s="464"/>
    </row>
    <row r="1341" spans="2:14" hidden="1" outlineLevel="1" x14ac:dyDescent="0.35">
      <c r="B1341" s="203"/>
      <c r="C1341" s="204"/>
      <c r="D1341" s="204"/>
      <c r="E1341" s="204"/>
      <c r="F1341" s="205"/>
      <c r="G1341" s="548"/>
      <c r="H1341" s="550"/>
      <c r="I1341" s="326"/>
      <c r="J1341" s="326"/>
      <c r="K1341" s="326"/>
      <c r="M1341" s="463"/>
      <c r="N1341" s="464"/>
    </row>
    <row r="1342" spans="2:14" hidden="1" outlineLevel="1" x14ac:dyDescent="0.35">
      <c r="B1342" s="203"/>
      <c r="C1342" s="204"/>
      <c r="D1342" s="204"/>
      <c r="E1342" s="204"/>
      <c r="F1342" s="205"/>
      <c r="G1342" s="548"/>
      <c r="H1342" s="550"/>
      <c r="I1342" s="326"/>
      <c r="J1342" s="326"/>
      <c r="K1342" s="326"/>
      <c r="M1342" s="463"/>
      <c r="N1342" s="464"/>
    </row>
    <row r="1343" spans="2:14" hidden="1" outlineLevel="1" x14ac:dyDescent="0.35">
      <c r="B1343" s="203"/>
      <c r="C1343" s="204"/>
      <c r="D1343" s="204"/>
      <c r="E1343" s="204"/>
      <c r="F1343" s="205"/>
      <c r="G1343" s="548"/>
      <c r="H1343" s="550"/>
      <c r="I1343" s="326"/>
      <c r="J1343" s="326"/>
      <c r="K1343" s="326"/>
      <c r="M1343" s="463"/>
      <c r="N1343" s="464"/>
    </row>
    <row r="1344" spans="2:14" hidden="1" outlineLevel="1" x14ac:dyDescent="0.35">
      <c r="B1344" s="203"/>
      <c r="C1344" s="204"/>
      <c r="D1344" s="204"/>
      <c r="E1344" s="204"/>
      <c r="F1344" s="205"/>
      <c r="G1344" s="548"/>
      <c r="H1344" s="550"/>
      <c r="I1344" s="326"/>
      <c r="J1344" s="326"/>
      <c r="K1344" s="326"/>
      <c r="M1344" s="463"/>
      <c r="N1344" s="464"/>
    </row>
    <row r="1345" spans="2:14" hidden="1" outlineLevel="1" x14ac:dyDescent="0.35">
      <c r="B1345" s="203"/>
      <c r="C1345" s="204"/>
      <c r="D1345" s="204"/>
      <c r="E1345" s="204"/>
      <c r="F1345" s="205"/>
      <c r="G1345" s="548"/>
      <c r="H1345" s="550"/>
      <c r="I1345" s="326"/>
      <c r="J1345" s="326"/>
      <c r="K1345" s="326"/>
      <c r="M1345" s="463"/>
      <c r="N1345" s="464"/>
    </row>
    <row r="1346" spans="2:14" hidden="1" outlineLevel="1" x14ac:dyDescent="0.35">
      <c r="B1346" s="203"/>
      <c r="C1346" s="204"/>
      <c r="D1346" s="204"/>
      <c r="E1346" s="204"/>
      <c r="F1346" s="205"/>
      <c r="G1346" s="548"/>
      <c r="H1346" s="550"/>
      <c r="I1346" s="326"/>
      <c r="J1346" s="326"/>
      <c r="K1346" s="326"/>
      <c r="M1346" s="463"/>
      <c r="N1346" s="464"/>
    </row>
    <row r="1347" spans="2:14" hidden="1" outlineLevel="1" x14ac:dyDescent="0.35">
      <c r="B1347" s="203"/>
      <c r="C1347" s="204"/>
      <c r="D1347" s="204"/>
      <c r="E1347" s="204"/>
      <c r="F1347" s="205"/>
      <c r="G1347" s="548"/>
      <c r="H1347" s="550"/>
      <c r="I1347" s="326"/>
      <c r="J1347" s="326"/>
      <c r="K1347" s="326"/>
      <c r="M1347" s="463"/>
      <c r="N1347" s="464"/>
    </row>
    <row r="1348" spans="2:14" hidden="1" outlineLevel="1" x14ac:dyDescent="0.35">
      <c r="B1348" s="203"/>
      <c r="C1348" s="204"/>
      <c r="D1348" s="204"/>
      <c r="E1348" s="204"/>
      <c r="F1348" s="205"/>
      <c r="G1348" s="548"/>
      <c r="H1348" s="550"/>
      <c r="I1348" s="326"/>
      <c r="J1348" s="326"/>
      <c r="K1348" s="326"/>
      <c r="M1348" s="463"/>
      <c r="N1348" s="464"/>
    </row>
    <row r="1349" spans="2:14" hidden="1" outlineLevel="1" x14ac:dyDescent="0.35">
      <c r="B1349" s="203"/>
      <c r="C1349" s="204"/>
      <c r="D1349" s="204"/>
      <c r="E1349" s="204"/>
      <c r="F1349" s="205"/>
      <c r="G1349" s="548"/>
      <c r="H1349" s="550"/>
      <c r="I1349" s="326"/>
      <c r="J1349" s="326"/>
      <c r="K1349" s="326"/>
      <c r="M1349" s="463"/>
      <c r="N1349" s="464"/>
    </row>
    <row r="1350" spans="2:14" hidden="1" outlineLevel="1" x14ac:dyDescent="0.35">
      <c r="B1350" s="203"/>
      <c r="C1350" s="204"/>
      <c r="D1350" s="204"/>
      <c r="E1350" s="204"/>
      <c r="F1350" s="205"/>
      <c r="G1350" s="548"/>
      <c r="H1350" s="550"/>
      <c r="I1350" s="326"/>
      <c r="J1350" s="326"/>
      <c r="K1350" s="326"/>
      <c r="M1350" s="463"/>
      <c r="N1350" s="464"/>
    </row>
    <row r="1351" spans="2:14" hidden="1" outlineLevel="1" x14ac:dyDescent="0.35">
      <c r="B1351" s="203"/>
      <c r="C1351" s="204"/>
      <c r="D1351" s="204"/>
      <c r="E1351" s="204"/>
      <c r="F1351" s="205"/>
      <c r="G1351" s="548"/>
      <c r="H1351" s="550"/>
      <c r="I1351" s="326"/>
      <c r="J1351" s="326"/>
      <c r="K1351" s="326"/>
      <c r="M1351" s="463"/>
      <c r="N1351" s="464"/>
    </row>
    <row r="1352" spans="2:14" hidden="1" outlineLevel="1" x14ac:dyDescent="0.35">
      <c r="B1352" s="203"/>
      <c r="C1352" s="204"/>
      <c r="D1352" s="204"/>
      <c r="E1352" s="204"/>
      <c r="F1352" s="205"/>
      <c r="G1352" s="548"/>
      <c r="H1352" s="550"/>
      <c r="I1352" s="326"/>
      <c r="J1352" s="326"/>
      <c r="K1352" s="326"/>
      <c r="M1352" s="463"/>
      <c r="N1352" s="464"/>
    </row>
    <row r="1353" spans="2:14" hidden="1" outlineLevel="1" x14ac:dyDescent="0.35">
      <c r="B1353" s="203"/>
      <c r="C1353" s="204"/>
      <c r="D1353" s="204"/>
      <c r="E1353" s="204"/>
      <c r="F1353" s="205"/>
      <c r="G1353" s="548"/>
      <c r="H1353" s="550"/>
      <c r="I1353" s="326"/>
      <c r="J1353" s="326"/>
      <c r="K1353" s="326"/>
      <c r="M1353" s="463"/>
      <c r="N1353" s="464"/>
    </row>
    <row r="1354" spans="2:14" hidden="1" outlineLevel="1" x14ac:dyDescent="0.35">
      <c r="B1354" s="203"/>
      <c r="C1354" s="204"/>
      <c r="D1354" s="204"/>
      <c r="E1354" s="204"/>
      <c r="F1354" s="205"/>
      <c r="G1354" s="548"/>
      <c r="H1354" s="550"/>
      <c r="I1354" s="326"/>
      <c r="J1354" s="326"/>
      <c r="K1354" s="326"/>
      <c r="M1354" s="463"/>
      <c r="N1354" s="464"/>
    </row>
    <row r="1355" spans="2:14" hidden="1" outlineLevel="1" x14ac:dyDescent="0.35">
      <c r="B1355" s="203"/>
      <c r="C1355" s="204"/>
      <c r="D1355" s="204"/>
      <c r="E1355" s="204"/>
      <c r="F1355" s="205"/>
      <c r="G1355" s="548"/>
      <c r="H1355" s="550"/>
      <c r="I1355" s="326"/>
      <c r="J1355" s="326"/>
      <c r="K1355" s="326"/>
      <c r="M1355" s="463"/>
      <c r="N1355" s="464"/>
    </row>
    <row r="1356" spans="2:14" hidden="1" outlineLevel="1" x14ac:dyDescent="0.35">
      <c r="B1356" s="203"/>
      <c r="C1356" s="204"/>
      <c r="D1356" s="204"/>
      <c r="E1356" s="204"/>
      <c r="F1356" s="205"/>
      <c r="G1356" s="548"/>
      <c r="H1356" s="550"/>
      <c r="I1356" s="326"/>
      <c r="J1356" s="326"/>
      <c r="K1356" s="326"/>
      <c r="M1356" s="463"/>
      <c r="N1356" s="464"/>
    </row>
    <row r="1357" spans="2:14" hidden="1" outlineLevel="1" x14ac:dyDescent="0.35">
      <c r="B1357" s="203"/>
      <c r="C1357" s="204"/>
      <c r="D1357" s="204"/>
      <c r="E1357" s="204"/>
      <c r="F1357" s="205"/>
      <c r="G1357" s="548"/>
      <c r="H1357" s="550"/>
      <c r="I1357" s="326"/>
      <c r="J1357" s="326"/>
      <c r="K1357" s="326"/>
      <c r="M1357" s="463"/>
      <c r="N1357" s="464"/>
    </row>
    <row r="1358" spans="2:14" hidden="1" outlineLevel="1" x14ac:dyDescent="0.35">
      <c r="B1358" s="203"/>
      <c r="C1358" s="204"/>
      <c r="D1358" s="204"/>
      <c r="E1358" s="204"/>
      <c r="F1358" s="205"/>
      <c r="G1358" s="548"/>
      <c r="H1358" s="550"/>
      <c r="I1358" s="326"/>
      <c r="J1358" s="326"/>
      <c r="K1358" s="326"/>
      <c r="M1358" s="463"/>
      <c r="N1358" s="464"/>
    </row>
    <row r="1359" spans="2:14" hidden="1" outlineLevel="1" x14ac:dyDescent="0.35">
      <c r="B1359" s="203"/>
      <c r="C1359" s="204"/>
      <c r="D1359" s="204"/>
      <c r="E1359" s="204"/>
      <c r="F1359" s="205"/>
      <c r="G1359" s="548"/>
      <c r="H1359" s="550"/>
      <c r="I1359" s="326"/>
      <c r="J1359" s="326"/>
      <c r="K1359" s="326"/>
      <c r="M1359" s="463"/>
      <c r="N1359" s="464"/>
    </row>
    <row r="1360" spans="2:14" hidden="1" outlineLevel="1" x14ac:dyDescent="0.35">
      <c r="B1360" s="203"/>
      <c r="C1360" s="204"/>
      <c r="D1360" s="204"/>
      <c r="E1360" s="204"/>
      <c r="F1360" s="205"/>
      <c r="G1360" s="548"/>
      <c r="H1360" s="550"/>
      <c r="I1360" s="326"/>
      <c r="J1360" s="326"/>
      <c r="K1360" s="326"/>
      <c r="M1360" s="463"/>
      <c r="N1360" s="464"/>
    </row>
    <row r="1361" spans="2:14" hidden="1" outlineLevel="1" x14ac:dyDescent="0.35">
      <c r="B1361" s="203"/>
      <c r="C1361" s="204"/>
      <c r="D1361" s="204"/>
      <c r="E1361" s="204"/>
      <c r="F1361" s="205"/>
      <c r="G1361" s="548"/>
      <c r="H1361" s="550"/>
      <c r="I1361" s="326"/>
      <c r="J1361" s="326"/>
      <c r="K1361" s="326"/>
      <c r="M1361" s="463"/>
      <c r="N1361" s="464"/>
    </row>
    <row r="1362" spans="2:14" hidden="1" outlineLevel="1" x14ac:dyDescent="0.35">
      <c r="B1362" s="203"/>
      <c r="C1362" s="204"/>
      <c r="D1362" s="204"/>
      <c r="E1362" s="204"/>
      <c r="F1362" s="205"/>
      <c r="G1362" s="548"/>
      <c r="H1362" s="550"/>
      <c r="I1362" s="326"/>
      <c r="J1362" s="326"/>
      <c r="K1362" s="326"/>
      <c r="M1362" s="463"/>
      <c r="N1362" s="464"/>
    </row>
    <row r="1363" spans="2:14" hidden="1" outlineLevel="1" x14ac:dyDescent="0.35">
      <c r="B1363" s="203"/>
      <c r="C1363" s="204"/>
      <c r="D1363" s="204"/>
      <c r="E1363" s="204"/>
      <c r="F1363" s="205"/>
      <c r="G1363" s="548"/>
      <c r="H1363" s="550"/>
      <c r="I1363" s="326"/>
      <c r="J1363" s="326"/>
      <c r="K1363" s="326"/>
      <c r="M1363" s="463"/>
      <c r="N1363" s="464"/>
    </row>
    <row r="1364" spans="2:14" hidden="1" outlineLevel="1" x14ac:dyDescent="0.35">
      <c r="B1364" s="203"/>
      <c r="C1364" s="204"/>
      <c r="D1364" s="204"/>
      <c r="E1364" s="204"/>
      <c r="F1364" s="205"/>
      <c r="G1364" s="548"/>
      <c r="H1364" s="550"/>
      <c r="I1364" s="326"/>
      <c r="J1364" s="326"/>
      <c r="K1364" s="326"/>
      <c r="M1364" s="463"/>
      <c r="N1364" s="464"/>
    </row>
    <row r="1365" spans="2:14" hidden="1" outlineLevel="1" x14ac:dyDescent="0.35">
      <c r="B1365" s="203"/>
      <c r="C1365" s="204"/>
      <c r="D1365" s="204"/>
      <c r="E1365" s="204"/>
      <c r="F1365" s="205"/>
      <c r="G1365" s="548"/>
      <c r="H1365" s="550"/>
      <c r="I1365" s="326"/>
      <c r="J1365" s="326"/>
      <c r="K1365" s="326"/>
      <c r="M1365" s="463"/>
      <c r="N1365" s="464"/>
    </row>
    <row r="1366" spans="2:14" hidden="1" outlineLevel="1" x14ac:dyDescent="0.35">
      <c r="B1366" s="203"/>
      <c r="C1366" s="204"/>
      <c r="D1366" s="204"/>
      <c r="E1366" s="204"/>
      <c r="F1366" s="205"/>
      <c r="G1366" s="548"/>
      <c r="H1366" s="550"/>
      <c r="I1366" s="326"/>
      <c r="J1366" s="326"/>
      <c r="K1366" s="326"/>
      <c r="M1366" s="463"/>
      <c r="N1366" s="464"/>
    </row>
    <row r="1367" spans="2:14" hidden="1" outlineLevel="1" x14ac:dyDescent="0.35">
      <c r="B1367" s="203"/>
      <c r="C1367" s="204"/>
      <c r="D1367" s="204"/>
      <c r="E1367" s="204"/>
      <c r="F1367" s="205"/>
      <c r="G1367" s="548"/>
      <c r="H1367" s="550"/>
      <c r="I1367" s="326"/>
      <c r="J1367" s="326"/>
      <c r="K1367" s="326"/>
      <c r="M1367" s="463"/>
      <c r="N1367" s="464"/>
    </row>
    <row r="1368" spans="2:14" hidden="1" outlineLevel="1" x14ac:dyDescent="0.35">
      <c r="B1368" s="203"/>
      <c r="C1368" s="204"/>
      <c r="D1368" s="204"/>
      <c r="E1368" s="204"/>
      <c r="F1368" s="205"/>
      <c r="G1368" s="548"/>
      <c r="H1368" s="550"/>
      <c r="I1368" s="326"/>
      <c r="J1368" s="326"/>
      <c r="K1368" s="326"/>
      <c r="M1368" s="463"/>
      <c r="N1368" s="464"/>
    </row>
    <row r="1369" spans="2:14" hidden="1" outlineLevel="1" x14ac:dyDescent="0.35">
      <c r="B1369" s="203"/>
      <c r="C1369" s="204"/>
      <c r="D1369" s="204"/>
      <c r="E1369" s="204"/>
      <c r="F1369" s="205"/>
      <c r="G1369" s="548"/>
      <c r="H1369" s="550"/>
      <c r="I1369" s="326"/>
      <c r="J1369" s="326"/>
      <c r="K1369" s="326"/>
      <c r="M1369" s="463"/>
      <c r="N1369" s="464"/>
    </row>
    <row r="1370" spans="2:14" hidden="1" outlineLevel="1" x14ac:dyDescent="0.35">
      <c r="B1370" s="203"/>
      <c r="C1370" s="204"/>
      <c r="D1370" s="204"/>
      <c r="E1370" s="204"/>
      <c r="F1370" s="205"/>
      <c r="G1370" s="548"/>
      <c r="H1370" s="550"/>
      <c r="I1370" s="326"/>
      <c r="J1370" s="326"/>
      <c r="K1370" s="326"/>
      <c r="M1370" s="463"/>
      <c r="N1370" s="464"/>
    </row>
    <row r="1371" spans="2:14" hidden="1" outlineLevel="1" x14ac:dyDescent="0.35">
      <c r="B1371" s="203"/>
      <c r="C1371" s="204"/>
      <c r="D1371" s="204"/>
      <c r="E1371" s="204"/>
      <c r="F1371" s="205"/>
      <c r="G1371" s="548"/>
      <c r="H1371" s="550"/>
      <c r="I1371" s="326"/>
      <c r="J1371" s="326"/>
      <c r="K1371" s="326"/>
      <c r="M1371" s="463"/>
      <c r="N1371" s="464"/>
    </row>
    <row r="1372" spans="2:14" hidden="1" outlineLevel="1" x14ac:dyDescent="0.35">
      <c r="B1372" s="203"/>
      <c r="C1372" s="204"/>
      <c r="D1372" s="204"/>
      <c r="E1372" s="204"/>
      <c r="F1372" s="205"/>
      <c r="G1372" s="548"/>
      <c r="H1372" s="550"/>
      <c r="I1372" s="326"/>
      <c r="J1372" s="326"/>
      <c r="K1372" s="326"/>
      <c r="M1372" s="463"/>
      <c r="N1372" s="464"/>
    </row>
    <row r="1373" spans="2:14" hidden="1" outlineLevel="1" x14ac:dyDescent="0.35">
      <c r="B1373" s="203"/>
      <c r="C1373" s="204"/>
      <c r="D1373" s="204"/>
      <c r="E1373" s="204"/>
      <c r="F1373" s="205"/>
      <c r="G1373" s="548"/>
      <c r="H1373" s="550"/>
      <c r="I1373" s="326"/>
      <c r="J1373" s="326"/>
      <c r="K1373" s="326"/>
      <c r="M1373" s="463"/>
      <c r="N1373" s="464"/>
    </row>
    <row r="1374" spans="2:14" hidden="1" outlineLevel="1" x14ac:dyDescent="0.35">
      <c r="B1374" s="203"/>
      <c r="C1374" s="204"/>
      <c r="D1374" s="204"/>
      <c r="E1374" s="204"/>
      <c r="F1374" s="205"/>
      <c r="G1374" s="548"/>
      <c r="H1374" s="550"/>
      <c r="I1374" s="326"/>
      <c r="J1374" s="326"/>
      <c r="K1374" s="326"/>
      <c r="M1374" s="463"/>
      <c r="N1374" s="464"/>
    </row>
    <row r="1375" spans="2:14" hidden="1" outlineLevel="1" x14ac:dyDescent="0.35">
      <c r="B1375" s="203"/>
      <c r="C1375" s="204"/>
      <c r="D1375" s="204"/>
      <c r="E1375" s="204"/>
      <c r="F1375" s="205"/>
      <c r="G1375" s="548"/>
      <c r="H1375" s="550"/>
      <c r="I1375" s="326"/>
      <c r="J1375" s="326"/>
      <c r="K1375" s="326"/>
      <c r="M1375" s="463"/>
      <c r="N1375" s="464"/>
    </row>
    <row r="1376" spans="2:14" hidden="1" outlineLevel="1" x14ac:dyDescent="0.35">
      <c r="B1376" s="203"/>
      <c r="C1376" s="204"/>
      <c r="D1376" s="204"/>
      <c r="E1376" s="204"/>
      <c r="F1376" s="205"/>
      <c r="G1376" s="548"/>
      <c r="H1376" s="550"/>
      <c r="I1376" s="326"/>
      <c r="J1376" s="326"/>
      <c r="K1376" s="326"/>
      <c r="M1376" s="463"/>
      <c r="N1376" s="464"/>
    </row>
    <row r="1377" spans="2:14" hidden="1" outlineLevel="1" x14ac:dyDescent="0.35">
      <c r="B1377" s="203"/>
      <c r="C1377" s="204"/>
      <c r="D1377" s="204"/>
      <c r="E1377" s="204"/>
      <c r="F1377" s="205"/>
      <c r="G1377" s="548"/>
      <c r="H1377" s="550"/>
      <c r="I1377" s="326"/>
      <c r="J1377" s="326"/>
      <c r="K1377" s="326"/>
      <c r="M1377" s="463"/>
      <c r="N1377" s="464"/>
    </row>
    <row r="1378" spans="2:14" hidden="1" outlineLevel="1" x14ac:dyDescent="0.35">
      <c r="B1378" s="203"/>
      <c r="C1378" s="204"/>
      <c r="D1378" s="204"/>
      <c r="E1378" s="204"/>
      <c r="F1378" s="205"/>
      <c r="G1378" s="548"/>
      <c r="H1378" s="550"/>
      <c r="I1378" s="326"/>
      <c r="J1378" s="326"/>
      <c r="K1378" s="326"/>
      <c r="M1378" s="463"/>
      <c r="N1378" s="464"/>
    </row>
    <row r="1379" spans="2:14" hidden="1" outlineLevel="1" x14ac:dyDescent="0.35">
      <c r="B1379" s="203"/>
      <c r="C1379" s="204"/>
      <c r="D1379" s="204"/>
      <c r="E1379" s="204"/>
      <c r="F1379" s="205"/>
      <c r="G1379" s="548"/>
      <c r="H1379" s="550"/>
      <c r="I1379" s="326"/>
      <c r="J1379" s="326"/>
      <c r="K1379" s="326"/>
      <c r="M1379" s="463"/>
      <c r="N1379" s="464"/>
    </row>
    <row r="1380" spans="2:14" hidden="1" outlineLevel="1" x14ac:dyDescent="0.35">
      <c r="B1380" s="203"/>
      <c r="C1380" s="204"/>
      <c r="D1380" s="204"/>
      <c r="E1380" s="204"/>
      <c r="F1380" s="205"/>
      <c r="G1380" s="548"/>
      <c r="H1380" s="550"/>
      <c r="I1380" s="326"/>
      <c r="J1380" s="326"/>
      <c r="K1380" s="326"/>
      <c r="M1380" s="463"/>
      <c r="N1380" s="464"/>
    </row>
    <row r="1381" spans="2:14" hidden="1" outlineLevel="1" x14ac:dyDescent="0.35">
      <c r="B1381" s="203"/>
      <c r="C1381" s="204"/>
      <c r="D1381" s="204"/>
      <c r="E1381" s="204"/>
      <c r="F1381" s="205"/>
      <c r="G1381" s="548"/>
      <c r="H1381" s="550"/>
      <c r="I1381" s="326"/>
      <c r="J1381" s="326"/>
      <c r="K1381" s="326"/>
      <c r="M1381" s="463"/>
      <c r="N1381" s="464"/>
    </row>
    <row r="1382" spans="2:14" hidden="1" outlineLevel="1" x14ac:dyDescent="0.35">
      <c r="B1382" s="203"/>
      <c r="C1382" s="204"/>
      <c r="D1382" s="204"/>
      <c r="E1382" s="204"/>
      <c r="F1382" s="205"/>
      <c r="G1382" s="548"/>
      <c r="H1382" s="550"/>
      <c r="I1382" s="326"/>
      <c r="J1382" s="326"/>
      <c r="K1382" s="326"/>
      <c r="M1382" s="463"/>
      <c r="N1382" s="464"/>
    </row>
    <row r="1383" spans="2:14" hidden="1" outlineLevel="1" x14ac:dyDescent="0.35">
      <c r="B1383" s="203"/>
      <c r="C1383" s="204"/>
      <c r="D1383" s="204"/>
      <c r="E1383" s="204"/>
      <c r="F1383" s="205"/>
      <c r="G1383" s="548"/>
      <c r="H1383" s="550"/>
      <c r="I1383" s="326"/>
      <c r="J1383" s="326"/>
      <c r="K1383" s="326"/>
      <c r="M1383" s="463"/>
      <c r="N1383" s="464"/>
    </row>
    <row r="1384" spans="2:14" hidden="1" outlineLevel="1" x14ac:dyDescent="0.35">
      <c r="B1384" s="203"/>
      <c r="C1384" s="204"/>
      <c r="D1384" s="204"/>
      <c r="E1384" s="204"/>
      <c r="F1384" s="205"/>
      <c r="G1384" s="548"/>
      <c r="H1384" s="550"/>
      <c r="I1384" s="326"/>
      <c r="J1384" s="326"/>
      <c r="K1384" s="326"/>
      <c r="M1384" s="463"/>
      <c r="N1384" s="464"/>
    </row>
    <row r="1385" spans="2:14" hidden="1" outlineLevel="1" x14ac:dyDescent="0.35">
      <c r="B1385" s="203"/>
      <c r="C1385" s="204"/>
      <c r="D1385" s="204"/>
      <c r="E1385" s="204"/>
      <c r="F1385" s="205"/>
      <c r="G1385" s="548"/>
      <c r="H1385" s="550"/>
      <c r="I1385" s="326"/>
      <c r="J1385" s="326"/>
      <c r="K1385" s="326"/>
      <c r="M1385" s="463"/>
      <c r="N1385" s="464"/>
    </row>
    <row r="1386" spans="2:14" hidden="1" outlineLevel="1" x14ac:dyDescent="0.35">
      <c r="B1386" s="203"/>
      <c r="C1386" s="204"/>
      <c r="D1386" s="204"/>
      <c r="E1386" s="204"/>
      <c r="F1386" s="205"/>
      <c r="G1386" s="548"/>
      <c r="H1386" s="550"/>
      <c r="I1386" s="326"/>
      <c r="J1386" s="326"/>
      <c r="K1386" s="326"/>
      <c r="M1386" s="463"/>
      <c r="N1386" s="464"/>
    </row>
    <row r="1387" spans="2:14" hidden="1" outlineLevel="1" x14ac:dyDescent="0.35">
      <c r="B1387" s="203"/>
      <c r="C1387" s="204"/>
      <c r="D1387" s="204"/>
      <c r="E1387" s="204"/>
      <c r="F1387" s="205"/>
      <c r="G1387" s="548"/>
      <c r="H1387" s="550"/>
      <c r="I1387" s="326"/>
      <c r="J1387" s="326"/>
      <c r="K1387" s="326"/>
      <c r="M1387" s="463"/>
      <c r="N1387" s="464"/>
    </row>
    <row r="1388" spans="2:14" hidden="1" outlineLevel="1" x14ac:dyDescent="0.35">
      <c r="B1388" s="203"/>
      <c r="C1388" s="204"/>
      <c r="D1388" s="204"/>
      <c r="E1388" s="204"/>
      <c r="F1388" s="205"/>
      <c r="G1388" s="548"/>
      <c r="H1388" s="550"/>
      <c r="I1388" s="326"/>
      <c r="J1388" s="326"/>
      <c r="K1388" s="326"/>
      <c r="M1388" s="463"/>
      <c r="N1388" s="464"/>
    </row>
    <row r="1389" spans="2:14" hidden="1" outlineLevel="1" x14ac:dyDescent="0.35">
      <c r="B1389" s="203"/>
      <c r="C1389" s="204"/>
      <c r="D1389" s="204"/>
      <c r="E1389" s="204"/>
      <c r="F1389" s="205"/>
      <c r="G1389" s="548"/>
      <c r="H1389" s="550"/>
      <c r="I1389" s="326"/>
      <c r="J1389" s="326"/>
      <c r="K1389" s="326"/>
      <c r="M1389" s="463"/>
      <c r="N1389" s="464"/>
    </row>
    <row r="1390" spans="2:14" hidden="1" outlineLevel="1" x14ac:dyDescent="0.35">
      <c r="B1390" s="203"/>
      <c r="C1390" s="204"/>
      <c r="D1390" s="204"/>
      <c r="E1390" s="204"/>
      <c r="F1390" s="205"/>
      <c r="G1390" s="548"/>
      <c r="H1390" s="550"/>
      <c r="I1390" s="326"/>
      <c r="J1390" s="326"/>
      <c r="K1390" s="326"/>
      <c r="M1390" s="463"/>
      <c r="N1390" s="464"/>
    </row>
    <row r="1391" spans="2:14" hidden="1" outlineLevel="1" x14ac:dyDescent="0.35">
      <c r="B1391" s="203"/>
      <c r="C1391" s="204"/>
      <c r="D1391" s="204"/>
      <c r="E1391" s="204"/>
      <c r="F1391" s="205"/>
      <c r="G1391" s="548"/>
      <c r="H1391" s="550"/>
      <c r="I1391" s="326"/>
      <c r="J1391" s="326"/>
      <c r="K1391" s="326"/>
      <c r="M1391" s="463"/>
      <c r="N1391" s="464"/>
    </row>
    <row r="1392" spans="2:14" hidden="1" outlineLevel="1" x14ac:dyDescent="0.35">
      <c r="B1392" s="203"/>
      <c r="C1392" s="204"/>
      <c r="D1392" s="204"/>
      <c r="E1392" s="204"/>
      <c r="F1392" s="205"/>
      <c r="G1392" s="548"/>
      <c r="H1392" s="550"/>
      <c r="I1392" s="326"/>
      <c r="J1392" s="326"/>
      <c r="K1392" s="326"/>
      <c r="M1392" s="463"/>
      <c r="N1392" s="464"/>
    </row>
    <row r="1393" spans="2:14" hidden="1" outlineLevel="1" x14ac:dyDescent="0.35">
      <c r="B1393" s="203"/>
      <c r="C1393" s="204"/>
      <c r="D1393" s="204"/>
      <c r="E1393" s="204"/>
      <c r="F1393" s="205"/>
      <c r="G1393" s="548"/>
      <c r="H1393" s="550"/>
      <c r="I1393" s="326"/>
      <c r="J1393" s="326"/>
      <c r="K1393" s="326"/>
      <c r="M1393" s="463"/>
      <c r="N1393" s="464"/>
    </row>
    <row r="1394" spans="2:14" hidden="1" outlineLevel="1" x14ac:dyDescent="0.35">
      <c r="B1394" s="203"/>
      <c r="C1394" s="204"/>
      <c r="D1394" s="204"/>
      <c r="E1394" s="204"/>
      <c r="F1394" s="205"/>
      <c r="G1394" s="548"/>
      <c r="H1394" s="550"/>
      <c r="I1394" s="326"/>
      <c r="J1394" s="326"/>
      <c r="K1394" s="326"/>
      <c r="M1394" s="463"/>
      <c r="N1394" s="464"/>
    </row>
    <row r="1395" spans="2:14" hidden="1" outlineLevel="1" x14ac:dyDescent="0.35">
      <c r="B1395" s="203"/>
      <c r="C1395" s="204"/>
      <c r="D1395" s="204"/>
      <c r="E1395" s="204"/>
      <c r="F1395" s="205"/>
      <c r="G1395" s="548"/>
      <c r="H1395" s="550"/>
      <c r="I1395" s="326"/>
      <c r="J1395" s="326"/>
      <c r="K1395" s="326"/>
      <c r="M1395" s="463"/>
      <c r="N1395" s="464"/>
    </row>
    <row r="1396" spans="2:14" hidden="1" outlineLevel="1" x14ac:dyDescent="0.35">
      <c r="B1396" s="203"/>
      <c r="C1396" s="204"/>
      <c r="D1396" s="204"/>
      <c r="E1396" s="204"/>
      <c r="F1396" s="205"/>
      <c r="G1396" s="548"/>
      <c r="H1396" s="550"/>
      <c r="I1396" s="326"/>
      <c r="J1396" s="326"/>
      <c r="K1396" s="326"/>
      <c r="M1396" s="463"/>
      <c r="N1396" s="464"/>
    </row>
    <row r="1397" spans="2:14" hidden="1" outlineLevel="1" x14ac:dyDescent="0.35">
      <c r="B1397" s="203"/>
      <c r="C1397" s="204"/>
      <c r="D1397" s="204"/>
      <c r="E1397" s="204"/>
      <c r="F1397" s="205"/>
      <c r="G1397" s="548"/>
      <c r="H1397" s="550"/>
      <c r="I1397" s="326"/>
      <c r="J1397" s="326"/>
      <c r="K1397" s="326"/>
      <c r="M1397" s="463"/>
      <c r="N1397" s="464"/>
    </row>
    <row r="1398" spans="2:14" hidden="1" outlineLevel="1" x14ac:dyDescent="0.35">
      <c r="B1398" s="203"/>
      <c r="C1398" s="204"/>
      <c r="D1398" s="204"/>
      <c r="E1398" s="204"/>
      <c r="F1398" s="205"/>
      <c r="G1398" s="548"/>
      <c r="H1398" s="550"/>
      <c r="I1398" s="326"/>
      <c r="J1398" s="326"/>
      <c r="K1398" s="326"/>
      <c r="M1398" s="463"/>
      <c r="N1398" s="464"/>
    </row>
    <row r="1399" spans="2:14" hidden="1" outlineLevel="1" x14ac:dyDescent="0.35">
      <c r="B1399" s="203"/>
      <c r="C1399" s="204"/>
      <c r="D1399" s="204"/>
      <c r="E1399" s="204"/>
      <c r="F1399" s="205"/>
      <c r="G1399" s="548"/>
      <c r="H1399" s="550"/>
      <c r="I1399" s="326"/>
      <c r="J1399" s="326"/>
      <c r="K1399" s="326"/>
      <c r="M1399" s="463"/>
      <c r="N1399" s="464"/>
    </row>
    <row r="1400" spans="2:14" hidden="1" outlineLevel="1" x14ac:dyDescent="0.35">
      <c r="B1400" s="203"/>
      <c r="C1400" s="204"/>
      <c r="D1400" s="204"/>
      <c r="E1400" s="204"/>
      <c r="F1400" s="205"/>
      <c r="G1400" s="548"/>
      <c r="H1400" s="550"/>
      <c r="I1400" s="326"/>
      <c r="J1400" s="326"/>
      <c r="K1400" s="326"/>
      <c r="M1400" s="463"/>
      <c r="N1400" s="464"/>
    </row>
    <row r="1401" spans="2:14" hidden="1" outlineLevel="1" x14ac:dyDescent="0.35">
      <c r="B1401" s="203"/>
      <c r="C1401" s="204"/>
      <c r="D1401" s="204"/>
      <c r="E1401" s="204"/>
      <c r="F1401" s="205"/>
      <c r="G1401" s="548"/>
      <c r="H1401" s="550"/>
      <c r="I1401" s="326"/>
      <c r="J1401" s="326"/>
      <c r="K1401" s="326"/>
      <c r="M1401" s="463"/>
      <c r="N1401" s="464"/>
    </row>
    <row r="1402" spans="2:14" hidden="1" outlineLevel="1" x14ac:dyDescent="0.35">
      <c r="B1402" s="203"/>
      <c r="C1402" s="204"/>
      <c r="D1402" s="204"/>
      <c r="E1402" s="204"/>
      <c r="F1402" s="205"/>
      <c r="G1402" s="548"/>
      <c r="H1402" s="550"/>
      <c r="I1402" s="326"/>
      <c r="J1402" s="326"/>
      <c r="K1402" s="326"/>
      <c r="M1402" s="463"/>
      <c r="N1402" s="464"/>
    </row>
    <row r="1403" spans="2:14" hidden="1" outlineLevel="1" x14ac:dyDescent="0.35">
      <c r="B1403" s="203"/>
      <c r="C1403" s="204"/>
      <c r="D1403" s="204"/>
      <c r="E1403" s="204"/>
      <c r="F1403" s="205"/>
      <c r="G1403" s="548"/>
      <c r="H1403" s="550"/>
      <c r="I1403" s="326"/>
      <c r="J1403" s="326"/>
      <c r="K1403" s="326"/>
      <c r="M1403" s="463"/>
      <c r="N1403" s="464"/>
    </row>
    <row r="1404" spans="2:14" hidden="1" outlineLevel="1" x14ac:dyDescent="0.35">
      <c r="B1404" s="203"/>
      <c r="C1404" s="204"/>
      <c r="D1404" s="204"/>
      <c r="E1404" s="204"/>
      <c r="F1404" s="205"/>
      <c r="G1404" s="548"/>
      <c r="H1404" s="550"/>
      <c r="I1404" s="326"/>
      <c r="J1404" s="326"/>
      <c r="K1404" s="326"/>
      <c r="M1404" s="463"/>
      <c r="N1404" s="464"/>
    </row>
    <row r="1405" spans="2:14" hidden="1" outlineLevel="1" x14ac:dyDescent="0.35">
      <c r="B1405" s="203"/>
      <c r="C1405" s="204"/>
      <c r="D1405" s="204"/>
      <c r="E1405" s="204"/>
      <c r="F1405" s="205"/>
      <c r="G1405" s="548"/>
      <c r="H1405" s="550"/>
      <c r="I1405" s="326"/>
      <c r="J1405" s="326"/>
      <c r="K1405" s="326"/>
      <c r="M1405" s="463"/>
      <c r="N1405" s="464"/>
    </row>
    <row r="1406" spans="2:14" hidden="1" outlineLevel="1" x14ac:dyDescent="0.35">
      <c r="B1406" s="203"/>
      <c r="C1406" s="204"/>
      <c r="D1406" s="204"/>
      <c r="E1406" s="204"/>
      <c r="F1406" s="205"/>
      <c r="G1406" s="548"/>
      <c r="H1406" s="550"/>
      <c r="I1406" s="326"/>
      <c r="J1406" s="326"/>
      <c r="K1406" s="326"/>
      <c r="M1406" s="463"/>
      <c r="N1406" s="464"/>
    </row>
    <row r="1407" spans="2:14" hidden="1" outlineLevel="1" x14ac:dyDescent="0.35">
      <c r="B1407" s="203"/>
      <c r="C1407" s="204"/>
      <c r="D1407" s="204"/>
      <c r="E1407" s="204"/>
      <c r="F1407" s="205"/>
      <c r="G1407" s="548"/>
      <c r="H1407" s="550"/>
      <c r="I1407" s="326"/>
      <c r="J1407" s="326"/>
      <c r="K1407" s="326"/>
      <c r="M1407" s="463"/>
      <c r="N1407" s="464"/>
    </row>
    <row r="1408" spans="2:14" hidden="1" outlineLevel="1" x14ac:dyDescent="0.35">
      <c r="B1408" s="203"/>
      <c r="C1408" s="204"/>
      <c r="D1408" s="204"/>
      <c r="E1408" s="204"/>
      <c r="F1408" s="205"/>
      <c r="G1408" s="548"/>
      <c r="H1408" s="550"/>
      <c r="I1408" s="326"/>
      <c r="J1408" s="326"/>
      <c r="K1408" s="326"/>
      <c r="M1408" s="463"/>
      <c r="N1408" s="464"/>
    </row>
    <row r="1409" spans="2:14" hidden="1" outlineLevel="1" x14ac:dyDescent="0.35">
      <c r="B1409" s="203"/>
      <c r="C1409" s="204"/>
      <c r="D1409" s="204"/>
      <c r="E1409" s="204"/>
      <c r="F1409" s="205"/>
      <c r="G1409" s="548"/>
      <c r="H1409" s="550"/>
      <c r="I1409" s="326"/>
      <c r="J1409" s="326"/>
      <c r="K1409" s="326"/>
      <c r="M1409" s="463"/>
      <c r="N1409" s="464"/>
    </row>
    <row r="1410" spans="2:14" hidden="1" outlineLevel="1" x14ac:dyDescent="0.35">
      <c r="B1410" s="203"/>
      <c r="C1410" s="204"/>
      <c r="D1410" s="204"/>
      <c r="E1410" s="204"/>
      <c r="F1410" s="205"/>
      <c r="G1410" s="548"/>
      <c r="H1410" s="550"/>
      <c r="I1410" s="326"/>
      <c r="J1410" s="326"/>
      <c r="K1410" s="326"/>
      <c r="M1410" s="463"/>
      <c r="N1410" s="464"/>
    </row>
    <row r="1411" spans="2:14" hidden="1" outlineLevel="1" x14ac:dyDescent="0.35">
      <c r="B1411" s="203"/>
      <c r="C1411" s="204"/>
      <c r="D1411" s="204"/>
      <c r="E1411" s="204"/>
      <c r="F1411" s="205"/>
      <c r="G1411" s="548"/>
      <c r="H1411" s="550"/>
      <c r="I1411" s="326"/>
      <c r="J1411" s="326"/>
      <c r="K1411" s="326"/>
      <c r="M1411" s="463"/>
      <c r="N1411" s="464"/>
    </row>
    <row r="1412" spans="2:14" hidden="1" outlineLevel="1" x14ac:dyDescent="0.35">
      <c r="B1412" s="203"/>
      <c r="C1412" s="204"/>
      <c r="D1412" s="204"/>
      <c r="E1412" s="204"/>
      <c r="F1412" s="205"/>
      <c r="G1412" s="548"/>
      <c r="H1412" s="550"/>
      <c r="I1412" s="326"/>
      <c r="J1412" s="326"/>
      <c r="K1412" s="326"/>
      <c r="M1412" s="463"/>
      <c r="N1412" s="464"/>
    </row>
    <row r="1413" spans="2:14" hidden="1" outlineLevel="1" x14ac:dyDescent="0.35">
      <c r="B1413" s="203"/>
      <c r="C1413" s="204"/>
      <c r="D1413" s="204"/>
      <c r="E1413" s="204"/>
      <c r="F1413" s="205"/>
      <c r="G1413" s="548"/>
      <c r="H1413" s="550"/>
      <c r="I1413" s="326"/>
      <c r="J1413" s="326"/>
      <c r="K1413" s="326"/>
      <c r="M1413" s="463"/>
      <c r="N1413" s="464"/>
    </row>
    <row r="1414" spans="2:14" hidden="1" outlineLevel="1" x14ac:dyDescent="0.35">
      <c r="B1414" s="203"/>
      <c r="C1414" s="204"/>
      <c r="D1414" s="204"/>
      <c r="E1414" s="204"/>
      <c r="F1414" s="205"/>
      <c r="G1414" s="548"/>
      <c r="H1414" s="550"/>
      <c r="I1414" s="326"/>
      <c r="J1414" s="326"/>
      <c r="K1414" s="326"/>
      <c r="M1414" s="463"/>
      <c r="N1414" s="464"/>
    </row>
    <row r="1415" spans="2:14" hidden="1" outlineLevel="1" x14ac:dyDescent="0.35">
      <c r="B1415" s="203"/>
      <c r="C1415" s="204"/>
      <c r="D1415" s="204"/>
      <c r="E1415" s="204"/>
      <c r="F1415" s="205"/>
      <c r="G1415" s="548"/>
      <c r="H1415" s="550"/>
      <c r="I1415" s="326"/>
      <c r="J1415" s="326"/>
      <c r="K1415" s="326"/>
      <c r="M1415" s="463"/>
      <c r="N1415" s="464"/>
    </row>
    <row r="1416" spans="2:14" hidden="1" outlineLevel="1" x14ac:dyDescent="0.35">
      <c r="B1416" s="203"/>
      <c r="C1416" s="204"/>
      <c r="D1416" s="204"/>
      <c r="E1416" s="204"/>
      <c r="F1416" s="205"/>
      <c r="G1416" s="548"/>
      <c r="H1416" s="550"/>
      <c r="I1416" s="326"/>
      <c r="J1416" s="326"/>
      <c r="K1416" s="326"/>
      <c r="M1416" s="463"/>
      <c r="N1416" s="464"/>
    </row>
    <row r="1417" spans="2:14" hidden="1" outlineLevel="1" x14ac:dyDescent="0.35">
      <c r="B1417" s="203"/>
      <c r="C1417" s="204"/>
      <c r="D1417" s="204"/>
      <c r="E1417" s="204"/>
      <c r="F1417" s="205"/>
      <c r="G1417" s="548"/>
      <c r="H1417" s="550"/>
      <c r="I1417" s="326"/>
      <c r="J1417" s="326"/>
      <c r="K1417" s="326"/>
      <c r="M1417" s="463"/>
      <c r="N1417" s="464"/>
    </row>
    <row r="1418" spans="2:14" hidden="1" outlineLevel="1" x14ac:dyDescent="0.35">
      <c r="B1418" s="203"/>
      <c r="C1418" s="204"/>
      <c r="D1418" s="204"/>
      <c r="E1418" s="204"/>
      <c r="F1418" s="205"/>
      <c r="G1418" s="548"/>
      <c r="H1418" s="550"/>
      <c r="I1418" s="326"/>
      <c r="J1418" s="326"/>
      <c r="K1418" s="326"/>
      <c r="M1418" s="463"/>
      <c r="N1418" s="464"/>
    </row>
    <row r="1419" spans="2:14" hidden="1" outlineLevel="1" x14ac:dyDescent="0.35">
      <c r="B1419" s="203"/>
      <c r="C1419" s="204"/>
      <c r="D1419" s="204"/>
      <c r="E1419" s="204"/>
      <c r="F1419" s="205"/>
      <c r="G1419" s="548"/>
      <c r="H1419" s="550"/>
      <c r="I1419" s="326"/>
      <c r="J1419" s="326"/>
      <c r="K1419" s="326"/>
      <c r="M1419" s="463"/>
      <c r="N1419" s="464"/>
    </row>
    <row r="1420" spans="2:14" hidden="1" outlineLevel="1" x14ac:dyDescent="0.35">
      <c r="B1420" s="203"/>
      <c r="C1420" s="204"/>
      <c r="D1420" s="204"/>
      <c r="E1420" s="204"/>
      <c r="F1420" s="205"/>
      <c r="G1420" s="548"/>
      <c r="H1420" s="550"/>
      <c r="I1420" s="326"/>
      <c r="J1420" s="326"/>
      <c r="K1420" s="326"/>
      <c r="M1420" s="463"/>
      <c r="N1420" s="464"/>
    </row>
    <row r="1421" spans="2:14" hidden="1" outlineLevel="1" x14ac:dyDescent="0.35">
      <c r="B1421" s="203"/>
      <c r="C1421" s="204"/>
      <c r="D1421" s="204"/>
      <c r="E1421" s="204"/>
      <c r="F1421" s="205"/>
      <c r="G1421" s="548"/>
      <c r="H1421" s="550"/>
      <c r="I1421" s="326"/>
      <c r="J1421" s="326"/>
      <c r="K1421" s="326"/>
      <c r="M1421" s="463"/>
      <c r="N1421" s="464"/>
    </row>
    <row r="1422" spans="2:14" hidden="1" outlineLevel="1" x14ac:dyDescent="0.35">
      <c r="B1422" s="203"/>
      <c r="C1422" s="204"/>
      <c r="D1422" s="204"/>
      <c r="E1422" s="204"/>
      <c r="F1422" s="205"/>
      <c r="G1422" s="548"/>
      <c r="H1422" s="550"/>
      <c r="I1422" s="326"/>
      <c r="J1422" s="326"/>
      <c r="K1422" s="326"/>
      <c r="M1422" s="463"/>
      <c r="N1422" s="464"/>
    </row>
    <row r="1423" spans="2:14" hidden="1" outlineLevel="1" x14ac:dyDescent="0.35">
      <c r="B1423" s="203"/>
      <c r="C1423" s="204"/>
      <c r="D1423" s="204"/>
      <c r="E1423" s="204"/>
      <c r="F1423" s="205"/>
      <c r="G1423" s="548"/>
      <c r="H1423" s="550"/>
      <c r="I1423" s="326"/>
      <c r="J1423" s="326"/>
      <c r="K1423" s="326"/>
      <c r="M1423" s="463"/>
      <c r="N1423" s="464"/>
    </row>
    <row r="1424" spans="2:14" hidden="1" outlineLevel="1" x14ac:dyDescent="0.35">
      <c r="B1424" s="203"/>
      <c r="C1424" s="204"/>
      <c r="D1424" s="204"/>
      <c r="E1424" s="204"/>
      <c r="F1424" s="205"/>
      <c r="G1424" s="548"/>
      <c r="H1424" s="550"/>
      <c r="I1424" s="326"/>
      <c r="J1424" s="326"/>
      <c r="K1424" s="326"/>
      <c r="M1424" s="463"/>
      <c r="N1424" s="464"/>
    </row>
    <row r="1425" spans="2:14" hidden="1" outlineLevel="1" x14ac:dyDescent="0.35">
      <c r="B1425" s="203"/>
      <c r="C1425" s="204"/>
      <c r="D1425" s="204"/>
      <c r="E1425" s="204"/>
      <c r="F1425" s="205"/>
      <c r="G1425" s="548"/>
      <c r="H1425" s="550"/>
      <c r="I1425" s="326"/>
      <c r="J1425" s="326"/>
      <c r="K1425" s="326"/>
      <c r="M1425" s="463"/>
      <c r="N1425" s="464"/>
    </row>
    <row r="1426" spans="2:14" hidden="1" outlineLevel="1" x14ac:dyDescent="0.35">
      <c r="B1426" s="203"/>
      <c r="C1426" s="204"/>
      <c r="D1426" s="204"/>
      <c r="E1426" s="204"/>
      <c r="F1426" s="205"/>
      <c r="G1426" s="548"/>
      <c r="H1426" s="550"/>
      <c r="I1426" s="326"/>
      <c r="J1426" s="326"/>
      <c r="K1426" s="326"/>
      <c r="M1426" s="463"/>
      <c r="N1426" s="464"/>
    </row>
    <row r="1427" spans="2:14" hidden="1" outlineLevel="1" x14ac:dyDescent="0.35">
      <c r="B1427" s="203"/>
      <c r="C1427" s="204"/>
      <c r="D1427" s="204"/>
      <c r="E1427" s="204"/>
      <c r="F1427" s="205"/>
      <c r="G1427" s="548"/>
      <c r="H1427" s="550"/>
      <c r="I1427" s="326"/>
      <c r="J1427" s="326"/>
      <c r="K1427" s="326"/>
      <c r="M1427" s="463"/>
      <c r="N1427" s="464"/>
    </row>
    <row r="1428" spans="2:14" hidden="1" outlineLevel="1" x14ac:dyDescent="0.35">
      <c r="B1428" s="203"/>
      <c r="C1428" s="204"/>
      <c r="D1428" s="204"/>
      <c r="E1428" s="204"/>
      <c r="F1428" s="205"/>
      <c r="G1428" s="548"/>
      <c r="H1428" s="550"/>
      <c r="I1428" s="326"/>
      <c r="J1428" s="326"/>
      <c r="K1428" s="326"/>
      <c r="M1428" s="463"/>
      <c r="N1428" s="464"/>
    </row>
    <row r="1429" spans="2:14" hidden="1" outlineLevel="1" x14ac:dyDescent="0.35">
      <c r="B1429" s="203"/>
      <c r="C1429" s="204"/>
      <c r="D1429" s="204"/>
      <c r="E1429" s="204"/>
      <c r="F1429" s="205"/>
      <c r="G1429" s="548"/>
      <c r="H1429" s="550"/>
      <c r="I1429" s="326"/>
      <c r="J1429" s="326"/>
      <c r="K1429" s="326"/>
      <c r="M1429" s="463"/>
      <c r="N1429" s="464"/>
    </row>
    <row r="1430" spans="2:14" hidden="1" outlineLevel="1" x14ac:dyDescent="0.35">
      <c r="B1430" s="203"/>
      <c r="C1430" s="204"/>
      <c r="D1430" s="204"/>
      <c r="E1430" s="204"/>
      <c r="F1430" s="205"/>
      <c r="G1430" s="548"/>
      <c r="H1430" s="550"/>
      <c r="I1430" s="326"/>
      <c r="J1430" s="326"/>
      <c r="K1430" s="326"/>
      <c r="M1430" s="463"/>
      <c r="N1430" s="464"/>
    </row>
    <row r="1431" spans="2:14" hidden="1" outlineLevel="1" x14ac:dyDescent="0.35">
      <c r="B1431" s="203"/>
      <c r="C1431" s="204"/>
      <c r="D1431" s="204"/>
      <c r="E1431" s="204"/>
      <c r="F1431" s="205"/>
      <c r="G1431" s="548"/>
      <c r="H1431" s="550"/>
      <c r="I1431" s="326"/>
      <c r="J1431" s="326"/>
      <c r="K1431" s="326"/>
      <c r="M1431" s="463"/>
      <c r="N1431" s="464"/>
    </row>
    <row r="1432" spans="2:14" hidden="1" outlineLevel="1" x14ac:dyDescent="0.35">
      <c r="B1432" s="203"/>
      <c r="C1432" s="204"/>
      <c r="D1432" s="204"/>
      <c r="E1432" s="204"/>
      <c r="F1432" s="205"/>
      <c r="G1432" s="548"/>
      <c r="H1432" s="550"/>
      <c r="I1432" s="326"/>
      <c r="J1432" s="326"/>
      <c r="K1432" s="326"/>
      <c r="M1432" s="463"/>
      <c r="N1432" s="464"/>
    </row>
    <row r="1433" spans="2:14" hidden="1" outlineLevel="1" x14ac:dyDescent="0.35">
      <c r="B1433" s="203"/>
      <c r="C1433" s="204"/>
      <c r="D1433" s="204"/>
      <c r="E1433" s="204"/>
      <c r="F1433" s="205"/>
      <c r="G1433" s="548"/>
      <c r="H1433" s="550"/>
      <c r="I1433" s="326"/>
      <c r="J1433" s="326"/>
      <c r="K1433" s="326"/>
      <c r="M1433" s="463"/>
      <c r="N1433" s="464"/>
    </row>
    <row r="1434" spans="2:14" hidden="1" outlineLevel="1" x14ac:dyDescent="0.35">
      <c r="B1434" s="203"/>
      <c r="C1434" s="204"/>
      <c r="D1434" s="204"/>
      <c r="E1434" s="204"/>
      <c r="F1434" s="205"/>
      <c r="G1434" s="548"/>
      <c r="H1434" s="550"/>
      <c r="I1434" s="326"/>
      <c r="J1434" s="326"/>
      <c r="K1434" s="326"/>
      <c r="M1434" s="463"/>
      <c r="N1434" s="464"/>
    </row>
    <row r="1435" spans="2:14" hidden="1" outlineLevel="1" x14ac:dyDescent="0.35">
      <c r="B1435" s="203"/>
      <c r="C1435" s="204"/>
      <c r="D1435" s="204"/>
      <c r="E1435" s="204"/>
      <c r="F1435" s="205"/>
      <c r="G1435" s="548"/>
      <c r="H1435" s="550"/>
      <c r="I1435" s="326"/>
      <c r="J1435" s="326"/>
      <c r="K1435" s="326"/>
      <c r="M1435" s="463"/>
      <c r="N1435" s="464"/>
    </row>
    <row r="1436" spans="2:14" hidden="1" outlineLevel="1" x14ac:dyDescent="0.35">
      <c r="B1436" s="203"/>
      <c r="C1436" s="204"/>
      <c r="D1436" s="204"/>
      <c r="E1436" s="204"/>
      <c r="F1436" s="205"/>
      <c r="G1436" s="548"/>
      <c r="H1436" s="550"/>
      <c r="I1436" s="326"/>
      <c r="J1436" s="326"/>
      <c r="K1436" s="326"/>
      <c r="M1436" s="463"/>
      <c r="N1436" s="464"/>
    </row>
    <row r="1437" spans="2:14" hidden="1" outlineLevel="1" x14ac:dyDescent="0.35">
      <c r="B1437" s="203"/>
      <c r="C1437" s="204"/>
      <c r="D1437" s="204"/>
      <c r="E1437" s="204"/>
      <c r="F1437" s="205"/>
      <c r="G1437" s="548"/>
      <c r="H1437" s="550"/>
      <c r="I1437" s="326"/>
      <c r="J1437" s="326"/>
      <c r="K1437" s="326"/>
      <c r="M1437" s="463"/>
      <c r="N1437" s="464"/>
    </row>
    <row r="1438" spans="2:14" hidden="1" outlineLevel="1" x14ac:dyDescent="0.35">
      <c r="B1438" s="203"/>
      <c r="C1438" s="204"/>
      <c r="D1438" s="204"/>
      <c r="E1438" s="204"/>
      <c r="F1438" s="205"/>
      <c r="G1438" s="548"/>
      <c r="H1438" s="550"/>
      <c r="I1438" s="326"/>
      <c r="J1438" s="326"/>
      <c r="K1438" s="326"/>
      <c r="M1438" s="463"/>
      <c r="N1438" s="464"/>
    </row>
    <row r="1439" spans="2:14" hidden="1" outlineLevel="1" x14ac:dyDescent="0.35">
      <c r="B1439" s="203"/>
      <c r="C1439" s="204"/>
      <c r="D1439" s="204"/>
      <c r="E1439" s="204"/>
      <c r="F1439" s="205"/>
      <c r="G1439" s="548"/>
      <c r="H1439" s="550"/>
      <c r="I1439" s="326"/>
      <c r="J1439" s="326"/>
      <c r="K1439" s="326"/>
      <c r="M1439" s="463"/>
      <c r="N1439" s="464"/>
    </row>
    <row r="1440" spans="2:14" hidden="1" outlineLevel="1" x14ac:dyDescent="0.35">
      <c r="B1440" s="203"/>
      <c r="C1440" s="204"/>
      <c r="D1440" s="204"/>
      <c r="E1440" s="204"/>
      <c r="F1440" s="205"/>
      <c r="G1440" s="548"/>
      <c r="H1440" s="550"/>
      <c r="I1440" s="326"/>
      <c r="J1440" s="326"/>
      <c r="K1440" s="326"/>
      <c r="M1440" s="463"/>
      <c r="N1440" s="464"/>
    </row>
    <row r="1441" spans="2:14" hidden="1" outlineLevel="1" x14ac:dyDescent="0.35">
      <c r="B1441" s="203"/>
      <c r="C1441" s="204"/>
      <c r="D1441" s="204"/>
      <c r="E1441" s="204"/>
      <c r="F1441" s="205"/>
      <c r="G1441" s="548"/>
      <c r="H1441" s="550"/>
      <c r="I1441" s="326"/>
      <c r="J1441" s="326"/>
      <c r="K1441" s="326"/>
      <c r="M1441" s="463"/>
      <c r="N1441" s="464"/>
    </row>
    <row r="1442" spans="2:14" hidden="1" outlineLevel="1" x14ac:dyDescent="0.35">
      <c r="B1442" s="203"/>
      <c r="C1442" s="204"/>
      <c r="D1442" s="204"/>
      <c r="E1442" s="204"/>
      <c r="F1442" s="205"/>
      <c r="G1442" s="548"/>
      <c r="H1442" s="550"/>
      <c r="I1442" s="326"/>
      <c r="J1442" s="326"/>
      <c r="K1442" s="326"/>
      <c r="M1442" s="463"/>
      <c r="N1442" s="464"/>
    </row>
    <row r="1443" spans="2:14" hidden="1" outlineLevel="1" x14ac:dyDescent="0.35">
      <c r="B1443" s="203"/>
      <c r="C1443" s="204"/>
      <c r="D1443" s="204"/>
      <c r="E1443" s="204"/>
      <c r="F1443" s="205"/>
      <c r="G1443" s="548"/>
      <c r="H1443" s="550"/>
      <c r="I1443" s="326"/>
      <c r="J1443" s="326"/>
      <c r="K1443" s="326"/>
      <c r="M1443" s="463"/>
      <c r="N1443" s="464"/>
    </row>
    <row r="1444" spans="2:14" hidden="1" outlineLevel="1" x14ac:dyDescent="0.35">
      <c r="B1444" s="203"/>
      <c r="C1444" s="204"/>
      <c r="D1444" s="204"/>
      <c r="E1444" s="204"/>
      <c r="F1444" s="205"/>
      <c r="G1444" s="548"/>
      <c r="H1444" s="550"/>
      <c r="I1444" s="326"/>
      <c r="J1444" s="326"/>
      <c r="K1444" s="326"/>
      <c r="M1444" s="463"/>
      <c r="N1444" s="464"/>
    </row>
    <row r="1445" spans="2:14" hidden="1" outlineLevel="1" x14ac:dyDescent="0.35">
      <c r="B1445" s="203"/>
      <c r="C1445" s="204"/>
      <c r="D1445" s="204"/>
      <c r="E1445" s="204"/>
      <c r="F1445" s="205"/>
      <c r="G1445" s="548"/>
      <c r="H1445" s="550"/>
      <c r="I1445" s="326"/>
      <c r="J1445" s="326"/>
      <c r="K1445" s="326"/>
      <c r="M1445" s="463"/>
      <c r="N1445" s="464"/>
    </row>
    <row r="1446" spans="2:14" hidden="1" outlineLevel="1" x14ac:dyDescent="0.35">
      <c r="B1446" s="203"/>
      <c r="C1446" s="204"/>
      <c r="D1446" s="204"/>
      <c r="E1446" s="204"/>
      <c r="F1446" s="205"/>
      <c r="G1446" s="548"/>
      <c r="H1446" s="550"/>
      <c r="I1446" s="326"/>
      <c r="J1446" s="326"/>
      <c r="K1446" s="326"/>
      <c r="M1446" s="463"/>
      <c r="N1446" s="464"/>
    </row>
    <row r="1447" spans="2:14" hidden="1" outlineLevel="1" x14ac:dyDescent="0.35">
      <c r="B1447" s="203"/>
      <c r="C1447" s="204"/>
      <c r="D1447" s="204"/>
      <c r="E1447" s="204"/>
      <c r="F1447" s="205"/>
      <c r="G1447" s="548"/>
      <c r="H1447" s="550"/>
      <c r="I1447" s="326"/>
      <c r="J1447" s="326"/>
      <c r="K1447" s="326"/>
      <c r="M1447" s="463"/>
      <c r="N1447" s="464"/>
    </row>
    <row r="1448" spans="2:14" hidden="1" outlineLevel="1" x14ac:dyDescent="0.35">
      <c r="B1448" s="203"/>
      <c r="C1448" s="204"/>
      <c r="D1448" s="204"/>
      <c r="E1448" s="204"/>
      <c r="F1448" s="205"/>
      <c r="G1448" s="548"/>
      <c r="H1448" s="550"/>
      <c r="I1448" s="326"/>
      <c r="J1448" s="326"/>
      <c r="K1448" s="326"/>
      <c r="M1448" s="463"/>
      <c r="N1448" s="464"/>
    </row>
    <row r="1449" spans="2:14" hidden="1" outlineLevel="1" x14ac:dyDescent="0.35">
      <c r="B1449" s="203"/>
      <c r="C1449" s="204"/>
      <c r="D1449" s="204"/>
      <c r="E1449" s="204"/>
      <c r="F1449" s="205"/>
      <c r="G1449" s="548"/>
      <c r="H1449" s="550"/>
      <c r="I1449" s="326"/>
      <c r="J1449" s="326"/>
      <c r="K1449" s="326"/>
      <c r="M1449" s="463"/>
      <c r="N1449" s="464"/>
    </row>
    <row r="1450" spans="2:14" hidden="1" outlineLevel="1" x14ac:dyDescent="0.35">
      <c r="B1450" s="203"/>
      <c r="C1450" s="204"/>
      <c r="D1450" s="204"/>
      <c r="E1450" s="204"/>
      <c r="F1450" s="205"/>
      <c r="G1450" s="548"/>
      <c r="H1450" s="550"/>
      <c r="I1450" s="326"/>
      <c r="J1450" s="326"/>
      <c r="K1450" s="326"/>
      <c r="M1450" s="463"/>
      <c r="N1450" s="464"/>
    </row>
    <row r="1451" spans="2:14" hidden="1" outlineLevel="1" x14ac:dyDescent="0.35">
      <c r="B1451" s="203"/>
      <c r="C1451" s="204"/>
      <c r="D1451" s="204"/>
      <c r="E1451" s="204"/>
      <c r="F1451" s="205"/>
      <c r="G1451" s="548"/>
      <c r="H1451" s="550"/>
      <c r="I1451" s="326"/>
      <c r="J1451" s="326"/>
      <c r="K1451" s="326"/>
      <c r="M1451" s="463"/>
      <c r="N1451" s="464"/>
    </row>
    <row r="1452" spans="2:14" hidden="1" outlineLevel="1" x14ac:dyDescent="0.35">
      <c r="B1452" s="203"/>
      <c r="C1452" s="204"/>
      <c r="D1452" s="204"/>
      <c r="E1452" s="204"/>
      <c r="F1452" s="205"/>
      <c r="G1452" s="548"/>
      <c r="H1452" s="550"/>
      <c r="I1452" s="326"/>
      <c r="J1452" s="326"/>
      <c r="K1452" s="326"/>
      <c r="M1452" s="463"/>
      <c r="N1452" s="464"/>
    </row>
    <row r="1453" spans="2:14" hidden="1" outlineLevel="1" x14ac:dyDescent="0.35">
      <c r="B1453" s="203"/>
      <c r="C1453" s="204"/>
      <c r="D1453" s="204"/>
      <c r="E1453" s="204"/>
      <c r="F1453" s="205"/>
      <c r="G1453" s="548"/>
      <c r="H1453" s="550"/>
      <c r="I1453" s="326"/>
      <c r="J1453" s="326"/>
      <c r="K1453" s="326"/>
      <c r="M1453" s="463"/>
      <c r="N1453" s="464"/>
    </row>
    <row r="1454" spans="2:14" hidden="1" outlineLevel="1" x14ac:dyDescent="0.35">
      <c r="B1454" s="203"/>
      <c r="C1454" s="204"/>
      <c r="D1454" s="204"/>
      <c r="E1454" s="204"/>
      <c r="F1454" s="205"/>
      <c r="G1454" s="548"/>
      <c r="H1454" s="550"/>
      <c r="I1454" s="326"/>
      <c r="J1454" s="326"/>
      <c r="K1454" s="326"/>
      <c r="M1454" s="463"/>
      <c r="N1454" s="464"/>
    </row>
    <row r="1455" spans="2:14" hidden="1" outlineLevel="1" x14ac:dyDescent="0.35">
      <c r="B1455" s="203"/>
      <c r="C1455" s="204"/>
      <c r="D1455" s="204"/>
      <c r="E1455" s="204"/>
      <c r="F1455" s="205"/>
      <c r="G1455" s="548"/>
      <c r="H1455" s="550"/>
      <c r="I1455" s="326"/>
      <c r="J1455" s="326"/>
      <c r="K1455" s="326"/>
      <c r="M1455" s="463"/>
      <c r="N1455" s="464"/>
    </row>
    <row r="1456" spans="2:14" hidden="1" outlineLevel="1" x14ac:dyDescent="0.35">
      <c r="B1456" s="203"/>
      <c r="C1456" s="204"/>
      <c r="D1456" s="204"/>
      <c r="E1456" s="204"/>
      <c r="F1456" s="205"/>
      <c r="G1456" s="548"/>
      <c r="H1456" s="550"/>
      <c r="I1456" s="326"/>
      <c r="J1456" s="326"/>
      <c r="K1456" s="326"/>
      <c r="M1456" s="463"/>
      <c r="N1456" s="464"/>
    </row>
    <row r="1457" spans="2:14" hidden="1" outlineLevel="1" x14ac:dyDescent="0.35">
      <c r="B1457" s="203"/>
      <c r="C1457" s="204"/>
      <c r="D1457" s="204"/>
      <c r="E1457" s="204"/>
      <c r="F1457" s="205"/>
      <c r="G1457" s="548"/>
      <c r="H1457" s="550"/>
      <c r="I1457" s="326"/>
      <c r="J1457" s="326"/>
      <c r="K1457" s="326"/>
      <c r="M1457" s="463"/>
      <c r="N1457" s="464"/>
    </row>
    <row r="1458" spans="2:14" hidden="1" outlineLevel="1" x14ac:dyDescent="0.35">
      <c r="B1458" s="203"/>
      <c r="C1458" s="204"/>
      <c r="D1458" s="204"/>
      <c r="E1458" s="204"/>
      <c r="F1458" s="205"/>
      <c r="G1458" s="548"/>
      <c r="H1458" s="550"/>
      <c r="I1458" s="326"/>
      <c r="J1458" s="326"/>
      <c r="K1458" s="326"/>
      <c r="M1458" s="463"/>
      <c r="N1458" s="464"/>
    </row>
    <row r="1459" spans="2:14" hidden="1" outlineLevel="1" x14ac:dyDescent="0.35">
      <c r="B1459" s="203"/>
      <c r="C1459" s="204"/>
      <c r="D1459" s="204"/>
      <c r="E1459" s="204"/>
      <c r="F1459" s="205"/>
      <c r="G1459" s="548"/>
      <c r="H1459" s="550"/>
      <c r="I1459" s="326"/>
      <c r="J1459" s="326"/>
      <c r="K1459" s="326"/>
      <c r="M1459" s="463"/>
      <c r="N1459" s="464"/>
    </row>
    <row r="1460" spans="2:14" hidden="1" outlineLevel="1" x14ac:dyDescent="0.35">
      <c r="B1460" s="203"/>
      <c r="C1460" s="204"/>
      <c r="D1460" s="204"/>
      <c r="E1460" s="204"/>
      <c r="F1460" s="205"/>
      <c r="G1460" s="548"/>
      <c r="H1460" s="550"/>
      <c r="I1460" s="326"/>
      <c r="J1460" s="326"/>
      <c r="K1460" s="326"/>
      <c r="M1460" s="463"/>
      <c r="N1460" s="464"/>
    </row>
    <row r="1461" spans="2:14" hidden="1" outlineLevel="1" x14ac:dyDescent="0.35">
      <c r="B1461" s="203"/>
      <c r="C1461" s="204"/>
      <c r="D1461" s="204"/>
      <c r="E1461" s="204"/>
      <c r="F1461" s="205"/>
      <c r="G1461" s="548"/>
      <c r="H1461" s="550"/>
      <c r="I1461" s="326"/>
      <c r="J1461" s="326"/>
      <c r="K1461" s="326"/>
      <c r="M1461" s="463"/>
      <c r="N1461" s="464"/>
    </row>
    <row r="1462" spans="2:14" hidden="1" outlineLevel="1" x14ac:dyDescent="0.35">
      <c r="B1462" s="203"/>
      <c r="C1462" s="204"/>
      <c r="D1462" s="204"/>
      <c r="E1462" s="204"/>
      <c r="F1462" s="205"/>
      <c r="G1462" s="548"/>
      <c r="H1462" s="550"/>
      <c r="I1462" s="326"/>
      <c r="J1462" s="326"/>
      <c r="K1462" s="326"/>
      <c r="M1462" s="463"/>
      <c r="N1462" s="464"/>
    </row>
    <row r="1463" spans="2:14" hidden="1" outlineLevel="1" x14ac:dyDescent="0.35">
      <c r="B1463" s="203"/>
      <c r="C1463" s="204"/>
      <c r="D1463" s="204"/>
      <c r="E1463" s="204"/>
      <c r="F1463" s="205"/>
      <c r="G1463" s="548"/>
      <c r="H1463" s="550"/>
      <c r="I1463" s="326"/>
      <c r="J1463" s="326"/>
      <c r="K1463" s="326"/>
      <c r="M1463" s="463"/>
      <c r="N1463" s="464"/>
    </row>
    <row r="1464" spans="2:14" hidden="1" outlineLevel="1" x14ac:dyDescent="0.35">
      <c r="B1464" s="203"/>
      <c r="C1464" s="204"/>
      <c r="D1464" s="204"/>
      <c r="E1464" s="204"/>
      <c r="F1464" s="205"/>
      <c r="G1464" s="548"/>
      <c r="H1464" s="550"/>
      <c r="I1464" s="326"/>
      <c r="J1464" s="326"/>
      <c r="K1464" s="326"/>
      <c r="M1464" s="463"/>
      <c r="N1464" s="464"/>
    </row>
    <row r="1465" spans="2:14" hidden="1" outlineLevel="1" x14ac:dyDescent="0.35">
      <c r="B1465" s="203"/>
      <c r="C1465" s="204"/>
      <c r="D1465" s="204"/>
      <c r="E1465" s="204"/>
      <c r="F1465" s="205"/>
      <c r="G1465" s="548"/>
      <c r="H1465" s="550"/>
      <c r="I1465" s="326"/>
      <c r="J1465" s="326"/>
      <c r="K1465" s="326"/>
      <c r="M1465" s="463"/>
      <c r="N1465" s="464"/>
    </row>
    <row r="1466" spans="2:14" hidden="1" outlineLevel="1" x14ac:dyDescent="0.35">
      <c r="B1466" s="203"/>
      <c r="C1466" s="204"/>
      <c r="D1466" s="204"/>
      <c r="E1466" s="204"/>
      <c r="F1466" s="205"/>
      <c r="G1466" s="548"/>
      <c r="H1466" s="550"/>
      <c r="I1466" s="326"/>
      <c r="J1466" s="326"/>
      <c r="K1466" s="326"/>
      <c r="M1466" s="463"/>
      <c r="N1466" s="464"/>
    </row>
    <row r="1467" spans="2:14" hidden="1" outlineLevel="1" x14ac:dyDescent="0.35">
      <c r="B1467" s="203"/>
      <c r="C1467" s="204"/>
      <c r="D1467" s="204"/>
      <c r="E1467" s="204"/>
      <c r="F1467" s="205"/>
      <c r="G1467" s="548"/>
      <c r="H1467" s="550"/>
      <c r="I1467" s="326"/>
      <c r="J1467" s="326"/>
      <c r="K1467" s="326"/>
      <c r="M1467" s="463"/>
      <c r="N1467" s="464"/>
    </row>
    <row r="1468" spans="2:14" hidden="1" outlineLevel="1" x14ac:dyDescent="0.35">
      <c r="B1468" s="203"/>
      <c r="C1468" s="204"/>
      <c r="D1468" s="204"/>
      <c r="E1468" s="204"/>
      <c r="F1468" s="205"/>
      <c r="G1468" s="548"/>
      <c r="H1468" s="550"/>
      <c r="I1468" s="326"/>
      <c r="J1468" s="326"/>
      <c r="K1468" s="326"/>
      <c r="M1468" s="463"/>
      <c r="N1468" s="464"/>
    </row>
    <row r="1469" spans="2:14" hidden="1" outlineLevel="1" x14ac:dyDescent="0.35">
      <c r="B1469" s="203"/>
      <c r="C1469" s="204"/>
      <c r="D1469" s="204"/>
      <c r="E1469" s="204"/>
      <c r="F1469" s="205"/>
      <c r="G1469" s="548"/>
      <c r="H1469" s="550"/>
      <c r="I1469" s="326"/>
      <c r="J1469" s="326"/>
      <c r="K1469" s="326"/>
      <c r="M1469" s="463"/>
      <c r="N1469" s="464"/>
    </row>
    <row r="1470" spans="2:14" hidden="1" outlineLevel="1" x14ac:dyDescent="0.35">
      <c r="B1470" s="203"/>
      <c r="C1470" s="204"/>
      <c r="D1470" s="204"/>
      <c r="E1470" s="204"/>
      <c r="F1470" s="205"/>
      <c r="G1470" s="548"/>
      <c r="H1470" s="550"/>
      <c r="I1470" s="326"/>
      <c r="J1470" s="326"/>
      <c r="K1470" s="326"/>
      <c r="M1470" s="463"/>
      <c r="N1470" s="464"/>
    </row>
    <row r="1471" spans="2:14" hidden="1" outlineLevel="1" x14ac:dyDescent="0.35">
      <c r="B1471" s="203"/>
      <c r="C1471" s="204"/>
      <c r="D1471" s="204"/>
      <c r="E1471" s="204"/>
      <c r="F1471" s="205"/>
      <c r="G1471" s="548"/>
      <c r="H1471" s="550"/>
      <c r="I1471" s="326"/>
      <c r="J1471" s="326"/>
      <c r="K1471" s="326"/>
      <c r="M1471" s="463"/>
      <c r="N1471" s="464"/>
    </row>
    <row r="1472" spans="2:14" hidden="1" outlineLevel="1" x14ac:dyDescent="0.35">
      <c r="B1472" s="203"/>
      <c r="C1472" s="204"/>
      <c r="D1472" s="204"/>
      <c r="E1472" s="204"/>
      <c r="F1472" s="205"/>
      <c r="G1472" s="548"/>
      <c r="H1472" s="550"/>
      <c r="I1472" s="326"/>
      <c r="J1472" s="326"/>
      <c r="K1472" s="326"/>
      <c r="M1472" s="463"/>
      <c r="N1472" s="464"/>
    </row>
    <row r="1473" spans="2:14" hidden="1" outlineLevel="1" x14ac:dyDescent="0.35">
      <c r="B1473" s="203"/>
      <c r="C1473" s="204"/>
      <c r="D1473" s="204"/>
      <c r="E1473" s="204"/>
      <c r="F1473" s="205"/>
      <c r="G1473" s="548"/>
      <c r="H1473" s="550"/>
      <c r="I1473" s="326"/>
      <c r="J1473" s="326"/>
      <c r="K1473" s="326"/>
      <c r="M1473" s="463"/>
      <c r="N1473" s="464"/>
    </row>
    <row r="1474" spans="2:14" hidden="1" outlineLevel="1" x14ac:dyDescent="0.35">
      <c r="B1474" s="203"/>
      <c r="C1474" s="204"/>
      <c r="D1474" s="204"/>
      <c r="E1474" s="204"/>
      <c r="F1474" s="205"/>
      <c r="G1474" s="548"/>
      <c r="H1474" s="550"/>
      <c r="I1474" s="326"/>
      <c r="J1474" s="326"/>
      <c r="K1474" s="326"/>
      <c r="M1474" s="463"/>
      <c r="N1474" s="464"/>
    </row>
    <row r="1475" spans="2:14" hidden="1" outlineLevel="1" x14ac:dyDescent="0.35">
      <c r="B1475" s="203"/>
      <c r="C1475" s="204"/>
      <c r="D1475" s="204"/>
      <c r="E1475" s="204"/>
      <c r="F1475" s="205"/>
      <c r="G1475" s="548"/>
      <c r="H1475" s="550"/>
      <c r="I1475" s="326"/>
      <c r="J1475" s="326"/>
      <c r="K1475" s="326"/>
      <c r="M1475" s="463"/>
      <c r="N1475" s="464"/>
    </row>
    <row r="1476" spans="2:14" hidden="1" outlineLevel="1" x14ac:dyDescent="0.35">
      <c r="B1476" s="203"/>
      <c r="C1476" s="204"/>
      <c r="D1476" s="204"/>
      <c r="E1476" s="204"/>
      <c r="F1476" s="205"/>
      <c r="G1476" s="548"/>
      <c r="H1476" s="550"/>
      <c r="I1476" s="326"/>
      <c r="J1476" s="326"/>
      <c r="K1476" s="326"/>
      <c r="M1476" s="463"/>
      <c r="N1476" s="464"/>
    </row>
    <row r="1477" spans="2:14" hidden="1" outlineLevel="1" x14ac:dyDescent="0.35">
      <c r="B1477" s="203"/>
      <c r="C1477" s="204"/>
      <c r="D1477" s="204"/>
      <c r="E1477" s="204"/>
      <c r="F1477" s="205"/>
      <c r="G1477" s="548"/>
      <c r="H1477" s="550"/>
      <c r="I1477" s="326"/>
      <c r="J1477" s="326"/>
      <c r="K1477" s="326"/>
      <c r="M1477" s="463"/>
      <c r="N1477" s="464"/>
    </row>
    <row r="1478" spans="2:14" hidden="1" outlineLevel="1" x14ac:dyDescent="0.35">
      <c r="B1478" s="203"/>
      <c r="C1478" s="204"/>
      <c r="D1478" s="204"/>
      <c r="E1478" s="204"/>
      <c r="F1478" s="205"/>
      <c r="G1478" s="548"/>
      <c r="H1478" s="550"/>
      <c r="I1478" s="326"/>
      <c r="J1478" s="326"/>
      <c r="K1478" s="326"/>
      <c r="M1478" s="463"/>
      <c r="N1478" s="464"/>
    </row>
    <row r="1479" spans="2:14" hidden="1" outlineLevel="1" x14ac:dyDescent="0.35">
      <c r="B1479" s="203"/>
      <c r="C1479" s="204"/>
      <c r="D1479" s="204"/>
      <c r="E1479" s="204"/>
      <c r="F1479" s="205"/>
      <c r="G1479" s="548"/>
      <c r="H1479" s="550"/>
      <c r="I1479" s="326"/>
      <c r="J1479" s="326"/>
      <c r="K1479" s="326"/>
      <c r="M1479" s="463"/>
      <c r="N1479" s="464"/>
    </row>
    <row r="1480" spans="2:14" hidden="1" outlineLevel="1" x14ac:dyDescent="0.35">
      <c r="B1480" s="203"/>
      <c r="C1480" s="204"/>
      <c r="D1480" s="204"/>
      <c r="E1480" s="204"/>
      <c r="F1480" s="205"/>
      <c r="G1480" s="548"/>
      <c r="H1480" s="550"/>
      <c r="I1480" s="326"/>
      <c r="J1480" s="326"/>
      <c r="K1480" s="326"/>
      <c r="M1480" s="463"/>
      <c r="N1480" s="464"/>
    </row>
    <row r="1481" spans="2:14" hidden="1" outlineLevel="1" x14ac:dyDescent="0.35">
      <c r="B1481" s="203"/>
      <c r="C1481" s="204"/>
      <c r="D1481" s="204"/>
      <c r="E1481" s="204"/>
      <c r="F1481" s="205"/>
      <c r="G1481" s="548"/>
      <c r="H1481" s="550"/>
      <c r="I1481" s="326"/>
      <c r="J1481" s="326"/>
      <c r="K1481" s="326"/>
      <c r="M1481" s="463"/>
      <c r="N1481" s="464"/>
    </row>
    <row r="1482" spans="2:14" hidden="1" outlineLevel="1" x14ac:dyDescent="0.35">
      <c r="B1482" s="203"/>
      <c r="C1482" s="204"/>
      <c r="D1482" s="204"/>
      <c r="E1482" s="204"/>
      <c r="F1482" s="205"/>
      <c r="G1482" s="548"/>
      <c r="H1482" s="550"/>
      <c r="I1482" s="326"/>
      <c r="J1482" s="326"/>
      <c r="K1482" s="326"/>
      <c r="M1482" s="463"/>
      <c r="N1482" s="464"/>
    </row>
    <row r="1483" spans="2:14" hidden="1" outlineLevel="1" x14ac:dyDescent="0.35">
      <c r="B1483" s="203"/>
      <c r="C1483" s="204"/>
      <c r="D1483" s="204"/>
      <c r="E1483" s="204"/>
      <c r="F1483" s="205"/>
      <c r="G1483" s="548"/>
      <c r="H1483" s="550"/>
      <c r="I1483" s="326"/>
      <c r="J1483" s="326"/>
      <c r="K1483" s="326"/>
      <c r="M1483" s="463"/>
      <c r="N1483" s="464"/>
    </row>
    <row r="1484" spans="2:14" hidden="1" outlineLevel="1" x14ac:dyDescent="0.35">
      <c r="B1484" s="203"/>
      <c r="C1484" s="204"/>
      <c r="D1484" s="204"/>
      <c r="E1484" s="204"/>
      <c r="F1484" s="205"/>
      <c r="G1484" s="548"/>
      <c r="H1484" s="550"/>
      <c r="I1484" s="326"/>
      <c r="J1484" s="326"/>
      <c r="K1484" s="326"/>
      <c r="M1484" s="463"/>
      <c r="N1484" s="464"/>
    </row>
    <row r="1485" spans="2:14" hidden="1" outlineLevel="1" x14ac:dyDescent="0.35">
      <c r="B1485" s="203"/>
      <c r="C1485" s="204"/>
      <c r="D1485" s="204"/>
      <c r="E1485" s="204"/>
      <c r="F1485" s="205"/>
      <c r="G1485" s="548"/>
      <c r="H1485" s="550"/>
      <c r="I1485" s="326"/>
      <c r="J1485" s="326"/>
      <c r="K1485" s="326"/>
      <c r="M1485" s="463"/>
      <c r="N1485" s="464"/>
    </row>
    <row r="1486" spans="2:14" hidden="1" outlineLevel="1" x14ac:dyDescent="0.35">
      <c r="B1486" s="203"/>
      <c r="C1486" s="204"/>
      <c r="D1486" s="204"/>
      <c r="E1486" s="204"/>
      <c r="F1486" s="205"/>
      <c r="G1486" s="548"/>
      <c r="H1486" s="550"/>
      <c r="I1486" s="326"/>
      <c r="J1486" s="326"/>
      <c r="K1486" s="326"/>
      <c r="M1486" s="463"/>
      <c r="N1486" s="464"/>
    </row>
    <row r="1487" spans="2:14" hidden="1" outlineLevel="1" x14ac:dyDescent="0.35">
      <c r="B1487" s="203"/>
      <c r="C1487" s="204"/>
      <c r="D1487" s="204"/>
      <c r="E1487" s="204"/>
      <c r="F1487" s="205"/>
      <c r="G1487" s="548"/>
      <c r="H1487" s="550"/>
      <c r="I1487" s="326"/>
      <c r="J1487" s="326"/>
      <c r="K1487" s="326"/>
      <c r="M1487" s="463"/>
      <c r="N1487" s="464"/>
    </row>
    <row r="1488" spans="2:14" hidden="1" outlineLevel="1" x14ac:dyDescent="0.35">
      <c r="B1488" s="203"/>
      <c r="C1488" s="204"/>
      <c r="D1488" s="204"/>
      <c r="E1488" s="204"/>
      <c r="F1488" s="205"/>
      <c r="G1488" s="548"/>
      <c r="H1488" s="550"/>
      <c r="I1488" s="326"/>
      <c r="J1488" s="326"/>
      <c r="K1488" s="326"/>
      <c r="M1488" s="463"/>
      <c r="N1488" s="464"/>
    </row>
    <row r="1489" spans="2:14" hidden="1" outlineLevel="1" x14ac:dyDescent="0.35">
      <c r="B1489" s="203"/>
      <c r="C1489" s="204"/>
      <c r="D1489" s="204"/>
      <c r="E1489" s="204"/>
      <c r="F1489" s="205"/>
      <c r="G1489" s="548"/>
      <c r="H1489" s="550"/>
      <c r="I1489" s="326"/>
      <c r="J1489" s="326"/>
      <c r="K1489" s="326"/>
      <c r="M1489" s="463"/>
      <c r="N1489" s="464"/>
    </row>
    <row r="1490" spans="2:14" hidden="1" outlineLevel="1" x14ac:dyDescent="0.35">
      <c r="B1490" s="203"/>
      <c r="C1490" s="204"/>
      <c r="D1490" s="204"/>
      <c r="E1490" s="204"/>
      <c r="F1490" s="205"/>
      <c r="G1490" s="548"/>
      <c r="H1490" s="550"/>
      <c r="I1490" s="326"/>
      <c r="J1490" s="326"/>
      <c r="K1490" s="326"/>
      <c r="M1490" s="463"/>
      <c r="N1490" s="464"/>
    </row>
    <row r="1491" spans="2:14" hidden="1" outlineLevel="1" x14ac:dyDescent="0.35">
      <c r="B1491" s="203"/>
      <c r="C1491" s="204"/>
      <c r="D1491" s="204"/>
      <c r="E1491" s="204"/>
      <c r="F1491" s="205"/>
      <c r="G1491" s="548"/>
      <c r="H1491" s="550"/>
      <c r="I1491" s="326"/>
      <c r="J1491" s="326"/>
      <c r="K1491" s="326"/>
      <c r="M1491" s="463"/>
      <c r="N1491" s="464"/>
    </row>
    <row r="1492" spans="2:14" hidden="1" outlineLevel="1" x14ac:dyDescent="0.35">
      <c r="B1492" s="203"/>
      <c r="C1492" s="204"/>
      <c r="D1492" s="204"/>
      <c r="E1492" s="204"/>
      <c r="F1492" s="205"/>
      <c r="G1492" s="548"/>
      <c r="H1492" s="550"/>
      <c r="I1492" s="326"/>
      <c r="J1492" s="326"/>
      <c r="K1492" s="326"/>
      <c r="M1492" s="463"/>
      <c r="N1492" s="464"/>
    </row>
    <row r="1493" spans="2:14" hidden="1" outlineLevel="1" x14ac:dyDescent="0.35">
      <c r="B1493" s="203"/>
      <c r="C1493" s="204"/>
      <c r="D1493" s="204"/>
      <c r="E1493" s="204"/>
      <c r="F1493" s="205"/>
      <c r="G1493" s="548"/>
      <c r="H1493" s="550"/>
      <c r="I1493" s="326"/>
      <c r="J1493" s="326"/>
      <c r="K1493" s="326"/>
      <c r="M1493" s="463"/>
      <c r="N1493" s="464"/>
    </row>
    <row r="1494" spans="2:14" hidden="1" outlineLevel="1" x14ac:dyDescent="0.35">
      <c r="B1494" s="203"/>
      <c r="C1494" s="204"/>
      <c r="D1494" s="204"/>
      <c r="E1494" s="204"/>
      <c r="F1494" s="205"/>
      <c r="G1494" s="548"/>
      <c r="H1494" s="550"/>
      <c r="I1494" s="326"/>
      <c r="J1494" s="326"/>
      <c r="K1494" s="326"/>
      <c r="M1494" s="463"/>
      <c r="N1494" s="464"/>
    </row>
    <row r="1495" spans="2:14" hidden="1" outlineLevel="1" x14ac:dyDescent="0.35">
      <c r="B1495" s="203"/>
      <c r="C1495" s="204"/>
      <c r="D1495" s="204"/>
      <c r="E1495" s="204"/>
      <c r="F1495" s="205"/>
      <c r="G1495" s="548"/>
      <c r="H1495" s="550"/>
      <c r="I1495" s="326"/>
      <c r="J1495" s="326"/>
      <c r="K1495" s="326"/>
      <c r="M1495" s="463"/>
      <c r="N1495" s="464"/>
    </row>
    <row r="1496" spans="2:14" hidden="1" outlineLevel="1" x14ac:dyDescent="0.35">
      <c r="B1496" s="203"/>
      <c r="C1496" s="204"/>
      <c r="D1496" s="204"/>
      <c r="E1496" s="204"/>
      <c r="F1496" s="205"/>
      <c r="G1496" s="548"/>
      <c r="H1496" s="550"/>
      <c r="I1496" s="326"/>
      <c r="J1496" s="326"/>
      <c r="K1496" s="326"/>
      <c r="M1496" s="463"/>
      <c r="N1496" s="464"/>
    </row>
    <row r="1497" spans="2:14" hidden="1" outlineLevel="1" x14ac:dyDescent="0.35">
      <c r="B1497" s="203"/>
      <c r="C1497" s="204"/>
      <c r="D1497" s="204"/>
      <c r="E1497" s="204"/>
      <c r="F1497" s="205"/>
      <c r="G1497" s="548"/>
      <c r="H1497" s="550"/>
      <c r="I1497" s="326"/>
      <c r="J1497" s="326"/>
      <c r="K1497" s="326"/>
      <c r="M1497" s="463"/>
      <c r="N1497" s="464"/>
    </row>
    <row r="1498" spans="2:14" hidden="1" outlineLevel="1" x14ac:dyDescent="0.35">
      <c r="B1498" s="203"/>
      <c r="C1498" s="204"/>
      <c r="D1498" s="204"/>
      <c r="E1498" s="204"/>
      <c r="F1498" s="205"/>
      <c r="G1498" s="548"/>
      <c r="H1498" s="550"/>
      <c r="I1498" s="326"/>
      <c r="J1498" s="326"/>
      <c r="K1498" s="326"/>
      <c r="M1498" s="463"/>
      <c r="N1498" s="464"/>
    </row>
    <row r="1499" spans="2:14" hidden="1" outlineLevel="1" x14ac:dyDescent="0.35">
      <c r="B1499" s="203"/>
      <c r="C1499" s="204"/>
      <c r="D1499" s="204"/>
      <c r="E1499" s="204"/>
      <c r="F1499" s="205"/>
      <c r="G1499" s="548"/>
      <c r="H1499" s="550"/>
      <c r="I1499" s="326"/>
      <c r="J1499" s="326"/>
      <c r="K1499" s="326"/>
      <c r="M1499" s="463"/>
      <c r="N1499" s="464"/>
    </row>
    <row r="1500" spans="2:14" hidden="1" outlineLevel="1" x14ac:dyDescent="0.35">
      <c r="B1500" s="203"/>
      <c r="C1500" s="204"/>
      <c r="D1500" s="204"/>
      <c r="E1500" s="204"/>
      <c r="F1500" s="205"/>
      <c r="G1500" s="548"/>
      <c r="H1500" s="550"/>
      <c r="I1500" s="326"/>
      <c r="J1500" s="326"/>
      <c r="K1500" s="326"/>
      <c r="M1500" s="463"/>
      <c r="N1500" s="464"/>
    </row>
    <row r="1501" spans="2:14" hidden="1" outlineLevel="1" x14ac:dyDescent="0.35">
      <c r="B1501" s="203"/>
      <c r="C1501" s="204"/>
      <c r="D1501" s="204"/>
      <c r="E1501" s="204"/>
      <c r="F1501" s="205"/>
      <c r="G1501" s="548"/>
      <c r="H1501" s="550"/>
      <c r="I1501" s="326"/>
      <c r="J1501" s="326"/>
      <c r="K1501" s="326"/>
      <c r="M1501" s="463"/>
      <c r="N1501" s="464"/>
    </row>
    <row r="1502" spans="2:14" hidden="1" outlineLevel="1" x14ac:dyDescent="0.35">
      <c r="B1502" s="203"/>
      <c r="C1502" s="204"/>
      <c r="D1502" s="204"/>
      <c r="E1502" s="204"/>
      <c r="F1502" s="205"/>
      <c r="G1502" s="548"/>
      <c r="H1502" s="550"/>
      <c r="I1502" s="326"/>
      <c r="J1502" s="326"/>
      <c r="K1502" s="326"/>
      <c r="M1502" s="463"/>
      <c r="N1502" s="464"/>
    </row>
    <row r="1503" spans="2:14" hidden="1" outlineLevel="1" x14ac:dyDescent="0.35">
      <c r="B1503" s="203"/>
      <c r="C1503" s="204"/>
      <c r="D1503" s="204"/>
      <c r="E1503" s="204"/>
      <c r="F1503" s="205"/>
      <c r="G1503" s="548"/>
      <c r="H1503" s="550"/>
      <c r="I1503" s="326"/>
      <c r="J1503" s="326"/>
      <c r="K1503" s="326"/>
      <c r="M1503" s="463"/>
      <c r="N1503" s="464"/>
    </row>
    <row r="1504" spans="2:14" hidden="1" outlineLevel="1" x14ac:dyDescent="0.35">
      <c r="B1504" s="203"/>
      <c r="C1504" s="204"/>
      <c r="D1504" s="204"/>
      <c r="E1504" s="204"/>
      <c r="F1504" s="205"/>
      <c r="G1504" s="548"/>
      <c r="H1504" s="550"/>
      <c r="I1504" s="326"/>
      <c r="J1504" s="326"/>
      <c r="K1504" s="326"/>
      <c r="M1504" s="463"/>
      <c r="N1504" s="464"/>
    </row>
    <row r="1505" spans="2:14" hidden="1" outlineLevel="1" x14ac:dyDescent="0.35">
      <c r="B1505" s="203"/>
      <c r="C1505" s="204"/>
      <c r="D1505" s="204"/>
      <c r="E1505" s="204"/>
      <c r="F1505" s="205"/>
      <c r="G1505" s="548"/>
      <c r="H1505" s="550"/>
      <c r="I1505" s="326"/>
      <c r="J1505" s="326"/>
      <c r="K1505" s="326"/>
      <c r="M1505" s="463"/>
      <c r="N1505" s="464"/>
    </row>
    <row r="1506" spans="2:14" hidden="1" outlineLevel="1" x14ac:dyDescent="0.35">
      <c r="B1506" s="203"/>
      <c r="C1506" s="204"/>
      <c r="D1506" s="204"/>
      <c r="E1506" s="204"/>
      <c r="F1506" s="205"/>
      <c r="G1506" s="548"/>
      <c r="H1506" s="550"/>
      <c r="I1506" s="326"/>
      <c r="J1506" s="326"/>
      <c r="K1506" s="326"/>
      <c r="M1506" s="463"/>
      <c r="N1506" s="464"/>
    </row>
    <row r="1507" spans="2:14" hidden="1" outlineLevel="1" x14ac:dyDescent="0.35">
      <c r="B1507" s="203"/>
      <c r="C1507" s="204"/>
      <c r="D1507" s="204"/>
      <c r="E1507" s="204"/>
      <c r="F1507" s="205"/>
      <c r="G1507" s="548"/>
      <c r="H1507" s="550"/>
      <c r="I1507" s="326"/>
      <c r="J1507" s="326"/>
      <c r="K1507" s="326"/>
      <c r="M1507" s="463"/>
      <c r="N1507" s="464"/>
    </row>
    <row r="1508" spans="2:14" hidden="1" outlineLevel="1" x14ac:dyDescent="0.35">
      <c r="B1508" s="203"/>
      <c r="C1508" s="204"/>
      <c r="D1508" s="204"/>
      <c r="E1508" s="204"/>
      <c r="F1508" s="205"/>
      <c r="G1508" s="548"/>
      <c r="H1508" s="550"/>
      <c r="I1508" s="326"/>
      <c r="J1508" s="326"/>
      <c r="K1508" s="326"/>
      <c r="M1508" s="463"/>
      <c r="N1508" s="464"/>
    </row>
    <row r="1509" spans="2:14" hidden="1" outlineLevel="1" x14ac:dyDescent="0.35">
      <c r="B1509" s="203"/>
      <c r="C1509" s="204"/>
      <c r="D1509" s="204"/>
      <c r="E1509" s="204"/>
      <c r="F1509" s="205"/>
      <c r="G1509" s="548"/>
      <c r="H1509" s="550"/>
      <c r="I1509" s="326"/>
      <c r="J1509" s="326"/>
      <c r="K1509" s="326"/>
      <c r="M1509" s="463"/>
      <c r="N1509" s="464"/>
    </row>
    <row r="1510" spans="2:14" hidden="1" outlineLevel="1" x14ac:dyDescent="0.35">
      <c r="B1510" s="203"/>
      <c r="C1510" s="204"/>
      <c r="D1510" s="204"/>
      <c r="E1510" s="204"/>
      <c r="F1510" s="205"/>
      <c r="G1510" s="548"/>
      <c r="H1510" s="550"/>
      <c r="I1510" s="326"/>
      <c r="J1510" s="326"/>
      <c r="K1510" s="326"/>
      <c r="M1510" s="463"/>
      <c r="N1510" s="464"/>
    </row>
    <row r="1511" spans="2:14" hidden="1" outlineLevel="1" x14ac:dyDescent="0.35">
      <c r="B1511" s="203"/>
      <c r="C1511" s="204"/>
      <c r="D1511" s="204"/>
      <c r="E1511" s="204"/>
      <c r="F1511" s="205"/>
      <c r="G1511" s="548"/>
      <c r="H1511" s="550"/>
      <c r="I1511" s="326"/>
      <c r="J1511" s="326"/>
      <c r="K1511" s="326"/>
      <c r="M1511" s="463"/>
      <c r="N1511" s="464"/>
    </row>
    <row r="1512" spans="2:14" hidden="1" outlineLevel="1" x14ac:dyDescent="0.35">
      <c r="B1512" s="203"/>
      <c r="C1512" s="204"/>
      <c r="D1512" s="204"/>
      <c r="E1512" s="204"/>
      <c r="F1512" s="205"/>
      <c r="G1512" s="548"/>
      <c r="H1512" s="550"/>
      <c r="I1512" s="326"/>
      <c r="J1512" s="326"/>
      <c r="K1512" s="326"/>
      <c r="M1512" s="463"/>
      <c r="N1512" s="464"/>
    </row>
    <row r="1513" spans="2:14" hidden="1" outlineLevel="1" x14ac:dyDescent="0.35">
      <c r="B1513" s="203"/>
      <c r="C1513" s="204"/>
      <c r="D1513" s="204"/>
      <c r="E1513" s="204"/>
      <c r="F1513" s="205"/>
      <c r="G1513" s="548"/>
      <c r="H1513" s="550"/>
      <c r="I1513" s="326"/>
      <c r="J1513" s="326"/>
      <c r="K1513" s="326"/>
      <c r="M1513" s="463"/>
      <c r="N1513" s="464"/>
    </row>
    <row r="1514" spans="2:14" hidden="1" outlineLevel="1" x14ac:dyDescent="0.35">
      <c r="B1514" s="203"/>
      <c r="C1514" s="204"/>
      <c r="D1514" s="204"/>
      <c r="E1514" s="204"/>
      <c r="F1514" s="205"/>
      <c r="G1514" s="548"/>
      <c r="H1514" s="550"/>
      <c r="I1514" s="326"/>
      <c r="J1514" s="326"/>
      <c r="K1514" s="326"/>
      <c r="M1514" s="463"/>
      <c r="N1514" s="464"/>
    </row>
    <row r="1515" spans="2:14" hidden="1" outlineLevel="1" x14ac:dyDescent="0.35">
      <c r="B1515" s="203"/>
      <c r="C1515" s="204"/>
      <c r="D1515" s="204"/>
      <c r="E1515" s="204"/>
      <c r="F1515" s="205"/>
      <c r="G1515" s="548"/>
      <c r="H1515" s="550"/>
      <c r="I1515" s="326"/>
      <c r="J1515" s="326"/>
      <c r="K1515" s="326"/>
      <c r="M1515" s="463"/>
      <c r="N1515" s="464"/>
    </row>
    <row r="1516" spans="2:14" hidden="1" outlineLevel="1" x14ac:dyDescent="0.35">
      <c r="B1516" s="203"/>
      <c r="C1516" s="204"/>
      <c r="D1516" s="204"/>
      <c r="E1516" s="204"/>
      <c r="F1516" s="205"/>
      <c r="G1516" s="548"/>
      <c r="H1516" s="550"/>
      <c r="I1516" s="326"/>
      <c r="J1516" s="326"/>
      <c r="K1516" s="326"/>
      <c r="M1516" s="463"/>
      <c r="N1516" s="464"/>
    </row>
    <row r="1517" spans="2:14" hidden="1" outlineLevel="1" x14ac:dyDescent="0.35">
      <c r="B1517" s="203"/>
      <c r="C1517" s="204"/>
      <c r="D1517" s="204"/>
      <c r="E1517" s="204"/>
      <c r="F1517" s="205"/>
      <c r="G1517" s="548"/>
      <c r="H1517" s="550"/>
      <c r="I1517" s="326"/>
      <c r="J1517" s="326"/>
      <c r="K1517" s="326"/>
      <c r="M1517" s="463"/>
      <c r="N1517" s="464"/>
    </row>
    <row r="1518" spans="2:14" hidden="1" outlineLevel="1" x14ac:dyDescent="0.35">
      <c r="B1518" s="203"/>
      <c r="C1518" s="204"/>
      <c r="D1518" s="204"/>
      <c r="E1518" s="204"/>
      <c r="F1518" s="205"/>
      <c r="G1518" s="548"/>
      <c r="H1518" s="550"/>
      <c r="I1518" s="326"/>
      <c r="J1518" s="326"/>
      <c r="K1518" s="326"/>
      <c r="M1518" s="463"/>
      <c r="N1518" s="464"/>
    </row>
    <row r="1519" spans="2:14" hidden="1" outlineLevel="1" x14ac:dyDescent="0.35">
      <c r="B1519" s="203"/>
      <c r="C1519" s="204"/>
      <c r="D1519" s="204"/>
      <c r="E1519" s="204"/>
      <c r="F1519" s="205"/>
      <c r="G1519" s="548"/>
      <c r="H1519" s="550"/>
      <c r="I1519" s="326"/>
      <c r="J1519" s="326"/>
      <c r="K1519" s="326"/>
      <c r="M1519" s="463"/>
      <c r="N1519" s="464"/>
    </row>
    <row r="1520" spans="2:14" hidden="1" outlineLevel="1" x14ac:dyDescent="0.35">
      <c r="B1520" s="203"/>
      <c r="C1520" s="204"/>
      <c r="D1520" s="204"/>
      <c r="E1520" s="204"/>
      <c r="F1520" s="205"/>
      <c r="G1520" s="548"/>
      <c r="H1520" s="550"/>
      <c r="I1520" s="326"/>
      <c r="J1520" s="326"/>
      <c r="K1520" s="326"/>
      <c r="M1520" s="463"/>
      <c r="N1520" s="464"/>
    </row>
    <row r="1521" spans="2:14" hidden="1" outlineLevel="1" x14ac:dyDescent="0.35">
      <c r="B1521" s="203"/>
      <c r="C1521" s="204"/>
      <c r="D1521" s="204"/>
      <c r="E1521" s="204"/>
      <c r="F1521" s="205"/>
      <c r="G1521" s="548"/>
      <c r="H1521" s="550"/>
      <c r="I1521" s="326"/>
      <c r="J1521" s="326"/>
      <c r="K1521" s="326"/>
      <c r="M1521" s="463"/>
      <c r="N1521" s="464"/>
    </row>
    <row r="1522" spans="2:14" hidden="1" outlineLevel="1" x14ac:dyDescent="0.35">
      <c r="B1522" s="203"/>
      <c r="C1522" s="204"/>
      <c r="D1522" s="204"/>
      <c r="E1522" s="204"/>
      <c r="F1522" s="205"/>
      <c r="G1522" s="548"/>
      <c r="H1522" s="550"/>
      <c r="I1522" s="326"/>
      <c r="J1522" s="326"/>
      <c r="K1522" s="326"/>
      <c r="M1522" s="463"/>
      <c r="N1522" s="464"/>
    </row>
    <row r="1523" spans="2:14" hidden="1" outlineLevel="1" x14ac:dyDescent="0.35">
      <c r="B1523" s="203"/>
      <c r="C1523" s="204"/>
      <c r="D1523" s="204"/>
      <c r="E1523" s="204"/>
      <c r="F1523" s="205"/>
      <c r="G1523" s="548"/>
      <c r="H1523" s="550"/>
      <c r="I1523" s="326"/>
      <c r="J1523" s="326"/>
      <c r="K1523" s="326"/>
      <c r="M1523" s="463"/>
      <c r="N1523" s="464"/>
    </row>
    <row r="1524" spans="2:14" hidden="1" outlineLevel="1" x14ac:dyDescent="0.35">
      <c r="B1524" s="203"/>
      <c r="C1524" s="204"/>
      <c r="D1524" s="204"/>
      <c r="E1524" s="204"/>
      <c r="F1524" s="205"/>
      <c r="G1524" s="548"/>
      <c r="H1524" s="550"/>
      <c r="I1524" s="326"/>
      <c r="J1524" s="326"/>
      <c r="K1524" s="326"/>
      <c r="M1524" s="463"/>
      <c r="N1524" s="464"/>
    </row>
    <row r="1525" spans="2:14" hidden="1" outlineLevel="1" x14ac:dyDescent="0.35">
      <c r="B1525" s="203"/>
      <c r="C1525" s="204"/>
      <c r="D1525" s="204"/>
      <c r="E1525" s="204"/>
      <c r="F1525" s="205"/>
      <c r="G1525" s="548"/>
      <c r="H1525" s="550"/>
      <c r="I1525" s="326"/>
      <c r="J1525" s="326"/>
      <c r="K1525" s="326"/>
      <c r="M1525" s="463"/>
      <c r="N1525" s="464"/>
    </row>
    <row r="1526" spans="2:14" hidden="1" outlineLevel="1" x14ac:dyDescent="0.35">
      <c r="B1526" s="203"/>
      <c r="C1526" s="204"/>
      <c r="D1526" s="204"/>
      <c r="E1526" s="204"/>
      <c r="F1526" s="205"/>
      <c r="G1526" s="548"/>
      <c r="H1526" s="550"/>
      <c r="I1526" s="326"/>
      <c r="J1526" s="326"/>
      <c r="K1526" s="326"/>
      <c r="M1526" s="463"/>
      <c r="N1526" s="464"/>
    </row>
    <row r="1527" spans="2:14" hidden="1" outlineLevel="1" x14ac:dyDescent="0.35">
      <c r="B1527" s="203"/>
      <c r="C1527" s="204"/>
      <c r="D1527" s="204"/>
      <c r="E1527" s="204"/>
      <c r="F1527" s="205"/>
      <c r="G1527" s="548"/>
      <c r="H1527" s="550"/>
      <c r="I1527" s="326"/>
      <c r="J1527" s="326"/>
      <c r="K1527" s="326"/>
      <c r="M1527" s="463"/>
      <c r="N1527" s="464"/>
    </row>
    <row r="1528" spans="2:14" hidden="1" outlineLevel="1" x14ac:dyDescent="0.35">
      <c r="B1528" s="203"/>
      <c r="C1528" s="204"/>
      <c r="D1528" s="204"/>
      <c r="E1528" s="204"/>
      <c r="F1528" s="205"/>
      <c r="G1528" s="548"/>
      <c r="H1528" s="550"/>
      <c r="I1528" s="326"/>
      <c r="J1528" s="326"/>
      <c r="K1528" s="326"/>
      <c r="M1528" s="463"/>
      <c r="N1528" s="464"/>
    </row>
    <row r="1529" spans="2:14" hidden="1" outlineLevel="1" x14ac:dyDescent="0.35">
      <c r="B1529" s="203"/>
      <c r="C1529" s="204"/>
      <c r="D1529" s="204"/>
      <c r="E1529" s="204"/>
      <c r="F1529" s="205"/>
      <c r="G1529" s="548"/>
      <c r="H1529" s="550"/>
      <c r="I1529" s="326"/>
      <c r="J1529" s="326"/>
      <c r="K1529" s="326"/>
      <c r="M1529" s="463"/>
      <c r="N1529" s="464"/>
    </row>
    <row r="1530" spans="2:14" hidden="1" outlineLevel="1" x14ac:dyDescent="0.35">
      <c r="B1530" s="203"/>
      <c r="C1530" s="204"/>
      <c r="D1530" s="204"/>
      <c r="E1530" s="204"/>
      <c r="F1530" s="205"/>
      <c r="G1530" s="548"/>
      <c r="H1530" s="550"/>
      <c r="I1530" s="326"/>
      <c r="J1530" s="326"/>
      <c r="K1530" s="326"/>
      <c r="M1530" s="463"/>
      <c r="N1530" s="464"/>
    </row>
    <row r="1531" spans="2:14" hidden="1" outlineLevel="1" x14ac:dyDescent="0.35">
      <c r="B1531" s="203"/>
      <c r="C1531" s="204"/>
      <c r="D1531" s="204"/>
      <c r="E1531" s="204"/>
      <c r="F1531" s="205"/>
      <c r="G1531" s="548"/>
      <c r="H1531" s="550"/>
      <c r="I1531" s="326"/>
      <c r="J1531" s="326"/>
      <c r="K1531" s="326"/>
      <c r="M1531" s="463"/>
      <c r="N1531" s="464"/>
    </row>
    <row r="1532" spans="2:14" hidden="1" outlineLevel="1" x14ac:dyDescent="0.35">
      <c r="B1532" s="203"/>
      <c r="C1532" s="204"/>
      <c r="D1532" s="204"/>
      <c r="E1532" s="204"/>
      <c r="F1532" s="205"/>
      <c r="G1532" s="548"/>
      <c r="H1532" s="550"/>
      <c r="I1532" s="326"/>
      <c r="J1532" s="326"/>
      <c r="K1532" s="326"/>
      <c r="M1532" s="463"/>
      <c r="N1532" s="464"/>
    </row>
    <row r="1533" spans="2:14" hidden="1" outlineLevel="1" x14ac:dyDescent="0.35">
      <c r="B1533" s="203"/>
      <c r="C1533" s="204"/>
      <c r="D1533" s="204"/>
      <c r="E1533" s="204"/>
      <c r="F1533" s="205"/>
      <c r="G1533" s="548"/>
      <c r="H1533" s="550"/>
      <c r="I1533" s="326"/>
      <c r="J1533" s="326"/>
      <c r="K1533" s="326"/>
      <c r="M1533" s="463"/>
      <c r="N1533" s="464"/>
    </row>
    <row r="1534" spans="2:14" hidden="1" outlineLevel="1" x14ac:dyDescent="0.35">
      <c r="B1534" s="203"/>
      <c r="C1534" s="204"/>
      <c r="D1534" s="204"/>
      <c r="E1534" s="204"/>
      <c r="F1534" s="205"/>
      <c r="G1534" s="548"/>
      <c r="H1534" s="550"/>
      <c r="I1534" s="326"/>
      <c r="J1534" s="326"/>
      <c r="K1534" s="326"/>
      <c r="M1534" s="463"/>
      <c r="N1534" s="464"/>
    </row>
    <row r="1535" spans="2:14" hidden="1" outlineLevel="1" x14ac:dyDescent="0.35">
      <c r="B1535" s="203"/>
      <c r="C1535" s="204"/>
      <c r="D1535" s="204"/>
      <c r="E1535" s="204"/>
      <c r="F1535" s="205"/>
      <c r="G1535" s="548"/>
      <c r="H1535" s="550"/>
      <c r="I1535" s="326"/>
      <c r="J1535" s="326"/>
      <c r="K1535" s="326"/>
      <c r="M1535" s="463"/>
      <c r="N1535" s="464"/>
    </row>
    <row r="1536" spans="2:14" hidden="1" outlineLevel="1" x14ac:dyDescent="0.35">
      <c r="B1536" s="203"/>
      <c r="C1536" s="204"/>
      <c r="D1536" s="204"/>
      <c r="E1536" s="204"/>
      <c r="F1536" s="205"/>
      <c r="G1536" s="548"/>
      <c r="H1536" s="550"/>
      <c r="I1536" s="326"/>
      <c r="J1536" s="326"/>
      <c r="K1536" s="326"/>
      <c r="M1536" s="463"/>
      <c r="N1536" s="464"/>
    </row>
    <row r="1537" spans="2:14" hidden="1" outlineLevel="1" x14ac:dyDescent="0.35">
      <c r="B1537" s="203"/>
      <c r="C1537" s="204"/>
      <c r="D1537" s="204"/>
      <c r="E1537" s="204"/>
      <c r="F1537" s="205"/>
      <c r="G1537" s="548"/>
      <c r="H1537" s="550"/>
      <c r="I1537" s="326"/>
      <c r="J1537" s="326"/>
      <c r="K1537" s="326"/>
      <c r="M1537" s="463"/>
      <c r="N1537" s="464"/>
    </row>
    <row r="1538" spans="2:14" hidden="1" outlineLevel="1" x14ac:dyDescent="0.35">
      <c r="B1538" s="203"/>
      <c r="C1538" s="204"/>
      <c r="D1538" s="204"/>
      <c r="E1538" s="204"/>
      <c r="F1538" s="205"/>
      <c r="G1538" s="548"/>
      <c r="H1538" s="550"/>
      <c r="I1538" s="326"/>
      <c r="J1538" s="326"/>
      <c r="K1538" s="326"/>
      <c r="M1538" s="463"/>
      <c r="N1538" s="464"/>
    </row>
    <row r="1539" spans="2:14" hidden="1" outlineLevel="1" x14ac:dyDescent="0.35">
      <c r="B1539" s="203"/>
      <c r="C1539" s="204"/>
      <c r="D1539" s="204"/>
      <c r="E1539" s="204"/>
      <c r="F1539" s="205"/>
      <c r="G1539" s="548"/>
      <c r="H1539" s="550"/>
      <c r="I1539" s="326"/>
      <c r="J1539" s="326"/>
      <c r="K1539" s="326"/>
      <c r="M1539" s="463"/>
      <c r="N1539" s="464"/>
    </row>
    <row r="1540" spans="2:14" hidden="1" outlineLevel="1" x14ac:dyDescent="0.35">
      <c r="B1540" s="203"/>
      <c r="C1540" s="204"/>
      <c r="D1540" s="204"/>
      <c r="E1540" s="204"/>
      <c r="F1540" s="205"/>
      <c r="G1540" s="548"/>
      <c r="H1540" s="550"/>
      <c r="I1540" s="326"/>
      <c r="J1540" s="326"/>
      <c r="K1540" s="326"/>
      <c r="M1540" s="463"/>
      <c r="N1540" s="464"/>
    </row>
    <row r="1541" spans="2:14" hidden="1" outlineLevel="1" x14ac:dyDescent="0.35">
      <c r="B1541" s="203"/>
      <c r="C1541" s="204"/>
      <c r="D1541" s="204"/>
      <c r="E1541" s="204"/>
      <c r="F1541" s="205"/>
      <c r="G1541" s="548"/>
      <c r="H1541" s="550"/>
      <c r="I1541" s="326"/>
      <c r="J1541" s="326"/>
      <c r="K1541" s="326"/>
      <c r="M1541" s="463"/>
      <c r="N1541" s="464"/>
    </row>
    <row r="1542" spans="2:14" hidden="1" outlineLevel="1" x14ac:dyDescent="0.35">
      <c r="B1542" s="203"/>
      <c r="C1542" s="204"/>
      <c r="D1542" s="204"/>
      <c r="E1542" s="204"/>
      <c r="F1542" s="205"/>
      <c r="G1542" s="548"/>
      <c r="H1542" s="550"/>
      <c r="I1542" s="326"/>
      <c r="J1542" s="326"/>
      <c r="K1542" s="326"/>
      <c r="M1542" s="463"/>
      <c r="N1542" s="464"/>
    </row>
    <row r="1543" spans="2:14" hidden="1" outlineLevel="1" x14ac:dyDescent="0.35">
      <c r="B1543" s="203"/>
      <c r="C1543" s="204"/>
      <c r="D1543" s="204"/>
      <c r="E1543" s="204"/>
      <c r="F1543" s="205"/>
      <c r="G1543" s="548"/>
      <c r="H1543" s="550"/>
      <c r="I1543" s="326"/>
      <c r="J1543" s="326"/>
      <c r="K1543" s="326"/>
      <c r="M1543" s="463"/>
      <c r="N1543" s="464"/>
    </row>
    <row r="1544" spans="2:14" hidden="1" outlineLevel="1" x14ac:dyDescent="0.35">
      <c r="B1544" s="203"/>
      <c r="C1544" s="204"/>
      <c r="D1544" s="204"/>
      <c r="E1544" s="204"/>
      <c r="F1544" s="205"/>
      <c r="G1544" s="548"/>
      <c r="H1544" s="550"/>
      <c r="I1544" s="326"/>
      <c r="J1544" s="326"/>
      <c r="K1544" s="326"/>
      <c r="M1544" s="463"/>
      <c r="N1544" s="464"/>
    </row>
    <row r="1545" spans="2:14" hidden="1" outlineLevel="1" x14ac:dyDescent="0.35">
      <c r="B1545" s="203"/>
      <c r="C1545" s="204"/>
      <c r="D1545" s="204"/>
      <c r="E1545" s="204"/>
      <c r="F1545" s="205"/>
      <c r="G1545" s="548"/>
      <c r="H1545" s="550"/>
      <c r="I1545" s="326"/>
      <c r="J1545" s="326"/>
      <c r="K1545" s="326"/>
      <c r="M1545" s="463"/>
      <c r="N1545" s="464"/>
    </row>
    <row r="1546" spans="2:14" hidden="1" outlineLevel="1" x14ac:dyDescent="0.35">
      <c r="B1546" s="203"/>
      <c r="C1546" s="204"/>
      <c r="D1546" s="204"/>
      <c r="E1546" s="204"/>
      <c r="F1546" s="205"/>
      <c r="G1546" s="548"/>
      <c r="H1546" s="550"/>
      <c r="I1546" s="326"/>
      <c r="J1546" s="326"/>
      <c r="K1546" s="326"/>
      <c r="M1546" s="463"/>
      <c r="N1546" s="464"/>
    </row>
    <row r="1547" spans="2:14" hidden="1" outlineLevel="1" x14ac:dyDescent="0.35">
      <c r="B1547" s="203"/>
      <c r="C1547" s="204"/>
      <c r="D1547" s="204"/>
      <c r="E1547" s="204"/>
      <c r="F1547" s="205"/>
      <c r="G1547" s="548"/>
      <c r="H1547" s="550"/>
      <c r="I1547" s="326"/>
      <c r="J1547" s="326"/>
      <c r="K1547" s="326"/>
      <c r="M1547" s="463"/>
      <c r="N1547" s="464"/>
    </row>
    <row r="1548" spans="2:14" hidden="1" outlineLevel="1" x14ac:dyDescent="0.35">
      <c r="B1548" s="203"/>
      <c r="C1548" s="204"/>
      <c r="D1548" s="204"/>
      <c r="E1548" s="204"/>
      <c r="F1548" s="205"/>
      <c r="G1548" s="548"/>
      <c r="H1548" s="550"/>
      <c r="I1548" s="326"/>
      <c r="J1548" s="326"/>
      <c r="K1548" s="326"/>
      <c r="M1548" s="463"/>
      <c r="N1548" s="464"/>
    </row>
    <row r="1549" spans="2:14" hidden="1" outlineLevel="1" x14ac:dyDescent="0.35">
      <c r="B1549" s="203"/>
      <c r="C1549" s="204"/>
      <c r="D1549" s="204"/>
      <c r="E1549" s="204"/>
      <c r="F1549" s="205"/>
      <c r="G1549" s="548"/>
      <c r="H1549" s="550"/>
      <c r="I1549" s="326"/>
      <c r="J1549" s="326"/>
      <c r="K1549" s="326"/>
      <c r="M1549" s="463"/>
      <c r="N1549" s="464"/>
    </row>
    <row r="1550" spans="2:14" hidden="1" outlineLevel="1" x14ac:dyDescent="0.35">
      <c r="B1550" s="203"/>
      <c r="C1550" s="204"/>
      <c r="D1550" s="204"/>
      <c r="E1550" s="204"/>
      <c r="F1550" s="205"/>
      <c r="G1550" s="548"/>
      <c r="H1550" s="550"/>
      <c r="I1550" s="326"/>
      <c r="J1550" s="326"/>
      <c r="K1550" s="326"/>
      <c r="M1550" s="463"/>
      <c r="N1550" s="464"/>
    </row>
    <row r="1551" spans="2:14" hidden="1" outlineLevel="1" x14ac:dyDescent="0.35">
      <c r="B1551" s="203"/>
      <c r="C1551" s="204"/>
      <c r="D1551" s="204"/>
      <c r="E1551" s="204"/>
      <c r="F1551" s="205"/>
      <c r="G1551" s="548"/>
      <c r="H1551" s="550"/>
      <c r="I1551" s="326"/>
      <c r="J1551" s="326"/>
      <c r="K1551" s="326"/>
      <c r="M1551" s="463"/>
      <c r="N1551" s="464"/>
    </row>
    <row r="1552" spans="2:14" hidden="1" outlineLevel="1" x14ac:dyDescent="0.35">
      <c r="B1552" s="203"/>
      <c r="C1552" s="204"/>
      <c r="D1552" s="204"/>
      <c r="E1552" s="204"/>
      <c r="F1552" s="205"/>
      <c r="G1552" s="548"/>
      <c r="H1552" s="550"/>
      <c r="I1552" s="326"/>
      <c r="J1552" s="326"/>
      <c r="K1552" s="326"/>
      <c r="M1552" s="463"/>
      <c r="N1552" s="464"/>
    </row>
    <row r="1553" spans="2:14" hidden="1" outlineLevel="1" x14ac:dyDescent="0.35">
      <c r="B1553" s="203"/>
      <c r="C1553" s="204"/>
      <c r="D1553" s="204"/>
      <c r="E1553" s="204"/>
      <c r="F1553" s="205"/>
      <c r="G1553" s="548"/>
      <c r="H1553" s="550"/>
      <c r="I1553" s="326"/>
      <c r="J1553" s="326"/>
      <c r="K1553" s="326"/>
      <c r="M1553" s="463"/>
      <c r="N1553" s="464"/>
    </row>
    <row r="1554" spans="2:14" hidden="1" outlineLevel="1" x14ac:dyDescent="0.35">
      <c r="B1554" s="203"/>
      <c r="C1554" s="204"/>
      <c r="D1554" s="204"/>
      <c r="E1554" s="204"/>
      <c r="F1554" s="205"/>
      <c r="G1554" s="548"/>
      <c r="H1554" s="550"/>
      <c r="I1554" s="326"/>
      <c r="J1554" s="326"/>
      <c r="K1554" s="326"/>
      <c r="M1554" s="463"/>
      <c r="N1554" s="464"/>
    </row>
    <row r="1555" spans="2:14" hidden="1" outlineLevel="1" x14ac:dyDescent="0.35">
      <c r="B1555" s="203"/>
      <c r="C1555" s="204"/>
      <c r="D1555" s="204"/>
      <c r="E1555" s="204"/>
      <c r="F1555" s="205"/>
      <c r="G1555" s="548"/>
      <c r="H1555" s="550"/>
      <c r="I1555" s="326"/>
      <c r="J1555" s="326"/>
      <c r="K1555" s="326"/>
      <c r="M1555" s="463"/>
      <c r="N1555" s="464"/>
    </row>
    <row r="1556" spans="2:14" hidden="1" outlineLevel="1" x14ac:dyDescent="0.35">
      <c r="B1556" s="203"/>
      <c r="C1556" s="204"/>
      <c r="D1556" s="204"/>
      <c r="E1556" s="204"/>
      <c r="F1556" s="205"/>
      <c r="G1556" s="548"/>
      <c r="H1556" s="550"/>
      <c r="I1556" s="326"/>
      <c r="J1556" s="326"/>
      <c r="K1556" s="326"/>
      <c r="M1556" s="463"/>
      <c r="N1556" s="464"/>
    </row>
    <row r="1557" spans="2:14" hidden="1" outlineLevel="1" x14ac:dyDescent="0.35">
      <c r="B1557" s="203"/>
      <c r="C1557" s="204"/>
      <c r="D1557" s="204"/>
      <c r="E1557" s="204"/>
      <c r="F1557" s="205"/>
      <c r="G1557" s="548"/>
      <c r="H1557" s="550"/>
      <c r="I1557" s="326"/>
      <c r="J1557" s="326"/>
      <c r="K1557" s="326"/>
      <c r="M1557" s="463"/>
      <c r="N1557" s="464"/>
    </row>
    <row r="1558" spans="2:14" hidden="1" outlineLevel="1" x14ac:dyDescent="0.35">
      <c r="B1558" s="203"/>
      <c r="C1558" s="204"/>
      <c r="D1558" s="204"/>
      <c r="E1558" s="204"/>
      <c r="F1558" s="205"/>
      <c r="G1558" s="548"/>
      <c r="H1558" s="550"/>
      <c r="I1558" s="326"/>
      <c r="J1558" s="326"/>
      <c r="K1558" s="326"/>
      <c r="M1558" s="463"/>
      <c r="N1558" s="464"/>
    </row>
    <row r="1559" spans="2:14" hidden="1" outlineLevel="1" x14ac:dyDescent="0.35">
      <c r="B1559" s="203"/>
      <c r="C1559" s="204"/>
      <c r="D1559" s="204"/>
      <c r="E1559" s="204"/>
      <c r="F1559" s="205"/>
      <c r="G1559" s="548"/>
      <c r="H1559" s="550"/>
      <c r="I1559" s="326"/>
      <c r="J1559" s="326"/>
      <c r="K1559" s="326"/>
      <c r="M1559" s="463"/>
      <c r="N1559" s="464"/>
    </row>
    <row r="1560" spans="2:14" hidden="1" outlineLevel="1" x14ac:dyDescent="0.35">
      <c r="B1560" s="203"/>
      <c r="C1560" s="204"/>
      <c r="D1560" s="204"/>
      <c r="E1560" s="204"/>
      <c r="F1560" s="205"/>
      <c r="G1560" s="548"/>
      <c r="H1560" s="550"/>
      <c r="I1560" s="326"/>
      <c r="J1560" s="326"/>
      <c r="K1560" s="326"/>
      <c r="M1560" s="463"/>
      <c r="N1560" s="464"/>
    </row>
    <row r="1561" spans="2:14" hidden="1" outlineLevel="1" x14ac:dyDescent="0.35">
      <c r="B1561" s="203"/>
      <c r="C1561" s="204"/>
      <c r="D1561" s="204"/>
      <c r="E1561" s="204"/>
      <c r="F1561" s="205"/>
      <c r="G1561" s="548"/>
      <c r="H1561" s="550"/>
      <c r="I1561" s="326"/>
      <c r="J1561" s="326"/>
      <c r="K1561" s="326"/>
      <c r="M1561" s="463"/>
      <c r="N1561" s="464"/>
    </row>
    <row r="1562" spans="2:14" hidden="1" outlineLevel="1" x14ac:dyDescent="0.35">
      <c r="B1562" s="203"/>
      <c r="C1562" s="204"/>
      <c r="D1562" s="204"/>
      <c r="E1562" s="204"/>
      <c r="F1562" s="205"/>
      <c r="G1562" s="548"/>
      <c r="H1562" s="550"/>
      <c r="I1562" s="326"/>
      <c r="J1562" s="326"/>
      <c r="K1562" s="326"/>
      <c r="M1562" s="463"/>
      <c r="N1562" s="464"/>
    </row>
    <row r="1563" spans="2:14" hidden="1" outlineLevel="1" x14ac:dyDescent="0.35">
      <c r="B1563" s="203"/>
      <c r="C1563" s="204"/>
      <c r="D1563" s="204"/>
      <c r="E1563" s="204"/>
      <c r="F1563" s="205"/>
      <c r="G1563" s="548"/>
      <c r="H1563" s="550"/>
      <c r="I1563" s="326"/>
      <c r="J1563" s="326"/>
      <c r="K1563" s="326"/>
      <c r="M1563" s="463"/>
      <c r="N1563" s="464"/>
    </row>
    <row r="1564" spans="2:14" hidden="1" outlineLevel="1" x14ac:dyDescent="0.35">
      <c r="B1564" s="203"/>
      <c r="C1564" s="204"/>
      <c r="D1564" s="204"/>
      <c r="E1564" s="204"/>
      <c r="F1564" s="205"/>
      <c r="G1564" s="548"/>
      <c r="H1564" s="550"/>
      <c r="I1564" s="326"/>
      <c r="J1564" s="326"/>
      <c r="K1564" s="326"/>
      <c r="M1564" s="463"/>
      <c r="N1564" s="464"/>
    </row>
    <row r="1565" spans="2:14" hidden="1" outlineLevel="1" x14ac:dyDescent="0.35">
      <c r="B1565" s="203"/>
      <c r="C1565" s="204"/>
      <c r="D1565" s="204"/>
      <c r="E1565" s="204"/>
      <c r="F1565" s="205"/>
      <c r="G1565" s="548"/>
      <c r="H1565" s="550"/>
      <c r="I1565" s="326"/>
      <c r="J1565" s="326"/>
      <c r="K1565" s="326"/>
      <c r="M1565" s="463"/>
      <c r="N1565" s="464"/>
    </row>
    <row r="1566" spans="2:14" hidden="1" outlineLevel="1" x14ac:dyDescent="0.35">
      <c r="B1566" s="203"/>
      <c r="C1566" s="204"/>
      <c r="D1566" s="204"/>
      <c r="E1566" s="204"/>
      <c r="F1566" s="205"/>
      <c r="G1566" s="548"/>
      <c r="H1566" s="550"/>
      <c r="I1566" s="326"/>
      <c r="J1566" s="326"/>
      <c r="K1566" s="326"/>
      <c r="M1566" s="463"/>
      <c r="N1566" s="464"/>
    </row>
    <row r="1567" spans="2:14" hidden="1" outlineLevel="1" x14ac:dyDescent="0.35">
      <c r="B1567" s="203"/>
      <c r="C1567" s="204"/>
      <c r="D1567" s="204"/>
      <c r="E1567" s="204"/>
      <c r="F1567" s="205"/>
      <c r="G1567" s="548"/>
      <c r="H1567" s="550"/>
      <c r="I1567" s="326"/>
      <c r="J1567" s="326"/>
      <c r="K1567" s="326"/>
      <c r="M1567" s="463"/>
      <c r="N1567" s="464"/>
    </row>
    <row r="1568" spans="2:14" hidden="1" outlineLevel="1" x14ac:dyDescent="0.35">
      <c r="B1568" s="203"/>
      <c r="C1568" s="204"/>
      <c r="D1568" s="204"/>
      <c r="E1568" s="204"/>
      <c r="F1568" s="205"/>
      <c r="G1568" s="548"/>
      <c r="H1568" s="550"/>
      <c r="I1568" s="326"/>
      <c r="J1568" s="326"/>
      <c r="K1568" s="326"/>
      <c r="M1568" s="463"/>
      <c r="N1568" s="464"/>
    </row>
    <row r="1569" spans="2:14" hidden="1" outlineLevel="1" x14ac:dyDescent="0.35">
      <c r="B1569" s="203"/>
      <c r="C1569" s="204"/>
      <c r="D1569" s="204"/>
      <c r="E1569" s="204"/>
      <c r="F1569" s="205"/>
      <c r="G1569" s="548"/>
      <c r="H1569" s="550"/>
      <c r="I1569" s="326"/>
      <c r="J1569" s="326"/>
      <c r="K1569" s="326"/>
      <c r="M1569" s="463"/>
      <c r="N1569" s="464"/>
    </row>
    <row r="1570" spans="2:14" hidden="1" outlineLevel="1" x14ac:dyDescent="0.35">
      <c r="B1570" s="203"/>
      <c r="C1570" s="204"/>
      <c r="D1570" s="204"/>
      <c r="E1570" s="204"/>
      <c r="F1570" s="205"/>
      <c r="G1570" s="548"/>
      <c r="H1570" s="550"/>
      <c r="I1570" s="326"/>
      <c r="J1570" s="326"/>
      <c r="K1570" s="326"/>
      <c r="M1570" s="463"/>
      <c r="N1570" s="464"/>
    </row>
    <row r="1571" spans="2:14" hidden="1" outlineLevel="1" x14ac:dyDescent="0.35">
      <c r="B1571" s="203"/>
      <c r="C1571" s="204"/>
      <c r="D1571" s="204"/>
      <c r="E1571" s="204"/>
      <c r="F1571" s="205"/>
      <c r="G1571" s="548"/>
      <c r="H1571" s="550"/>
      <c r="I1571" s="326"/>
      <c r="J1571" s="326"/>
      <c r="K1571" s="326"/>
      <c r="M1571" s="463"/>
      <c r="N1571" s="464"/>
    </row>
    <row r="1572" spans="2:14" hidden="1" outlineLevel="1" x14ac:dyDescent="0.35">
      <c r="B1572" s="203"/>
      <c r="C1572" s="204"/>
      <c r="D1572" s="204"/>
      <c r="E1572" s="204"/>
      <c r="F1572" s="205"/>
      <c r="G1572" s="548"/>
      <c r="H1572" s="550"/>
      <c r="I1572" s="326"/>
      <c r="J1572" s="326"/>
      <c r="K1572" s="326"/>
      <c r="M1572" s="463"/>
      <c r="N1572" s="464"/>
    </row>
    <row r="1573" spans="2:14" hidden="1" outlineLevel="1" x14ac:dyDescent="0.35">
      <c r="B1573" s="203"/>
      <c r="C1573" s="204"/>
      <c r="D1573" s="204"/>
      <c r="E1573" s="204"/>
      <c r="F1573" s="205"/>
      <c r="G1573" s="548"/>
      <c r="H1573" s="550"/>
      <c r="I1573" s="326"/>
      <c r="J1573" s="326"/>
      <c r="K1573" s="326"/>
      <c r="M1573" s="463"/>
      <c r="N1573" s="464"/>
    </row>
    <row r="1574" spans="2:14" hidden="1" outlineLevel="1" x14ac:dyDescent="0.35">
      <c r="B1574" s="203"/>
      <c r="C1574" s="204"/>
      <c r="D1574" s="204"/>
      <c r="E1574" s="204"/>
      <c r="F1574" s="205"/>
      <c r="G1574" s="548"/>
      <c r="H1574" s="550"/>
      <c r="I1574" s="326"/>
      <c r="J1574" s="326"/>
      <c r="K1574" s="326"/>
      <c r="M1574" s="463"/>
      <c r="N1574" s="464"/>
    </row>
    <row r="1575" spans="2:14" hidden="1" outlineLevel="1" x14ac:dyDescent="0.35">
      <c r="B1575" s="203"/>
      <c r="C1575" s="204"/>
      <c r="D1575" s="204"/>
      <c r="E1575" s="204"/>
      <c r="F1575" s="205"/>
      <c r="G1575" s="548"/>
      <c r="H1575" s="550"/>
      <c r="I1575" s="326"/>
      <c r="J1575" s="326"/>
      <c r="K1575" s="326"/>
      <c r="M1575" s="463"/>
      <c r="N1575" s="464"/>
    </row>
    <row r="1576" spans="2:14" hidden="1" outlineLevel="1" x14ac:dyDescent="0.35">
      <c r="B1576" s="203"/>
      <c r="C1576" s="204"/>
      <c r="D1576" s="204"/>
      <c r="E1576" s="204"/>
      <c r="F1576" s="205"/>
      <c r="G1576" s="548"/>
      <c r="H1576" s="550"/>
      <c r="I1576" s="326"/>
      <c r="J1576" s="326"/>
      <c r="K1576" s="326"/>
      <c r="M1576" s="463"/>
      <c r="N1576" s="464"/>
    </row>
    <row r="1577" spans="2:14" hidden="1" outlineLevel="1" x14ac:dyDescent="0.35">
      <c r="B1577" s="203"/>
      <c r="C1577" s="204"/>
      <c r="D1577" s="204"/>
      <c r="E1577" s="204"/>
      <c r="F1577" s="205"/>
      <c r="G1577" s="548"/>
      <c r="H1577" s="550"/>
      <c r="I1577" s="326"/>
      <c r="J1577" s="326"/>
      <c r="K1577" s="326"/>
      <c r="M1577" s="463"/>
      <c r="N1577" s="464"/>
    </row>
    <row r="1578" spans="2:14" hidden="1" outlineLevel="1" x14ac:dyDescent="0.35">
      <c r="B1578" s="203"/>
      <c r="C1578" s="204"/>
      <c r="D1578" s="204"/>
      <c r="E1578" s="204"/>
      <c r="F1578" s="205"/>
      <c r="G1578" s="548"/>
      <c r="H1578" s="550"/>
      <c r="I1578" s="326"/>
      <c r="J1578" s="326"/>
      <c r="K1578" s="326"/>
      <c r="M1578" s="463"/>
      <c r="N1578" s="464"/>
    </row>
    <row r="1579" spans="2:14" hidden="1" outlineLevel="1" x14ac:dyDescent="0.35">
      <c r="B1579" s="203"/>
      <c r="C1579" s="204"/>
      <c r="D1579" s="204"/>
      <c r="E1579" s="204"/>
      <c r="F1579" s="205"/>
      <c r="G1579" s="548"/>
      <c r="H1579" s="550"/>
      <c r="I1579" s="326"/>
      <c r="J1579" s="326"/>
      <c r="K1579" s="326"/>
      <c r="M1579" s="463"/>
      <c r="N1579" s="464"/>
    </row>
    <row r="1580" spans="2:14" hidden="1" outlineLevel="1" x14ac:dyDescent="0.35">
      <c r="B1580" s="203"/>
      <c r="C1580" s="204"/>
      <c r="D1580" s="204"/>
      <c r="E1580" s="204"/>
      <c r="F1580" s="205"/>
      <c r="G1580" s="548"/>
      <c r="H1580" s="550"/>
      <c r="I1580" s="326"/>
      <c r="J1580" s="326"/>
      <c r="K1580" s="326"/>
      <c r="M1580" s="463"/>
      <c r="N1580" s="464"/>
    </row>
    <row r="1581" spans="2:14" hidden="1" outlineLevel="1" x14ac:dyDescent="0.35">
      <c r="B1581" s="203"/>
      <c r="C1581" s="204"/>
      <c r="D1581" s="204"/>
      <c r="E1581" s="204"/>
      <c r="F1581" s="205"/>
      <c r="G1581" s="548"/>
      <c r="H1581" s="550"/>
      <c r="I1581" s="326"/>
      <c r="J1581" s="326"/>
      <c r="K1581" s="326"/>
      <c r="M1581" s="463"/>
      <c r="N1581" s="464"/>
    </row>
    <row r="1582" spans="2:14" hidden="1" outlineLevel="1" x14ac:dyDescent="0.35">
      <c r="B1582" s="203"/>
      <c r="C1582" s="204"/>
      <c r="D1582" s="204"/>
      <c r="E1582" s="204"/>
      <c r="F1582" s="205"/>
      <c r="G1582" s="548"/>
      <c r="H1582" s="550"/>
      <c r="I1582" s="326"/>
      <c r="J1582" s="326"/>
      <c r="K1582" s="326"/>
      <c r="M1582" s="463"/>
      <c r="N1582" s="464"/>
    </row>
    <row r="1583" spans="2:14" hidden="1" outlineLevel="1" x14ac:dyDescent="0.35">
      <c r="B1583" s="203"/>
      <c r="C1583" s="204"/>
      <c r="D1583" s="204"/>
      <c r="E1583" s="204"/>
      <c r="F1583" s="205"/>
      <c r="G1583" s="548"/>
      <c r="H1583" s="550"/>
      <c r="I1583" s="326"/>
      <c r="J1583" s="326"/>
      <c r="K1583" s="326"/>
      <c r="M1583" s="463"/>
      <c r="N1583" s="464"/>
    </row>
    <row r="1584" spans="2:14" hidden="1" outlineLevel="1" x14ac:dyDescent="0.35">
      <c r="B1584" s="203"/>
      <c r="C1584" s="204"/>
      <c r="D1584" s="204"/>
      <c r="E1584" s="204"/>
      <c r="F1584" s="205"/>
      <c r="G1584" s="548"/>
      <c r="H1584" s="550"/>
      <c r="I1584" s="326"/>
      <c r="J1584" s="326"/>
      <c r="K1584" s="326"/>
      <c r="M1584" s="463"/>
      <c r="N1584" s="464"/>
    </row>
    <row r="1585" spans="2:14" hidden="1" outlineLevel="1" x14ac:dyDescent="0.35">
      <c r="B1585" s="203"/>
      <c r="C1585" s="204"/>
      <c r="D1585" s="204"/>
      <c r="E1585" s="204"/>
      <c r="F1585" s="205"/>
      <c r="G1585" s="548"/>
      <c r="H1585" s="550"/>
      <c r="I1585" s="326"/>
      <c r="J1585" s="326"/>
      <c r="K1585" s="326"/>
      <c r="M1585" s="463"/>
      <c r="N1585" s="464"/>
    </row>
    <row r="1586" spans="2:14" hidden="1" outlineLevel="1" x14ac:dyDescent="0.35">
      <c r="B1586" s="203"/>
      <c r="C1586" s="204"/>
      <c r="D1586" s="204"/>
      <c r="E1586" s="204"/>
      <c r="F1586" s="205"/>
      <c r="G1586" s="548"/>
      <c r="H1586" s="550"/>
      <c r="I1586" s="326"/>
      <c r="J1586" s="326"/>
      <c r="K1586" s="326"/>
      <c r="M1586" s="463"/>
      <c r="N1586" s="464"/>
    </row>
    <row r="1587" spans="2:14" hidden="1" outlineLevel="1" x14ac:dyDescent="0.35">
      <c r="B1587" s="203"/>
      <c r="C1587" s="204"/>
      <c r="D1587" s="204"/>
      <c r="E1587" s="204"/>
      <c r="F1587" s="205"/>
      <c r="G1587" s="548"/>
      <c r="H1587" s="550"/>
      <c r="I1587" s="326"/>
      <c r="J1587" s="326"/>
      <c r="K1587" s="326"/>
      <c r="M1587" s="463"/>
      <c r="N1587" s="464"/>
    </row>
    <row r="1588" spans="2:14" hidden="1" outlineLevel="1" x14ac:dyDescent="0.35">
      <c r="B1588" s="203"/>
      <c r="C1588" s="204"/>
      <c r="D1588" s="204"/>
      <c r="E1588" s="204"/>
      <c r="F1588" s="205"/>
      <c r="G1588" s="548"/>
      <c r="H1588" s="550"/>
      <c r="I1588" s="326"/>
      <c r="J1588" s="326"/>
      <c r="K1588" s="326"/>
      <c r="M1588" s="463"/>
      <c r="N1588" s="464"/>
    </row>
    <row r="1589" spans="2:14" hidden="1" outlineLevel="1" x14ac:dyDescent="0.35">
      <c r="B1589" s="203"/>
      <c r="C1589" s="204"/>
      <c r="D1589" s="204"/>
      <c r="E1589" s="204"/>
      <c r="F1589" s="205"/>
      <c r="G1589" s="548"/>
      <c r="H1589" s="550"/>
      <c r="I1589" s="326"/>
      <c r="J1589" s="326"/>
      <c r="K1589" s="326"/>
      <c r="M1589" s="463"/>
      <c r="N1589" s="464"/>
    </row>
    <row r="1590" spans="2:14" hidden="1" outlineLevel="1" x14ac:dyDescent="0.35">
      <c r="B1590" s="203"/>
      <c r="C1590" s="204"/>
      <c r="D1590" s="204"/>
      <c r="E1590" s="204"/>
      <c r="F1590" s="205"/>
      <c r="G1590" s="548"/>
      <c r="H1590" s="550"/>
      <c r="I1590" s="326"/>
      <c r="J1590" s="326"/>
      <c r="K1590" s="326"/>
      <c r="M1590" s="463"/>
      <c r="N1590" s="464"/>
    </row>
    <row r="1591" spans="2:14" hidden="1" outlineLevel="1" x14ac:dyDescent="0.35">
      <c r="B1591" s="203"/>
      <c r="C1591" s="204"/>
      <c r="D1591" s="204"/>
      <c r="E1591" s="204"/>
      <c r="F1591" s="205"/>
      <c r="G1591" s="548"/>
      <c r="H1591" s="550"/>
      <c r="I1591" s="326"/>
      <c r="J1591" s="326"/>
      <c r="K1591" s="326"/>
      <c r="M1591" s="463"/>
      <c r="N1591" s="464"/>
    </row>
    <row r="1592" spans="2:14" hidden="1" outlineLevel="1" x14ac:dyDescent="0.35">
      <c r="B1592" s="203"/>
      <c r="C1592" s="204"/>
      <c r="D1592" s="204"/>
      <c r="E1592" s="204"/>
      <c r="F1592" s="205"/>
      <c r="G1592" s="548"/>
      <c r="H1592" s="550"/>
      <c r="I1592" s="326"/>
      <c r="J1592" s="326"/>
      <c r="K1592" s="326"/>
      <c r="M1592" s="463"/>
      <c r="N1592" s="464"/>
    </row>
    <row r="1593" spans="2:14" hidden="1" outlineLevel="1" x14ac:dyDescent="0.35">
      <c r="B1593" s="203"/>
      <c r="C1593" s="204"/>
      <c r="D1593" s="204"/>
      <c r="E1593" s="204"/>
      <c r="F1593" s="205"/>
      <c r="G1593" s="548"/>
      <c r="H1593" s="550"/>
      <c r="I1593" s="326"/>
      <c r="J1593" s="326"/>
      <c r="K1593" s="326"/>
      <c r="M1593" s="463"/>
      <c r="N1593" s="464"/>
    </row>
    <row r="1594" spans="2:14" hidden="1" outlineLevel="1" x14ac:dyDescent="0.35">
      <c r="B1594" s="203"/>
      <c r="C1594" s="204"/>
      <c r="D1594" s="204"/>
      <c r="E1594" s="204"/>
      <c r="F1594" s="205"/>
      <c r="G1594" s="548"/>
      <c r="H1594" s="550"/>
      <c r="I1594" s="326"/>
      <c r="J1594" s="326"/>
      <c r="K1594" s="326"/>
      <c r="M1594" s="463"/>
      <c r="N1594" s="464"/>
    </row>
    <row r="1595" spans="2:14" hidden="1" outlineLevel="1" x14ac:dyDescent="0.35">
      <c r="B1595" s="203"/>
      <c r="C1595" s="204"/>
      <c r="D1595" s="204"/>
      <c r="E1595" s="204"/>
      <c r="F1595" s="205"/>
      <c r="G1595" s="548"/>
      <c r="H1595" s="550"/>
      <c r="I1595" s="326"/>
      <c r="J1595" s="326"/>
      <c r="K1595" s="326"/>
      <c r="M1595" s="463"/>
      <c r="N1595" s="464"/>
    </row>
    <row r="1596" spans="2:14" hidden="1" outlineLevel="1" x14ac:dyDescent="0.35">
      <c r="B1596" s="203"/>
      <c r="C1596" s="204"/>
      <c r="D1596" s="204"/>
      <c r="E1596" s="204"/>
      <c r="F1596" s="205"/>
      <c r="G1596" s="548"/>
      <c r="H1596" s="550"/>
      <c r="I1596" s="326"/>
      <c r="J1596" s="326"/>
      <c r="K1596" s="326"/>
      <c r="M1596" s="463"/>
      <c r="N1596" s="464"/>
    </row>
    <row r="1597" spans="2:14" hidden="1" outlineLevel="1" x14ac:dyDescent="0.35">
      <c r="B1597" s="203"/>
      <c r="C1597" s="204"/>
      <c r="D1597" s="204"/>
      <c r="E1597" s="204"/>
      <c r="F1597" s="205"/>
      <c r="G1597" s="548"/>
      <c r="H1597" s="550"/>
      <c r="I1597" s="326"/>
      <c r="J1597" s="326"/>
      <c r="K1597" s="326"/>
      <c r="M1597" s="463"/>
      <c r="N1597" s="464"/>
    </row>
    <row r="1598" spans="2:14" hidden="1" outlineLevel="1" x14ac:dyDescent="0.35">
      <c r="B1598" s="203"/>
      <c r="C1598" s="204"/>
      <c r="D1598" s="204"/>
      <c r="E1598" s="204"/>
      <c r="F1598" s="205"/>
      <c r="G1598" s="548"/>
      <c r="H1598" s="550"/>
      <c r="I1598" s="326"/>
      <c r="J1598" s="326"/>
      <c r="K1598" s="326"/>
      <c r="M1598" s="463"/>
      <c r="N1598" s="464"/>
    </row>
    <row r="1599" spans="2:14" hidden="1" outlineLevel="1" x14ac:dyDescent="0.35">
      <c r="B1599" s="203"/>
      <c r="C1599" s="204"/>
      <c r="D1599" s="204"/>
      <c r="E1599" s="204"/>
      <c r="F1599" s="205"/>
      <c r="G1599" s="548"/>
      <c r="H1599" s="550"/>
      <c r="I1599" s="326"/>
      <c r="J1599" s="326"/>
      <c r="K1599" s="326"/>
      <c r="M1599" s="463"/>
      <c r="N1599" s="464"/>
    </row>
    <row r="1600" spans="2:14" hidden="1" outlineLevel="1" x14ac:dyDescent="0.35">
      <c r="B1600" s="203"/>
      <c r="C1600" s="204"/>
      <c r="D1600" s="204"/>
      <c r="E1600" s="204"/>
      <c r="F1600" s="205"/>
      <c r="G1600" s="548"/>
      <c r="H1600" s="550"/>
      <c r="I1600" s="326"/>
      <c r="J1600" s="326"/>
      <c r="K1600" s="326"/>
      <c r="M1600" s="463"/>
      <c r="N1600" s="464"/>
    </row>
    <row r="1601" spans="2:14" hidden="1" outlineLevel="1" x14ac:dyDescent="0.35">
      <c r="B1601" s="203"/>
      <c r="C1601" s="204"/>
      <c r="D1601" s="204"/>
      <c r="E1601" s="204"/>
      <c r="F1601" s="205"/>
      <c r="G1601" s="548"/>
      <c r="H1601" s="550"/>
      <c r="I1601" s="326"/>
      <c r="J1601" s="326"/>
      <c r="K1601" s="326"/>
      <c r="M1601" s="463"/>
      <c r="N1601" s="464"/>
    </row>
    <row r="1602" spans="2:14" hidden="1" outlineLevel="1" x14ac:dyDescent="0.35">
      <c r="B1602" s="203"/>
      <c r="C1602" s="204"/>
      <c r="D1602" s="204"/>
      <c r="E1602" s="204"/>
      <c r="F1602" s="205"/>
      <c r="G1602" s="548"/>
      <c r="H1602" s="550"/>
      <c r="I1602" s="326"/>
      <c r="J1602" s="326"/>
      <c r="K1602" s="326"/>
      <c r="M1602" s="463"/>
      <c r="N1602" s="464"/>
    </row>
    <row r="1603" spans="2:14" hidden="1" outlineLevel="1" x14ac:dyDescent="0.35">
      <c r="B1603" s="203"/>
      <c r="C1603" s="204"/>
      <c r="D1603" s="204"/>
      <c r="E1603" s="204"/>
      <c r="F1603" s="205"/>
      <c r="G1603" s="548"/>
      <c r="H1603" s="550"/>
      <c r="I1603" s="326"/>
      <c r="J1603" s="326"/>
      <c r="K1603" s="326"/>
      <c r="M1603" s="463"/>
      <c r="N1603" s="464"/>
    </row>
    <row r="1604" spans="2:14" hidden="1" outlineLevel="1" x14ac:dyDescent="0.35">
      <c r="B1604" s="203"/>
      <c r="C1604" s="204"/>
      <c r="D1604" s="204"/>
      <c r="E1604" s="204"/>
      <c r="F1604" s="205"/>
      <c r="G1604" s="548"/>
      <c r="H1604" s="550"/>
      <c r="I1604" s="326"/>
      <c r="J1604" s="326"/>
      <c r="K1604" s="326"/>
      <c r="M1604" s="463"/>
      <c r="N1604" s="464"/>
    </row>
    <row r="1605" spans="2:14" hidden="1" outlineLevel="1" x14ac:dyDescent="0.35">
      <c r="B1605" s="203"/>
      <c r="C1605" s="204"/>
      <c r="D1605" s="204"/>
      <c r="E1605" s="204"/>
      <c r="F1605" s="205"/>
      <c r="G1605" s="548"/>
      <c r="H1605" s="550"/>
      <c r="I1605" s="326"/>
      <c r="J1605" s="326"/>
      <c r="K1605" s="326"/>
      <c r="M1605" s="463"/>
      <c r="N1605" s="464"/>
    </row>
    <row r="1606" spans="2:14" hidden="1" outlineLevel="1" x14ac:dyDescent="0.35">
      <c r="B1606" s="203"/>
      <c r="C1606" s="204"/>
      <c r="D1606" s="204"/>
      <c r="E1606" s="204"/>
      <c r="F1606" s="205"/>
      <c r="G1606" s="548"/>
      <c r="H1606" s="550"/>
      <c r="I1606" s="326"/>
      <c r="J1606" s="326"/>
      <c r="K1606" s="326"/>
      <c r="M1606" s="463"/>
      <c r="N1606" s="464"/>
    </row>
    <row r="1607" spans="2:14" hidden="1" outlineLevel="1" x14ac:dyDescent="0.35">
      <c r="B1607" s="203"/>
      <c r="C1607" s="204"/>
      <c r="D1607" s="204"/>
      <c r="E1607" s="204"/>
      <c r="F1607" s="205"/>
      <c r="G1607" s="548"/>
      <c r="H1607" s="550"/>
      <c r="I1607" s="326"/>
      <c r="J1607" s="326"/>
      <c r="K1607" s="326"/>
      <c r="M1607" s="463"/>
      <c r="N1607" s="464"/>
    </row>
    <row r="1608" spans="2:14" hidden="1" outlineLevel="1" x14ac:dyDescent="0.35">
      <c r="B1608" s="203"/>
      <c r="C1608" s="204"/>
      <c r="D1608" s="204"/>
      <c r="E1608" s="204"/>
      <c r="F1608" s="205"/>
      <c r="G1608" s="548"/>
      <c r="H1608" s="550"/>
      <c r="I1608" s="326"/>
      <c r="J1608" s="326"/>
      <c r="K1608" s="326"/>
      <c r="M1608" s="463"/>
      <c r="N1608" s="464"/>
    </row>
    <row r="1609" spans="2:14" hidden="1" outlineLevel="1" x14ac:dyDescent="0.35">
      <c r="B1609" s="203"/>
      <c r="C1609" s="204"/>
      <c r="D1609" s="204"/>
      <c r="E1609" s="204"/>
      <c r="F1609" s="205"/>
      <c r="G1609" s="548"/>
      <c r="H1609" s="550"/>
      <c r="I1609" s="326"/>
      <c r="J1609" s="326"/>
      <c r="K1609" s="326"/>
      <c r="M1609" s="463"/>
      <c r="N1609" s="464"/>
    </row>
    <row r="1610" spans="2:14" hidden="1" outlineLevel="1" x14ac:dyDescent="0.35">
      <c r="B1610" s="203"/>
      <c r="C1610" s="204"/>
      <c r="D1610" s="204"/>
      <c r="E1610" s="204"/>
      <c r="F1610" s="205"/>
      <c r="G1610" s="548"/>
      <c r="H1610" s="550"/>
      <c r="I1610" s="326"/>
      <c r="J1610" s="326"/>
      <c r="K1610" s="326"/>
      <c r="M1610" s="463"/>
      <c r="N1610" s="464"/>
    </row>
    <row r="1611" spans="2:14" hidden="1" outlineLevel="1" x14ac:dyDescent="0.35">
      <c r="B1611" s="203"/>
      <c r="C1611" s="204"/>
      <c r="D1611" s="204"/>
      <c r="E1611" s="204"/>
      <c r="F1611" s="205"/>
      <c r="G1611" s="548"/>
      <c r="H1611" s="550"/>
      <c r="I1611" s="326"/>
      <c r="J1611" s="326"/>
      <c r="K1611" s="326"/>
      <c r="M1611" s="463"/>
      <c r="N1611" s="464"/>
    </row>
    <row r="1612" spans="2:14" hidden="1" outlineLevel="1" x14ac:dyDescent="0.35">
      <c r="B1612" s="203"/>
      <c r="C1612" s="204"/>
      <c r="D1612" s="204"/>
      <c r="E1612" s="204"/>
      <c r="F1612" s="205"/>
      <c r="G1612" s="548"/>
      <c r="H1612" s="550"/>
      <c r="I1612" s="326"/>
      <c r="J1612" s="326"/>
      <c r="K1612" s="326"/>
      <c r="M1612" s="463"/>
      <c r="N1612" s="464"/>
    </row>
    <row r="1613" spans="2:14" hidden="1" outlineLevel="1" x14ac:dyDescent="0.35">
      <c r="B1613" s="203"/>
      <c r="C1613" s="204"/>
      <c r="D1613" s="204"/>
      <c r="E1613" s="204"/>
      <c r="F1613" s="205"/>
      <c r="G1613" s="548"/>
      <c r="H1613" s="550"/>
      <c r="I1613" s="326"/>
      <c r="J1613" s="326"/>
      <c r="K1613" s="326"/>
      <c r="M1613" s="463"/>
      <c r="N1613" s="464"/>
    </row>
    <row r="1614" spans="2:14" hidden="1" outlineLevel="1" x14ac:dyDescent="0.35">
      <c r="B1614" s="203"/>
      <c r="C1614" s="204"/>
      <c r="D1614" s="204"/>
      <c r="E1614" s="204"/>
      <c r="F1614" s="205"/>
      <c r="G1614" s="548"/>
      <c r="H1614" s="550"/>
      <c r="I1614" s="326"/>
      <c r="J1614" s="326"/>
      <c r="K1614" s="326"/>
      <c r="M1614" s="463"/>
      <c r="N1614" s="464"/>
    </row>
    <row r="1615" spans="2:14" hidden="1" outlineLevel="1" x14ac:dyDescent="0.35">
      <c r="B1615" s="203"/>
      <c r="C1615" s="204"/>
      <c r="D1615" s="204"/>
      <c r="E1615" s="204"/>
      <c r="F1615" s="205"/>
      <c r="G1615" s="548"/>
      <c r="H1615" s="550"/>
      <c r="I1615" s="326"/>
      <c r="J1615" s="326"/>
      <c r="K1615" s="326"/>
      <c r="M1615" s="463"/>
      <c r="N1615" s="464"/>
    </row>
    <row r="1616" spans="2:14" hidden="1" outlineLevel="1" x14ac:dyDescent="0.35">
      <c r="B1616" s="203"/>
      <c r="C1616" s="204"/>
      <c r="D1616" s="204"/>
      <c r="E1616" s="204"/>
      <c r="F1616" s="205"/>
      <c r="G1616" s="548"/>
      <c r="H1616" s="550"/>
      <c r="I1616" s="326"/>
      <c r="J1616" s="326"/>
      <c r="K1616" s="326"/>
      <c r="M1616" s="463"/>
      <c r="N1616" s="464"/>
    </row>
    <row r="1617" spans="2:14" hidden="1" outlineLevel="1" x14ac:dyDescent="0.35">
      <c r="B1617" s="203"/>
      <c r="C1617" s="204"/>
      <c r="D1617" s="204"/>
      <c r="E1617" s="204"/>
      <c r="F1617" s="205"/>
      <c r="G1617" s="548"/>
      <c r="H1617" s="550"/>
      <c r="I1617" s="326"/>
      <c r="J1617" s="326"/>
      <c r="K1617" s="326"/>
      <c r="M1617" s="463"/>
      <c r="N1617" s="464"/>
    </row>
    <row r="1618" spans="2:14" hidden="1" outlineLevel="1" x14ac:dyDescent="0.35">
      <c r="B1618" s="203"/>
      <c r="C1618" s="204"/>
      <c r="D1618" s="204"/>
      <c r="E1618" s="204"/>
      <c r="F1618" s="205"/>
      <c r="G1618" s="548"/>
      <c r="H1618" s="550"/>
      <c r="I1618" s="326"/>
      <c r="J1618" s="326"/>
      <c r="K1618" s="326"/>
      <c r="M1618" s="463"/>
      <c r="N1618" s="464"/>
    </row>
    <row r="1619" spans="2:14" hidden="1" outlineLevel="1" x14ac:dyDescent="0.35">
      <c r="B1619" s="203"/>
      <c r="C1619" s="204"/>
      <c r="D1619" s="204"/>
      <c r="E1619" s="204"/>
      <c r="F1619" s="205"/>
      <c r="G1619" s="548"/>
      <c r="H1619" s="550"/>
      <c r="I1619" s="326"/>
      <c r="J1619" s="326"/>
      <c r="K1619" s="326"/>
      <c r="M1619" s="463"/>
      <c r="N1619" s="464"/>
    </row>
    <row r="1620" spans="2:14" hidden="1" outlineLevel="1" x14ac:dyDescent="0.35">
      <c r="B1620" s="203"/>
      <c r="C1620" s="204"/>
      <c r="D1620" s="204"/>
      <c r="E1620" s="204"/>
      <c r="F1620" s="205"/>
      <c r="G1620" s="548"/>
      <c r="H1620" s="550"/>
      <c r="I1620" s="326"/>
      <c r="J1620" s="326"/>
      <c r="K1620" s="326"/>
      <c r="M1620" s="463"/>
      <c r="N1620" s="464"/>
    </row>
    <row r="1621" spans="2:14" hidden="1" outlineLevel="1" x14ac:dyDescent="0.35">
      <c r="B1621" s="203"/>
      <c r="C1621" s="204"/>
      <c r="D1621" s="204"/>
      <c r="E1621" s="204"/>
      <c r="F1621" s="205"/>
      <c r="G1621" s="548"/>
      <c r="H1621" s="550"/>
      <c r="I1621" s="326"/>
      <c r="J1621" s="326"/>
      <c r="K1621" s="326"/>
      <c r="M1621" s="463"/>
      <c r="N1621" s="464"/>
    </row>
    <row r="1622" spans="2:14" hidden="1" outlineLevel="1" x14ac:dyDescent="0.35">
      <c r="B1622" s="203"/>
      <c r="C1622" s="204"/>
      <c r="D1622" s="204"/>
      <c r="E1622" s="204"/>
      <c r="F1622" s="205"/>
      <c r="G1622" s="548"/>
      <c r="H1622" s="550"/>
      <c r="I1622" s="326"/>
      <c r="J1622" s="326"/>
      <c r="K1622" s="326"/>
      <c r="M1622" s="463"/>
      <c r="N1622" s="464"/>
    </row>
    <row r="1623" spans="2:14" hidden="1" outlineLevel="1" x14ac:dyDescent="0.35">
      <c r="B1623" s="203"/>
      <c r="C1623" s="204"/>
      <c r="D1623" s="204"/>
      <c r="E1623" s="204"/>
      <c r="F1623" s="205"/>
      <c r="G1623" s="548"/>
      <c r="H1623" s="550"/>
      <c r="I1623" s="326"/>
      <c r="J1623" s="326"/>
      <c r="K1623" s="326"/>
      <c r="M1623" s="463"/>
      <c r="N1623" s="464"/>
    </row>
    <row r="1624" spans="2:14" hidden="1" outlineLevel="1" x14ac:dyDescent="0.35">
      <c r="B1624" s="203"/>
      <c r="C1624" s="204"/>
      <c r="D1624" s="204"/>
      <c r="E1624" s="204"/>
      <c r="F1624" s="205"/>
      <c r="G1624" s="548"/>
      <c r="H1624" s="550"/>
      <c r="I1624" s="326"/>
      <c r="J1624" s="326"/>
      <c r="K1624" s="326"/>
      <c r="M1624" s="463"/>
      <c r="N1624" s="464"/>
    </row>
    <row r="1625" spans="2:14" hidden="1" outlineLevel="1" x14ac:dyDescent="0.35">
      <c r="B1625" s="203"/>
      <c r="C1625" s="204"/>
      <c r="D1625" s="204"/>
      <c r="E1625" s="204"/>
      <c r="F1625" s="205"/>
      <c r="G1625" s="548"/>
      <c r="H1625" s="550"/>
      <c r="I1625" s="326"/>
      <c r="J1625" s="326"/>
      <c r="K1625" s="326"/>
      <c r="M1625" s="463"/>
      <c r="N1625" s="464"/>
    </row>
    <row r="1626" spans="2:14" hidden="1" outlineLevel="1" x14ac:dyDescent="0.35">
      <c r="B1626" s="203"/>
      <c r="C1626" s="204"/>
      <c r="D1626" s="204"/>
      <c r="E1626" s="204"/>
      <c r="F1626" s="205"/>
      <c r="G1626" s="548"/>
      <c r="H1626" s="550"/>
      <c r="I1626" s="326"/>
      <c r="J1626" s="326"/>
      <c r="K1626" s="326"/>
      <c r="M1626" s="463"/>
      <c r="N1626" s="464"/>
    </row>
    <row r="1627" spans="2:14" hidden="1" outlineLevel="1" x14ac:dyDescent="0.35">
      <c r="B1627" s="203"/>
      <c r="C1627" s="204"/>
      <c r="D1627" s="204"/>
      <c r="E1627" s="204"/>
      <c r="F1627" s="205"/>
      <c r="G1627" s="548"/>
      <c r="H1627" s="550"/>
      <c r="I1627" s="326"/>
      <c r="J1627" s="326"/>
      <c r="K1627" s="326"/>
      <c r="M1627" s="463"/>
      <c r="N1627" s="464"/>
    </row>
    <row r="1628" spans="2:14" hidden="1" outlineLevel="1" x14ac:dyDescent="0.35">
      <c r="B1628" s="203"/>
      <c r="C1628" s="204"/>
      <c r="D1628" s="204"/>
      <c r="E1628" s="204"/>
      <c r="F1628" s="205"/>
      <c r="G1628" s="548"/>
      <c r="H1628" s="550"/>
      <c r="I1628" s="326"/>
      <c r="J1628" s="326"/>
      <c r="K1628" s="326"/>
      <c r="M1628" s="463"/>
      <c r="N1628" s="464"/>
    </row>
    <row r="1629" spans="2:14" hidden="1" outlineLevel="1" x14ac:dyDescent="0.35">
      <c r="B1629" s="203"/>
      <c r="C1629" s="204"/>
      <c r="D1629" s="204"/>
      <c r="E1629" s="204"/>
      <c r="F1629" s="205"/>
      <c r="G1629" s="548"/>
      <c r="H1629" s="550"/>
      <c r="I1629" s="326"/>
      <c r="J1629" s="326"/>
      <c r="K1629" s="326"/>
      <c r="M1629" s="463"/>
      <c r="N1629" s="464"/>
    </row>
    <row r="1630" spans="2:14" hidden="1" outlineLevel="1" x14ac:dyDescent="0.35">
      <c r="B1630" s="203"/>
      <c r="C1630" s="204"/>
      <c r="D1630" s="204"/>
      <c r="E1630" s="204"/>
      <c r="F1630" s="205"/>
      <c r="G1630" s="548"/>
      <c r="H1630" s="550"/>
      <c r="I1630" s="326"/>
      <c r="J1630" s="326"/>
      <c r="K1630" s="326"/>
      <c r="M1630" s="463"/>
      <c r="N1630" s="464"/>
    </row>
    <row r="1631" spans="2:14" hidden="1" outlineLevel="1" x14ac:dyDescent="0.35">
      <c r="B1631" s="203"/>
      <c r="C1631" s="204"/>
      <c r="D1631" s="204"/>
      <c r="E1631" s="204"/>
      <c r="F1631" s="205"/>
      <c r="G1631" s="548"/>
      <c r="H1631" s="550"/>
      <c r="I1631" s="326"/>
      <c r="J1631" s="326"/>
      <c r="K1631" s="326"/>
      <c r="M1631" s="463"/>
      <c r="N1631" s="464"/>
    </row>
    <row r="1632" spans="2:14" hidden="1" outlineLevel="1" x14ac:dyDescent="0.35">
      <c r="B1632" s="203"/>
      <c r="C1632" s="204"/>
      <c r="D1632" s="204"/>
      <c r="E1632" s="204"/>
      <c r="F1632" s="205"/>
      <c r="G1632" s="548"/>
      <c r="H1632" s="550"/>
      <c r="I1632" s="326"/>
      <c r="J1632" s="326"/>
      <c r="K1632" s="326"/>
      <c r="M1632" s="463"/>
      <c r="N1632" s="464"/>
    </row>
    <row r="1633" spans="2:14" hidden="1" outlineLevel="1" x14ac:dyDescent="0.35">
      <c r="B1633" s="203"/>
      <c r="C1633" s="204"/>
      <c r="D1633" s="204"/>
      <c r="E1633" s="204"/>
      <c r="F1633" s="205"/>
      <c r="G1633" s="548"/>
      <c r="H1633" s="550"/>
      <c r="I1633" s="326"/>
      <c r="J1633" s="326"/>
      <c r="K1633" s="326"/>
      <c r="M1633" s="463"/>
      <c r="N1633" s="464"/>
    </row>
    <row r="1634" spans="2:14" hidden="1" outlineLevel="1" x14ac:dyDescent="0.35">
      <c r="B1634" s="203"/>
      <c r="C1634" s="204"/>
      <c r="D1634" s="204"/>
      <c r="E1634" s="204"/>
      <c r="F1634" s="205"/>
      <c r="G1634" s="548"/>
      <c r="H1634" s="550"/>
      <c r="I1634" s="326"/>
      <c r="J1634" s="326"/>
      <c r="K1634" s="326"/>
      <c r="M1634" s="463"/>
      <c r="N1634" s="464"/>
    </row>
    <row r="1635" spans="2:14" hidden="1" outlineLevel="1" x14ac:dyDescent="0.35">
      <c r="B1635" s="203"/>
      <c r="C1635" s="204"/>
      <c r="D1635" s="204"/>
      <c r="E1635" s="204"/>
      <c r="F1635" s="205"/>
      <c r="G1635" s="548"/>
      <c r="H1635" s="550"/>
      <c r="I1635" s="326"/>
      <c r="J1635" s="326"/>
      <c r="K1635" s="326"/>
      <c r="M1635" s="463"/>
      <c r="N1635" s="464"/>
    </row>
    <row r="1636" spans="2:14" hidden="1" outlineLevel="1" x14ac:dyDescent="0.35">
      <c r="B1636" s="203"/>
      <c r="C1636" s="204"/>
      <c r="D1636" s="204"/>
      <c r="E1636" s="204"/>
      <c r="F1636" s="205"/>
      <c r="G1636" s="548"/>
      <c r="H1636" s="550"/>
      <c r="I1636" s="326"/>
      <c r="J1636" s="326"/>
      <c r="K1636" s="326"/>
      <c r="M1636" s="463"/>
      <c r="N1636" s="464"/>
    </row>
    <row r="1637" spans="2:14" hidden="1" outlineLevel="1" x14ac:dyDescent="0.35">
      <c r="B1637" s="203"/>
      <c r="C1637" s="204"/>
      <c r="D1637" s="204"/>
      <c r="E1637" s="204"/>
      <c r="F1637" s="205"/>
      <c r="G1637" s="548"/>
      <c r="H1637" s="550"/>
      <c r="I1637" s="326"/>
      <c r="J1637" s="326"/>
      <c r="K1637" s="326"/>
      <c r="M1637" s="463"/>
      <c r="N1637" s="464"/>
    </row>
    <row r="1638" spans="2:14" hidden="1" outlineLevel="1" x14ac:dyDescent="0.35">
      <c r="B1638" s="203"/>
      <c r="C1638" s="204"/>
      <c r="D1638" s="204"/>
      <c r="E1638" s="204"/>
      <c r="F1638" s="205"/>
      <c r="G1638" s="548"/>
      <c r="H1638" s="550"/>
      <c r="I1638" s="326"/>
      <c r="J1638" s="326"/>
      <c r="K1638" s="326"/>
      <c r="M1638" s="463"/>
      <c r="N1638" s="464"/>
    </row>
    <row r="1639" spans="2:14" hidden="1" outlineLevel="1" x14ac:dyDescent="0.35">
      <c r="B1639" s="203"/>
      <c r="C1639" s="204"/>
      <c r="D1639" s="204"/>
      <c r="E1639" s="204"/>
      <c r="F1639" s="205"/>
      <c r="G1639" s="548"/>
      <c r="H1639" s="550"/>
      <c r="I1639" s="326"/>
      <c r="J1639" s="326"/>
      <c r="K1639" s="326"/>
      <c r="M1639" s="463"/>
      <c r="N1639" s="464"/>
    </row>
    <row r="1640" spans="2:14" hidden="1" outlineLevel="1" x14ac:dyDescent="0.35">
      <c r="B1640" s="203"/>
      <c r="C1640" s="204"/>
      <c r="D1640" s="204"/>
      <c r="E1640" s="204"/>
      <c r="F1640" s="205"/>
      <c r="G1640" s="548"/>
      <c r="H1640" s="550"/>
      <c r="I1640" s="326"/>
      <c r="J1640" s="326"/>
      <c r="K1640" s="326"/>
      <c r="M1640" s="463"/>
      <c r="N1640" s="464"/>
    </row>
    <row r="1641" spans="2:14" hidden="1" outlineLevel="1" x14ac:dyDescent="0.35">
      <c r="B1641" s="203"/>
      <c r="C1641" s="204"/>
      <c r="D1641" s="204"/>
      <c r="E1641" s="204"/>
      <c r="F1641" s="205"/>
      <c r="G1641" s="548"/>
      <c r="H1641" s="550"/>
      <c r="I1641" s="326"/>
      <c r="J1641" s="326"/>
      <c r="K1641" s="326"/>
      <c r="M1641" s="463"/>
      <c r="N1641" s="464"/>
    </row>
    <row r="1642" spans="2:14" hidden="1" outlineLevel="1" x14ac:dyDescent="0.35">
      <c r="B1642" s="203"/>
      <c r="C1642" s="204"/>
      <c r="D1642" s="204"/>
      <c r="E1642" s="204"/>
      <c r="F1642" s="205"/>
      <c r="G1642" s="548"/>
      <c r="H1642" s="550"/>
      <c r="I1642" s="326"/>
      <c r="J1642" s="326"/>
      <c r="K1642" s="326"/>
      <c r="M1642" s="463"/>
      <c r="N1642" s="464"/>
    </row>
    <row r="1643" spans="2:14" hidden="1" outlineLevel="1" x14ac:dyDescent="0.35">
      <c r="B1643" s="203"/>
      <c r="C1643" s="204"/>
      <c r="D1643" s="204"/>
      <c r="E1643" s="204"/>
      <c r="F1643" s="205"/>
      <c r="G1643" s="548"/>
      <c r="H1643" s="550"/>
      <c r="I1643" s="326"/>
      <c r="J1643" s="326"/>
      <c r="K1643" s="326"/>
      <c r="M1643" s="463"/>
      <c r="N1643" s="464"/>
    </row>
    <row r="1644" spans="2:14" hidden="1" outlineLevel="1" x14ac:dyDescent="0.35">
      <c r="B1644" s="203"/>
      <c r="C1644" s="204"/>
      <c r="D1644" s="204"/>
      <c r="E1644" s="204"/>
      <c r="F1644" s="205"/>
      <c r="G1644" s="548"/>
      <c r="H1644" s="550"/>
      <c r="I1644" s="326"/>
      <c r="J1644" s="326"/>
      <c r="K1644" s="326"/>
      <c r="M1644" s="463"/>
      <c r="N1644" s="464"/>
    </row>
    <row r="1645" spans="2:14" hidden="1" outlineLevel="1" x14ac:dyDescent="0.35">
      <c r="B1645" s="203"/>
      <c r="C1645" s="204"/>
      <c r="D1645" s="204"/>
      <c r="E1645" s="204"/>
      <c r="F1645" s="205"/>
      <c r="G1645" s="548"/>
      <c r="H1645" s="550"/>
      <c r="I1645" s="326"/>
      <c r="J1645" s="326"/>
      <c r="K1645" s="326"/>
      <c r="M1645" s="463"/>
      <c r="N1645" s="464"/>
    </row>
    <row r="1646" spans="2:14" hidden="1" outlineLevel="1" x14ac:dyDescent="0.35">
      <c r="B1646" s="203"/>
      <c r="C1646" s="204"/>
      <c r="D1646" s="204"/>
      <c r="E1646" s="204"/>
      <c r="F1646" s="205"/>
      <c r="G1646" s="548"/>
      <c r="H1646" s="550"/>
      <c r="I1646" s="326"/>
      <c r="J1646" s="326"/>
      <c r="K1646" s="326"/>
      <c r="M1646" s="463"/>
      <c r="N1646" s="464"/>
    </row>
    <row r="1647" spans="2:14" hidden="1" outlineLevel="1" x14ac:dyDescent="0.35">
      <c r="B1647" s="203"/>
      <c r="C1647" s="204"/>
      <c r="D1647" s="204"/>
      <c r="E1647" s="204"/>
      <c r="F1647" s="205"/>
      <c r="G1647" s="548"/>
      <c r="H1647" s="550"/>
      <c r="I1647" s="326"/>
      <c r="J1647" s="326"/>
      <c r="K1647" s="326"/>
      <c r="M1647" s="463"/>
      <c r="N1647" s="464"/>
    </row>
    <row r="1648" spans="2:14" hidden="1" outlineLevel="1" x14ac:dyDescent="0.35">
      <c r="B1648" s="203"/>
      <c r="C1648" s="204"/>
      <c r="D1648" s="204"/>
      <c r="E1648" s="204"/>
      <c r="F1648" s="205"/>
      <c r="G1648" s="548"/>
      <c r="H1648" s="550"/>
      <c r="I1648" s="326"/>
      <c r="J1648" s="326"/>
      <c r="K1648" s="326"/>
      <c r="M1648" s="463"/>
      <c r="N1648" s="464"/>
    </row>
    <row r="1649" spans="2:14" hidden="1" outlineLevel="1" x14ac:dyDescent="0.35">
      <c r="B1649" s="203"/>
      <c r="C1649" s="204"/>
      <c r="D1649" s="204"/>
      <c r="E1649" s="204"/>
      <c r="F1649" s="205"/>
      <c r="G1649" s="548"/>
      <c r="H1649" s="550"/>
      <c r="I1649" s="326"/>
      <c r="J1649" s="326"/>
      <c r="K1649" s="326"/>
      <c r="M1649" s="463"/>
      <c r="N1649" s="464"/>
    </row>
    <row r="1650" spans="2:14" hidden="1" outlineLevel="1" x14ac:dyDescent="0.35">
      <c r="B1650" s="203"/>
      <c r="C1650" s="204"/>
      <c r="D1650" s="204"/>
      <c r="E1650" s="204"/>
      <c r="F1650" s="205"/>
      <c r="G1650" s="548"/>
      <c r="H1650" s="550"/>
      <c r="I1650" s="326"/>
      <c r="J1650" s="326"/>
      <c r="K1650" s="326"/>
      <c r="M1650" s="463"/>
      <c r="N1650" s="464"/>
    </row>
    <row r="1651" spans="2:14" hidden="1" outlineLevel="1" x14ac:dyDescent="0.35">
      <c r="B1651" s="203"/>
      <c r="C1651" s="204"/>
      <c r="D1651" s="204"/>
      <c r="E1651" s="204"/>
      <c r="F1651" s="205"/>
      <c r="G1651" s="548"/>
      <c r="H1651" s="550"/>
      <c r="I1651" s="326"/>
      <c r="J1651" s="326"/>
      <c r="K1651" s="326"/>
      <c r="M1651" s="463"/>
      <c r="N1651" s="464"/>
    </row>
    <row r="1652" spans="2:14" hidden="1" outlineLevel="1" x14ac:dyDescent="0.35">
      <c r="B1652" s="203"/>
      <c r="C1652" s="204"/>
      <c r="D1652" s="204"/>
      <c r="E1652" s="204"/>
      <c r="F1652" s="205"/>
      <c r="G1652" s="548"/>
      <c r="H1652" s="550"/>
      <c r="I1652" s="326"/>
      <c r="J1652" s="326"/>
      <c r="K1652" s="326"/>
      <c r="M1652" s="463"/>
      <c r="N1652" s="464"/>
    </row>
    <row r="1653" spans="2:14" hidden="1" outlineLevel="1" x14ac:dyDescent="0.35">
      <c r="B1653" s="203"/>
      <c r="C1653" s="204"/>
      <c r="D1653" s="204"/>
      <c r="E1653" s="204"/>
      <c r="F1653" s="205"/>
      <c r="G1653" s="548"/>
      <c r="H1653" s="550"/>
      <c r="I1653" s="326"/>
      <c r="J1653" s="326"/>
      <c r="K1653" s="326"/>
      <c r="M1653" s="463"/>
      <c r="N1653" s="464"/>
    </row>
    <row r="1654" spans="2:14" hidden="1" outlineLevel="1" x14ac:dyDescent="0.35">
      <c r="B1654" s="203"/>
      <c r="C1654" s="204"/>
      <c r="D1654" s="204"/>
      <c r="E1654" s="204"/>
      <c r="F1654" s="205"/>
      <c r="G1654" s="548"/>
      <c r="H1654" s="550"/>
      <c r="I1654" s="326"/>
      <c r="J1654" s="326"/>
      <c r="K1654" s="326"/>
      <c r="M1654" s="463"/>
      <c r="N1654" s="464"/>
    </row>
    <row r="1655" spans="2:14" hidden="1" outlineLevel="1" x14ac:dyDescent="0.35">
      <c r="B1655" s="203"/>
      <c r="C1655" s="204"/>
      <c r="D1655" s="204"/>
      <c r="E1655" s="204"/>
      <c r="F1655" s="205"/>
      <c r="G1655" s="548"/>
      <c r="H1655" s="550"/>
      <c r="I1655" s="326"/>
      <c r="J1655" s="326"/>
      <c r="K1655" s="326"/>
      <c r="M1655" s="463"/>
      <c r="N1655" s="464"/>
    </row>
    <row r="1656" spans="2:14" hidden="1" outlineLevel="1" x14ac:dyDescent="0.35">
      <c r="B1656" s="203"/>
      <c r="C1656" s="204"/>
      <c r="D1656" s="204"/>
      <c r="E1656" s="204"/>
      <c r="F1656" s="205"/>
      <c r="G1656" s="548"/>
      <c r="H1656" s="550"/>
      <c r="I1656" s="326"/>
      <c r="J1656" s="326"/>
      <c r="K1656" s="326"/>
      <c r="M1656" s="463"/>
      <c r="N1656" s="464"/>
    </row>
    <row r="1657" spans="2:14" hidden="1" outlineLevel="1" x14ac:dyDescent="0.35">
      <c r="B1657" s="203"/>
      <c r="C1657" s="204"/>
      <c r="D1657" s="204"/>
      <c r="E1657" s="204"/>
      <c r="F1657" s="205"/>
      <c r="G1657" s="548"/>
      <c r="H1657" s="550"/>
      <c r="I1657" s="326"/>
      <c r="J1657" s="326"/>
      <c r="K1657" s="326"/>
      <c r="M1657" s="463"/>
      <c r="N1657" s="464"/>
    </row>
    <row r="1658" spans="2:14" hidden="1" outlineLevel="1" x14ac:dyDescent="0.35">
      <c r="B1658" s="203"/>
      <c r="C1658" s="204"/>
      <c r="D1658" s="204"/>
      <c r="E1658" s="204"/>
      <c r="F1658" s="205"/>
      <c r="G1658" s="548"/>
      <c r="H1658" s="550"/>
      <c r="I1658" s="326"/>
      <c r="J1658" s="326"/>
      <c r="K1658" s="326"/>
      <c r="M1658" s="463"/>
      <c r="N1658" s="464"/>
    </row>
    <row r="1659" spans="2:14" hidden="1" outlineLevel="1" x14ac:dyDescent="0.35">
      <c r="B1659" s="203"/>
      <c r="C1659" s="204"/>
      <c r="D1659" s="204"/>
      <c r="E1659" s="204"/>
      <c r="F1659" s="205"/>
      <c r="G1659" s="548"/>
      <c r="H1659" s="550"/>
      <c r="I1659" s="326"/>
      <c r="J1659" s="326"/>
      <c r="K1659" s="326"/>
      <c r="M1659" s="463"/>
      <c r="N1659" s="464"/>
    </row>
    <row r="1660" spans="2:14" hidden="1" outlineLevel="1" x14ac:dyDescent="0.35">
      <c r="B1660" s="203"/>
      <c r="C1660" s="204"/>
      <c r="D1660" s="204"/>
      <c r="E1660" s="204"/>
      <c r="F1660" s="205"/>
      <c r="G1660" s="548"/>
      <c r="H1660" s="550"/>
      <c r="I1660" s="326"/>
      <c r="J1660" s="326"/>
      <c r="K1660" s="326"/>
      <c r="M1660" s="463"/>
      <c r="N1660" s="464"/>
    </row>
    <row r="1661" spans="2:14" hidden="1" outlineLevel="1" x14ac:dyDescent="0.35">
      <c r="B1661" s="203"/>
      <c r="C1661" s="204"/>
      <c r="D1661" s="204"/>
      <c r="E1661" s="204"/>
      <c r="F1661" s="205"/>
      <c r="G1661" s="548"/>
      <c r="H1661" s="550"/>
      <c r="I1661" s="326"/>
      <c r="J1661" s="326"/>
      <c r="K1661" s="326"/>
      <c r="M1661" s="463"/>
      <c r="N1661" s="464"/>
    </row>
    <row r="1662" spans="2:14" hidden="1" outlineLevel="1" x14ac:dyDescent="0.35">
      <c r="B1662" s="203"/>
      <c r="C1662" s="204"/>
      <c r="D1662" s="204"/>
      <c r="E1662" s="204"/>
      <c r="F1662" s="205"/>
      <c r="G1662" s="548"/>
      <c r="H1662" s="550"/>
      <c r="I1662" s="326"/>
      <c r="J1662" s="326"/>
      <c r="K1662" s="326"/>
      <c r="M1662" s="463"/>
      <c r="N1662" s="464"/>
    </row>
    <row r="1663" spans="2:14" hidden="1" outlineLevel="1" x14ac:dyDescent="0.35">
      <c r="B1663" s="203"/>
      <c r="C1663" s="204"/>
      <c r="D1663" s="204"/>
      <c r="E1663" s="204"/>
      <c r="F1663" s="205"/>
      <c r="G1663" s="548"/>
      <c r="H1663" s="550"/>
      <c r="I1663" s="326"/>
      <c r="J1663" s="326"/>
      <c r="K1663" s="326"/>
      <c r="M1663" s="463"/>
      <c r="N1663" s="464"/>
    </row>
    <row r="1664" spans="2:14" hidden="1" outlineLevel="1" x14ac:dyDescent="0.35">
      <c r="B1664" s="203"/>
      <c r="C1664" s="204"/>
      <c r="D1664" s="204"/>
      <c r="E1664" s="204"/>
      <c r="F1664" s="205"/>
      <c r="G1664" s="548"/>
      <c r="H1664" s="550"/>
      <c r="I1664" s="326"/>
      <c r="J1664" s="326"/>
      <c r="K1664" s="326"/>
      <c r="M1664" s="463"/>
      <c r="N1664" s="464"/>
    </row>
    <row r="1665" spans="2:14" hidden="1" outlineLevel="1" x14ac:dyDescent="0.35">
      <c r="B1665" s="203"/>
      <c r="C1665" s="204"/>
      <c r="D1665" s="204"/>
      <c r="E1665" s="204"/>
      <c r="F1665" s="205"/>
      <c r="G1665" s="548"/>
      <c r="H1665" s="550"/>
      <c r="I1665" s="326"/>
      <c r="J1665" s="326"/>
      <c r="K1665" s="326"/>
      <c r="M1665" s="463"/>
      <c r="N1665" s="464"/>
    </row>
    <row r="1666" spans="2:14" hidden="1" outlineLevel="1" x14ac:dyDescent="0.35">
      <c r="B1666" s="203"/>
      <c r="C1666" s="204"/>
      <c r="D1666" s="204"/>
      <c r="E1666" s="204"/>
      <c r="F1666" s="205"/>
      <c r="G1666" s="548"/>
      <c r="H1666" s="550"/>
      <c r="I1666" s="326"/>
      <c r="J1666" s="326"/>
      <c r="K1666" s="326"/>
      <c r="M1666" s="463"/>
      <c r="N1666" s="464"/>
    </row>
    <row r="1667" spans="2:14" hidden="1" outlineLevel="1" x14ac:dyDescent="0.35">
      <c r="B1667" s="203"/>
      <c r="C1667" s="204"/>
      <c r="D1667" s="204"/>
      <c r="E1667" s="204"/>
      <c r="F1667" s="205"/>
      <c r="G1667" s="548"/>
      <c r="H1667" s="550"/>
      <c r="I1667" s="326"/>
      <c r="J1667" s="326"/>
      <c r="K1667" s="326"/>
      <c r="M1667" s="463"/>
      <c r="N1667" s="464"/>
    </row>
    <row r="1668" spans="2:14" hidden="1" outlineLevel="1" x14ac:dyDescent="0.35">
      <c r="B1668" s="203"/>
      <c r="C1668" s="204"/>
      <c r="D1668" s="204"/>
      <c r="E1668" s="204"/>
      <c r="F1668" s="205"/>
      <c r="G1668" s="548"/>
      <c r="H1668" s="550"/>
      <c r="I1668" s="326"/>
      <c r="J1668" s="326"/>
      <c r="K1668" s="326"/>
      <c r="M1668" s="463"/>
      <c r="N1668" s="464"/>
    </row>
    <row r="1669" spans="2:14" hidden="1" outlineLevel="1" x14ac:dyDescent="0.35">
      <c r="B1669" s="203"/>
      <c r="C1669" s="204"/>
      <c r="D1669" s="204"/>
      <c r="E1669" s="204"/>
      <c r="F1669" s="205"/>
      <c r="G1669" s="548"/>
      <c r="H1669" s="550"/>
      <c r="I1669" s="326"/>
      <c r="J1669" s="326"/>
      <c r="K1669" s="326"/>
      <c r="M1669" s="463"/>
      <c r="N1669" s="464"/>
    </row>
    <row r="1670" spans="2:14" hidden="1" outlineLevel="1" x14ac:dyDescent="0.35">
      <c r="B1670" s="203"/>
      <c r="C1670" s="204"/>
      <c r="D1670" s="204"/>
      <c r="E1670" s="204"/>
      <c r="F1670" s="205"/>
      <c r="G1670" s="548"/>
      <c r="H1670" s="550"/>
      <c r="I1670" s="326"/>
      <c r="J1670" s="326"/>
      <c r="K1670" s="326"/>
      <c r="M1670" s="463"/>
      <c r="N1670" s="464"/>
    </row>
    <row r="1671" spans="2:14" hidden="1" outlineLevel="1" x14ac:dyDescent="0.35">
      <c r="B1671" s="203"/>
      <c r="C1671" s="204"/>
      <c r="D1671" s="204"/>
      <c r="E1671" s="204"/>
      <c r="F1671" s="205"/>
      <c r="G1671" s="548"/>
      <c r="H1671" s="550"/>
      <c r="I1671" s="326"/>
      <c r="J1671" s="326"/>
      <c r="K1671" s="326"/>
      <c r="M1671" s="463"/>
      <c r="N1671" s="464"/>
    </row>
    <row r="1672" spans="2:14" hidden="1" outlineLevel="1" x14ac:dyDescent="0.35">
      <c r="B1672" s="203"/>
      <c r="C1672" s="204"/>
      <c r="D1672" s="204"/>
      <c r="E1672" s="204"/>
      <c r="F1672" s="205"/>
      <c r="G1672" s="548"/>
      <c r="H1672" s="550"/>
      <c r="I1672" s="326"/>
      <c r="J1672" s="326"/>
      <c r="K1672" s="326"/>
      <c r="M1672" s="463"/>
      <c r="N1672" s="464"/>
    </row>
    <row r="1673" spans="2:14" hidden="1" outlineLevel="1" x14ac:dyDescent="0.35">
      <c r="B1673" s="203"/>
      <c r="C1673" s="204"/>
      <c r="D1673" s="204"/>
      <c r="E1673" s="204"/>
      <c r="F1673" s="205"/>
      <c r="G1673" s="548"/>
      <c r="H1673" s="550"/>
      <c r="I1673" s="326"/>
      <c r="J1673" s="326"/>
      <c r="K1673" s="326"/>
      <c r="M1673" s="463"/>
      <c r="N1673" s="464"/>
    </row>
    <row r="1674" spans="2:14" hidden="1" outlineLevel="1" x14ac:dyDescent="0.35">
      <c r="B1674" s="203"/>
      <c r="C1674" s="204"/>
      <c r="D1674" s="204"/>
      <c r="E1674" s="204"/>
      <c r="F1674" s="205"/>
      <c r="G1674" s="548"/>
      <c r="H1674" s="550"/>
      <c r="I1674" s="326"/>
      <c r="J1674" s="326"/>
      <c r="K1674" s="326"/>
      <c r="M1674" s="463"/>
      <c r="N1674" s="464"/>
    </row>
    <row r="1675" spans="2:14" hidden="1" outlineLevel="1" x14ac:dyDescent="0.35">
      <c r="B1675" s="203"/>
      <c r="C1675" s="204"/>
      <c r="D1675" s="204"/>
      <c r="E1675" s="204"/>
      <c r="F1675" s="205"/>
      <c r="G1675" s="548"/>
      <c r="H1675" s="550"/>
      <c r="I1675" s="326"/>
      <c r="J1675" s="326"/>
      <c r="K1675" s="326"/>
      <c r="M1675" s="463"/>
      <c r="N1675" s="464"/>
    </row>
    <row r="1676" spans="2:14" hidden="1" outlineLevel="1" x14ac:dyDescent="0.35">
      <c r="B1676" s="203"/>
      <c r="C1676" s="204"/>
      <c r="D1676" s="204"/>
      <c r="E1676" s="204"/>
      <c r="F1676" s="205"/>
      <c r="G1676" s="548"/>
      <c r="H1676" s="550"/>
      <c r="I1676" s="326"/>
      <c r="J1676" s="326"/>
      <c r="K1676" s="326"/>
      <c r="M1676" s="463"/>
      <c r="N1676" s="464"/>
    </row>
    <row r="1677" spans="2:14" hidden="1" outlineLevel="1" x14ac:dyDescent="0.35">
      <c r="B1677" s="203"/>
      <c r="C1677" s="204"/>
      <c r="D1677" s="204"/>
      <c r="E1677" s="204"/>
      <c r="F1677" s="205"/>
      <c r="G1677" s="548"/>
      <c r="H1677" s="550"/>
      <c r="I1677" s="326"/>
      <c r="J1677" s="326"/>
      <c r="K1677" s="326"/>
      <c r="M1677" s="463"/>
      <c r="N1677" s="464"/>
    </row>
    <row r="1678" spans="2:14" hidden="1" outlineLevel="1" x14ac:dyDescent="0.35">
      <c r="B1678" s="203"/>
      <c r="C1678" s="204"/>
      <c r="D1678" s="204"/>
      <c r="E1678" s="204"/>
      <c r="F1678" s="205"/>
      <c r="G1678" s="548"/>
      <c r="H1678" s="550"/>
      <c r="I1678" s="326"/>
      <c r="J1678" s="326"/>
      <c r="K1678" s="326"/>
      <c r="M1678" s="463"/>
      <c r="N1678" s="464"/>
    </row>
    <row r="1679" spans="2:14" hidden="1" outlineLevel="1" x14ac:dyDescent="0.35">
      <c r="B1679" s="203"/>
      <c r="C1679" s="204"/>
      <c r="D1679" s="204"/>
      <c r="E1679" s="204"/>
      <c r="F1679" s="205"/>
      <c r="G1679" s="548"/>
      <c r="H1679" s="550"/>
      <c r="I1679" s="326"/>
      <c r="J1679" s="326"/>
      <c r="K1679" s="326"/>
      <c r="M1679" s="463"/>
      <c r="N1679" s="464"/>
    </row>
    <row r="1680" spans="2:14" hidden="1" outlineLevel="1" x14ac:dyDescent="0.35">
      <c r="B1680" s="203"/>
      <c r="C1680" s="204"/>
      <c r="D1680" s="204"/>
      <c r="E1680" s="204"/>
      <c r="F1680" s="205"/>
      <c r="G1680" s="548"/>
      <c r="H1680" s="550"/>
      <c r="I1680" s="326"/>
      <c r="J1680" s="326"/>
      <c r="K1680" s="326"/>
      <c r="M1680" s="463"/>
      <c r="N1680" s="464"/>
    </row>
    <row r="1681" spans="2:14" hidden="1" outlineLevel="1" x14ac:dyDescent="0.35">
      <c r="B1681" s="203"/>
      <c r="C1681" s="204"/>
      <c r="D1681" s="204"/>
      <c r="E1681" s="204"/>
      <c r="F1681" s="205"/>
      <c r="G1681" s="548"/>
      <c r="H1681" s="550"/>
      <c r="I1681" s="326"/>
      <c r="J1681" s="326"/>
      <c r="K1681" s="326"/>
      <c r="M1681" s="463"/>
      <c r="N1681" s="464"/>
    </row>
    <row r="1682" spans="2:14" hidden="1" outlineLevel="1" x14ac:dyDescent="0.35">
      <c r="B1682" s="203"/>
      <c r="C1682" s="204"/>
      <c r="D1682" s="204"/>
      <c r="E1682" s="204"/>
      <c r="F1682" s="205"/>
      <c r="G1682" s="548"/>
      <c r="H1682" s="550"/>
      <c r="I1682" s="326"/>
      <c r="J1682" s="326"/>
      <c r="K1682" s="326"/>
      <c r="M1682" s="463"/>
      <c r="N1682" s="464"/>
    </row>
    <row r="1683" spans="2:14" hidden="1" outlineLevel="1" x14ac:dyDescent="0.35">
      <c r="B1683" s="203"/>
      <c r="C1683" s="204"/>
      <c r="D1683" s="204"/>
      <c r="E1683" s="204"/>
      <c r="F1683" s="205"/>
      <c r="G1683" s="548"/>
      <c r="H1683" s="550"/>
      <c r="I1683" s="326"/>
      <c r="J1683" s="326"/>
      <c r="K1683" s="326"/>
      <c r="M1683" s="463"/>
      <c r="N1683" s="464"/>
    </row>
    <row r="1684" spans="2:14" hidden="1" outlineLevel="1" x14ac:dyDescent="0.35">
      <c r="B1684" s="203"/>
      <c r="C1684" s="204"/>
      <c r="D1684" s="204"/>
      <c r="E1684" s="204"/>
      <c r="F1684" s="205"/>
      <c r="G1684" s="548"/>
      <c r="H1684" s="550"/>
      <c r="I1684" s="326"/>
      <c r="J1684" s="326"/>
      <c r="K1684" s="326"/>
      <c r="M1684" s="463"/>
      <c r="N1684" s="464"/>
    </row>
    <row r="1685" spans="2:14" hidden="1" outlineLevel="1" x14ac:dyDescent="0.35">
      <c r="B1685" s="203"/>
      <c r="C1685" s="204"/>
      <c r="D1685" s="204"/>
      <c r="E1685" s="204"/>
      <c r="F1685" s="205"/>
      <c r="G1685" s="548"/>
      <c r="H1685" s="550"/>
      <c r="I1685" s="326"/>
      <c r="J1685" s="326"/>
      <c r="K1685" s="326"/>
      <c r="M1685" s="463"/>
      <c r="N1685" s="464"/>
    </row>
    <row r="1686" spans="2:14" hidden="1" outlineLevel="1" x14ac:dyDescent="0.35">
      <c r="B1686" s="203"/>
      <c r="C1686" s="204"/>
      <c r="D1686" s="204"/>
      <c r="E1686" s="204"/>
      <c r="F1686" s="205"/>
      <c r="G1686" s="548"/>
      <c r="H1686" s="550"/>
      <c r="I1686" s="326"/>
      <c r="J1686" s="326"/>
      <c r="K1686" s="326"/>
      <c r="M1686" s="463"/>
      <c r="N1686" s="464"/>
    </row>
    <row r="1687" spans="2:14" hidden="1" outlineLevel="1" x14ac:dyDescent="0.35">
      <c r="B1687" s="203"/>
      <c r="C1687" s="204"/>
      <c r="D1687" s="204"/>
      <c r="E1687" s="204"/>
      <c r="F1687" s="205"/>
      <c r="G1687" s="548"/>
      <c r="H1687" s="550"/>
      <c r="I1687" s="326"/>
      <c r="J1687" s="326"/>
      <c r="K1687" s="326"/>
      <c r="M1687" s="463"/>
      <c r="N1687" s="464"/>
    </row>
    <row r="1688" spans="2:14" hidden="1" outlineLevel="1" x14ac:dyDescent="0.35">
      <c r="B1688" s="203"/>
      <c r="C1688" s="204"/>
      <c r="D1688" s="204"/>
      <c r="E1688" s="204"/>
      <c r="F1688" s="205"/>
      <c r="G1688" s="548"/>
      <c r="H1688" s="550"/>
      <c r="I1688" s="326"/>
      <c r="J1688" s="326"/>
      <c r="K1688" s="326"/>
      <c r="M1688" s="463"/>
      <c r="N1688" s="464"/>
    </row>
    <row r="1689" spans="2:14" hidden="1" outlineLevel="1" x14ac:dyDescent="0.35">
      <c r="B1689" s="203"/>
      <c r="C1689" s="204"/>
      <c r="D1689" s="204"/>
      <c r="E1689" s="204"/>
      <c r="F1689" s="205"/>
      <c r="G1689" s="548"/>
      <c r="H1689" s="550"/>
      <c r="I1689" s="326"/>
      <c r="J1689" s="326"/>
      <c r="K1689" s="326"/>
      <c r="M1689" s="463"/>
      <c r="N1689" s="464"/>
    </row>
    <row r="1690" spans="2:14" hidden="1" outlineLevel="1" x14ac:dyDescent="0.35">
      <c r="B1690" s="203"/>
      <c r="C1690" s="204"/>
      <c r="D1690" s="204"/>
      <c r="E1690" s="204"/>
      <c r="F1690" s="205"/>
      <c r="G1690" s="548"/>
      <c r="H1690" s="550"/>
      <c r="I1690" s="326"/>
      <c r="J1690" s="326"/>
      <c r="K1690" s="326"/>
      <c r="M1690" s="463"/>
      <c r="N1690" s="464"/>
    </row>
    <row r="1691" spans="2:14" hidden="1" outlineLevel="1" x14ac:dyDescent="0.35">
      <c r="B1691" s="203"/>
      <c r="C1691" s="204"/>
      <c r="D1691" s="204"/>
      <c r="E1691" s="204"/>
      <c r="F1691" s="205"/>
      <c r="G1691" s="548"/>
      <c r="H1691" s="550"/>
      <c r="I1691" s="326"/>
      <c r="J1691" s="326"/>
      <c r="K1691" s="326"/>
      <c r="M1691" s="463"/>
      <c r="N1691" s="464"/>
    </row>
    <row r="1692" spans="2:14" hidden="1" outlineLevel="1" x14ac:dyDescent="0.35">
      <c r="B1692" s="203"/>
      <c r="C1692" s="204"/>
      <c r="D1692" s="204"/>
      <c r="E1692" s="204"/>
      <c r="F1692" s="205"/>
      <c r="G1692" s="548"/>
      <c r="H1692" s="550"/>
      <c r="I1692" s="326"/>
      <c r="J1692" s="326"/>
      <c r="K1692" s="326"/>
      <c r="M1692" s="463"/>
      <c r="N1692" s="464"/>
    </row>
    <row r="1693" spans="2:14" hidden="1" outlineLevel="1" x14ac:dyDescent="0.35">
      <c r="B1693" s="203"/>
      <c r="C1693" s="204"/>
      <c r="D1693" s="204"/>
      <c r="E1693" s="204"/>
      <c r="F1693" s="205"/>
      <c r="G1693" s="548"/>
      <c r="H1693" s="550"/>
      <c r="I1693" s="326"/>
      <c r="J1693" s="326"/>
      <c r="K1693" s="326"/>
      <c r="M1693" s="463"/>
      <c r="N1693" s="464"/>
    </row>
    <row r="1694" spans="2:14" hidden="1" outlineLevel="1" x14ac:dyDescent="0.35">
      <c r="B1694" s="203"/>
      <c r="C1694" s="204"/>
      <c r="D1694" s="204"/>
      <c r="E1694" s="204"/>
      <c r="F1694" s="205"/>
      <c r="G1694" s="548"/>
      <c r="H1694" s="550"/>
      <c r="I1694" s="326"/>
      <c r="J1694" s="326"/>
      <c r="K1694" s="326"/>
      <c r="M1694" s="463"/>
      <c r="N1694" s="464"/>
    </row>
    <row r="1695" spans="2:14" hidden="1" outlineLevel="1" x14ac:dyDescent="0.35">
      <c r="B1695" s="203"/>
      <c r="C1695" s="204"/>
      <c r="D1695" s="204"/>
      <c r="E1695" s="204"/>
      <c r="F1695" s="205"/>
      <c r="G1695" s="548"/>
      <c r="H1695" s="550"/>
      <c r="I1695" s="326"/>
      <c r="J1695" s="326"/>
      <c r="K1695" s="326"/>
      <c r="M1695" s="463"/>
      <c r="N1695" s="464"/>
    </row>
    <row r="1696" spans="2:14" hidden="1" outlineLevel="1" x14ac:dyDescent="0.35">
      <c r="B1696" s="203"/>
      <c r="C1696" s="204"/>
      <c r="D1696" s="204"/>
      <c r="E1696" s="204"/>
      <c r="F1696" s="205"/>
      <c r="G1696" s="548"/>
      <c r="H1696" s="550"/>
      <c r="I1696" s="326"/>
      <c r="J1696" s="326"/>
      <c r="K1696" s="326"/>
      <c r="M1696" s="463"/>
      <c r="N1696" s="464"/>
    </row>
    <row r="1697" spans="2:14" hidden="1" outlineLevel="1" x14ac:dyDescent="0.35">
      <c r="B1697" s="203"/>
      <c r="C1697" s="204"/>
      <c r="D1697" s="204"/>
      <c r="E1697" s="204"/>
      <c r="F1697" s="205"/>
      <c r="G1697" s="548"/>
      <c r="H1697" s="550"/>
      <c r="I1697" s="326"/>
      <c r="J1697" s="326"/>
      <c r="K1697" s="326"/>
      <c r="M1697" s="463"/>
      <c r="N1697" s="464"/>
    </row>
    <row r="1698" spans="2:14" hidden="1" outlineLevel="1" x14ac:dyDescent="0.35">
      <c r="B1698" s="203"/>
      <c r="C1698" s="204"/>
      <c r="D1698" s="204"/>
      <c r="E1698" s="204"/>
      <c r="F1698" s="205"/>
      <c r="G1698" s="548"/>
      <c r="H1698" s="550"/>
      <c r="I1698" s="326"/>
      <c r="J1698" s="326"/>
      <c r="K1698" s="326"/>
      <c r="M1698" s="463"/>
      <c r="N1698" s="464"/>
    </row>
    <row r="1699" spans="2:14" hidden="1" outlineLevel="1" x14ac:dyDescent="0.35">
      <c r="B1699" s="203"/>
      <c r="C1699" s="204"/>
      <c r="D1699" s="204"/>
      <c r="E1699" s="204"/>
      <c r="F1699" s="205"/>
      <c r="G1699" s="548"/>
      <c r="H1699" s="550"/>
      <c r="I1699" s="326"/>
      <c r="J1699" s="326"/>
      <c r="K1699" s="326"/>
      <c r="M1699" s="463"/>
      <c r="N1699" s="464"/>
    </row>
    <row r="1700" spans="2:14" hidden="1" outlineLevel="1" x14ac:dyDescent="0.35">
      <c r="B1700" s="203"/>
      <c r="C1700" s="204"/>
      <c r="D1700" s="204"/>
      <c r="E1700" s="204"/>
      <c r="F1700" s="205"/>
      <c r="G1700" s="548"/>
      <c r="H1700" s="550"/>
      <c r="I1700" s="326"/>
      <c r="J1700" s="326"/>
      <c r="K1700" s="326"/>
      <c r="M1700" s="463"/>
      <c r="N1700" s="464"/>
    </row>
    <row r="1701" spans="2:14" hidden="1" outlineLevel="1" x14ac:dyDescent="0.35">
      <c r="B1701" s="203"/>
      <c r="C1701" s="204"/>
      <c r="D1701" s="204"/>
      <c r="E1701" s="204"/>
      <c r="F1701" s="205"/>
      <c r="G1701" s="548"/>
      <c r="H1701" s="550"/>
      <c r="I1701" s="326"/>
      <c r="J1701" s="326"/>
      <c r="K1701" s="326"/>
      <c r="M1701" s="463"/>
      <c r="N1701" s="464"/>
    </row>
    <row r="1702" spans="2:14" hidden="1" outlineLevel="1" x14ac:dyDescent="0.35">
      <c r="B1702" s="203"/>
      <c r="C1702" s="204"/>
      <c r="D1702" s="204"/>
      <c r="E1702" s="204"/>
      <c r="F1702" s="205"/>
      <c r="G1702" s="548"/>
      <c r="H1702" s="550"/>
      <c r="I1702" s="326"/>
      <c r="J1702" s="326"/>
      <c r="K1702" s="326"/>
      <c r="M1702" s="463"/>
      <c r="N1702" s="464"/>
    </row>
    <row r="1703" spans="2:14" hidden="1" outlineLevel="1" x14ac:dyDescent="0.35">
      <c r="B1703" s="203"/>
      <c r="C1703" s="204"/>
      <c r="D1703" s="204"/>
      <c r="E1703" s="204"/>
      <c r="F1703" s="205"/>
      <c r="G1703" s="548"/>
      <c r="H1703" s="550"/>
      <c r="I1703" s="326"/>
      <c r="J1703" s="326"/>
      <c r="K1703" s="326"/>
      <c r="M1703" s="463"/>
      <c r="N1703" s="464"/>
    </row>
    <row r="1704" spans="2:14" hidden="1" outlineLevel="1" x14ac:dyDescent="0.35">
      <c r="B1704" s="203"/>
      <c r="C1704" s="204"/>
      <c r="D1704" s="204"/>
      <c r="E1704" s="204"/>
      <c r="F1704" s="205"/>
      <c r="G1704" s="548"/>
      <c r="H1704" s="550"/>
      <c r="I1704" s="326"/>
      <c r="J1704" s="326"/>
      <c r="K1704" s="326"/>
      <c r="M1704" s="463"/>
      <c r="N1704" s="464"/>
    </row>
    <row r="1705" spans="2:14" hidden="1" outlineLevel="1" x14ac:dyDescent="0.35">
      <c r="B1705" s="203"/>
      <c r="C1705" s="204"/>
      <c r="D1705" s="204"/>
      <c r="E1705" s="204"/>
      <c r="F1705" s="205"/>
      <c r="G1705" s="548"/>
      <c r="H1705" s="550"/>
      <c r="I1705" s="326"/>
      <c r="J1705" s="326"/>
      <c r="K1705" s="326"/>
      <c r="M1705" s="463"/>
      <c r="N1705" s="464"/>
    </row>
    <row r="1706" spans="2:14" hidden="1" outlineLevel="1" x14ac:dyDescent="0.35">
      <c r="B1706" s="203"/>
      <c r="C1706" s="204"/>
      <c r="D1706" s="204"/>
      <c r="E1706" s="204"/>
      <c r="F1706" s="205"/>
      <c r="G1706" s="548"/>
      <c r="H1706" s="550"/>
      <c r="I1706" s="326"/>
      <c r="J1706" s="326"/>
      <c r="K1706" s="326"/>
      <c r="M1706" s="463"/>
      <c r="N1706" s="464"/>
    </row>
    <row r="1707" spans="2:14" hidden="1" outlineLevel="1" x14ac:dyDescent="0.35">
      <c r="B1707" s="203"/>
      <c r="C1707" s="204"/>
      <c r="D1707" s="204"/>
      <c r="E1707" s="204"/>
      <c r="F1707" s="205"/>
      <c r="G1707" s="548"/>
      <c r="H1707" s="550"/>
      <c r="I1707" s="326"/>
      <c r="J1707" s="326"/>
      <c r="K1707" s="326"/>
      <c r="M1707" s="463"/>
      <c r="N1707" s="464"/>
    </row>
    <row r="1708" spans="2:14" hidden="1" outlineLevel="1" x14ac:dyDescent="0.35">
      <c r="B1708" s="203"/>
      <c r="C1708" s="204"/>
      <c r="D1708" s="204"/>
      <c r="E1708" s="204"/>
      <c r="F1708" s="205"/>
      <c r="G1708" s="548"/>
      <c r="H1708" s="550"/>
      <c r="I1708" s="326"/>
      <c r="J1708" s="326"/>
      <c r="K1708" s="326"/>
      <c r="M1708" s="463"/>
      <c r="N1708" s="464"/>
    </row>
    <row r="1709" spans="2:14" hidden="1" outlineLevel="1" x14ac:dyDescent="0.35">
      <c r="B1709" s="203"/>
      <c r="C1709" s="204"/>
      <c r="D1709" s="204"/>
      <c r="E1709" s="204"/>
      <c r="F1709" s="205"/>
      <c r="G1709" s="548"/>
      <c r="H1709" s="550"/>
      <c r="I1709" s="326"/>
      <c r="J1709" s="326"/>
      <c r="K1709" s="326"/>
      <c r="M1709" s="463"/>
      <c r="N1709" s="464"/>
    </row>
    <row r="1710" spans="2:14" hidden="1" outlineLevel="1" x14ac:dyDescent="0.35">
      <c r="B1710" s="203"/>
      <c r="C1710" s="204"/>
      <c r="D1710" s="204"/>
      <c r="E1710" s="204"/>
      <c r="F1710" s="205"/>
      <c r="G1710" s="548"/>
      <c r="H1710" s="550"/>
      <c r="I1710" s="326"/>
      <c r="J1710" s="326"/>
      <c r="K1710" s="326"/>
      <c r="M1710" s="463"/>
      <c r="N1710" s="464"/>
    </row>
    <row r="1711" spans="2:14" hidden="1" outlineLevel="1" x14ac:dyDescent="0.35">
      <c r="B1711" s="203"/>
      <c r="C1711" s="204"/>
      <c r="D1711" s="204"/>
      <c r="E1711" s="204"/>
      <c r="F1711" s="205"/>
      <c r="G1711" s="548"/>
      <c r="H1711" s="550"/>
      <c r="I1711" s="326"/>
      <c r="J1711" s="326"/>
      <c r="K1711" s="326"/>
      <c r="M1711" s="463"/>
      <c r="N1711" s="464"/>
    </row>
    <row r="1712" spans="2:14" hidden="1" outlineLevel="1" x14ac:dyDescent="0.35">
      <c r="B1712" s="203"/>
      <c r="C1712" s="204"/>
      <c r="D1712" s="204"/>
      <c r="E1712" s="204"/>
      <c r="F1712" s="205"/>
      <c r="G1712" s="548"/>
      <c r="H1712" s="550"/>
      <c r="I1712" s="326"/>
      <c r="J1712" s="326"/>
      <c r="K1712" s="326"/>
      <c r="M1712" s="463"/>
      <c r="N1712" s="464"/>
    </row>
    <row r="1713" spans="2:14" hidden="1" outlineLevel="1" x14ac:dyDescent="0.35">
      <c r="B1713" s="203"/>
      <c r="C1713" s="204"/>
      <c r="D1713" s="204"/>
      <c r="E1713" s="204"/>
      <c r="F1713" s="205"/>
      <c r="G1713" s="548"/>
      <c r="H1713" s="550"/>
      <c r="I1713" s="326"/>
      <c r="J1713" s="326"/>
      <c r="K1713" s="326"/>
      <c r="M1713" s="463"/>
      <c r="N1713" s="464"/>
    </row>
    <row r="1714" spans="2:14" hidden="1" outlineLevel="1" x14ac:dyDescent="0.35">
      <c r="B1714" s="203"/>
      <c r="C1714" s="204"/>
      <c r="D1714" s="204"/>
      <c r="E1714" s="204"/>
      <c r="F1714" s="205"/>
      <c r="G1714" s="548"/>
      <c r="H1714" s="550"/>
      <c r="I1714" s="326"/>
      <c r="J1714" s="326"/>
      <c r="K1714" s="326"/>
      <c r="M1714" s="463"/>
      <c r="N1714" s="464"/>
    </row>
    <row r="1715" spans="2:14" hidden="1" outlineLevel="1" x14ac:dyDescent="0.35">
      <c r="B1715" s="203"/>
      <c r="C1715" s="204"/>
      <c r="D1715" s="204"/>
      <c r="E1715" s="204"/>
      <c r="F1715" s="205"/>
      <c r="G1715" s="548"/>
      <c r="H1715" s="550"/>
      <c r="I1715" s="326"/>
      <c r="J1715" s="326"/>
      <c r="K1715" s="326"/>
      <c r="M1715" s="463"/>
      <c r="N1715" s="464"/>
    </row>
    <row r="1716" spans="2:14" hidden="1" outlineLevel="1" x14ac:dyDescent="0.35">
      <c r="B1716" s="203"/>
      <c r="C1716" s="204"/>
      <c r="D1716" s="204"/>
      <c r="E1716" s="204"/>
      <c r="F1716" s="205"/>
      <c r="G1716" s="548"/>
      <c r="H1716" s="550"/>
      <c r="I1716" s="326"/>
      <c r="J1716" s="326"/>
      <c r="K1716" s="326"/>
      <c r="M1716" s="463"/>
      <c r="N1716" s="464"/>
    </row>
    <row r="1717" spans="2:14" hidden="1" outlineLevel="1" x14ac:dyDescent="0.35">
      <c r="B1717" s="203"/>
      <c r="C1717" s="204"/>
      <c r="D1717" s="204"/>
      <c r="E1717" s="204"/>
      <c r="F1717" s="205"/>
      <c r="G1717" s="548"/>
      <c r="H1717" s="550"/>
      <c r="I1717" s="326"/>
      <c r="J1717" s="326"/>
      <c r="K1717" s="326"/>
      <c r="M1717" s="463"/>
      <c r="N1717" s="464"/>
    </row>
    <row r="1718" spans="2:14" hidden="1" outlineLevel="1" x14ac:dyDescent="0.35">
      <c r="B1718" s="203"/>
      <c r="C1718" s="204"/>
      <c r="D1718" s="204"/>
      <c r="E1718" s="204"/>
      <c r="F1718" s="205"/>
      <c r="G1718" s="548"/>
      <c r="H1718" s="550"/>
      <c r="I1718" s="326"/>
      <c r="J1718" s="326"/>
      <c r="K1718" s="326"/>
      <c r="M1718" s="463"/>
      <c r="N1718" s="464"/>
    </row>
    <row r="1719" spans="2:14" hidden="1" outlineLevel="1" x14ac:dyDescent="0.35">
      <c r="B1719" s="203"/>
      <c r="C1719" s="204"/>
      <c r="D1719" s="204"/>
      <c r="E1719" s="204"/>
      <c r="F1719" s="205"/>
      <c r="G1719" s="548"/>
      <c r="H1719" s="550"/>
      <c r="I1719" s="326"/>
      <c r="J1719" s="326"/>
      <c r="K1719" s="326"/>
      <c r="M1719" s="463"/>
      <c r="N1719" s="464"/>
    </row>
    <row r="1720" spans="2:14" hidden="1" outlineLevel="1" x14ac:dyDescent="0.35">
      <c r="B1720" s="203"/>
      <c r="C1720" s="204"/>
      <c r="D1720" s="204"/>
      <c r="E1720" s="204"/>
      <c r="F1720" s="205"/>
      <c r="G1720" s="548"/>
      <c r="H1720" s="550"/>
      <c r="I1720" s="326"/>
      <c r="J1720" s="326"/>
      <c r="K1720" s="326"/>
      <c r="M1720" s="463"/>
      <c r="N1720" s="464"/>
    </row>
    <row r="1721" spans="2:14" hidden="1" outlineLevel="1" x14ac:dyDescent="0.35">
      <c r="B1721" s="203"/>
      <c r="C1721" s="204"/>
      <c r="D1721" s="204"/>
      <c r="E1721" s="204"/>
      <c r="F1721" s="205"/>
      <c r="G1721" s="548"/>
      <c r="H1721" s="550"/>
      <c r="I1721" s="326"/>
      <c r="J1721" s="326"/>
      <c r="K1721" s="326"/>
      <c r="M1721" s="463"/>
      <c r="N1721" s="464"/>
    </row>
    <row r="1722" spans="2:14" hidden="1" outlineLevel="1" x14ac:dyDescent="0.35">
      <c r="B1722" s="203"/>
      <c r="C1722" s="204"/>
      <c r="D1722" s="204"/>
      <c r="E1722" s="204"/>
      <c r="F1722" s="205"/>
      <c r="G1722" s="548"/>
      <c r="H1722" s="550"/>
      <c r="I1722" s="326"/>
      <c r="J1722" s="326"/>
      <c r="K1722" s="326"/>
      <c r="M1722" s="463"/>
      <c r="N1722" s="464"/>
    </row>
    <row r="1723" spans="2:14" hidden="1" outlineLevel="1" x14ac:dyDescent="0.35">
      <c r="B1723" s="203"/>
      <c r="C1723" s="204"/>
      <c r="D1723" s="204"/>
      <c r="E1723" s="204"/>
      <c r="F1723" s="205"/>
      <c r="G1723" s="548"/>
      <c r="H1723" s="550"/>
      <c r="I1723" s="326"/>
      <c r="J1723" s="326"/>
      <c r="K1723" s="326"/>
      <c r="M1723" s="463"/>
      <c r="N1723" s="464"/>
    </row>
    <row r="1724" spans="2:14" hidden="1" outlineLevel="1" x14ac:dyDescent="0.35">
      <c r="B1724" s="203"/>
      <c r="C1724" s="204"/>
      <c r="D1724" s="204"/>
      <c r="E1724" s="204"/>
      <c r="F1724" s="205"/>
      <c r="G1724" s="548"/>
      <c r="H1724" s="550"/>
      <c r="I1724" s="326"/>
      <c r="J1724" s="326"/>
      <c r="K1724" s="326"/>
      <c r="M1724" s="463"/>
      <c r="N1724" s="464"/>
    </row>
    <row r="1725" spans="2:14" hidden="1" outlineLevel="1" x14ac:dyDescent="0.35">
      <c r="B1725" s="203"/>
      <c r="C1725" s="204"/>
      <c r="D1725" s="204"/>
      <c r="E1725" s="204"/>
      <c r="F1725" s="205"/>
      <c r="G1725" s="548"/>
      <c r="H1725" s="550"/>
      <c r="I1725" s="326"/>
      <c r="J1725" s="326"/>
      <c r="K1725" s="326"/>
      <c r="M1725" s="463"/>
      <c r="N1725" s="464"/>
    </row>
    <row r="1726" spans="2:14" hidden="1" outlineLevel="1" x14ac:dyDescent="0.35">
      <c r="B1726" s="203"/>
      <c r="C1726" s="204"/>
      <c r="D1726" s="204"/>
      <c r="E1726" s="204"/>
      <c r="F1726" s="205"/>
      <c r="G1726" s="548"/>
      <c r="H1726" s="550"/>
      <c r="I1726" s="326"/>
      <c r="J1726" s="326"/>
      <c r="K1726" s="326"/>
      <c r="M1726" s="463"/>
      <c r="N1726" s="464"/>
    </row>
    <row r="1727" spans="2:14" hidden="1" outlineLevel="1" x14ac:dyDescent="0.35">
      <c r="B1727" s="203"/>
      <c r="C1727" s="204"/>
      <c r="D1727" s="204"/>
      <c r="E1727" s="204"/>
      <c r="F1727" s="205"/>
      <c r="G1727" s="548"/>
      <c r="H1727" s="550"/>
      <c r="I1727" s="326"/>
      <c r="J1727" s="326"/>
      <c r="K1727" s="326"/>
      <c r="M1727" s="463"/>
      <c r="N1727" s="464"/>
    </row>
    <row r="1728" spans="2:14" hidden="1" outlineLevel="1" x14ac:dyDescent="0.35">
      <c r="B1728" s="203"/>
      <c r="C1728" s="204"/>
      <c r="D1728" s="204"/>
      <c r="E1728" s="204"/>
      <c r="F1728" s="205"/>
      <c r="G1728" s="548"/>
      <c r="H1728" s="550"/>
      <c r="I1728" s="326"/>
      <c r="J1728" s="326"/>
      <c r="K1728" s="326"/>
      <c r="M1728" s="463"/>
      <c r="N1728" s="464"/>
    </row>
    <row r="1729" spans="2:14" hidden="1" outlineLevel="1" x14ac:dyDescent="0.35">
      <c r="B1729" s="203"/>
      <c r="C1729" s="204"/>
      <c r="D1729" s="204"/>
      <c r="E1729" s="204"/>
      <c r="F1729" s="205"/>
      <c r="G1729" s="548"/>
      <c r="H1729" s="550"/>
      <c r="I1729" s="326"/>
      <c r="J1729" s="326"/>
      <c r="K1729" s="326"/>
      <c r="M1729" s="463"/>
      <c r="N1729" s="464"/>
    </row>
    <row r="1730" spans="2:14" hidden="1" outlineLevel="1" x14ac:dyDescent="0.35">
      <c r="B1730" s="203"/>
      <c r="C1730" s="204"/>
      <c r="D1730" s="204"/>
      <c r="E1730" s="204"/>
      <c r="F1730" s="205"/>
      <c r="G1730" s="548"/>
      <c r="H1730" s="550"/>
      <c r="I1730" s="326"/>
      <c r="J1730" s="326"/>
      <c r="K1730" s="326"/>
      <c r="M1730" s="463"/>
      <c r="N1730" s="464"/>
    </row>
    <row r="1731" spans="2:14" hidden="1" outlineLevel="1" x14ac:dyDescent="0.35">
      <c r="B1731" s="203"/>
      <c r="C1731" s="204"/>
      <c r="D1731" s="204"/>
      <c r="E1731" s="204"/>
      <c r="F1731" s="205"/>
      <c r="G1731" s="548"/>
      <c r="H1731" s="550"/>
      <c r="I1731" s="326"/>
      <c r="J1731" s="326"/>
      <c r="K1731" s="326"/>
      <c r="M1731" s="463"/>
      <c r="N1731" s="464"/>
    </row>
    <row r="1732" spans="2:14" hidden="1" outlineLevel="1" x14ac:dyDescent="0.35">
      <c r="B1732" s="203"/>
      <c r="C1732" s="204"/>
      <c r="D1732" s="204"/>
      <c r="E1732" s="204"/>
      <c r="F1732" s="205"/>
      <c r="G1732" s="548"/>
      <c r="H1732" s="550"/>
      <c r="I1732" s="326"/>
      <c r="J1732" s="326"/>
      <c r="K1732" s="326"/>
      <c r="M1732" s="463"/>
      <c r="N1732" s="464"/>
    </row>
    <row r="1733" spans="2:14" hidden="1" outlineLevel="1" x14ac:dyDescent="0.35">
      <c r="B1733" s="203"/>
      <c r="C1733" s="204"/>
      <c r="D1733" s="204"/>
      <c r="E1733" s="204"/>
      <c r="F1733" s="205"/>
      <c r="G1733" s="548"/>
      <c r="H1733" s="550"/>
      <c r="I1733" s="326"/>
      <c r="J1733" s="326"/>
      <c r="K1733" s="326"/>
      <c r="M1733" s="463"/>
      <c r="N1733" s="464"/>
    </row>
    <row r="1734" spans="2:14" hidden="1" outlineLevel="1" x14ac:dyDescent="0.35">
      <c r="B1734" s="203"/>
      <c r="C1734" s="204"/>
      <c r="D1734" s="204"/>
      <c r="E1734" s="204"/>
      <c r="F1734" s="205"/>
      <c r="G1734" s="548"/>
      <c r="H1734" s="550"/>
      <c r="I1734" s="326"/>
      <c r="J1734" s="326"/>
      <c r="K1734" s="326"/>
      <c r="M1734" s="463"/>
      <c r="N1734" s="464"/>
    </row>
    <row r="1735" spans="2:14" hidden="1" outlineLevel="1" x14ac:dyDescent="0.35">
      <c r="B1735" s="203"/>
      <c r="C1735" s="204"/>
      <c r="D1735" s="204"/>
      <c r="E1735" s="204"/>
      <c r="F1735" s="205"/>
      <c r="G1735" s="548"/>
      <c r="H1735" s="550"/>
      <c r="I1735" s="326"/>
      <c r="J1735" s="326"/>
      <c r="K1735" s="326"/>
      <c r="M1735" s="463"/>
      <c r="N1735" s="464"/>
    </row>
    <row r="1736" spans="2:14" hidden="1" outlineLevel="1" x14ac:dyDescent="0.35">
      <c r="B1736" s="203"/>
      <c r="C1736" s="204"/>
      <c r="D1736" s="204"/>
      <c r="E1736" s="204"/>
      <c r="F1736" s="205"/>
      <c r="G1736" s="548"/>
      <c r="H1736" s="550"/>
      <c r="I1736" s="326"/>
      <c r="J1736" s="326"/>
      <c r="K1736" s="326"/>
      <c r="M1736" s="463"/>
      <c r="N1736" s="464"/>
    </row>
    <row r="1737" spans="2:14" hidden="1" outlineLevel="1" x14ac:dyDescent="0.35">
      <c r="B1737" s="203"/>
      <c r="C1737" s="204"/>
      <c r="D1737" s="204"/>
      <c r="E1737" s="204"/>
      <c r="F1737" s="205"/>
      <c r="G1737" s="548"/>
      <c r="H1737" s="550"/>
      <c r="I1737" s="326"/>
      <c r="J1737" s="326"/>
      <c r="K1737" s="326"/>
      <c r="M1737" s="463"/>
      <c r="N1737" s="464"/>
    </row>
    <row r="1738" spans="2:14" hidden="1" outlineLevel="1" x14ac:dyDescent="0.35">
      <c r="B1738" s="203"/>
      <c r="C1738" s="204"/>
      <c r="D1738" s="204"/>
      <c r="E1738" s="204"/>
      <c r="F1738" s="205"/>
      <c r="G1738" s="548"/>
      <c r="H1738" s="550"/>
      <c r="I1738" s="326"/>
      <c r="J1738" s="326"/>
      <c r="K1738" s="326"/>
      <c r="M1738" s="463"/>
      <c r="N1738" s="464"/>
    </row>
    <row r="1739" spans="2:14" hidden="1" outlineLevel="1" x14ac:dyDescent="0.35">
      <c r="B1739" s="203"/>
      <c r="C1739" s="204"/>
      <c r="D1739" s="204"/>
      <c r="E1739" s="204"/>
      <c r="F1739" s="205"/>
      <c r="G1739" s="548"/>
      <c r="H1739" s="550"/>
      <c r="I1739" s="326"/>
      <c r="J1739" s="326"/>
      <c r="K1739" s="326"/>
      <c r="M1739" s="463"/>
      <c r="N1739" s="464"/>
    </row>
    <row r="1740" spans="2:14" hidden="1" outlineLevel="1" x14ac:dyDescent="0.35">
      <c r="B1740" s="203"/>
      <c r="C1740" s="204"/>
      <c r="D1740" s="204"/>
      <c r="E1740" s="204"/>
      <c r="F1740" s="205"/>
      <c r="G1740" s="548"/>
      <c r="H1740" s="550"/>
      <c r="I1740" s="326"/>
      <c r="J1740" s="326"/>
      <c r="K1740" s="326"/>
      <c r="M1740" s="463"/>
      <c r="N1740" s="464"/>
    </row>
    <row r="1741" spans="2:14" hidden="1" outlineLevel="1" x14ac:dyDescent="0.35">
      <c r="B1741" s="203"/>
      <c r="C1741" s="204"/>
      <c r="D1741" s="204"/>
      <c r="E1741" s="204"/>
      <c r="F1741" s="205"/>
      <c r="G1741" s="548"/>
      <c r="H1741" s="550"/>
      <c r="I1741" s="326"/>
      <c r="J1741" s="326"/>
      <c r="K1741" s="326"/>
      <c r="M1741" s="463"/>
      <c r="N1741" s="464"/>
    </row>
    <row r="1742" spans="2:14" hidden="1" outlineLevel="1" x14ac:dyDescent="0.35">
      <c r="B1742" s="203"/>
      <c r="C1742" s="204"/>
      <c r="D1742" s="204"/>
      <c r="E1742" s="204"/>
      <c r="F1742" s="205"/>
      <c r="G1742" s="548"/>
      <c r="H1742" s="550"/>
      <c r="I1742" s="326"/>
      <c r="J1742" s="326"/>
      <c r="K1742" s="326"/>
      <c r="M1742" s="463"/>
      <c r="N1742" s="464"/>
    </row>
    <row r="1743" spans="2:14" hidden="1" outlineLevel="1" x14ac:dyDescent="0.35">
      <c r="B1743" s="203"/>
      <c r="C1743" s="204"/>
      <c r="D1743" s="204"/>
      <c r="E1743" s="204"/>
      <c r="F1743" s="205"/>
      <c r="G1743" s="548"/>
      <c r="H1743" s="550"/>
      <c r="I1743" s="326"/>
      <c r="J1743" s="326"/>
      <c r="K1743" s="326"/>
      <c r="M1743" s="463"/>
      <c r="N1743" s="464"/>
    </row>
    <row r="1744" spans="2:14" hidden="1" outlineLevel="1" x14ac:dyDescent="0.35">
      <c r="B1744" s="203"/>
      <c r="C1744" s="204"/>
      <c r="D1744" s="204"/>
      <c r="E1744" s="204"/>
      <c r="F1744" s="205"/>
      <c r="G1744" s="548"/>
      <c r="H1744" s="550"/>
      <c r="I1744" s="326"/>
      <c r="J1744" s="326"/>
      <c r="K1744" s="326"/>
      <c r="M1744" s="463"/>
      <c r="N1744" s="464"/>
    </row>
    <row r="1745" spans="2:14" hidden="1" outlineLevel="1" x14ac:dyDescent="0.35">
      <c r="B1745" s="203"/>
      <c r="C1745" s="204"/>
      <c r="D1745" s="204"/>
      <c r="E1745" s="204"/>
      <c r="F1745" s="205"/>
      <c r="G1745" s="548"/>
      <c r="H1745" s="550"/>
      <c r="I1745" s="326"/>
      <c r="J1745" s="326"/>
      <c r="K1745" s="326"/>
      <c r="M1745" s="463"/>
      <c r="N1745" s="464"/>
    </row>
    <row r="1746" spans="2:14" hidden="1" outlineLevel="1" x14ac:dyDescent="0.35">
      <c r="B1746" s="203"/>
      <c r="C1746" s="204"/>
      <c r="D1746" s="204"/>
      <c r="E1746" s="204"/>
      <c r="F1746" s="205"/>
      <c r="G1746" s="548"/>
      <c r="H1746" s="550"/>
      <c r="I1746" s="326"/>
      <c r="J1746" s="326"/>
      <c r="K1746" s="326"/>
      <c r="M1746" s="463"/>
      <c r="N1746" s="464"/>
    </row>
    <row r="1747" spans="2:14" hidden="1" outlineLevel="1" x14ac:dyDescent="0.35">
      <c r="B1747" s="203"/>
      <c r="C1747" s="204"/>
      <c r="D1747" s="204"/>
      <c r="E1747" s="204"/>
      <c r="F1747" s="205"/>
      <c r="G1747" s="548"/>
      <c r="H1747" s="550"/>
      <c r="I1747" s="326"/>
      <c r="J1747" s="326"/>
      <c r="K1747" s="326"/>
      <c r="M1747" s="463"/>
      <c r="N1747" s="464"/>
    </row>
    <row r="1748" spans="2:14" hidden="1" outlineLevel="1" x14ac:dyDescent="0.35">
      <c r="B1748" s="203"/>
      <c r="C1748" s="204"/>
      <c r="D1748" s="204"/>
      <c r="E1748" s="204"/>
      <c r="F1748" s="205"/>
      <c r="G1748" s="548"/>
      <c r="H1748" s="550"/>
      <c r="I1748" s="326"/>
      <c r="J1748" s="326"/>
      <c r="K1748" s="326"/>
      <c r="M1748" s="463"/>
      <c r="N1748" s="464"/>
    </row>
    <row r="1749" spans="2:14" hidden="1" outlineLevel="1" x14ac:dyDescent="0.35">
      <c r="B1749" s="203"/>
      <c r="C1749" s="204"/>
      <c r="D1749" s="204"/>
      <c r="E1749" s="204"/>
      <c r="F1749" s="205"/>
      <c r="G1749" s="548"/>
      <c r="H1749" s="550"/>
      <c r="I1749" s="326"/>
      <c r="J1749" s="326"/>
      <c r="K1749" s="326"/>
      <c r="M1749" s="463"/>
      <c r="N1749" s="464"/>
    </row>
    <row r="1750" spans="2:14" hidden="1" outlineLevel="1" x14ac:dyDescent="0.35">
      <c r="B1750" s="203"/>
      <c r="C1750" s="204"/>
      <c r="D1750" s="204"/>
      <c r="E1750" s="204"/>
      <c r="F1750" s="205"/>
      <c r="G1750" s="548"/>
      <c r="H1750" s="550"/>
      <c r="I1750" s="326"/>
      <c r="J1750" s="326"/>
      <c r="K1750" s="326"/>
      <c r="M1750" s="463"/>
      <c r="N1750" s="464"/>
    </row>
    <row r="1751" spans="2:14" hidden="1" outlineLevel="1" x14ac:dyDescent="0.35">
      <c r="B1751" s="203"/>
      <c r="C1751" s="204"/>
      <c r="D1751" s="204"/>
      <c r="E1751" s="204"/>
      <c r="F1751" s="205"/>
      <c r="G1751" s="548"/>
      <c r="H1751" s="550"/>
      <c r="I1751" s="326"/>
      <c r="J1751" s="326"/>
      <c r="K1751" s="326"/>
      <c r="M1751" s="463"/>
      <c r="N1751" s="464"/>
    </row>
    <row r="1752" spans="2:14" hidden="1" outlineLevel="1" x14ac:dyDescent="0.35">
      <c r="B1752" s="203"/>
      <c r="C1752" s="204"/>
      <c r="D1752" s="204"/>
      <c r="E1752" s="204"/>
      <c r="F1752" s="205"/>
      <c r="G1752" s="548"/>
      <c r="H1752" s="550"/>
      <c r="I1752" s="326"/>
      <c r="J1752" s="326"/>
      <c r="K1752" s="326"/>
      <c r="M1752" s="463"/>
      <c r="N1752" s="464"/>
    </row>
    <row r="1753" spans="2:14" hidden="1" outlineLevel="1" x14ac:dyDescent="0.35">
      <c r="B1753" s="203"/>
      <c r="C1753" s="204"/>
      <c r="D1753" s="204"/>
      <c r="E1753" s="204"/>
      <c r="F1753" s="205"/>
      <c r="G1753" s="548"/>
      <c r="H1753" s="550"/>
      <c r="I1753" s="326"/>
      <c r="J1753" s="326"/>
      <c r="K1753" s="326"/>
      <c r="M1753" s="463"/>
      <c r="N1753" s="464"/>
    </row>
    <row r="1754" spans="2:14" hidden="1" outlineLevel="1" x14ac:dyDescent="0.35">
      <c r="B1754" s="203"/>
      <c r="C1754" s="204"/>
      <c r="D1754" s="204"/>
      <c r="E1754" s="204"/>
      <c r="F1754" s="205"/>
      <c r="G1754" s="548"/>
      <c r="H1754" s="550"/>
      <c r="I1754" s="326"/>
      <c r="J1754" s="326"/>
      <c r="K1754" s="326"/>
      <c r="M1754" s="463"/>
      <c r="N1754" s="464"/>
    </row>
    <row r="1755" spans="2:14" hidden="1" outlineLevel="1" x14ac:dyDescent="0.35">
      <c r="B1755" s="203"/>
      <c r="C1755" s="204"/>
      <c r="D1755" s="204"/>
      <c r="E1755" s="204"/>
      <c r="F1755" s="205"/>
      <c r="G1755" s="548"/>
      <c r="H1755" s="550"/>
      <c r="I1755" s="326"/>
      <c r="J1755" s="326"/>
      <c r="K1755" s="326"/>
      <c r="M1755" s="463"/>
      <c r="N1755" s="464"/>
    </row>
    <row r="1756" spans="2:14" hidden="1" outlineLevel="1" x14ac:dyDescent="0.35">
      <c r="B1756" s="203"/>
      <c r="C1756" s="204"/>
      <c r="D1756" s="204"/>
      <c r="E1756" s="204"/>
      <c r="F1756" s="205"/>
      <c r="G1756" s="548"/>
      <c r="H1756" s="550"/>
      <c r="I1756" s="326"/>
      <c r="J1756" s="326"/>
      <c r="K1756" s="326"/>
      <c r="M1756" s="463"/>
      <c r="N1756" s="464"/>
    </row>
    <row r="1757" spans="2:14" hidden="1" outlineLevel="1" x14ac:dyDescent="0.35">
      <c r="B1757" s="203"/>
      <c r="C1757" s="204"/>
      <c r="D1757" s="204"/>
      <c r="E1757" s="204"/>
      <c r="F1757" s="205"/>
      <c r="G1757" s="548"/>
      <c r="H1757" s="550"/>
      <c r="I1757" s="326"/>
      <c r="J1757" s="326"/>
      <c r="K1757" s="326"/>
      <c r="M1757" s="463"/>
      <c r="N1757" s="464"/>
    </row>
    <row r="1758" spans="2:14" hidden="1" outlineLevel="1" x14ac:dyDescent="0.35">
      <c r="B1758" s="203"/>
      <c r="C1758" s="204"/>
      <c r="D1758" s="204"/>
      <c r="E1758" s="204"/>
      <c r="F1758" s="205"/>
      <c r="G1758" s="548"/>
      <c r="H1758" s="550"/>
      <c r="I1758" s="326"/>
      <c r="J1758" s="326"/>
      <c r="K1758" s="326"/>
      <c r="M1758" s="463"/>
      <c r="N1758" s="464"/>
    </row>
    <row r="1759" spans="2:14" hidden="1" outlineLevel="1" x14ac:dyDescent="0.35">
      <c r="B1759" s="203"/>
      <c r="C1759" s="204"/>
      <c r="D1759" s="204"/>
      <c r="E1759" s="204"/>
      <c r="F1759" s="205"/>
      <c r="G1759" s="548"/>
      <c r="H1759" s="550"/>
      <c r="I1759" s="326"/>
      <c r="J1759" s="326"/>
      <c r="K1759" s="326"/>
      <c r="M1759" s="463"/>
      <c r="N1759" s="464"/>
    </row>
    <row r="1760" spans="2:14" hidden="1" outlineLevel="1" x14ac:dyDescent="0.35">
      <c r="B1760" s="203"/>
      <c r="C1760" s="204"/>
      <c r="D1760" s="204"/>
      <c r="E1760" s="204"/>
      <c r="F1760" s="205"/>
      <c r="G1760" s="548"/>
      <c r="H1760" s="550"/>
      <c r="I1760" s="326"/>
      <c r="J1760" s="326"/>
      <c r="K1760" s="326"/>
      <c r="M1760" s="463"/>
      <c r="N1760" s="464"/>
    </row>
    <row r="1761" spans="2:14" hidden="1" outlineLevel="1" x14ac:dyDescent="0.35">
      <c r="B1761" s="203"/>
      <c r="C1761" s="204"/>
      <c r="D1761" s="204"/>
      <c r="E1761" s="204"/>
      <c r="F1761" s="205"/>
      <c r="G1761" s="548"/>
      <c r="H1761" s="550"/>
      <c r="I1761" s="326"/>
      <c r="J1761" s="326"/>
      <c r="K1761" s="326"/>
      <c r="M1761" s="463"/>
      <c r="N1761" s="464"/>
    </row>
    <row r="1762" spans="2:14" hidden="1" outlineLevel="1" x14ac:dyDescent="0.35">
      <c r="B1762" s="203"/>
      <c r="C1762" s="204"/>
      <c r="D1762" s="204"/>
      <c r="E1762" s="204"/>
      <c r="F1762" s="205"/>
      <c r="G1762" s="548"/>
      <c r="H1762" s="550"/>
      <c r="I1762" s="326"/>
      <c r="J1762" s="326"/>
      <c r="K1762" s="326"/>
      <c r="M1762" s="463"/>
      <c r="N1762" s="464"/>
    </row>
    <row r="1763" spans="2:14" hidden="1" outlineLevel="1" x14ac:dyDescent="0.35">
      <c r="B1763" s="203"/>
      <c r="C1763" s="204"/>
      <c r="D1763" s="204"/>
      <c r="E1763" s="204"/>
      <c r="F1763" s="205"/>
      <c r="G1763" s="548"/>
      <c r="H1763" s="550"/>
      <c r="I1763" s="326"/>
      <c r="J1763" s="326"/>
      <c r="K1763" s="326"/>
      <c r="M1763" s="463"/>
      <c r="N1763" s="464"/>
    </row>
    <row r="1764" spans="2:14" hidden="1" outlineLevel="1" x14ac:dyDescent="0.35">
      <c r="B1764" s="203"/>
      <c r="C1764" s="204"/>
      <c r="D1764" s="204"/>
      <c r="E1764" s="204"/>
      <c r="F1764" s="205"/>
      <c r="G1764" s="548"/>
      <c r="H1764" s="550"/>
      <c r="I1764" s="326"/>
      <c r="J1764" s="326"/>
      <c r="K1764" s="326"/>
      <c r="M1764" s="463"/>
      <c r="N1764" s="464"/>
    </row>
    <row r="1765" spans="2:14" hidden="1" outlineLevel="1" x14ac:dyDescent="0.35">
      <c r="B1765" s="203"/>
      <c r="C1765" s="204"/>
      <c r="D1765" s="204"/>
      <c r="E1765" s="204"/>
      <c r="F1765" s="205"/>
      <c r="G1765" s="548"/>
      <c r="H1765" s="550"/>
      <c r="I1765" s="326"/>
      <c r="J1765" s="326"/>
      <c r="K1765" s="326"/>
      <c r="M1765" s="463"/>
      <c r="N1765" s="464"/>
    </row>
    <row r="1766" spans="2:14" hidden="1" outlineLevel="1" x14ac:dyDescent="0.35">
      <c r="B1766" s="203"/>
      <c r="C1766" s="204"/>
      <c r="D1766" s="204"/>
      <c r="E1766" s="204"/>
      <c r="F1766" s="205"/>
      <c r="G1766" s="548"/>
      <c r="H1766" s="550"/>
      <c r="I1766" s="326"/>
      <c r="J1766" s="326"/>
      <c r="K1766" s="326"/>
      <c r="M1766" s="463"/>
      <c r="N1766" s="464"/>
    </row>
    <row r="1767" spans="2:14" hidden="1" outlineLevel="1" x14ac:dyDescent="0.35">
      <c r="B1767" s="203"/>
      <c r="C1767" s="204"/>
      <c r="D1767" s="204"/>
      <c r="E1767" s="204"/>
      <c r="F1767" s="205"/>
      <c r="G1767" s="548"/>
      <c r="H1767" s="550"/>
      <c r="I1767" s="326"/>
      <c r="J1767" s="326"/>
      <c r="K1767" s="326"/>
      <c r="M1767" s="463"/>
      <c r="N1767" s="464"/>
    </row>
    <row r="1768" spans="2:14" hidden="1" outlineLevel="1" x14ac:dyDescent="0.35">
      <c r="B1768" s="203"/>
      <c r="C1768" s="204"/>
      <c r="D1768" s="204"/>
      <c r="E1768" s="204"/>
      <c r="F1768" s="205"/>
      <c r="G1768" s="548"/>
      <c r="H1768" s="550"/>
      <c r="I1768" s="326"/>
      <c r="J1768" s="326"/>
      <c r="K1768" s="326"/>
      <c r="M1768" s="463"/>
      <c r="N1768" s="464"/>
    </row>
    <row r="1769" spans="2:14" hidden="1" outlineLevel="1" x14ac:dyDescent="0.35">
      <c r="B1769" s="203"/>
      <c r="C1769" s="204"/>
      <c r="D1769" s="204"/>
      <c r="E1769" s="204"/>
      <c r="F1769" s="205"/>
      <c r="G1769" s="548"/>
      <c r="H1769" s="550"/>
      <c r="I1769" s="326"/>
      <c r="J1769" s="326"/>
      <c r="K1769" s="326"/>
      <c r="M1769" s="463"/>
      <c r="N1769" s="464"/>
    </row>
    <row r="1770" spans="2:14" hidden="1" outlineLevel="1" x14ac:dyDescent="0.35">
      <c r="B1770" s="203"/>
      <c r="C1770" s="204"/>
      <c r="D1770" s="204"/>
      <c r="E1770" s="204"/>
      <c r="F1770" s="205"/>
      <c r="G1770" s="548"/>
      <c r="H1770" s="550"/>
      <c r="I1770" s="326"/>
      <c r="J1770" s="326"/>
      <c r="K1770" s="326"/>
      <c r="M1770" s="463"/>
      <c r="N1770" s="464"/>
    </row>
    <row r="1771" spans="2:14" hidden="1" outlineLevel="1" x14ac:dyDescent="0.35">
      <c r="B1771" s="203"/>
      <c r="C1771" s="204"/>
      <c r="D1771" s="204"/>
      <c r="E1771" s="204"/>
      <c r="F1771" s="205"/>
      <c r="G1771" s="548"/>
      <c r="H1771" s="550"/>
      <c r="I1771" s="326"/>
      <c r="J1771" s="326"/>
      <c r="K1771" s="326"/>
      <c r="M1771" s="463"/>
      <c r="N1771" s="464"/>
    </row>
    <row r="1772" spans="2:14" hidden="1" outlineLevel="1" x14ac:dyDescent="0.35">
      <c r="B1772" s="203"/>
      <c r="C1772" s="204"/>
      <c r="D1772" s="204"/>
      <c r="E1772" s="204"/>
      <c r="F1772" s="205"/>
      <c r="G1772" s="548"/>
      <c r="H1772" s="550"/>
      <c r="I1772" s="326"/>
      <c r="J1772" s="326"/>
      <c r="K1772" s="326"/>
      <c r="M1772" s="463"/>
      <c r="N1772" s="464"/>
    </row>
    <row r="1773" spans="2:14" hidden="1" outlineLevel="1" x14ac:dyDescent="0.35">
      <c r="B1773" s="203"/>
      <c r="C1773" s="204"/>
      <c r="D1773" s="204"/>
      <c r="E1773" s="204"/>
      <c r="F1773" s="205"/>
      <c r="G1773" s="548"/>
      <c r="H1773" s="550"/>
      <c r="I1773" s="326"/>
      <c r="J1773" s="326"/>
      <c r="K1773" s="326"/>
      <c r="M1773" s="463"/>
      <c r="N1773" s="464"/>
    </row>
    <row r="1774" spans="2:14" hidden="1" outlineLevel="1" x14ac:dyDescent="0.35">
      <c r="B1774" s="203"/>
      <c r="C1774" s="204"/>
      <c r="D1774" s="204"/>
      <c r="E1774" s="204"/>
      <c r="F1774" s="205"/>
      <c r="G1774" s="548"/>
      <c r="H1774" s="550"/>
      <c r="I1774" s="326"/>
      <c r="J1774" s="326"/>
      <c r="K1774" s="326"/>
      <c r="M1774" s="463"/>
      <c r="N1774" s="464"/>
    </row>
    <row r="1775" spans="2:14" hidden="1" outlineLevel="1" x14ac:dyDescent="0.35">
      <c r="B1775" s="203"/>
      <c r="C1775" s="204"/>
      <c r="D1775" s="204"/>
      <c r="E1775" s="204"/>
      <c r="F1775" s="205"/>
      <c r="G1775" s="548"/>
      <c r="H1775" s="550"/>
      <c r="I1775" s="326"/>
      <c r="J1775" s="326"/>
      <c r="K1775" s="326"/>
      <c r="M1775" s="463"/>
      <c r="N1775" s="464"/>
    </row>
    <row r="1776" spans="2:14" hidden="1" outlineLevel="1" x14ac:dyDescent="0.35">
      <c r="B1776" s="203"/>
      <c r="C1776" s="204"/>
      <c r="D1776" s="204"/>
      <c r="E1776" s="204"/>
      <c r="F1776" s="205"/>
      <c r="G1776" s="548"/>
      <c r="H1776" s="550"/>
      <c r="I1776" s="326"/>
      <c r="J1776" s="326"/>
      <c r="K1776" s="326"/>
      <c r="M1776" s="463"/>
      <c r="N1776" s="464"/>
    </row>
    <row r="1777" spans="2:14" hidden="1" outlineLevel="1" x14ac:dyDescent="0.35">
      <c r="B1777" s="203"/>
      <c r="C1777" s="204"/>
      <c r="D1777" s="204"/>
      <c r="E1777" s="204"/>
      <c r="F1777" s="205"/>
      <c r="G1777" s="548"/>
      <c r="H1777" s="550"/>
      <c r="I1777" s="326"/>
      <c r="J1777" s="326"/>
      <c r="K1777" s="326"/>
      <c r="M1777" s="463"/>
      <c r="N1777" s="464"/>
    </row>
    <row r="1778" spans="2:14" hidden="1" outlineLevel="1" x14ac:dyDescent="0.35">
      <c r="B1778" s="203"/>
      <c r="C1778" s="204"/>
      <c r="D1778" s="204"/>
      <c r="E1778" s="204"/>
      <c r="F1778" s="205"/>
      <c r="G1778" s="548"/>
      <c r="H1778" s="550"/>
      <c r="I1778" s="326"/>
      <c r="J1778" s="326"/>
      <c r="K1778" s="326"/>
      <c r="M1778" s="463"/>
      <c r="N1778" s="464"/>
    </row>
    <row r="1779" spans="2:14" hidden="1" outlineLevel="1" x14ac:dyDescent="0.35">
      <c r="B1779" s="203"/>
      <c r="C1779" s="204"/>
      <c r="D1779" s="204"/>
      <c r="E1779" s="204"/>
      <c r="F1779" s="205"/>
      <c r="G1779" s="548"/>
      <c r="H1779" s="550"/>
      <c r="I1779" s="326"/>
      <c r="J1779" s="326"/>
      <c r="K1779" s="326"/>
      <c r="M1779" s="463"/>
      <c r="N1779" s="464"/>
    </row>
    <row r="1780" spans="2:14" hidden="1" outlineLevel="1" x14ac:dyDescent="0.35">
      <c r="B1780" s="203"/>
      <c r="C1780" s="204"/>
      <c r="D1780" s="204"/>
      <c r="E1780" s="204"/>
      <c r="F1780" s="205"/>
      <c r="G1780" s="548"/>
      <c r="H1780" s="550"/>
      <c r="I1780" s="326"/>
      <c r="J1780" s="326"/>
      <c r="K1780" s="326"/>
      <c r="M1780" s="463"/>
      <c r="N1780" s="464"/>
    </row>
    <row r="1781" spans="2:14" hidden="1" outlineLevel="1" x14ac:dyDescent="0.35">
      <c r="B1781" s="203"/>
      <c r="C1781" s="204"/>
      <c r="D1781" s="204"/>
      <c r="E1781" s="204"/>
      <c r="F1781" s="205"/>
      <c r="G1781" s="548"/>
      <c r="H1781" s="550"/>
      <c r="I1781" s="326"/>
      <c r="J1781" s="326"/>
      <c r="K1781" s="326"/>
      <c r="M1781" s="463"/>
      <c r="N1781" s="464"/>
    </row>
    <row r="1782" spans="2:14" hidden="1" outlineLevel="1" x14ac:dyDescent="0.35">
      <c r="B1782" s="203"/>
      <c r="C1782" s="204"/>
      <c r="D1782" s="204"/>
      <c r="E1782" s="204"/>
      <c r="F1782" s="205"/>
      <c r="G1782" s="548"/>
      <c r="H1782" s="550"/>
      <c r="I1782" s="326"/>
      <c r="J1782" s="326"/>
      <c r="K1782" s="326"/>
      <c r="M1782" s="463"/>
      <c r="N1782" s="464"/>
    </row>
    <row r="1783" spans="2:14" hidden="1" outlineLevel="1" x14ac:dyDescent="0.35">
      <c r="B1783" s="203"/>
      <c r="C1783" s="204"/>
      <c r="D1783" s="204"/>
      <c r="E1783" s="204"/>
      <c r="F1783" s="205"/>
      <c r="G1783" s="548"/>
      <c r="H1783" s="550"/>
      <c r="I1783" s="326"/>
      <c r="J1783" s="326"/>
      <c r="K1783" s="326"/>
      <c r="M1783" s="463"/>
      <c r="N1783" s="464"/>
    </row>
    <row r="1784" spans="2:14" hidden="1" outlineLevel="1" x14ac:dyDescent="0.35">
      <c r="B1784" s="203"/>
      <c r="C1784" s="204"/>
      <c r="D1784" s="204"/>
      <c r="E1784" s="204"/>
      <c r="F1784" s="205"/>
      <c r="G1784" s="548"/>
      <c r="H1784" s="550"/>
      <c r="I1784" s="326"/>
      <c r="J1784" s="326"/>
      <c r="K1784" s="326"/>
      <c r="M1784" s="463"/>
      <c r="N1784" s="464"/>
    </row>
    <row r="1785" spans="2:14" hidden="1" outlineLevel="1" x14ac:dyDescent="0.35">
      <c r="B1785" s="203"/>
      <c r="C1785" s="204"/>
      <c r="D1785" s="204"/>
      <c r="E1785" s="204"/>
      <c r="F1785" s="205"/>
      <c r="G1785" s="548"/>
      <c r="H1785" s="550"/>
      <c r="I1785" s="326"/>
      <c r="J1785" s="326"/>
      <c r="K1785" s="326"/>
      <c r="M1785" s="463"/>
      <c r="N1785" s="464"/>
    </row>
    <row r="1786" spans="2:14" hidden="1" outlineLevel="1" x14ac:dyDescent="0.35">
      <c r="B1786" s="203"/>
      <c r="C1786" s="204"/>
      <c r="D1786" s="204"/>
      <c r="E1786" s="204"/>
      <c r="F1786" s="205"/>
      <c r="G1786" s="548"/>
      <c r="H1786" s="550"/>
      <c r="I1786" s="326"/>
      <c r="J1786" s="326"/>
      <c r="K1786" s="326"/>
      <c r="M1786" s="463"/>
      <c r="N1786" s="464"/>
    </row>
    <row r="1787" spans="2:14" hidden="1" outlineLevel="1" x14ac:dyDescent="0.35">
      <c r="B1787" s="203"/>
      <c r="C1787" s="204"/>
      <c r="D1787" s="204"/>
      <c r="E1787" s="204"/>
      <c r="F1787" s="205"/>
      <c r="G1787" s="548"/>
      <c r="H1787" s="550"/>
      <c r="I1787" s="326"/>
      <c r="J1787" s="326"/>
      <c r="K1787" s="326"/>
      <c r="M1787" s="463"/>
      <c r="N1787" s="464"/>
    </row>
    <row r="1788" spans="2:14" hidden="1" outlineLevel="1" x14ac:dyDescent="0.35">
      <c r="B1788" s="203"/>
      <c r="C1788" s="204"/>
      <c r="D1788" s="204"/>
      <c r="E1788" s="204"/>
      <c r="F1788" s="205"/>
      <c r="G1788" s="548"/>
      <c r="H1788" s="550"/>
      <c r="I1788" s="326"/>
      <c r="J1788" s="326"/>
      <c r="K1788" s="326"/>
      <c r="M1788" s="463"/>
      <c r="N1788" s="464"/>
    </row>
    <row r="1789" spans="2:14" hidden="1" outlineLevel="1" x14ac:dyDescent="0.35">
      <c r="B1789" s="203"/>
      <c r="C1789" s="204"/>
      <c r="D1789" s="204"/>
      <c r="E1789" s="204"/>
      <c r="F1789" s="205"/>
      <c r="G1789" s="548"/>
      <c r="H1789" s="550"/>
      <c r="I1789" s="326"/>
      <c r="J1789" s="326"/>
      <c r="K1789" s="326"/>
      <c r="M1789" s="463"/>
      <c r="N1789" s="464"/>
    </row>
    <row r="1790" spans="2:14" hidden="1" outlineLevel="1" x14ac:dyDescent="0.35">
      <c r="B1790" s="203"/>
      <c r="C1790" s="204"/>
      <c r="D1790" s="204"/>
      <c r="E1790" s="204"/>
      <c r="F1790" s="205"/>
      <c r="G1790" s="548"/>
      <c r="H1790" s="550"/>
      <c r="I1790" s="326"/>
      <c r="J1790" s="326"/>
      <c r="K1790" s="326"/>
      <c r="M1790" s="463"/>
      <c r="N1790" s="464"/>
    </row>
    <row r="1791" spans="2:14" hidden="1" outlineLevel="1" x14ac:dyDescent="0.35">
      <c r="B1791" s="203"/>
      <c r="C1791" s="204"/>
      <c r="D1791" s="204"/>
      <c r="E1791" s="204"/>
      <c r="F1791" s="205"/>
      <c r="G1791" s="548"/>
      <c r="H1791" s="550"/>
      <c r="I1791" s="326"/>
      <c r="J1791" s="326"/>
      <c r="K1791" s="326"/>
      <c r="M1791" s="463"/>
      <c r="N1791" s="464"/>
    </row>
    <row r="1792" spans="2:14" hidden="1" outlineLevel="1" x14ac:dyDescent="0.35">
      <c r="B1792" s="203"/>
      <c r="C1792" s="204"/>
      <c r="D1792" s="204"/>
      <c r="E1792" s="204"/>
      <c r="F1792" s="205"/>
      <c r="G1792" s="548"/>
      <c r="H1792" s="550"/>
      <c r="I1792" s="326"/>
      <c r="J1792" s="326"/>
      <c r="K1792" s="326"/>
      <c r="M1792" s="463"/>
      <c r="N1792" s="464"/>
    </row>
    <row r="1793" spans="2:14" hidden="1" outlineLevel="1" x14ac:dyDescent="0.35">
      <c r="B1793" s="203"/>
      <c r="C1793" s="204"/>
      <c r="D1793" s="204"/>
      <c r="E1793" s="204"/>
      <c r="F1793" s="205"/>
      <c r="G1793" s="548"/>
      <c r="H1793" s="550"/>
      <c r="I1793" s="326"/>
      <c r="J1793" s="326"/>
      <c r="K1793" s="326"/>
      <c r="M1793" s="463"/>
      <c r="N1793" s="464"/>
    </row>
    <row r="1794" spans="2:14" hidden="1" outlineLevel="1" x14ac:dyDescent="0.35">
      <c r="B1794" s="203"/>
      <c r="C1794" s="204"/>
      <c r="D1794" s="204"/>
      <c r="E1794" s="204"/>
      <c r="F1794" s="205"/>
      <c r="G1794" s="548"/>
      <c r="H1794" s="550"/>
      <c r="I1794" s="326"/>
      <c r="J1794" s="326"/>
      <c r="K1794" s="326"/>
      <c r="M1794" s="463"/>
      <c r="N1794" s="464"/>
    </row>
    <row r="1795" spans="2:14" hidden="1" outlineLevel="1" x14ac:dyDescent="0.35">
      <c r="B1795" s="203"/>
      <c r="C1795" s="204"/>
      <c r="D1795" s="204"/>
      <c r="E1795" s="204"/>
      <c r="F1795" s="205"/>
      <c r="G1795" s="548"/>
      <c r="H1795" s="550"/>
      <c r="I1795" s="326"/>
      <c r="J1795" s="326"/>
      <c r="K1795" s="326"/>
      <c r="M1795" s="463"/>
      <c r="N1795" s="464"/>
    </row>
    <row r="1796" spans="2:14" hidden="1" outlineLevel="1" x14ac:dyDescent="0.35">
      <c r="B1796" s="203"/>
      <c r="C1796" s="204"/>
      <c r="D1796" s="204"/>
      <c r="E1796" s="204"/>
      <c r="F1796" s="205"/>
      <c r="G1796" s="548"/>
      <c r="H1796" s="550"/>
      <c r="I1796" s="326"/>
      <c r="J1796" s="326"/>
      <c r="K1796" s="326"/>
      <c r="M1796" s="463"/>
      <c r="N1796" s="464"/>
    </row>
    <row r="1797" spans="2:14" hidden="1" outlineLevel="1" x14ac:dyDescent="0.35">
      <c r="B1797" s="203"/>
      <c r="C1797" s="204"/>
      <c r="D1797" s="204"/>
      <c r="E1797" s="204"/>
      <c r="F1797" s="205"/>
      <c r="G1797" s="548"/>
      <c r="H1797" s="550"/>
      <c r="I1797" s="326"/>
      <c r="J1797" s="326"/>
      <c r="K1797" s="326"/>
      <c r="M1797" s="463"/>
      <c r="N1797" s="464"/>
    </row>
    <row r="1798" spans="2:14" hidden="1" outlineLevel="1" x14ac:dyDescent="0.35">
      <c r="B1798" s="203"/>
      <c r="C1798" s="204"/>
      <c r="D1798" s="204"/>
      <c r="E1798" s="204"/>
      <c r="F1798" s="205"/>
      <c r="G1798" s="548"/>
      <c r="H1798" s="550"/>
      <c r="I1798" s="326"/>
      <c r="J1798" s="326"/>
      <c r="K1798" s="326"/>
      <c r="M1798" s="463"/>
      <c r="N1798" s="464"/>
    </row>
    <row r="1799" spans="2:14" hidden="1" outlineLevel="1" x14ac:dyDescent="0.35">
      <c r="B1799" s="203"/>
      <c r="C1799" s="204"/>
      <c r="D1799" s="204"/>
      <c r="E1799" s="204"/>
      <c r="F1799" s="205"/>
      <c r="G1799" s="548"/>
      <c r="H1799" s="550"/>
      <c r="I1799" s="326"/>
      <c r="J1799" s="326"/>
      <c r="K1799" s="326"/>
      <c r="M1799" s="463"/>
      <c r="N1799" s="464"/>
    </row>
    <row r="1800" spans="2:14" hidden="1" outlineLevel="1" x14ac:dyDescent="0.35">
      <c r="B1800" s="203"/>
      <c r="C1800" s="204"/>
      <c r="D1800" s="204"/>
      <c r="E1800" s="204"/>
      <c r="F1800" s="205"/>
      <c r="G1800" s="548"/>
      <c r="H1800" s="550"/>
      <c r="I1800" s="326"/>
      <c r="J1800" s="326"/>
      <c r="K1800" s="326"/>
      <c r="M1800" s="463"/>
      <c r="N1800" s="464"/>
    </row>
    <row r="1801" spans="2:14" hidden="1" outlineLevel="1" x14ac:dyDescent="0.35">
      <c r="B1801" s="203"/>
      <c r="C1801" s="204"/>
      <c r="D1801" s="204"/>
      <c r="E1801" s="204"/>
      <c r="F1801" s="205"/>
      <c r="G1801" s="548"/>
      <c r="H1801" s="550"/>
      <c r="I1801" s="326"/>
      <c r="J1801" s="326"/>
      <c r="K1801" s="326"/>
      <c r="M1801" s="463"/>
      <c r="N1801" s="464"/>
    </row>
    <row r="1802" spans="2:14" hidden="1" outlineLevel="1" x14ac:dyDescent="0.35">
      <c r="B1802" s="203"/>
      <c r="C1802" s="204"/>
      <c r="D1802" s="204"/>
      <c r="E1802" s="204"/>
      <c r="F1802" s="205"/>
      <c r="G1802" s="548"/>
      <c r="H1802" s="550"/>
      <c r="I1802" s="326"/>
      <c r="J1802" s="326"/>
      <c r="K1802" s="326"/>
      <c r="M1802" s="463"/>
      <c r="N1802" s="464"/>
    </row>
    <row r="1803" spans="2:14" hidden="1" outlineLevel="1" x14ac:dyDescent="0.35">
      <c r="B1803" s="203"/>
      <c r="C1803" s="204"/>
      <c r="D1803" s="204"/>
      <c r="E1803" s="204"/>
      <c r="F1803" s="205"/>
      <c r="G1803" s="548"/>
      <c r="H1803" s="550"/>
      <c r="I1803" s="326"/>
      <c r="J1803" s="326"/>
      <c r="K1803" s="326"/>
      <c r="M1803" s="463"/>
      <c r="N1803" s="464"/>
    </row>
    <row r="1804" spans="2:14" hidden="1" outlineLevel="1" x14ac:dyDescent="0.35">
      <c r="B1804" s="203"/>
      <c r="C1804" s="204"/>
      <c r="D1804" s="204"/>
      <c r="E1804" s="204"/>
      <c r="F1804" s="205"/>
      <c r="G1804" s="548"/>
      <c r="H1804" s="550"/>
      <c r="I1804" s="326"/>
      <c r="J1804" s="326"/>
      <c r="K1804" s="326"/>
      <c r="M1804" s="463"/>
      <c r="N1804" s="464"/>
    </row>
    <row r="1805" spans="2:14" hidden="1" outlineLevel="1" x14ac:dyDescent="0.35">
      <c r="B1805" s="203"/>
      <c r="C1805" s="204"/>
      <c r="D1805" s="204"/>
      <c r="E1805" s="204"/>
      <c r="F1805" s="205"/>
      <c r="G1805" s="548"/>
      <c r="H1805" s="550"/>
      <c r="I1805" s="326"/>
      <c r="J1805" s="326"/>
      <c r="K1805" s="326"/>
      <c r="M1805" s="463"/>
      <c r="N1805" s="464"/>
    </row>
    <row r="1806" spans="2:14" hidden="1" outlineLevel="1" x14ac:dyDescent="0.35">
      <c r="B1806" s="203"/>
      <c r="C1806" s="204"/>
      <c r="D1806" s="204"/>
      <c r="E1806" s="204"/>
      <c r="F1806" s="205"/>
      <c r="G1806" s="548"/>
      <c r="H1806" s="550"/>
      <c r="I1806" s="326"/>
      <c r="J1806" s="326"/>
      <c r="K1806" s="326"/>
      <c r="M1806" s="463"/>
      <c r="N1806" s="464"/>
    </row>
    <row r="1807" spans="2:14" hidden="1" outlineLevel="1" x14ac:dyDescent="0.35">
      <c r="B1807" s="203"/>
      <c r="C1807" s="204"/>
      <c r="D1807" s="204"/>
      <c r="E1807" s="204"/>
      <c r="F1807" s="205"/>
      <c r="G1807" s="548"/>
      <c r="H1807" s="550"/>
      <c r="I1807" s="326"/>
      <c r="J1807" s="326"/>
      <c r="K1807" s="326"/>
      <c r="M1807" s="463"/>
      <c r="N1807" s="464"/>
    </row>
    <row r="1808" spans="2:14" hidden="1" outlineLevel="1" x14ac:dyDescent="0.35">
      <c r="B1808" s="203"/>
      <c r="C1808" s="204"/>
      <c r="D1808" s="204"/>
      <c r="E1808" s="204"/>
      <c r="F1808" s="205"/>
      <c r="G1808" s="548"/>
      <c r="H1808" s="550"/>
      <c r="I1808" s="326"/>
      <c r="J1808" s="326"/>
      <c r="K1808" s="326"/>
      <c r="M1808" s="463"/>
      <c r="N1808" s="464"/>
    </row>
    <row r="1809" spans="2:14" hidden="1" outlineLevel="1" x14ac:dyDescent="0.35">
      <c r="B1809" s="203"/>
      <c r="C1809" s="204"/>
      <c r="D1809" s="204"/>
      <c r="E1809" s="204"/>
      <c r="F1809" s="205"/>
      <c r="G1809" s="548"/>
      <c r="H1809" s="550"/>
      <c r="I1809" s="326"/>
      <c r="J1809" s="326"/>
      <c r="K1809" s="326"/>
      <c r="M1809" s="463"/>
      <c r="N1809" s="464"/>
    </row>
    <row r="1810" spans="2:14" hidden="1" outlineLevel="1" x14ac:dyDescent="0.35">
      <c r="B1810" s="203"/>
      <c r="C1810" s="204"/>
      <c r="D1810" s="204"/>
      <c r="E1810" s="204"/>
      <c r="F1810" s="205"/>
      <c r="G1810" s="548"/>
      <c r="H1810" s="550"/>
      <c r="I1810" s="326"/>
      <c r="J1810" s="326"/>
      <c r="K1810" s="326"/>
      <c r="M1810" s="463"/>
      <c r="N1810" s="464"/>
    </row>
    <row r="1811" spans="2:14" hidden="1" outlineLevel="1" x14ac:dyDescent="0.35">
      <c r="B1811" s="203"/>
      <c r="C1811" s="204"/>
      <c r="D1811" s="204"/>
      <c r="E1811" s="204"/>
      <c r="F1811" s="205"/>
      <c r="G1811" s="548"/>
      <c r="H1811" s="550"/>
      <c r="I1811" s="326"/>
      <c r="J1811" s="326"/>
      <c r="K1811" s="326"/>
      <c r="M1811" s="463"/>
      <c r="N1811" s="464"/>
    </row>
    <row r="1812" spans="2:14" hidden="1" outlineLevel="1" x14ac:dyDescent="0.35">
      <c r="B1812" s="203"/>
      <c r="C1812" s="204"/>
      <c r="D1812" s="204"/>
      <c r="E1812" s="204"/>
      <c r="F1812" s="205"/>
      <c r="G1812" s="548"/>
      <c r="H1812" s="550"/>
      <c r="I1812" s="326"/>
      <c r="J1812" s="326"/>
      <c r="K1812" s="326"/>
      <c r="M1812" s="463"/>
      <c r="N1812" s="464"/>
    </row>
    <row r="1813" spans="2:14" hidden="1" outlineLevel="1" x14ac:dyDescent="0.35">
      <c r="B1813" s="203"/>
      <c r="C1813" s="204"/>
      <c r="D1813" s="204"/>
      <c r="E1813" s="204"/>
      <c r="F1813" s="205"/>
      <c r="G1813" s="548"/>
      <c r="H1813" s="550"/>
      <c r="I1813" s="326"/>
      <c r="J1813" s="326"/>
      <c r="K1813" s="326"/>
      <c r="M1813" s="463"/>
      <c r="N1813" s="464"/>
    </row>
    <row r="1814" spans="2:14" hidden="1" outlineLevel="1" x14ac:dyDescent="0.35">
      <c r="B1814" s="203"/>
      <c r="C1814" s="204"/>
      <c r="D1814" s="204"/>
      <c r="E1814" s="204"/>
      <c r="F1814" s="205"/>
      <c r="G1814" s="548"/>
      <c r="H1814" s="550"/>
      <c r="I1814" s="326"/>
      <c r="J1814" s="326"/>
      <c r="K1814" s="326"/>
      <c r="M1814" s="463"/>
      <c r="N1814" s="464"/>
    </row>
    <row r="1815" spans="2:14" hidden="1" outlineLevel="1" x14ac:dyDescent="0.35">
      <c r="B1815" s="203"/>
      <c r="C1815" s="204"/>
      <c r="D1815" s="204"/>
      <c r="E1815" s="204"/>
      <c r="F1815" s="205"/>
      <c r="G1815" s="548"/>
      <c r="H1815" s="550"/>
      <c r="I1815" s="326"/>
      <c r="J1815" s="326"/>
      <c r="K1815" s="326"/>
      <c r="M1815" s="463"/>
      <c r="N1815" s="464"/>
    </row>
    <row r="1816" spans="2:14" hidden="1" outlineLevel="1" x14ac:dyDescent="0.35">
      <c r="B1816" s="203"/>
      <c r="C1816" s="204"/>
      <c r="D1816" s="204"/>
      <c r="E1816" s="204"/>
      <c r="F1816" s="205"/>
      <c r="G1816" s="548"/>
      <c r="H1816" s="550"/>
      <c r="I1816" s="326"/>
      <c r="J1816" s="326"/>
      <c r="K1816" s="326"/>
      <c r="M1816" s="463"/>
      <c r="N1816" s="464"/>
    </row>
    <row r="1817" spans="2:14" hidden="1" outlineLevel="1" x14ac:dyDescent="0.35">
      <c r="B1817" s="203"/>
      <c r="C1817" s="204"/>
      <c r="D1817" s="204"/>
      <c r="E1817" s="204"/>
      <c r="F1817" s="205"/>
      <c r="G1817" s="548"/>
      <c r="H1817" s="550"/>
      <c r="I1817" s="326"/>
      <c r="J1817" s="326"/>
      <c r="K1817" s="326"/>
      <c r="M1817" s="463"/>
      <c r="N1817" s="464"/>
    </row>
    <row r="1818" spans="2:14" hidden="1" outlineLevel="1" x14ac:dyDescent="0.35">
      <c r="B1818" s="203"/>
      <c r="C1818" s="204"/>
      <c r="D1818" s="204"/>
      <c r="E1818" s="204"/>
      <c r="F1818" s="205"/>
      <c r="G1818" s="548"/>
      <c r="H1818" s="550"/>
      <c r="I1818" s="326"/>
      <c r="J1818" s="326"/>
      <c r="K1818" s="326"/>
      <c r="M1818" s="463"/>
      <c r="N1818" s="464"/>
    </row>
    <row r="1819" spans="2:14" hidden="1" outlineLevel="1" x14ac:dyDescent="0.35">
      <c r="B1819" s="203"/>
      <c r="C1819" s="204"/>
      <c r="D1819" s="204"/>
      <c r="E1819" s="204"/>
      <c r="F1819" s="205"/>
      <c r="G1819" s="548"/>
      <c r="H1819" s="550"/>
      <c r="I1819" s="326"/>
      <c r="J1819" s="326"/>
      <c r="K1819" s="326"/>
      <c r="M1819" s="463"/>
      <c r="N1819" s="464"/>
    </row>
    <row r="1820" spans="2:14" hidden="1" outlineLevel="1" x14ac:dyDescent="0.35">
      <c r="B1820" s="203"/>
      <c r="C1820" s="204"/>
      <c r="D1820" s="204"/>
      <c r="E1820" s="204"/>
      <c r="F1820" s="205"/>
      <c r="G1820" s="548"/>
      <c r="H1820" s="550"/>
      <c r="I1820" s="326"/>
      <c r="J1820" s="326"/>
      <c r="K1820" s="326"/>
      <c r="M1820" s="463"/>
      <c r="N1820" s="464"/>
    </row>
    <row r="1821" spans="2:14" hidden="1" outlineLevel="1" x14ac:dyDescent="0.35">
      <c r="B1821" s="203"/>
      <c r="C1821" s="204"/>
      <c r="D1821" s="204"/>
      <c r="E1821" s="204"/>
      <c r="F1821" s="205"/>
      <c r="G1821" s="548"/>
      <c r="H1821" s="550"/>
      <c r="I1821" s="326"/>
      <c r="J1821" s="326"/>
      <c r="K1821" s="326"/>
      <c r="M1821" s="463"/>
      <c r="N1821" s="464"/>
    </row>
    <row r="1822" spans="2:14" hidden="1" outlineLevel="1" x14ac:dyDescent="0.35">
      <c r="B1822" s="203"/>
      <c r="C1822" s="204"/>
      <c r="D1822" s="204"/>
      <c r="E1822" s="204"/>
      <c r="F1822" s="205"/>
      <c r="G1822" s="548"/>
      <c r="H1822" s="550"/>
      <c r="I1822" s="326"/>
      <c r="J1822" s="326"/>
      <c r="K1822" s="326"/>
      <c r="M1822" s="463"/>
      <c r="N1822" s="464"/>
    </row>
    <row r="1823" spans="2:14" hidden="1" outlineLevel="1" x14ac:dyDescent="0.35">
      <c r="B1823" s="203"/>
      <c r="C1823" s="204"/>
      <c r="D1823" s="204"/>
      <c r="E1823" s="204"/>
      <c r="F1823" s="205"/>
      <c r="G1823" s="548"/>
      <c r="H1823" s="550"/>
      <c r="I1823" s="326"/>
      <c r="J1823" s="326"/>
      <c r="K1823" s="326"/>
      <c r="M1823" s="463"/>
      <c r="N1823" s="464"/>
    </row>
    <row r="1824" spans="2:14" hidden="1" outlineLevel="1" x14ac:dyDescent="0.35">
      <c r="B1824" s="203"/>
      <c r="C1824" s="204"/>
      <c r="D1824" s="204"/>
      <c r="E1824" s="204"/>
      <c r="F1824" s="205"/>
      <c r="G1824" s="548"/>
      <c r="H1824" s="550"/>
      <c r="I1824" s="326"/>
      <c r="J1824" s="326"/>
      <c r="K1824" s="326"/>
      <c r="M1824" s="463"/>
      <c r="N1824" s="464"/>
    </row>
    <row r="1825" spans="2:14" hidden="1" outlineLevel="1" x14ac:dyDescent="0.35">
      <c r="B1825" s="203"/>
      <c r="C1825" s="204"/>
      <c r="D1825" s="204"/>
      <c r="E1825" s="204"/>
      <c r="F1825" s="205"/>
      <c r="G1825" s="548"/>
      <c r="H1825" s="550"/>
      <c r="I1825" s="326"/>
      <c r="J1825" s="326"/>
      <c r="K1825" s="326"/>
      <c r="M1825" s="463"/>
      <c r="N1825" s="464"/>
    </row>
    <row r="1826" spans="2:14" hidden="1" outlineLevel="1" x14ac:dyDescent="0.35">
      <c r="B1826" s="203"/>
      <c r="C1826" s="204"/>
      <c r="D1826" s="204"/>
      <c r="E1826" s="204"/>
      <c r="F1826" s="205"/>
      <c r="G1826" s="548"/>
      <c r="H1826" s="550"/>
      <c r="I1826" s="326"/>
      <c r="J1826" s="326"/>
      <c r="K1826" s="326"/>
      <c r="M1826" s="463"/>
      <c r="N1826" s="464"/>
    </row>
    <row r="1827" spans="2:14" hidden="1" outlineLevel="1" x14ac:dyDescent="0.35">
      <c r="B1827" s="203"/>
      <c r="C1827" s="204"/>
      <c r="D1827" s="204"/>
      <c r="E1827" s="204"/>
      <c r="F1827" s="205"/>
      <c r="G1827" s="548"/>
      <c r="H1827" s="550"/>
      <c r="I1827" s="326"/>
      <c r="J1827" s="326"/>
      <c r="K1827" s="326"/>
      <c r="M1827" s="463"/>
      <c r="N1827" s="464"/>
    </row>
    <row r="1828" spans="2:14" hidden="1" outlineLevel="1" x14ac:dyDescent="0.35">
      <c r="B1828" s="203"/>
      <c r="C1828" s="204"/>
      <c r="D1828" s="204"/>
      <c r="E1828" s="204"/>
      <c r="F1828" s="205"/>
      <c r="G1828" s="548"/>
      <c r="H1828" s="550"/>
      <c r="I1828" s="326"/>
      <c r="J1828" s="326"/>
      <c r="K1828" s="326"/>
      <c r="M1828" s="463"/>
      <c r="N1828" s="464"/>
    </row>
    <row r="1829" spans="2:14" hidden="1" outlineLevel="1" x14ac:dyDescent="0.35">
      <c r="B1829" s="203"/>
      <c r="C1829" s="204"/>
      <c r="D1829" s="204"/>
      <c r="E1829" s="204"/>
      <c r="F1829" s="205"/>
      <c r="G1829" s="548"/>
      <c r="H1829" s="550"/>
      <c r="I1829" s="326"/>
      <c r="J1829" s="326"/>
      <c r="K1829" s="326"/>
      <c r="M1829" s="463"/>
      <c r="N1829" s="464"/>
    </row>
    <row r="1830" spans="2:14" hidden="1" outlineLevel="1" x14ac:dyDescent="0.35">
      <c r="B1830" s="203"/>
      <c r="C1830" s="204"/>
      <c r="D1830" s="204"/>
      <c r="E1830" s="204"/>
      <c r="F1830" s="205"/>
      <c r="G1830" s="548"/>
      <c r="H1830" s="550"/>
      <c r="I1830" s="326"/>
      <c r="J1830" s="326"/>
      <c r="K1830" s="326"/>
      <c r="M1830" s="463"/>
      <c r="N1830" s="464"/>
    </row>
    <row r="1831" spans="2:14" hidden="1" outlineLevel="1" x14ac:dyDescent="0.35">
      <c r="B1831" s="203"/>
      <c r="C1831" s="204"/>
      <c r="D1831" s="204"/>
      <c r="E1831" s="204"/>
      <c r="F1831" s="205"/>
      <c r="G1831" s="548"/>
      <c r="H1831" s="550"/>
      <c r="I1831" s="326"/>
      <c r="J1831" s="326"/>
      <c r="K1831" s="326"/>
      <c r="M1831" s="463"/>
      <c r="N1831" s="464"/>
    </row>
    <row r="1832" spans="2:14" hidden="1" outlineLevel="1" x14ac:dyDescent="0.35">
      <c r="B1832" s="203"/>
      <c r="C1832" s="204"/>
      <c r="D1832" s="204"/>
      <c r="E1832" s="204"/>
      <c r="F1832" s="205"/>
      <c r="G1832" s="548"/>
      <c r="H1832" s="550"/>
      <c r="I1832" s="326"/>
      <c r="J1832" s="326"/>
      <c r="K1832" s="326"/>
      <c r="M1832" s="463"/>
      <c r="N1832" s="464"/>
    </row>
    <row r="1833" spans="2:14" hidden="1" outlineLevel="1" x14ac:dyDescent="0.35">
      <c r="B1833" s="203"/>
      <c r="C1833" s="204"/>
      <c r="D1833" s="204"/>
      <c r="E1833" s="204"/>
      <c r="F1833" s="205"/>
      <c r="G1833" s="548"/>
      <c r="H1833" s="550"/>
      <c r="I1833" s="326"/>
      <c r="J1833" s="326"/>
      <c r="K1833" s="326"/>
      <c r="M1833" s="463"/>
      <c r="N1833" s="464"/>
    </row>
    <row r="1834" spans="2:14" hidden="1" outlineLevel="1" x14ac:dyDescent="0.35">
      <c r="B1834" s="203"/>
      <c r="C1834" s="204"/>
      <c r="D1834" s="204"/>
      <c r="E1834" s="204"/>
      <c r="F1834" s="205"/>
      <c r="G1834" s="548"/>
      <c r="H1834" s="550"/>
      <c r="I1834" s="326"/>
      <c r="J1834" s="326"/>
      <c r="K1834" s="326"/>
      <c r="M1834" s="463"/>
      <c r="N1834" s="464"/>
    </row>
    <row r="1835" spans="2:14" hidden="1" outlineLevel="1" x14ac:dyDescent="0.35">
      <c r="B1835" s="203"/>
      <c r="C1835" s="204"/>
      <c r="D1835" s="204"/>
      <c r="E1835" s="204"/>
      <c r="F1835" s="205"/>
      <c r="G1835" s="548"/>
      <c r="H1835" s="550"/>
      <c r="I1835" s="326"/>
      <c r="J1835" s="326"/>
      <c r="K1835" s="326"/>
      <c r="M1835" s="463"/>
      <c r="N1835" s="464"/>
    </row>
    <row r="1836" spans="2:14" hidden="1" outlineLevel="1" x14ac:dyDescent="0.35">
      <c r="B1836" s="203"/>
      <c r="C1836" s="204"/>
      <c r="D1836" s="204"/>
      <c r="E1836" s="204"/>
      <c r="F1836" s="205"/>
      <c r="G1836" s="548"/>
      <c r="H1836" s="550"/>
      <c r="I1836" s="326"/>
      <c r="J1836" s="326"/>
      <c r="K1836" s="326"/>
      <c r="M1836" s="463"/>
      <c r="N1836" s="464"/>
    </row>
    <row r="1837" spans="2:14" hidden="1" outlineLevel="1" x14ac:dyDescent="0.35">
      <c r="B1837" s="203"/>
      <c r="C1837" s="204"/>
      <c r="D1837" s="204"/>
      <c r="E1837" s="204"/>
      <c r="F1837" s="205"/>
      <c r="G1837" s="548"/>
      <c r="H1837" s="550"/>
      <c r="I1837" s="326"/>
      <c r="J1837" s="326"/>
      <c r="K1837" s="326"/>
      <c r="M1837" s="463"/>
      <c r="N1837" s="464"/>
    </row>
    <row r="1838" spans="2:14" hidden="1" outlineLevel="1" x14ac:dyDescent="0.35">
      <c r="B1838" s="203"/>
      <c r="C1838" s="204"/>
      <c r="D1838" s="204"/>
      <c r="E1838" s="204"/>
      <c r="F1838" s="205"/>
      <c r="G1838" s="548"/>
      <c r="H1838" s="550"/>
      <c r="I1838" s="326"/>
      <c r="J1838" s="326"/>
      <c r="K1838" s="326"/>
      <c r="M1838" s="463"/>
      <c r="N1838" s="464"/>
    </row>
    <row r="1839" spans="2:14" hidden="1" outlineLevel="1" x14ac:dyDescent="0.35">
      <c r="B1839" s="203"/>
      <c r="C1839" s="204"/>
      <c r="D1839" s="204"/>
      <c r="E1839" s="204"/>
      <c r="F1839" s="205"/>
      <c r="G1839" s="548"/>
      <c r="H1839" s="550"/>
      <c r="I1839" s="326"/>
      <c r="J1839" s="326"/>
      <c r="K1839" s="326"/>
      <c r="M1839" s="463"/>
      <c r="N1839" s="464"/>
    </row>
    <row r="1840" spans="2:14" hidden="1" outlineLevel="1" x14ac:dyDescent="0.35">
      <c r="B1840" s="203"/>
      <c r="C1840" s="204"/>
      <c r="D1840" s="204"/>
      <c r="E1840" s="204"/>
      <c r="F1840" s="205"/>
      <c r="G1840" s="548"/>
      <c r="H1840" s="550"/>
      <c r="I1840" s="326"/>
      <c r="J1840" s="326"/>
      <c r="K1840" s="326"/>
      <c r="M1840" s="463"/>
      <c r="N1840" s="464"/>
    </row>
    <row r="1841" spans="2:14" hidden="1" outlineLevel="1" x14ac:dyDescent="0.35">
      <c r="B1841" s="203"/>
      <c r="C1841" s="204"/>
      <c r="D1841" s="204"/>
      <c r="E1841" s="204"/>
      <c r="F1841" s="205"/>
      <c r="G1841" s="548"/>
      <c r="H1841" s="550"/>
      <c r="I1841" s="326"/>
      <c r="J1841" s="326"/>
      <c r="K1841" s="326"/>
      <c r="M1841" s="463"/>
      <c r="N1841" s="464"/>
    </row>
    <row r="1842" spans="2:14" hidden="1" outlineLevel="1" x14ac:dyDescent="0.35">
      <c r="B1842" s="203"/>
      <c r="C1842" s="204"/>
      <c r="D1842" s="204"/>
      <c r="E1842" s="204"/>
      <c r="F1842" s="205"/>
      <c r="G1842" s="548"/>
      <c r="H1842" s="550"/>
      <c r="I1842" s="326"/>
      <c r="J1842" s="326"/>
      <c r="K1842" s="326"/>
      <c r="M1842" s="463"/>
      <c r="N1842" s="464"/>
    </row>
    <row r="1843" spans="2:14" hidden="1" outlineLevel="1" x14ac:dyDescent="0.35">
      <c r="B1843" s="203"/>
      <c r="C1843" s="204"/>
      <c r="D1843" s="204"/>
      <c r="E1843" s="204"/>
      <c r="F1843" s="205"/>
      <c r="G1843" s="548"/>
      <c r="H1843" s="550"/>
      <c r="I1843" s="326"/>
      <c r="J1843" s="326"/>
      <c r="K1843" s="326"/>
      <c r="M1843" s="463"/>
      <c r="N1843" s="464"/>
    </row>
    <row r="1844" spans="2:14" hidden="1" outlineLevel="1" x14ac:dyDescent="0.35">
      <c r="B1844" s="203"/>
      <c r="C1844" s="204"/>
      <c r="D1844" s="204"/>
      <c r="E1844" s="204"/>
      <c r="F1844" s="205"/>
      <c r="G1844" s="548"/>
      <c r="H1844" s="550"/>
      <c r="I1844" s="326"/>
      <c r="J1844" s="326"/>
      <c r="K1844" s="326"/>
      <c r="M1844" s="463"/>
      <c r="N1844" s="464"/>
    </row>
    <row r="1845" spans="2:14" hidden="1" outlineLevel="1" x14ac:dyDescent="0.35">
      <c r="B1845" s="203"/>
      <c r="C1845" s="204"/>
      <c r="D1845" s="204"/>
      <c r="E1845" s="204"/>
      <c r="F1845" s="205"/>
      <c r="G1845" s="548"/>
      <c r="H1845" s="550"/>
      <c r="I1845" s="326"/>
      <c r="J1845" s="326"/>
      <c r="K1845" s="326"/>
      <c r="M1845" s="463"/>
      <c r="N1845" s="464"/>
    </row>
    <row r="1846" spans="2:14" hidden="1" outlineLevel="1" x14ac:dyDescent="0.35">
      <c r="B1846" s="203"/>
      <c r="C1846" s="204"/>
      <c r="D1846" s="204"/>
      <c r="E1846" s="204"/>
      <c r="F1846" s="205"/>
      <c r="G1846" s="548"/>
      <c r="H1846" s="550"/>
      <c r="I1846" s="326"/>
      <c r="J1846" s="326"/>
      <c r="K1846" s="326"/>
      <c r="M1846" s="463"/>
      <c r="N1846" s="464"/>
    </row>
    <row r="1847" spans="2:14" hidden="1" outlineLevel="1" x14ac:dyDescent="0.35">
      <c r="B1847" s="203"/>
      <c r="C1847" s="204"/>
      <c r="D1847" s="204"/>
      <c r="E1847" s="204"/>
      <c r="F1847" s="205"/>
      <c r="G1847" s="548"/>
      <c r="H1847" s="550"/>
      <c r="I1847" s="326"/>
      <c r="J1847" s="326"/>
      <c r="K1847" s="326"/>
      <c r="M1847" s="463"/>
      <c r="N1847" s="464"/>
    </row>
    <row r="1848" spans="2:14" hidden="1" outlineLevel="1" x14ac:dyDescent="0.35">
      <c r="B1848" s="203"/>
      <c r="C1848" s="204"/>
      <c r="D1848" s="204"/>
      <c r="E1848" s="204"/>
      <c r="F1848" s="205"/>
      <c r="G1848" s="548"/>
      <c r="H1848" s="550"/>
      <c r="I1848" s="326"/>
      <c r="J1848" s="326"/>
      <c r="K1848" s="326"/>
      <c r="M1848" s="463"/>
      <c r="N1848" s="464"/>
    </row>
    <row r="1849" spans="2:14" hidden="1" outlineLevel="1" x14ac:dyDescent="0.35">
      <c r="B1849" s="203"/>
      <c r="C1849" s="204"/>
      <c r="D1849" s="204"/>
      <c r="E1849" s="204"/>
      <c r="F1849" s="205"/>
      <c r="G1849" s="548"/>
      <c r="H1849" s="550"/>
      <c r="I1849" s="326"/>
      <c r="J1849" s="326"/>
      <c r="K1849" s="326"/>
      <c r="M1849" s="463"/>
      <c r="N1849" s="464"/>
    </row>
    <row r="1850" spans="2:14" hidden="1" outlineLevel="1" x14ac:dyDescent="0.35">
      <c r="B1850" s="203"/>
      <c r="C1850" s="204"/>
      <c r="D1850" s="204"/>
      <c r="E1850" s="204"/>
      <c r="F1850" s="205"/>
      <c r="G1850" s="548"/>
      <c r="H1850" s="550"/>
      <c r="I1850" s="326"/>
      <c r="J1850" s="326"/>
      <c r="K1850" s="326"/>
      <c r="M1850" s="463"/>
      <c r="N1850" s="464"/>
    </row>
    <row r="1851" spans="2:14" hidden="1" outlineLevel="1" x14ac:dyDescent="0.35">
      <c r="B1851" s="203"/>
      <c r="C1851" s="204"/>
      <c r="D1851" s="204"/>
      <c r="E1851" s="204"/>
      <c r="F1851" s="205"/>
      <c r="G1851" s="548"/>
      <c r="H1851" s="550"/>
      <c r="I1851" s="326"/>
      <c r="J1851" s="326"/>
      <c r="K1851" s="326"/>
      <c r="M1851" s="463"/>
      <c r="N1851" s="464"/>
    </row>
    <row r="1852" spans="2:14" hidden="1" outlineLevel="1" x14ac:dyDescent="0.35">
      <c r="B1852" s="203"/>
      <c r="C1852" s="204"/>
      <c r="D1852" s="204"/>
      <c r="E1852" s="204"/>
      <c r="F1852" s="205"/>
      <c r="G1852" s="548"/>
      <c r="H1852" s="550"/>
      <c r="I1852" s="326"/>
      <c r="J1852" s="326"/>
      <c r="K1852" s="326"/>
      <c r="M1852" s="463"/>
      <c r="N1852" s="464"/>
    </row>
    <row r="1853" spans="2:14" hidden="1" outlineLevel="1" x14ac:dyDescent="0.35">
      <c r="B1853" s="203"/>
      <c r="C1853" s="204"/>
      <c r="D1853" s="204"/>
      <c r="E1853" s="204"/>
      <c r="F1853" s="205"/>
      <c r="G1853" s="548"/>
      <c r="H1853" s="550"/>
      <c r="I1853" s="326"/>
      <c r="J1853" s="326"/>
      <c r="K1853" s="326"/>
      <c r="M1853" s="463"/>
      <c r="N1853" s="464"/>
    </row>
    <row r="1854" spans="2:14" hidden="1" outlineLevel="1" x14ac:dyDescent="0.35">
      <c r="B1854" s="203"/>
      <c r="C1854" s="204"/>
      <c r="D1854" s="204"/>
      <c r="E1854" s="204"/>
      <c r="F1854" s="205"/>
      <c r="G1854" s="548"/>
      <c r="H1854" s="550"/>
      <c r="I1854" s="326"/>
      <c r="J1854" s="326"/>
      <c r="K1854" s="326"/>
      <c r="M1854" s="463"/>
      <c r="N1854" s="464"/>
    </row>
    <row r="1855" spans="2:14" hidden="1" outlineLevel="1" x14ac:dyDescent="0.35">
      <c r="B1855" s="203"/>
      <c r="C1855" s="204"/>
      <c r="D1855" s="204"/>
      <c r="E1855" s="204"/>
      <c r="F1855" s="205"/>
      <c r="G1855" s="548"/>
      <c r="H1855" s="550"/>
      <c r="I1855" s="326"/>
      <c r="J1855" s="326"/>
      <c r="K1855" s="326"/>
      <c r="M1855" s="463"/>
      <c r="N1855" s="464"/>
    </row>
    <row r="1856" spans="2:14" hidden="1" outlineLevel="1" x14ac:dyDescent="0.35">
      <c r="B1856" s="203"/>
      <c r="C1856" s="204"/>
      <c r="D1856" s="204"/>
      <c r="E1856" s="204"/>
      <c r="F1856" s="205"/>
      <c r="G1856" s="548"/>
      <c r="H1856" s="550"/>
      <c r="I1856" s="326"/>
      <c r="J1856" s="326"/>
      <c r="K1856" s="326"/>
      <c r="M1856" s="463"/>
      <c r="N1856" s="464"/>
    </row>
    <row r="1857" spans="2:14" hidden="1" outlineLevel="1" x14ac:dyDescent="0.35">
      <c r="B1857" s="203"/>
      <c r="C1857" s="204"/>
      <c r="D1857" s="204"/>
      <c r="E1857" s="204"/>
      <c r="F1857" s="205"/>
      <c r="G1857" s="548"/>
      <c r="H1857" s="550"/>
      <c r="I1857" s="326"/>
      <c r="J1857" s="326"/>
      <c r="K1857" s="326"/>
      <c r="M1857" s="463"/>
      <c r="N1857" s="464"/>
    </row>
    <row r="1858" spans="2:14" hidden="1" outlineLevel="1" x14ac:dyDescent="0.35">
      <c r="B1858" s="203"/>
      <c r="C1858" s="204"/>
      <c r="D1858" s="204"/>
      <c r="E1858" s="204"/>
      <c r="F1858" s="205"/>
      <c r="G1858" s="548"/>
      <c r="H1858" s="550"/>
      <c r="I1858" s="326"/>
      <c r="J1858" s="326"/>
      <c r="K1858" s="326"/>
      <c r="M1858" s="463"/>
      <c r="N1858" s="464"/>
    </row>
    <row r="1859" spans="2:14" hidden="1" outlineLevel="1" x14ac:dyDescent="0.35">
      <c r="B1859" s="203"/>
      <c r="C1859" s="204"/>
      <c r="D1859" s="204"/>
      <c r="E1859" s="204"/>
      <c r="F1859" s="205"/>
      <c r="G1859" s="548"/>
      <c r="H1859" s="550"/>
      <c r="I1859" s="326"/>
      <c r="J1859" s="326"/>
      <c r="K1859" s="326"/>
      <c r="M1859" s="463"/>
      <c r="N1859" s="464"/>
    </row>
    <row r="1860" spans="2:14" hidden="1" outlineLevel="1" x14ac:dyDescent="0.35">
      <c r="B1860" s="203"/>
      <c r="C1860" s="204"/>
      <c r="D1860" s="204"/>
      <c r="E1860" s="204"/>
      <c r="F1860" s="205"/>
      <c r="G1860" s="548"/>
      <c r="H1860" s="550"/>
      <c r="I1860" s="326"/>
      <c r="J1860" s="326"/>
      <c r="K1860" s="326"/>
      <c r="M1860" s="463"/>
      <c r="N1860" s="464"/>
    </row>
    <row r="1861" spans="2:14" hidden="1" outlineLevel="1" x14ac:dyDescent="0.35">
      <c r="B1861" s="203"/>
      <c r="C1861" s="204"/>
      <c r="D1861" s="204"/>
      <c r="E1861" s="204"/>
      <c r="F1861" s="205"/>
      <c r="G1861" s="548"/>
      <c r="H1861" s="550"/>
      <c r="I1861" s="326"/>
      <c r="J1861" s="326"/>
      <c r="K1861" s="326"/>
      <c r="M1861" s="463"/>
      <c r="N1861" s="464"/>
    </row>
    <row r="1862" spans="2:14" hidden="1" outlineLevel="1" x14ac:dyDescent="0.35">
      <c r="B1862" s="203"/>
      <c r="C1862" s="204"/>
      <c r="D1862" s="204"/>
      <c r="E1862" s="204"/>
      <c r="F1862" s="205"/>
      <c r="G1862" s="548"/>
      <c r="H1862" s="550"/>
      <c r="I1862" s="326"/>
      <c r="J1862" s="326"/>
      <c r="K1862" s="326"/>
      <c r="M1862" s="463"/>
      <c r="N1862" s="464"/>
    </row>
    <row r="1863" spans="2:14" hidden="1" outlineLevel="1" x14ac:dyDescent="0.35">
      <c r="B1863" s="203"/>
      <c r="C1863" s="204"/>
      <c r="D1863" s="204"/>
      <c r="E1863" s="204"/>
      <c r="F1863" s="205"/>
      <c r="G1863" s="548"/>
      <c r="H1863" s="550"/>
      <c r="I1863" s="326"/>
      <c r="J1863" s="326"/>
      <c r="K1863" s="326"/>
      <c r="M1863" s="463"/>
      <c r="N1863" s="464"/>
    </row>
    <row r="1864" spans="2:14" hidden="1" outlineLevel="1" x14ac:dyDescent="0.35">
      <c r="B1864" s="203"/>
      <c r="C1864" s="204"/>
      <c r="D1864" s="204"/>
      <c r="E1864" s="204"/>
      <c r="F1864" s="205"/>
      <c r="G1864" s="548"/>
      <c r="H1864" s="550"/>
      <c r="I1864" s="326"/>
      <c r="J1864" s="326"/>
      <c r="K1864" s="326"/>
      <c r="M1864" s="463"/>
      <c r="N1864" s="464"/>
    </row>
    <row r="1865" spans="2:14" hidden="1" outlineLevel="1" x14ac:dyDescent="0.35">
      <c r="B1865" s="203"/>
      <c r="C1865" s="204"/>
      <c r="D1865" s="204"/>
      <c r="E1865" s="204"/>
      <c r="F1865" s="205"/>
      <c r="G1865" s="548"/>
      <c r="H1865" s="550"/>
      <c r="I1865" s="326"/>
      <c r="J1865" s="326"/>
      <c r="K1865" s="326"/>
      <c r="M1865" s="463"/>
      <c r="N1865" s="464"/>
    </row>
    <row r="1866" spans="2:14" hidden="1" outlineLevel="1" x14ac:dyDescent="0.35">
      <c r="B1866" s="203"/>
      <c r="C1866" s="204"/>
      <c r="D1866" s="204"/>
      <c r="E1866" s="204"/>
      <c r="F1866" s="205"/>
      <c r="G1866" s="548"/>
      <c r="H1866" s="550"/>
      <c r="I1866" s="326"/>
      <c r="J1866" s="326"/>
      <c r="K1866" s="326"/>
      <c r="M1866" s="463"/>
      <c r="N1866" s="464"/>
    </row>
    <row r="1867" spans="2:14" hidden="1" outlineLevel="1" x14ac:dyDescent="0.35">
      <c r="B1867" s="203"/>
      <c r="C1867" s="204"/>
      <c r="D1867" s="204"/>
      <c r="E1867" s="204"/>
      <c r="F1867" s="205"/>
      <c r="G1867" s="548"/>
      <c r="H1867" s="550"/>
      <c r="I1867" s="326"/>
      <c r="J1867" s="326"/>
      <c r="K1867" s="326"/>
      <c r="M1867" s="463"/>
      <c r="N1867" s="464"/>
    </row>
    <row r="1868" spans="2:14" hidden="1" outlineLevel="1" x14ac:dyDescent="0.35">
      <c r="B1868" s="203"/>
      <c r="C1868" s="204"/>
      <c r="D1868" s="204"/>
      <c r="E1868" s="204"/>
      <c r="F1868" s="205"/>
      <c r="G1868" s="548"/>
      <c r="H1868" s="550"/>
      <c r="I1868" s="326"/>
      <c r="J1868" s="326"/>
      <c r="K1868" s="326"/>
      <c r="M1868" s="463"/>
      <c r="N1868" s="464"/>
    </row>
    <row r="1869" spans="2:14" hidden="1" outlineLevel="1" x14ac:dyDescent="0.35">
      <c r="B1869" s="203"/>
      <c r="C1869" s="204"/>
      <c r="D1869" s="204"/>
      <c r="E1869" s="204"/>
      <c r="F1869" s="205"/>
      <c r="G1869" s="548"/>
      <c r="H1869" s="550"/>
      <c r="I1869" s="326"/>
      <c r="J1869" s="326"/>
      <c r="K1869" s="326"/>
      <c r="M1869" s="463"/>
      <c r="N1869" s="464"/>
    </row>
    <row r="1870" spans="2:14" hidden="1" outlineLevel="1" x14ac:dyDescent="0.35">
      <c r="B1870" s="203"/>
      <c r="C1870" s="204"/>
      <c r="D1870" s="204"/>
      <c r="E1870" s="204"/>
      <c r="F1870" s="205"/>
      <c r="G1870" s="548"/>
      <c r="H1870" s="550"/>
      <c r="I1870" s="326"/>
      <c r="J1870" s="326"/>
      <c r="K1870" s="326"/>
      <c r="M1870" s="463"/>
      <c r="N1870" s="464"/>
    </row>
    <row r="1871" spans="2:14" hidden="1" outlineLevel="1" x14ac:dyDescent="0.35">
      <c r="B1871" s="203"/>
      <c r="C1871" s="204"/>
      <c r="D1871" s="204"/>
      <c r="E1871" s="204"/>
      <c r="F1871" s="205"/>
      <c r="G1871" s="548"/>
      <c r="H1871" s="550"/>
      <c r="I1871" s="326"/>
      <c r="J1871" s="326"/>
      <c r="K1871" s="326"/>
      <c r="M1871" s="463"/>
      <c r="N1871" s="464"/>
    </row>
    <row r="1872" spans="2:14" hidden="1" outlineLevel="1" x14ac:dyDescent="0.35">
      <c r="B1872" s="203"/>
      <c r="C1872" s="204"/>
      <c r="D1872" s="204"/>
      <c r="E1872" s="204"/>
      <c r="F1872" s="205"/>
      <c r="G1872" s="548"/>
      <c r="H1872" s="550"/>
      <c r="I1872" s="326"/>
      <c r="J1872" s="326"/>
      <c r="K1872" s="326"/>
      <c r="M1872" s="463"/>
      <c r="N1872" s="464"/>
    </row>
    <row r="1873" spans="2:14" hidden="1" outlineLevel="1" x14ac:dyDescent="0.35">
      <c r="B1873" s="203"/>
      <c r="C1873" s="204"/>
      <c r="D1873" s="204"/>
      <c r="E1873" s="204"/>
      <c r="F1873" s="205"/>
      <c r="G1873" s="548"/>
      <c r="H1873" s="550"/>
      <c r="I1873" s="326"/>
      <c r="J1873" s="326"/>
      <c r="K1873" s="326"/>
      <c r="M1873" s="463"/>
      <c r="N1873" s="464"/>
    </row>
    <row r="1874" spans="2:14" hidden="1" outlineLevel="1" x14ac:dyDescent="0.35">
      <c r="B1874" s="203"/>
      <c r="C1874" s="204"/>
      <c r="D1874" s="204"/>
      <c r="E1874" s="204"/>
      <c r="F1874" s="205"/>
      <c r="G1874" s="548"/>
      <c r="H1874" s="550"/>
      <c r="I1874" s="326"/>
      <c r="J1874" s="326"/>
      <c r="K1874" s="326"/>
      <c r="M1874" s="463"/>
      <c r="N1874" s="464"/>
    </row>
    <row r="1875" spans="2:14" hidden="1" outlineLevel="1" x14ac:dyDescent="0.35">
      <c r="B1875" s="203"/>
      <c r="C1875" s="204"/>
      <c r="D1875" s="204"/>
      <c r="E1875" s="204"/>
      <c r="F1875" s="205"/>
      <c r="G1875" s="548"/>
      <c r="H1875" s="550"/>
      <c r="I1875" s="326"/>
      <c r="J1875" s="326"/>
      <c r="K1875" s="326"/>
      <c r="M1875" s="463"/>
      <c r="N1875" s="464"/>
    </row>
    <row r="1876" spans="2:14" hidden="1" outlineLevel="1" x14ac:dyDescent="0.35">
      <c r="B1876" s="203"/>
      <c r="C1876" s="204"/>
      <c r="D1876" s="204"/>
      <c r="E1876" s="204"/>
      <c r="F1876" s="205"/>
      <c r="G1876" s="548"/>
      <c r="H1876" s="550"/>
      <c r="I1876" s="326"/>
      <c r="J1876" s="326"/>
      <c r="K1876" s="326"/>
      <c r="M1876" s="463"/>
      <c r="N1876" s="464"/>
    </row>
    <row r="1877" spans="2:14" hidden="1" outlineLevel="1" x14ac:dyDescent="0.35">
      <c r="B1877" s="203"/>
      <c r="C1877" s="204"/>
      <c r="D1877" s="204"/>
      <c r="E1877" s="204"/>
      <c r="F1877" s="205"/>
      <c r="G1877" s="548"/>
      <c r="H1877" s="550"/>
      <c r="I1877" s="326"/>
      <c r="J1877" s="326"/>
      <c r="K1877" s="326"/>
      <c r="M1877" s="463"/>
      <c r="N1877" s="464"/>
    </row>
    <row r="1878" spans="2:14" hidden="1" outlineLevel="1" x14ac:dyDescent="0.35">
      <c r="B1878" s="203"/>
      <c r="C1878" s="204"/>
      <c r="D1878" s="204"/>
      <c r="E1878" s="204"/>
      <c r="F1878" s="205"/>
      <c r="G1878" s="548"/>
      <c r="H1878" s="550"/>
      <c r="I1878" s="326"/>
      <c r="J1878" s="326"/>
      <c r="K1878" s="326"/>
      <c r="M1878" s="463"/>
      <c r="N1878" s="464"/>
    </row>
    <row r="1879" spans="2:14" hidden="1" outlineLevel="1" x14ac:dyDescent="0.35">
      <c r="B1879" s="203"/>
      <c r="C1879" s="204"/>
      <c r="D1879" s="204"/>
      <c r="E1879" s="204"/>
      <c r="F1879" s="205"/>
      <c r="G1879" s="548"/>
      <c r="H1879" s="550"/>
      <c r="I1879" s="326"/>
      <c r="J1879" s="326"/>
      <c r="K1879" s="326"/>
      <c r="M1879" s="463"/>
      <c r="N1879" s="464"/>
    </row>
    <row r="1880" spans="2:14" hidden="1" outlineLevel="1" x14ac:dyDescent="0.35">
      <c r="B1880" s="203"/>
      <c r="C1880" s="204"/>
      <c r="D1880" s="204"/>
      <c r="E1880" s="204"/>
      <c r="F1880" s="205"/>
      <c r="G1880" s="548"/>
      <c r="H1880" s="550"/>
      <c r="I1880" s="326"/>
      <c r="J1880" s="326"/>
      <c r="K1880" s="326"/>
      <c r="M1880" s="463"/>
      <c r="N1880" s="464"/>
    </row>
    <row r="1881" spans="2:14" hidden="1" outlineLevel="1" x14ac:dyDescent="0.35">
      <c r="B1881" s="203"/>
      <c r="C1881" s="204"/>
      <c r="D1881" s="204"/>
      <c r="E1881" s="204"/>
      <c r="F1881" s="205"/>
      <c r="G1881" s="548"/>
      <c r="H1881" s="550"/>
      <c r="I1881" s="326"/>
      <c r="J1881" s="326"/>
      <c r="K1881" s="326"/>
      <c r="M1881" s="463"/>
      <c r="N1881" s="464"/>
    </row>
    <row r="1882" spans="2:14" hidden="1" outlineLevel="1" x14ac:dyDescent="0.35">
      <c r="B1882" s="203"/>
      <c r="C1882" s="204"/>
      <c r="D1882" s="204"/>
      <c r="E1882" s="204"/>
      <c r="F1882" s="205"/>
      <c r="G1882" s="548"/>
      <c r="H1882" s="550"/>
      <c r="I1882" s="326"/>
      <c r="J1882" s="326"/>
      <c r="K1882" s="326"/>
      <c r="M1882" s="463"/>
      <c r="N1882" s="464"/>
    </row>
    <row r="1883" spans="2:14" hidden="1" outlineLevel="1" x14ac:dyDescent="0.35">
      <c r="B1883" s="203"/>
      <c r="C1883" s="204"/>
      <c r="D1883" s="204"/>
      <c r="E1883" s="204"/>
      <c r="F1883" s="205"/>
      <c r="G1883" s="548"/>
      <c r="H1883" s="550"/>
      <c r="I1883" s="326"/>
      <c r="J1883" s="326"/>
      <c r="K1883" s="326"/>
      <c r="M1883" s="463"/>
      <c r="N1883" s="464"/>
    </row>
    <row r="1884" spans="2:14" hidden="1" outlineLevel="1" x14ac:dyDescent="0.35">
      <c r="B1884" s="203"/>
      <c r="C1884" s="204"/>
      <c r="D1884" s="204"/>
      <c r="E1884" s="204"/>
      <c r="F1884" s="205"/>
      <c r="G1884" s="548"/>
      <c r="H1884" s="550"/>
      <c r="I1884" s="326"/>
      <c r="J1884" s="326"/>
      <c r="K1884" s="326"/>
      <c r="M1884" s="463"/>
      <c r="N1884" s="464"/>
    </row>
    <row r="1885" spans="2:14" hidden="1" outlineLevel="1" x14ac:dyDescent="0.35">
      <c r="B1885" s="203"/>
      <c r="C1885" s="204"/>
      <c r="D1885" s="204"/>
      <c r="E1885" s="204"/>
      <c r="F1885" s="205"/>
      <c r="G1885" s="548"/>
      <c r="H1885" s="550"/>
      <c r="I1885" s="326"/>
      <c r="J1885" s="326"/>
      <c r="K1885" s="326"/>
      <c r="M1885" s="463"/>
      <c r="N1885" s="464"/>
    </row>
    <row r="1886" spans="2:14" hidden="1" outlineLevel="1" x14ac:dyDescent="0.35">
      <c r="B1886" s="203"/>
      <c r="C1886" s="204"/>
      <c r="D1886" s="204"/>
      <c r="E1886" s="204"/>
      <c r="F1886" s="205"/>
      <c r="G1886" s="548"/>
      <c r="H1886" s="550"/>
      <c r="I1886" s="326"/>
      <c r="J1886" s="326"/>
      <c r="K1886" s="326"/>
      <c r="M1886" s="463"/>
      <c r="N1886" s="464"/>
    </row>
    <row r="1887" spans="2:14" hidden="1" outlineLevel="1" x14ac:dyDescent="0.35">
      <c r="B1887" s="203"/>
      <c r="C1887" s="204"/>
      <c r="D1887" s="204"/>
      <c r="E1887" s="204"/>
      <c r="F1887" s="205"/>
      <c r="G1887" s="548"/>
      <c r="H1887" s="550"/>
      <c r="I1887" s="326"/>
      <c r="J1887" s="326"/>
      <c r="K1887" s="326"/>
      <c r="M1887" s="463"/>
      <c r="N1887" s="464"/>
    </row>
    <row r="1888" spans="2:14" hidden="1" outlineLevel="1" x14ac:dyDescent="0.35">
      <c r="B1888" s="203"/>
      <c r="C1888" s="204"/>
      <c r="D1888" s="204"/>
      <c r="E1888" s="204"/>
      <c r="F1888" s="205"/>
      <c r="G1888" s="548"/>
      <c r="H1888" s="550"/>
      <c r="I1888" s="326"/>
      <c r="J1888" s="326"/>
      <c r="K1888" s="326"/>
      <c r="M1888" s="463"/>
      <c r="N1888" s="464"/>
    </row>
    <row r="1889" spans="2:14" hidden="1" outlineLevel="1" x14ac:dyDescent="0.35">
      <c r="B1889" s="203"/>
      <c r="C1889" s="204"/>
      <c r="D1889" s="204"/>
      <c r="E1889" s="204"/>
      <c r="F1889" s="205"/>
      <c r="G1889" s="548"/>
      <c r="H1889" s="550"/>
      <c r="I1889" s="326"/>
      <c r="J1889" s="326"/>
      <c r="K1889" s="326"/>
      <c r="M1889" s="463"/>
      <c r="N1889" s="464"/>
    </row>
    <row r="1890" spans="2:14" hidden="1" outlineLevel="1" x14ac:dyDescent="0.35">
      <c r="B1890" s="203"/>
      <c r="C1890" s="204"/>
      <c r="D1890" s="204"/>
      <c r="E1890" s="204"/>
      <c r="F1890" s="205"/>
      <c r="G1890" s="548"/>
      <c r="H1890" s="550"/>
      <c r="I1890" s="326"/>
      <c r="J1890" s="326"/>
      <c r="K1890" s="326"/>
      <c r="M1890" s="463"/>
      <c r="N1890" s="464"/>
    </row>
    <row r="1891" spans="2:14" hidden="1" outlineLevel="1" x14ac:dyDescent="0.35">
      <c r="B1891" s="203"/>
      <c r="C1891" s="204"/>
      <c r="D1891" s="204"/>
      <c r="E1891" s="204"/>
      <c r="F1891" s="205"/>
      <c r="G1891" s="548"/>
      <c r="H1891" s="550"/>
      <c r="I1891" s="326"/>
      <c r="J1891" s="326"/>
      <c r="K1891" s="326"/>
      <c r="M1891" s="463"/>
      <c r="N1891" s="464"/>
    </row>
    <row r="1892" spans="2:14" hidden="1" outlineLevel="1" x14ac:dyDescent="0.35">
      <c r="B1892" s="203"/>
      <c r="C1892" s="204"/>
      <c r="D1892" s="204"/>
      <c r="E1892" s="204"/>
      <c r="F1892" s="205"/>
      <c r="G1892" s="548"/>
      <c r="H1892" s="550"/>
      <c r="I1892" s="326"/>
      <c r="J1892" s="326"/>
      <c r="K1892" s="326"/>
      <c r="M1892" s="463"/>
      <c r="N1892" s="464"/>
    </row>
    <row r="1893" spans="2:14" hidden="1" outlineLevel="1" x14ac:dyDescent="0.35">
      <c r="B1893" s="203"/>
      <c r="C1893" s="204"/>
      <c r="D1893" s="204"/>
      <c r="E1893" s="204"/>
      <c r="F1893" s="205"/>
      <c r="G1893" s="548"/>
      <c r="H1893" s="550"/>
      <c r="I1893" s="326"/>
      <c r="J1893" s="326"/>
      <c r="K1893" s="326"/>
      <c r="M1893" s="463"/>
      <c r="N1893" s="464"/>
    </row>
    <row r="1894" spans="2:14" hidden="1" outlineLevel="1" x14ac:dyDescent="0.35">
      <c r="B1894" s="203"/>
      <c r="C1894" s="204"/>
      <c r="D1894" s="204"/>
      <c r="E1894" s="204"/>
      <c r="F1894" s="205"/>
      <c r="G1894" s="548"/>
      <c r="H1894" s="550"/>
      <c r="I1894" s="326"/>
      <c r="J1894" s="326"/>
      <c r="K1894" s="326"/>
      <c r="M1894" s="463"/>
      <c r="N1894" s="464"/>
    </row>
    <row r="1895" spans="2:14" hidden="1" outlineLevel="1" x14ac:dyDescent="0.35">
      <c r="B1895" s="203"/>
      <c r="C1895" s="204"/>
      <c r="D1895" s="204"/>
      <c r="E1895" s="204"/>
      <c r="F1895" s="205"/>
      <c r="G1895" s="548"/>
      <c r="H1895" s="550"/>
      <c r="I1895" s="326"/>
      <c r="J1895" s="326"/>
      <c r="K1895" s="326"/>
      <c r="M1895" s="463"/>
      <c r="N1895" s="464"/>
    </row>
    <row r="1896" spans="2:14" hidden="1" outlineLevel="1" x14ac:dyDescent="0.35">
      <c r="B1896" s="203"/>
      <c r="C1896" s="204"/>
      <c r="D1896" s="204"/>
      <c r="E1896" s="204"/>
      <c r="F1896" s="205"/>
      <c r="G1896" s="548"/>
      <c r="H1896" s="550"/>
      <c r="I1896" s="326"/>
      <c r="J1896" s="326"/>
      <c r="K1896" s="326"/>
      <c r="M1896" s="463"/>
      <c r="N1896" s="464"/>
    </row>
    <row r="1897" spans="2:14" hidden="1" outlineLevel="1" x14ac:dyDescent="0.35">
      <c r="B1897" s="203"/>
      <c r="C1897" s="204"/>
      <c r="D1897" s="204"/>
      <c r="E1897" s="204"/>
      <c r="F1897" s="205"/>
      <c r="G1897" s="548"/>
      <c r="H1897" s="550"/>
      <c r="I1897" s="326"/>
      <c r="J1897" s="326"/>
      <c r="K1897" s="326"/>
      <c r="M1897" s="463"/>
      <c r="N1897" s="464"/>
    </row>
    <row r="1898" spans="2:14" hidden="1" outlineLevel="1" x14ac:dyDescent="0.35">
      <c r="B1898" s="203"/>
      <c r="C1898" s="204"/>
      <c r="D1898" s="204"/>
      <c r="E1898" s="204"/>
      <c r="F1898" s="205"/>
      <c r="G1898" s="548"/>
      <c r="H1898" s="550"/>
      <c r="I1898" s="326"/>
      <c r="J1898" s="326"/>
      <c r="K1898" s="326"/>
      <c r="M1898" s="463"/>
      <c r="N1898" s="464"/>
    </row>
    <row r="1899" spans="2:14" hidden="1" outlineLevel="1" x14ac:dyDescent="0.35">
      <c r="B1899" s="203"/>
      <c r="C1899" s="204"/>
      <c r="D1899" s="204"/>
      <c r="E1899" s="204"/>
      <c r="F1899" s="205"/>
      <c r="G1899" s="548"/>
      <c r="H1899" s="550"/>
      <c r="I1899" s="326"/>
      <c r="J1899" s="326"/>
      <c r="K1899" s="326"/>
      <c r="M1899" s="463"/>
      <c r="N1899" s="464"/>
    </row>
    <row r="1900" spans="2:14" hidden="1" outlineLevel="1" x14ac:dyDescent="0.35">
      <c r="B1900" s="203"/>
      <c r="C1900" s="204"/>
      <c r="D1900" s="204"/>
      <c r="E1900" s="204"/>
      <c r="F1900" s="205"/>
      <c r="G1900" s="548"/>
      <c r="H1900" s="550"/>
      <c r="I1900" s="326"/>
      <c r="J1900" s="326"/>
      <c r="K1900" s="326"/>
      <c r="M1900" s="463"/>
      <c r="N1900" s="464"/>
    </row>
    <row r="1901" spans="2:14" hidden="1" outlineLevel="1" x14ac:dyDescent="0.35">
      <c r="B1901" s="203"/>
      <c r="C1901" s="204"/>
      <c r="D1901" s="204"/>
      <c r="E1901" s="204"/>
      <c r="F1901" s="205"/>
      <c r="G1901" s="548"/>
      <c r="H1901" s="550"/>
      <c r="I1901" s="326"/>
      <c r="J1901" s="326"/>
      <c r="K1901" s="326"/>
      <c r="M1901" s="463"/>
      <c r="N1901" s="464"/>
    </row>
    <row r="1902" spans="2:14" hidden="1" outlineLevel="1" x14ac:dyDescent="0.35">
      <c r="B1902" s="203"/>
      <c r="C1902" s="204"/>
      <c r="D1902" s="204"/>
      <c r="E1902" s="204"/>
      <c r="F1902" s="205"/>
      <c r="G1902" s="548"/>
      <c r="H1902" s="550"/>
      <c r="I1902" s="326"/>
      <c r="J1902" s="326"/>
      <c r="K1902" s="326"/>
      <c r="M1902" s="463"/>
      <c r="N1902" s="464"/>
    </row>
    <row r="1903" spans="2:14" hidden="1" outlineLevel="1" x14ac:dyDescent="0.35">
      <c r="B1903" s="203"/>
      <c r="C1903" s="204"/>
      <c r="D1903" s="204"/>
      <c r="E1903" s="204"/>
      <c r="F1903" s="205"/>
      <c r="G1903" s="548"/>
      <c r="H1903" s="550"/>
      <c r="I1903" s="326"/>
      <c r="J1903" s="326"/>
      <c r="K1903" s="326"/>
      <c r="M1903" s="463"/>
      <c r="N1903" s="464"/>
    </row>
    <row r="1904" spans="2:14" hidden="1" outlineLevel="1" x14ac:dyDescent="0.35">
      <c r="B1904" s="203"/>
      <c r="C1904" s="204"/>
      <c r="D1904" s="204"/>
      <c r="E1904" s="204"/>
      <c r="F1904" s="205"/>
      <c r="G1904" s="548"/>
      <c r="H1904" s="550"/>
      <c r="I1904" s="326"/>
      <c r="J1904" s="326"/>
      <c r="K1904" s="326"/>
      <c r="M1904" s="463"/>
      <c r="N1904" s="464"/>
    </row>
    <row r="1905" spans="2:14" hidden="1" outlineLevel="1" x14ac:dyDescent="0.35">
      <c r="B1905" s="203"/>
      <c r="C1905" s="204"/>
      <c r="D1905" s="204"/>
      <c r="E1905" s="204"/>
      <c r="F1905" s="205"/>
      <c r="G1905" s="548"/>
      <c r="H1905" s="550"/>
      <c r="I1905" s="326"/>
      <c r="J1905" s="326"/>
      <c r="K1905" s="326"/>
      <c r="M1905" s="463"/>
      <c r="N1905" s="464"/>
    </row>
    <row r="1906" spans="2:14" hidden="1" outlineLevel="1" x14ac:dyDescent="0.35">
      <c r="B1906" s="203"/>
      <c r="C1906" s="204"/>
      <c r="D1906" s="204"/>
      <c r="E1906" s="204"/>
      <c r="F1906" s="205"/>
      <c r="G1906" s="548"/>
      <c r="H1906" s="550"/>
      <c r="I1906" s="326"/>
      <c r="J1906" s="326"/>
      <c r="K1906" s="326"/>
      <c r="M1906" s="463"/>
      <c r="N1906" s="464"/>
    </row>
    <row r="1907" spans="2:14" hidden="1" outlineLevel="1" x14ac:dyDescent="0.35">
      <c r="B1907" s="203"/>
      <c r="C1907" s="204"/>
      <c r="D1907" s="204"/>
      <c r="E1907" s="204"/>
      <c r="F1907" s="205"/>
      <c r="G1907" s="548"/>
      <c r="H1907" s="550"/>
      <c r="I1907" s="326"/>
      <c r="J1907" s="326"/>
      <c r="K1907" s="326"/>
      <c r="M1907" s="463"/>
      <c r="N1907" s="464"/>
    </row>
    <row r="1908" spans="2:14" hidden="1" outlineLevel="1" x14ac:dyDescent="0.35">
      <c r="B1908" s="203"/>
      <c r="C1908" s="204"/>
      <c r="D1908" s="204"/>
      <c r="E1908" s="204"/>
      <c r="F1908" s="205"/>
      <c r="G1908" s="548"/>
      <c r="H1908" s="550"/>
      <c r="I1908" s="326"/>
      <c r="J1908" s="326"/>
      <c r="K1908" s="326"/>
      <c r="M1908" s="463"/>
      <c r="N1908" s="464"/>
    </row>
    <row r="1909" spans="2:14" hidden="1" outlineLevel="1" x14ac:dyDescent="0.35">
      <c r="B1909" s="203"/>
      <c r="C1909" s="204"/>
      <c r="D1909" s="204"/>
      <c r="E1909" s="204"/>
      <c r="F1909" s="205"/>
      <c r="G1909" s="548"/>
      <c r="H1909" s="550"/>
      <c r="I1909" s="326"/>
      <c r="J1909" s="326"/>
      <c r="K1909" s="326"/>
      <c r="M1909" s="463"/>
      <c r="N1909" s="464"/>
    </row>
    <row r="1910" spans="2:14" hidden="1" outlineLevel="1" x14ac:dyDescent="0.35">
      <c r="B1910" s="203"/>
      <c r="C1910" s="204"/>
      <c r="D1910" s="204"/>
      <c r="E1910" s="204"/>
      <c r="F1910" s="205"/>
      <c r="G1910" s="548"/>
      <c r="H1910" s="550"/>
      <c r="I1910" s="326"/>
      <c r="J1910" s="326"/>
      <c r="K1910" s="326"/>
      <c r="M1910" s="463"/>
      <c r="N1910" s="464"/>
    </row>
    <row r="1911" spans="2:14" hidden="1" outlineLevel="1" x14ac:dyDescent="0.35">
      <c r="B1911" s="203"/>
      <c r="C1911" s="204"/>
      <c r="D1911" s="204"/>
      <c r="E1911" s="204"/>
      <c r="F1911" s="205"/>
      <c r="G1911" s="548"/>
      <c r="H1911" s="550"/>
      <c r="I1911" s="326"/>
      <c r="J1911" s="326"/>
      <c r="K1911" s="326"/>
      <c r="M1911" s="463"/>
      <c r="N1911" s="464"/>
    </row>
    <row r="1912" spans="2:14" hidden="1" outlineLevel="1" x14ac:dyDescent="0.35">
      <c r="B1912" s="203"/>
      <c r="C1912" s="204"/>
      <c r="D1912" s="204"/>
      <c r="E1912" s="204"/>
      <c r="F1912" s="205"/>
      <c r="G1912" s="548"/>
      <c r="H1912" s="550"/>
      <c r="I1912" s="326"/>
      <c r="J1912" s="326"/>
      <c r="K1912" s="326"/>
      <c r="M1912" s="463"/>
      <c r="N1912" s="464"/>
    </row>
    <row r="1913" spans="2:14" hidden="1" outlineLevel="1" x14ac:dyDescent="0.35">
      <c r="B1913" s="203"/>
      <c r="C1913" s="204"/>
      <c r="D1913" s="204"/>
      <c r="E1913" s="204"/>
      <c r="F1913" s="205"/>
      <c r="G1913" s="548"/>
      <c r="H1913" s="550"/>
      <c r="I1913" s="326"/>
      <c r="J1913" s="326"/>
      <c r="K1913" s="326"/>
      <c r="M1913" s="463"/>
      <c r="N1913" s="464"/>
    </row>
    <row r="1914" spans="2:14" hidden="1" outlineLevel="1" x14ac:dyDescent="0.35">
      <c r="B1914" s="203"/>
      <c r="C1914" s="204"/>
      <c r="D1914" s="204"/>
      <c r="E1914" s="204"/>
      <c r="F1914" s="205"/>
      <c r="G1914" s="548"/>
      <c r="H1914" s="550"/>
      <c r="I1914" s="326"/>
      <c r="J1914" s="326"/>
      <c r="K1914" s="326"/>
      <c r="M1914" s="463"/>
      <c r="N1914" s="464"/>
    </row>
    <row r="1915" spans="2:14" hidden="1" outlineLevel="1" x14ac:dyDescent="0.35">
      <c r="B1915" s="203"/>
      <c r="C1915" s="204"/>
      <c r="D1915" s="204"/>
      <c r="E1915" s="204"/>
      <c r="F1915" s="205"/>
      <c r="G1915" s="548"/>
      <c r="H1915" s="550"/>
      <c r="I1915" s="326"/>
      <c r="J1915" s="326"/>
      <c r="K1915" s="326"/>
      <c r="M1915" s="463"/>
      <c r="N1915" s="464"/>
    </row>
    <row r="1916" spans="2:14" hidden="1" outlineLevel="1" x14ac:dyDescent="0.35">
      <c r="B1916" s="203"/>
      <c r="C1916" s="204"/>
      <c r="D1916" s="204"/>
      <c r="E1916" s="204"/>
      <c r="F1916" s="205"/>
      <c r="G1916" s="548"/>
      <c r="H1916" s="550"/>
      <c r="I1916" s="326"/>
      <c r="J1916" s="326"/>
      <c r="K1916" s="326"/>
      <c r="M1916" s="463"/>
      <c r="N1916" s="464"/>
    </row>
    <row r="1917" spans="2:14" hidden="1" outlineLevel="1" x14ac:dyDescent="0.35">
      <c r="B1917" s="203"/>
      <c r="C1917" s="204"/>
      <c r="D1917" s="204"/>
      <c r="E1917" s="204"/>
      <c r="F1917" s="205"/>
      <c r="G1917" s="548"/>
      <c r="H1917" s="550"/>
      <c r="I1917" s="326"/>
      <c r="J1917" s="326"/>
      <c r="K1917" s="326"/>
      <c r="M1917" s="463"/>
      <c r="N1917" s="464"/>
    </row>
    <row r="1918" spans="2:14" hidden="1" outlineLevel="1" x14ac:dyDescent="0.35">
      <c r="B1918" s="203"/>
      <c r="C1918" s="204"/>
      <c r="D1918" s="204"/>
      <c r="E1918" s="204"/>
      <c r="F1918" s="205"/>
      <c r="G1918" s="548"/>
      <c r="H1918" s="550"/>
      <c r="I1918" s="326"/>
      <c r="J1918" s="326"/>
      <c r="K1918" s="326"/>
      <c r="M1918" s="463"/>
      <c r="N1918" s="464"/>
    </row>
    <row r="1919" spans="2:14" hidden="1" outlineLevel="1" x14ac:dyDescent="0.35">
      <c r="B1919" s="203"/>
      <c r="C1919" s="204"/>
      <c r="D1919" s="204"/>
      <c r="E1919" s="204"/>
      <c r="F1919" s="205"/>
      <c r="G1919" s="548"/>
      <c r="H1919" s="550"/>
      <c r="I1919" s="326"/>
      <c r="J1919" s="326"/>
      <c r="K1919" s="326"/>
      <c r="M1919" s="463"/>
      <c r="N1919" s="464"/>
    </row>
    <row r="1920" spans="2:14" hidden="1" outlineLevel="1" x14ac:dyDescent="0.35">
      <c r="B1920" s="203"/>
      <c r="C1920" s="204"/>
      <c r="D1920" s="204"/>
      <c r="E1920" s="204"/>
      <c r="F1920" s="205"/>
      <c r="G1920" s="548"/>
      <c r="H1920" s="550"/>
      <c r="I1920" s="326"/>
      <c r="J1920" s="326"/>
      <c r="K1920" s="326"/>
      <c r="M1920" s="463"/>
      <c r="N1920" s="464"/>
    </row>
    <row r="1921" spans="2:14" hidden="1" outlineLevel="1" x14ac:dyDescent="0.35">
      <c r="B1921" s="203"/>
      <c r="C1921" s="204"/>
      <c r="D1921" s="204"/>
      <c r="E1921" s="204"/>
      <c r="F1921" s="205"/>
      <c r="G1921" s="548"/>
      <c r="H1921" s="550"/>
      <c r="I1921" s="326"/>
      <c r="J1921" s="326"/>
      <c r="K1921" s="326"/>
      <c r="M1921" s="463"/>
      <c r="N1921" s="464"/>
    </row>
    <row r="1922" spans="2:14" hidden="1" outlineLevel="1" x14ac:dyDescent="0.35">
      <c r="B1922" s="203"/>
      <c r="C1922" s="204"/>
      <c r="D1922" s="204"/>
      <c r="E1922" s="204"/>
      <c r="F1922" s="205"/>
      <c r="G1922" s="548"/>
      <c r="H1922" s="550"/>
      <c r="I1922" s="326"/>
      <c r="J1922" s="326"/>
      <c r="K1922" s="326"/>
      <c r="M1922" s="463"/>
      <c r="N1922" s="464"/>
    </row>
    <row r="1923" spans="2:14" hidden="1" outlineLevel="1" x14ac:dyDescent="0.35">
      <c r="B1923" s="203"/>
      <c r="C1923" s="204"/>
      <c r="D1923" s="204"/>
      <c r="E1923" s="204"/>
      <c r="F1923" s="205"/>
      <c r="G1923" s="548"/>
      <c r="H1923" s="550"/>
      <c r="I1923" s="326"/>
      <c r="J1923" s="326"/>
      <c r="K1923" s="326"/>
      <c r="M1923" s="463"/>
      <c r="N1923" s="464"/>
    </row>
    <row r="1924" spans="2:14" hidden="1" outlineLevel="1" x14ac:dyDescent="0.35">
      <c r="B1924" s="203"/>
      <c r="C1924" s="204"/>
      <c r="D1924" s="204"/>
      <c r="E1924" s="204"/>
      <c r="F1924" s="205"/>
      <c r="G1924" s="548"/>
      <c r="H1924" s="550"/>
      <c r="I1924" s="326"/>
      <c r="J1924" s="326"/>
      <c r="K1924" s="326"/>
      <c r="M1924" s="463"/>
      <c r="N1924" s="464"/>
    </row>
    <row r="1925" spans="2:14" hidden="1" outlineLevel="1" x14ac:dyDescent="0.35">
      <c r="B1925" s="203"/>
      <c r="C1925" s="204"/>
      <c r="D1925" s="204"/>
      <c r="E1925" s="204"/>
      <c r="F1925" s="205"/>
      <c r="G1925" s="548"/>
      <c r="H1925" s="550"/>
      <c r="I1925" s="326"/>
      <c r="J1925" s="326"/>
      <c r="K1925" s="326"/>
      <c r="M1925" s="463"/>
      <c r="N1925" s="464"/>
    </row>
    <row r="1926" spans="2:14" hidden="1" outlineLevel="1" x14ac:dyDescent="0.35">
      <c r="B1926" s="203"/>
      <c r="C1926" s="204"/>
      <c r="D1926" s="204"/>
      <c r="E1926" s="204"/>
      <c r="F1926" s="205"/>
      <c r="G1926" s="548"/>
      <c r="H1926" s="550"/>
      <c r="I1926" s="326"/>
      <c r="J1926" s="326"/>
      <c r="K1926" s="326"/>
      <c r="M1926" s="463"/>
      <c r="N1926" s="464"/>
    </row>
    <row r="1927" spans="2:14" hidden="1" outlineLevel="1" x14ac:dyDescent="0.35">
      <c r="B1927" s="203"/>
      <c r="C1927" s="204"/>
      <c r="D1927" s="204"/>
      <c r="E1927" s="204"/>
      <c r="F1927" s="205"/>
      <c r="G1927" s="548"/>
      <c r="H1927" s="550"/>
      <c r="I1927" s="326"/>
      <c r="J1927" s="326"/>
      <c r="K1927" s="326"/>
      <c r="M1927" s="463"/>
      <c r="N1927" s="464"/>
    </row>
    <row r="1928" spans="2:14" hidden="1" outlineLevel="1" x14ac:dyDescent="0.35">
      <c r="B1928" s="203"/>
      <c r="C1928" s="204"/>
      <c r="D1928" s="204"/>
      <c r="E1928" s="204"/>
      <c r="F1928" s="205"/>
      <c r="G1928" s="548"/>
      <c r="H1928" s="550"/>
      <c r="I1928" s="326"/>
      <c r="J1928" s="326"/>
      <c r="K1928" s="326"/>
      <c r="M1928" s="463"/>
      <c r="N1928" s="464"/>
    </row>
    <row r="1929" spans="2:14" hidden="1" outlineLevel="1" x14ac:dyDescent="0.35">
      <c r="B1929" s="203"/>
      <c r="C1929" s="204"/>
      <c r="D1929" s="204"/>
      <c r="E1929" s="204"/>
      <c r="F1929" s="205"/>
      <c r="G1929" s="548"/>
      <c r="H1929" s="550"/>
      <c r="I1929" s="326"/>
      <c r="J1929" s="326"/>
      <c r="K1929" s="326"/>
      <c r="M1929" s="463"/>
      <c r="N1929" s="464"/>
    </row>
    <row r="1930" spans="2:14" hidden="1" outlineLevel="1" x14ac:dyDescent="0.35">
      <c r="B1930" s="203"/>
      <c r="C1930" s="204"/>
      <c r="D1930" s="204"/>
      <c r="E1930" s="204"/>
      <c r="F1930" s="205"/>
      <c r="G1930" s="548"/>
      <c r="H1930" s="550"/>
      <c r="I1930" s="326"/>
      <c r="J1930" s="326"/>
      <c r="K1930" s="326"/>
      <c r="M1930" s="463"/>
      <c r="N1930" s="464"/>
    </row>
    <row r="1931" spans="2:14" hidden="1" outlineLevel="1" x14ac:dyDescent="0.35">
      <c r="B1931" s="203"/>
      <c r="C1931" s="204"/>
      <c r="D1931" s="204"/>
      <c r="E1931" s="204"/>
      <c r="F1931" s="205"/>
      <c r="G1931" s="548"/>
      <c r="H1931" s="550"/>
      <c r="I1931" s="326"/>
      <c r="J1931" s="326"/>
      <c r="K1931" s="326"/>
      <c r="M1931" s="463"/>
      <c r="N1931" s="464"/>
    </row>
    <row r="1932" spans="2:14" hidden="1" outlineLevel="1" x14ac:dyDescent="0.35">
      <c r="B1932" s="203"/>
      <c r="C1932" s="204"/>
      <c r="D1932" s="204"/>
      <c r="E1932" s="204"/>
      <c r="F1932" s="205"/>
      <c r="G1932" s="548"/>
      <c r="H1932" s="550"/>
      <c r="I1932" s="326"/>
      <c r="J1932" s="326"/>
      <c r="K1932" s="326"/>
      <c r="M1932" s="463"/>
      <c r="N1932" s="464"/>
    </row>
    <row r="1933" spans="2:14" hidden="1" outlineLevel="1" x14ac:dyDescent="0.35">
      <c r="B1933" s="203"/>
      <c r="C1933" s="204"/>
      <c r="D1933" s="204"/>
      <c r="E1933" s="204"/>
      <c r="F1933" s="205"/>
      <c r="G1933" s="548"/>
      <c r="H1933" s="550"/>
      <c r="I1933" s="326"/>
      <c r="J1933" s="326"/>
      <c r="K1933" s="326"/>
      <c r="M1933" s="463"/>
      <c r="N1933" s="464"/>
    </row>
    <row r="1934" spans="2:14" hidden="1" outlineLevel="1" x14ac:dyDescent="0.35">
      <c r="B1934" s="203"/>
      <c r="C1934" s="204"/>
      <c r="D1934" s="204"/>
      <c r="E1934" s="204"/>
      <c r="F1934" s="205"/>
      <c r="G1934" s="548"/>
      <c r="H1934" s="550"/>
      <c r="I1934" s="326"/>
      <c r="J1934" s="326"/>
      <c r="K1934" s="326"/>
      <c r="M1934" s="463"/>
      <c r="N1934" s="464"/>
    </row>
    <row r="1935" spans="2:14" hidden="1" outlineLevel="1" x14ac:dyDescent="0.35">
      <c r="B1935" s="203"/>
      <c r="C1935" s="204"/>
      <c r="D1935" s="204"/>
      <c r="E1935" s="204"/>
      <c r="F1935" s="205"/>
      <c r="G1935" s="548"/>
      <c r="H1935" s="550"/>
      <c r="I1935" s="326"/>
      <c r="J1935" s="326"/>
      <c r="K1935" s="326"/>
      <c r="M1935" s="463"/>
      <c r="N1935" s="464"/>
    </row>
    <row r="1936" spans="2:14" hidden="1" outlineLevel="1" x14ac:dyDescent="0.35">
      <c r="B1936" s="203"/>
      <c r="C1936" s="204"/>
      <c r="D1936" s="204"/>
      <c r="E1936" s="204"/>
      <c r="F1936" s="205"/>
      <c r="G1936" s="548"/>
      <c r="H1936" s="550"/>
      <c r="I1936" s="326"/>
      <c r="J1936" s="326"/>
      <c r="K1936" s="326"/>
      <c r="M1936" s="463"/>
      <c r="N1936" s="464"/>
    </row>
    <row r="1937" spans="2:14" hidden="1" outlineLevel="1" x14ac:dyDescent="0.35">
      <c r="B1937" s="203"/>
      <c r="C1937" s="204"/>
      <c r="D1937" s="204"/>
      <c r="E1937" s="204"/>
      <c r="F1937" s="205"/>
      <c r="G1937" s="548"/>
      <c r="H1937" s="550"/>
      <c r="I1937" s="326"/>
      <c r="J1937" s="326"/>
      <c r="K1937" s="326"/>
      <c r="M1937" s="463"/>
      <c r="N1937" s="464"/>
    </row>
    <row r="1938" spans="2:14" hidden="1" outlineLevel="1" x14ac:dyDescent="0.35">
      <c r="B1938" s="203"/>
      <c r="C1938" s="204"/>
      <c r="D1938" s="204"/>
      <c r="E1938" s="204"/>
      <c r="F1938" s="205"/>
      <c r="G1938" s="548"/>
      <c r="H1938" s="550"/>
      <c r="I1938" s="326"/>
      <c r="J1938" s="326"/>
      <c r="K1938" s="326"/>
      <c r="M1938" s="463"/>
      <c r="N1938" s="464"/>
    </row>
    <row r="1939" spans="2:14" hidden="1" outlineLevel="1" x14ac:dyDescent="0.35">
      <c r="B1939" s="203"/>
      <c r="C1939" s="204"/>
      <c r="D1939" s="204"/>
      <c r="E1939" s="204"/>
      <c r="F1939" s="205"/>
      <c r="G1939" s="548"/>
      <c r="H1939" s="550"/>
      <c r="I1939" s="326"/>
      <c r="J1939" s="326"/>
      <c r="K1939" s="326"/>
      <c r="M1939" s="463"/>
      <c r="N1939" s="464"/>
    </row>
    <row r="1940" spans="2:14" hidden="1" outlineLevel="1" x14ac:dyDescent="0.35">
      <c r="B1940" s="203"/>
      <c r="C1940" s="204"/>
      <c r="D1940" s="204"/>
      <c r="E1940" s="204"/>
      <c r="F1940" s="205"/>
      <c r="G1940" s="548"/>
      <c r="H1940" s="550"/>
      <c r="I1940" s="326"/>
      <c r="J1940" s="326"/>
      <c r="K1940" s="326"/>
      <c r="M1940" s="463"/>
      <c r="N1940" s="464"/>
    </row>
    <row r="1941" spans="2:14" hidden="1" outlineLevel="1" x14ac:dyDescent="0.35">
      <c r="B1941" s="203"/>
      <c r="C1941" s="204"/>
      <c r="D1941" s="204"/>
      <c r="E1941" s="204"/>
      <c r="F1941" s="205"/>
      <c r="G1941" s="548"/>
      <c r="H1941" s="550"/>
      <c r="I1941" s="326"/>
      <c r="J1941" s="326"/>
      <c r="K1941" s="326"/>
      <c r="M1941" s="463"/>
      <c r="N1941" s="464"/>
    </row>
    <row r="1942" spans="2:14" hidden="1" outlineLevel="1" x14ac:dyDescent="0.35">
      <c r="B1942" s="203"/>
      <c r="C1942" s="204"/>
      <c r="D1942" s="204"/>
      <c r="E1942" s="204"/>
      <c r="F1942" s="205"/>
      <c r="G1942" s="548"/>
      <c r="H1942" s="550"/>
      <c r="I1942" s="326"/>
      <c r="J1942" s="326"/>
      <c r="K1942" s="326"/>
      <c r="M1942" s="463"/>
      <c r="N1942" s="464"/>
    </row>
    <row r="1943" spans="2:14" hidden="1" outlineLevel="1" x14ac:dyDescent="0.35">
      <c r="B1943" s="203"/>
      <c r="C1943" s="204"/>
      <c r="D1943" s="204"/>
      <c r="E1943" s="204"/>
      <c r="F1943" s="205"/>
      <c r="G1943" s="548"/>
      <c r="H1943" s="550"/>
      <c r="I1943" s="326"/>
      <c r="J1943" s="326"/>
      <c r="K1943" s="326"/>
      <c r="M1943" s="463"/>
      <c r="N1943" s="464"/>
    </row>
    <row r="1944" spans="2:14" hidden="1" outlineLevel="1" x14ac:dyDescent="0.35">
      <c r="B1944" s="203"/>
      <c r="C1944" s="204"/>
      <c r="D1944" s="204"/>
      <c r="E1944" s="204"/>
      <c r="F1944" s="205"/>
      <c r="G1944" s="548"/>
      <c r="H1944" s="550"/>
      <c r="I1944" s="326"/>
      <c r="J1944" s="326"/>
      <c r="K1944" s="326"/>
      <c r="M1944" s="463"/>
      <c r="N1944" s="464"/>
    </row>
    <row r="1945" spans="2:14" hidden="1" outlineLevel="1" x14ac:dyDescent="0.35">
      <c r="B1945" s="203"/>
      <c r="C1945" s="204"/>
      <c r="D1945" s="204"/>
      <c r="E1945" s="204"/>
      <c r="F1945" s="205"/>
      <c r="G1945" s="548"/>
      <c r="H1945" s="550"/>
      <c r="I1945" s="326"/>
      <c r="J1945" s="326"/>
      <c r="K1945" s="326"/>
      <c r="M1945" s="463"/>
      <c r="N1945" s="464"/>
    </row>
    <row r="1946" spans="2:14" hidden="1" outlineLevel="1" x14ac:dyDescent="0.35">
      <c r="B1946" s="203"/>
      <c r="C1946" s="204"/>
      <c r="D1946" s="204"/>
      <c r="E1946" s="204"/>
      <c r="F1946" s="205"/>
      <c r="G1946" s="548"/>
      <c r="H1946" s="550"/>
      <c r="I1946" s="326"/>
      <c r="J1946" s="326"/>
      <c r="K1946" s="326"/>
      <c r="M1946" s="463"/>
      <c r="N1946" s="464"/>
    </row>
    <row r="1947" spans="2:14" hidden="1" outlineLevel="1" x14ac:dyDescent="0.35">
      <c r="B1947" s="203"/>
      <c r="C1947" s="204"/>
      <c r="D1947" s="204"/>
      <c r="E1947" s="204"/>
      <c r="F1947" s="205"/>
      <c r="G1947" s="548"/>
      <c r="H1947" s="550"/>
      <c r="I1947" s="326"/>
      <c r="J1947" s="326"/>
      <c r="K1947" s="326"/>
      <c r="M1947" s="463"/>
      <c r="N1947" s="464"/>
    </row>
    <row r="1948" spans="2:14" hidden="1" outlineLevel="1" x14ac:dyDescent="0.35">
      <c r="B1948" s="203"/>
      <c r="C1948" s="204"/>
      <c r="D1948" s="204"/>
      <c r="E1948" s="204"/>
      <c r="F1948" s="205"/>
      <c r="G1948" s="548"/>
      <c r="H1948" s="550"/>
      <c r="I1948" s="326"/>
      <c r="J1948" s="326"/>
      <c r="K1948" s="326"/>
      <c r="M1948" s="463"/>
      <c r="N1948" s="464"/>
    </row>
    <row r="1949" spans="2:14" hidden="1" outlineLevel="1" x14ac:dyDescent="0.35">
      <c r="B1949" s="203"/>
      <c r="C1949" s="204"/>
      <c r="D1949" s="204"/>
      <c r="E1949" s="204"/>
      <c r="F1949" s="205"/>
      <c r="G1949" s="548"/>
      <c r="H1949" s="550"/>
      <c r="I1949" s="326"/>
      <c r="J1949" s="326"/>
      <c r="K1949" s="326"/>
      <c r="M1949" s="463"/>
      <c r="N1949" s="464"/>
    </row>
    <row r="1950" spans="2:14" hidden="1" outlineLevel="1" x14ac:dyDescent="0.35">
      <c r="B1950" s="203"/>
      <c r="C1950" s="204"/>
      <c r="D1950" s="204"/>
      <c r="E1950" s="204"/>
      <c r="F1950" s="205"/>
      <c r="G1950" s="548"/>
      <c r="H1950" s="550"/>
      <c r="I1950" s="326"/>
      <c r="J1950" s="326"/>
      <c r="K1950" s="326"/>
      <c r="M1950" s="463"/>
      <c r="N1950" s="464"/>
    </row>
    <row r="1951" spans="2:14" hidden="1" outlineLevel="1" x14ac:dyDescent="0.35">
      <c r="B1951" s="203"/>
      <c r="C1951" s="204"/>
      <c r="D1951" s="204"/>
      <c r="E1951" s="204"/>
      <c r="F1951" s="205"/>
      <c r="G1951" s="548"/>
      <c r="H1951" s="550"/>
      <c r="I1951" s="326"/>
      <c r="J1951" s="326"/>
      <c r="K1951" s="326"/>
      <c r="M1951" s="463"/>
      <c r="N1951" s="464"/>
    </row>
    <row r="1952" spans="2:14" hidden="1" outlineLevel="1" x14ac:dyDescent="0.35">
      <c r="B1952" s="203"/>
      <c r="C1952" s="204"/>
      <c r="D1952" s="204"/>
      <c r="E1952" s="204"/>
      <c r="F1952" s="205"/>
      <c r="G1952" s="548"/>
      <c r="H1952" s="550"/>
      <c r="I1952" s="326"/>
      <c r="J1952" s="326"/>
      <c r="K1952" s="326"/>
      <c r="M1952" s="463"/>
      <c r="N1952" s="464"/>
    </row>
    <row r="1953" spans="2:14" hidden="1" outlineLevel="1" x14ac:dyDescent="0.35">
      <c r="B1953" s="203"/>
      <c r="C1953" s="204"/>
      <c r="D1953" s="204"/>
      <c r="E1953" s="204"/>
      <c r="F1953" s="205"/>
      <c r="G1953" s="548"/>
      <c r="H1953" s="550"/>
      <c r="I1953" s="326"/>
      <c r="J1953" s="326"/>
      <c r="K1953" s="326"/>
      <c r="M1953" s="463"/>
      <c r="N1953" s="464"/>
    </row>
    <row r="1954" spans="2:14" hidden="1" outlineLevel="1" x14ac:dyDescent="0.35">
      <c r="B1954" s="203"/>
      <c r="C1954" s="204"/>
      <c r="D1954" s="204"/>
      <c r="E1954" s="204"/>
      <c r="F1954" s="205"/>
      <c r="G1954" s="548"/>
      <c r="H1954" s="550"/>
      <c r="I1954" s="326"/>
      <c r="J1954" s="326"/>
      <c r="K1954" s="326"/>
      <c r="M1954" s="463"/>
      <c r="N1954" s="464"/>
    </row>
    <row r="1955" spans="2:14" hidden="1" outlineLevel="1" x14ac:dyDescent="0.35">
      <c r="B1955" s="203"/>
      <c r="C1955" s="204"/>
      <c r="D1955" s="204"/>
      <c r="E1955" s="204"/>
      <c r="F1955" s="205"/>
      <c r="G1955" s="548"/>
      <c r="H1955" s="550"/>
      <c r="I1955" s="326"/>
      <c r="J1955" s="326"/>
      <c r="K1955" s="326"/>
      <c r="M1955" s="463"/>
      <c r="N1955" s="464"/>
    </row>
    <row r="1956" spans="2:14" hidden="1" outlineLevel="1" x14ac:dyDescent="0.35">
      <c r="B1956" s="203"/>
      <c r="C1956" s="204"/>
      <c r="D1956" s="204"/>
      <c r="E1956" s="204"/>
      <c r="F1956" s="205"/>
      <c r="G1956" s="548"/>
      <c r="H1956" s="550"/>
      <c r="I1956" s="326"/>
      <c r="J1956" s="326"/>
      <c r="K1956" s="326"/>
      <c r="M1956" s="463"/>
      <c r="N1956" s="464"/>
    </row>
    <row r="1957" spans="2:14" hidden="1" outlineLevel="1" x14ac:dyDescent="0.35">
      <c r="B1957" s="203"/>
      <c r="C1957" s="204"/>
      <c r="D1957" s="204"/>
      <c r="E1957" s="204"/>
      <c r="F1957" s="205"/>
      <c r="G1957" s="548"/>
      <c r="H1957" s="550"/>
      <c r="I1957" s="326"/>
      <c r="J1957" s="326"/>
      <c r="K1957" s="326"/>
      <c r="M1957" s="463"/>
      <c r="N1957" s="464"/>
    </row>
    <row r="1958" spans="2:14" hidden="1" outlineLevel="1" x14ac:dyDescent="0.35">
      <c r="B1958" s="203"/>
      <c r="C1958" s="204"/>
      <c r="D1958" s="204"/>
      <c r="E1958" s="204"/>
      <c r="F1958" s="205"/>
      <c r="G1958" s="548"/>
      <c r="H1958" s="550"/>
      <c r="I1958" s="326"/>
      <c r="J1958" s="326"/>
      <c r="K1958" s="326"/>
      <c r="M1958" s="463"/>
      <c r="N1958" s="464"/>
    </row>
    <row r="1959" spans="2:14" hidden="1" outlineLevel="1" x14ac:dyDescent="0.35">
      <c r="B1959" s="203"/>
      <c r="C1959" s="204"/>
      <c r="D1959" s="204"/>
      <c r="E1959" s="204"/>
      <c r="F1959" s="205"/>
      <c r="G1959" s="548"/>
      <c r="H1959" s="550"/>
      <c r="I1959" s="326"/>
      <c r="J1959" s="326"/>
      <c r="K1959" s="326"/>
      <c r="M1959" s="463"/>
      <c r="N1959" s="464"/>
    </row>
    <row r="1960" spans="2:14" hidden="1" outlineLevel="1" x14ac:dyDescent="0.35">
      <c r="B1960" s="203"/>
      <c r="C1960" s="204"/>
      <c r="D1960" s="204"/>
      <c r="E1960" s="204"/>
      <c r="F1960" s="205"/>
      <c r="G1960" s="548"/>
      <c r="H1960" s="550"/>
      <c r="I1960" s="326"/>
      <c r="J1960" s="326"/>
      <c r="K1960" s="326"/>
      <c r="M1960" s="463"/>
      <c r="N1960" s="464"/>
    </row>
    <row r="1961" spans="2:14" hidden="1" outlineLevel="1" x14ac:dyDescent="0.35">
      <c r="B1961" s="203"/>
      <c r="C1961" s="204"/>
      <c r="D1961" s="204"/>
      <c r="E1961" s="204"/>
      <c r="F1961" s="205"/>
      <c r="G1961" s="548"/>
      <c r="H1961" s="550"/>
      <c r="I1961" s="326"/>
      <c r="J1961" s="326"/>
      <c r="K1961" s="326"/>
      <c r="M1961" s="463"/>
      <c r="N1961" s="464"/>
    </row>
    <row r="1962" spans="2:14" hidden="1" outlineLevel="1" x14ac:dyDescent="0.35">
      <c r="B1962" s="203"/>
      <c r="C1962" s="204"/>
      <c r="D1962" s="204"/>
      <c r="E1962" s="204"/>
      <c r="F1962" s="205"/>
      <c r="G1962" s="548"/>
      <c r="H1962" s="550"/>
      <c r="I1962" s="326"/>
      <c r="J1962" s="326"/>
      <c r="K1962" s="326"/>
      <c r="M1962" s="463"/>
      <c r="N1962" s="464"/>
    </row>
    <row r="1963" spans="2:14" hidden="1" outlineLevel="1" x14ac:dyDescent="0.35">
      <c r="B1963" s="203"/>
      <c r="C1963" s="204"/>
      <c r="D1963" s="204"/>
      <c r="E1963" s="204"/>
      <c r="F1963" s="205"/>
      <c r="G1963" s="548"/>
      <c r="H1963" s="550"/>
      <c r="I1963" s="326"/>
      <c r="J1963" s="326"/>
      <c r="K1963" s="326"/>
      <c r="M1963" s="463"/>
      <c r="N1963" s="464"/>
    </row>
    <row r="1964" spans="2:14" hidden="1" outlineLevel="1" x14ac:dyDescent="0.35">
      <c r="B1964" s="203"/>
      <c r="C1964" s="204"/>
      <c r="D1964" s="204"/>
      <c r="E1964" s="204"/>
      <c r="F1964" s="205"/>
      <c r="G1964" s="548"/>
      <c r="H1964" s="550"/>
      <c r="I1964" s="326"/>
      <c r="J1964" s="326"/>
      <c r="K1964" s="326"/>
      <c r="M1964" s="463"/>
      <c r="N1964" s="464"/>
    </row>
    <row r="1965" spans="2:14" hidden="1" outlineLevel="1" x14ac:dyDescent="0.35">
      <c r="B1965" s="203"/>
      <c r="C1965" s="204"/>
      <c r="D1965" s="204"/>
      <c r="E1965" s="204"/>
      <c r="F1965" s="205"/>
      <c r="G1965" s="548"/>
      <c r="H1965" s="550"/>
      <c r="I1965" s="326"/>
      <c r="J1965" s="326"/>
      <c r="K1965" s="326"/>
      <c r="M1965" s="463"/>
      <c r="N1965" s="464"/>
    </row>
    <row r="1966" spans="2:14" hidden="1" outlineLevel="1" x14ac:dyDescent="0.35">
      <c r="B1966" s="203"/>
      <c r="C1966" s="204"/>
      <c r="D1966" s="204"/>
      <c r="E1966" s="204"/>
      <c r="F1966" s="205"/>
      <c r="G1966" s="548"/>
      <c r="H1966" s="550"/>
      <c r="I1966" s="326"/>
      <c r="J1966" s="326"/>
      <c r="K1966" s="326"/>
      <c r="M1966" s="463"/>
      <c r="N1966" s="464"/>
    </row>
    <row r="1967" spans="2:14" hidden="1" outlineLevel="1" x14ac:dyDescent="0.35">
      <c r="B1967" s="203"/>
      <c r="C1967" s="204"/>
      <c r="D1967" s="204"/>
      <c r="E1967" s="204"/>
      <c r="F1967" s="205"/>
      <c r="G1967" s="548"/>
      <c r="H1967" s="550"/>
      <c r="I1967" s="326"/>
      <c r="J1967" s="326"/>
      <c r="K1967" s="326"/>
      <c r="M1967" s="463"/>
      <c r="N1967" s="464"/>
    </row>
    <row r="1968" spans="2:14" hidden="1" outlineLevel="1" x14ac:dyDescent="0.35">
      <c r="B1968" s="203"/>
      <c r="C1968" s="204"/>
      <c r="D1968" s="204"/>
      <c r="E1968" s="204"/>
      <c r="F1968" s="205"/>
      <c r="G1968" s="548"/>
      <c r="H1968" s="550"/>
      <c r="I1968" s="326"/>
      <c r="J1968" s="326"/>
      <c r="K1968" s="326"/>
      <c r="M1968" s="463"/>
      <c r="N1968" s="464"/>
    </row>
    <row r="1969" spans="2:14" hidden="1" outlineLevel="1" x14ac:dyDescent="0.35">
      <c r="B1969" s="203"/>
      <c r="C1969" s="204"/>
      <c r="D1969" s="204"/>
      <c r="E1969" s="204"/>
      <c r="F1969" s="205"/>
      <c r="G1969" s="548"/>
      <c r="H1969" s="550"/>
      <c r="I1969" s="326"/>
      <c r="J1969" s="326"/>
      <c r="K1969" s="326"/>
      <c r="M1969" s="463"/>
      <c r="N1969" s="464"/>
    </row>
    <row r="1970" spans="2:14" hidden="1" outlineLevel="1" x14ac:dyDescent="0.35">
      <c r="B1970" s="203"/>
      <c r="C1970" s="204"/>
      <c r="D1970" s="204"/>
      <c r="E1970" s="204"/>
      <c r="F1970" s="205"/>
      <c r="G1970" s="548"/>
      <c r="H1970" s="550"/>
      <c r="I1970" s="326"/>
      <c r="J1970" s="326"/>
      <c r="K1970" s="326"/>
      <c r="M1970" s="463"/>
      <c r="N1970" s="464"/>
    </row>
    <row r="1971" spans="2:14" hidden="1" outlineLevel="1" x14ac:dyDescent="0.35">
      <c r="B1971" s="203"/>
      <c r="C1971" s="204"/>
      <c r="D1971" s="204"/>
      <c r="E1971" s="204"/>
      <c r="F1971" s="205"/>
      <c r="G1971" s="548"/>
      <c r="H1971" s="550"/>
      <c r="I1971" s="326"/>
      <c r="J1971" s="326"/>
      <c r="K1971" s="326"/>
      <c r="M1971" s="463"/>
      <c r="N1971" s="464"/>
    </row>
    <row r="1972" spans="2:14" hidden="1" outlineLevel="1" x14ac:dyDescent="0.35">
      <c r="B1972" s="203"/>
      <c r="C1972" s="204"/>
      <c r="D1972" s="204"/>
      <c r="E1972" s="204"/>
      <c r="F1972" s="205"/>
      <c r="G1972" s="548"/>
      <c r="H1972" s="550"/>
      <c r="I1972" s="326"/>
      <c r="J1972" s="326"/>
      <c r="K1972" s="326"/>
      <c r="M1972" s="463"/>
      <c r="N1972" s="464"/>
    </row>
    <row r="1973" spans="2:14" hidden="1" outlineLevel="1" x14ac:dyDescent="0.35">
      <c r="B1973" s="203"/>
      <c r="C1973" s="204"/>
      <c r="D1973" s="204"/>
      <c r="E1973" s="204"/>
      <c r="F1973" s="205"/>
      <c r="G1973" s="548"/>
      <c r="H1973" s="550"/>
      <c r="I1973" s="326"/>
      <c r="J1973" s="326"/>
      <c r="K1973" s="326"/>
      <c r="M1973" s="463"/>
      <c r="N1973" s="464"/>
    </row>
    <row r="1974" spans="2:14" hidden="1" outlineLevel="1" x14ac:dyDescent="0.35">
      <c r="B1974" s="203"/>
      <c r="C1974" s="204"/>
      <c r="D1974" s="204"/>
      <c r="E1974" s="204"/>
      <c r="F1974" s="205"/>
      <c r="G1974" s="548"/>
      <c r="H1974" s="550"/>
      <c r="I1974" s="326"/>
      <c r="J1974" s="326"/>
      <c r="K1974" s="326"/>
      <c r="M1974" s="463"/>
      <c r="N1974" s="464"/>
    </row>
    <row r="1975" spans="2:14" hidden="1" outlineLevel="1" x14ac:dyDescent="0.35">
      <c r="B1975" s="203"/>
      <c r="C1975" s="204"/>
      <c r="D1975" s="204"/>
      <c r="E1975" s="204"/>
      <c r="F1975" s="205"/>
      <c r="G1975" s="548"/>
      <c r="H1975" s="550"/>
      <c r="I1975" s="326"/>
      <c r="J1975" s="326"/>
      <c r="K1975" s="326"/>
      <c r="M1975" s="463"/>
      <c r="N1975" s="464"/>
    </row>
    <row r="1976" spans="2:14" hidden="1" outlineLevel="1" x14ac:dyDescent="0.35">
      <c r="B1976" s="203"/>
      <c r="C1976" s="204"/>
      <c r="D1976" s="204"/>
      <c r="E1976" s="204"/>
      <c r="F1976" s="205"/>
      <c r="G1976" s="548"/>
      <c r="H1976" s="550"/>
      <c r="I1976" s="326"/>
      <c r="J1976" s="326"/>
      <c r="K1976" s="326"/>
      <c r="M1976" s="463"/>
      <c r="N1976" s="464"/>
    </row>
    <row r="1977" spans="2:14" hidden="1" outlineLevel="1" x14ac:dyDescent="0.35">
      <c r="B1977" s="203"/>
      <c r="C1977" s="204"/>
      <c r="D1977" s="204"/>
      <c r="E1977" s="204"/>
      <c r="F1977" s="205"/>
      <c r="G1977" s="548"/>
      <c r="H1977" s="550"/>
      <c r="I1977" s="326"/>
      <c r="J1977" s="326"/>
      <c r="K1977" s="326"/>
      <c r="M1977" s="463"/>
      <c r="N1977" s="464"/>
    </row>
    <row r="1978" spans="2:14" hidden="1" outlineLevel="1" x14ac:dyDescent="0.35">
      <c r="B1978" s="203"/>
      <c r="C1978" s="204"/>
      <c r="D1978" s="204"/>
      <c r="E1978" s="204"/>
      <c r="F1978" s="205"/>
      <c r="G1978" s="548"/>
      <c r="H1978" s="550"/>
      <c r="I1978" s="326"/>
      <c r="J1978" s="326"/>
      <c r="K1978" s="326"/>
      <c r="M1978" s="463"/>
      <c r="N1978" s="464"/>
    </row>
    <row r="1979" spans="2:14" hidden="1" outlineLevel="1" x14ac:dyDescent="0.35">
      <c r="B1979" s="203"/>
      <c r="C1979" s="204"/>
      <c r="D1979" s="204"/>
      <c r="E1979" s="204"/>
      <c r="F1979" s="205"/>
      <c r="G1979" s="548"/>
      <c r="H1979" s="550"/>
      <c r="I1979" s="326"/>
      <c r="J1979" s="326"/>
      <c r="K1979" s="326"/>
      <c r="M1979" s="463"/>
      <c r="N1979" s="464"/>
    </row>
    <row r="1980" spans="2:14" hidden="1" outlineLevel="1" x14ac:dyDescent="0.35">
      <c r="B1980" s="203"/>
      <c r="C1980" s="204"/>
      <c r="D1980" s="204"/>
      <c r="E1980" s="204"/>
      <c r="F1980" s="205"/>
      <c r="G1980" s="548"/>
      <c r="H1980" s="550"/>
      <c r="I1980" s="326"/>
      <c r="J1980" s="326"/>
      <c r="K1980" s="326"/>
      <c r="M1980" s="463"/>
      <c r="N1980" s="464"/>
    </row>
    <row r="1981" spans="2:14" hidden="1" outlineLevel="1" x14ac:dyDescent="0.35">
      <c r="B1981" s="203"/>
      <c r="C1981" s="204"/>
      <c r="D1981" s="204"/>
      <c r="E1981" s="204"/>
      <c r="F1981" s="205"/>
      <c r="G1981" s="548"/>
      <c r="H1981" s="550"/>
      <c r="I1981" s="326"/>
      <c r="J1981" s="326"/>
      <c r="K1981" s="326"/>
      <c r="M1981" s="463"/>
      <c r="N1981" s="464"/>
    </row>
    <row r="1982" spans="2:14" hidden="1" outlineLevel="1" x14ac:dyDescent="0.35">
      <c r="B1982" s="203"/>
      <c r="C1982" s="204"/>
      <c r="D1982" s="204"/>
      <c r="E1982" s="204"/>
      <c r="F1982" s="205"/>
      <c r="G1982" s="548"/>
      <c r="H1982" s="550"/>
      <c r="I1982" s="326"/>
      <c r="J1982" s="326"/>
      <c r="K1982" s="326"/>
      <c r="M1982" s="463"/>
      <c r="N1982" s="464"/>
    </row>
    <row r="1983" spans="2:14" hidden="1" outlineLevel="1" x14ac:dyDescent="0.35">
      <c r="B1983" s="203"/>
      <c r="C1983" s="204"/>
      <c r="D1983" s="204"/>
      <c r="E1983" s="204"/>
      <c r="F1983" s="205"/>
      <c r="G1983" s="548"/>
      <c r="H1983" s="550"/>
      <c r="I1983" s="326"/>
      <c r="J1983" s="326"/>
      <c r="K1983" s="326"/>
      <c r="M1983" s="463"/>
      <c r="N1983" s="464"/>
    </row>
    <row r="1984" spans="2:14" hidden="1" outlineLevel="1" x14ac:dyDescent="0.35">
      <c r="B1984" s="203"/>
      <c r="C1984" s="204"/>
      <c r="D1984" s="204"/>
      <c r="E1984" s="204"/>
      <c r="F1984" s="205"/>
      <c r="G1984" s="548"/>
      <c r="H1984" s="550"/>
      <c r="I1984" s="326"/>
      <c r="J1984" s="326"/>
      <c r="K1984" s="326"/>
      <c r="M1984" s="463"/>
      <c r="N1984" s="464"/>
    </row>
    <row r="1985" spans="2:14" hidden="1" outlineLevel="1" x14ac:dyDescent="0.35">
      <c r="B1985" s="203"/>
      <c r="C1985" s="204"/>
      <c r="D1985" s="204"/>
      <c r="E1985" s="204"/>
      <c r="F1985" s="205"/>
      <c r="G1985" s="548"/>
      <c r="H1985" s="550"/>
      <c r="I1985" s="326"/>
      <c r="J1985" s="326"/>
      <c r="K1985" s="326"/>
      <c r="M1985" s="463"/>
      <c r="N1985" s="464"/>
    </row>
    <row r="1986" spans="2:14" hidden="1" outlineLevel="1" x14ac:dyDescent="0.35">
      <c r="B1986" s="203"/>
      <c r="C1986" s="204"/>
      <c r="D1986" s="204"/>
      <c r="E1986" s="204"/>
      <c r="F1986" s="205"/>
      <c r="G1986" s="548"/>
      <c r="H1986" s="550"/>
      <c r="I1986" s="326"/>
      <c r="J1986" s="326"/>
      <c r="K1986" s="326"/>
      <c r="M1986" s="463"/>
      <c r="N1986" s="464"/>
    </row>
    <row r="1987" spans="2:14" hidden="1" outlineLevel="1" x14ac:dyDescent="0.35">
      <c r="B1987" s="203"/>
      <c r="C1987" s="204"/>
      <c r="D1987" s="204"/>
      <c r="E1987" s="204"/>
      <c r="F1987" s="205"/>
      <c r="G1987" s="548"/>
      <c r="H1987" s="550"/>
      <c r="I1987" s="326"/>
      <c r="J1987" s="326"/>
      <c r="K1987" s="326"/>
      <c r="M1987" s="463"/>
      <c r="N1987" s="464"/>
    </row>
    <row r="1988" spans="2:14" hidden="1" outlineLevel="1" x14ac:dyDescent="0.35">
      <c r="B1988" s="203"/>
      <c r="C1988" s="204"/>
      <c r="D1988" s="204"/>
      <c r="E1988" s="204"/>
      <c r="F1988" s="205"/>
      <c r="G1988" s="548"/>
      <c r="H1988" s="550"/>
      <c r="I1988" s="326"/>
      <c r="J1988" s="326"/>
      <c r="K1988" s="326"/>
      <c r="M1988" s="463"/>
      <c r="N1988" s="464"/>
    </row>
    <row r="1989" spans="2:14" hidden="1" outlineLevel="1" x14ac:dyDescent="0.35">
      <c r="B1989" s="203"/>
      <c r="C1989" s="204"/>
      <c r="D1989" s="204"/>
      <c r="E1989" s="204"/>
      <c r="F1989" s="205"/>
      <c r="G1989" s="548"/>
      <c r="H1989" s="550"/>
      <c r="I1989" s="326"/>
      <c r="J1989" s="326"/>
      <c r="K1989" s="326"/>
      <c r="M1989" s="463"/>
      <c r="N1989" s="464"/>
    </row>
    <row r="1990" spans="2:14" hidden="1" outlineLevel="1" x14ac:dyDescent="0.35">
      <c r="B1990" s="203"/>
      <c r="C1990" s="204"/>
      <c r="D1990" s="204"/>
      <c r="E1990" s="204"/>
      <c r="F1990" s="205"/>
      <c r="G1990" s="548"/>
      <c r="H1990" s="550"/>
      <c r="I1990" s="326"/>
      <c r="J1990" s="326"/>
      <c r="K1990" s="326"/>
      <c r="M1990" s="463"/>
      <c r="N1990" s="464"/>
    </row>
    <row r="1991" spans="2:14" hidden="1" outlineLevel="1" x14ac:dyDescent="0.35">
      <c r="B1991" s="203"/>
      <c r="C1991" s="204"/>
      <c r="D1991" s="204"/>
      <c r="E1991" s="204"/>
      <c r="F1991" s="205"/>
      <c r="G1991" s="548"/>
      <c r="H1991" s="550"/>
      <c r="I1991" s="326"/>
      <c r="J1991" s="326"/>
      <c r="K1991" s="326"/>
      <c r="M1991" s="463"/>
      <c r="N1991" s="464"/>
    </row>
    <row r="1992" spans="2:14" hidden="1" outlineLevel="1" x14ac:dyDescent="0.35">
      <c r="B1992" s="203"/>
      <c r="C1992" s="204"/>
      <c r="D1992" s="204"/>
      <c r="E1992" s="204"/>
      <c r="F1992" s="205"/>
      <c r="G1992" s="548"/>
      <c r="H1992" s="550"/>
      <c r="I1992" s="326"/>
      <c r="J1992" s="326"/>
      <c r="K1992" s="326"/>
      <c r="M1992" s="463"/>
      <c r="N1992" s="464"/>
    </row>
    <row r="1993" spans="2:14" hidden="1" outlineLevel="1" x14ac:dyDescent="0.35">
      <c r="B1993" s="203"/>
      <c r="C1993" s="204"/>
      <c r="D1993" s="204"/>
      <c r="E1993" s="204"/>
      <c r="F1993" s="205"/>
      <c r="G1993" s="548"/>
      <c r="H1993" s="550"/>
      <c r="I1993" s="326"/>
      <c r="J1993" s="326"/>
      <c r="K1993" s="326"/>
      <c r="M1993" s="463"/>
      <c r="N1993" s="464"/>
    </row>
    <row r="1994" spans="2:14" hidden="1" outlineLevel="1" x14ac:dyDescent="0.35">
      <c r="B1994" s="203"/>
      <c r="C1994" s="204"/>
      <c r="D1994" s="204"/>
      <c r="E1994" s="204"/>
      <c r="F1994" s="205"/>
      <c r="G1994" s="548"/>
      <c r="H1994" s="550"/>
      <c r="I1994" s="326"/>
      <c r="J1994" s="326"/>
      <c r="K1994" s="326"/>
      <c r="M1994" s="463"/>
      <c r="N1994" s="464"/>
    </row>
    <row r="1995" spans="2:14" hidden="1" outlineLevel="1" x14ac:dyDescent="0.35">
      <c r="B1995" s="203"/>
      <c r="C1995" s="204"/>
      <c r="D1995" s="204"/>
      <c r="E1995" s="204"/>
      <c r="F1995" s="205"/>
      <c r="G1995" s="548"/>
      <c r="H1995" s="550"/>
      <c r="I1995" s="326"/>
      <c r="J1995" s="326"/>
      <c r="K1995" s="326"/>
      <c r="M1995" s="463"/>
      <c r="N1995" s="464"/>
    </row>
    <row r="1996" spans="2:14" hidden="1" outlineLevel="1" x14ac:dyDescent="0.35">
      <c r="B1996" s="203"/>
      <c r="C1996" s="204"/>
      <c r="D1996" s="204"/>
      <c r="E1996" s="204"/>
      <c r="F1996" s="205"/>
      <c r="G1996" s="548"/>
      <c r="H1996" s="550"/>
      <c r="I1996" s="326"/>
      <c r="J1996" s="326"/>
      <c r="K1996" s="326"/>
      <c r="M1996" s="463"/>
      <c r="N1996" s="464"/>
    </row>
    <row r="1997" spans="2:14" hidden="1" outlineLevel="1" x14ac:dyDescent="0.35">
      <c r="B1997" s="203"/>
      <c r="C1997" s="204"/>
      <c r="D1997" s="204"/>
      <c r="E1997" s="204"/>
      <c r="F1997" s="205"/>
      <c r="G1997" s="548"/>
      <c r="H1997" s="550"/>
      <c r="I1997" s="326"/>
      <c r="J1997" s="326"/>
      <c r="K1997" s="326"/>
      <c r="M1997" s="463"/>
      <c r="N1997" s="464"/>
    </row>
    <row r="1998" spans="2:14" hidden="1" outlineLevel="1" x14ac:dyDescent="0.35">
      <c r="B1998" s="203"/>
      <c r="C1998" s="204"/>
      <c r="D1998" s="204"/>
      <c r="E1998" s="204"/>
      <c r="F1998" s="205"/>
      <c r="G1998" s="548"/>
      <c r="H1998" s="550"/>
      <c r="I1998" s="326"/>
      <c r="J1998" s="326"/>
      <c r="K1998" s="326"/>
      <c r="M1998" s="463"/>
      <c r="N1998" s="464"/>
    </row>
    <row r="1999" spans="2:14" hidden="1" outlineLevel="1" x14ac:dyDescent="0.35">
      <c r="B1999" s="203"/>
      <c r="C1999" s="204"/>
      <c r="D1999" s="204"/>
      <c r="E1999" s="204"/>
      <c r="F1999" s="205"/>
      <c r="G1999" s="548"/>
      <c r="H1999" s="550"/>
      <c r="I1999" s="326"/>
      <c r="J1999" s="326"/>
      <c r="K1999" s="326"/>
      <c r="M1999" s="463"/>
      <c r="N1999" s="464"/>
    </row>
    <row r="2000" spans="2:14" hidden="1" outlineLevel="1" x14ac:dyDescent="0.35">
      <c r="B2000" s="203"/>
      <c r="C2000" s="204"/>
      <c r="D2000" s="204"/>
      <c r="E2000" s="204"/>
      <c r="F2000" s="205"/>
      <c r="G2000" s="548"/>
      <c r="H2000" s="550"/>
      <c r="I2000" s="326"/>
      <c r="J2000" s="326"/>
      <c r="K2000" s="326"/>
      <c r="M2000" s="463"/>
      <c r="N2000" s="464"/>
    </row>
    <row r="2001" spans="2:14" hidden="1" outlineLevel="1" x14ac:dyDescent="0.35">
      <c r="B2001" s="203"/>
      <c r="C2001" s="204"/>
      <c r="D2001" s="204"/>
      <c r="E2001" s="204"/>
      <c r="F2001" s="205"/>
      <c r="G2001" s="548"/>
      <c r="H2001" s="550"/>
      <c r="I2001" s="326"/>
      <c r="J2001" s="326"/>
      <c r="K2001" s="326"/>
      <c r="M2001" s="463"/>
      <c r="N2001" s="464"/>
    </row>
    <row r="2002" spans="2:14" hidden="1" outlineLevel="1" x14ac:dyDescent="0.35">
      <c r="B2002" s="203"/>
      <c r="C2002" s="204"/>
      <c r="D2002" s="204"/>
      <c r="E2002" s="204"/>
      <c r="F2002" s="205"/>
      <c r="G2002" s="548"/>
      <c r="H2002" s="550"/>
      <c r="I2002" s="326"/>
      <c r="J2002" s="326"/>
      <c r="K2002" s="326"/>
      <c r="M2002" s="463"/>
      <c r="N2002" s="464"/>
    </row>
    <row r="2003" spans="2:14" hidden="1" outlineLevel="1" x14ac:dyDescent="0.35">
      <c r="B2003" s="203"/>
      <c r="C2003" s="204"/>
      <c r="D2003" s="204"/>
      <c r="E2003" s="204"/>
      <c r="F2003" s="205"/>
      <c r="G2003" s="548"/>
      <c r="H2003" s="550"/>
      <c r="I2003" s="326"/>
      <c r="J2003" s="326"/>
      <c r="K2003" s="326"/>
      <c r="M2003" s="463"/>
      <c r="N2003" s="464"/>
    </row>
    <row r="2004" spans="2:14" hidden="1" outlineLevel="1" x14ac:dyDescent="0.35">
      <c r="B2004" s="203"/>
      <c r="C2004" s="204"/>
      <c r="D2004" s="204"/>
      <c r="E2004" s="204"/>
      <c r="F2004" s="205"/>
      <c r="G2004" s="548"/>
      <c r="H2004" s="550"/>
      <c r="I2004" s="326"/>
      <c r="J2004" s="326"/>
      <c r="K2004" s="326"/>
      <c r="M2004" s="463"/>
      <c r="N2004" s="464"/>
    </row>
    <row r="2005" spans="2:14" hidden="1" outlineLevel="1" x14ac:dyDescent="0.35">
      <c r="B2005" s="203"/>
      <c r="C2005" s="204"/>
      <c r="D2005" s="204"/>
      <c r="E2005" s="204"/>
      <c r="F2005" s="205"/>
      <c r="G2005" s="548"/>
      <c r="H2005" s="550"/>
      <c r="I2005" s="326"/>
      <c r="J2005" s="326"/>
      <c r="K2005" s="326"/>
      <c r="M2005" s="463"/>
      <c r="N2005" s="464"/>
    </row>
    <row r="2006" spans="2:14" hidden="1" outlineLevel="1" x14ac:dyDescent="0.35">
      <c r="B2006" s="203"/>
      <c r="C2006" s="204"/>
      <c r="D2006" s="204"/>
      <c r="E2006" s="204"/>
      <c r="F2006" s="205"/>
      <c r="G2006" s="548"/>
      <c r="H2006" s="550"/>
      <c r="I2006" s="326"/>
      <c r="J2006" s="326"/>
      <c r="K2006" s="326"/>
      <c r="M2006" s="463"/>
      <c r="N2006" s="464"/>
    </row>
    <row r="2007" spans="2:14" hidden="1" outlineLevel="1" x14ac:dyDescent="0.35">
      <c r="B2007" s="203"/>
      <c r="C2007" s="204"/>
      <c r="D2007" s="204"/>
      <c r="E2007" s="204"/>
      <c r="F2007" s="205"/>
      <c r="G2007" s="548"/>
      <c r="H2007" s="550"/>
      <c r="I2007" s="326"/>
      <c r="J2007" s="326"/>
      <c r="K2007" s="326"/>
      <c r="M2007" s="463"/>
      <c r="N2007" s="464"/>
    </row>
    <row r="2008" spans="2:14" hidden="1" outlineLevel="1" x14ac:dyDescent="0.35">
      <c r="B2008" s="203"/>
      <c r="C2008" s="204"/>
      <c r="D2008" s="204"/>
      <c r="E2008" s="204"/>
      <c r="F2008" s="205"/>
      <c r="G2008" s="548"/>
      <c r="H2008" s="550"/>
      <c r="I2008" s="326"/>
      <c r="J2008" s="326"/>
      <c r="K2008" s="326"/>
      <c r="M2008" s="463"/>
      <c r="N2008" s="464"/>
    </row>
    <row r="2009" spans="2:14" hidden="1" outlineLevel="1" x14ac:dyDescent="0.35">
      <c r="B2009" s="203"/>
      <c r="C2009" s="204"/>
      <c r="D2009" s="204"/>
      <c r="E2009" s="204"/>
      <c r="F2009" s="205"/>
      <c r="G2009" s="548"/>
      <c r="H2009" s="550"/>
      <c r="I2009" s="326"/>
      <c r="J2009" s="326"/>
      <c r="K2009" s="326"/>
      <c r="M2009" s="463"/>
      <c r="N2009" s="464"/>
    </row>
    <row r="2010" spans="2:14" hidden="1" outlineLevel="1" x14ac:dyDescent="0.35">
      <c r="B2010" s="203"/>
      <c r="C2010" s="204"/>
      <c r="D2010" s="204"/>
      <c r="E2010" s="204"/>
      <c r="F2010" s="205"/>
      <c r="G2010" s="548"/>
      <c r="H2010" s="550"/>
      <c r="I2010" s="326"/>
      <c r="J2010" s="326"/>
      <c r="K2010" s="326"/>
      <c r="M2010" s="463"/>
      <c r="N2010" s="464"/>
    </row>
    <row r="2011" spans="2:14" hidden="1" outlineLevel="1" x14ac:dyDescent="0.35">
      <c r="B2011" s="203"/>
      <c r="C2011" s="204"/>
      <c r="D2011" s="204"/>
      <c r="E2011" s="204"/>
      <c r="F2011" s="205"/>
      <c r="G2011" s="548"/>
      <c r="H2011" s="550"/>
      <c r="I2011" s="326"/>
      <c r="J2011" s="326"/>
      <c r="K2011" s="326"/>
      <c r="M2011" s="463"/>
      <c r="N2011" s="464"/>
    </row>
    <row r="2012" spans="2:14" hidden="1" outlineLevel="1" x14ac:dyDescent="0.35">
      <c r="B2012" s="203"/>
      <c r="C2012" s="204"/>
      <c r="D2012" s="204"/>
      <c r="E2012" s="204"/>
      <c r="F2012" s="205"/>
      <c r="G2012" s="548"/>
      <c r="H2012" s="550"/>
      <c r="I2012" s="326"/>
      <c r="J2012" s="326"/>
      <c r="K2012" s="326"/>
      <c r="M2012" s="463"/>
      <c r="N2012" s="464"/>
    </row>
    <row r="2013" spans="2:14" hidden="1" outlineLevel="1" x14ac:dyDescent="0.35">
      <c r="B2013" s="203"/>
      <c r="C2013" s="204"/>
      <c r="D2013" s="204"/>
      <c r="E2013" s="204"/>
      <c r="F2013" s="205"/>
      <c r="G2013" s="548"/>
      <c r="H2013" s="550"/>
      <c r="I2013" s="326"/>
      <c r="J2013" s="326"/>
      <c r="K2013" s="326"/>
      <c r="M2013" s="463"/>
      <c r="N2013" s="464"/>
    </row>
    <row r="2014" spans="2:14" hidden="1" outlineLevel="1" x14ac:dyDescent="0.35">
      <c r="B2014" s="203"/>
      <c r="C2014" s="204"/>
      <c r="D2014" s="204"/>
      <c r="E2014" s="204"/>
      <c r="F2014" s="205"/>
      <c r="G2014" s="548"/>
      <c r="H2014" s="550"/>
      <c r="I2014" s="326"/>
      <c r="J2014" s="326"/>
      <c r="K2014" s="326"/>
      <c r="M2014" s="463"/>
      <c r="N2014" s="464"/>
    </row>
    <row r="2015" spans="2:14" hidden="1" outlineLevel="1" x14ac:dyDescent="0.35">
      <c r="B2015" s="203"/>
      <c r="C2015" s="204"/>
      <c r="D2015" s="204"/>
      <c r="E2015" s="204"/>
      <c r="F2015" s="205"/>
      <c r="G2015" s="548"/>
      <c r="H2015" s="550"/>
      <c r="I2015" s="326"/>
      <c r="J2015" s="326"/>
      <c r="K2015" s="326"/>
      <c r="M2015" s="463"/>
      <c r="N2015" s="464"/>
    </row>
    <row r="2016" spans="2:14" hidden="1" outlineLevel="1" x14ac:dyDescent="0.35">
      <c r="B2016" s="203"/>
      <c r="C2016" s="204"/>
      <c r="D2016" s="204"/>
      <c r="E2016" s="204"/>
      <c r="F2016" s="205"/>
      <c r="G2016" s="548"/>
      <c r="H2016" s="550"/>
      <c r="I2016" s="326"/>
      <c r="J2016" s="326"/>
      <c r="K2016" s="326"/>
      <c r="M2016" s="463"/>
      <c r="N2016" s="464"/>
    </row>
    <row r="2017" spans="2:14" hidden="1" outlineLevel="1" x14ac:dyDescent="0.35">
      <c r="B2017" s="203"/>
      <c r="C2017" s="204"/>
      <c r="D2017" s="204"/>
      <c r="E2017" s="204"/>
      <c r="F2017" s="205"/>
      <c r="G2017" s="548"/>
      <c r="H2017" s="550"/>
      <c r="I2017" s="326"/>
      <c r="J2017" s="326"/>
      <c r="K2017" s="326"/>
      <c r="M2017" s="463"/>
      <c r="N2017" s="464"/>
    </row>
    <row r="2018" spans="2:14" hidden="1" outlineLevel="1" x14ac:dyDescent="0.35">
      <c r="B2018" s="203"/>
      <c r="C2018" s="204"/>
      <c r="D2018" s="204"/>
      <c r="E2018" s="204"/>
      <c r="F2018" s="205"/>
      <c r="G2018" s="548"/>
      <c r="H2018" s="550"/>
      <c r="I2018" s="326"/>
      <c r="J2018" s="326"/>
      <c r="K2018" s="326"/>
      <c r="M2018" s="463"/>
      <c r="N2018" s="464"/>
    </row>
    <row r="2019" spans="2:14" hidden="1" outlineLevel="1" x14ac:dyDescent="0.35">
      <c r="B2019" s="203"/>
      <c r="C2019" s="204"/>
      <c r="D2019" s="204"/>
      <c r="E2019" s="204"/>
      <c r="F2019" s="205"/>
      <c r="G2019" s="548"/>
      <c r="H2019" s="550"/>
      <c r="I2019" s="326"/>
      <c r="J2019" s="326"/>
      <c r="K2019" s="326"/>
      <c r="M2019" s="463"/>
      <c r="N2019" s="464"/>
    </row>
    <row r="2020" spans="2:14" hidden="1" outlineLevel="1" x14ac:dyDescent="0.35">
      <c r="B2020" s="203"/>
      <c r="C2020" s="204"/>
      <c r="D2020" s="204"/>
      <c r="E2020" s="204"/>
      <c r="F2020" s="205"/>
      <c r="G2020" s="548"/>
      <c r="H2020" s="550"/>
      <c r="I2020" s="326"/>
      <c r="J2020" s="326"/>
      <c r="K2020" s="326"/>
      <c r="M2020" s="463"/>
      <c r="N2020" s="464"/>
    </row>
    <row r="2021" spans="2:14" hidden="1" outlineLevel="1" x14ac:dyDescent="0.35">
      <c r="B2021" s="203"/>
      <c r="C2021" s="204"/>
      <c r="D2021" s="204"/>
      <c r="E2021" s="204"/>
      <c r="F2021" s="205"/>
      <c r="G2021" s="548"/>
      <c r="H2021" s="550"/>
      <c r="I2021" s="326"/>
      <c r="J2021" s="326"/>
      <c r="K2021" s="326"/>
      <c r="M2021" s="463"/>
      <c r="N2021" s="464"/>
    </row>
    <row r="2022" spans="2:14" hidden="1" outlineLevel="1" x14ac:dyDescent="0.35">
      <c r="B2022" s="203"/>
      <c r="C2022" s="204"/>
      <c r="D2022" s="204"/>
      <c r="E2022" s="204"/>
      <c r="F2022" s="205"/>
      <c r="G2022" s="548"/>
      <c r="H2022" s="550"/>
      <c r="I2022" s="326"/>
      <c r="J2022" s="326"/>
      <c r="K2022" s="326"/>
      <c r="M2022" s="463"/>
      <c r="N2022" s="464"/>
    </row>
    <row r="2023" spans="2:14" hidden="1" outlineLevel="1" x14ac:dyDescent="0.35">
      <c r="B2023" s="203"/>
      <c r="C2023" s="204"/>
      <c r="D2023" s="204"/>
      <c r="E2023" s="204"/>
      <c r="F2023" s="205"/>
      <c r="G2023" s="548"/>
      <c r="H2023" s="550"/>
      <c r="I2023" s="326"/>
      <c r="J2023" s="326"/>
      <c r="K2023" s="326"/>
      <c r="M2023" s="463"/>
      <c r="N2023" s="464"/>
    </row>
    <row r="2024" spans="2:14" hidden="1" outlineLevel="1" x14ac:dyDescent="0.35">
      <c r="B2024" s="203"/>
      <c r="C2024" s="204"/>
      <c r="D2024" s="204"/>
      <c r="E2024" s="204"/>
      <c r="F2024" s="205"/>
      <c r="G2024" s="548"/>
      <c r="H2024" s="550"/>
      <c r="I2024" s="326"/>
      <c r="J2024" s="326"/>
      <c r="K2024" s="326"/>
      <c r="M2024" s="463"/>
      <c r="N2024" s="464"/>
    </row>
    <row r="2025" spans="2:14" hidden="1" outlineLevel="1" x14ac:dyDescent="0.35">
      <c r="B2025" s="203"/>
      <c r="C2025" s="204"/>
      <c r="D2025" s="204"/>
      <c r="E2025" s="204"/>
      <c r="F2025" s="205"/>
      <c r="G2025" s="548"/>
      <c r="H2025" s="550"/>
      <c r="I2025" s="326"/>
      <c r="J2025" s="326"/>
      <c r="K2025" s="326"/>
      <c r="M2025" s="463"/>
      <c r="N2025" s="464"/>
    </row>
    <row r="2026" spans="2:14" hidden="1" outlineLevel="1" x14ac:dyDescent="0.35">
      <c r="B2026" s="203"/>
      <c r="C2026" s="204"/>
      <c r="D2026" s="204"/>
      <c r="E2026" s="204"/>
      <c r="F2026" s="205"/>
      <c r="G2026" s="548"/>
      <c r="H2026" s="550"/>
      <c r="I2026" s="326"/>
      <c r="J2026" s="326"/>
      <c r="K2026" s="326"/>
      <c r="M2026" s="463"/>
      <c r="N2026" s="464"/>
    </row>
    <row r="2027" spans="2:14" hidden="1" outlineLevel="1" x14ac:dyDescent="0.35">
      <c r="B2027" s="203"/>
      <c r="C2027" s="204"/>
      <c r="D2027" s="204"/>
      <c r="E2027" s="204"/>
      <c r="F2027" s="205"/>
      <c r="G2027" s="548"/>
      <c r="H2027" s="550"/>
      <c r="I2027" s="326"/>
      <c r="J2027" s="326"/>
      <c r="K2027" s="326"/>
      <c r="M2027" s="463"/>
      <c r="N2027" s="464"/>
    </row>
    <row r="2028" spans="2:14" hidden="1" outlineLevel="1" x14ac:dyDescent="0.35">
      <c r="B2028" s="203"/>
      <c r="C2028" s="204"/>
      <c r="D2028" s="204"/>
      <c r="E2028" s="204"/>
      <c r="F2028" s="205"/>
      <c r="G2028" s="548"/>
      <c r="H2028" s="550"/>
      <c r="I2028" s="326"/>
      <c r="J2028" s="326"/>
      <c r="K2028" s="326"/>
      <c r="M2028" s="463"/>
      <c r="N2028" s="464"/>
    </row>
    <row r="2029" spans="2:14" hidden="1" outlineLevel="1" x14ac:dyDescent="0.35">
      <c r="B2029" s="203"/>
      <c r="C2029" s="204"/>
      <c r="D2029" s="204"/>
      <c r="E2029" s="204"/>
      <c r="F2029" s="205"/>
      <c r="G2029" s="548"/>
      <c r="H2029" s="550"/>
      <c r="I2029" s="326"/>
      <c r="J2029" s="326"/>
      <c r="K2029" s="326"/>
      <c r="M2029" s="463"/>
      <c r="N2029" s="464"/>
    </row>
    <row r="2030" spans="2:14" hidden="1" outlineLevel="1" x14ac:dyDescent="0.35">
      <c r="B2030" s="203"/>
      <c r="C2030" s="204"/>
      <c r="D2030" s="204"/>
      <c r="E2030" s="204"/>
      <c r="F2030" s="205"/>
      <c r="G2030" s="548"/>
      <c r="H2030" s="550"/>
      <c r="I2030" s="326"/>
      <c r="J2030" s="326"/>
      <c r="K2030" s="326"/>
      <c r="M2030" s="463"/>
      <c r="N2030" s="464"/>
    </row>
    <row r="2031" spans="2:14" hidden="1" outlineLevel="1" x14ac:dyDescent="0.35">
      <c r="B2031" s="203"/>
      <c r="C2031" s="204"/>
      <c r="D2031" s="204"/>
      <c r="E2031" s="204"/>
      <c r="F2031" s="205"/>
      <c r="G2031" s="548"/>
      <c r="H2031" s="550"/>
      <c r="I2031" s="326"/>
      <c r="J2031" s="326"/>
      <c r="K2031" s="326"/>
      <c r="M2031" s="463"/>
      <c r="N2031" s="464"/>
    </row>
    <row r="2032" spans="2:14" hidden="1" outlineLevel="1" x14ac:dyDescent="0.35">
      <c r="B2032" s="203"/>
      <c r="C2032" s="204"/>
      <c r="D2032" s="204"/>
      <c r="E2032" s="204"/>
      <c r="F2032" s="205"/>
      <c r="G2032" s="548"/>
      <c r="H2032" s="550"/>
      <c r="I2032" s="326"/>
      <c r="J2032" s="326"/>
      <c r="K2032" s="326"/>
      <c r="M2032" s="463"/>
      <c r="N2032" s="464"/>
    </row>
    <row r="2033" spans="2:14" hidden="1" outlineLevel="1" x14ac:dyDescent="0.35">
      <c r="B2033" s="203"/>
      <c r="C2033" s="204"/>
      <c r="D2033" s="204"/>
      <c r="E2033" s="204"/>
      <c r="F2033" s="205"/>
      <c r="G2033" s="548"/>
      <c r="H2033" s="550"/>
      <c r="I2033" s="326"/>
      <c r="J2033" s="326"/>
      <c r="K2033" s="326"/>
      <c r="M2033" s="463"/>
      <c r="N2033" s="464"/>
    </row>
    <row r="2034" spans="2:14" hidden="1" outlineLevel="1" x14ac:dyDescent="0.35">
      <c r="B2034" s="203"/>
      <c r="C2034" s="204"/>
      <c r="D2034" s="204"/>
      <c r="E2034" s="204"/>
      <c r="F2034" s="205"/>
      <c r="G2034" s="548"/>
      <c r="H2034" s="550"/>
      <c r="I2034" s="326"/>
      <c r="J2034" s="326"/>
      <c r="K2034" s="326"/>
      <c r="M2034" s="463"/>
      <c r="N2034" s="464"/>
    </row>
    <row r="2035" spans="2:14" hidden="1" outlineLevel="1" x14ac:dyDescent="0.35">
      <c r="B2035" s="203"/>
      <c r="C2035" s="204"/>
      <c r="D2035" s="204"/>
      <c r="E2035" s="204"/>
      <c r="F2035" s="205"/>
      <c r="G2035" s="548"/>
      <c r="H2035" s="550"/>
      <c r="I2035" s="326"/>
      <c r="J2035" s="326"/>
      <c r="K2035" s="326"/>
      <c r="M2035" s="463"/>
      <c r="N2035" s="464"/>
    </row>
    <row r="2036" spans="2:14" hidden="1" outlineLevel="1" x14ac:dyDescent="0.35">
      <c r="B2036" s="203"/>
      <c r="C2036" s="204"/>
      <c r="D2036" s="204"/>
      <c r="E2036" s="204"/>
      <c r="F2036" s="205"/>
      <c r="G2036" s="548"/>
      <c r="H2036" s="550"/>
      <c r="I2036" s="326"/>
      <c r="J2036" s="326"/>
      <c r="K2036" s="326"/>
      <c r="M2036" s="463"/>
      <c r="N2036" s="464"/>
    </row>
    <row r="2037" spans="2:14" hidden="1" outlineLevel="1" x14ac:dyDescent="0.35">
      <c r="B2037" s="203"/>
      <c r="C2037" s="204"/>
      <c r="D2037" s="204"/>
      <c r="E2037" s="204"/>
      <c r="F2037" s="205"/>
      <c r="G2037" s="548"/>
      <c r="H2037" s="550"/>
      <c r="I2037" s="326"/>
      <c r="J2037" s="326"/>
      <c r="K2037" s="326"/>
      <c r="M2037" s="463"/>
      <c r="N2037" s="464"/>
    </row>
    <row r="2038" spans="2:14" hidden="1" outlineLevel="1" x14ac:dyDescent="0.35">
      <c r="B2038" s="203"/>
      <c r="C2038" s="204"/>
      <c r="D2038" s="204"/>
      <c r="E2038" s="204"/>
      <c r="F2038" s="205"/>
      <c r="G2038" s="548"/>
      <c r="H2038" s="550"/>
      <c r="I2038" s="326"/>
      <c r="J2038" s="326"/>
      <c r="K2038" s="326"/>
      <c r="M2038" s="463"/>
      <c r="N2038" s="464"/>
    </row>
    <row r="2039" spans="2:14" hidden="1" outlineLevel="1" x14ac:dyDescent="0.35">
      <c r="B2039" s="203"/>
      <c r="C2039" s="204"/>
      <c r="D2039" s="204"/>
      <c r="E2039" s="204"/>
      <c r="F2039" s="205"/>
      <c r="G2039" s="548"/>
      <c r="H2039" s="550"/>
      <c r="I2039" s="326"/>
      <c r="J2039" s="326"/>
      <c r="K2039" s="326"/>
      <c r="M2039" s="463"/>
      <c r="N2039" s="464"/>
    </row>
    <row r="2040" spans="2:14" hidden="1" outlineLevel="1" x14ac:dyDescent="0.35">
      <c r="B2040" s="203"/>
      <c r="C2040" s="204"/>
      <c r="D2040" s="204"/>
      <c r="E2040" s="204"/>
      <c r="F2040" s="205"/>
      <c r="G2040" s="548"/>
      <c r="H2040" s="550"/>
      <c r="I2040" s="326"/>
      <c r="J2040" s="326"/>
      <c r="K2040" s="326"/>
      <c r="M2040" s="463"/>
      <c r="N2040" s="464"/>
    </row>
    <row r="2041" spans="2:14" hidden="1" outlineLevel="1" x14ac:dyDescent="0.35">
      <c r="B2041" s="203"/>
      <c r="C2041" s="204"/>
      <c r="D2041" s="204"/>
      <c r="E2041" s="204"/>
      <c r="F2041" s="205"/>
      <c r="G2041" s="548"/>
      <c r="H2041" s="550"/>
      <c r="I2041" s="326"/>
      <c r="J2041" s="326"/>
      <c r="K2041" s="326"/>
      <c r="M2041" s="463"/>
      <c r="N2041" s="464"/>
    </row>
    <row r="2042" spans="2:14" hidden="1" outlineLevel="1" x14ac:dyDescent="0.35">
      <c r="B2042" s="203"/>
      <c r="C2042" s="204"/>
      <c r="D2042" s="204"/>
      <c r="E2042" s="204"/>
      <c r="F2042" s="205"/>
      <c r="G2042" s="548"/>
      <c r="H2042" s="550"/>
      <c r="I2042" s="326"/>
      <c r="J2042" s="326"/>
      <c r="K2042" s="326"/>
      <c r="M2042" s="463"/>
      <c r="N2042" s="464"/>
    </row>
    <row r="2043" spans="2:14" hidden="1" outlineLevel="1" x14ac:dyDescent="0.35">
      <c r="B2043" s="203"/>
      <c r="C2043" s="204"/>
      <c r="D2043" s="204"/>
      <c r="E2043" s="204"/>
      <c r="F2043" s="205"/>
      <c r="G2043" s="548"/>
      <c r="H2043" s="550"/>
      <c r="I2043" s="326"/>
      <c r="J2043" s="326"/>
      <c r="K2043" s="326"/>
      <c r="M2043" s="463"/>
      <c r="N2043" s="464"/>
    </row>
    <row r="2044" spans="2:14" hidden="1" outlineLevel="1" x14ac:dyDescent="0.35">
      <c r="B2044" s="203"/>
      <c r="C2044" s="204"/>
      <c r="D2044" s="204"/>
      <c r="E2044" s="204"/>
      <c r="F2044" s="205"/>
      <c r="G2044" s="548"/>
      <c r="H2044" s="550"/>
      <c r="I2044" s="326"/>
      <c r="J2044" s="326"/>
      <c r="K2044" s="326"/>
      <c r="M2044" s="463"/>
      <c r="N2044" s="464"/>
    </row>
    <row r="2045" spans="2:14" hidden="1" outlineLevel="1" x14ac:dyDescent="0.35">
      <c r="B2045" s="203"/>
      <c r="C2045" s="204"/>
      <c r="D2045" s="204"/>
      <c r="E2045" s="204"/>
      <c r="F2045" s="205"/>
      <c r="G2045" s="548"/>
      <c r="H2045" s="550"/>
      <c r="I2045" s="326"/>
      <c r="J2045" s="326"/>
      <c r="K2045" s="326"/>
      <c r="M2045" s="463"/>
      <c r="N2045" s="464"/>
    </row>
    <row r="2046" spans="2:14" hidden="1" outlineLevel="1" x14ac:dyDescent="0.35">
      <c r="B2046" s="203"/>
      <c r="C2046" s="204"/>
      <c r="D2046" s="204"/>
      <c r="E2046" s="204"/>
      <c r="F2046" s="205"/>
      <c r="G2046" s="548"/>
      <c r="H2046" s="550"/>
      <c r="I2046" s="326"/>
      <c r="J2046" s="326"/>
      <c r="K2046" s="326"/>
      <c r="M2046" s="463"/>
      <c r="N2046" s="464"/>
    </row>
    <row r="2047" spans="2:14" hidden="1" outlineLevel="1" x14ac:dyDescent="0.35">
      <c r="B2047" s="203"/>
      <c r="C2047" s="204"/>
      <c r="D2047" s="204"/>
      <c r="E2047" s="204"/>
      <c r="F2047" s="205"/>
      <c r="G2047" s="548"/>
      <c r="H2047" s="550"/>
      <c r="I2047" s="326"/>
      <c r="J2047" s="326"/>
      <c r="K2047" s="326"/>
      <c r="M2047" s="463"/>
      <c r="N2047" s="464"/>
    </row>
    <row r="2048" spans="2:14" hidden="1" outlineLevel="1" x14ac:dyDescent="0.35">
      <c r="B2048" s="203"/>
      <c r="C2048" s="204"/>
      <c r="D2048" s="204"/>
      <c r="E2048" s="204"/>
      <c r="F2048" s="205"/>
      <c r="G2048" s="548"/>
      <c r="H2048" s="550"/>
      <c r="I2048" s="326"/>
      <c r="J2048" s="326"/>
      <c r="K2048" s="326"/>
      <c r="M2048" s="463"/>
      <c r="N2048" s="464"/>
    </row>
    <row r="2049" spans="2:14" hidden="1" outlineLevel="1" x14ac:dyDescent="0.35">
      <c r="B2049" s="203"/>
      <c r="C2049" s="204"/>
      <c r="D2049" s="204"/>
      <c r="E2049" s="204"/>
      <c r="F2049" s="205"/>
      <c r="G2049" s="548"/>
      <c r="H2049" s="550"/>
      <c r="I2049" s="326"/>
      <c r="J2049" s="326"/>
      <c r="K2049" s="326"/>
      <c r="M2049" s="463"/>
      <c r="N2049" s="464"/>
    </row>
    <row r="2050" spans="2:14" hidden="1" outlineLevel="1" x14ac:dyDescent="0.35">
      <c r="B2050" s="203"/>
      <c r="C2050" s="204"/>
      <c r="D2050" s="204"/>
      <c r="E2050" s="204"/>
      <c r="F2050" s="205"/>
      <c r="G2050" s="548"/>
      <c r="H2050" s="550"/>
      <c r="I2050" s="326"/>
      <c r="J2050" s="326"/>
      <c r="K2050" s="326"/>
      <c r="M2050" s="463"/>
      <c r="N2050" s="464"/>
    </row>
    <row r="2051" spans="2:14" hidden="1" outlineLevel="1" x14ac:dyDescent="0.35">
      <c r="B2051" s="203"/>
      <c r="C2051" s="204"/>
      <c r="D2051" s="204"/>
      <c r="E2051" s="204"/>
      <c r="F2051" s="205"/>
      <c r="G2051" s="548"/>
      <c r="H2051" s="550"/>
      <c r="I2051" s="326"/>
      <c r="J2051" s="326"/>
      <c r="K2051" s="326"/>
      <c r="M2051" s="463"/>
      <c r="N2051" s="464"/>
    </row>
    <row r="2052" spans="2:14" hidden="1" outlineLevel="1" x14ac:dyDescent="0.35">
      <c r="B2052" s="203"/>
      <c r="C2052" s="204"/>
      <c r="D2052" s="204"/>
      <c r="E2052" s="204"/>
      <c r="F2052" s="205"/>
      <c r="G2052" s="548"/>
      <c r="H2052" s="550"/>
      <c r="I2052" s="326"/>
      <c r="J2052" s="326"/>
      <c r="K2052" s="326"/>
      <c r="M2052" s="463"/>
      <c r="N2052" s="464"/>
    </row>
    <row r="2053" spans="2:14" hidden="1" outlineLevel="1" x14ac:dyDescent="0.35">
      <c r="B2053" s="203"/>
      <c r="C2053" s="204"/>
      <c r="D2053" s="204"/>
      <c r="E2053" s="204"/>
      <c r="F2053" s="205"/>
      <c r="G2053" s="548"/>
      <c r="H2053" s="550"/>
      <c r="I2053" s="326"/>
      <c r="J2053" s="326"/>
      <c r="K2053" s="326"/>
      <c r="M2053" s="463"/>
      <c r="N2053" s="464"/>
    </row>
    <row r="2054" spans="2:14" hidden="1" outlineLevel="1" x14ac:dyDescent="0.35">
      <c r="B2054" s="203"/>
      <c r="C2054" s="204"/>
      <c r="D2054" s="204"/>
      <c r="E2054" s="204"/>
      <c r="F2054" s="205"/>
      <c r="G2054" s="548"/>
      <c r="H2054" s="550"/>
      <c r="I2054" s="326"/>
      <c r="J2054" s="326"/>
      <c r="K2054" s="326"/>
      <c r="M2054" s="463"/>
      <c r="N2054" s="464"/>
    </row>
    <row r="2055" spans="2:14" hidden="1" outlineLevel="1" x14ac:dyDescent="0.35">
      <c r="B2055" s="203"/>
      <c r="C2055" s="204"/>
      <c r="D2055" s="204"/>
      <c r="E2055" s="204"/>
      <c r="F2055" s="205"/>
      <c r="G2055" s="548"/>
      <c r="H2055" s="550"/>
      <c r="I2055" s="326"/>
      <c r="J2055" s="326"/>
      <c r="K2055" s="326"/>
      <c r="M2055" s="463"/>
      <c r="N2055" s="464"/>
    </row>
    <row r="2056" spans="2:14" hidden="1" outlineLevel="1" x14ac:dyDescent="0.35">
      <c r="B2056" s="203"/>
      <c r="C2056" s="204"/>
      <c r="D2056" s="204"/>
      <c r="E2056" s="204"/>
      <c r="F2056" s="205"/>
      <c r="G2056" s="548"/>
      <c r="H2056" s="550"/>
      <c r="I2056" s="326"/>
      <c r="J2056" s="326"/>
      <c r="K2056" s="326"/>
      <c r="M2056" s="463"/>
      <c r="N2056" s="464"/>
    </row>
    <row r="2057" spans="2:14" hidden="1" outlineLevel="1" x14ac:dyDescent="0.35">
      <c r="B2057" s="203"/>
      <c r="C2057" s="204"/>
      <c r="D2057" s="204"/>
      <c r="E2057" s="204"/>
      <c r="F2057" s="205"/>
      <c r="G2057" s="548"/>
      <c r="H2057" s="550"/>
      <c r="I2057" s="326"/>
      <c r="J2057" s="326"/>
      <c r="K2057" s="326"/>
      <c r="M2057" s="463"/>
      <c r="N2057" s="464"/>
    </row>
    <row r="2058" spans="2:14" hidden="1" outlineLevel="1" x14ac:dyDescent="0.35">
      <c r="B2058" s="203"/>
      <c r="C2058" s="204"/>
      <c r="D2058" s="204"/>
      <c r="E2058" s="204"/>
      <c r="F2058" s="205"/>
      <c r="G2058" s="548"/>
      <c r="H2058" s="550"/>
      <c r="I2058" s="326"/>
      <c r="J2058" s="326"/>
      <c r="K2058" s="326"/>
      <c r="M2058" s="463"/>
      <c r="N2058" s="464"/>
    </row>
    <row r="2059" spans="2:14" hidden="1" outlineLevel="1" x14ac:dyDescent="0.35">
      <c r="B2059" s="203"/>
      <c r="C2059" s="204"/>
      <c r="D2059" s="204"/>
      <c r="E2059" s="204"/>
      <c r="F2059" s="205"/>
      <c r="G2059" s="548"/>
      <c r="H2059" s="550"/>
      <c r="I2059" s="326"/>
      <c r="J2059" s="326"/>
      <c r="K2059" s="326"/>
      <c r="M2059" s="463"/>
      <c r="N2059" s="464"/>
    </row>
    <row r="2060" spans="2:14" hidden="1" outlineLevel="1" x14ac:dyDescent="0.35">
      <c r="B2060" s="203"/>
      <c r="C2060" s="204"/>
      <c r="D2060" s="204"/>
      <c r="E2060" s="204"/>
      <c r="F2060" s="205"/>
      <c r="G2060" s="548"/>
      <c r="H2060" s="550"/>
      <c r="I2060" s="326"/>
      <c r="J2060" s="326"/>
      <c r="K2060" s="326"/>
      <c r="M2060" s="463"/>
      <c r="N2060" s="464"/>
    </row>
    <row r="2061" spans="2:14" hidden="1" outlineLevel="1" x14ac:dyDescent="0.35">
      <c r="B2061" s="203"/>
      <c r="C2061" s="204"/>
      <c r="D2061" s="204"/>
      <c r="E2061" s="204"/>
      <c r="F2061" s="205"/>
      <c r="G2061" s="548"/>
      <c r="H2061" s="550"/>
      <c r="I2061" s="326"/>
      <c r="J2061" s="326"/>
      <c r="K2061" s="326"/>
      <c r="M2061" s="463"/>
      <c r="N2061" s="464"/>
    </row>
    <row r="2062" spans="2:14" hidden="1" outlineLevel="1" x14ac:dyDescent="0.35">
      <c r="B2062" s="203"/>
      <c r="C2062" s="204"/>
      <c r="D2062" s="204"/>
      <c r="E2062" s="204"/>
      <c r="F2062" s="205"/>
      <c r="G2062" s="548"/>
      <c r="H2062" s="550"/>
      <c r="I2062" s="326"/>
      <c r="J2062" s="326"/>
      <c r="K2062" s="326"/>
      <c r="M2062" s="463"/>
      <c r="N2062" s="464"/>
    </row>
    <row r="2063" spans="2:14" hidden="1" outlineLevel="1" x14ac:dyDescent="0.35">
      <c r="B2063" s="203"/>
      <c r="C2063" s="204"/>
      <c r="D2063" s="204"/>
      <c r="E2063" s="204"/>
      <c r="F2063" s="205"/>
      <c r="G2063" s="548"/>
      <c r="H2063" s="550"/>
      <c r="I2063" s="326"/>
      <c r="J2063" s="326"/>
      <c r="K2063" s="326"/>
      <c r="M2063" s="463"/>
      <c r="N2063" s="464"/>
    </row>
    <row r="2064" spans="2:14" hidden="1" outlineLevel="1" x14ac:dyDescent="0.35">
      <c r="B2064" s="203"/>
      <c r="C2064" s="204"/>
      <c r="D2064" s="204"/>
      <c r="E2064" s="204"/>
      <c r="F2064" s="205"/>
      <c r="G2064" s="548"/>
      <c r="H2064" s="550"/>
      <c r="I2064" s="326"/>
      <c r="J2064" s="326"/>
      <c r="K2064" s="326"/>
      <c r="M2064" s="463"/>
      <c r="N2064" s="464"/>
    </row>
    <row r="2065" spans="2:14" hidden="1" outlineLevel="1" x14ac:dyDescent="0.35">
      <c r="B2065" s="203"/>
      <c r="C2065" s="204"/>
      <c r="D2065" s="204"/>
      <c r="E2065" s="204"/>
      <c r="F2065" s="205"/>
      <c r="G2065" s="548"/>
      <c r="H2065" s="550"/>
      <c r="I2065" s="326"/>
      <c r="J2065" s="326"/>
      <c r="K2065" s="326"/>
      <c r="M2065" s="463"/>
      <c r="N2065" s="464"/>
    </row>
    <row r="2066" spans="2:14" hidden="1" outlineLevel="1" x14ac:dyDescent="0.35">
      <c r="B2066" s="203"/>
      <c r="C2066" s="204"/>
      <c r="D2066" s="204"/>
      <c r="E2066" s="204"/>
      <c r="F2066" s="205"/>
      <c r="G2066" s="548"/>
      <c r="H2066" s="550"/>
      <c r="I2066" s="326"/>
      <c r="J2066" s="326"/>
      <c r="K2066" s="326"/>
      <c r="M2066" s="463"/>
      <c r="N2066" s="464"/>
    </row>
    <row r="2067" spans="2:14" hidden="1" outlineLevel="1" x14ac:dyDescent="0.35">
      <c r="B2067" s="203"/>
      <c r="C2067" s="204"/>
      <c r="D2067" s="204"/>
      <c r="E2067" s="204"/>
      <c r="F2067" s="205"/>
      <c r="G2067" s="548"/>
      <c r="H2067" s="550"/>
      <c r="I2067" s="326"/>
      <c r="J2067" s="326"/>
      <c r="K2067" s="326"/>
      <c r="M2067" s="463"/>
      <c r="N2067" s="464"/>
    </row>
    <row r="2068" spans="2:14" hidden="1" outlineLevel="1" x14ac:dyDescent="0.35">
      <c r="B2068" s="203"/>
      <c r="C2068" s="204"/>
      <c r="D2068" s="204"/>
      <c r="E2068" s="204"/>
      <c r="F2068" s="205"/>
      <c r="G2068" s="548"/>
      <c r="H2068" s="550"/>
      <c r="I2068" s="326"/>
      <c r="J2068" s="326"/>
      <c r="K2068" s="326"/>
      <c r="M2068" s="463"/>
      <c r="N2068" s="464"/>
    </row>
    <row r="2069" spans="2:14" hidden="1" outlineLevel="1" x14ac:dyDescent="0.35">
      <c r="B2069" s="203"/>
      <c r="C2069" s="204"/>
      <c r="D2069" s="204"/>
      <c r="E2069" s="204"/>
      <c r="F2069" s="205"/>
      <c r="G2069" s="548"/>
      <c r="H2069" s="550"/>
      <c r="I2069" s="326"/>
      <c r="J2069" s="326"/>
      <c r="K2069" s="326"/>
      <c r="M2069" s="463"/>
      <c r="N2069" s="464"/>
    </row>
    <row r="2070" spans="2:14" hidden="1" outlineLevel="1" x14ac:dyDescent="0.35">
      <c r="B2070" s="203"/>
      <c r="C2070" s="204"/>
      <c r="D2070" s="204"/>
      <c r="E2070" s="204"/>
      <c r="F2070" s="205"/>
      <c r="G2070" s="548"/>
      <c r="H2070" s="550"/>
      <c r="I2070" s="326"/>
      <c r="J2070" s="326"/>
      <c r="K2070" s="326"/>
      <c r="M2070" s="463"/>
      <c r="N2070" s="464"/>
    </row>
    <row r="2071" spans="2:14" hidden="1" outlineLevel="1" x14ac:dyDescent="0.35">
      <c r="B2071" s="203"/>
      <c r="C2071" s="204"/>
      <c r="D2071" s="204"/>
      <c r="E2071" s="204"/>
      <c r="F2071" s="205"/>
      <c r="G2071" s="548"/>
      <c r="H2071" s="550"/>
      <c r="I2071" s="326"/>
      <c r="J2071" s="326"/>
      <c r="K2071" s="326"/>
      <c r="M2071" s="463"/>
      <c r="N2071" s="464"/>
    </row>
    <row r="2072" spans="2:14" hidden="1" outlineLevel="1" x14ac:dyDescent="0.35">
      <c r="B2072" s="203"/>
      <c r="C2072" s="204"/>
      <c r="D2072" s="204"/>
      <c r="E2072" s="204"/>
      <c r="F2072" s="205"/>
      <c r="G2072" s="548"/>
      <c r="H2072" s="550"/>
      <c r="I2072" s="326"/>
      <c r="J2072" s="326"/>
      <c r="K2072" s="326"/>
      <c r="M2072" s="463"/>
      <c r="N2072" s="464"/>
    </row>
    <row r="2073" spans="2:14" hidden="1" outlineLevel="1" x14ac:dyDescent="0.35">
      <c r="B2073" s="203"/>
      <c r="C2073" s="204"/>
      <c r="D2073" s="204"/>
      <c r="E2073" s="204"/>
      <c r="F2073" s="205"/>
      <c r="G2073" s="548"/>
      <c r="H2073" s="550"/>
      <c r="I2073" s="326"/>
      <c r="J2073" s="326"/>
      <c r="K2073" s="326"/>
      <c r="M2073" s="463"/>
      <c r="N2073" s="464"/>
    </row>
    <row r="2074" spans="2:14" hidden="1" outlineLevel="1" x14ac:dyDescent="0.35">
      <c r="B2074" s="203"/>
      <c r="C2074" s="204"/>
      <c r="D2074" s="204"/>
      <c r="E2074" s="204"/>
      <c r="F2074" s="205"/>
      <c r="G2074" s="548"/>
      <c r="H2074" s="550"/>
      <c r="I2074" s="326"/>
      <c r="J2074" s="326"/>
      <c r="K2074" s="326"/>
      <c r="M2074" s="463"/>
      <c r="N2074" s="464"/>
    </row>
    <row r="2075" spans="2:14" hidden="1" outlineLevel="1" x14ac:dyDescent="0.35">
      <c r="B2075" s="203"/>
      <c r="C2075" s="204"/>
      <c r="D2075" s="204"/>
      <c r="E2075" s="204"/>
      <c r="F2075" s="205"/>
      <c r="G2075" s="548"/>
      <c r="H2075" s="550"/>
      <c r="I2075" s="326"/>
      <c r="J2075" s="326"/>
      <c r="K2075" s="326"/>
      <c r="M2075" s="463"/>
      <c r="N2075" s="464"/>
    </row>
    <row r="2076" spans="2:14" hidden="1" outlineLevel="1" x14ac:dyDescent="0.35">
      <c r="B2076" s="203"/>
      <c r="C2076" s="204"/>
      <c r="D2076" s="204"/>
      <c r="E2076" s="204"/>
      <c r="F2076" s="205"/>
      <c r="G2076" s="548"/>
      <c r="H2076" s="550"/>
      <c r="I2076" s="326"/>
      <c r="J2076" s="326"/>
      <c r="K2076" s="326"/>
      <c r="M2076" s="463"/>
      <c r="N2076" s="464"/>
    </row>
    <row r="2077" spans="2:14" hidden="1" outlineLevel="1" x14ac:dyDescent="0.35">
      <c r="B2077" s="203"/>
      <c r="C2077" s="204"/>
      <c r="D2077" s="204"/>
      <c r="E2077" s="204"/>
      <c r="F2077" s="205"/>
      <c r="G2077" s="548"/>
      <c r="H2077" s="550"/>
      <c r="I2077" s="326"/>
      <c r="J2077" s="326"/>
      <c r="K2077" s="326"/>
      <c r="M2077" s="463"/>
      <c r="N2077" s="464"/>
    </row>
    <row r="2078" spans="2:14" hidden="1" outlineLevel="1" x14ac:dyDescent="0.35">
      <c r="B2078" s="203"/>
      <c r="C2078" s="204"/>
      <c r="D2078" s="204"/>
      <c r="E2078" s="204"/>
      <c r="F2078" s="205"/>
      <c r="G2078" s="548"/>
      <c r="H2078" s="550"/>
      <c r="I2078" s="326"/>
      <c r="J2078" s="326"/>
      <c r="K2078" s="326"/>
      <c r="M2078" s="463"/>
      <c r="N2078" s="464"/>
    </row>
    <row r="2079" spans="2:14" hidden="1" outlineLevel="1" x14ac:dyDescent="0.35">
      <c r="B2079" s="203"/>
      <c r="C2079" s="204"/>
      <c r="D2079" s="204"/>
      <c r="E2079" s="204"/>
      <c r="F2079" s="205"/>
      <c r="G2079" s="548"/>
      <c r="H2079" s="550"/>
      <c r="I2079" s="326"/>
      <c r="J2079" s="326"/>
      <c r="K2079" s="326"/>
      <c r="M2079" s="463"/>
      <c r="N2079" s="464"/>
    </row>
    <row r="2080" spans="2:14" hidden="1" outlineLevel="1" x14ac:dyDescent="0.35">
      <c r="B2080" s="203"/>
      <c r="C2080" s="204"/>
      <c r="D2080" s="204"/>
      <c r="E2080" s="204"/>
      <c r="F2080" s="205"/>
      <c r="G2080" s="548"/>
      <c r="H2080" s="550"/>
      <c r="I2080" s="326"/>
      <c r="J2080" s="326"/>
      <c r="K2080" s="326"/>
      <c r="M2080" s="463"/>
      <c r="N2080" s="464"/>
    </row>
    <row r="2081" spans="2:14" hidden="1" outlineLevel="1" x14ac:dyDescent="0.35">
      <c r="B2081" s="203"/>
      <c r="C2081" s="204"/>
      <c r="D2081" s="204"/>
      <c r="E2081" s="204"/>
      <c r="F2081" s="205"/>
      <c r="G2081" s="548"/>
      <c r="H2081" s="550"/>
      <c r="I2081" s="326"/>
      <c r="J2081" s="326"/>
      <c r="K2081" s="326"/>
      <c r="M2081" s="463"/>
      <c r="N2081" s="464"/>
    </row>
    <row r="2082" spans="2:14" hidden="1" outlineLevel="1" x14ac:dyDescent="0.35">
      <c r="B2082" s="203"/>
      <c r="C2082" s="204"/>
      <c r="D2082" s="204"/>
      <c r="E2082" s="204"/>
      <c r="F2082" s="205"/>
      <c r="G2082" s="548"/>
      <c r="H2082" s="550"/>
      <c r="I2082" s="326"/>
      <c r="J2082" s="326"/>
      <c r="K2082" s="326"/>
      <c r="M2082" s="463"/>
      <c r="N2082" s="464"/>
    </row>
    <row r="2083" spans="2:14" hidden="1" outlineLevel="1" x14ac:dyDescent="0.35">
      <c r="B2083" s="203"/>
      <c r="C2083" s="204"/>
      <c r="D2083" s="204"/>
      <c r="E2083" s="204"/>
      <c r="F2083" s="205"/>
      <c r="G2083" s="548"/>
      <c r="H2083" s="550"/>
      <c r="I2083" s="326"/>
      <c r="J2083" s="326"/>
      <c r="K2083" s="326"/>
      <c r="M2083" s="463"/>
      <c r="N2083" s="464"/>
    </row>
    <row r="2084" spans="2:14" hidden="1" outlineLevel="1" x14ac:dyDescent="0.35">
      <c r="B2084" s="203"/>
      <c r="C2084" s="204"/>
      <c r="D2084" s="204"/>
      <c r="E2084" s="204"/>
      <c r="F2084" s="205"/>
      <c r="G2084" s="548"/>
      <c r="H2084" s="550"/>
      <c r="I2084" s="326"/>
      <c r="J2084" s="326"/>
      <c r="K2084" s="326"/>
      <c r="M2084" s="463"/>
      <c r="N2084" s="464"/>
    </row>
    <row r="2085" spans="2:14" hidden="1" outlineLevel="1" x14ac:dyDescent="0.35">
      <c r="B2085" s="203"/>
      <c r="C2085" s="204"/>
      <c r="D2085" s="204"/>
      <c r="E2085" s="204"/>
      <c r="F2085" s="205"/>
      <c r="G2085" s="548"/>
      <c r="H2085" s="550"/>
      <c r="I2085" s="326"/>
      <c r="J2085" s="326"/>
      <c r="K2085" s="326"/>
      <c r="M2085" s="463"/>
      <c r="N2085" s="464"/>
    </row>
    <row r="2086" spans="2:14" hidden="1" outlineLevel="1" x14ac:dyDescent="0.35">
      <c r="B2086" s="203"/>
      <c r="C2086" s="204"/>
      <c r="D2086" s="204"/>
      <c r="E2086" s="204"/>
      <c r="F2086" s="205"/>
      <c r="G2086" s="548"/>
      <c r="H2086" s="550"/>
      <c r="I2086" s="326"/>
      <c r="J2086" s="326"/>
      <c r="K2086" s="326"/>
      <c r="M2086" s="463"/>
      <c r="N2086" s="464"/>
    </row>
    <row r="2087" spans="2:14" hidden="1" outlineLevel="1" x14ac:dyDescent="0.35">
      <c r="B2087" s="203"/>
      <c r="C2087" s="204"/>
      <c r="D2087" s="204"/>
      <c r="E2087" s="204"/>
      <c r="F2087" s="205"/>
      <c r="G2087" s="548"/>
      <c r="H2087" s="550"/>
      <c r="I2087" s="326"/>
      <c r="J2087" s="326"/>
      <c r="K2087" s="326"/>
      <c r="M2087" s="463"/>
      <c r="N2087" s="464"/>
    </row>
    <row r="2088" spans="2:14" hidden="1" outlineLevel="1" x14ac:dyDescent="0.35">
      <c r="B2088" s="203"/>
      <c r="C2088" s="204"/>
      <c r="D2088" s="204"/>
      <c r="E2088" s="204"/>
      <c r="F2088" s="205"/>
      <c r="G2088" s="548"/>
      <c r="H2088" s="550"/>
      <c r="I2088" s="326"/>
      <c r="J2088" s="326"/>
      <c r="K2088" s="326"/>
      <c r="M2088" s="463"/>
      <c r="N2088" s="464"/>
    </row>
    <row r="2089" spans="2:14" hidden="1" outlineLevel="1" x14ac:dyDescent="0.35">
      <c r="B2089" s="203"/>
      <c r="C2089" s="204"/>
      <c r="D2089" s="204"/>
      <c r="E2089" s="204"/>
      <c r="F2089" s="205"/>
      <c r="G2089" s="548"/>
      <c r="H2089" s="550"/>
      <c r="I2089" s="326"/>
      <c r="J2089" s="326"/>
      <c r="K2089" s="326"/>
      <c r="M2089" s="463"/>
      <c r="N2089" s="464"/>
    </row>
    <row r="2090" spans="2:14" hidden="1" outlineLevel="1" x14ac:dyDescent="0.35">
      <c r="B2090" s="203"/>
      <c r="C2090" s="204"/>
      <c r="D2090" s="204"/>
      <c r="E2090" s="204"/>
      <c r="F2090" s="205"/>
      <c r="G2090" s="548"/>
      <c r="H2090" s="550"/>
      <c r="I2090" s="326"/>
      <c r="J2090" s="326"/>
      <c r="K2090" s="326"/>
      <c r="M2090" s="463"/>
      <c r="N2090" s="464"/>
    </row>
    <row r="2091" spans="2:14" hidden="1" outlineLevel="1" x14ac:dyDescent="0.35">
      <c r="B2091" s="203"/>
      <c r="C2091" s="204"/>
      <c r="D2091" s="204"/>
      <c r="E2091" s="204"/>
      <c r="F2091" s="205"/>
      <c r="G2091" s="548"/>
      <c r="H2091" s="550"/>
      <c r="I2091" s="326"/>
      <c r="J2091" s="326"/>
      <c r="K2091" s="326"/>
      <c r="M2091" s="463"/>
      <c r="N2091" s="464"/>
    </row>
    <row r="2092" spans="2:14" hidden="1" outlineLevel="1" x14ac:dyDescent="0.35">
      <c r="B2092" s="203"/>
      <c r="C2092" s="204"/>
      <c r="D2092" s="204"/>
      <c r="E2092" s="204"/>
      <c r="F2092" s="205"/>
      <c r="G2092" s="548"/>
      <c r="H2092" s="550"/>
      <c r="I2092" s="326"/>
      <c r="J2092" s="326"/>
      <c r="K2092" s="326"/>
      <c r="M2092" s="463"/>
      <c r="N2092" s="464"/>
    </row>
    <row r="2093" spans="2:14" hidden="1" outlineLevel="1" x14ac:dyDescent="0.35">
      <c r="B2093" s="203"/>
      <c r="C2093" s="204"/>
      <c r="D2093" s="204"/>
      <c r="E2093" s="204"/>
      <c r="F2093" s="205"/>
      <c r="G2093" s="548"/>
      <c r="H2093" s="550"/>
      <c r="I2093" s="326"/>
      <c r="J2093" s="326"/>
      <c r="K2093" s="326"/>
      <c r="M2093" s="463"/>
      <c r="N2093" s="464"/>
    </row>
    <row r="2094" spans="2:14" hidden="1" outlineLevel="1" x14ac:dyDescent="0.35">
      <c r="B2094" s="203"/>
      <c r="C2094" s="204"/>
      <c r="D2094" s="204"/>
      <c r="E2094" s="204"/>
      <c r="F2094" s="205"/>
      <c r="G2094" s="548"/>
      <c r="H2094" s="550"/>
      <c r="I2094" s="326"/>
      <c r="J2094" s="326"/>
      <c r="K2094" s="326"/>
      <c r="M2094" s="463"/>
      <c r="N2094" s="464"/>
    </row>
    <row r="2095" spans="2:14" hidden="1" outlineLevel="1" x14ac:dyDescent="0.35">
      <c r="B2095" s="203"/>
      <c r="C2095" s="204"/>
      <c r="D2095" s="204"/>
      <c r="E2095" s="204"/>
      <c r="F2095" s="205"/>
      <c r="G2095" s="548"/>
      <c r="H2095" s="550"/>
      <c r="I2095" s="326"/>
      <c r="J2095" s="326"/>
      <c r="K2095" s="326"/>
      <c r="M2095" s="463"/>
      <c r="N2095" s="464"/>
    </row>
    <row r="2096" spans="2:14" hidden="1" outlineLevel="1" x14ac:dyDescent="0.35">
      <c r="B2096" s="203"/>
      <c r="C2096" s="204"/>
      <c r="D2096" s="204"/>
      <c r="E2096" s="204"/>
      <c r="F2096" s="205"/>
      <c r="G2096" s="548"/>
      <c r="H2096" s="550"/>
      <c r="I2096" s="326"/>
      <c r="J2096" s="326"/>
      <c r="K2096" s="326"/>
      <c r="M2096" s="463"/>
      <c r="N2096" s="464"/>
    </row>
    <row r="2097" spans="2:14" hidden="1" outlineLevel="1" x14ac:dyDescent="0.35">
      <c r="B2097" s="203"/>
      <c r="C2097" s="204"/>
      <c r="D2097" s="204"/>
      <c r="E2097" s="204"/>
      <c r="F2097" s="205"/>
      <c r="G2097" s="548"/>
      <c r="H2097" s="550"/>
      <c r="I2097" s="326"/>
      <c r="J2097" s="326"/>
      <c r="K2097" s="326"/>
      <c r="M2097" s="463"/>
      <c r="N2097" s="464"/>
    </row>
    <row r="2098" spans="2:14" hidden="1" outlineLevel="1" x14ac:dyDescent="0.35">
      <c r="B2098" s="203"/>
      <c r="C2098" s="204"/>
      <c r="D2098" s="204"/>
      <c r="E2098" s="204"/>
      <c r="F2098" s="205"/>
      <c r="G2098" s="548"/>
      <c r="H2098" s="550"/>
      <c r="I2098" s="326"/>
      <c r="J2098" s="326"/>
      <c r="K2098" s="326"/>
      <c r="M2098" s="463"/>
      <c r="N2098" s="464"/>
    </row>
    <row r="2099" spans="2:14" hidden="1" outlineLevel="1" x14ac:dyDescent="0.35">
      <c r="B2099" s="203"/>
      <c r="C2099" s="204"/>
      <c r="D2099" s="204"/>
      <c r="E2099" s="204"/>
      <c r="F2099" s="205"/>
      <c r="G2099" s="548"/>
      <c r="H2099" s="550"/>
      <c r="I2099" s="326"/>
      <c r="J2099" s="326"/>
      <c r="K2099" s="326"/>
      <c r="M2099" s="463"/>
      <c r="N2099" s="464"/>
    </row>
    <row r="2100" spans="2:14" hidden="1" outlineLevel="1" x14ac:dyDescent="0.35">
      <c r="B2100" s="203"/>
      <c r="C2100" s="204"/>
      <c r="D2100" s="204"/>
      <c r="E2100" s="204"/>
      <c r="F2100" s="205"/>
      <c r="G2100" s="548"/>
      <c r="H2100" s="550"/>
      <c r="I2100" s="326"/>
      <c r="J2100" s="326"/>
      <c r="K2100" s="326"/>
      <c r="M2100" s="463"/>
      <c r="N2100" s="464"/>
    </row>
    <row r="2101" spans="2:14" hidden="1" outlineLevel="1" x14ac:dyDescent="0.35">
      <c r="B2101" s="203"/>
      <c r="C2101" s="204"/>
      <c r="D2101" s="204"/>
      <c r="E2101" s="204"/>
      <c r="F2101" s="205"/>
      <c r="G2101" s="548"/>
      <c r="H2101" s="550"/>
      <c r="I2101" s="326"/>
      <c r="J2101" s="326"/>
      <c r="K2101" s="326"/>
      <c r="M2101" s="463"/>
      <c r="N2101" s="464"/>
    </row>
    <row r="2102" spans="2:14" hidden="1" outlineLevel="1" x14ac:dyDescent="0.35">
      <c r="B2102" s="203"/>
      <c r="C2102" s="204"/>
      <c r="D2102" s="204"/>
      <c r="E2102" s="204"/>
      <c r="F2102" s="205"/>
      <c r="G2102" s="548"/>
      <c r="H2102" s="550"/>
      <c r="I2102" s="326"/>
      <c r="J2102" s="326"/>
      <c r="K2102" s="326"/>
      <c r="M2102" s="463"/>
      <c r="N2102" s="464"/>
    </row>
    <row r="2103" spans="2:14" hidden="1" outlineLevel="1" x14ac:dyDescent="0.35">
      <c r="B2103" s="203"/>
      <c r="C2103" s="204"/>
      <c r="D2103" s="204"/>
      <c r="E2103" s="204"/>
      <c r="F2103" s="205"/>
      <c r="G2103" s="548"/>
      <c r="H2103" s="550"/>
      <c r="I2103" s="326"/>
      <c r="J2103" s="326"/>
      <c r="K2103" s="326"/>
      <c r="M2103" s="463"/>
      <c r="N2103" s="464"/>
    </row>
    <row r="2104" spans="2:14" hidden="1" outlineLevel="1" x14ac:dyDescent="0.35">
      <c r="B2104" s="203"/>
      <c r="C2104" s="204"/>
      <c r="D2104" s="204"/>
      <c r="E2104" s="204"/>
      <c r="F2104" s="205"/>
      <c r="G2104" s="548"/>
      <c r="H2104" s="550"/>
      <c r="I2104" s="326"/>
      <c r="J2104" s="326"/>
      <c r="K2104" s="326"/>
      <c r="M2104" s="463"/>
      <c r="N2104" s="464"/>
    </row>
    <row r="2105" spans="2:14" hidden="1" outlineLevel="1" x14ac:dyDescent="0.35">
      <c r="B2105" s="203"/>
      <c r="C2105" s="204"/>
      <c r="D2105" s="204"/>
      <c r="E2105" s="204"/>
      <c r="F2105" s="205"/>
      <c r="G2105" s="548"/>
      <c r="H2105" s="550"/>
      <c r="I2105" s="326"/>
      <c r="J2105" s="326"/>
      <c r="K2105" s="326"/>
      <c r="M2105" s="463"/>
      <c r="N2105" s="464"/>
    </row>
    <row r="2106" spans="2:14" hidden="1" outlineLevel="1" x14ac:dyDescent="0.35">
      <c r="B2106" s="203"/>
      <c r="C2106" s="204"/>
      <c r="D2106" s="204"/>
      <c r="E2106" s="204"/>
      <c r="F2106" s="205"/>
      <c r="G2106" s="548"/>
      <c r="H2106" s="550"/>
      <c r="I2106" s="326"/>
      <c r="J2106" s="326"/>
      <c r="K2106" s="326"/>
      <c r="M2106" s="463"/>
      <c r="N2106" s="464"/>
    </row>
    <row r="2107" spans="2:14" hidden="1" outlineLevel="1" x14ac:dyDescent="0.35">
      <c r="B2107" s="203"/>
      <c r="C2107" s="204"/>
      <c r="D2107" s="204"/>
      <c r="E2107" s="204"/>
      <c r="F2107" s="205"/>
      <c r="G2107" s="548"/>
      <c r="H2107" s="550"/>
      <c r="I2107" s="326"/>
      <c r="J2107" s="326"/>
      <c r="K2107" s="326"/>
      <c r="M2107" s="463"/>
      <c r="N2107" s="464"/>
    </row>
    <row r="2108" spans="2:14" hidden="1" outlineLevel="1" x14ac:dyDescent="0.35">
      <c r="B2108" s="203"/>
      <c r="C2108" s="204"/>
      <c r="D2108" s="204"/>
      <c r="E2108" s="204"/>
      <c r="F2108" s="205"/>
      <c r="G2108" s="548"/>
      <c r="H2108" s="550"/>
      <c r="I2108" s="326"/>
      <c r="J2108" s="326"/>
      <c r="K2108" s="326"/>
      <c r="M2108" s="463"/>
      <c r="N2108" s="464"/>
    </row>
    <row r="2109" spans="2:14" hidden="1" outlineLevel="1" x14ac:dyDescent="0.35">
      <c r="B2109" s="203"/>
      <c r="C2109" s="204"/>
      <c r="D2109" s="204"/>
      <c r="E2109" s="204"/>
      <c r="F2109" s="205"/>
      <c r="G2109" s="548"/>
      <c r="H2109" s="550"/>
      <c r="I2109" s="326"/>
      <c r="J2109" s="326"/>
      <c r="K2109" s="326"/>
      <c r="M2109" s="463"/>
      <c r="N2109" s="464"/>
    </row>
    <row r="2110" spans="2:14" hidden="1" outlineLevel="1" x14ac:dyDescent="0.35">
      <c r="B2110" s="203"/>
      <c r="C2110" s="204"/>
      <c r="D2110" s="204"/>
      <c r="E2110" s="204"/>
      <c r="F2110" s="205"/>
      <c r="G2110" s="548"/>
      <c r="H2110" s="550"/>
      <c r="I2110" s="326"/>
      <c r="J2110" s="326"/>
      <c r="K2110" s="326"/>
      <c r="M2110" s="463"/>
      <c r="N2110" s="464"/>
    </row>
    <row r="2111" spans="2:14" hidden="1" outlineLevel="1" x14ac:dyDescent="0.35">
      <c r="B2111" s="203"/>
      <c r="C2111" s="204"/>
      <c r="D2111" s="204"/>
      <c r="E2111" s="204"/>
      <c r="F2111" s="205"/>
      <c r="G2111" s="548"/>
      <c r="H2111" s="550"/>
      <c r="I2111" s="326"/>
      <c r="J2111" s="326"/>
      <c r="K2111" s="326"/>
      <c r="M2111" s="463"/>
      <c r="N2111" s="464"/>
    </row>
    <row r="2112" spans="2:14" hidden="1" outlineLevel="1" x14ac:dyDescent="0.35">
      <c r="B2112" s="203"/>
      <c r="C2112" s="204"/>
      <c r="D2112" s="204"/>
      <c r="E2112" s="204"/>
      <c r="F2112" s="205"/>
      <c r="G2112" s="548"/>
      <c r="H2112" s="550"/>
      <c r="I2112" s="326"/>
      <c r="J2112" s="326"/>
      <c r="K2112" s="326"/>
      <c r="M2112" s="463"/>
      <c r="N2112" s="464"/>
    </row>
    <row r="2113" spans="2:14" hidden="1" outlineLevel="1" x14ac:dyDescent="0.35">
      <c r="B2113" s="203"/>
      <c r="C2113" s="204"/>
      <c r="D2113" s="204"/>
      <c r="E2113" s="204"/>
      <c r="F2113" s="205"/>
      <c r="G2113" s="548"/>
      <c r="H2113" s="550"/>
      <c r="I2113" s="326"/>
      <c r="J2113" s="326"/>
      <c r="K2113" s="326"/>
      <c r="M2113" s="463"/>
      <c r="N2113" s="464"/>
    </row>
    <row r="2114" spans="2:14" hidden="1" outlineLevel="1" x14ac:dyDescent="0.35">
      <c r="B2114" s="203"/>
      <c r="C2114" s="204"/>
      <c r="D2114" s="204"/>
      <c r="E2114" s="204"/>
      <c r="F2114" s="205"/>
      <c r="G2114" s="548"/>
      <c r="H2114" s="550"/>
      <c r="I2114" s="326"/>
      <c r="J2114" s="326"/>
      <c r="K2114" s="326"/>
      <c r="M2114" s="463"/>
      <c r="N2114" s="464"/>
    </row>
    <row r="2115" spans="2:14" hidden="1" outlineLevel="1" x14ac:dyDescent="0.35">
      <c r="B2115" s="203"/>
      <c r="C2115" s="204"/>
      <c r="D2115" s="204"/>
      <c r="E2115" s="204"/>
      <c r="F2115" s="205"/>
      <c r="G2115" s="548"/>
      <c r="H2115" s="550"/>
      <c r="I2115" s="326"/>
      <c r="J2115" s="326"/>
      <c r="K2115" s="326"/>
      <c r="M2115" s="463"/>
      <c r="N2115" s="464"/>
    </row>
    <row r="2116" spans="2:14" hidden="1" outlineLevel="1" x14ac:dyDescent="0.35">
      <c r="B2116" s="203"/>
      <c r="C2116" s="204"/>
      <c r="D2116" s="204"/>
      <c r="E2116" s="204"/>
      <c r="F2116" s="205"/>
      <c r="G2116" s="548"/>
      <c r="H2116" s="550"/>
      <c r="I2116" s="326"/>
      <c r="J2116" s="326"/>
      <c r="K2116" s="326"/>
      <c r="M2116" s="463"/>
      <c r="N2116" s="464"/>
    </row>
    <row r="2117" spans="2:14" hidden="1" outlineLevel="1" x14ac:dyDescent="0.35">
      <c r="B2117" s="203"/>
      <c r="C2117" s="204"/>
      <c r="D2117" s="204"/>
      <c r="E2117" s="204"/>
      <c r="F2117" s="205"/>
      <c r="G2117" s="548"/>
      <c r="H2117" s="550"/>
      <c r="I2117" s="326"/>
      <c r="J2117" s="326"/>
      <c r="K2117" s="326"/>
      <c r="M2117" s="463"/>
      <c r="N2117" s="464"/>
    </row>
    <row r="2118" spans="2:14" hidden="1" outlineLevel="1" x14ac:dyDescent="0.35">
      <c r="B2118" s="203"/>
      <c r="C2118" s="204"/>
      <c r="D2118" s="204"/>
      <c r="E2118" s="204"/>
      <c r="F2118" s="205"/>
      <c r="G2118" s="548"/>
      <c r="H2118" s="550"/>
      <c r="I2118" s="326"/>
      <c r="J2118" s="326"/>
      <c r="K2118" s="326"/>
      <c r="M2118" s="463"/>
      <c r="N2118" s="464"/>
    </row>
    <row r="2119" spans="2:14" hidden="1" outlineLevel="1" x14ac:dyDescent="0.35">
      <c r="B2119" s="203"/>
      <c r="C2119" s="204"/>
      <c r="D2119" s="204"/>
      <c r="E2119" s="204"/>
      <c r="F2119" s="205"/>
      <c r="G2119" s="548"/>
      <c r="H2119" s="550"/>
      <c r="I2119" s="326"/>
      <c r="J2119" s="326"/>
      <c r="K2119" s="326"/>
      <c r="M2119" s="463"/>
      <c r="N2119" s="464"/>
    </row>
    <row r="2120" spans="2:14" hidden="1" outlineLevel="1" x14ac:dyDescent="0.35">
      <c r="B2120" s="203"/>
      <c r="C2120" s="204"/>
      <c r="D2120" s="204"/>
      <c r="E2120" s="204"/>
      <c r="F2120" s="205"/>
      <c r="G2120" s="548"/>
      <c r="H2120" s="550"/>
      <c r="I2120" s="326"/>
      <c r="J2120" s="326"/>
      <c r="K2120" s="326"/>
      <c r="M2120" s="463"/>
      <c r="N2120" s="464"/>
    </row>
    <row r="2121" spans="2:14" hidden="1" outlineLevel="1" x14ac:dyDescent="0.35">
      <c r="B2121" s="203"/>
      <c r="C2121" s="204"/>
      <c r="D2121" s="204"/>
      <c r="E2121" s="204"/>
      <c r="F2121" s="205"/>
      <c r="G2121" s="548"/>
      <c r="H2121" s="550"/>
      <c r="I2121" s="326"/>
      <c r="J2121" s="326"/>
      <c r="K2121" s="326"/>
      <c r="M2121" s="463"/>
      <c r="N2121" s="464"/>
    </row>
    <row r="2122" spans="2:14" hidden="1" outlineLevel="1" x14ac:dyDescent="0.35">
      <c r="B2122" s="203"/>
      <c r="C2122" s="204"/>
      <c r="D2122" s="204"/>
      <c r="E2122" s="204"/>
      <c r="F2122" s="205"/>
      <c r="G2122" s="548"/>
      <c r="H2122" s="550"/>
      <c r="I2122" s="326"/>
      <c r="J2122" s="326"/>
      <c r="K2122" s="326"/>
      <c r="M2122" s="463"/>
      <c r="N2122" s="464"/>
    </row>
    <row r="2123" spans="2:14" hidden="1" outlineLevel="1" x14ac:dyDescent="0.35">
      <c r="B2123" s="203"/>
      <c r="C2123" s="204"/>
      <c r="D2123" s="204"/>
      <c r="E2123" s="204"/>
      <c r="F2123" s="205"/>
      <c r="G2123" s="548"/>
      <c r="H2123" s="550"/>
      <c r="I2123" s="326"/>
      <c r="J2123" s="326"/>
      <c r="K2123" s="326"/>
      <c r="M2123" s="463"/>
      <c r="N2123" s="464"/>
    </row>
    <row r="2124" spans="2:14" hidden="1" outlineLevel="1" x14ac:dyDescent="0.35">
      <c r="B2124" s="203"/>
      <c r="C2124" s="204"/>
      <c r="D2124" s="204"/>
      <c r="E2124" s="204"/>
      <c r="F2124" s="205"/>
      <c r="G2124" s="548"/>
      <c r="H2124" s="550"/>
      <c r="I2124" s="326"/>
      <c r="J2124" s="326"/>
      <c r="K2124" s="326"/>
      <c r="M2124" s="463"/>
      <c r="N2124" s="464"/>
    </row>
    <row r="2125" spans="2:14" hidden="1" outlineLevel="1" x14ac:dyDescent="0.35">
      <c r="B2125" s="203"/>
      <c r="C2125" s="204"/>
      <c r="D2125" s="204"/>
      <c r="E2125" s="204"/>
      <c r="F2125" s="205"/>
      <c r="G2125" s="548"/>
      <c r="H2125" s="550"/>
      <c r="I2125" s="326"/>
      <c r="J2125" s="326"/>
      <c r="K2125" s="326"/>
      <c r="M2125" s="463"/>
      <c r="N2125" s="464"/>
    </row>
    <row r="2126" spans="2:14" hidden="1" outlineLevel="1" x14ac:dyDescent="0.35">
      <c r="B2126" s="203"/>
      <c r="C2126" s="204"/>
      <c r="D2126" s="204"/>
      <c r="E2126" s="204"/>
      <c r="F2126" s="205"/>
      <c r="G2126" s="548"/>
      <c r="H2126" s="550"/>
      <c r="I2126" s="326"/>
      <c r="J2126" s="326"/>
      <c r="K2126" s="326"/>
      <c r="M2126" s="463"/>
      <c r="N2126" s="464"/>
    </row>
    <row r="2127" spans="2:14" hidden="1" outlineLevel="1" x14ac:dyDescent="0.35">
      <c r="B2127" s="203"/>
      <c r="C2127" s="204"/>
      <c r="D2127" s="204"/>
      <c r="E2127" s="204"/>
      <c r="F2127" s="205"/>
      <c r="G2127" s="548"/>
      <c r="H2127" s="550"/>
      <c r="I2127" s="326"/>
      <c r="J2127" s="326"/>
      <c r="K2127" s="326"/>
      <c r="M2127" s="463"/>
      <c r="N2127" s="464"/>
    </row>
    <row r="2128" spans="2:14" hidden="1" outlineLevel="1" x14ac:dyDescent="0.35">
      <c r="B2128" s="203"/>
      <c r="C2128" s="204"/>
      <c r="D2128" s="204"/>
      <c r="E2128" s="204"/>
      <c r="F2128" s="205"/>
      <c r="G2128" s="548"/>
      <c r="H2128" s="550"/>
      <c r="I2128" s="326"/>
      <c r="J2128" s="326"/>
      <c r="K2128" s="326"/>
      <c r="M2128" s="463"/>
      <c r="N2128" s="464"/>
    </row>
    <row r="2129" spans="2:14" hidden="1" outlineLevel="1" x14ac:dyDescent="0.35">
      <c r="B2129" s="203"/>
      <c r="C2129" s="204"/>
      <c r="D2129" s="204"/>
      <c r="E2129" s="204"/>
      <c r="F2129" s="205"/>
      <c r="G2129" s="548"/>
      <c r="H2129" s="550"/>
      <c r="I2129" s="326"/>
      <c r="J2129" s="326"/>
      <c r="K2129" s="326"/>
      <c r="M2129" s="463"/>
      <c r="N2129" s="464"/>
    </row>
    <row r="2130" spans="2:14" hidden="1" outlineLevel="1" x14ac:dyDescent="0.35">
      <c r="B2130" s="203"/>
      <c r="C2130" s="204"/>
      <c r="D2130" s="204"/>
      <c r="E2130" s="204"/>
      <c r="F2130" s="205"/>
      <c r="G2130" s="548"/>
      <c r="H2130" s="550"/>
      <c r="I2130" s="326"/>
      <c r="J2130" s="326"/>
      <c r="K2130" s="326"/>
      <c r="M2130" s="463"/>
      <c r="N2130" s="464"/>
    </row>
    <row r="2131" spans="2:14" hidden="1" outlineLevel="1" x14ac:dyDescent="0.35">
      <c r="B2131" s="203"/>
      <c r="C2131" s="204"/>
      <c r="D2131" s="204"/>
      <c r="E2131" s="204"/>
      <c r="F2131" s="205"/>
      <c r="G2131" s="548"/>
      <c r="H2131" s="550"/>
      <c r="I2131" s="326"/>
      <c r="J2131" s="326"/>
      <c r="K2131" s="326"/>
      <c r="M2131" s="463"/>
      <c r="N2131" s="464"/>
    </row>
    <row r="2132" spans="2:14" hidden="1" outlineLevel="1" x14ac:dyDescent="0.35">
      <c r="B2132" s="203"/>
      <c r="C2132" s="204"/>
      <c r="D2132" s="204"/>
      <c r="E2132" s="204"/>
      <c r="F2132" s="205"/>
      <c r="G2132" s="548"/>
      <c r="H2132" s="550"/>
      <c r="I2132" s="326"/>
      <c r="J2132" s="326"/>
      <c r="K2132" s="326"/>
      <c r="M2132" s="463"/>
      <c r="N2132" s="464"/>
    </row>
    <row r="2133" spans="2:14" hidden="1" outlineLevel="1" x14ac:dyDescent="0.35">
      <c r="B2133" s="203"/>
      <c r="C2133" s="204"/>
      <c r="D2133" s="204"/>
      <c r="E2133" s="204"/>
      <c r="F2133" s="205"/>
      <c r="G2133" s="548"/>
      <c r="H2133" s="550"/>
      <c r="I2133" s="326"/>
      <c r="J2133" s="326"/>
      <c r="K2133" s="326"/>
      <c r="M2133" s="463"/>
      <c r="N2133" s="464"/>
    </row>
    <row r="2134" spans="2:14" hidden="1" outlineLevel="1" x14ac:dyDescent="0.35">
      <c r="B2134" s="203"/>
      <c r="C2134" s="204"/>
      <c r="D2134" s="204"/>
      <c r="E2134" s="204"/>
      <c r="F2134" s="205"/>
      <c r="G2134" s="548"/>
      <c r="H2134" s="550"/>
      <c r="I2134" s="326"/>
      <c r="J2134" s="326"/>
      <c r="K2134" s="326"/>
      <c r="M2134" s="463"/>
      <c r="N2134" s="464"/>
    </row>
    <row r="2135" spans="2:14" hidden="1" outlineLevel="1" x14ac:dyDescent="0.35">
      <c r="B2135" s="203"/>
      <c r="C2135" s="204"/>
      <c r="D2135" s="204"/>
      <c r="E2135" s="204"/>
      <c r="F2135" s="205"/>
      <c r="G2135" s="548"/>
      <c r="H2135" s="550"/>
      <c r="I2135" s="326"/>
      <c r="J2135" s="326"/>
      <c r="K2135" s="326"/>
      <c r="M2135" s="463"/>
      <c r="N2135" s="464"/>
    </row>
    <row r="2136" spans="2:14" hidden="1" outlineLevel="1" x14ac:dyDescent="0.35">
      <c r="B2136" s="203"/>
      <c r="C2136" s="204"/>
      <c r="D2136" s="204"/>
      <c r="E2136" s="204"/>
      <c r="F2136" s="205"/>
      <c r="G2136" s="548"/>
      <c r="H2136" s="550"/>
      <c r="I2136" s="326"/>
      <c r="J2136" s="326"/>
      <c r="K2136" s="326"/>
      <c r="M2136" s="463"/>
      <c r="N2136" s="464"/>
    </row>
    <row r="2137" spans="2:14" hidden="1" outlineLevel="1" x14ac:dyDescent="0.35">
      <c r="B2137" s="203"/>
      <c r="C2137" s="204"/>
      <c r="D2137" s="204"/>
      <c r="E2137" s="204"/>
      <c r="F2137" s="205"/>
      <c r="G2137" s="548"/>
      <c r="H2137" s="550"/>
      <c r="I2137" s="326"/>
      <c r="J2137" s="326"/>
      <c r="K2137" s="326"/>
      <c r="M2137" s="463"/>
      <c r="N2137" s="464"/>
    </row>
    <row r="2138" spans="2:14" hidden="1" outlineLevel="1" x14ac:dyDescent="0.35">
      <c r="B2138" s="203"/>
      <c r="C2138" s="204"/>
      <c r="D2138" s="204"/>
      <c r="E2138" s="204"/>
      <c r="F2138" s="205"/>
      <c r="G2138" s="548"/>
      <c r="H2138" s="550"/>
      <c r="I2138" s="326"/>
      <c r="J2138" s="326"/>
      <c r="K2138" s="326"/>
      <c r="M2138" s="463"/>
      <c r="N2138" s="464"/>
    </row>
    <row r="2139" spans="2:14" hidden="1" outlineLevel="1" x14ac:dyDescent="0.35">
      <c r="B2139" s="203"/>
      <c r="C2139" s="204"/>
      <c r="D2139" s="204"/>
      <c r="E2139" s="204"/>
      <c r="F2139" s="205"/>
      <c r="G2139" s="548"/>
      <c r="H2139" s="550"/>
      <c r="I2139" s="326"/>
      <c r="J2139" s="326"/>
      <c r="K2139" s="326"/>
      <c r="M2139" s="463"/>
      <c r="N2139" s="464"/>
    </row>
    <row r="2140" spans="2:14" hidden="1" outlineLevel="1" x14ac:dyDescent="0.35">
      <c r="B2140" s="203"/>
      <c r="C2140" s="204"/>
      <c r="D2140" s="204"/>
      <c r="E2140" s="204"/>
      <c r="F2140" s="205"/>
      <c r="G2140" s="548"/>
      <c r="H2140" s="550"/>
      <c r="I2140" s="326"/>
      <c r="J2140" s="326"/>
      <c r="K2140" s="326"/>
      <c r="M2140" s="463"/>
      <c r="N2140" s="464"/>
    </row>
    <row r="2141" spans="2:14" hidden="1" outlineLevel="1" x14ac:dyDescent="0.35">
      <c r="B2141" s="203"/>
      <c r="C2141" s="204"/>
      <c r="D2141" s="204"/>
      <c r="E2141" s="204"/>
      <c r="F2141" s="205"/>
      <c r="G2141" s="548"/>
      <c r="H2141" s="550"/>
      <c r="I2141" s="326"/>
      <c r="J2141" s="326"/>
      <c r="K2141" s="326"/>
      <c r="M2141" s="463"/>
      <c r="N2141" s="464"/>
    </row>
    <row r="2142" spans="2:14" hidden="1" outlineLevel="1" x14ac:dyDescent="0.35">
      <c r="B2142" s="203"/>
      <c r="C2142" s="204"/>
      <c r="D2142" s="204"/>
      <c r="E2142" s="204"/>
      <c r="F2142" s="205"/>
      <c r="G2142" s="548"/>
      <c r="H2142" s="550"/>
      <c r="I2142" s="326"/>
      <c r="J2142" s="326"/>
      <c r="K2142" s="326"/>
      <c r="M2142" s="463"/>
      <c r="N2142" s="464"/>
    </row>
    <row r="2143" spans="2:14" hidden="1" outlineLevel="1" x14ac:dyDescent="0.35">
      <c r="B2143" s="203"/>
      <c r="C2143" s="204"/>
      <c r="D2143" s="204"/>
      <c r="E2143" s="204"/>
      <c r="F2143" s="205"/>
      <c r="G2143" s="548"/>
      <c r="H2143" s="550"/>
      <c r="I2143" s="326"/>
      <c r="J2143" s="326"/>
      <c r="K2143" s="326"/>
      <c r="M2143" s="463"/>
      <c r="N2143" s="464"/>
    </row>
    <row r="2144" spans="2:14" hidden="1" outlineLevel="1" x14ac:dyDescent="0.35">
      <c r="B2144" s="203"/>
      <c r="C2144" s="204"/>
      <c r="D2144" s="204"/>
      <c r="E2144" s="204"/>
      <c r="F2144" s="205"/>
      <c r="G2144" s="548"/>
      <c r="H2144" s="550"/>
      <c r="I2144" s="326"/>
      <c r="J2144" s="326"/>
      <c r="K2144" s="326"/>
      <c r="M2144" s="463"/>
      <c r="N2144" s="464"/>
    </row>
    <row r="2145" spans="2:14" hidden="1" outlineLevel="1" x14ac:dyDescent="0.35">
      <c r="B2145" s="203"/>
      <c r="C2145" s="204"/>
      <c r="D2145" s="204"/>
      <c r="E2145" s="204"/>
      <c r="F2145" s="205"/>
      <c r="G2145" s="548"/>
      <c r="H2145" s="550"/>
      <c r="I2145" s="326"/>
      <c r="J2145" s="326"/>
      <c r="K2145" s="326"/>
      <c r="M2145" s="463"/>
      <c r="N2145" s="464"/>
    </row>
    <row r="2146" spans="2:14" hidden="1" outlineLevel="1" x14ac:dyDescent="0.35">
      <c r="B2146" s="203"/>
      <c r="C2146" s="204"/>
      <c r="D2146" s="204"/>
      <c r="E2146" s="204"/>
      <c r="F2146" s="205"/>
      <c r="G2146" s="548"/>
      <c r="H2146" s="550"/>
      <c r="I2146" s="326"/>
      <c r="J2146" s="326"/>
      <c r="K2146" s="326"/>
      <c r="M2146" s="463"/>
      <c r="N2146" s="464"/>
    </row>
    <row r="2147" spans="2:14" hidden="1" outlineLevel="1" x14ac:dyDescent="0.35">
      <c r="B2147" s="203"/>
      <c r="C2147" s="204"/>
      <c r="D2147" s="204"/>
      <c r="E2147" s="204"/>
      <c r="F2147" s="205"/>
      <c r="G2147" s="548"/>
      <c r="H2147" s="550"/>
      <c r="I2147" s="326"/>
      <c r="J2147" s="326"/>
      <c r="K2147" s="326"/>
      <c r="M2147" s="463"/>
      <c r="N2147" s="464"/>
    </row>
    <row r="2148" spans="2:14" hidden="1" outlineLevel="1" x14ac:dyDescent="0.35">
      <c r="B2148" s="203"/>
      <c r="C2148" s="204"/>
      <c r="D2148" s="204"/>
      <c r="E2148" s="204"/>
      <c r="F2148" s="205"/>
      <c r="G2148" s="548"/>
      <c r="H2148" s="550"/>
      <c r="I2148" s="326"/>
      <c r="J2148" s="326"/>
      <c r="K2148" s="326"/>
      <c r="M2148" s="463"/>
      <c r="N2148" s="464"/>
    </row>
    <row r="2149" spans="2:14" hidden="1" outlineLevel="1" x14ac:dyDescent="0.35">
      <c r="B2149" s="203"/>
      <c r="C2149" s="204"/>
      <c r="D2149" s="204"/>
      <c r="E2149" s="204"/>
      <c r="F2149" s="205"/>
      <c r="G2149" s="548"/>
      <c r="H2149" s="550"/>
      <c r="I2149" s="326"/>
      <c r="J2149" s="326"/>
      <c r="K2149" s="326"/>
      <c r="M2149" s="463"/>
      <c r="N2149" s="464"/>
    </row>
    <row r="2150" spans="2:14" hidden="1" outlineLevel="1" x14ac:dyDescent="0.35">
      <c r="B2150" s="203"/>
      <c r="C2150" s="204"/>
      <c r="D2150" s="204"/>
      <c r="E2150" s="204"/>
      <c r="F2150" s="205"/>
      <c r="G2150" s="548"/>
      <c r="H2150" s="550"/>
      <c r="I2150" s="326"/>
      <c r="J2150" s="326"/>
      <c r="K2150" s="326"/>
      <c r="M2150" s="463"/>
      <c r="N2150" s="464"/>
    </row>
    <row r="2151" spans="2:14" hidden="1" outlineLevel="1" x14ac:dyDescent="0.35">
      <c r="B2151" s="203"/>
      <c r="C2151" s="204"/>
      <c r="D2151" s="204"/>
      <c r="E2151" s="204"/>
      <c r="F2151" s="205"/>
      <c r="G2151" s="548"/>
      <c r="H2151" s="550"/>
      <c r="I2151" s="326"/>
      <c r="J2151" s="326"/>
      <c r="K2151" s="326"/>
      <c r="M2151" s="463"/>
      <c r="N2151" s="464"/>
    </row>
    <row r="2152" spans="2:14" hidden="1" outlineLevel="1" x14ac:dyDescent="0.35">
      <c r="B2152" s="203"/>
      <c r="C2152" s="204"/>
      <c r="D2152" s="204"/>
      <c r="E2152" s="204"/>
      <c r="F2152" s="205"/>
      <c r="G2152" s="548"/>
      <c r="H2152" s="550"/>
      <c r="I2152" s="326"/>
      <c r="J2152" s="326"/>
      <c r="K2152" s="326"/>
      <c r="M2152" s="463"/>
      <c r="N2152" s="464"/>
    </row>
    <row r="2153" spans="2:14" hidden="1" outlineLevel="1" x14ac:dyDescent="0.35">
      <c r="B2153" s="203"/>
      <c r="C2153" s="204"/>
      <c r="D2153" s="204"/>
      <c r="E2153" s="204"/>
      <c r="F2153" s="205"/>
      <c r="G2153" s="548"/>
      <c r="H2153" s="550"/>
      <c r="I2153" s="326"/>
      <c r="J2153" s="326"/>
      <c r="K2153" s="326"/>
      <c r="M2153" s="463"/>
      <c r="N2153" s="464"/>
    </row>
    <row r="2154" spans="2:14" hidden="1" outlineLevel="1" x14ac:dyDescent="0.35">
      <c r="B2154" s="203"/>
      <c r="C2154" s="204"/>
      <c r="D2154" s="204"/>
      <c r="E2154" s="204"/>
      <c r="F2154" s="205"/>
      <c r="G2154" s="548"/>
      <c r="H2154" s="550"/>
      <c r="I2154" s="326"/>
      <c r="J2154" s="326"/>
      <c r="K2154" s="326"/>
      <c r="M2154" s="463"/>
      <c r="N2154" s="464"/>
    </row>
    <row r="2155" spans="2:14" hidden="1" outlineLevel="1" x14ac:dyDescent="0.35">
      <c r="B2155" s="203"/>
      <c r="C2155" s="204"/>
      <c r="D2155" s="204"/>
      <c r="E2155" s="204"/>
      <c r="F2155" s="205"/>
      <c r="G2155" s="548"/>
      <c r="H2155" s="550"/>
      <c r="I2155" s="326"/>
      <c r="J2155" s="326"/>
      <c r="K2155" s="326"/>
      <c r="M2155" s="463"/>
      <c r="N2155" s="464"/>
    </row>
    <row r="2156" spans="2:14" hidden="1" outlineLevel="1" x14ac:dyDescent="0.35">
      <c r="B2156" s="203"/>
      <c r="C2156" s="204"/>
      <c r="D2156" s="204"/>
      <c r="E2156" s="204"/>
      <c r="F2156" s="205"/>
      <c r="G2156" s="548"/>
      <c r="H2156" s="550"/>
      <c r="I2156" s="326"/>
      <c r="J2156" s="326"/>
      <c r="K2156" s="326"/>
      <c r="M2156" s="463"/>
      <c r="N2156" s="464"/>
    </row>
    <row r="2157" spans="2:14" hidden="1" outlineLevel="1" x14ac:dyDescent="0.35">
      <c r="B2157" s="203"/>
      <c r="C2157" s="204"/>
      <c r="D2157" s="204"/>
      <c r="E2157" s="204"/>
      <c r="F2157" s="205"/>
      <c r="G2157" s="548"/>
      <c r="H2157" s="550"/>
      <c r="I2157" s="326"/>
      <c r="J2157" s="326"/>
      <c r="K2157" s="326"/>
      <c r="M2157" s="463"/>
      <c r="N2157" s="464"/>
    </row>
    <row r="2158" spans="2:14" hidden="1" outlineLevel="1" x14ac:dyDescent="0.35">
      <c r="B2158" s="203"/>
      <c r="C2158" s="204"/>
      <c r="D2158" s="204"/>
      <c r="E2158" s="204"/>
      <c r="F2158" s="205"/>
      <c r="G2158" s="548"/>
      <c r="H2158" s="550"/>
      <c r="I2158" s="326"/>
      <c r="J2158" s="326"/>
      <c r="K2158" s="326"/>
      <c r="M2158" s="463"/>
      <c r="N2158" s="464"/>
    </row>
    <row r="2159" spans="2:14" hidden="1" outlineLevel="1" x14ac:dyDescent="0.35">
      <c r="B2159" s="203"/>
      <c r="C2159" s="204"/>
      <c r="D2159" s="204"/>
      <c r="E2159" s="204"/>
      <c r="F2159" s="205"/>
      <c r="G2159" s="548"/>
      <c r="H2159" s="550"/>
      <c r="I2159" s="326"/>
      <c r="J2159" s="326"/>
      <c r="K2159" s="326"/>
      <c r="M2159" s="463"/>
      <c r="N2159" s="464"/>
    </row>
    <row r="2160" spans="2:14" hidden="1" outlineLevel="1" x14ac:dyDescent="0.35">
      <c r="B2160" s="203"/>
      <c r="C2160" s="204"/>
      <c r="D2160" s="204"/>
      <c r="E2160" s="204"/>
      <c r="F2160" s="205"/>
      <c r="G2160" s="548"/>
      <c r="H2160" s="550"/>
      <c r="I2160" s="326"/>
      <c r="J2160" s="326"/>
      <c r="K2160" s="326"/>
      <c r="M2160" s="463"/>
      <c r="N2160" s="464"/>
    </row>
    <row r="2161" spans="2:14" hidden="1" outlineLevel="1" x14ac:dyDescent="0.35">
      <c r="B2161" s="203"/>
      <c r="C2161" s="204"/>
      <c r="D2161" s="204"/>
      <c r="E2161" s="204"/>
      <c r="F2161" s="205"/>
      <c r="G2161" s="548"/>
      <c r="H2161" s="550"/>
      <c r="I2161" s="326"/>
      <c r="J2161" s="326"/>
      <c r="K2161" s="326"/>
      <c r="M2161" s="463"/>
      <c r="N2161" s="464"/>
    </row>
    <row r="2162" spans="2:14" hidden="1" outlineLevel="1" x14ac:dyDescent="0.35">
      <c r="B2162" s="203"/>
      <c r="C2162" s="204"/>
      <c r="D2162" s="204"/>
      <c r="E2162" s="204"/>
      <c r="F2162" s="205"/>
      <c r="G2162" s="548"/>
      <c r="H2162" s="550"/>
      <c r="I2162" s="326"/>
      <c r="J2162" s="326"/>
      <c r="K2162" s="326"/>
      <c r="M2162" s="463"/>
      <c r="N2162" s="464"/>
    </row>
    <row r="2163" spans="2:14" hidden="1" outlineLevel="1" x14ac:dyDescent="0.35">
      <c r="B2163" s="203"/>
      <c r="C2163" s="204"/>
      <c r="D2163" s="204"/>
      <c r="E2163" s="204"/>
      <c r="F2163" s="205"/>
      <c r="G2163" s="548"/>
      <c r="H2163" s="550"/>
      <c r="I2163" s="326"/>
      <c r="J2163" s="326"/>
      <c r="K2163" s="326"/>
      <c r="M2163" s="463"/>
      <c r="N2163" s="464"/>
    </row>
    <row r="2164" spans="2:14" hidden="1" outlineLevel="1" x14ac:dyDescent="0.35">
      <c r="B2164" s="203"/>
      <c r="C2164" s="204"/>
      <c r="D2164" s="204"/>
      <c r="E2164" s="204"/>
      <c r="F2164" s="205"/>
      <c r="G2164" s="548"/>
      <c r="H2164" s="550"/>
      <c r="I2164" s="326"/>
      <c r="J2164" s="326"/>
      <c r="K2164" s="326"/>
      <c r="M2164" s="463"/>
      <c r="N2164" s="464"/>
    </row>
    <row r="2165" spans="2:14" hidden="1" outlineLevel="1" x14ac:dyDescent="0.35">
      <c r="B2165" s="203"/>
      <c r="C2165" s="204"/>
      <c r="D2165" s="204"/>
      <c r="E2165" s="204"/>
      <c r="F2165" s="205"/>
      <c r="G2165" s="548"/>
      <c r="H2165" s="550"/>
      <c r="I2165" s="326"/>
      <c r="J2165" s="326"/>
      <c r="K2165" s="326"/>
      <c r="M2165" s="463"/>
      <c r="N2165" s="464"/>
    </row>
    <row r="2166" spans="2:14" hidden="1" outlineLevel="1" x14ac:dyDescent="0.35">
      <c r="B2166" s="203"/>
      <c r="C2166" s="204"/>
      <c r="D2166" s="204"/>
      <c r="E2166" s="204"/>
      <c r="F2166" s="205"/>
      <c r="G2166" s="548"/>
      <c r="H2166" s="550"/>
      <c r="I2166" s="326"/>
      <c r="J2166" s="326"/>
      <c r="K2166" s="326"/>
      <c r="M2166" s="463"/>
      <c r="N2166" s="464"/>
    </row>
    <row r="2167" spans="2:14" hidden="1" outlineLevel="1" x14ac:dyDescent="0.35">
      <c r="B2167" s="203"/>
      <c r="C2167" s="204"/>
      <c r="D2167" s="204"/>
      <c r="E2167" s="204"/>
      <c r="F2167" s="205"/>
      <c r="G2167" s="548"/>
      <c r="H2167" s="550"/>
      <c r="I2167" s="326"/>
      <c r="J2167" s="326"/>
      <c r="K2167" s="326"/>
      <c r="M2167" s="463"/>
      <c r="N2167" s="464"/>
    </row>
    <row r="2168" spans="2:14" hidden="1" outlineLevel="1" x14ac:dyDescent="0.35">
      <c r="B2168" s="203"/>
      <c r="C2168" s="204"/>
      <c r="D2168" s="204"/>
      <c r="E2168" s="204"/>
      <c r="F2168" s="205"/>
      <c r="G2168" s="548"/>
      <c r="H2168" s="550"/>
      <c r="I2168" s="326"/>
      <c r="J2168" s="326"/>
      <c r="K2168" s="326"/>
      <c r="M2168" s="463"/>
      <c r="N2168" s="464"/>
    </row>
    <row r="2169" spans="2:14" hidden="1" outlineLevel="1" x14ac:dyDescent="0.35">
      <c r="B2169" s="203"/>
      <c r="C2169" s="204"/>
      <c r="D2169" s="204"/>
      <c r="E2169" s="204"/>
      <c r="F2169" s="205"/>
      <c r="G2169" s="548"/>
      <c r="H2169" s="550"/>
      <c r="I2169" s="326"/>
      <c r="J2169" s="326"/>
      <c r="K2169" s="326"/>
      <c r="M2169" s="463"/>
      <c r="N2169" s="464"/>
    </row>
    <row r="2170" spans="2:14" hidden="1" outlineLevel="1" x14ac:dyDescent="0.35">
      <c r="B2170" s="203"/>
      <c r="C2170" s="204"/>
      <c r="D2170" s="204"/>
      <c r="E2170" s="204"/>
      <c r="F2170" s="205"/>
      <c r="G2170" s="548"/>
      <c r="H2170" s="550"/>
      <c r="I2170" s="326"/>
      <c r="J2170" s="326"/>
      <c r="K2170" s="326"/>
      <c r="M2170" s="463"/>
      <c r="N2170" s="464"/>
    </row>
    <row r="2171" spans="2:14" hidden="1" outlineLevel="1" x14ac:dyDescent="0.35">
      <c r="B2171" s="203"/>
      <c r="C2171" s="204"/>
      <c r="D2171" s="204"/>
      <c r="E2171" s="204"/>
      <c r="F2171" s="205"/>
      <c r="G2171" s="548"/>
      <c r="H2171" s="550"/>
      <c r="I2171" s="326"/>
      <c r="J2171" s="326"/>
      <c r="K2171" s="326"/>
      <c r="M2171" s="463"/>
      <c r="N2171" s="464"/>
    </row>
    <row r="2172" spans="2:14" hidden="1" outlineLevel="1" x14ac:dyDescent="0.35">
      <c r="B2172" s="203"/>
      <c r="C2172" s="204"/>
      <c r="D2172" s="204"/>
      <c r="E2172" s="204"/>
      <c r="F2172" s="205"/>
      <c r="G2172" s="548"/>
      <c r="H2172" s="550"/>
      <c r="I2172" s="326"/>
      <c r="J2172" s="326"/>
      <c r="K2172" s="326"/>
      <c r="M2172" s="463"/>
      <c r="N2172" s="464"/>
    </row>
    <row r="2173" spans="2:14" hidden="1" outlineLevel="1" x14ac:dyDescent="0.35">
      <c r="B2173" s="203"/>
      <c r="C2173" s="204"/>
      <c r="D2173" s="204"/>
      <c r="E2173" s="204"/>
      <c r="F2173" s="205"/>
      <c r="G2173" s="548"/>
      <c r="H2173" s="550"/>
      <c r="I2173" s="326"/>
      <c r="J2173" s="326"/>
      <c r="K2173" s="326"/>
      <c r="M2173" s="463"/>
      <c r="N2173" s="464"/>
    </row>
    <row r="2174" spans="2:14" hidden="1" outlineLevel="1" x14ac:dyDescent="0.35">
      <c r="B2174" s="203"/>
      <c r="C2174" s="204"/>
      <c r="D2174" s="204"/>
      <c r="E2174" s="204"/>
      <c r="F2174" s="205"/>
      <c r="G2174" s="548"/>
      <c r="H2174" s="550"/>
      <c r="I2174" s="326"/>
      <c r="J2174" s="326"/>
      <c r="K2174" s="326"/>
      <c r="M2174" s="463"/>
      <c r="N2174" s="464"/>
    </row>
    <row r="2175" spans="2:14" hidden="1" outlineLevel="1" x14ac:dyDescent="0.35">
      <c r="B2175" s="203"/>
      <c r="C2175" s="204"/>
      <c r="D2175" s="204"/>
      <c r="E2175" s="204"/>
      <c r="F2175" s="205"/>
      <c r="G2175" s="548"/>
      <c r="H2175" s="550"/>
      <c r="I2175" s="326"/>
      <c r="J2175" s="326"/>
      <c r="K2175" s="326"/>
      <c r="M2175" s="463"/>
      <c r="N2175" s="464"/>
    </row>
    <row r="2176" spans="2:14" hidden="1" outlineLevel="1" x14ac:dyDescent="0.35">
      <c r="B2176" s="203"/>
      <c r="C2176" s="204"/>
      <c r="D2176" s="204"/>
      <c r="E2176" s="204"/>
      <c r="F2176" s="205"/>
      <c r="G2176" s="548"/>
      <c r="H2176" s="550"/>
      <c r="I2176" s="326"/>
      <c r="J2176" s="326"/>
      <c r="K2176" s="326"/>
      <c r="M2176" s="463"/>
      <c r="N2176" s="464"/>
    </row>
    <row r="2177" spans="2:14" hidden="1" outlineLevel="1" x14ac:dyDescent="0.35">
      <c r="B2177" s="203"/>
      <c r="C2177" s="204"/>
      <c r="D2177" s="204"/>
      <c r="E2177" s="204"/>
      <c r="F2177" s="205"/>
      <c r="G2177" s="548"/>
      <c r="H2177" s="550"/>
      <c r="I2177" s="326"/>
      <c r="J2177" s="326"/>
      <c r="K2177" s="326"/>
      <c r="M2177" s="463"/>
      <c r="N2177" s="464"/>
    </row>
    <row r="2178" spans="2:14" hidden="1" outlineLevel="1" x14ac:dyDescent="0.35">
      <c r="B2178" s="203"/>
      <c r="C2178" s="204"/>
      <c r="D2178" s="204"/>
      <c r="E2178" s="204"/>
      <c r="F2178" s="205"/>
      <c r="G2178" s="548"/>
      <c r="H2178" s="550"/>
      <c r="I2178" s="326"/>
      <c r="J2178" s="326"/>
      <c r="K2178" s="326"/>
      <c r="M2178" s="463"/>
      <c r="N2178" s="464"/>
    </row>
    <row r="2179" spans="2:14" hidden="1" outlineLevel="1" x14ac:dyDescent="0.35">
      <c r="B2179" s="203"/>
      <c r="C2179" s="204"/>
      <c r="D2179" s="204"/>
      <c r="E2179" s="204"/>
      <c r="F2179" s="205"/>
      <c r="G2179" s="548"/>
      <c r="H2179" s="550"/>
      <c r="I2179" s="326"/>
      <c r="J2179" s="326"/>
      <c r="K2179" s="326"/>
      <c r="M2179" s="463"/>
      <c r="N2179" s="464"/>
    </row>
    <row r="2180" spans="2:14" hidden="1" outlineLevel="1" x14ac:dyDescent="0.35">
      <c r="B2180" s="203"/>
      <c r="C2180" s="204"/>
      <c r="D2180" s="204"/>
      <c r="E2180" s="204"/>
      <c r="F2180" s="205"/>
      <c r="G2180" s="548"/>
      <c r="H2180" s="550"/>
      <c r="I2180" s="326"/>
      <c r="J2180" s="326"/>
      <c r="K2180" s="326"/>
      <c r="M2180" s="463"/>
      <c r="N2180" s="464"/>
    </row>
    <row r="2181" spans="2:14" hidden="1" outlineLevel="1" x14ac:dyDescent="0.35">
      <c r="B2181" s="203"/>
      <c r="C2181" s="204"/>
      <c r="D2181" s="204"/>
      <c r="E2181" s="204"/>
      <c r="F2181" s="205"/>
      <c r="G2181" s="548"/>
      <c r="H2181" s="550"/>
      <c r="I2181" s="326"/>
      <c r="J2181" s="326"/>
      <c r="K2181" s="326"/>
      <c r="M2181" s="463"/>
      <c r="N2181" s="464"/>
    </row>
    <row r="2182" spans="2:14" hidden="1" outlineLevel="1" x14ac:dyDescent="0.35">
      <c r="B2182" s="203"/>
      <c r="C2182" s="204"/>
      <c r="D2182" s="204"/>
      <c r="E2182" s="204"/>
      <c r="F2182" s="205"/>
      <c r="G2182" s="548"/>
      <c r="H2182" s="550"/>
      <c r="I2182" s="326"/>
      <c r="J2182" s="326"/>
      <c r="K2182" s="326"/>
      <c r="M2182" s="463"/>
      <c r="N2182" s="464"/>
    </row>
    <row r="2183" spans="2:14" hidden="1" outlineLevel="1" x14ac:dyDescent="0.35">
      <c r="B2183" s="203"/>
      <c r="C2183" s="204"/>
      <c r="D2183" s="204"/>
      <c r="E2183" s="204"/>
      <c r="F2183" s="205"/>
      <c r="G2183" s="548"/>
      <c r="H2183" s="550"/>
      <c r="I2183" s="326"/>
      <c r="J2183" s="326"/>
      <c r="K2183" s="326"/>
      <c r="M2183" s="463"/>
      <c r="N2183" s="464"/>
    </row>
    <row r="2184" spans="2:14" hidden="1" outlineLevel="1" x14ac:dyDescent="0.35">
      <c r="B2184" s="203"/>
      <c r="C2184" s="204"/>
      <c r="D2184" s="204"/>
      <c r="E2184" s="204"/>
      <c r="F2184" s="205"/>
      <c r="G2184" s="548"/>
      <c r="H2184" s="550"/>
      <c r="I2184" s="326"/>
      <c r="J2184" s="326"/>
      <c r="K2184" s="326"/>
      <c r="M2184" s="463"/>
      <c r="N2184" s="464"/>
    </row>
    <row r="2185" spans="2:14" hidden="1" outlineLevel="1" x14ac:dyDescent="0.35">
      <c r="B2185" s="203"/>
      <c r="C2185" s="204"/>
      <c r="D2185" s="204"/>
      <c r="E2185" s="204"/>
      <c r="F2185" s="205"/>
      <c r="G2185" s="548"/>
      <c r="H2185" s="550"/>
      <c r="I2185" s="326"/>
      <c r="J2185" s="326"/>
      <c r="K2185" s="326"/>
      <c r="M2185" s="463"/>
      <c r="N2185" s="464"/>
    </row>
    <row r="2186" spans="2:14" hidden="1" outlineLevel="1" x14ac:dyDescent="0.35">
      <c r="B2186" s="203"/>
      <c r="C2186" s="204"/>
      <c r="D2186" s="204"/>
      <c r="E2186" s="204"/>
      <c r="F2186" s="205"/>
      <c r="G2186" s="548"/>
      <c r="H2186" s="550"/>
      <c r="I2186" s="326"/>
      <c r="J2186" s="326"/>
      <c r="K2186" s="326"/>
      <c r="M2186" s="463"/>
      <c r="N2186" s="464"/>
    </row>
    <row r="2187" spans="2:14" hidden="1" outlineLevel="1" x14ac:dyDescent="0.35">
      <c r="B2187" s="203"/>
      <c r="C2187" s="204"/>
      <c r="D2187" s="204"/>
      <c r="E2187" s="204"/>
      <c r="F2187" s="205"/>
      <c r="G2187" s="548"/>
      <c r="H2187" s="550"/>
      <c r="I2187" s="326"/>
      <c r="J2187" s="326"/>
      <c r="K2187" s="326"/>
      <c r="M2187" s="463"/>
      <c r="N2187" s="464"/>
    </row>
    <row r="2188" spans="2:14" hidden="1" outlineLevel="1" x14ac:dyDescent="0.35">
      <c r="B2188" s="203"/>
      <c r="C2188" s="204"/>
      <c r="D2188" s="204"/>
      <c r="E2188" s="204"/>
      <c r="F2188" s="205"/>
      <c r="G2188" s="548"/>
      <c r="H2188" s="550"/>
      <c r="I2188" s="326"/>
      <c r="J2188" s="326"/>
      <c r="K2188" s="326"/>
      <c r="M2188" s="463"/>
      <c r="N2188" s="464"/>
    </row>
    <row r="2189" spans="2:14" hidden="1" outlineLevel="1" x14ac:dyDescent="0.35">
      <c r="B2189" s="203"/>
      <c r="C2189" s="204"/>
      <c r="D2189" s="204"/>
      <c r="E2189" s="204"/>
      <c r="F2189" s="205"/>
      <c r="G2189" s="548"/>
      <c r="H2189" s="550"/>
      <c r="I2189" s="326"/>
      <c r="J2189" s="326"/>
      <c r="K2189" s="326"/>
      <c r="M2189" s="463"/>
      <c r="N2189" s="464"/>
    </row>
    <row r="2190" spans="2:14" hidden="1" outlineLevel="1" x14ac:dyDescent="0.35">
      <c r="B2190" s="203"/>
      <c r="C2190" s="204"/>
      <c r="D2190" s="204"/>
      <c r="E2190" s="204"/>
      <c r="F2190" s="205"/>
      <c r="G2190" s="548"/>
      <c r="H2190" s="550"/>
      <c r="I2190" s="326"/>
      <c r="J2190" s="326"/>
      <c r="K2190" s="326"/>
      <c r="M2190" s="463"/>
      <c r="N2190" s="464"/>
    </row>
    <row r="2191" spans="2:14" hidden="1" outlineLevel="1" x14ac:dyDescent="0.35">
      <c r="B2191" s="203"/>
      <c r="C2191" s="204"/>
      <c r="D2191" s="204"/>
      <c r="E2191" s="204"/>
      <c r="F2191" s="205"/>
      <c r="G2191" s="548"/>
      <c r="H2191" s="550"/>
      <c r="I2191" s="326"/>
      <c r="J2191" s="326"/>
      <c r="K2191" s="326"/>
      <c r="M2191" s="463"/>
      <c r="N2191" s="464"/>
    </row>
    <row r="2192" spans="2:14" hidden="1" outlineLevel="1" x14ac:dyDescent="0.35">
      <c r="B2192" s="203"/>
      <c r="C2192" s="204"/>
      <c r="D2192" s="204"/>
      <c r="E2192" s="204"/>
      <c r="F2192" s="205"/>
      <c r="G2192" s="548"/>
      <c r="H2192" s="550"/>
      <c r="I2192" s="326"/>
      <c r="J2192" s="326"/>
      <c r="K2192" s="326"/>
      <c r="M2192" s="463"/>
      <c r="N2192" s="464"/>
    </row>
    <row r="2193" spans="2:14" hidden="1" outlineLevel="1" x14ac:dyDescent="0.35">
      <c r="B2193" s="203"/>
      <c r="C2193" s="204"/>
      <c r="D2193" s="204"/>
      <c r="E2193" s="204"/>
      <c r="F2193" s="205"/>
      <c r="G2193" s="548"/>
      <c r="H2193" s="550"/>
      <c r="I2193" s="326"/>
      <c r="J2193" s="326"/>
      <c r="K2193" s="326"/>
      <c r="M2193" s="463"/>
      <c r="N2193" s="464"/>
    </row>
    <row r="2194" spans="2:14" hidden="1" outlineLevel="1" x14ac:dyDescent="0.35">
      <c r="B2194" s="203"/>
      <c r="C2194" s="204"/>
      <c r="D2194" s="204"/>
      <c r="E2194" s="204"/>
      <c r="F2194" s="205"/>
      <c r="G2194" s="548"/>
      <c r="H2194" s="550"/>
      <c r="I2194" s="326"/>
      <c r="J2194" s="326"/>
      <c r="K2194" s="326"/>
      <c r="M2194" s="463"/>
      <c r="N2194" s="464"/>
    </row>
    <row r="2195" spans="2:14" hidden="1" outlineLevel="1" x14ac:dyDescent="0.35">
      <c r="B2195" s="203"/>
      <c r="C2195" s="204"/>
      <c r="D2195" s="204"/>
      <c r="E2195" s="204"/>
      <c r="F2195" s="205"/>
      <c r="G2195" s="548"/>
      <c r="H2195" s="550"/>
      <c r="I2195" s="326"/>
      <c r="J2195" s="326"/>
      <c r="K2195" s="326"/>
      <c r="M2195" s="463"/>
      <c r="N2195" s="464"/>
    </row>
    <row r="2196" spans="2:14" hidden="1" outlineLevel="1" x14ac:dyDescent="0.35">
      <c r="B2196" s="203"/>
      <c r="C2196" s="204"/>
      <c r="D2196" s="204"/>
      <c r="E2196" s="204"/>
      <c r="F2196" s="205"/>
      <c r="G2196" s="548"/>
      <c r="H2196" s="550"/>
      <c r="I2196" s="326"/>
      <c r="J2196" s="326"/>
      <c r="K2196" s="326"/>
      <c r="M2196" s="463"/>
      <c r="N2196" s="464"/>
    </row>
    <row r="2197" spans="2:14" hidden="1" outlineLevel="1" x14ac:dyDescent="0.35">
      <c r="B2197" s="203"/>
      <c r="C2197" s="204"/>
      <c r="D2197" s="204"/>
      <c r="E2197" s="204"/>
      <c r="F2197" s="205"/>
      <c r="G2197" s="548"/>
      <c r="H2197" s="550"/>
      <c r="I2197" s="326"/>
      <c r="J2197" s="326"/>
      <c r="K2197" s="326"/>
      <c r="M2197" s="463"/>
      <c r="N2197" s="464"/>
    </row>
    <row r="2198" spans="2:14" hidden="1" outlineLevel="1" x14ac:dyDescent="0.35">
      <c r="B2198" s="203"/>
      <c r="C2198" s="204"/>
      <c r="D2198" s="204"/>
      <c r="E2198" s="204"/>
      <c r="F2198" s="205"/>
      <c r="G2198" s="548"/>
      <c r="H2198" s="550"/>
      <c r="I2198" s="326"/>
      <c r="J2198" s="326"/>
      <c r="K2198" s="326"/>
      <c r="M2198" s="463"/>
      <c r="N2198" s="464"/>
    </row>
    <row r="2199" spans="2:14" hidden="1" outlineLevel="1" x14ac:dyDescent="0.35">
      <c r="B2199" s="203"/>
      <c r="C2199" s="204"/>
      <c r="D2199" s="204"/>
      <c r="E2199" s="204"/>
      <c r="F2199" s="205"/>
      <c r="G2199" s="548"/>
      <c r="H2199" s="550"/>
      <c r="I2199" s="326"/>
      <c r="J2199" s="326"/>
      <c r="K2199" s="326"/>
      <c r="M2199" s="463"/>
      <c r="N2199" s="464"/>
    </row>
    <row r="2200" spans="2:14" hidden="1" outlineLevel="1" x14ac:dyDescent="0.35">
      <c r="B2200" s="203"/>
      <c r="C2200" s="204"/>
      <c r="D2200" s="204"/>
      <c r="E2200" s="204"/>
      <c r="F2200" s="205"/>
      <c r="G2200" s="548"/>
      <c r="H2200" s="550"/>
      <c r="I2200" s="326"/>
      <c r="J2200" s="326"/>
      <c r="K2200" s="326"/>
      <c r="M2200" s="463"/>
      <c r="N2200" s="464"/>
    </row>
    <row r="2201" spans="2:14" hidden="1" outlineLevel="1" x14ac:dyDescent="0.35">
      <c r="B2201" s="203"/>
      <c r="C2201" s="204"/>
      <c r="D2201" s="204"/>
      <c r="E2201" s="204"/>
      <c r="F2201" s="205"/>
      <c r="G2201" s="548"/>
      <c r="H2201" s="550"/>
      <c r="I2201" s="326"/>
      <c r="J2201" s="326"/>
      <c r="K2201" s="326"/>
      <c r="M2201" s="463"/>
      <c r="N2201" s="464"/>
    </row>
    <row r="2202" spans="2:14" hidden="1" outlineLevel="1" x14ac:dyDescent="0.35">
      <c r="B2202" s="203"/>
      <c r="C2202" s="204"/>
      <c r="D2202" s="204"/>
      <c r="E2202" s="204"/>
      <c r="F2202" s="205"/>
      <c r="G2202" s="548"/>
      <c r="H2202" s="550"/>
      <c r="I2202" s="326"/>
      <c r="J2202" s="326"/>
      <c r="K2202" s="326"/>
      <c r="M2202" s="463"/>
      <c r="N2202" s="464"/>
    </row>
    <row r="2203" spans="2:14" hidden="1" outlineLevel="1" x14ac:dyDescent="0.35">
      <c r="B2203" s="203"/>
      <c r="C2203" s="204"/>
      <c r="D2203" s="204"/>
      <c r="E2203" s="204"/>
      <c r="F2203" s="205"/>
      <c r="G2203" s="548"/>
      <c r="H2203" s="550"/>
      <c r="I2203" s="326"/>
      <c r="J2203" s="326"/>
      <c r="K2203" s="326"/>
      <c r="M2203" s="463"/>
      <c r="N2203" s="464"/>
    </row>
    <row r="2204" spans="2:14" hidden="1" outlineLevel="1" x14ac:dyDescent="0.35">
      <c r="B2204" s="203"/>
      <c r="C2204" s="204"/>
      <c r="D2204" s="204"/>
      <c r="E2204" s="204"/>
      <c r="F2204" s="205"/>
      <c r="G2204" s="548"/>
      <c r="H2204" s="550"/>
      <c r="I2204" s="326"/>
      <c r="J2204" s="326"/>
      <c r="K2204" s="326"/>
      <c r="M2204" s="463"/>
      <c r="N2204" s="464"/>
    </row>
    <row r="2205" spans="2:14" hidden="1" outlineLevel="1" x14ac:dyDescent="0.35">
      <c r="B2205" s="203"/>
      <c r="C2205" s="204"/>
      <c r="D2205" s="204"/>
      <c r="E2205" s="204"/>
      <c r="F2205" s="205"/>
      <c r="G2205" s="548"/>
      <c r="H2205" s="550"/>
      <c r="I2205" s="326"/>
      <c r="J2205" s="326"/>
      <c r="K2205" s="326"/>
      <c r="M2205" s="463"/>
      <c r="N2205" s="464"/>
    </row>
    <row r="2206" spans="2:14" hidden="1" outlineLevel="1" x14ac:dyDescent="0.35">
      <c r="B2206" s="203"/>
      <c r="C2206" s="204"/>
      <c r="D2206" s="204"/>
      <c r="E2206" s="204"/>
      <c r="F2206" s="205"/>
      <c r="G2206" s="548"/>
      <c r="H2206" s="550"/>
      <c r="I2206" s="326"/>
      <c r="J2206" s="326"/>
      <c r="K2206" s="326"/>
      <c r="M2206" s="463"/>
      <c r="N2206" s="464"/>
    </row>
    <row r="2207" spans="2:14" hidden="1" outlineLevel="1" x14ac:dyDescent="0.35">
      <c r="B2207" s="203"/>
      <c r="C2207" s="204"/>
      <c r="D2207" s="204"/>
      <c r="E2207" s="204"/>
      <c r="F2207" s="205"/>
      <c r="G2207" s="548"/>
      <c r="H2207" s="550"/>
      <c r="I2207" s="326"/>
      <c r="J2207" s="326"/>
      <c r="K2207" s="326"/>
      <c r="M2207" s="463"/>
      <c r="N2207" s="464"/>
    </row>
    <row r="2208" spans="2:14" hidden="1" outlineLevel="1" x14ac:dyDescent="0.35">
      <c r="B2208" s="203"/>
      <c r="C2208" s="204"/>
      <c r="D2208" s="204"/>
      <c r="E2208" s="204"/>
      <c r="F2208" s="205"/>
      <c r="G2208" s="548"/>
      <c r="H2208" s="550"/>
      <c r="I2208" s="326"/>
      <c r="J2208" s="326"/>
      <c r="K2208" s="326"/>
      <c r="M2208" s="463"/>
      <c r="N2208" s="464"/>
    </row>
    <row r="2209" spans="2:14" hidden="1" outlineLevel="1" x14ac:dyDescent="0.35">
      <c r="B2209" s="203"/>
      <c r="C2209" s="204"/>
      <c r="D2209" s="204"/>
      <c r="E2209" s="204"/>
      <c r="F2209" s="205"/>
      <c r="G2209" s="548"/>
      <c r="H2209" s="550"/>
      <c r="I2209" s="326"/>
      <c r="J2209" s="326"/>
      <c r="K2209" s="326"/>
      <c r="M2209" s="463"/>
      <c r="N2209" s="464"/>
    </row>
    <row r="2210" spans="2:14" hidden="1" outlineLevel="1" x14ac:dyDescent="0.35">
      <c r="B2210" s="203"/>
      <c r="C2210" s="204"/>
      <c r="D2210" s="204"/>
      <c r="E2210" s="204"/>
      <c r="F2210" s="205"/>
      <c r="G2210" s="548"/>
      <c r="H2210" s="550"/>
      <c r="I2210" s="326"/>
      <c r="J2210" s="326"/>
      <c r="K2210" s="326"/>
      <c r="M2210" s="463"/>
      <c r="N2210" s="464"/>
    </row>
    <row r="2211" spans="2:14" hidden="1" outlineLevel="1" x14ac:dyDescent="0.35">
      <c r="B2211" s="203"/>
      <c r="C2211" s="204"/>
      <c r="D2211" s="204"/>
      <c r="E2211" s="204"/>
      <c r="F2211" s="205"/>
      <c r="G2211" s="548"/>
      <c r="H2211" s="550"/>
      <c r="I2211" s="326"/>
      <c r="J2211" s="326"/>
      <c r="K2211" s="326"/>
      <c r="M2211" s="463"/>
      <c r="N2211" s="464"/>
    </row>
    <row r="2212" spans="2:14" hidden="1" outlineLevel="1" x14ac:dyDescent="0.35">
      <c r="B2212" s="203"/>
      <c r="C2212" s="204"/>
      <c r="D2212" s="204"/>
      <c r="E2212" s="204"/>
      <c r="F2212" s="205"/>
      <c r="G2212" s="548"/>
      <c r="H2212" s="550"/>
      <c r="I2212" s="326"/>
      <c r="J2212" s="326"/>
      <c r="K2212" s="326"/>
      <c r="M2212" s="463"/>
      <c r="N2212" s="464"/>
    </row>
    <row r="2213" spans="2:14" hidden="1" outlineLevel="1" x14ac:dyDescent="0.35">
      <c r="B2213" s="203"/>
      <c r="C2213" s="204"/>
      <c r="D2213" s="204"/>
      <c r="E2213" s="204"/>
      <c r="F2213" s="205"/>
      <c r="G2213" s="548"/>
      <c r="H2213" s="550"/>
      <c r="I2213" s="326"/>
      <c r="J2213" s="326"/>
      <c r="K2213" s="326"/>
      <c r="M2213" s="463"/>
      <c r="N2213" s="464"/>
    </row>
    <row r="2214" spans="2:14" hidden="1" outlineLevel="1" x14ac:dyDescent="0.35">
      <c r="B2214" s="203"/>
      <c r="C2214" s="204"/>
      <c r="D2214" s="204"/>
      <c r="E2214" s="204"/>
      <c r="F2214" s="205"/>
      <c r="G2214" s="548"/>
      <c r="H2214" s="550"/>
      <c r="I2214" s="326"/>
      <c r="J2214" s="326"/>
      <c r="K2214" s="326"/>
      <c r="M2214" s="463"/>
      <c r="N2214" s="464"/>
    </row>
    <row r="2215" spans="2:14" hidden="1" outlineLevel="1" x14ac:dyDescent="0.35">
      <c r="B2215" s="203"/>
      <c r="C2215" s="204"/>
      <c r="D2215" s="204"/>
      <c r="E2215" s="204"/>
      <c r="F2215" s="205"/>
      <c r="G2215" s="548"/>
      <c r="H2215" s="550"/>
      <c r="I2215" s="326"/>
      <c r="J2215" s="326"/>
      <c r="K2215" s="326"/>
      <c r="M2215" s="463"/>
      <c r="N2215" s="464"/>
    </row>
    <row r="2216" spans="2:14" hidden="1" outlineLevel="1" x14ac:dyDescent="0.35">
      <c r="B2216" s="203"/>
      <c r="C2216" s="204"/>
      <c r="D2216" s="204"/>
      <c r="E2216" s="204"/>
      <c r="F2216" s="205"/>
      <c r="G2216" s="548"/>
      <c r="H2216" s="550"/>
      <c r="I2216" s="326"/>
      <c r="J2216" s="326"/>
      <c r="K2216" s="326"/>
      <c r="M2216" s="463"/>
      <c r="N2216" s="464"/>
    </row>
    <row r="2217" spans="2:14" hidden="1" outlineLevel="1" x14ac:dyDescent="0.35">
      <c r="B2217" s="203"/>
      <c r="C2217" s="204"/>
      <c r="D2217" s="204"/>
      <c r="E2217" s="204"/>
      <c r="F2217" s="205"/>
      <c r="G2217" s="548"/>
      <c r="H2217" s="550"/>
      <c r="I2217" s="326"/>
      <c r="J2217" s="326"/>
      <c r="K2217" s="326"/>
      <c r="M2217" s="463"/>
      <c r="N2217" s="464"/>
    </row>
    <row r="2218" spans="2:14" hidden="1" outlineLevel="1" x14ac:dyDescent="0.35">
      <c r="B2218" s="203"/>
      <c r="C2218" s="204"/>
      <c r="D2218" s="204"/>
      <c r="E2218" s="204"/>
      <c r="F2218" s="205"/>
      <c r="G2218" s="548"/>
      <c r="H2218" s="550"/>
      <c r="I2218" s="326"/>
      <c r="J2218" s="326"/>
      <c r="K2218" s="326"/>
      <c r="M2218" s="463"/>
      <c r="N2218" s="464"/>
    </row>
    <row r="2219" spans="2:14" hidden="1" outlineLevel="1" x14ac:dyDescent="0.35">
      <c r="B2219" s="203"/>
      <c r="C2219" s="204"/>
      <c r="D2219" s="204"/>
      <c r="E2219" s="204"/>
      <c r="F2219" s="205"/>
      <c r="G2219" s="548"/>
      <c r="H2219" s="550"/>
      <c r="I2219" s="326"/>
      <c r="J2219" s="326"/>
      <c r="K2219" s="326"/>
      <c r="M2219" s="463"/>
      <c r="N2219" s="464"/>
    </row>
    <row r="2220" spans="2:14" hidden="1" outlineLevel="1" x14ac:dyDescent="0.35">
      <c r="B2220" s="203"/>
      <c r="C2220" s="204"/>
      <c r="D2220" s="204"/>
      <c r="E2220" s="204"/>
      <c r="F2220" s="205"/>
      <c r="G2220" s="548"/>
      <c r="H2220" s="550"/>
      <c r="I2220" s="326"/>
      <c r="J2220" s="326"/>
      <c r="K2220" s="326"/>
      <c r="M2220" s="463"/>
      <c r="N2220" s="464"/>
    </row>
    <row r="2221" spans="2:14" hidden="1" outlineLevel="1" x14ac:dyDescent="0.35">
      <c r="B2221" s="203"/>
      <c r="C2221" s="204"/>
      <c r="D2221" s="204"/>
      <c r="E2221" s="204"/>
      <c r="F2221" s="205"/>
      <c r="G2221" s="548"/>
      <c r="H2221" s="550"/>
      <c r="I2221" s="326"/>
      <c r="J2221" s="326"/>
      <c r="K2221" s="326"/>
      <c r="M2221" s="463"/>
      <c r="N2221" s="464"/>
    </row>
    <row r="2222" spans="2:14" hidden="1" outlineLevel="1" x14ac:dyDescent="0.35">
      <c r="B2222" s="203"/>
      <c r="C2222" s="204"/>
      <c r="D2222" s="204"/>
      <c r="E2222" s="204"/>
      <c r="F2222" s="205"/>
      <c r="G2222" s="548"/>
      <c r="H2222" s="550"/>
      <c r="I2222" s="326"/>
      <c r="J2222" s="326"/>
      <c r="K2222" s="326"/>
      <c r="M2222" s="463"/>
      <c r="N2222" s="464"/>
    </row>
    <row r="2223" spans="2:14" hidden="1" outlineLevel="1" x14ac:dyDescent="0.35">
      <c r="B2223" s="203"/>
      <c r="C2223" s="204"/>
      <c r="D2223" s="204"/>
      <c r="E2223" s="204"/>
      <c r="F2223" s="205"/>
      <c r="G2223" s="548"/>
      <c r="H2223" s="550"/>
      <c r="I2223" s="326"/>
      <c r="J2223" s="326"/>
      <c r="K2223" s="326"/>
      <c r="M2223" s="463"/>
      <c r="N2223" s="464"/>
    </row>
    <row r="2224" spans="2:14" hidden="1" outlineLevel="1" x14ac:dyDescent="0.35">
      <c r="B2224" s="203"/>
      <c r="C2224" s="204"/>
      <c r="D2224" s="204"/>
      <c r="E2224" s="204"/>
      <c r="F2224" s="205"/>
      <c r="G2224" s="548"/>
      <c r="H2224" s="550"/>
      <c r="I2224" s="326"/>
      <c r="J2224" s="326"/>
      <c r="K2224" s="326"/>
      <c r="M2224" s="463"/>
      <c r="N2224" s="464"/>
    </row>
    <row r="2225" spans="2:14" hidden="1" outlineLevel="1" x14ac:dyDescent="0.35">
      <c r="B2225" s="203"/>
      <c r="C2225" s="204"/>
      <c r="D2225" s="204"/>
      <c r="E2225" s="204"/>
      <c r="F2225" s="205"/>
      <c r="G2225" s="548"/>
      <c r="H2225" s="550"/>
      <c r="I2225" s="326"/>
      <c r="J2225" s="326"/>
      <c r="K2225" s="326"/>
      <c r="M2225" s="463"/>
      <c r="N2225" s="464"/>
    </row>
    <row r="2226" spans="2:14" hidden="1" outlineLevel="1" x14ac:dyDescent="0.35">
      <c r="B2226" s="203"/>
      <c r="C2226" s="204"/>
      <c r="D2226" s="204"/>
      <c r="E2226" s="204"/>
      <c r="F2226" s="205"/>
      <c r="G2226" s="548"/>
      <c r="H2226" s="550"/>
      <c r="I2226" s="326"/>
      <c r="J2226" s="326"/>
      <c r="K2226" s="326"/>
      <c r="M2226" s="463"/>
      <c r="N2226" s="464"/>
    </row>
    <row r="2227" spans="2:14" hidden="1" outlineLevel="1" x14ac:dyDescent="0.35">
      <c r="B2227" s="203"/>
      <c r="C2227" s="204"/>
      <c r="D2227" s="204"/>
      <c r="E2227" s="204"/>
      <c r="F2227" s="205"/>
      <c r="G2227" s="548"/>
      <c r="H2227" s="550"/>
      <c r="I2227" s="326"/>
      <c r="J2227" s="326"/>
      <c r="K2227" s="326"/>
      <c r="M2227" s="463"/>
      <c r="N2227" s="464"/>
    </row>
    <row r="2228" spans="2:14" hidden="1" outlineLevel="1" x14ac:dyDescent="0.35">
      <c r="B2228" s="203"/>
      <c r="C2228" s="204"/>
      <c r="D2228" s="204"/>
      <c r="E2228" s="204"/>
      <c r="F2228" s="205"/>
      <c r="G2228" s="548"/>
      <c r="H2228" s="550"/>
      <c r="I2228" s="326"/>
      <c r="J2228" s="326"/>
      <c r="K2228" s="326"/>
      <c r="M2228" s="463"/>
      <c r="N2228" s="464"/>
    </row>
    <row r="2229" spans="2:14" hidden="1" outlineLevel="1" x14ac:dyDescent="0.35">
      <c r="B2229" s="203"/>
      <c r="C2229" s="204"/>
      <c r="D2229" s="204"/>
      <c r="E2229" s="204"/>
      <c r="F2229" s="205"/>
      <c r="G2229" s="548"/>
      <c r="H2229" s="550"/>
      <c r="I2229" s="326"/>
      <c r="J2229" s="326"/>
      <c r="K2229" s="326"/>
      <c r="M2229" s="463"/>
      <c r="N2229" s="464"/>
    </row>
    <row r="2230" spans="2:14" hidden="1" outlineLevel="1" x14ac:dyDescent="0.35">
      <c r="B2230" s="203"/>
      <c r="C2230" s="204"/>
      <c r="D2230" s="204"/>
      <c r="E2230" s="204"/>
      <c r="F2230" s="205"/>
      <c r="G2230" s="548"/>
      <c r="H2230" s="550"/>
      <c r="I2230" s="326"/>
      <c r="J2230" s="326"/>
      <c r="K2230" s="326"/>
      <c r="M2230" s="463"/>
      <c r="N2230" s="464"/>
    </row>
    <row r="2231" spans="2:14" hidden="1" outlineLevel="1" x14ac:dyDescent="0.35">
      <c r="B2231" s="203"/>
      <c r="C2231" s="204"/>
      <c r="D2231" s="204"/>
      <c r="E2231" s="204"/>
      <c r="F2231" s="205"/>
      <c r="G2231" s="548"/>
      <c r="H2231" s="550"/>
      <c r="I2231" s="326"/>
      <c r="J2231" s="326"/>
      <c r="K2231" s="326"/>
      <c r="M2231" s="463"/>
      <c r="N2231" s="464"/>
    </row>
    <row r="2232" spans="2:14" hidden="1" outlineLevel="1" x14ac:dyDescent="0.35">
      <c r="B2232" s="203"/>
      <c r="C2232" s="204"/>
      <c r="D2232" s="204"/>
      <c r="E2232" s="204"/>
      <c r="F2232" s="205"/>
      <c r="G2232" s="548"/>
      <c r="H2232" s="550"/>
      <c r="I2232" s="326"/>
      <c r="J2232" s="326"/>
      <c r="K2232" s="326"/>
      <c r="M2232" s="463"/>
      <c r="N2232" s="464"/>
    </row>
    <row r="2233" spans="2:14" hidden="1" outlineLevel="1" x14ac:dyDescent="0.35">
      <c r="B2233" s="203"/>
      <c r="C2233" s="204"/>
      <c r="D2233" s="204"/>
      <c r="E2233" s="204"/>
      <c r="F2233" s="205"/>
      <c r="G2233" s="548"/>
      <c r="H2233" s="550"/>
      <c r="I2233" s="326"/>
      <c r="J2233" s="326"/>
      <c r="K2233" s="326"/>
      <c r="M2233" s="463"/>
      <c r="N2233" s="464"/>
    </row>
    <row r="2234" spans="2:14" hidden="1" outlineLevel="1" x14ac:dyDescent="0.35">
      <c r="B2234" s="203"/>
      <c r="C2234" s="204"/>
      <c r="D2234" s="204"/>
      <c r="E2234" s="204"/>
      <c r="F2234" s="205"/>
      <c r="G2234" s="548"/>
      <c r="H2234" s="550"/>
      <c r="I2234" s="326"/>
      <c r="J2234" s="326"/>
      <c r="K2234" s="326"/>
      <c r="M2234" s="463"/>
      <c r="N2234" s="464"/>
    </row>
    <row r="2235" spans="2:14" hidden="1" outlineLevel="1" x14ac:dyDescent="0.35">
      <c r="B2235" s="203"/>
      <c r="C2235" s="204"/>
      <c r="D2235" s="204"/>
      <c r="E2235" s="204"/>
      <c r="F2235" s="205"/>
      <c r="G2235" s="548"/>
      <c r="H2235" s="550"/>
      <c r="I2235" s="326"/>
      <c r="J2235" s="326"/>
      <c r="K2235" s="326"/>
      <c r="M2235" s="463"/>
      <c r="N2235" s="464"/>
    </row>
    <row r="2236" spans="2:14" hidden="1" outlineLevel="1" x14ac:dyDescent="0.35">
      <c r="B2236" s="203"/>
      <c r="C2236" s="204"/>
      <c r="D2236" s="204"/>
      <c r="E2236" s="204"/>
      <c r="F2236" s="205"/>
      <c r="G2236" s="548"/>
      <c r="H2236" s="550"/>
      <c r="I2236" s="326"/>
      <c r="J2236" s="326"/>
      <c r="K2236" s="326"/>
      <c r="M2236" s="463"/>
      <c r="N2236" s="464"/>
    </row>
    <row r="2237" spans="2:14" hidden="1" outlineLevel="1" x14ac:dyDescent="0.35">
      <c r="B2237" s="203"/>
      <c r="C2237" s="204"/>
      <c r="D2237" s="204"/>
      <c r="E2237" s="204"/>
      <c r="F2237" s="205"/>
      <c r="G2237" s="548"/>
      <c r="H2237" s="550"/>
      <c r="I2237" s="326"/>
      <c r="J2237" s="326"/>
      <c r="K2237" s="326"/>
      <c r="M2237" s="463"/>
      <c r="N2237" s="464"/>
    </row>
    <row r="2238" spans="2:14" hidden="1" outlineLevel="1" x14ac:dyDescent="0.35">
      <c r="B2238" s="203"/>
      <c r="C2238" s="204"/>
      <c r="D2238" s="204"/>
      <c r="E2238" s="204"/>
      <c r="F2238" s="205"/>
      <c r="G2238" s="548"/>
      <c r="H2238" s="550"/>
      <c r="I2238" s="326"/>
      <c r="J2238" s="326"/>
      <c r="K2238" s="326"/>
      <c r="M2238" s="463"/>
      <c r="N2238" s="464"/>
    </row>
    <row r="2239" spans="2:14" hidden="1" outlineLevel="1" x14ac:dyDescent="0.35">
      <c r="B2239" s="203"/>
      <c r="C2239" s="204"/>
      <c r="D2239" s="204"/>
      <c r="E2239" s="204"/>
      <c r="F2239" s="205"/>
      <c r="G2239" s="548"/>
      <c r="H2239" s="550"/>
      <c r="I2239" s="326"/>
      <c r="J2239" s="326"/>
      <c r="K2239" s="326"/>
      <c r="M2239" s="463"/>
      <c r="N2239" s="464"/>
    </row>
    <row r="2240" spans="2:14" hidden="1" outlineLevel="1" x14ac:dyDescent="0.35">
      <c r="B2240" s="203"/>
      <c r="C2240" s="204"/>
      <c r="D2240" s="204"/>
      <c r="E2240" s="204"/>
      <c r="F2240" s="205"/>
      <c r="G2240" s="548"/>
      <c r="H2240" s="550"/>
      <c r="I2240" s="326"/>
      <c r="J2240" s="326"/>
      <c r="K2240" s="326"/>
      <c r="M2240" s="463"/>
      <c r="N2240" s="464"/>
    </row>
    <row r="2241" spans="2:14" hidden="1" outlineLevel="1" x14ac:dyDescent="0.35">
      <c r="B2241" s="203"/>
      <c r="C2241" s="204"/>
      <c r="D2241" s="204"/>
      <c r="E2241" s="204"/>
      <c r="F2241" s="205"/>
      <c r="G2241" s="548"/>
      <c r="H2241" s="550"/>
      <c r="I2241" s="326"/>
      <c r="J2241" s="326"/>
      <c r="K2241" s="326"/>
      <c r="M2241" s="463"/>
      <c r="N2241" s="464"/>
    </row>
    <row r="2242" spans="2:14" hidden="1" outlineLevel="1" x14ac:dyDescent="0.35">
      <c r="B2242" s="203"/>
      <c r="C2242" s="204"/>
      <c r="D2242" s="204"/>
      <c r="E2242" s="204"/>
      <c r="F2242" s="205"/>
      <c r="G2242" s="548"/>
      <c r="H2242" s="550"/>
      <c r="I2242" s="326"/>
      <c r="J2242" s="326"/>
      <c r="K2242" s="326"/>
      <c r="M2242" s="463"/>
      <c r="N2242" s="464"/>
    </row>
    <row r="2243" spans="2:14" hidden="1" outlineLevel="1" x14ac:dyDescent="0.35">
      <c r="B2243" s="203"/>
      <c r="C2243" s="204"/>
      <c r="D2243" s="204"/>
      <c r="E2243" s="204"/>
      <c r="F2243" s="205"/>
      <c r="G2243" s="548"/>
      <c r="H2243" s="550"/>
      <c r="I2243" s="326"/>
      <c r="J2243" s="326"/>
      <c r="K2243" s="326"/>
      <c r="M2243" s="463"/>
      <c r="N2243" s="464"/>
    </row>
    <row r="2244" spans="2:14" hidden="1" outlineLevel="1" x14ac:dyDescent="0.35">
      <c r="B2244" s="203"/>
      <c r="C2244" s="204"/>
      <c r="D2244" s="204"/>
      <c r="E2244" s="204"/>
      <c r="F2244" s="205"/>
      <c r="G2244" s="548"/>
      <c r="H2244" s="550"/>
      <c r="I2244" s="326"/>
      <c r="J2244" s="326"/>
      <c r="K2244" s="326"/>
      <c r="M2244" s="463"/>
      <c r="N2244" s="464"/>
    </row>
    <row r="2245" spans="2:14" hidden="1" outlineLevel="1" x14ac:dyDescent="0.35">
      <c r="B2245" s="203"/>
      <c r="C2245" s="204"/>
      <c r="D2245" s="204"/>
      <c r="E2245" s="204"/>
      <c r="F2245" s="205"/>
      <c r="G2245" s="548"/>
      <c r="H2245" s="550"/>
      <c r="I2245" s="326"/>
      <c r="J2245" s="326"/>
      <c r="K2245" s="326"/>
      <c r="M2245" s="463"/>
      <c r="N2245" s="464"/>
    </row>
    <row r="2246" spans="2:14" hidden="1" outlineLevel="1" x14ac:dyDescent="0.35">
      <c r="B2246" s="203"/>
      <c r="C2246" s="204"/>
      <c r="D2246" s="204"/>
      <c r="E2246" s="204"/>
      <c r="F2246" s="205"/>
      <c r="G2246" s="548"/>
      <c r="H2246" s="550"/>
      <c r="I2246" s="326"/>
      <c r="J2246" s="326"/>
      <c r="K2246" s="326"/>
      <c r="M2246" s="463"/>
      <c r="N2246" s="464"/>
    </row>
    <row r="2247" spans="2:14" hidden="1" outlineLevel="1" x14ac:dyDescent="0.35">
      <c r="B2247" s="203"/>
      <c r="C2247" s="204"/>
      <c r="D2247" s="204"/>
      <c r="E2247" s="204"/>
      <c r="F2247" s="205"/>
      <c r="G2247" s="548"/>
      <c r="H2247" s="550"/>
      <c r="I2247" s="326"/>
      <c r="J2247" s="326"/>
      <c r="K2247" s="326"/>
      <c r="M2247" s="463"/>
      <c r="N2247" s="464"/>
    </row>
    <row r="2248" spans="2:14" hidden="1" outlineLevel="1" x14ac:dyDescent="0.35">
      <c r="B2248" s="203"/>
      <c r="C2248" s="204"/>
      <c r="D2248" s="204"/>
      <c r="E2248" s="204"/>
      <c r="F2248" s="205"/>
      <c r="G2248" s="548"/>
      <c r="H2248" s="550"/>
      <c r="I2248" s="326"/>
      <c r="J2248" s="326"/>
      <c r="K2248" s="326"/>
      <c r="M2248" s="463"/>
      <c r="N2248" s="464"/>
    </row>
    <row r="2249" spans="2:14" hidden="1" outlineLevel="1" x14ac:dyDescent="0.35">
      <c r="B2249" s="203"/>
      <c r="C2249" s="204"/>
      <c r="D2249" s="204"/>
      <c r="E2249" s="204"/>
      <c r="F2249" s="205"/>
      <c r="G2249" s="548"/>
      <c r="H2249" s="550"/>
      <c r="I2249" s="326"/>
      <c r="J2249" s="326"/>
      <c r="K2249" s="326"/>
      <c r="M2249" s="463"/>
      <c r="N2249" s="464"/>
    </row>
    <row r="2250" spans="2:14" hidden="1" outlineLevel="1" x14ac:dyDescent="0.35">
      <c r="B2250" s="203"/>
      <c r="C2250" s="204"/>
      <c r="D2250" s="204"/>
      <c r="E2250" s="204"/>
      <c r="F2250" s="205"/>
      <c r="G2250" s="548"/>
      <c r="H2250" s="550"/>
      <c r="I2250" s="326"/>
      <c r="J2250" s="326"/>
      <c r="K2250" s="326"/>
      <c r="M2250" s="463"/>
      <c r="N2250" s="464"/>
    </row>
    <row r="2251" spans="2:14" hidden="1" outlineLevel="1" x14ac:dyDescent="0.35">
      <c r="B2251" s="203"/>
      <c r="C2251" s="204"/>
      <c r="D2251" s="204"/>
      <c r="E2251" s="204"/>
      <c r="F2251" s="205"/>
      <c r="G2251" s="548"/>
      <c r="H2251" s="550"/>
      <c r="I2251" s="326"/>
      <c r="J2251" s="326"/>
      <c r="K2251" s="326"/>
      <c r="M2251" s="463"/>
      <c r="N2251" s="464"/>
    </row>
    <row r="2252" spans="2:14" hidden="1" outlineLevel="1" x14ac:dyDescent="0.35">
      <c r="B2252" s="203"/>
      <c r="C2252" s="204"/>
      <c r="D2252" s="204"/>
      <c r="E2252" s="204"/>
      <c r="F2252" s="205"/>
      <c r="G2252" s="548"/>
      <c r="H2252" s="550"/>
      <c r="I2252" s="326"/>
      <c r="J2252" s="326"/>
      <c r="K2252" s="326"/>
      <c r="M2252" s="463"/>
      <c r="N2252" s="464"/>
    </row>
    <row r="2253" spans="2:14" hidden="1" outlineLevel="1" x14ac:dyDescent="0.35">
      <c r="B2253" s="203"/>
      <c r="C2253" s="204"/>
      <c r="D2253" s="204"/>
      <c r="E2253" s="204"/>
      <c r="F2253" s="205"/>
      <c r="G2253" s="548"/>
      <c r="H2253" s="550"/>
      <c r="I2253" s="326"/>
      <c r="J2253" s="326"/>
      <c r="K2253" s="326"/>
      <c r="M2253" s="463"/>
      <c r="N2253" s="464"/>
    </row>
    <row r="2254" spans="2:14" hidden="1" outlineLevel="1" x14ac:dyDescent="0.35">
      <c r="B2254" s="203"/>
      <c r="C2254" s="204"/>
      <c r="D2254" s="204"/>
      <c r="E2254" s="204"/>
      <c r="F2254" s="205"/>
      <c r="G2254" s="548"/>
      <c r="H2254" s="550"/>
      <c r="I2254" s="326"/>
      <c r="J2254" s="326"/>
      <c r="K2254" s="326"/>
      <c r="M2254" s="463"/>
      <c r="N2254" s="464"/>
    </row>
    <row r="2255" spans="2:14" hidden="1" outlineLevel="1" x14ac:dyDescent="0.35">
      <c r="B2255" s="203"/>
      <c r="C2255" s="204"/>
      <c r="D2255" s="204"/>
      <c r="E2255" s="204"/>
      <c r="F2255" s="205"/>
      <c r="G2255" s="548"/>
      <c r="H2255" s="550"/>
      <c r="I2255" s="326"/>
      <c r="J2255" s="326"/>
      <c r="K2255" s="326"/>
      <c r="M2255" s="463"/>
      <c r="N2255" s="464"/>
    </row>
    <row r="2256" spans="2:14" hidden="1" outlineLevel="1" x14ac:dyDescent="0.35">
      <c r="B2256" s="203"/>
      <c r="C2256" s="204"/>
      <c r="D2256" s="204"/>
      <c r="E2256" s="204"/>
      <c r="F2256" s="205"/>
      <c r="G2256" s="548"/>
      <c r="H2256" s="550"/>
      <c r="I2256" s="326"/>
      <c r="J2256" s="326"/>
      <c r="K2256" s="326"/>
      <c r="M2256" s="463"/>
      <c r="N2256" s="464"/>
    </row>
    <row r="2257" spans="2:14" hidden="1" outlineLevel="1" x14ac:dyDescent="0.35">
      <c r="B2257" s="203"/>
      <c r="C2257" s="204"/>
      <c r="D2257" s="204"/>
      <c r="E2257" s="204"/>
      <c r="F2257" s="205"/>
      <c r="G2257" s="548"/>
      <c r="H2257" s="550"/>
      <c r="I2257" s="326"/>
      <c r="J2257" s="326"/>
      <c r="K2257" s="326"/>
      <c r="M2257" s="463"/>
      <c r="N2257" s="464"/>
    </row>
    <row r="2258" spans="2:14" hidden="1" outlineLevel="1" x14ac:dyDescent="0.35">
      <c r="B2258" s="203"/>
      <c r="C2258" s="204"/>
      <c r="D2258" s="204"/>
      <c r="E2258" s="204"/>
      <c r="F2258" s="205"/>
      <c r="G2258" s="548"/>
      <c r="H2258" s="550"/>
      <c r="I2258" s="326"/>
      <c r="J2258" s="326"/>
      <c r="K2258" s="326"/>
      <c r="M2258" s="463"/>
      <c r="N2258" s="464"/>
    </row>
    <row r="2259" spans="2:14" hidden="1" outlineLevel="1" x14ac:dyDescent="0.35">
      <c r="B2259" s="203"/>
      <c r="C2259" s="204"/>
      <c r="D2259" s="204"/>
      <c r="E2259" s="204"/>
      <c r="F2259" s="205"/>
      <c r="G2259" s="548"/>
      <c r="H2259" s="550"/>
      <c r="I2259" s="326"/>
      <c r="J2259" s="326"/>
      <c r="K2259" s="326"/>
      <c r="M2259" s="463"/>
      <c r="N2259" s="464"/>
    </row>
    <row r="2260" spans="2:14" hidden="1" outlineLevel="1" x14ac:dyDescent="0.35">
      <c r="B2260" s="203"/>
      <c r="C2260" s="204"/>
      <c r="D2260" s="204"/>
      <c r="E2260" s="204"/>
      <c r="F2260" s="205"/>
      <c r="G2260" s="548"/>
      <c r="H2260" s="550"/>
      <c r="I2260" s="326"/>
      <c r="J2260" s="326"/>
      <c r="K2260" s="326"/>
      <c r="M2260" s="463"/>
      <c r="N2260" s="464"/>
    </row>
    <row r="2261" spans="2:14" hidden="1" outlineLevel="1" x14ac:dyDescent="0.35">
      <c r="B2261" s="203"/>
      <c r="C2261" s="204"/>
      <c r="D2261" s="204"/>
      <c r="E2261" s="204"/>
      <c r="F2261" s="205"/>
      <c r="G2261" s="548"/>
      <c r="H2261" s="550"/>
      <c r="I2261" s="326"/>
      <c r="J2261" s="326"/>
      <c r="K2261" s="326"/>
      <c r="M2261" s="463"/>
      <c r="N2261" s="464"/>
    </row>
    <row r="2262" spans="2:14" hidden="1" outlineLevel="1" x14ac:dyDescent="0.35">
      <c r="B2262" s="203"/>
      <c r="C2262" s="204"/>
      <c r="D2262" s="204"/>
      <c r="E2262" s="204"/>
      <c r="F2262" s="205"/>
      <c r="G2262" s="548"/>
      <c r="H2262" s="550"/>
      <c r="I2262" s="326"/>
      <c r="J2262" s="326"/>
      <c r="K2262" s="326"/>
      <c r="M2262" s="463"/>
      <c r="N2262" s="464"/>
    </row>
    <row r="2263" spans="2:14" hidden="1" outlineLevel="1" x14ac:dyDescent="0.35">
      <c r="B2263" s="203"/>
      <c r="C2263" s="204"/>
      <c r="D2263" s="204"/>
      <c r="E2263" s="204"/>
      <c r="F2263" s="205"/>
      <c r="G2263" s="548"/>
      <c r="H2263" s="550"/>
      <c r="I2263" s="326"/>
      <c r="J2263" s="326"/>
      <c r="K2263" s="326"/>
      <c r="M2263" s="463"/>
      <c r="N2263" s="464"/>
    </row>
    <row r="2264" spans="2:14" hidden="1" outlineLevel="1" x14ac:dyDescent="0.35">
      <c r="B2264" s="203"/>
      <c r="C2264" s="204"/>
      <c r="D2264" s="204"/>
      <c r="E2264" s="204"/>
      <c r="F2264" s="205"/>
      <c r="G2264" s="548"/>
      <c r="H2264" s="550"/>
      <c r="I2264" s="326"/>
      <c r="J2264" s="326"/>
      <c r="K2264" s="326"/>
      <c r="M2264" s="463"/>
      <c r="N2264" s="464"/>
    </row>
    <row r="2265" spans="2:14" hidden="1" outlineLevel="1" x14ac:dyDescent="0.35">
      <c r="B2265" s="203"/>
      <c r="C2265" s="204"/>
      <c r="D2265" s="204"/>
      <c r="E2265" s="204"/>
      <c r="F2265" s="205"/>
      <c r="G2265" s="548"/>
      <c r="H2265" s="550"/>
      <c r="I2265" s="326"/>
      <c r="J2265" s="326"/>
      <c r="K2265" s="326"/>
      <c r="M2265" s="463"/>
      <c r="N2265" s="464"/>
    </row>
    <row r="2266" spans="2:14" hidden="1" outlineLevel="1" x14ac:dyDescent="0.35">
      <c r="B2266" s="203"/>
      <c r="C2266" s="204"/>
      <c r="D2266" s="204"/>
      <c r="E2266" s="204"/>
      <c r="F2266" s="205"/>
      <c r="G2266" s="548"/>
      <c r="H2266" s="550"/>
      <c r="I2266" s="326"/>
      <c r="J2266" s="326"/>
      <c r="K2266" s="326"/>
      <c r="M2266" s="463"/>
      <c r="N2266" s="464"/>
    </row>
    <row r="2267" spans="2:14" hidden="1" outlineLevel="1" x14ac:dyDescent="0.35">
      <c r="B2267" s="203"/>
      <c r="C2267" s="204"/>
      <c r="D2267" s="204"/>
      <c r="E2267" s="204"/>
      <c r="F2267" s="205"/>
      <c r="G2267" s="548"/>
      <c r="H2267" s="550"/>
      <c r="I2267" s="326"/>
      <c r="J2267" s="326"/>
      <c r="K2267" s="326"/>
      <c r="M2267" s="463"/>
      <c r="N2267" s="464"/>
    </row>
    <row r="2268" spans="2:14" hidden="1" outlineLevel="1" x14ac:dyDescent="0.35">
      <c r="B2268" s="203"/>
      <c r="C2268" s="204"/>
      <c r="D2268" s="204"/>
      <c r="E2268" s="204"/>
      <c r="F2268" s="205"/>
      <c r="G2268" s="548"/>
      <c r="H2268" s="550"/>
      <c r="I2268" s="326"/>
      <c r="J2268" s="326"/>
      <c r="K2268" s="326"/>
      <c r="M2268" s="463"/>
      <c r="N2268" s="464"/>
    </row>
    <row r="2269" spans="2:14" hidden="1" outlineLevel="1" x14ac:dyDescent="0.35">
      <c r="B2269" s="203"/>
      <c r="C2269" s="204"/>
      <c r="D2269" s="204"/>
      <c r="E2269" s="204"/>
      <c r="F2269" s="205"/>
      <c r="G2269" s="548"/>
      <c r="H2269" s="550"/>
      <c r="I2269" s="326"/>
      <c r="J2269" s="326"/>
      <c r="K2269" s="326"/>
      <c r="M2269" s="463"/>
      <c r="N2269" s="464"/>
    </row>
    <row r="2270" spans="2:14" hidden="1" outlineLevel="1" x14ac:dyDescent="0.35">
      <c r="B2270" s="203"/>
      <c r="C2270" s="204"/>
      <c r="D2270" s="204"/>
      <c r="E2270" s="204"/>
      <c r="F2270" s="205"/>
      <c r="G2270" s="548"/>
      <c r="H2270" s="550"/>
      <c r="I2270" s="326"/>
      <c r="J2270" s="326"/>
      <c r="K2270" s="326"/>
      <c r="M2270" s="463"/>
      <c r="N2270" s="464"/>
    </row>
    <row r="2271" spans="2:14" hidden="1" outlineLevel="1" x14ac:dyDescent="0.35">
      <c r="B2271" s="203"/>
      <c r="C2271" s="204"/>
      <c r="D2271" s="204"/>
      <c r="E2271" s="204"/>
      <c r="F2271" s="205"/>
      <c r="G2271" s="548"/>
      <c r="H2271" s="550"/>
      <c r="I2271" s="326"/>
      <c r="J2271" s="326"/>
      <c r="K2271" s="326"/>
      <c r="M2271" s="463"/>
      <c r="N2271" s="464"/>
    </row>
    <row r="2272" spans="2:14" hidden="1" outlineLevel="1" x14ac:dyDescent="0.35">
      <c r="B2272" s="203"/>
      <c r="C2272" s="204"/>
      <c r="D2272" s="204"/>
      <c r="E2272" s="204"/>
      <c r="F2272" s="205"/>
      <c r="G2272" s="548"/>
      <c r="H2272" s="550"/>
      <c r="I2272" s="326"/>
      <c r="J2272" s="326"/>
      <c r="K2272" s="326"/>
      <c r="M2272" s="463"/>
      <c r="N2272" s="464"/>
    </row>
    <row r="2273" spans="2:14" hidden="1" outlineLevel="1" x14ac:dyDescent="0.35">
      <c r="B2273" s="203"/>
      <c r="C2273" s="204"/>
      <c r="D2273" s="204"/>
      <c r="E2273" s="204"/>
      <c r="F2273" s="205"/>
      <c r="G2273" s="548"/>
      <c r="H2273" s="550"/>
      <c r="I2273" s="326"/>
      <c r="J2273" s="326"/>
      <c r="K2273" s="326"/>
      <c r="M2273" s="463"/>
      <c r="N2273" s="464"/>
    </row>
    <row r="2274" spans="2:14" hidden="1" outlineLevel="1" x14ac:dyDescent="0.35">
      <c r="B2274" s="203"/>
      <c r="C2274" s="204"/>
      <c r="D2274" s="204"/>
      <c r="E2274" s="204"/>
      <c r="F2274" s="205"/>
      <c r="G2274" s="548"/>
      <c r="H2274" s="550"/>
      <c r="I2274" s="326"/>
      <c r="J2274" s="326"/>
      <c r="K2274" s="326"/>
      <c r="M2274" s="463"/>
      <c r="N2274" s="464"/>
    </row>
    <row r="2275" spans="2:14" hidden="1" outlineLevel="1" x14ac:dyDescent="0.35">
      <c r="B2275" s="203"/>
      <c r="C2275" s="204"/>
      <c r="D2275" s="204"/>
      <c r="E2275" s="204"/>
      <c r="F2275" s="205"/>
      <c r="G2275" s="548"/>
      <c r="H2275" s="550"/>
      <c r="I2275" s="326"/>
      <c r="J2275" s="326"/>
      <c r="K2275" s="326"/>
      <c r="M2275" s="463"/>
      <c r="N2275" s="464"/>
    </row>
    <row r="2276" spans="2:14" hidden="1" outlineLevel="1" x14ac:dyDescent="0.35">
      <c r="B2276" s="203"/>
      <c r="C2276" s="204"/>
      <c r="D2276" s="204"/>
      <c r="E2276" s="204"/>
      <c r="F2276" s="205"/>
      <c r="G2276" s="548"/>
      <c r="H2276" s="550"/>
      <c r="I2276" s="326"/>
      <c r="J2276" s="326"/>
      <c r="K2276" s="326"/>
      <c r="M2276" s="463"/>
      <c r="N2276" s="464"/>
    </row>
    <row r="2277" spans="2:14" hidden="1" outlineLevel="1" x14ac:dyDescent="0.35">
      <c r="B2277" s="203"/>
      <c r="C2277" s="204"/>
      <c r="D2277" s="204"/>
      <c r="E2277" s="204"/>
      <c r="F2277" s="205"/>
      <c r="G2277" s="548"/>
      <c r="H2277" s="550"/>
      <c r="I2277" s="326"/>
      <c r="J2277" s="326"/>
      <c r="K2277" s="326"/>
      <c r="M2277" s="463"/>
      <c r="N2277" s="464"/>
    </row>
    <row r="2278" spans="2:14" hidden="1" outlineLevel="1" x14ac:dyDescent="0.35">
      <c r="B2278" s="203"/>
      <c r="C2278" s="204"/>
      <c r="D2278" s="204"/>
      <c r="E2278" s="204"/>
      <c r="F2278" s="205"/>
      <c r="G2278" s="548"/>
      <c r="H2278" s="550"/>
      <c r="I2278" s="326"/>
      <c r="J2278" s="326"/>
      <c r="K2278" s="326"/>
      <c r="M2278" s="463"/>
      <c r="N2278" s="464"/>
    </row>
    <row r="2279" spans="2:14" hidden="1" outlineLevel="1" x14ac:dyDescent="0.35">
      <c r="B2279" s="203"/>
      <c r="C2279" s="204"/>
      <c r="D2279" s="204"/>
      <c r="E2279" s="204"/>
      <c r="F2279" s="205"/>
      <c r="G2279" s="548"/>
      <c r="H2279" s="550"/>
      <c r="I2279" s="326"/>
      <c r="J2279" s="326"/>
      <c r="K2279" s="326"/>
      <c r="M2279" s="463"/>
      <c r="N2279" s="464"/>
    </row>
    <row r="2280" spans="2:14" hidden="1" outlineLevel="1" x14ac:dyDescent="0.35">
      <c r="B2280" s="203"/>
      <c r="C2280" s="204"/>
      <c r="D2280" s="204"/>
      <c r="E2280" s="204"/>
      <c r="F2280" s="205"/>
      <c r="G2280" s="548"/>
      <c r="H2280" s="550"/>
      <c r="I2280" s="326"/>
      <c r="J2280" s="326"/>
      <c r="K2280" s="326"/>
      <c r="M2280" s="463"/>
      <c r="N2280" s="464"/>
    </row>
    <row r="2281" spans="2:14" hidden="1" outlineLevel="1" x14ac:dyDescent="0.35">
      <c r="B2281" s="203"/>
      <c r="C2281" s="204"/>
      <c r="D2281" s="204"/>
      <c r="E2281" s="204"/>
      <c r="F2281" s="205"/>
      <c r="G2281" s="548"/>
      <c r="H2281" s="550"/>
      <c r="I2281" s="326"/>
      <c r="J2281" s="326"/>
      <c r="K2281" s="326"/>
      <c r="M2281" s="463"/>
      <c r="N2281" s="464"/>
    </row>
    <row r="2282" spans="2:14" hidden="1" outlineLevel="1" x14ac:dyDescent="0.35">
      <c r="B2282" s="203"/>
      <c r="C2282" s="204"/>
      <c r="D2282" s="204"/>
      <c r="E2282" s="204"/>
      <c r="F2282" s="205"/>
      <c r="G2282" s="548"/>
      <c r="H2282" s="550"/>
      <c r="I2282" s="326"/>
      <c r="J2282" s="326"/>
      <c r="K2282" s="326"/>
      <c r="M2282" s="463"/>
      <c r="N2282" s="464"/>
    </row>
    <row r="2283" spans="2:14" hidden="1" outlineLevel="1" x14ac:dyDescent="0.35">
      <c r="B2283" s="203"/>
      <c r="C2283" s="204"/>
      <c r="D2283" s="204"/>
      <c r="E2283" s="204"/>
      <c r="F2283" s="205"/>
      <c r="G2283" s="548"/>
      <c r="H2283" s="550"/>
      <c r="I2283" s="326"/>
      <c r="J2283" s="326"/>
      <c r="K2283" s="326"/>
      <c r="M2283" s="463"/>
      <c r="N2283" s="464"/>
    </row>
    <row r="2284" spans="2:14" hidden="1" outlineLevel="1" x14ac:dyDescent="0.35">
      <c r="B2284" s="203"/>
      <c r="C2284" s="204"/>
      <c r="D2284" s="204"/>
      <c r="E2284" s="204"/>
      <c r="F2284" s="205"/>
      <c r="G2284" s="548"/>
      <c r="H2284" s="550"/>
      <c r="I2284" s="326"/>
      <c r="J2284" s="326"/>
      <c r="K2284" s="326"/>
      <c r="M2284" s="463"/>
      <c r="N2284" s="464"/>
    </row>
    <row r="2285" spans="2:14" hidden="1" outlineLevel="1" x14ac:dyDescent="0.35">
      <c r="B2285" s="203"/>
      <c r="C2285" s="204"/>
      <c r="D2285" s="204"/>
      <c r="E2285" s="204"/>
      <c r="F2285" s="205"/>
      <c r="G2285" s="548"/>
      <c r="H2285" s="550"/>
      <c r="I2285" s="326"/>
      <c r="J2285" s="326"/>
      <c r="K2285" s="326"/>
      <c r="M2285" s="463"/>
      <c r="N2285" s="464"/>
    </row>
    <row r="2286" spans="2:14" hidden="1" outlineLevel="1" x14ac:dyDescent="0.35">
      <c r="B2286" s="203"/>
      <c r="C2286" s="204"/>
      <c r="D2286" s="204"/>
      <c r="E2286" s="204"/>
      <c r="F2286" s="205"/>
      <c r="G2286" s="548"/>
      <c r="H2286" s="550"/>
      <c r="I2286" s="326"/>
      <c r="J2286" s="326"/>
      <c r="K2286" s="326"/>
      <c r="M2286" s="463"/>
      <c r="N2286" s="464"/>
    </row>
    <row r="2287" spans="2:14" hidden="1" outlineLevel="1" x14ac:dyDescent="0.35">
      <c r="B2287" s="203"/>
      <c r="C2287" s="204"/>
      <c r="D2287" s="204"/>
      <c r="E2287" s="204"/>
      <c r="F2287" s="205"/>
      <c r="G2287" s="548"/>
      <c r="H2287" s="550"/>
      <c r="I2287" s="326"/>
      <c r="J2287" s="326"/>
      <c r="K2287" s="326"/>
      <c r="M2287" s="463"/>
      <c r="N2287" s="464"/>
    </row>
    <row r="2288" spans="2:14" hidden="1" outlineLevel="1" x14ac:dyDescent="0.35">
      <c r="B2288" s="203"/>
      <c r="C2288" s="204"/>
      <c r="D2288" s="204"/>
      <c r="E2288" s="204"/>
      <c r="F2288" s="205"/>
      <c r="G2288" s="548"/>
      <c r="H2288" s="550"/>
      <c r="I2288" s="326"/>
      <c r="J2288" s="326"/>
      <c r="K2288" s="326"/>
      <c r="M2288" s="463"/>
      <c r="N2288" s="464"/>
    </row>
    <row r="2289" spans="2:14" hidden="1" outlineLevel="1" x14ac:dyDescent="0.35">
      <c r="B2289" s="203"/>
      <c r="C2289" s="204"/>
      <c r="D2289" s="204"/>
      <c r="E2289" s="204"/>
      <c r="F2289" s="205"/>
      <c r="G2289" s="548"/>
      <c r="H2289" s="550"/>
      <c r="I2289" s="326"/>
      <c r="J2289" s="326"/>
      <c r="K2289" s="326"/>
      <c r="M2289" s="463"/>
      <c r="N2289" s="464"/>
    </row>
    <row r="2290" spans="2:14" hidden="1" outlineLevel="1" x14ac:dyDescent="0.35">
      <c r="B2290" s="203"/>
      <c r="C2290" s="204"/>
      <c r="D2290" s="204"/>
      <c r="E2290" s="204"/>
      <c r="F2290" s="205"/>
      <c r="G2290" s="548"/>
      <c r="H2290" s="550"/>
      <c r="I2290" s="326"/>
      <c r="J2290" s="326"/>
      <c r="K2290" s="326"/>
      <c r="M2290" s="463"/>
      <c r="N2290" s="464"/>
    </row>
    <row r="2291" spans="2:14" hidden="1" outlineLevel="1" x14ac:dyDescent="0.35">
      <c r="B2291" s="203"/>
      <c r="C2291" s="204"/>
      <c r="D2291" s="204"/>
      <c r="E2291" s="204"/>
      <c r="F2291" s="205"/>
      <c r="G2291" s="548"/>
      <c r="H2291" s="550"/>
      <c r="I2291" s="326"/>
      <c r="J2291" s="326"/>
      <c r="K2291" s="326"/>
      <c r="M2291" s="463"/>
      <c r="N2291" s="464"/>
    </row>
    <row r="2292" spans="2:14" hidden="1" outlineLevel="1" x14ac:dyDescent="0.35">
      <c r="B2292" s="203"/>
      <c r="C2292" s="204"/>
      <c r="D2292" s="204"/>
      <c r="E2292" s="204"/>
      <c r="F2292" s="205"/>
      <c r="G2292" s="548"/>
      <c r="H2292" s="550"/>
      <c r="I2292" s="326"/>
      <c r="J2292" s="326"/>
      <c r="K2292" s="326"/>
      <c r="M2292" s="463"/>
      <c r="N2292" s="464"/>
    </row>
    <row r="2293" spans="2:14" hidden="1" outlineLevel="1" x14ac:dyDescent="0.35">
      <c r="B2293" s="203"/>
      <c r="C2293" s="204"/>
      <c r="D2293" s="204"/>
      <c r="E2293" s="204"/>
      <c r="F2293" s="205"/>
      <c r="G2293" s="548"/>
      <c r="H2293" s="550"/>
      <c r="I2293" s="326"/>
      <c r="J2293" s="326"/>
      <c r="K2293" s="326"/>
      <c r="M2293" s="463"/>
      <c r="N2293" s="464"/>
    </row>
    <row r="2294" spans="2:14" hidden="1" outlineLevel="1" x14ac:dyDescent="0.35">
      <c r="B2294" s="203"/>
      <c r="C2294" s="204"/>
      <c r="D2294" s="204"/>
      <c r="E2294" s="204"/>
      <c r="F2294" s="205"/>
      <c r="G2294" s="548"/>
      <c r="H2294" s="550"/>
      <c r="I2294" s="326"/>
      <c r="J2294" s="326"/>
      <c r="K2294" s="326"/>
      <c r="M2294" s="463"/>
      <c r="N2294" s="464"/>
    </row>
    <row r="2295" spans="2:14" hidden="1" outlineLevel="1" x14ac:dyDescent="0.35">
      <c r="B2295" s="203"/>
      <c r="C2295" s="204"/>
      <c r="D2295" s="204"/>
      <c r="E2295" s="204"/>
      <c r="F2295" s="205"/>
      <c r="G2295" s="548"/>
      <c r="H2295" s="550"/>
      <c r="I2295" s="326"/>
      <c r="J2295" s="326"/>
      <c r="K2295" s="326"/>
      <c r="M2295" s="463"/>
      <c r="N2295" s="464"/>
    </row>
    <row r="2296" spans="2:14" hidden="1" outlineLevel="1" x14ac:dyDescent="0.35">
      <c r="B2296" s="203"/>
      <c r="C2296" s="204"/>
      <c r="D2296" s="204"/>
      <c r="E2296" s="204"/>
      <c r="F2296" s="205"/>
      <c r="G2296" s="548"/>
      <c r="H2296" s="550"/>
      <c r="I2296" s="326"/>
      <c r="J2296" s="326"/>
      <c r="K2296" s="326"/>
      <c r="M2296" s="463"/>
      <c r="N2296" s="464"/>
    </row>
    <row r="2297" spans="2:14" hidden="1" outlineLevel="1" x14ac:dyDescent="0.35">
      <c r="B2297" s="203"/>
      <c r="C2297" s="204"/>
      <c r="D2297" s="204"/>
      <c r="E2297" s="204"/>
      <c r="F2297" s="205"/>
      <c r="G2297" s="548"/>
      <c r="H2297" s="550"/>
      <c r="I2297" s="326"/>
      <c r="J2297" s="326"/>
      <c r="K2297" s="326"/>
      <c r="M2297" s="463"/>
      <c r="N2297" s="464"/>
    </row>
    <row r="2298" spans="2:14" hidden="1" outlineLevel="1" x14ac:dyDescent="0.35">
      <c r="B2298" s="203"/>
      <c r="C2298" s="204"/>
      <c r="D2298" s="204"/>
      <c r="E2298" s="204"/>
      <c r="F2298" s="205"/>
      <c r="G2298" s="548"/>
      <c r="H2298" s="550"/>
      <c r="I2298" s="326"/>
      <c r="J2298" s="326"/>
      <c r="K2298" s="326"/>
      <c r="M2298" s="463"/>
      <c r="N2298" s="464"/>
    </row>
    <row r="2299" spans="2:14" hidden="1" outlineLevel="1" x14ac:dyDescent="0.35">
      <c r="B2299" s="203"/>
      <c r="C2299" s="204"/>
      <c r="D2299" s="204"/>
      <c r="E2299" s="204"/>
      <c r="F2299" s="205"/>
      <c r="G2299" s="548"/>
      <c r="H2299" s="550"/>
      <c r="I2299" s="326"/>
      <c r="J2299" s="326"/>
      <c r="K2299" s="326"/>
      <c r="M2299" s="463"/>
      <c r="N2299" s="464"/>
    </row>
    <row r="2300" spans="2:14" hidden="1" outlineLevel="1" x14ac:dyDescent="0.35">
      <c r="B2300" s="203"/>
      <c r="C2300" s="204"/>
      <c r="D2300" s="204"/>
      <c r="E2300" s="204"/>
      <c r="F2300" s="205"/>
      <c r="G2300" s="548"/>
      <c r="H2300" s="550"/>
      <c r="I2300" s="326"/>
      <c r="J2300" s="326"/>
      <c r="K2300" s="326"/>
      <c r="M2300" s="463"/>
      <c r="N2300" s="464"/>
    </row>
    <row r="2301" spans="2:14" hidden="1" outlineLevel="1" x14ac:dyDescent="0.35">
      <c r="B2301" s="203"/>
      <c r="C2301" s="204"/>
      <c r="D2301" s="204"/>
      <c r="E2301" s="204"/>
      <c r="F2301" s="205"/>
      <c r="G2301" s="548"/>
      <c r="H2301" s="550"/>
      <c r="I2301" s="326"/>
      <c r="J2301" s="326"/>
      <c r="K2301" s="326"/>
      <c r="M2301" s="463"/>
      <c r="N2301" s="464"/>
    </row>
    <row r="2302" spans="2:14" hidden="1" outlineLevel="1" x14ac:dyDescent="0.35">
      <c r="B2302" s="203"/>
      <c r="C2302" s="204"/>
      <c r="D2302" s="204"/>
      <c r="E2302" s="204"/>
      <c r="F2302" s="205"/>
      <c r="G2302" s="548"/>
      <c r="H2302" s="550"/>
      <c r="I2302" s="326"/>
      <c r="J2302" s="326"/>
      <c r="K2302" s="326"/>
      <c r="M2302" s="463"/>
      <c r="N2302" s="464"/>
    </row>
    <row r="2303" spans="2:14" hidden="1" outlineLevel="1" x14ac:dyDescent="0.35">
      <c r="B2303" s="203"/>
      <c r="C2303" s="204"/>
      <c r="D2303" s="204"/>
      <c r="E2303" s="204"/>
      <c r="F2303" s="205"/>
      <c r="G2303" s="548"/>
      <c r="H2303" s="550"/>
      <c r="I2303" s="326"/>
      <c r="J2303" s="326"/>
      <c r="K2303" s="326"/>
      <c r="M2303" s="463"/>
      <c r="N2303" s="464"/>
    </row>
    <row r="2304" spans="2:14" hidden="1" outlineLevel="1" x14ac:dyDescent="0.35">
      <c r="B2304" s="203"/>
      <c r="C2304" s="204"/>
      <c r="D2304" s="204"/>
      <c r="E2304" s="204"/>
      <c r="F2304" s="205"/>
      <c r="G2304" s="548"/>
      <c r="H2304" s="550"/>
      <c r="I2304" s="326"/>
      <c r="J2304" s="326"/>
      <c r="K2304" s="326"/>
      <c r="M2304" s="463"/>
      <c r="N2304" s="464"/>
    </row>
    <row r="2305" spans="2:14" hidden="1" outlineLevel="1" x14ac:dyDescent="0.35">
      <c r="B2305" s="203"/>
      <c r="C2305" s="204"/>
      <c r="D2305" s="204"/>
      <c r="E2305" s="204"/>
      <c r="F2305" s="205"/>
      <c r="G2305" s="548"/>
      <c r="H2305" s="550"/>
      <c r="I2305" s="326"/>
      <c r="J2305" s="326"/>
      <c r="K2305" s="326"/>
      <c r="M2305" s="463"/>
      <c r="N2305" s="464"/>
    </row>
    <row r="2306" spans="2:14" hidden="1" outlineLevel="1" x14ac:dyDescent="0.35">
      <c r="B2306" s="203"/>
      <c r="C2306" s="204"/>
      <c r="D2306" s="204"/>
      <c r="E2306" s="204"/>
      <c r="F2306" s="205"/>
      <c r="G2306" s="548"/>
      <c r="H2306" s="550"/>
      <c r="I2306" s="326"/>
      <c r="J2306" s="326"/>
      <c r="K2306" s="326"/>
      <c r="M2306" s="463"/>
      <c r="N2306" s="464"/>
    </row>
    <row r="2307" spans="2:14" hidden="1" outlineLevel="1" x14ac:dyDescent="0.35">
      <c r="B2307" s="203"/>
      <c r="C2307" s="204"/>
      <c r="D2307" s="204"/>
      <c r="E2307" s="204"/>
      <c r="F2307" s="205"/>
      <c r="G2307" s="548"/>
      <c r="H2307" s="550"/>
      <c r="I2307" s="326"/>
      <c r="J2307" s="326"/>
      <c r="K2307" s="326"/>
      <c r="M2307" s="463"/>
      <c r="N2307" s="464"/>
    </row>
    <row r="2308" spans="2:14" hidden="1" outlineLevel="1" x14ac:dyDescent="0.35">
      <c r="B2308" s="203"/>
      <c r="C2308" s="204"/>
      <c r="D2308" s="204"/>
      <c r="E2308" s="204"/>
      <c r="F2308" s="205"/>
      <c r="G2308" s="548"/>
      <c r="H2308" s="550"/>
      <c r="I2308" s="326"/>
      <c r="J2308" s="326"/>
      <c r="K2308" s="326"/>
      <c r="M2308" s="463"/>
      <c r="N2308" s="464"/>
    </row>
    <row r="2309" spans="2:14" hidden="1" outlineLevel="1" x14ac:dyDescent="0.35">
      <c r="B2309" s="203"/>
      <c r="C2309" s="204"/>
      <c r="D2309" s="204"/>
      <c r="E2309" s="204"/>
      <c r="F2309" s="205"/>
      <c r="G2309" s="548"/>
      <c r="H2309" s="550"/>
      <c r="I2309" s="326"/>
      <c r="J2309" s="326"/>
      <c r="K2309" s="326"/>
      <c r="M2309" s="463"/>
      <c r="N2309" s="464"/>
    </row>
    <row r="2310" spans="2:14" hidden="1" outlineLevel="1" x14ac:dyDescent="0.35">
      <c r="B2310" s="203"/>
      <c r="C2310" s="204"/>
      <c r="D2310" s="204"/>
      <c r="E2310" s="204"/>
      <c r="F2310" s="205"/>
      <c r="G2310" s="548"/>
      <c r="H2310" s="550"/>
      <c r="I2310" s="326"/>
      <c r="J2310" s="326"/>
      <c r="K2310" s="326"/>
      <c r="M2310" s="463"/>
      <c r="N2310" s="464"/>
    </row>
    <row r="2311" spans="2:14" hidden="1" outlineLevel="1" x14ac:dyDescent="0.35">
      <c r="B2311" s="203"/>
      <c r="C2311" s="204"/>
      <c r="D2311" s="204"/>
      <c r="E2311" s="204"/>
      <c r="F2311" s="205"/>
      <c r="G2311" s="548"/>
      <c r="H2311" s="550"/>
      <c r="I2311" s="326"/>
      <c r="J2311" s="326"/>
      <c r="K2311" s="326"/>
      <c r="M2311" s="463"/>
      <c r="N2311" s="464"/>
    </row>
    <row r="2312" spans="2:14" hidden="1" outlineLevel="1" x14ac:dyDescent="0.35">
      <c r="B2312" s="203"/>
      <c r="C2312" s="204"/>
      <c r="D2312" s="204"/>
      <c r="E2312" s="204"/>
      <c r="F2312" s="205"/>
      <c r="G2312" s="548"/>
      <c r="H2312" s="550"/>
      <c r="I2312" s="326"/>
      <c r="J2312" s="326"/>
      <c r="K2312" s="326"/>
      <c r="M2312" s="463"/>
      <c r="N2312" s="464"/>
    </row>
    <row r="2313" spans="2:14" hidden="1" outlineLevel="1" x14ac:dyDescent="0.35">
      <c r="B2313" s="203"/>
      <c r="C2313" s="204"/>
      <c r="D2313" s="204"/>
      <c r="E2313" s="204"/>
      <c r="F2313" s="205"/>
      <c r="G2313" s="548"/>
      <c r="H2313" s="550"/>
      <c r="I2313" s="326"/>
      <c r="J2313" s="326"/>
      <c r="K2313" s="326"/>
      <c r="M2313" s="463"/>
      <c r="N2313" s="464"/>
    </row>
    <row r="2314" spans="2:14" hidden="1" outlineLevel="1" x14ac:dyDescent="0.35">
      <c r="B2314" s="203"/>
      <c r="C2314" s="204"/>
      <c r="D2314" s="204"/>
      <c r="E2314" s="204"/>
      <c r="F2314" s="205"/>
      <c r="G2314" s="548"/>
      <c r="H2314" s="550"/>
      <c r="I2314" s="326"/>
      <c r="J2314" s="326"/>
      <c r="K2314" s="326"/>
      <c r="M2314" s="463"/>
      <c r="N2314" s="464"/>
    </row>
    <row r="2315" spans="2:14" hidden="1" outlineLevel="1" x14ac:dyDescent="0.35">
      <c r="B2315" s="203"/>
      <c r="C2315" s="204"/>
      <c r="D2315" s="204"/>
      <c r="E2315" s="204"/>
      <c r="F2315" s="205"/>
      <c r="G2315" s="548"/>
      <c r="H2315" s="550"/>
      <c r="I2315" s="326"/>
      <c r="J2315" s="326"/>
      <c r="K2315" s="326"/>
      <c r="M2315" s="463"/>
      <c r="N2315" s="464"/>
    </row>
    <row r="2316" spans="2:14" hidden="1" outlineLevel="1" x14ac:dyDescent="0.35">
      <c r="B2316" s="203"/>
      <c r="C2316" s="204"/>
      <c r="D2316" s="204"/>
      <c r="E2316" s="204"/>
      <c r="F2316" s="205"/>
      <c r="G2316" s="548"/>
      <c r="H2316" s="550"/>
      <c r="I2316" s="326"/>
      <c r="J2316" s="326"/>
      <c r="K2316" s="326"/>
      <c r="M2316" s="463"/>
      <c r="N2316" s="464"/>
    </row>
    <row r="2317" spans="2:14" hidden="1" outlineLevel="1" x14ac:dyDescent="0.35">
      <c r="B2317" s="203"/>
      <c r="C2317" s="204"/>
      <c r="D2317" s="204"/>
      <c r="E2317" s="204"/>
      <c r="F2317" s="205"/>
      <c r="G2317" s="548"/>
      <c r="H2317" s="550"/>
      <c r="I2317" s="326"/>
      <c r="J2317" s="326"/>
      <c r="K2317" s="326"/>
      <c r="M2317" s="463"/>
      <c r="N2317" s="464"/>
    </row>
    <row r="2318" spans="2:14" hidden="1" outlineLevel="1" x14ac:dyDescent="0.35">
      <c r="B2318" s="203"/>
      <c r="C2318" s="204"/>
      <c r="D2318" s="204"/>
      <c r="E2318" s="204"/>
      <c r="F2318" s="205"/>
      <c r="G2318" s="548"/>
      <c r="H2318" s="550"/>
      <c r="I2318" s="326"/>
      <c r="J2318" s="326"/>
      <c r="K2318" s="326"/>
      <c r="M2318" s="463"/>
      <c r="N2318" s="464"/>
    </row>
    <row r="2319" spans="2:14" hidden="1" outlineLevel="1" x14ac:dyDescent="0.35">
      <c r="B2319" s="203"/>
      <c r="C2319" s="204"/>
      <c r="D2319" s="204"/>
      <c r="E2319" s="204"/>
      <c r="F2319" s="205"/>
      <c r="G2319" s="548"/>
      <c r="H2319" s="550"/>
      <c r="I2319" s="326"/>
      <c r="J2319" s="326"/>
      <c r="K2319" s="326"/>
      <c r="M2319" s="463"/>
      <c r="N2319" s="464"/>
    </row>
    <row r="2320" spans="2:14" hidden="1" outlineLevel="1" x14ac:dyDescent="0.35">
      <c r="B2320" s="203"/>
      <c r="C2320" s="204"/>
      <c r="D2320" s="204"/>
      <c r="E2320" s="204"/>
      <c r="F2320" s="205"/>
      <c r="G2320" s="548"/>
      <c r="H2320" s="550"/>
      <c r="I2320" s="326"/>
      <c r="J2320" s="326"/>
      <c r="K2320" s="326"/>
      <c r="M2320" s="463"/>
      <c r="N2320" s="464"/>
    </row>
    <row r="2321" spans="2:14" hidden="1" outlineLevel="1" x14ac:dyDescent="0.35">
      <c r="B2321" s="203"/>
      <c r="C2321" s="204"/>
      <c r="D2321" s="204"/>
      <c r="E2321" s="204"/>
      <c r="F2321" s="205"/>
      <c r="G2321" s="548"/>
      <c r="H2321" s="550"/>
      <c r="I2321" s="326"/>
      <c r="J2321" s="326"/>
      <c r="K2321" s="326"/>
      <c r="M2321" s="463"/>
      <c r="N2321" s="464"/>
    </row>
    <row r="2322" spans="2:14" hidden="1" outlineLevel="1" x14ac:dyDescent="0.35">
      <c r="B2322" s="203"/>
      <c r="C2322" s="204"/>
      <c r="D2322" s="204"/>
      <c r="E2322" s="204"/>
      <c r="F2322" s="205"/>
      <c r="G2322" s="548"/>
      <c r="H2322" s="550"/>
      <c r="I2322" s="326"/>
      <c r="J2322" s="326"/>
      <c r="K2322" s="326"/>
      <c r="M2322" s="463"/>
      <c r="N2322" s="464"/>
    </row>
    <row r="2323" spans="2:14" hidden="1" outlineLevel="1" x14ac:dyDescent="0.35">
      <c r="B2323" s="203"/>
      <c r="C2323" s="204"/>
      <c r="D2323" s="204"/>
      <c r="E2323" s="204"/>
      <c r="F2323" s="205"/>
      <c r="G2323" s="548"/>
      <c r="H2323" s="550"/>
      <c r="I2323" s="326"/>
      <c r="J2323" s="326"/>
      <c r="K2323" s="326"/>
      <c r="M2323" s="463"/>
      <c r="N2323" s="464"/>
    </row>
    <row r="2324" spans="2:14" hidden="1" outlineLevel="1" x14ac:dyDescent="0.35">
      <c r="B2324" s="203"/>
      <c r="C2324" s="204"/>
      <c r="D2324" s="204"/>
      <c r="E2324" s="204"/>
      <c r="F2324" s="205"/>
      <c r="G2324" s="548"/>
      <c r="H2324" s="550"/>
      <c r="I2324" s="326"/>
      <c r="J2324" s="326"/>
      <c r="K2324" s="326"/>
      <c r="M2324" s="463"/>
      <c r="N2324" s="464"/>
    </row>
    <row r="2325" spans="2:14" hidden="1" outlineLevel="1" x14ac:dyDescent="0.35">
      <c r="B2325" s="203"/>
      <c r="C2325" s="204"/>
      <c r="D2325" s="204"/>
      <c r="E2325" s="204"/>
      <c r="F2325" s="205"/>
      <c r="G2325" s="548"/>
      <c r="H2325" s="550"/>
      <c r="I2325" s="326"/>
      <c r="J2325" s="326"/>
      <c r="K2325" s="326"/>
      <c r="M2325" s="463"/>
      <c r="N2325" s="464"/>
    </row>
    <row r="2326" spans="2:14" hidden="1" outlineLevel="1" x14ac:dyDescent="0.35">
      <c r="B2326" s="203"/>
      <c r="C2326" s="204"/>
      <c r="D2326" s="204"/>
      <c r="E2326" s="204"/>
      <c r="F2326" s="205"/>
      <c r="G2326" s="548"/>
      <c r="H2326" s="550"/>
      <c r="I2326" s="326"/>
      <c r="J2326" s="326"/>
      <c r="K2326" s="326"/>
      <c r="M2326" s="463"/>
      <c r="N2326" s="464"/>
    </row>
    <row r="2327" spans="2:14" hidden="1" outlineLevel="1" x14ac:dyDescent="0.35">
      <c r="B2327" s="203"/>
      <c r="C2327" s="204"/>
      <c r="D2327" s="204"/>
      <c r="E2327" s="204"/>
      <c r="F2327" s="205"/>
      <c r="G2327" s="548"/>
      <c r="H2327" s="550"/>
      <c r="I2327" s="326"/>
      <c r="J2327" s="326"/>
      <c r="K2327" s="326"/>
      <c r="M2327" s="463"/>
      <c r="N2327" s="464"/>
    </row>
    <row r="2328" spans="2:14" hidden="1" outlineLevel="1" x14ac:dyDescent="0.35">
      <c r="B2328" s="203"/>
      <c r="C2328" s="204"/>
      <c r="D2328" s="204"/>
      <c r="E2328" s="204"/>
      <c r="F2328" s="205"/>
      <c r="G2328" s="548"/>
      <c r="H2328" s="550"/>
      <c r="I2328" s="326"/>
      <c r="J2328" s="326"/>
      <c r="K2328" s="326"/>
      <c r="M2328" s="463"/>
      <c r="N2328" s="464"/>
    </row>
    <row r="2329" spans="2:14" hidden="1" outlineLevel="1" x14ac:dyDescent="0.35">
      <c r="B2329" s="203"/>
      <c r="C2329" s="204"/>
      <c r="D2329" s="204"/>
      <c r="E2329" s="204"/>
      <c r="F2329" s="205"/>
      <c r="G2329" s="548"/>
      <c r="H2329" s="550"/>
      <c r="I2329" s="326"/>
      <c r="J2329" s="326"/>
      <c r="K2329" s="326"/>
      <c r="M2329" s="463"/>
      <c r="N2329" s="464"/>
    </row>
    <row r="2330" spans="2:14" hidden="1" outlineLevel="1" x14ac:dyDescent="0.35">
      <c r="B2330" s="203"/>
      <c r="C2330" s="204"/>
      <c r="D2330" s="204"/>
      <c r="E2330" s="204"/>
      <c r="F2330" s="205"/>
      <c r="G2330" s="548"/>
      <c r="H2330" s="550"/>
      <c r="I2330" s="326"/>
      <c r="J2330" s="326"/>
      <c r="K2330" s="326"/>
      <c r="M2330" s="463"/>
      <c r="N2330" s="464"/>
    </row>
    <row r="2331" spans="2:14" hidden="1" outlineLevel="1" x14ac:dyDescent="0.35">
      <c r="B2331" s="203"/>
      <c r="C2331" s="204"/>
      <c r="D2331" s="204"/>
      <c r="E2331" s="204"/>
      <c r="F2331" s="205"/>
      <c r="G2331" s="548"/>
      <c r="H2331" s="550"/>
      <c r="I2331" s="326"/>
      <c r="J2331" s="326"/>
      <c r="K2331" s="326"/>
      <c r="M2331" s="463"/>
      <c r="N2331" s="464"/>
    </row>
    <row r="2332" spans="2:14" hidden="1" outlineLevel="1" x14ac:dyDescent="0.35">
      <c r="B2332" s="203"/>
      <c r="C2332" s="204"/>
      <c r="D2332" s="204"/>
      <c r="E2332" s="204"/>
      <c r="F2332" s="205"/>
      <c r="G2332" s="548"/>
      <c r="H2332" s="550"/>
      <c r="I2332" s="326"/>
      <c r="J2332" s="326"/>
      <c r="K2332" s="326"/>
      <c r="M2332" s="463"/>
      <c r="N2332" s="464"/>
    </row>
    <row r="2333" spans="2:14" hidden="1" outlineLevel="1" x14ac:dyDescent="0.35">
      <c r="B2333" s="203"/>
      <c r="C2333" s="204"/>
      <c r="D2333" s="204"/>
      <c r="E2333" s="204"/>
      <c r="F2333" s="205"/>
      <c r="G2333" s="548"/>
      <c r="H2333" s="550"/>
      <c r="I2333" s="326"/>
      <c r="J2333" s="326"/>
      <c r="K2333" s="326"/>
      <c r="M2333" s="463"/>
      <c r="N2333" s="464"/>
    </row>
    <row r="2334" spans="2:14" hidden="1" outlineLevel="1" x14ac:dyDescent="0.35">
      <c r="B2334" s="203"/>
      <c r="C2334" s="204"/>
      <c r="D2334" s="204"/>
      <c r="E2334" s="204"/>
      <c r="F2334" s="205"/>
      <c r="G2334" s="548"/>
      <c r="H2334" s="550"/>
      <c r="I2334" s="326"/>
      <c r="J2334" s="326"/>
      <c r="K2334" s="326"/>
      <c r="M2334" s="463"/>
      <c r="N2334" s="464"/>
    </row>
    <row r="2335" spans="2:14" hidden="1" outlineLevel="1" x14ac:dyDescent="0.35">
      <c r="B2335" s="203"/>
      <c r="C2335" s="204"/>
      <c r="D2335" s="204"/>
      <c r="E2335" s="204"/>
      <c r="F2335" s="205"/>
      <c r="G2335" s="548"/>
      <c r="H2335" s="550"/>
      <c r="I2335" s="326"/>
      <c r="J2335" s="326"/>
      <c r="K2335" s="326"/>
      <c r="M2335" s="463"/>
      <c r="N2335" s="464"/>
    </row>
    <row r="2336" spans="2:14" hidden="1" outlineLevel="1" x14ac:dyDescent="0.35">
      <c r="B2336" s="203"/>
      <c r="C2336" s="204"/>
      <c r="D2336" s="204"/>
      <c r="E2336" s="204"/>
      <c r="F2336" s="205"/>
      <c r="G2336" s="548"/>
      <c r="H2336" s="550"/>
      <c r="I2336" s="326"/>
      <c r="J2336" s="326"/>
      <c r="K2336" s="326"/>
      <c r="M2336" s="463"/>
      <c r="N2336" s="464"/>
    </row>
    <row r="2337" spans="2:14" hidden="1" outlineLevel="1" x14ac:dyDescent="0.35">
      <c r="B2337" s="203"/>
      <c r="C2337" s="204"/>
      <c r="D2337" s="204"/>
      <c r="E2337" s="204"/>
      <c r="F2337" s="205"/>
      <c r="G2337" s="548"/>
      <c r="H2337" s="550"/>
      <c r="I2337" s="326"/>
      <c r="J2337" s="326"/>
      <c r="K2337" s="326"/>
      <c r="M2337" s="463"/>
      <c r="N2337" s="464"/>
    </row>
    <row r="2338" spans="2:14" hidden="1" outlineLevel="1" x14ac:dyDescent="0.35">
      <c r="B2338" s="203"/>
      <c r="C2338" s="204"/>
      <c r="D2338" s="204"/>
      <c r="E2338" s="204"/>
      <c r="F2338" s="205"/>
      <c r="G2338" s="548"/>
      <c r="H2338" s="550"/>
      <c r="I2338" s="326"/>
      <c r="J2338" s="326"/>
      <c r="K2338" s="326"/>
      <c r="M2338" s="463"/>
      <c r="N2338" s="464"/>
    </row>
    <row r="2339" spans="2:14" hidden="1" outlineLevel="1" x14ac:dyDescent="0.35">
      <c r="B2339" s="203"/>
      <c r="C2339" s="204"/>
      <c r="D2339" s="204"/>
      <c r="E2339" s="204"/>
      <c r="F2339" s="205"/>
      <c r="G2339" s="548"/>
      <c r="H2339" s="550"/>
      <c r="I2339" s="326"/>
      <c r="J2339" s="326"/>
      <c r="K2339" s="326"/>
      <c r="M2339" s="463"/>
      <c r="N2339" s="464"/>
    </row>
    <row r="2340" spans="2:14" hidden="1" outlineLevel="1" x14ac:dyDescent="0.35">
      <c r="B2340" s="203"/>
      <c r="C2340" s="204"/>
      <c r="D2340" s="204"/>
      <c r="E2340" s="204"/>
      <c r="F2340" s="205"/>
      <c r="G2340" s="548"/>
      <c r="H2340" s="550"/>
      <c r="I2340" s="326"/>
      <c r="J2340" s="326"/>
      <c r="K2340" s="326"/>
      <c r="M2340" s="463"/>
      <c r="N2340" s="464"/>
    </row>
    <row r="2341" spans="2:14" hidden="1" outlineLevel="1" x14ac:dyDescent="0.35">
      <c r="B2341" s="203"/>
      <c r="C2341" s="204"/>
      <c r="D2341" s="204"/>
      <c r="E2341" s="204"/>
      <c r="F2341" s="205"/>
      <c r="G2341" s="548"/>
      <c r="H2341" s="550"/>
      <c r="I2341" s="326"/>
      <c r="J2341" s="326"/>
      <c r="K2341" s="326"/>
      <c r="M2341" s="463"/>
      <c r="N2341" s="464"/>
    </row>
    <row r="2342" spans="2:14" hidden="1" outlineLevel="1" x14ac:dyDescent="0.35">
      <c r="B2342" s="203"/>
      <c r="C2342" s="204"/>
      <c r="D2342" s="204"/>
      <c r="E2342" s="204"/>
      <c r="F2342" s="205"/>
      <c r="G2342" s="548"/>
      <c r="H2342" s="550"/>
      <c r="I2342" s="326"/>
      <c r="J2342" s="326"/>
      <c r="K2342" s="326"/>
      <c r="M2342" s="463"/>
      <c r="N2342" s="464"/>
    </row>
    <row r="2343" spans="2:14" hidden="1" outlineLevel="1" x14ac:dyDescent="0.35">
      <c r="B2343" s="203"/>
      <c r="C2343" s="204"/>
      <c r="D2343" s="204"/>
      <c r="E2343" s="204"/>
      <c r="F2343" s="205"/>
      <c r="G2343" s="548"/>
      <c r="H2343" s="550"/>
      <c r="I2343" s="326"/>
      <c r="J2343" s="326"/>
      <c r="K2343" s="326"/>
      <c r="M2343" s="463"/>
      <c r="N2343" s="464"/>
    </row>
    <row r="2344" spans="2:14" hidden="1" outlineLevel="1" x14ac:dyDescent="0.35">
      <c r="B2344" s="203"/>
      <c r="C2344" s="204"/>
      <c r="D2344" s="204"/>
      <c r="E2344" s="204"/>
      <c r="F2344" s="205"/>
      <c r="G2344" s="548"/>
      <c r="H2344" s="550"/>
      <c r="I2344" s="326"/>
      <c r="J2344" s="326"/>
      <c r="K2344" s="326"/>
      <c r="M2344" s="463"/>
      <c r="N2344" s="464"/>
    </row>
    <row r="2345" spans="2:14" hidden="1" outlineLevel="1" x14ac:dyDescent="0.35">
      <c r="B2345" s="203"/>
      <c r="C2345" s="204"/>
      <c r="D2345" s="204"/>
      <c r="E2345" s="204"/>
      <c r="F2345" s="205"/>
      <c r="G2345" s="548"/>
      <c r="H2345" s="550"/>
      <c r="I2345" s="326"/>
      <c r="J2345" s="326"/>
      <c r="K2345" s="326"/>
      <c r="M2345" s="463"/>
      <c r="N2345" s="464"/>
    </row>
    <row r="2346" spans="2:14" hidden="1" outlineLevel="1" x14ac:dyDescent="0.35">
      <c r="B2346" s="203"/>
      <c r="C2346" s="204"/>
      <c r="D2346" s="204"/>
      <c r="E2346" s="204"/>
      <c r="F2346" s="205"/>
      <c r="G2346" s="548"/>
      <c r="H2346" s="550"/>
      <c r="I2346" s="326"/>
      <c r="J2346" s="326"/>
      <c r="K2346" s="326"/>
      <c r="M2346" s="463"/>
      <c r="N2346" s="464"/>
    </row>
    <row r="2347" spans="2:14" hidden="1" outlineLevel="1" x14ac:dyDescent="0.35">
      <c r="B2347" s="203"/>
      <c r="C2347" s="204"/>
      <c r="D2347" s="204"/>
      <c r="E2347" s="204"/>
      <c r="F2347" s="205"/>
      <c r="G2347" s="548"/>
      <c r="H2347" s="550"/>
      <c r="I2347" s="326"/>
      <c r="J2347" s="326"/>
      <c r="K2347" s="326"/>
      <c r="M2347" s="463"/>
      <c r="N2347" s="464"/>
    </row>
    <row r="2348" spans="2:14" hidden="1" outlineLevel="1" x14ac:dyDescent="0.35">
      <c r="B2348" s="203"/>
      <c r="C2348" s="204"/>
      <c r="D2348" s="204"/>
      <c r="E2348" s="204"/>
      <c r="F2348" s="205"/>
      <c r="G2348" s="548"/>
      <c r="H2348" s="550"/>
      <c r="I2348" s="326"/>
      <c r="J2348" s="326"/>
      <c r="K2348" s="326"/>
      <c r="M2348" s="463"/>
      <c r="N2348" s="464"/>
    </row>
    <row r="2349" spans="2:14" hidden="1" outlineLevel="1" x14ac:dyDescent="0.35">
      <c r="B2349" s="203"/>
      <c r="C2349" s="204"/>
      <c r="D2349" s="204"/>
      <c r="E2349" s="204"/>
      <c r="F2349" s="205"/>
      <c r="G2349" s="548"/>
      <c r="H2349" s="550"/>
      <c r="I2349" s="326"/>
      <c r="J2349" s="326"/>
      <c r="K2349" s="326"/>
      <c r="M2349" s="463"/>
      <c r="N2349" s="464"/>
    </row>
    <row r="2350" spans="2:14" hidden="1" outlineLevel="1" x14ac:dyDescent="0.35">
      <c r="B2350" s="203"/>
      <c r="C2350" s="204"/>
      <c r="D2350" s="204"/>
      <c r="E2350" s="204"/>
      <c r="F2350" s="205"/>
      <c r="G2350" s="548"/>
      <c r="H2350" s="550"/>
      <c r="I2350" s="326"/>
      <c r="J2350" s="326"/>
      <c r="K2350" s="326"/>
      <c r="M2350" s="463"/>
      <c r="N2350" s="464"/>
    </row>
    <row r="2351" spans="2:14" hidden="1" outlineLevel="1" x14ac:dyDescent="0.35">
      <c r="B2351" s="203"/>
      <c r="C2351" s="204"/>
      <c r="D2351" s="204"/>
      <c r="E2351" s="204"/>
      <c r="F2351" s="205"/>
      <c r="G2351" s="548"/>
      <c r="H2351" s="550"/>
      <c r="I2351" s="326"/>
      <c r="J2351" s="326"/>
      <c r="K2351" s="326"/>
      <c r="M2351" s="463"/>
      <c r="N2351" s="464"/>
    </row>
    <row r="2352" spans="2:14" hidden="1" outlineLevel="1" x14ac:dyDescent="0.35">
      <c r="B2352" s="203"/>
      <c r="C2352" s="204"/>
      <c r="D2352" s="204"/>
      <c r="E2352" s="204"/>
      <c r="F2352" s="205"/>
      <c r="G2352" s="548"/>
      <c r="H2352" s="550"/>
      <c r="I2352" s="326"/>
      <c r="J2352" s="326"/>
      <c r="K2352" s="326"/>
      <c r="M2352" s="463"/>
      <c r="N2352" s="464"/>
    </row>
    <row r="2353" spans="2:14" hidden="1" outlineLevel="1" x14ac:dyDescent="0.35">
      <c r="B2353" s="203"/>
      <c r="C2353" s="204"/>
      <c r="D2353" s="204"/>
      <c r="E2353" s="204"/>
      <c r="F2353" s="205"/>
      <c r="G2353" s="548"/>
      <c r="H2353" s="550"/>
      <c r="I2353" s="326"/>
      <c r="J2353" s="326"/>
      <c r="K2353" s="326"/>
      <c r="M2353" s="463"/>
      <c r="N2353" s="464"/>
    </row>
    <row r="2354" spans="2:14" hidden="1" outlineLevel="1" x14ac:dyDescent="0.35">
      <c r="B2354" s="203"/>
      <c r="C2354" s="204"/>
      <c r="D2354" s="204"/>
      <c r="E2354" s="204"/>
      <c r="F2354" s="205"/>
      <c r="G2354" s="548"/>
      <c r="H2354" s="550"/>
      <c r="I2354" s="326"/>
      <c r="J2354" s="326"/>
      <c r="K2354" s="326"/>
      <c r="M2354" s="463"/>
      <c r="N2354" s="464"/>
    </row>
    <row r="2355" spans="2:14" hidden="1" outlineLevel="1" x14ac:dyDescent="0.35">
      <c r="B2355" s="203"/>
      <c r="C2355" s="204"/>
      <c r="D2355" s="204"/>
      <c r="E2355" s="204"/>
      <c r="F2355" s="205"/>
      <c r="G2355" s="548"/>
      <c r="H2355" s="550"/>
      <c r="I2355" s="326"/>
      <c r="J2355" s="326"/>
      <c r="K2355" s="326"/>
      <c r="M2355" s="463"/>
      <c r="N2355" s="464"/>
    </row>
    <row r="2356" spans="2:14" hidden="1" outlineLevel="1" x14ac:dyDescent="0.35">
      <c r="B2356" s="203"/>
      <c r="C2356" s="204"/>
      <c r="D2356" s="204"/>
      <c r="E2356" s="204"/>
      <c r="F2356" s="205"/>
      <c r="G2356" s="548"/>
      <c r="H2356" s="550"/>
      <c r="I2356" s="326"/>
      <c r="J2356" s="326"/>
      <c r="K2356" s="326"/>
      <c r="M2356" s="463"/>
      <c r="N2356" s="464"/>
    </row>
    <row r="2357" spans="2:14" hidden="1" outlineLevel="1" x14ac:dyDescent="0.35">
      <c r="B2357" s="203"/>
      <c r="C2357" s="204"/>
      <c r="D2357" s="204"/>
      <c r="E2357" s="204"/>
      <c r="F2357" s="205"/>
      <c r="G2357" s="548"/>
      <c r="H2357" s="550"/>
      <c r="I2357" s="326"/>
      <c r="J2357" s="326"/>
      <c r="K2357" s="326"/>
      <c r="M2357" s="463"/>
      <c r="N2357" s="464"/>
    </row>
    <row r="2358" spans="2:14" hidden="1" outlineLevel="1" x14ac:dyDescent="0.35">
      <c r="B2358" s="203"/>
      <c r="C2358" s="204"/>
      <c r="D2358" s="204"/>
      <c r="E2358" s="204"/>
      <c r="F2358" s="205"/>
      <c r="G2358" s="548"/>
      <c r="H2358" s="550"/>
      <c r="I2358" s="326"/>
      <c r="J2358" s="326"/>
      <c r="K2358" s="326"/>
      <c r="M2358" s="463"/>
      <c r="N2358" s="464"/>
    </row>
    <row r="2359" spans="2:14" hidden="1" outlineLevel="1" x14ac:dyDescent="0.35">
      <c r="B2359" s="203"/>
      <c r="C2359" s="204"/>
      <c r="D2359" s="204"/>
      <c r="E2359" s="204"/>
      <c r="F2359" s="205"/>
      <c r="G2359" s="548"/>
      <c r="H2359" s="550"/>
      <c r="I2359" s="326"/>
      <c r="J2359" s="326"/>
      <c r="K2359" s="326"/>
      <c r="M2359" s="463"/>
      <c r="N2359" s="464"/>
    </row>
    <row r="2360" spans="2:14" hidden="1" outlineLevel="1" x14ac:dyDescent="0.35">
      <c r="B2360" s="203"/>
      <c r="C2360" s="204"/>
      <c r="D2360" s="204"/>
      <c r="E2360" s="204"/>
      <c r="F2360" s="205"/>
      <c r="G2360" s="548"/>
      <c r="H2360" s="550"/>
      <c r="I2360" s="326"/>
      <c r="J2360" s="326"/>
      <c r="K2360" s="326"/>
      <c r="M2360" s="463"/>
      <c r="N2360" s="464"/>
    </row>
    <row r="2361" spans="2:14" hidden="1" outlineLevel="1" x14ac:dyDescent="0.35">
      <c r="B2361" s="203"/>
      <c r="C2361" s="204"/>
      <c r="D2361" s="204"/>
      <c r="E2361" s="204"/>
      <c r="F2361" s="205"/>
      <c r="G2361" s="548"/>
      <c r="H2361" s="550"/>
      <c r="I2361" s="326"/>
      <c r="J2361" s="326"/>
      <c r="K2361" s="326"/>
      <c r="M2361" s="463"/>
      <c r="N2361" s="464"/>
    </row>
    <row r="2362" spans="2:14" hidden="1" outlineLevel="1" x14ac:dyDescent="0.35">
      <c r="B2362" s="203"/>
      <c r="C2362" s="204"/>
      <c r="D2362" s="204"/>
      <c r="E2362" s="204"/>
      <c r="F2362" s="205"/>
      <c r="G2362" s="548"/>
      <c r="H2362" s="550"/>
      <c r="I2362" s="326"/>
      <c r="J2362" s="326"/>
      <c r="K2362" s="326"/>
      <c r="M2362" s="463"/>
      <c r="N2362" s="464"/>
    </row>
    <row r="2363" spans="2:14" hidden="1" outlineLevel="1" x14ac:dyDescent="0.35">
      <c r="B2363" s="203"/>
      <c r="C2363" s="204"/>
      <c r="D2363" s="204"/>
      <c r="E2363" s="204"/>
      <c r="F2363" s="205"/>
      <c r="G2363" s="548"/>
      <c r="H2363" s="550"/>
      <c r="I2363" s="326"/>
      <c r="J2363" s="326"/>
      <c r="K2363" s="326"/>
      <c r="M2363" s="463"/>
      <c r="N2363" s="464"/>
    </row>
    <row r="2364" spans="2:14" hidden="1" outlineLevel="1" x14ac:dyDescent="0.35">
      <c r="B2364" s="203"/>
      <c r="C2364" s="204"/>
      <c r="D2364" s="204"/>
      <c r="E2364" s="204"/>
      <c r="F2364" s="205"/>
      <c r="G2364" s="548"/>
      <c r="H2364" s="550"/>
      <c r="I2364" s="326"/>
      <c r="J2364" s="326"/>
      <c r="K2364" s="326"/>
      <c r="M2364" s="463"/>
      <c r="N2364" s="464"/>
    </row>
    <row r="2365" spans="2:14" hidden="1" outlineLevel="1" x14ac:dyDescent="0.35">
      <c r="B2365" s="203"/>
      <c r="C2365" s="204"/>
      <c r="D2365" s="204"/>
      <c r="E2365" s="204"/>
      <c r="F2365" s="205"/>
      <c r="G2365" s="548"/>
      <c r="H2365" s="550"/>
      <c r="I2365" s="326"/>
      <c r="J2365" s="326"/>
      <c r="K2365" s="326"/>
      <c r="M2365" s="463"/>
      <c r="N2365" s="464"/>
    </row>
    <row r="2366" spans="2:14" hidden="1" outlineLevel="1" x14ac:dyDescent="0.35">
      <c r="B2366" s="203"/>
      <c r="C2366" s="204"/>
      <c r="D2366" s="204"/>
      <c r="E2366" s="204"/>
      <c r="F2366" s="205"/>
      <c r="G2366" s="548"/>
      <c r="H2366" s="550"/>
      <c r="I2366" s="326"/>
      <c r="J2366" s="326"/>
      <c r="K2366" s="326"/>
      <c r="M2366" s="463"/>
      <c r="N2366" s="464"/>
    </row>
    <row r="2367" spans="2:14" hidden="1" outlineLevel="1" x14ac:dyDescent="0.35">
      <c r="B2367" s="203"/>
      <c r="C2367" s="204"/>
      <c r="D2367" s="204"/>
      <c r="E2367" s="204"/>
      <c r="F2367" s="205"/>
      <c r="G2367" s="548"/>
      <c r="H2367" s="550"/>
      <c r="I2367" s="326"/>
      <c r="J2367" s="326"/>
      <c r="K2367" s="326"/>
      <c r="M2367" s="463"/>
      <c r="N2367" s="464"/>
    </row>
    <row r="2368" spans="2:14" hidden="1" outlineLevel="1" x14ac:dyDescent="0.35">
      <c r="B2368" s="203"/>
      <c r="C2368" s="204"/>
      <c r="D2368" s="204"/>
      <c r="E2368" s="204"/>
      <c r="F2368" s="205"/>
      <c r="G2368" s="548"/>
      <c r="H2368" s="550"/>
      <c r="I2368" s="326"/>
      <c r="J2368" s="326"/>
      <c r="K2368" s="326"/>
      <c r="M2368" s="463"/>
      <c r="N2368" s="464"/>
    </row>
    <row r="2369" spans="2:14" hidden="1" outlineLevel="1" x14ac:dyDescent="0.35">
      <c r="B2369" s="203"/>
      <c r="C2369" s="204"/>
      <c r="D2369" s="204"/>
      <c r="E2369" s="204"/>
      <c r="F2369" s="205"/>
      <c r="G2369" s="548"/>
      <c r="H2369" s="550"/>
      <c r="I2369" s="326"/>
      <c r="J2369" s="326"/>
      <c r="K2369" s="326"/>
      <c r="M2369" s="463"/>
      <c r="N2369" s="464"/>
    </row>
    <row r="2370" spans="2:14" hidden="1" outlineLevel="1" x14ac:dyDescent="0.35">
      <c r="B2370" s="203"/>
      <c r="C2370" s="204"/>
      <c r="D2370" s="204"/>
      <c r="E2370" s="204"/>
      <c r="F2370" s="205"/>
      <c r="G2370" s="548"/>
      <c r="H2370" s="550"/>
      <c r="I2370" s="326"/>
      <c r="J2370" s="326"/>
      <c r="K2370" s="326"/>
      <c r="M2370" s="463"/>
      <c r="N2370" s="464"/>
    </row>
    <row r="2371" spans="2:14" hidden="1" outlineLevel="1" x14ac:dyDescent="0.35">
      <c r="B2371" s="203"/>
      <c r="C2371" s="204"/>
      <c r="D2371" s="204"/>
      <c r="E2371" s="204"/>
      <c r="F2371" s="205"/>
      <c r="G2371" s="548"/>
      <c r="H2371" s="550"/>
      <c r="I2371" s="326"/>
      <c r="J2371" s="326"/>
      <c r="K2371" s="326"/>
      <c r="M2371" s="463"/>
      <c r="N2371" s="464"/>
    </row>
    <row r="2372" spans="2:14" hidden="1" outlineLevel="1" x14ac:dyDescent="0.35">
      <c r="B2372" s="203"/>
      <c r="C2372" s="204"/>
      <c r="D2372" s="204"/>
      <c r="E2372" s="204"/>
      <c r="F2372" s="205"/>
      <c r="G2372" s="548"/>
      <c r="H2372" s="550"/>
      <c r="I2372" s="326"/>
      <c r="J2372" s="326"/>
      <c r="K2372" s="326"/>
      <c r="M2372" s="463"/>
      <c r="N2372" s="464"/>
    </row>
    <row r="2373" spans="2:14" hidden="1" outlineLevel="1" x14ac:dyDescent="0.35">
      <c r="B2373" s="203"/>
      <c r="C2373" s="204"/>
      <c r="D2373" s="204"/>
      <c r="E2373" s="204"/>
      <c r="F2373" s="205"/>
      <c r="G2373" s="548"/>
      <c r="H2373" s="550"/>
      <c r="I2373" s="326"/>
      <c r="J2373" s="326"/>
      <c r="K2373" s="326"/>
      <c r="M2373" s="463"/>
      <c r="N2373" s="464"/>
    </row>
    <row r="2374" spans="2:14" hidden="1" outlineLevel="1" x14ac:dyDescent="0.35">
      <c r="B2374" s="203"/>
      <c r="C2374" s="204"/>
      <c r="D2374" s="204"/>
      <c r="E2374" s="204"/>
      <c r="F2374" s="205"/>
      <c r="G2374" s="548"/>
      <c r="H2374" s="550"/>
      <c r="I2374" s="326"/>
      <c r="J2374" s="326"/>
      <c r="K2374" s="326"/>
      <c r="M2374" s="463"/>
      <c r="N2374" s="464"/>
    </row>
    <row r="2375" spans="2:14" hidden="1" outlineLevel="1" x14ac:dyDescent="0.35">
      <c r="B2375" s="203"/>
      <c r="C2375" s="204"/>
      <c r="D2375" s="204"/>
      <c r="E2375" s="204"/>
      <c r="F2375" s="205"/>
      <c r="G2375" s="548"/>
      <c r="H2375" s="550"/>
      <c r="I2375" s="326"/>
      <c r="J2375" s="326"/>
      <c r="K2375" s="326"/>
      <c r="M2375" s="463"/>
      <c r="N2375" s="464"/>
    </row>
    <row r="2376" spans="2:14" hidden="1" outlineLevel="1" x14ac:dyDescent="0.35">
      <c r="B2376" s="203"/>
      <c r="C2376" s="204"/>
      <c r="D2376" s="204"/>
      <c r="E2376" s="204"/>
      <c r="F2376" s="205"/>
      <c r="G2376" s="548"/>
      <c r="H2376" s="550"/>
      <c r="I2376" s="326"/>
      <c r="J2376" s="326"/>
      <c r="K2376" s="326"/>
      <c r="M2376" s="463"/>
      <c r="N2376" s="464"/>
    </row>
    <row r="2377" spans="2:14" hidden="1" outlineLevel="1" x14ac:dyDescent="0.35">
      <c r="B2377" s="203"/>
      <c r="C2377" s="204"/>
      <c r="D2377" s="204"/>
      <c r="E2377" s="204"/>
      <c r="F2377" s="205"/>
      <c r="G2377" s="548"/>
      <c r="H2377" s="550"/>
      <c r="I2377" s="326"/>
      <c r="J2377" s="326"/>
      <c r="K2377" s="326"/>
      <c r="M2377" s="463"/>
      <c r="N2377" s="464"/>
    </row>
    <row r="2378" spans="2:14" hidden="1" outlineLevel="1" x14ac:dyDescent="0.35">
      <c r="B2378" s="203"/>
      <c r="C2378" s="204"/>
      <c r="D2378" s="204"/>
      <c r="E2378" s="204"/>
      <c r="F2378" s="205"/>
      <c r="G2378" s="548"/>
      <c r="H2378" s="550"/>
      <c r="I2378" s="326"/>
      <c r="J2378" s="326"/>
      <c r="K2378" s="326"/>
      <c r="M2378" s="463"/>
      <c r="N2378" s="464"/>
    </row>
    <row r="2379" spans="2:14" hidden="1" outlineLevel="1" x14ac:dyDescent="0.35">
      <c r="B2379" s="203"/>
      <c r="C2379" s="204"/>
      <c r="D2379" s="204"/>
      <c r="E2379" s="204"/>
      <c r="F2379" s="205"/>
      <c r="G2379" s="548"/>
      <c r="H2379" s="550"/>
      <c r="I2379" s="326"/>
      <c r="J2379" s="326"/>
      <c r="K2379" s="326"/>
      <c r="M2379" s="463"/>
      <c r="N2379" s="464"/>
    </row>
    <row r="2380" spans="2:14" hidden="1" outlineLevel="1" x14ac:dyDescent="0.35">
      <c r="B2380" s="203"/>
      <c r="C2380" s="204"/>
      <c r="D2380" s="204"/>
      <c r="E2380" s="204"/>
      <c r="F2380" s="205"/>
      <c r="G2380" s="548"/>
      <c r="H2380" s="550"/>
      <c r="I2380" s="326"/>
      <c r="J2380" s="326"/>
      <c r="K2380" s="326"/>
      <c r="M2380" s="463"/>
      <c r="N2380" s="464"/>
    </row>
    <row r="2381" spans="2:14" hidden="1" outlineLevel="1" x14ac:dyDescent="0.35">
      <c r="B2381" s="203"/>
      <c r="C2381" s="204"/>
      <c r="D2381" s="204"/>
      <c r="E2381" s="204"/>
      <c r="F2381" s="205"/>
      <c r="G2381" s="548"/>
      <c r="H2381" s="550"/>
      <c r="I2381" s="326"/>
      <c r="J2381" s="326"/>
      <c r="K2381" s="326"/>
      <c r="M2381" s="463"/>
      <c r="N2381" s="464"/>
    </row>
    <row r="2382" spans="2:14" hidden="1" outlineLevel="1" x14ac:dyDescent="0.35">
      <c r="B2382" s="203"/>
      <c r="C2382" s="204"/>
      <c r="D2382" s="204"/>
      <c r="E2382" s="204"/>
      <c r="F2382" s="205"/>
      <c r="G2382" s="548"/>
      <c r="H2382" s="550"/>
      <c r="I2382" s="326"/>
      <c r="J2382" s="326"/>
      <c r="K2382" s="326"/>
      <c r="M2382" s="463"/>
      <c r="N2382" s="464"/>
    </row>
    <row r="2383" spans="2:14" hidden="1" outlineLevel="1" x14ac:dyDescent="0.35">
      <c r="B2383" s="203"/>
      <c r="C2383" s="204"/>
      <c r="D2383" s="204"/>
      <c r="E2383" s="204"/>
      <c r="F2383" s="205"/>
      <c r="G2383" s="548"/>
      <c r="H2383" s="550"/>
      <c r="I2383" s="326"/>
      <c r="J2383" s="326"/>
      <c r="K2383" s="326"/>
      <c r="M2383" s="463"/>
      <c r="N2383" s="464"/>
    </row>
    <row r="2384" spans="2:14" hidden="1" outlineLevel="1" x14ac:dyDescent="0.35">
      <c r="B2384" s="203"/>
      <c r="C2384" s="204"/>
      <c r="D2384" s="204"/>
      <c r="E2384" s="204"/>
      <c r="F2384" s="205"/>
      <c r="G2384" s="548"/>
      <c r="H2384" s="550"/>
      <c r="I2384" s="326"/>
      <c r="J2384" s="326"/>
      <c r="K2384" s="326"/>
      <c r="M2384" s="463"/>
      <c r="N2384" s="464"/>
    </row>
    <row r="2385" spans="2:14" hidden="1" outlineLevel="1" x14ac:dyDescent="0.35">
      <c r="B2385" s="203"/>
      <c r="C2385" s="204"/>
      <c r="D2385" s="204"/>
      <c r="E2385" s="204"/>
      <c r="F2385" s="205"/>
      <c r="G2385" s="548"/>
      <c r="H2385" s="550"/>
      <c r="I2385" s="326"/>
      <c r="J2385" s="326"/>
      <c r="K2385" s="326"/>
      <c r="M2385" s="463"/>
      <c r="N2385" s="464"/>
    </row>
    <row r="2386" spans="2:14" hidden="1" outlineLevel="1" x14ac:dyDescent="0.35">
      <c r="B2386" s="203"/>
      <c r="C2386" s="204"/>
      <c r="D2386" s="204"/>
      <c r="E2386" s="204"/>
      <c r="F2386" s="205"/>
      <c r="G2386" s="548"/>
      <c r="H2386" s="550"/>
      <c r="I2386" s="326"/>
      <c r="J2386" s="326"/>
      <c r="K2386" s="326"/>
      <c r="M2386" s="463"/>
      <c r="N2386" s="464"/>
    </row>
    <row r="2387" spans="2:14" hidden="1" outlineLevel="1" x14ac:dyDescent="0.35">
      <c r="B2387" s="203"/>
      <c r="C2387" s="204"/>
      <c r="D2387" s="204"/>
      <c r="E2387" s="204"/>
      <c r="F2387" s="205"/>
      <c r="G2387" s="548"/>
      <c r="H2387" s="550"/>
      <c r="I2387" s="326"/>
      <c r="J2387" s="326"/>
      <c r="K2387" s="326"/>
      <c r="M2387" s="463"/>
      <c r="N2387" s="464"/>
    </row>
    <row r="2388" spans="2:14" hidden="1" outlineLevel="1" x14ac:dyDescent="0.35">
      <c r="B2388" s="203"/>
      <c r="C2388" s="204"/>
      <c r="D2388" s="204"/>
      <c r="E2388" s="204"/>
      <c r="F2388" s="205"/>
      <c r="G2388" s="548"/>
      <c r="H2388" s="550"/>
      <c r="I2388" s="326"/>
      <c r="J2388" s="326"/>
      <c r="K2388" s="326"/>
      <c r="M2388" s="463"/>
      <c r="N2388" s="464"/>
    </row>
    <row r="2389" spans="2:14" hidden="1" outlineLevel="1" x14ac:dyDescent="0.35">
      <c r="B2389" s="203"/>
      <c r="C2389" s="204"/>
      <c r="D2389" s="204"/>
      <c r="E2389" s="204"/>
      <c r="F2389" s="205"/>
      <c r="G2389" s="548"/>
      <c r="H2389" s="550"/>
      <c r="I2389" s="326"/>
      <c r="J2389" s="326"/>
      <c r="K2389" s="326"/>
      <c r="M2389" s="463"/>
      <c r="N2389" s="464"/>
    </row>
    <row r="2390" spans="2:14" hidden="1" outlineLevel="1" x14ac:dyDescent="0.35">
      <c r="B2390" s="203"/>
      <c r="C2390" s="204"/>
      <c r="D2390" s="204"/>
      <c r="E2390" s="204"/>
      <c r="F2390" s="205"/>
      <c r="G2390" s="548"/>
      <c r="H2390" s="550"/>
      <c r="I2390" s="326"/>
      <c r="J2390" s="326"/>
      <c r="K2390" s="326"/>
      <c r="M2390" s="463"/>
      <c r="N2390" s="464"/>
    </row>
    <row r="2391" spans="2:14" hidden="1" outlineLevel="1" x14ac:dyDescent="0.35">
      <c r="B2391" s="203"/>
      <c r="C2391" s="204"/>
      <c r="D2391" s="204"/>
      <c r="E2391" s="204"/>
      <c r="F2391" s="205"/>
      <c r="G2391" s="548"/>
      <c r="H2391" s="550"/>
      <c r="I2391" s="326"/>
      <c r="J2391" s="326"/>
      <c r="K2391" s="326"/>
      <c r="M2391" s="463"/>
      <c r="N2391" s="464"/>
    </row>
    <row r="2392" spans="2:14" hidden="1" outlineLevel="1" x14ac:dyDescent="0.35">
      <c r="B2392" s="203"/>
      <c r="C2392" s="204"/>
      <c r="D2392" s="204"/>
      <c r="E2392" s="204"/>
      <c r="F2392" s="205"/>
      <c r="G2392" s="548"/>
      <c r="H2392" s="550"/>
      <c r="I2392" s="326"/>
      <c r="J2392" s="326"/>
      <c r="K2392" s="326"/>
      <c r="M2392" s="463"/>
      <c r="N2392" s="464"/>
    </row>
    <row r="2393" spans="2:14" hidden="1" outlineLevel="1" x14ac:dyDescent="0.35">
      <c r="B2393" s="203"/>
      <c r="C2393" s="204"/>
      <c r="D2393" s="204"/>
      <c r="E2393" s="204"/>
      <c r="F2393" s="205"/>
      <c r="G2393" s="548"/>
      <c r="H2393" s="550"/>
      <c r="I2393" s="326"/>
      <c r="J2393" s="326"/>
      <c r="K2393" s="326"/>
      <c r="M2393" s="463"/>
      <c r="N2393" s="464"/>
    </row>
    <row r="2394" spans="2:14" hidden="1" outlineLevel="1" x14ac:dyDescent="0.35">
      <c r="B2394" s="203"/>
      <c r="C2394" s="204"/>
      <c r="D2394" s="204"/>
      <c r="E2394" s="204"/>
      <c r="F2394" s="205"/>
      <c r="G2394" s="548"/>
      <c r="H2394" s="550"/>
      <c r="I2394" s="326"/>
      <c r="J2394" s="326"/>
      <c r="K2394" s="326"/>
      <c r="M2394" s="463"/>
      <c r="N2394" s="464"/>
    </row>
    <row r="2395" spans="2:14" hidden="1" outlineLevel="1" x14ac:dyDescent="0.35">
      <c r="B2395" s="203"/>
      <c r="C2395" s="204"/>
      <c r="D2395" s="204"/>
      <c r="E2395" s="204"/>
      <c r="F2395" s="205"/>
      <c r="G2395" s="548"/>
      <c r="H2395" s="550"/>
      <c r="I2395" s="326"/>
      <c r="J2395" s="326"/>
      <c r="K2395" s="326"/>
      <c r="M2395" s="463"/>
      <c r="N2395" s="464"/>
    </row>
    <row r="2396" spans="2:14" hidden="1" outlineLevel="1" x14ac:dyDescent="0.35">
      <c r="B2396" s="203"/>
      <c r="C2396" s="204"/>
      <c r="D2396" s="204"/>
      <c r="E2396" s="204"/>
      <c r="F2396" s="205"/>
      <c r="G2396" s="548"/>
      <c r="H2396" s="550"/>
      <c r="I2396" s="326"/>
      <c r="J2396" s="326"/>
      <c r="K2396" s="326"/>
      <c r="M2396" s="463"/>
      <c r="N2396" s="464"/>
    </row>
    <row r="2397" spans="2:14" hidden="1" outlineLevel="1" x14ac:dyDescent="0.35">
      <c r="B2397" s="203"/>
      <c r="C2397" s="204"/>
      <c r="D2397" s="204"/>
      <c r="E2397" s="204"/>
      <c r="F2397" s="205"/>
      <c r="G2397" s="548"/>
      <c r="H2397" s="550"/>
      <c r="I2397" s="326"/>
      <c r="J2397" s="326"/>
      <c r="K2397" s="326"/>
      <c r="M2397" s="463"/>
      <c r="N2397" s="464"/>
    </row>
    <row r="2398" spans="2:14" hidden="1" outlineLevel="1" x14ac:dyDescent="0.35">
      <c r="B2398" s="203"/>
      <c r="C2398" s="204"/>
      <c r="D2398" s="204"/>
      <c r="E2398" s="204"/>
      <c r="F2398" s="205"/>
      <c r="G2398" s="548"/>
      <c r="H2398" s="550"/>
      <c r="I2398" s="326"/>
      <c r="J2398" s="326"/>
      <c r="K2398" s="326"/>
      <c r="M2398" s="463"/>
      <c r="N2398" s="464"/>
    </row>
    <row r="2399" spans="2:14" hidden="1" outlineLevel="1" x14ac:dyDescent="0.35">
      <c r="B2399" s="203"/>
      <c r="C2399" s="204"/>
      <c r="D2399" s="204"/>
      <c r="E2399" s="204"/>
      <c r="F2399" s="205"/>
      <c r="G2399" s="548"/>
      <c r="H2399" s="550"/>
      <c r="I2399" s="326"/>
      <c r="J2399" s="326"/>
      <c r="K2399" s="326"/>
      <c r="M2399" s="463"/>
      <c r="N2399" s="464"/>
    </row>
    <row r="2400" spans="2:14" hidden="1" outlineLevel="1" x14ac:dyDescent="0.35">
      <c r="B2400" s="203"/>
      <c r="C2400" s="204"/>
      <c r="D2400" s="204"/>
      <c r="E2400" s="204"/>
      <c r="F2400" s="205"/>
      <c r="G2400" s="548"/>
      <c r="H2400" s="550"/>
      <c r="I2400" s="326"/>
      <c r="J2400" s="326"/>
      <c r="K2400" s="326"/>
      <c r="M2400" s="463"/>
      <c r="N2400" s="464"/>
    </row>
    <row r="2401" spans="2:14" hidden="1" outlineLevel="1" x14ac:dyDescent="0.35">
      <c r="B2401" s="203"/>
      <c r="C2401" s="204"/>
      <c r="D2401" s="204"/>
      <c r="E2401" s="204"/>
      <c r="F2401" s="205"/>
      <c r="G2401" s="548"/>
      <c r="H2401" s="550"/>
      <c r="I2401" s="326"/>
      <c r="J2401" s="326"/>
      <c r="K2401" s="326"/>
      <c r="M2401" s="463"/>
      <c r="N2401" s="464"/>
    </row>
    <row r="2402" spans="2:14" hidden="1" outlineLevel="1" x14ac:dyDescent="0.35">
      <c r="B2402" s="203"/>
      <c r="C2402" s="204"/>
      <c r="D2402" s="204"/>
      <c r="E2402" s="204"/>
      <c r="F2402" s="205"/>
      <c r="G2402" s="548"/>
      <c r="H2402" s="550"/>
      <c r="I2402" s="326"/>
      <c r="J2402" s="326"/>
      <c r="K2402" s="326"/>
      <c r="M2402" s="463"/>
      <c r="N2402" s="464"/>
    </row>
    <row r="2403" spans="2:14" hidden="1" outlineLevel="1" x14ac:dyDescent="0.35">
      <c r="B2403" s="203"/>
      <c r="C2403" s="204"/>
      <c r="D2403" s="204"/>
      <c r="E2403" s="204"/>
      <c r="F2403" s="205"/>
      <c r="G2403" s="548"/>
      <c r="H2403" s="550"/>
      <c r="I2403" s="326"/>
      <c r="J2403" s="326"/>
      <c r="K2403" s="326"/>
      <c r="M2403" s="463"/>
      <c r="N2403" s="464"/>
    </row>
    <row r="2404" spans="2:14" hidden="1" outlineLevel="1" x14ac:dyDescent="0.35">
      <c r="B2404" s="203"/>
      <c r="C2404" s="204"/>
      <c r="D2404" s="204"/>
      <c r="E2404" s="204"/>
      <c r="F2404" s="205"/>
      <c r="G2404" s="548"/>
      <c r="H2404" s="550"/>
      <c r="I2404" s="326"/>
      <c r="J2404" s="326"/>
      <c r="K2404" s="326"/>
      <c r="M2404" s="463"/>
      <c r="N2404" s="464"/>
    </row>
    <row r="2405" spans="2:14" hidden="1" outlineLevel="1" x14ac:dyDescent="0.35">
      <c r="B2405" s="203"/>
      <c r="C2405" s="204"/>
      <c r="D2405" s="204"/>
      <c r="E2405" s="204"/>
      <c r="F2405" s="205"/>
      <c r="G2405" s="548"/>
      <c r="H2405" s="550"/>
      <c r="I2405" s="326"/>
      <c r="J2405" s="326"/>
      <c r="K2405" s="326"/>
      <c r="M2405" s="463"/>
      <c r="N2405" s="464"/>
    </row>
    <row r="2406" spans="2:14" hidden="1" outlineLevel="1" x14ac:dyDescent="0.35">
      <c r="B2406" s="203"/>
      <c r="C2406" s="204"/>
      <c r="D2406" s="204"/>
      <c r="E2406" s="204"/>
      <c r="F2406" s="205"/>
      <c r="G2406" s="548"/>
      <c r="H2406" s="550"/>
      <c r="I2406" s="326"/>
      <c r="J2406" s="326"/>
      <c r="K2406" s="326"/>
      <c r="M2406" s="463"/>
      <c r="N2406" s="464"/>
    </row>
    <row r="2407" spans="2:14" hidden="1" outlineLevel="1" x14ac:dyDescent="0.35">
      <c r="B2407" s="203"/>
      <c r="C2407" s="204"/>
      <c r="D2407" s="204"/>
      <c r="E2407" s="204"/>
      <c r="F2407" s="205"/>
      <c r="G2407" s="548"/>
      <c r="H2407" s="550"/>
      <c r="I2407" s="326"/>
      <c r="J2407" s="326"/>
      <c r="K2407" s="326"/>
      <c r="M2407" s="463"/>
      <c r="N2407" s="464"/>
    </row>
    <row r="2408" spans="2:14" hidden="1" outlineLevel="1" x14ac:dyDescent="0.35">
      <c r="B2408" s="203"/>
      <c r="C2408" s="204"/>
      <c r="D2408" s="204"/>
      <c r="E2408" s="204"/>
      <c r="F2408" s="205"/>
      <c r="G2408" s="548"/>
      <c r="H2408" s="550"/>
      <c r="I2408" s="326"/>
      <c r="J2408" s="326"/>
      <c r="K2408" s="326"/>
      <c r="M2408" s="463"/>
      <c r="N2408" s="464"/>
    </row>
    <row r="2409" spans="2:14" hidden="1" outlineLevel="1" x14ac:dyDescent="0.35">
      <c r="B2409" s="203"/>
      <c r="C2409" s="204"/>
      <c r="D2409" s="204"/>
      <c r="E2409" s="204"/>
      <c r="F2409" s="205"/>
      <c r="G2409" s="548"/>
      <c r="H2409" s="550"/>
      <c r="I2409" s="326"/>
      <c r="J2409" s="326"/>
      <c r="K2409" s="326"/>
      <c r="M2409" s="463"/>
      <c r="N2409" s="464"/>
    </row>
    <row r="2410" spans="2:14" hidden="1" outlineLevel="1" x14ac:dyDescent="0.35">
      <c r="B2410" s="203"/>
      <c r="C2410" s="204"/>
      <c r="D2410" s="204"/>
      <c r="E2410" s="204"/>
      <c r="F2410" s="205"/>
      <c r="G2410" s="548"/>
      <c r="H2410" s="550"/>
      <c r="I2410" s="326"/>
      <c r="J2410" s="326"/>
      <c r="K2410" s="326"/>
      <c r="M2410" s="463"/>
      <c r="N2410" s="464"/>
    </row>
    <row r="2411" spans="2:14" hidden="1" outlineLevel="1" x14ac:dyDescent="0.35">
      <c r="B2411" s="203"/>
      <c r="C2411" s="204"/>
      <c r="D2411" s="204"/>
      <c r="E2411" s="204"/>
      <c r="F2411" s="205"/>
      <c r="G2411" s="548"/>
      <c r="H2411" s="550"/>
      <c r="I2411" s="326"/>
      <c r="J2411" s="326"/>
      <c r="K2411" s="326"/>
      <c r="M2411" s="463"/>
      <c r="N2411" s="464"/>
    </row>
    <row r="2412" spans="2:14" hidden="1" outlineLevel="1" x14ac:dyDescent="0.35">
      <c r="B2412" s="203"/>
      <c r="C2412" s="204"/>
      <c r="D2412" s="204"/>
      <c r="E2412" s="204"/>
      <c r="F2412" s="205"/>
      <c r="G2412" s="548"/>
      <c r="H2412" s="550"/>
      <c r="I2412" s="326"/>
      <c r="J2412" s="326"/>
      <c r="K2412" s="326"/>
      <c r="M2412" s="463"/>
      <c r="N2412" s="464"/>
    </row>
    <row r="2413" spans="2:14" hidden="1" outlineLevel="1" x14ac:dyDescent="0.35">
      <c r="B2413" s="203"/>
      <c r="C2413" s="204"/>
      <c r="D2413" s="204"/>
      <c r="E2413" s="204"/>
      <c r="F2413" s="205"/>
      <c r="G2413" s="548"/>
      <c r="H2413" s="550"/>
      <c r="I2413" s="326"/>
      <c r="J2413" s="326"/>
      <c r="K2413" s="326"/>
      <c r="M2413" s="463"/>
      <c r="N2413" s="464"/>
    </row>
    <row r="2414" spans="2:14" hidden="1" outlineLevel="1" x14ac:dyDescent="0.35">
      <c r="B2414" s="203"/>
      <c r="C2414" s="204"/>
      <c r="D2414" s="204"/>
      <c r="E2414" s="204"/>
      <c r="F2414" s="205"/>
      <c r="G2414" s="548"/>
      <c r="H2414" s="550"/>
      <c r="I2414" s="326"/>
      <c r="J2414" s="326"/>
      <c r="K2414" s="326"/>
      <c r="M2414" s="463"/>
      <c r="N2414" s="464"/>
    </row>
    <row r="2415" spans="2:14" hidden="1" outlineLevel="1" x14ac:dyDescent="0.35">
      <c r="B2415" s="203"/>
      <c r="C2415" s="204"/>
      <c r="D2415" s="204"/>
      <c r="E2415" s="204"/>
      <c r="F2415" s="205"/>
      <c r="G2415" s="548"/>
      <c r="H2415" s="550"/>
      <c r="I2415" s="326"/>
      <c r="J2415" s="326"/>
      <c r="K2415" s="326"/>
      <c r="M2415" s="463"/>
      <c r="N2415" s="464"/>
    </row>
    <row r="2416" spans="2:14" hidden="1" outlineLevel="1" x14ac:dyDescent="0.35">
      <c r="B2416" s="203"/>
      <c r="C2416" s="204"/>
      <c r="D2416" s="204"/>
      <c r="E2416" s="204"/>
      <c r="F2416" s="205"/>
      <c r="G2416" s="548"/>
      <c r="H2416" s="550"/>
      <c r="I2416" s="326"/>
      <c r="J2416" s="326"/>
      <c r="K2416" s="326"/>
      <c r="M2416" s="463"/>
      <c r="N2416" s="464"/>
    </row>
    <row r="2417" spans="2:14" hidden="1" outlineLevel="1" x14ac:dyDescent="0.35">
      <c r="B2417" s="203"/>
      <c r="C2417" s="204"/>
      <c r="D2417" s="204"/>
      <c r="E2417" s="204"/>
      <c r="F2417" s="205"/>
      <c r="G2417" s="548"/>
      <c r="H2417" s="550"/>
      <c r="I2417" s="326"/>
      <c r="J2417" s="326"/>
      <c r="K2417" s="326"/>
      <c r="M2417" s="463"/>
      <c r="N2417" s="464"/>
    </row>
    <row r="2418" spans="2:14" hidden="1" outlineLevel="1" x14ac:dyDescent="0.35">
      <c r="B2418" s="203"/>
      <c r="C2418" s="204"/>
      <c r="D2418" s="204"/>
      <c r="E2418" s="204"/>
      <c r="F2418" s="205"/>
      <c r="G2418" s="548"/>
      <c r="H2418" s="550"/>
      <c r="I2418" s="326"/>
      <c r="J2418" s="326"/>
      <c r="K2418" s="326"/>
      <c r="M2418" s="463"/>
      <c r="N2418" s="464"/>
    </row>
    <row r="2419" spans="2:14" hidden="1" outlineLevel="1" x14ac:dyDescent="0.35">
      <c r="B2419" s="203"/>
      <c r="C2419" s="204"/>
      <c r="D2419" s="204"/>
      <c r="E2419" s="204"/>
      <c r="F2419" s="205"/>
      <c r="G2419" s="548"/>
      <c r="H2419" s="550"/>
      <c r="I2419" s="326"/>
      <c r="J2419" s="326"/>
      <c r="K2419" s="326"/>
      <c r="M2419" s="463"/>
      <c r="N2419" s="464"/>
    </row>
    <row r="2420" spans="2:14" hidden="1" outlineLevel="1" x14ac:dyDescent="0.35">
      <c r="B2420" s="203"/>
      <c r="C2420" s="204"/>
      <c r="D2420" s="204"/>
      <c r="E2420" s="204"/>
      <c r="F2420" s="205"/>
      <c r="G2420" s="548"/>
      <c r="H2420" s="550"/>
      <c r="I2420" s="326"/>
      <c r="J2420" s="326"/>
      <c r="K2420" s="326"/>
      <c r="M2420" s="463"/>
      <c r="N2420" s="464"/>
    </row>
    <row r="2421" spans="2:14" hidden="1" outlineLevel="1" x14ac:dyDescent="0.35">
      <c r="B2421" s="203"/>
      <c r="C2421" s="204"/>
      <c r="D2421" s="204"/>
      <c r="E2421" s="204"/>
      <c r="F2421" s="205"/>
      <c r="G2421" s="548"/>
      <c r="H2421" s="550"/>
      <c r="I2421" s="326"/>
      <c r="J2421" s="326"/>
      <c r="K2421" s="326"/>
      <c r="M2421" s="463"/>
      <c r="N2421" s="464"/>
    </row>
    <row r="2422" spans="2:14" hidden="1" outlineLevel="1" x14ac:dyDescent="0.35">
      <c r="B2422" s="203"/>
      <c r="C2422" s="204"/>
      <c r="D2422" s="204"/>
      <c r="E2422" s="204"/>
      <c r="F2422" s="205"/>
      <c r="G2422" s="548"/>
      <c r="H2422" s="550"/>
      <c r="I2422" s="326"/>
      <c r="J2422" s="326"/>
      <c r="K2422" s="326"/>
      <c r="M2422" s="463"/>
      <c r="N2422" s="464"/>
    </row>
    <row r="2423" spans="2:14" hidden="1" outlineLevel="1" x14ac:dyDescent="0.35">
      <c r="B2423" s="203"/>
      <c r="C2423" s="204"/>
      <c r="D2423" s="204"/>
      <c r="E2423" s="204"/>
      <c r="F2423" s="205"/>
      <c r="G2423" s="548"/>
      <c r="H2423" s="550"/>
      <c r="I2423" s="326"/>
      <c r="J2423" s="326"/>
      <c r="K2423" s="326"/>
      <c r="M2423" s="463"/>
      <c r="N2423" s="464"/>
    </row>
    <row r="2424" spans="2:14" hidden="1" outlineLevel="1" x14ac:dyDescent="0.35">
      <c r="B2424" s="203"/>
      <c r="C2424" s="204"/>
      <c r="D2424" s="204"/>
      <c r="E2424" s="204"/>
      <c r="F2424" s="205"/>
      <c r="G2424" s="548"/>
      <c r="H2424" s="550"/>
      <c r="I2424" s="326"/>
      <c r="J2424" s="326"/>
      <c r="K2424" s="326"/>
      <c r="M2424" s="463"/>
      <c r="N2424" s="464"/>
    </row>
    <row r="2425" spans="2:14" hidden="1" outlineLevel="1" x14ac:dyDescent="0.35">
      <c r="B2425" s="203"/>
      <c r="C2425" s="204"/>
      <c r="D2425" s="204"/>
      <c r="E2425" s="204"/>
      <c r="F2425" s="205"/>
      <c r="G2425" s="548"/>
      <c r="H2425" s="550"/>
      <c r="I2425" s="326"/>
      <c r="J2425" s="326"/>
      <c r="K2425" s="326"/>
      <c r="M2425" s="463"/>
      <c r="N2425" s="464"/>
    </row>
    <row r="2426" spans="2:14" hidden="1" outlineLevel="1" x14ac:dyDescent="0.35">
      <c r="B2426" s="203"/>
      <c r="C2426" s="204"/>
      <c r="D2426" s="204"/>
      <c r="E2426" s="204"/>
      <c r="F2426" s="205"/>
      <c r="G2426" s="548"/>
      <c r="H2426" s="550"/>
      <c r="I2426" s="326"/>
      <c r="J2426" s="326"/>
      <c r="K2426" s="326"/>
      <c r="M2426" s="463"/>
      <c r="N2426" s="464"/>
    </row>
    <row r="2427" spans="2:14" hidden="1" outlineLevel="1" x14ac:dyDescent="0.35">
      <c r="B2427" s="203"/>
      <c r="C2427" s="204"/>
      <c r="D2427" s="204"/>
      <c r="E2427" s="204"/>
      <c r="F2427" s="205"/>
      <c r="G2427" s="548"/>
      <c r="H2427" s="550"/>
      <c r="I2427" s="326"/>
      <c r="J2427" s="326"/>
      <c r="K2427" s="326"/>
      <c r="M2427" s="463"/>
      <c r="N2427" s="464"/>
    </row>
    <row r="2428" spans="2:14" hidden="1" outlineLevel="1" x14ac:dyDescent="0.35">
      <c r="B2428" s="203"/>
      <c r="C2428" s="204"/>
      <c r="D2428" s="204"/>
      <c r="E2428" s="204"/>
      <c r="F2428" s="205"/>
      <c r="G2428" s="548"/>
      <c r="H2428" s="550"/>
      <c r="I2428" s="326"/>
      <c r="J2428" s="326"/>
      <c r="K2428" s="326"/>
      <c r="M2428" s="463"/>
      <c r="N2428" s="464"/>
    </row>
    <row r="2429" spans="2:14" hidden="1" outlineLevel="1" x14ac:dyDescent="0.35">
      <c r="B2429" s="203"/>
      <c r="C2429" s="204"/>
      <c r="D2429" s="204"/>
      <c r="E2429" s="204"/>
      <c r="F2429" s="205"/>
      <c r="G2429" s="548"/>
      <c r="H2429" s="550"/>
      <c r="I2429" s="326"/>
      <c r="J2429" s="326"/>
      <c r="K2429" s="326"/>
      <c r="M2429" s="463"/>
      <c r="N2429" s="464"/>
    </row>
    <row r="2430" spans="2:14" hidden="1" outlineLevel="1" x14ac:dyDescent="0.35">
      <c r="B2430" s="203"/>
      <c r="C2430" s="204"/>
      <c r="D2430" s="204"/>
      <c r="E2430" s="204"/>
      <c r="F2430" s="205"/>
      <c r="G2430" s="548"/>
      <c r="H2430" s="550"/>
      <c r="I2430" s="326"/>
      <c r="J2430" s="326"/>
      <c r="K2430" s="326"/>
      <c r="M2430" s="463"/>
      <c r="N2430" s="464"/>
    </row>
    <row r="2431" spans="2:14" hidden="1" outlineLevel="1" x14ac:dyDescent="0.35">
      <c r="B2431" s="203"/>
      <c r="C2431" s="204"/>
      <c r="D2431" s="204"/>
      <c r="E2431" s="204"/>
      <c r="F2431" s="205"/>
      <c r="G2431" s="548"/>
      <c r="H2431" s="550"/>
      <c r="I2431" s="326"/>
      <c r="J2431" s="326"/>
      <c r="K2431" s="326"/>
      <c r="M2431" s="463"/>
      <c r="N2431" s="464"/>
    </row>
    <row r="2432" spans="2:14" hidden="1" outlineLevel="1" x14ac:dyDescent="0.35">
      <c r="B2432" s="203"/>
      <c r="C2432" s="204"/>
      <c r="D2432" s="204"/>
      <c r="E2432" s="204"/>
      <c r="F2432" s="205"/>
      <c r="G2432" s="548"/>
      <c r="H2432" s="550"/>
      <c r="I2432" s="326"/>
      <c r="J2432" s="326"/>
      <c r="K2432" s="326"/>
      <c r="M2432" s="463"/>
      <c r="N2432" s="464"/>
    </row>
    <row r="2433" spans="2:14" hidden="1" outlineLevel="1" x14ac:dyDescent="0.35">
      <c r="B2433" s="203"/>
      <c r="C2433" s="204"/>
      <c r="D2433" s="204"/>
      <c r="E2433" s="204"/>
      <c r="F2433" s="205"/>
      <c r="G2433" s="548"/>
      <c r="H2433" s="550"/>
      <c r="I2433" s="326"/>
      <c r="J2433" s="326"/>
      <c r="K2433" s="326"/>
      <c r="M2433" s="463"/>
      <c r="N2433" s="464"/>
    </row>
    <row r="2434" spans="2:14" hidden="1" outlineLevel="1" x14ac:dyDescent="0.35">
      <c r="B2434" s="203"/>
      <c r="C2434" s="204"/>
      <c r="D2434" s="204"/>
      <c r="E2434" s="204"/>
      <c r="F2434" s="205"/>
      <c r="G2434" s="548"/>
      <c r="H2434" s="550"/>
      <c r="I2434" s="326"/>
      <c r="J2434" s="326"/>
      <c r="K2434" s="326"/>
      <c r="M2434" s="463"/>
      <c r="N2434" s="464"/>
    </row>
    <row r="2435" spans="2:14" hidden="1" outlineLevel="1" x14ac:dyDescent="0.35">
      <c r="B2435" s="203"/>
      <c r="C2435" s="204"/>
      <c r="D2435" s="204"/>
      <c r="E2435" s="204"/>
      <c r="F2435" s="205"/>
      <c r="G2435" s="548"/>
      <c r="H2435" s="550"/>
      <c r="I2435" s="326"/>
      <c r="J2435" s="326"/>
      <c r="K2435" s="326"/>
      <c r="M2435" s="463"/>
      <c r="N2435" s="464"/>
    </row>
    <row r="2436" spans="2:14" hidden="1" outlineLevel="1" x14ac:dyDescent="0.35">
      <c r="B2436" s="203"/>
      <c r="C2436" s="204"/>
      <c r="D2436" s="204"/>
      <c r="E2436" s="204"/>
      <c r="F2436" s="205"/>
      <c r="G2436" s="548"/>
      <c r="H2436" s="550"/>
      <c r="I2436" s="326"/>
      <c r="J2436" s="326"/>
      <c r="K2436" s="326"/>
      <c r="M2436" s="463"/>
      <c r="N2436" s="464"/>
    </row>
    <row r="2437" spans="2:14" hidden="1" outlineLevel="1" x14ac:dyDescent="0.35">
      <c r="B2437" s="203"/>
      <c r="C2437" s="204"/>
      <c r="D2437" s="204"/>
      <c r="E2437" s="204"/>
      <c r="F2437" s="205"/>
      <c r="G2437" s="548"/>
      <c r="H2437" s="550"/>
      <c r="I2437" s="326"/>
      <c r="J2437" s="326"/>
      <c r="K2437" s="326"/>
      <c r="M2437" s="463"/>
      <c r="N2437" s="464"/>
    </row>
    <row r="2438" spans="2:14" hidden="1" outlineLevel="1" x14ac:dyDescent="0.35">
      <c r="B2438" s="203"/>
      <c r="C2438" s="204"/>
      <c r="D2438" s="204"/>
      <c r="E2438" s="204"/>
      <c r="F2438" s="205"/>
      <c r="G2438" s="548"/>
      <c r="H2438" s="550"/>
      <c r="I2438" s="326"/>
      <c r="J2438" s="326"/>
      <c r="K2438" s="326"/>
      <c r="M2438" s="463"/>
      <c r="N2438" s="464"/>
    </row>
    <row r="2439" spans="2:14" hidden="1" outlineLevel="1" x14ac:dyDescent="0.35">
      <c r="B2439" s="203"/>
      <c r="C2439" s="204"/>
      <c r="D2439" s="204"/>
      <c r="E2439" s="204"/>
      <c r="F2439" s="205"/>
      <c r="G2439" s="548"/>
      <c r="H2439" s="550"/>
      <c r="I2439" s="326"/>
      <c r="J2439" s="326"/>
      <c r="K2439" s="326"/>
      <c r="M2439" s="463"/>
      <c r="N2439" s="464"/>
    </row>
    <row r="2440" spans="2:14" hidden="1" outlineLevel="1" x14ac:dyDescent="0.35">
      <c r="B2440" s="203"/>
      <c r="C2440" s="204"/>
      <c r="D2440" s="204"/>
      <c r="E2440" s="204"/>
      <c r="F2440" s="205"/>
      <c r="G2440" s="548"/>
      <c r="H2440" s="550"/>
      <c r="I2440" s="326"/>
      <c r="J2440" s="326"/>
      <c r="K2440" s="326"/>
      <c r="M2440" s="463"/>
      <c r="N2440" s="464"/>
    </row>
    <row r="2441" spans="2:14" hidden="1" outlineLevel="1" x14ac:dyDescent="0.35">
      <c r="B2441" s="203"/>
      <c r="C2441" s="204"/>
      <c r="D2441" s="204"/>
      <c r="E2441" s="204"/>
      <c r="F2441" s="205"/>
      <c r="G2441" s="548"/>
      <c r="H2441" s="550"/>
      <c r="I2441" s="326"/>
      <c r="J2441" s="326"/>
      <c r="K2441" s="326"/>
      <c r="M2441" s="463"/>
      <c r="N2441" s="464"/>
    </row>
    <row r="2442" spans="2:14" hidden="1" outlineLevel="1" x14ac:dyDescent="0.35">
      <c r="B2442" s="203"/>
      <c r="C2442" s="204"/>
      <c r="D2442" s="204"/>
      <c r="E2442" s="204"/>
      <c r="F2442" s="205"/>
      <c r="G2442" s="548"/>
      <c r="H2442" s="550"/>
      <c r="I2442" s="326"/>
      <c r="J2442" s="326"/>
      <c r="K2442" s="326"/>
      <c r="M2442" s="463"/>
      <c r="N2442" s="464"/>
    </row>
    <row r="2443" spans="2:14" hidden="1" outlineLevel="1" x14ac:dyDescent="0.35">
      <c r="B2443" s="203"/>
      <c r="C2443" s="204"/>
      <c r="D2443" s="204"/>
      <c r="E2443" s="204"/>
      <c r="F2443" s="205"/>
      <c r="G2443" s="548"/>
      <c r="H2443" s="550"/>
      <c r="I2443" s="326"/>
      <c r="J2443" s="326"/>
      <c r="K2443" s="326"/>
      <c r="M2443" s="463"/>
      <c r="N2443" s="464"/>
    </row>
    <row r="2444" spans="2:14" hidden="1" outlineLevel="1" x14ac:dyDescent="0.35">
      <c r="B2444" s="203"/>
      <c r="C2444" s="204"/>
      <c r="D2444" s="204"/>
      <c r="E2444" s="204"/>
      <c r="F2444" s="205"/>
      <c r="G2444" s="548"/>
      <c r="H2444" s="550"/>
      <c r="I2444" s="326"/>
      <c r="J2444" s="326"/>
      <c r="K2444" s="326"/>
      <c r="M2444" s="463"/>
      <c r="N2444" s="464"/>
    </row>
    <row r="2445" spans="2:14" hidden="1" outlineLevel="1" x14ac:dyDescent="0.35">
      <c r="B2445" s="203"/>
      <c r="C2445" s="204"/>
      <c r="D2445" s="204"/>
      <c r="E2445" s="204"/>
      <c r="F2445" s="205"/>
      <c r="G2445" s="548"/>
      <c r="H2445" s="550"/>
      <c r="I2445" s="326"/>
      <c r="J2445" s="326"/>
      <c r="K2445" s="326"/>
      <c r="M2445" s="463"/>
      <c r="N2445" s="464"/>
    </row>
    <row r="2446" spans="2:14" hidden="1" outlineLevel="1" x14ac:dyDescent="0.35">
      <c r="B2446" s="203"/>
      <c r="C2446" s="204"/>
      <c r="D2446" s="204"/>
      <c r="E2446" s="204"/>
      <c r="F2446" s="205"/>
      <c r="G2446" s="548"/>
      <c r="H2446" s="550"/>
      <c r="I2446" s="326"/>
      <c r="J2446" s="326"/>
      <c r="K2446" s="326"/>
      <c r="M2446" s="463"/>
      <c r="N2446" s="464"/>
    </row>
    <row r="2447" spans="2:14" hidden="1" outlineLevel="1" x14ac:dyDescent="0.35">
      <c r="B2447" s="203"/>
      <c r="C2447" s="204"/>
      <c r="D2447" s="204"/>
      <c r="E2447" s="204"/>
      <c r="F2447" s="205"/>
      <c r="G2447" s="548"/>
      <c r="H2447" s="550"/>
      <c r="I2447" s="326"/>
      <c r="J2447" s="326"/>
      <c r="K2447" s="326"/>
      <c r="M2447" s="463"/>
      <c r="N2447" s="464"/>
    </row>
    <row r="2448" spans="2:14" hidden="1" outlineLevel="1" x14ac:dyDescent="0.35">
      <c r="B2448" s="203"/>
      <c r="C2448" s="204"/>
      <c r="D2448" s="204"/>
      <c r="E2448" s="204"/>
      <c r="F2448" s="205"/>
      <c r="G2448" s="548"/>
      <c r="H2448" s="550"/>
      <c r="I2448" s="326"/>
      <c r="J2448" s="326"/>
      <c r="K2448" s="326"/>
      <c r="M2448" s="463"/>
      <c r="N2448" s="464"/>
    </row>
    <row r="2449" spans="2:14" hidden="1" outlineLevel="1" x14ac:dyDescent="0.35">
      <c r="B2449" s="203"/>
      <c r="C2449" s="204"/>
      <c r="D2449" s="204"/>
      <c r="E2449" s="204"/>
      <c r="F2449" s="205"/>
      <c r="G2449" s="548"/>
      <c r="H2449" s="550"/>
      <c r="I2449" s="326"/>
      <c r="J2449" s="326"/>
      <c r="K2449" s="326"/>
      <c r="M2449" s="463"/>
      <c r="N2449" s="464"/>
    </row>
    <row r="2450" spans="2:14" hidden="1" outlineLevel="1" x14ac:dyDescent="0.35">
      <c r="B2450" s="203"/>
      <c r="C2450" s="204"/>
      <c r="D2450" s="204"/>
      <c r="E2450" s="204"/>
      <c r="F2450" s="205"/>
      <c r="G2450" s="548"/>
      <c r="H2450" s="550"/>
      <c r="I2450" s="326"/>
      <c r="J2450" s="326"/>
      <c r="K2450" s="326"/>
      <c r="M2450" s="463"/>
      <c r="N2450" s="464"/>
    </row>
    <row r="2451" spans="2:14" hidden="1" outlineLevel="1" x14ac:dyDescent="0.35">
      <c r="B2451" s="203"/>
      <c r="C2451" s="204"/>
      <c r="D2451" s="204"/>
      <c r="E2451" s="204"/>
      <c r="F2451" s="205"/>
      <c r="G2451" s="548"/>
      <c r="H2451" s="550"/>
      <c r="I2451" s="326"/>
      <c r="J2451" s="326"/>
      <c r="K2451" s="326"/>
      <c r="M2451" s="463"/>
      <c r="N2451" s="464"/>
    </row>
    <row r="2452" spans="2:14" hidden="1" outlineLevel="1" x14ac:dyDescent="0.35">
      <c r="B2452" s="203"/>
      <c r="C2452" s="204"/>
      <c r="D2452" s="204"/>
      <c r="E2452" s="204"/>
      <c r="F2452" s="205"/>
      <c r="G2452" s="548"/>
      <c r="H2452" s="550"/>
      <c r="I2452" s="326"/>
      <c r="J2452" s="326"/>
      <c r="K2452" s="326"/>
      <c r="M2452" s="463"/>
      <c r="N2452" s="464"/>
    </row>
    <row r="2453" spans="2:14" hidden="1" outlineLevel="1" x14ac:dyDescent="0.35">
      <c r="B2453" s="203"/>
      <c r="C2453" s="204"/>
      <c r="D2453" s="204"/>
      <c r="E2453" s="204"/>
      <c r="F2453" s="205"/>
      <c r="G2453" s="548"/>
      <c r="H2453" s="550"/>
      <c r="I2453" s="326"/>
      <c r="J2453" s="326"/>
      <c r="K2453" s="326"/>
      <c r="M2453" s="463"/>
      <c r="N2453" s="464"/>
    </row>
    <row r="2454" spans="2:14" hidden="1" outlineLevel="1" x14ac:dyDescent="0.35">
      <c r="B2454" s="203"/>
      <c r="C2454" s="204"/>
      <c r="D2454" s="204"/>
      <c r="E2454" s="204"/>
      <c r="F2454" s="205"/>
      <c r="G2454" s="548"/>
      <c r="H2454" s="550"/>
      <c r="I2454" s="326"/>
      <c r="J2454" s="326"/>
      <c r="K2454" s="326"/>
      <c r="M2454" s="463"/>
      <c r="N2454" s="464"/>
    </row>
    <row r="2455" spans="2:14" hidden="1" outlineLevel="1" x14ac:dyDescent="0.35">
      <c r="B2455" s="203"/>
      <c r="C2455" s="204"/>
      <c r="D2455" s="204"/>
      <c r="E2455" s="204"/>
      <c r="F2455" s="205"/>
      <c r="G2455" s="548"/>
      <c r="H2455" s="550"/>
      <c r="I2455" s="326"/>
      <c r="J2455" s="326"/>
      <c r="K2455" s="326"/>
      <c r="M2455" s="463"/>
      <c r="N2455" s="464"/>
    </row>
    <row r="2456" spans="2:14" hidden="1" outlineLevel="1" x14ac:dyDescent="0.35">
      <c r="B2456" s="203"/>
      <c r="C2456" s="204"/>
      <c r="D2456" s="204"/>
      <c r="E2456" s="204"/>
      <c r="F2456" s="205"/>
      <c r="G2456" s="548"/>
      <c r="H2456" s="550"/>
      <c r="I2456" s="326"/>
      <c r="J2456" s="326"/>
      <c r="K2456" s="326"/>
      <c r="M2456" s="463"/>
      <c r="N2456" s="464"/>
    </row>
    <row r="2457" spans="2:14" hidden="1" outlineLevel="1" x14ac:dyDescent="0.35">
      <c r="B2457" s="203"/>
      <c r="C2457" s="204"/>
      <c r="D2457" s="204"/>
      <c r="E2457" s="204"/>
      <c r="F2457" s="205"/>
      <c r="G2457" s="548"/>
      <c r="H2457" s="550"/>
      <c r="I2457" s="326"/>
      <c r="J2457" s="326"/>
      <c r="K2457" s="326"/>
      <c r="M2457" s="463"/>
      <c r="N2457" s="464"/>
    </row>
    <row r="2458" spans="2:14" hidden="1" outlineLevel="1" x14ac:dyDescent="0.35">
      <c r="B2458" s="203"/>
      <c r="C2458" s="204"/>
      <c r="D2458" s="204"/>
      <c r="E2458" s="204"/>
      <c r="F2458" s="205"/>
      <c r="G2458" s="548"/>
      <c r="H2458" s="550"/>
      <c r="I2458" s="326"/>
      <c r="J2458" s="326"/>
      <c r="K2458" s="326"/>
      <c r="M2458" s="463"/>
      <c r="N2458" s="464"/>
    </row>
    <row r="2459" spans="2:14" hidden="1" outlineLevel="1" x14ac:dyDescent="0.35">
      <c r="B2459" s="203"/>
      <c r="C2459" s="204"/>
      <c r="D2459" s="204"/>
      <c r="E2459" s="204"/>
      <c r="F2459" s="205"/>
      <c r="G2459" s="548"/>
      <c r="H2459" s="550"/>
      <c r="I2459" s="326"/>
      <c r="J2459" s="326"/>
      <c r="K2459" s="326"/>
      <c r="M2459" s="463"/>
      <c r="N2459" s="464"/>
    </row>
    <row r="2460" spans="2:14" hidden="1" outlineLevel="1" x14ac:dyDescent="0.35">
      <c r="B2460" s="203"/>
      <c r="C2460" s="204"/>
      <c r="D2460" s="204"/>
      <c r="E2460" s="204"/>
      <c r="F2460" s="205"/>
      <c r="G2460" s="548"/>
      <c r="H2460" s="550"/>
      <c r="I2460" s="326"/>
      <c r="J2460" s="326"/>
      <c r="K2460" s="326"/>
      <c r="M2460" s="463"/>
      <c r="N2460" s="464"/>
    </row>
    <row r="2461" spans="2:14" hidden="1" outlineLevel="1" x14ac:dyDescent="0.35">
      <c r="B2461" s="203"/>
      <c r="C2461" s="204"/>
      <c r="D2461" s="204"/>
      <c r="E2461" s="204"/>
      <c r="F2461" s="205"/>
      <c r="G2461" s="548"/>
      <c r="H2461" s="550"/>
      <c r="I2461" s="326"/>
      <c r="J2461" s="326"/>
      <c r="K2461" s="326"/>
      <c r="M2461" s="463"/>
      <c r="N2461" s="464"/>
    </row>
    <row r="2462" spans="2:14" hidden="1" outlineLevel="1" x14ac:dyDescent="0.35">
      <c r="B2462" s="203"/>
      <c r="C2462" s="204"/>
      <c r="D2462" s="204"/>
      <c r="E2462" s="204"/>
      <c r="F2462" s="205"/>
      <c r="G2462" s="548"/>
      <c r="H2462" s="550"/>
      <c r="I2462" s="326"/>
      <c r="J2462" s="326"/>
      <c r="K2462" s="326"/>
      <c r="M2462" s="463"/>
      <c r="N2462" s="464"/>
    </row>
    <row r="2463" spans="2:14" hidden="1" outlineLevel="1" x14ac:dyDescent="0.35">
      <c r="B2463" s="203"/>
      <c r="C2463" s="204"/>
      <c r="D2463" s="204"/>
      <c r="E2463" s="204"/>
      <c r="F2463" s="205"/>
      <c r="G2463" s="548"/>
      <c r="H2463" s="550"/>
      <c r="I2463" s="326"/>
      <c r="J2463" s="326"/>
      <c r="K2463" s="326"/>
      <c r="M2463" s="463"/>
      <c r="N2463" s="464"/>
    </row>
    <row r="2464" spans="2:14" hidden="1" outlineLevel="1" x14ac:dyDescent="0.35">
      <c r="B2464" s="203"/>
      <c r="C2464" s="204"/>
      <c r="D2464" s="204"/>
      <c r="E2464" s="204"/>
      <c r="F2464" s="205"/>
      <c r="G2464" s="548"/>
      <c r="H2464" s="550"/>
      <c r="I2464" s="326"/>
      <c r="J2464" s="326"/>
      <c r="K2464" s="326"/>
      <c r="M2464" s="463"/>
      <c r="N2464" s="464"/>
    </row>
    <row r="2465" spans="2:14" hidden="1" outlineLevel="1" x14ac:dyDescent="0.35">
      <c r="B2465" s="203"/>
      <c r="C2465" s="204"/>
      <c r="D2465" s="204"/>
      <c r="E2465" s="204"/>
      <c r="F2465" s="205"/>
      <c r="G2465" s="548"/>
      <c r="H2465" s="550"/>
      <c r="I2465" s="326"/>
      <c r="J2465" s="326"/>
      <c r="K2465" s="326"/>
      <c r="M2465" s="463"/>
      <c r="N2465" s="464"/>
    </row>
    <row r="2466" spans="2:14" hidden="1" outlineLevel="1" x14ac:dyDescent="0.35">
      <c r="B2466" s="203"/>
      <c r="C2466" s="204"/>
      <c r="D2466" s="204"/>
      <c r="E2466" s="204"/>
      <c r="F2466" s="205"/>
      <c r="G2466" s="548"/>
      <c r="H2466" s="550"/>
      <c r="I2466" s="326"/>
      <c r="J2466" s="326"/>
      <c r="K2466" s="326"/>
      <c r="M2466" s="463"/>
      <c r="N2466" s="464"/>
    </row>
    <row r="2467" spans="2:14" hidden="1" outlineLevel="1" x14ac:dyDescent="0.35">
      <c r="B2467" s="203"/>
      <c r="C2467" s="204"/>
      <c r="D2467" s="204"/>
      <c r="E2467" s="204"/>
      <c r="F2467" s="205"/>
      <c r="G2467" s="548"/>
      <c r="H2467" s="550"/>
      <c r="I2467" s="326"/>
      <c r="J2467" s="326"/>
      <c r="K2467" s="326"/>
      <c r="M2467" s="463"/>
      <c r="N2467" s="464"/>
    </row>
    <row r="2468" spans="2:14" hidden="1" outlineLevel="1" x14ac:dyDescent="0.35">
      <c r="B2468" s="203"/>
      <c r="C2468" s="204"/>
      <c r="D2468" s="204"/>
      <c r="E2468" s="204"/>
      <c r="F2468" s="205"/>
      <c r="G2468" s="548"/>
      <c r="H2468" s="550"/>
      <c r="I2468" s="326"/>
      <c r="J2468" s="326"/>
      <c r="K2468" s="326"/>
      <c r="M2468" s="463"/>
      <c r="N2468" s="464"/>
    </row>
    <row r="2469" spans="2:14" hidden="1" outlineLevel="1" x14ac:dyDescent="0.35">
      <c r="B2469" s="203"/>
      <c r="C2469" s="204"/>
      <c r="D2469" s="204"/>
      <c r="E2469" s="204"/>
      <c r="F2469" s="205"/>
      <c r="G2469" s="548"/>
      <c r="H2469" s="550"/>
      <c r="I2469" s="326"/>
      <c r="J2469" s="326"/>
      <c r="K2469" s="326"/>
      <c r="M2469" s="463"/>
      <c r="N2469" s="464"/>
    </row>
    <row r="2470" spans="2:14" hidden="1" outlineLevel="1" x14ac:dyDescent="0.35">
      <c r="B2470" s="203"/>
      <c r="C2470" s="204"/>
      <c r="D2470" s="204"/>
      <c r="E2470" s="204"/>
      <c r="F2470" s="205"/>
      <c r="G2470" s="548"/>
      <c r="H2470" s="550"/>
      <c r="I2470" s="326"/>
      <c r="J2470" s="326"/>
      <c r="K2470" s="326"/>
      <c r="M2470" s="463"/>
      <c r="N2470" s="464"/>
    </row>
    <row r="2471" spans="2:14" hidden="1" outlineLevel="1" x14ac:dyDescent="0.35">
      <c r="B2471" s="203"/>
      <c r="C2471" s="204"/>
      <c r="D2471" s="204"/>
      <c r="E2471" s="204"/>
      <c r="F2471" s="205"/>
      <c r="G2471" s="548"/>
      <c r="H2471" s="550"/>
      <c r="I2471" s="326"/>
      <c r="J2471" s="326"/>
      <c r="K2471" s="326"/>
      <c r="M2471" s="463"/>
      <c r="N2471" s="464"/>
    </row>
    <row r="2472" spans="2:14" hidden="1" outlineLevel="1" x14ac:dyDescent="0.35">
      <c r="B2472" s="203"/>
      <c r="C2472" s="204"/>
      <c r="D2472" s="204"/>
      <c r="E2472" s="204"/>
      <c r="F2472" s="205"/>
      <c r="G2472" s="548"/>
      <c r="H2472" s="550"/>
      <c r="I2472" s="326"/>
      <c r="J2472" s="326"/>
      <c r="K2472" s="326"/>
      <c r="M2472" s="463"/>
      <c r="N2472" s="464"/>
    </row>
    <row r="2473" spans="2:14" hidden="1" outlineLevel="1" x14ac:dyDescent="0.35">
      <c r="B2473" s="203"/>
      <c r="C2473" s="204"/>
      <c r="D2473" s="204"/>
      <c r="E2473" s="204"/>
      <c r="F2473" s="205"/>
      <c r="G2473" s="548"/>
      <c r="H2473" s="550"/>
      <c r="I2473" s="326"/>
      <c r="J2473" s="326"/>
      <c r="K2473" s="326"/>
      <c r="M2473" s="463"/>
      <c r="N2473" s="464"/>
    </row>
    <row r="2474" spans="2:14" hidden="1" outlineLevel="1" x14ac:dyDescent="0.35">
      <c r="B2474" s="203"/>
      <c r="C2474" s="204"/>
      <c r="D2474" s="204"/>
      <c r="E2474" s="204"/>
      <c r="F2474" s="205"/>
      <c r="G2474" s="548"/>
      <c r="H2474" s="550"/>
      <c r="I2474" s="326"/>
      <c r="J2474" s="326"/>
      <c r="K2474" s="326"/>
      <c r="M2474" s="463"/>
      <c r="N2474" s="464"/>
    </row>
    <row r="2475" spans="2:14" hidden="1" outlineLevel="1" x14ac:dyDescent="0.35">
      <c r="B2475" s="203"/>
      <c r="C2475" s="204"/>
      <c r="D2475" s="204"/>
      <c r="E2475" s="204"/>
      <c r="F2475" s="205"/>
      <c r="G2475" s="548"/>
      <c r="H2475" s="550"/>
      <c r="I2475" s="326"/>
      <c r="J2475" s="326"/>
      <c r="K2475" s="326"/>
      <c r="M2475" s="463"/>
      <c r="N2475" s="464"/>
    </row>
    <row r="2476" spans="2:14" hidden="1" outlineLevel="1" x14ac:dyDescent="0.35">
      <c r="B2476" s="203"/>
      <c r="C2476" s="204"/>
      <c r="D2476" s="204"/>
      <c r="E2476" s="204"/>
      <c r="F2476" s="205"/>
      <c r="G2476" s="548"/>
      <c r="H2476" s="550"/>
      <c r="I2476" s="326"/>
      <c r="J2476" s="326"/>
      <c r="K2476" s="326"/>
      <c r="M2476" s="463"/>
      <c r="N2476" s="464"/>
    </row>
    <row r="2477" spans="2:14" hidden="1" outlineLevel="1" x14ac:dyDescent="0.35">
      <c r="B2477" s="203"/>
      <c r="C2477" s="204"/>
      <c r="D2477" s="204"/>
      <c r="E2477" s="204"/>
      <c r="F2477" s="205"/>
      <c r="G2477" s="548"/>
      <c r="H2477" s="550"/>
      <c r="I2477" s="326"/>
      <c r="J2477" s="326"/>
      <c r="K2477" s="326"/>
      <c r="M2477" s="463"/>
      <c r="N2477" s="464"/>
    </row>
    <row r="2478" spans="2:14" hidden="1" outlineLevel="1" x14ac:dyDescent="0.35">
      <c r="B2478" s="203"/>
      <c r="C2478" s="204"/>
      <c r="D2478" s="204"/>
      <c r="E2478" s="204"/>
      <c r="F2478" s="205"/>
      <c r="G2478" s="548"/>
      <c r="H2478" s="550"/>
      <c r="I2478" s="326"/>
      <c r="J2478" s="326"/>
      <c r="K2478" s="326"/>
      <c r="M2478" s="463"/>
      <c r="N2478" s="464"/>
    </row>
    <row r="2479" spans="2:14" hidden="1" outlineLevel="1" x14ac:dyDescent="0.35">
      <c r="B2479" s="203"/>
      <c r="C2479" s="204"/>
      <c r="D2479" s="204"/>
      <c r="E2479" s="204"/>
      <c r="F2479" s="205"/>
      <c r="G2479" s="548"/>
      <c r="H2479" s="550"/>
      <c r="I2479" s="326"/>
      <c r="J2479" s="326"/>
      <c r="K2479" s="326"/>
      <c r="M2479" s="463"/>
      <c r="N2479" s="464"/>
    </row>
    <row r="2480" spans="2:14" hidden="1" outlineLevel="1" x14ac:dyDescent="0.35">
      <c r="B2480" s="203"/>
      <c r="C2480" s="204"/>
      <c r="D2480" s="204"/>
      <c r="E2480" s="204"/>
      <c r="F2480" s="205"/>
      <c r="G2480" s="548"/>
      <c r="H2480" s="550"/>
      <c r="I2480" s="326"/>
      <c r="J2480" s="326"/>
      <c r="K2480" s="326"/>
      <c r="M2480" s="463"/>
      <c r="N2480" s="464"/>
    </row>
    <row r="2481" spans="2:14" hidden="1" outlineLevel="1" x14ac:dyDescent="0.35">
      <c r="B2481" s="203"/>
      <c r="C2481" s="204"/>
      <c r="D2481" s="204"/>
      <c r="E2481" s="204"/>
      <c r="F2481" s="205"/>
      <c r="G2481" s="548"/>
      <c r="H2481" s="550"/>
      <c r="I2481" s="326"/>
      <c r="J2481" s="326"/>
      <c r="K2481" s="326"/>
      <c r="M2481" s="463"/>
      <c r="N2481" s="464"/>
    </row>
    <row r="2482" spans="2:14" hidden="1" outlineLevel="1" x14ac:dyDescent="0.35">
      <c r="B2482" s="203"/>
      <c r="C2482" s="204"/>
      <c r="D2482" s="204"/>
      <c r="E2482" s="204"/>
      <c r="F2482" s="205"/>
      <c r="G2482" s="548"/>
      <c r="H2482" s="550"/>
      <c r="I2482" s="326"/>
      <c r="J2482" s="326"/>
      <c r="K2482" s="326"/>
      <c r="M2482" s="463"/>
      <c r="N2482" s="464"/>
    </row>
    <row r="2483" spans="2:14" hidden="1" outlineLevel="1" x14ac:dyDescent="0.35">
      <c r="B2483" s="203"/>
      <c r="C2483" s="204"/>
      <c r="D2483" s="204"/>
      <c r="E2483" s="204"/>
      <c r="F2483" s="205"/>
      <c r="G2483" s="548"/>
      <c r="H2483" s="550"/>
      <c r="I2483" s="326"/>
      <c r="J2483" s="326"/>
      <c r="K2483" s="326"/>
      <c r="M2483" s="463"/>
      <c r="N2483" s="464"/>
    </row>
    <row r="2484" spans="2:14" hidden="1" outlineLevel="1" x14ac:dyDescent="0.35">
      <c r="B2484" s="203"/>
      <c r="C2484" s="204"/>
      <c r="D2484" s="204"/>
      <c r="E2484" s="204"/>
      <c r="F2484" s="205"/>
      <c r="G2484" s="548"/>
      <c r="H2484" s="550"/>
      <c r="I2484" s="326"/>
      <c r="J2484" s="326"/>
      <c r="K2484" s="326"/>
      <c r="M2484" s="463"/>
      <c r="N2484" s="464"/>
    </row>
    <row r="2485" spans="2:14" hidden="1" outlineLevel="1" x14ac:dyDescent="0.35">
      <c r="B2485" s="203"/>
      <c r="C2485" s="204"/>
      <c r="D2485" s="204"/>
      <c r="E2485" s="204"/>
      <c r="F2485" s="205"/>
      <c r="G2485" s="548"/>
      <c r="H2485" s="550"/>
      <c r="I2485" s="326"/>
      <c r="J2485" s="326"/>
      <c r="K2485" s="326"/>
      <c r="M2485" s="463"/>
      <c r="N2485" s="464"/>
    </row>
    <row r="2486" spans="2:14" hidden="1" outlineLevel="1" x14ac:dyDescent="0.35">
      <c r="B2486" s="203"/>
      <c r="C2486" s="204"/>
      <c r="D2486" s="204"/>
      <c r="E2486" s="204"/>
      <c r="F2486" s="205"/>
      <c r="G2486" s="548"/>
      <c r="H2486" s="550"/>
      <c r="I2486" s="326"/>
      <c r="J2486" s="326"/>
      <c r="K2486" s="326"/>
      <c r="M2486" s="463"/>
      <c r="N2486" s="464"/>
    </row>
    <row r="2487" spans="2:14" hidden="1" outlineLevel="1" x14ac:dyDescent="0.35">
      <c r="B2487" s="203"/>
      <c r="C2487" s="204"/>
      <c r="D2487" s="204"/>
      <c r="E2487" s="204"/>
      <c r="F2487" s="205"/>
      <c r="G2487" s="548"/>
      <c r="H2487" s="550"/>
      <c r="I2487" s="326"/>
      <c r="J2487" s="326"/>
      <c r="K2487" s="326"/>
      <c r="M2487" s="463"/>
      <c r="N2487" s="464"/>
    </row>
    <row r="2488" spans="2:14" hidden="1" outlineLevel="1" x14ac:dyDescent="0.35">
      <c r="B2488" s="203"/>
      <c r="C2488" s="204"/>
      <c r="D2488" s="204"/>
      <c r="E2488" s="204"/>
      <c r="F2488" s="205"/>
      <c r="G2488" s="548"/>
      <c r="H2488" s="550"/>
      <c r="I2488" s="326"/>
      <c r="J2488" s="326"/>
      <c r="K2488" s="326"/>
      <c r="M2488" s="463"/>
      <c r="N2488" s="464"/>
    </row>
    <row r="2489" spans="2:14" hidden="1" outlineLevel="1" x14ac:dyDescent="0.35">
      <c r="B2489" s="203"/>
      <c r="C2489" s="204"/>
      <c r="D2489" s="204"/>
      <c r="E2489" s="204"/>
      <c r="F2489" s="205"/>
      <c r="G2489" s="548"/>
      <c r="H2489" s="550"/>
      <c r="I2489" s="326"/>
      <c r="J2489" s="326"/>
      <c r="K2489" s="326"/>
      <c r="M2489" s="463"/>
      <c r="N2489" s="464"/>
    </row>
    <row r="2490" spans="2:14" hidden="1" outlineLevel="1" x14ac:dyDescent="0.35">
      <c r="B2490" s="203"/>
      <c r="C2490" s="204"/>
      <c r="D2490" s="204"/>
      <c r="E2490" s="204"/>
      <c r="F2490" s="205"/>
      <c r="G2490" s="548"/>
      <c r="H2490" s="550"/>
      <c r="I2490" s="326"/>
      <c r="J2490" s="326"/>
      <c r="K2490" s="326"/>
      <c r="M2490" s="463"/>
      <c r="N2490" s="464"/>
    </row>
    <row r="2491" spans="2:14" hidden="1" outlineLevel="1" x14ac:dyDescent="0.35">
      <c r="B2491" s="203"/>
      <c r="C2491" s="204"/>
      <c r="D2491" s="204"/>
      <c r="E2491" s="204"/>
      <c r="F2491" s="205"/>
      <c r="G2491" s="548"/>
      <c r="H2491" s="550"/>
      <c r="I2491" s="326"/>
      <c r="J2491" s="326"/>
      <c r="K2491" s="326"/>
      <c r="M2491" s="463"/>
      <c r="N2491" s="464"/>
    </row>
    <row r="2492" spans="2:14" hidden="1" outlineLevel="1" x14ac:dyDescent="0.35">
      <c r="B2492" s="203"/>
      <c r="C2492" s="204"/>
      <c r="D2492" s="204"/>
      <c r="E2492" s="204"/>
      <c r="F2492" s="205"/>
      <c r="G2492" s="548"/>
      <c r="H2492" s="550"/>
      <c r="I2492" s="326"/>
      <c r="J2492" s="326"/>
      <c r="K2492" s="326"/>
      <c r="M2492" s="463"/>
      <c r="N2492" s="464"/>
    </row>
    <row r="2493" spans="2:14" hidden="1" outlineLevel="1" x14ac:dyDescent="0.35">
      <c r="B2493" s="203"/>
      <c r="C2493" s="204"/>
      <c r="D2493" s="204"/>
      <c r="E2493" s="204"/>
      <c r="F2493" s="205"/>
      <c r="G2493" s="548"/>
      <c r="H2493" s="550"/>
      <c r="I2493" s="326"/>
      <c r="J2493" s="326"/>
      <c r="K2493" s="326"/>
      <c r="M2493" s="463"/>
      <c r="N2493" s="464"/>
    </row>
    <row r="2494" spans="2:14" hidden="1" outlineLevel="1" x14ac:dyDescent="0.35">
      <c r="B2494" s="203"/>
      <c r="C2494" s="204"/>
      <c r="D2494" s="204"/>
      <c r="E2494" s="204"/>
      <c r="F2494" s="205"/>
      <c r="G2494" s="548"/>
      <c r="H2494" s="550"/>
      <c r="I2494" s="326"/>
      <c r="J2494" s="326"/>
      <c r="K2494" s="326"/>
      <c r="M2494" s="463"/>
      <c r="N2494" s="464"/>
    </row>
    <row r="2495" spans="2:14" hidden="1" outlineLevel="1" x14ac:dyDescent="0.35">
      <c r="B2495" s="203"/>
      <c r="C2495" s="204"/>
      <c r="D2495" s="204"/>
      <c r="E2495" s="204"/>
      <c r="F2495" s="205"/>
      <c r="G2495" s="548"/>
      <c r="H2495" s="550"/>
      <c r="I2495" s="326"/>
      <c r="J2495" s="326"/>
      <c r="K2495" s="326"/>
      <c r="M2495" s="463"/>
      <c r="N2495" s="464"/>
    </row>
    <row r="2496" spans="2:14" hidden="1" outlineLevel="1" x14ac:dyDescent="0.35">
      <c r="B2496" s="203"/>
      <c r="C2496" s="204"/>
      <c r="D2496" s="204"/>
      <c r="E2496" s="204"/>
      <c r="F2496" s="205"/>
      <c r="G2496" s="548"/>
      <c r="H2496" s="550"/>
      <c r="I2496" s="326"/>
      <c r="J2496" s="326"/>
      <c r="K2496" s="326"/>
      <c r="M2496" s="463"/>
      <c r="N2496" s="464"/>
    </row>
    <row r="2497" spans="2:14" hidden="1" outlineLevel="1" x14ac:dyDescent="0.35">
      <c r="B2497" s="203"/>
      <c r="C2497" s="204"/>
      <c r="D2497" s="204"/>
      <c r="E2497" s="204"/>
      <c r="F2497" s="205"/>
      <c r="G2497" s="548"/>
      <c r="H2497" s="550"/>
      <c r="I2497" s="326"/>
      <c r="J2497" s="326"/>
      <c r="K2497" s="326"/>
      <c r="M2497" s="463"/>
      <c r="N2497" s="464"/>
    </row>
    <row r="2498" spans="2:14" hidden="1" outlineLevel="1" x14ac:dyDescent="0.35">
      <c r="B2498" s="203"/>
      <c r="C2498" s="204"/>
      <c r="D2498" s="204"/>
      <c r="E2498" s="204"/>
      <c r="F2498" s="205"/>
      <c r="G2498" s="548"/>
      <c r="H2498" s="550"/>
      <c r="I2498" s="326"/>
      <c r="J2498" s="326"/>
      <c r="K2498" s="326"/>
      <c r="M2498" s="463"/>
      <c r="N2498" s="464"/>
    </row>
    <row r="2499" spans="2:14" hidden="1" outlineLevel="1" x14ac:dyDescent="0.35">
      <c r="B2499" s="203"/>
      <c r="C2499" s="204"/>
      <c r="D2499" s="204"/>
      <c r="E2499" s="204"/>
      <c r="F2499" s="205"/>
      <c r="G2499" s="548"/>
      <c r="H2499" s="550"/>
      <c r="I2499" s="326"/>
      <c r="J2499" s="326"/>
      <c r="K2499" s="326"/>
      <c r="M2499" s="463"/>
      <c r="N2499" s="464"/>
    </row>
    <row r="2500" spans="2:14" hidden="1" outlineLevel="1" x14ac:dyDescent="0.35">
      <c r="B2500" s="203"/>
      <c r="C2500" s="204"/>
      <c r="D2500" s="204"/>
      <c r="E2500" s="204"/>
      <c r="F2500" s="205"/>
      <c r="G2500" s="548"/>
      <c r="H2500" s="550"/>
      <c r="I2500" s="326"/>
      <c r="J2500" s="326"/>
      <c r="K2500" s="326"/>
      <c r="M2500" s="463"/>
      <c r="N2500" s="464"/>
    </row>
    <row r="2501" spans="2:14" hidden="1" outlineLevel="1" x14ac:dyDescent="0.35">
      <c r="B2501" s="203"/>
      <c r="C2501" s="204"/>
      <c r="D2501" s="204"/>
      <c r="E2501" s="204"/>
      <c r="F2501" s="205"/>
      <c r="G2501" s="548"/>
      <c r="H2501" s="550"/>
      <c r="I2501" s="326"/>
      <c r="J2501" s="326"/>
      <c r="K2501" s="326"/>
      <c r="M2501" s="463"/>
      <c r="N2501" s="464"/>
    </row>
    <row r="2502" spans="2:14" hidden="1" outlineLevel="1" x14ac:dyDescent="0.35">
      <c r="B2502" s="203"/>
      <c r="C2502" s="204"/>
      <c r="D2502" s="204"/>
      <c r="E2502" s="204"/>
      <c r="F2502" s="205"/>
      <c r="G2502" s="548"/>
      <c r="H2502" s="550"/>
      <c r="I2502" s="326"/>
      <c r="J2502" s="326"/>
      <c r="K2502" s="326"/>
      <c r="M2502" s="463"/>
      <c r="N2502" s="464"/>
    </row>
    <row r="2503" spans="2:14" hidden="1" outlineLevel="1" x14ac:dyDescent="0.35">
      <c r="B2503" s="203"/>
      <c r="C2503" s="204"/>
      <c r="D2503" s="204"/>
      <c r="E2503" s="204"/>
      <c r="F2503" s="205"/>
      <c r="G2503" s="548"/>
      <c r="H2503" s="550"/>
      <c r="I2503" s="326"/>
      <c r="J2503" s="326"/>
      <c r="K2503" s="326"/>
      <c r="M2503" s="463"/>
      <c r="N2503" s="464"/>
    </row>
    <row r="2504" spans="2:14" hidden="1" outlineLevel="1" x14ac:dyDescent="0.35">
      <c r="B2504" s="203"/>
      <c r="C2504" s="204"/>
      <c r="D2504" s="204"/>
      <c r="E2504" s="204"/>
      <c r="F2504" s="205"/>
      <c r="G2504" s="548"/>
      <c r="H2504" s="550"/>
      <c r="I2504" s="326"/>
      <c r="J2504" s="326"/>
      <c r="K2504" s="326"/>
      <c r="M2504" s="463"/>
      <c r="N2504" s="464"/>
    </row>
    <row r="2505" spans="2:14" hidden="1" outlineLevel="1" x14ac:dyDescent="0.35">
      <c r="B2505" s="203"/>
      <c r="C2505" s="204"/>
      <c r="D2505" s="204"/>
      <c r="E2505" s="204"/>
      <c r="F2505" s="205"/>
      <c r="G2505" s="548"/>
      <c r="H2505" s="550"/>
      <c r="I2505" s="326"/>
      <c r="J2505" s="326"/>
      <c r="K2505" s="326"/>
      <c r="M2505" s="463"/>
      <c r="N2505" s="464"/>
    </row>
    <row r="2506" spans="2:14" hidden="1" outlineLevel="1" x14ac:dyDescent="0.35">
      <c r="B2506" s="203"/>
      <c r="C2506" s="204"/>
      <c r="D2506" s="204"/>
      <c r="E2506" s="204"/>
      <c r="F2506" s="205"/>
      <c r="G2506" s="548"/>
      <c r="H2506" s="550"/>
      <c r="I2506" s="326"/>
      <c r="J2506" s="326"/>
      <c r="K2506" s="326"/>
      <c r="M2506" s="463"/>
      <c r="N2506" s="464"/>
    </row>
    <row r="2507" spans="2:14" hidden="1" outlineLevel="1" x14ac:dyDescent="0.35">
      <c r="B2507" s="203"/>
      <c r="C2507" s="204"/>
      <c r="D2507" s="204"/>
      <c r="E2507" s="204"/>
      <c r="F2507" s="205"/>
      <c r="G2507" s="548"/>
      <c r="H2507" s="550"/>
      <c r="I2507" s="326"/>
      <c r="J2507" s="326"/>
      <c r="K2507" s="326"/>
      <c r="M2507" s="463"/>
      <c r="N2507" s="464"/>
    </row>
    <row r="2508" spans="2:14" hidden="1" outlineLevel="1" x14ac:dyDescent="0.35">
      <c r="B2508" s="203"/>
      <c r="C2508" s="204"/>
      <c r="D2508" s="204"/>
      <c r="E2508" s="204"/>
      <c r="F2508" s="205"/>
      <c r="G2508" s="548"/>
      <c r="H2508" s="550"/>
      <c r="I2508" s="326"/>
      <c r="J2508" s="326"/>
      <c r="K2508" s="326"/>
      <c r="M2508" s="463"/>
      <c r="N2508" s="464"/>
    </row>
    <row r="2509" spans="2:14" hidden="1" outlineLevel="1" x14ac:dyDescent="0.35">
      <c r="B2509" s="203"/>
      <c r="C2509" s="204"/>
      <c r="D2509" s="204"/>
      <c r="E2509" s="204"/>
      <c r="F2509" s="205"/>
      <c r="G2509" s="548"/>
      <c r="H2509" s="550"/>
      <c r="I2509" s="326"/>
      <c r="J2509" s="326"/>
      <c r="K2509" s="326"/>
      <c r="M2509" s="463"/>
      <c r="N2509" s="464"/>
    </row>
    <row r="2510" spans="2:14" hidden="1" outlineLevel="1" x14ac:dyDescent="0.35">
      <c r="B2510" s="203"/>
      <c r="C2510" s="204"/>
      <c r="D2510" s="204"/>
      <c r="E2510" s="204"/>
      <c r="F2510" s="205"/>
      <c r="G2510" s="548"/>
      <c r="H2510" s="550"/>
      <c r="I2510" s="326"/>
      <c r="J2510" s="326"/>
      <c r="K2510" s="326"/>
      <c r="M2510" s="463"/>
      <c r="N2510" s="464"/>
    </row>
    <row r="2511" spans="2:14" hidden="1" outlineLevel="1" x14ac:dyDescent="0.35">
      <c r="B2511" s="203"/>
      <c r="C2511" s="204"/>
      <c r="D2511" s="204"/>
      <c r="E2511" s="204"/>
      <c r="F2511" s="205"/>
      <c r="G2511" s="548"/>
      <c r="H2511" s="550"/>
      <c r="I2511" s="326"/>
      <c r="J2511" s="326"/>
      <c r="K2511" s="326"/>
      <c r="M2511" s="463"/>
      <c r="N2511" s="464"/>
    </row>
    <row r="2512" spans="2:14" hidden="1" outlineLevel="1" x14ac:dyDescent="0.35">
      <c r="B2512" s="203"/>
      <c r="C2512" s="204"/>
      <c r="D2512" s="204"/>
      <c r="E2512" s="204"/>
      <c r="F2512" s="205"/>
      <c r="G2512" s="548"/>
      <c r="H2512" s="550"/>
      <c r="I2512" s="326"/>
      <c r="J2512" s="326"/>
      <c r="K2512" s="326"/>
      <c r="M2512" s="463"/>
      <c r="N2512" s="464"/>
    </row>
    <row r="2513" spans="2:14" hidden="1" outlineLevel="1" x14ac:dyDescent="0.35">
      <c r="B2513" s="203"/>
      <c r="C2513" s="204"/>
      <c r="D2513" s="204"/>
      <c r="E2513" s="204"/>
      <c r="F2513" s="205"/>
      <c r="G2513" s="548"/>
      <c r="H2513" s="550"/>
      <c r="I2513" s="326"/>
      <c r="J2513" s="326"/>
      <c r="K2513" s="326"/>
      <c r="M2513" s="463"/>
      <c r="N2513" s="464"/>
    </row>
    <row r="2514" spans="2:14" hidden="1" outlineLevel="1" x14ac:dyDescent="0.35">
      <c r="B2514" s="203"/>
      <c r="C2514" s="204"/>
      <c r="D2514" s="204"/>
      <c r="E2514" s="204"/>
      <c r="F2514" s="205"/>
      <c r="G2514" s="548"/>
      <c r="H2514" s="550"/>
      <c r="I2514" s="326"/>
      <c r="J2514" s="326"/>
      <c r="K2514" s="326"/>
      <c r="M2514" s="463"/>
      <c r="N2514" s="464"/>
    </row>
    <row r="2515" spans="2:14" hidden="1" outlineLevel="1" x14ac:dyDescent="0.35">
      <c r="B2515" s="203"/>
      <c r="C2515" s="204"/>
      <c r="D2515" s="204"/>
      <c r="E2515" s="204"/>
      <c r="F2515" s="205"/>
      <c r="G2515" s="548"/>
      <c r="H2515" s="550"/>
      <c r="I2515" s="326"/>
      <c r="J2515" s="326"/>
      <c r="K2515" s="326"/>
      <c r="M2515" s="463"/>
      <c r="N2515" s="464"/>
    </row>
    <row r="2516" spans="2:14" hidden="1" outlineLevel="1" x14ac:dyDescent="0.35">
      <c r="B2516" s="203"/>
      <c r="C2516" s="204"/>
      <c r="D2516" s="204"/>
      <c r="E2516" s="204"/>
      <c r="F2516" s="205"/>
      <c r="G2516" s="548"/>
      <c r="H2516" s="550"/>
      <c r="I2516" s="326"/>
      <c r="J2516" s="326"/>
      <c r="K2516" s="326"/>
      <c r="M2516" s="463"/>
      <c r="N2516" s="464"/>
    </row>
    <row r="2517" spans="2:14" hidden="1" outlineLevel="1" x14ac:dyDescent="0.35">
      <c r="B2517" s="203"/>
      <c r="C2517" s="204"/>
      <c r="D2517" s="204"/>
      <c r="E2517" s="204"/>
      <c r="F2517" s="205"/>
      <c r="G2517" s="548"/>
      <c r="H2517" s="550"/>
      <c r="I2517" s="326"/>
      <c r="J2517" s="326"/>
      <c r="K2517" s="326"/>
      <c r="M2517" s="463"/>
      <c r="N2517" s="464"/>
    </row>
    <row r="2518" spans="2:14" hidden="1" outlineLevel="1" x14ac:dyDescent="0.35">
      <c r="B2518" s="203"/>
      <c r="C2518" s="204"/>
      <c r="D2518" s="204"/>
      <c r="E2518" s="204"/>
      <c r="F2518" s="205"/>
      <c r="G2518" s="548"/>
      <c r="H2518" s="550"/>
      <c r="I2518" s="326"/>
      <c r="J2518" s="326"/>
      <c r="K2518" s="326"/>
      <c r="M2518" s="463"/>
      <c r="N2518" s="464"/>
    </row>
    <row r="2519" spans="2:14" hidden="1" outlineLevel="1" x14ac:dyDescent="0.35">
      <c r="B2519" s="203"/>
      <c r="C2519" s="204"/>
      <c r="D2519" s="204"/>
      <c r="E2519" s="204"/>
      <c r="F2519" s="205"/>
      <c r="G2519" s="548"/>
      <c r="H2519" s="550"/>
      <c r="I2519" s="326"/>
      <c r="J2519" s="326"/>
      <c r="K2519" s="326"/>
      <c r="M2519" s="463"/>
      <c r="N2519" s="464"/>
    </row>
    <row r="2520" spans="2:14" hidden="1" outlineLevel="1" x14ac:dyDescent="0.35">
      <c r="B2520" s="203"/>
      <c r="C2520" s="204"/>
      <c r="D2520" s="204"/>
      <c r="E2520" s="204"/>
      <c r="F2520" s="205"/>
      <c r="G2520" s="548"/>
      <c r="H2520" s="550"/>
      <c r="I2520" s="326"/>
      <c r="J2520" s="326"/>
      <c r="K2520" s="326"/>
      <c r="M2520" s="463"/>
      <c r="N2520" s="464"/>
    </row>
    <row r="2521" spans="2:14" hidden="1" outlineLevel="1" x14ac:dyDescent="0.35">
      <c r="B2521" s="203"/>
      <c r="C2521" s="204"/>
      <c r="D2521" s="204"/>
      <c r="E2521" s="204"/>
      <c r="F2521" s="205"/>
      <c r="G2521" s="548"/>
      <c r="H2521" s="550"/>
      <c r="I2521" s="326"/>
      <c r="J2521" s="326"/>
      <c r="K2521" s="326"/>
      <c r="M2521" s="463"/>
      <c r="N2521" s="464"/>
    </row>
    <row r="2522" spans="2:14" hidden="1" outlineLevel="1" x14ac:dyDescent="0.35">
      <c r="B2522" s="203"/>
      <c r="C2522" s="204"/>
      <c r="D2522" s="204"/>
      <c r="E2522" s="204"/>
      <c r="F2522" s="205"/>
      <c r="G2522" s="548"/>
      <c r="H2522" s="550"/>
      <c r="I2522" s="326"/>
      <c r="J2522" s="326"/>
      <c r="K2522" s="326"/>
      <c r="M2522" s="463"/>
      <c r="N2522" s="464"/>
    </row>
    <row r="2523" spans="2:14" hidden="1" outlineLevel="1" x14ac:dyDescent="0.35">
      <c r="B2523" s="203"/>
      <c r="C2523" s="204"/>
      <c r="D2523" s="204"/>
      <c r="E2523" s="204"/>
      <c r="F2523" s="205"/>
      <c r="G2523" s="548"/>
      <c r="H2523" s="550"/>
      <c r="I2523" s="326"/>
      <c r="J2523" s="326"/>
      <c r="K2523" s="326"/>
      <c r="M2523" s="463"/>
      <c r="N2523" s="464"/>
    </row>
    <row r="2524" spans="2:14" hidden="1" outlineLevel="1" x14ac:dyDescent="0.35">
      <c r="B2524" s="203"/>
      <c r="C2524" s="204"/>
      <c r="D2524" s="204"/>
      <c r="E2524" s="204"/>
      <c r="F2524" s="205"/>
      <c r="G2524" s="548"/>
      <c r="H2524" s="550"/>
      <c r="I2524" s="326"/>
      <c r="J2524" s="326"/>
      <c r="K2524" s="326"/>
      <c r="M2524" s="463"/>
      <c r="N2524" s="464"/>
    </row>
    <row r="2525" spans="2:14" hidden="1" outlineLevel="1" x14ac:dyDescent="0.35">
      <c r="B2525" s="203"/>
      <c r="C2525" s="204"/>
      <c r="D2525" s="204"/>
      <c r="E2525" s="204"/>
      <c r="F2525" s="205"/>
      <c r="G2525" s="548"/>
      <c r="H2525" s="550"/>
      <c r="I2525" s="326"/>
      <c r="J2525" s="326"/>
      <c r="K2525" s="326"/>
      <c r="M2525" s="463"/>
      <c r="N2525" s="464"/>
    </row>
    <row r="2526" spans="2:14" hidden="1" outlineLevel="1" x14ac:dyDescent="0.35">
      <c r="B2526" s="203"/>
      <c r="C2526" s="204"/>
      <c r="D2526" s="204"/>
      <c r="E2526" s="204"/>
      <c r="F2526" s="205"/>
      <c r="G2526" s="548"/>
      <c r="H2526" s="550"/>
      <c r="I2526" s="326"/>
      <c r="J2526" s="326"/>
      <c r="K2526" s="326"/>
      <c r="M2526" s="463"/>
      <c r="N2526" s="464"/>
    </row>
    <row r="2527" spans="2:14" hidden="1" outlineLevel="1" x14ac:dyDescent="0.35">
      <c r="B2527" s="203"/>
      <c r="C2527" s="204"/>
      <c r="D2527" s="204"/>
      <c r="E2527" s="204"/>
      <c r="F2527" s="205"/>
      <c r="G2527" s="548"/>
      <c r="H2527" s="550"/>
      <c r="I2527" s="326"/>
      <c r="J2527" s="326"/>
      <c r="K2527" s="326"/>
      <c r="M2527" s="463"/>
      <c r="N2527" s="464"/>
    </row>
    <row r="2528" spans="2:14" hidden="1" outlineLevel="1" x14ac:dyDescent="0.35">
      <c r="B2528" s="203"/>
      <c r="C2528" s="204"/>
      <c r="D2528" s="204"/>
      <c r="E2528" s="204"/>
      <c r="F2528" s="205"/>
      <c r="G2528" s="548"/>
      <c r="H2528" s="550"/>
      <c r="I2528" s="326"/>
      <c r="J2528" s="326"/>
      <c r="K2528" s="326"/>
      <c r="M2528" s="463"/>
      <c r="N2528" s="464"/>
    </row>
    <row r="2529" spans="2:14" hidden="1" outlineLevel="1" x14ac:dyDescent="0.35">
      <c r="B2529" s="203"/>
      <c r="C2529" s="204"/>
      <c r="D2529" s="204"/>
      <c r="E2529" s="204"/>
      <c r="F2529" s="205"/>
      <c r="G2529" s="548"/>
      <c r="H2529" s="550"/>
      <c r="I2529" s="326"/>
      <c r="J2529" s="326"/>
      <c r="K2529" s="326"/>
      <c r="M2529" s="463"/>
      <c r="N2529" s="464"/>
    </row>
    <row r="2530" spans="2:14" hidden="1" outlineLevel="1" x14ac:dyDescent="0.35">
      <c r="B2530" s="203"/>
      <c r="C2530" s="204"/>
      <c r="D2530" s="204"/>
      <c r="E2530" s="204"/>
      <c r="F2530" s="205"/>
      <c r="G2530" s="548"/>
      <c r="H2530" s="550"/>
      <c r="I2530" s="326"/>
      <c r="J2530" s="326"/>
      <c r="K2530" s="326"/>
      <c r="M2530" s="463"/>
      <c r="N2530" s="464"/>
    </row>
    <row r="2531" spans="2:14" hidden="1" outlineLevel="1" x14ac:dyDescent="0.35">
      <c r="B2531" s="203"/>
      <c r="C2531" s="204"/>
      <c r="D2531" s="204"/>
      <c r="E2531" s="204"/>
      <c r="F2531" s="205"/>
      <c r="G2531" s="548"/>
      <c r="H2531" s="550"/>
      <c r="I2531" s="326"/>
      <c r="J2531" s="326"/>
      <c r="K2531" s="326"/>
      <c r="M2531" s="463"/>
      <c r="N2531" s="464"/>
    </row>
    <row r="2532" spans="2:14" hidden="1" outlineLevel="1" x14ac:dyDescent="0.35">
      <c r="B2532" s="203"/>
      <c r="C2532" s="204"/>
      <c r="D2532" s="204"/>
      <c r="E2532" s="204"/>
      <c r="F2532" s="205"/>
      <c r="G2532" s="548"/>
      <c r="H2532" s="550"/>
      <c r="I2532" s="326"/>
      <c r="J2532" s="326"/>
      <c r="K2532" s="326"/>
      <c r="M2532" s="463"/>
      <c r="N2532" s="464"/>
    </row>
    <row r="2533" spans="2:14" hidden="1" outlineLevel="1" x14ac:dyDescent="0.35">
      <c r="B2533" s="203"/>
      <c r="C2533" s="204"/>
      <c r="D2533" s="204"/>
      <c r="E2533" s="204"/>
      <c r="F2533" s="205"/>
      <c r="G2533" s="548"/>
      <c r="H2533" s="550"/>
      <c r="I2533" s="326"/>
      <c r="J2533" s="326"/>
      <c r="K2533" s="326"/>
      <c r="M2533" s="463"/>
      <c r="N2533" s="464"/>
    </row>
    <row r="2534" spans="2:14" hidden="1" outlineLevel="1" x14ac:dyDescent="0.35">
      <c r="B2534" s="203"/>
      <c r="C2534" s="204"/>
      <c r="D2534" s="204"/>
      <c r="E2534" s="204"/>
      <c r="F2534" s="205"/>
      <c r="G2534" s="548"/>
      <c r="H2534" s="550"/>
      <c r="I2534" s="326"/>
      <c r="J2534" s="326"/>
      <c r="K2534" s="326"/>
      <c r="M2534" s="463"/>
      <c r="N2534" s="464"/>
    </row>
    <row r="2535" spans="2:14" hidden="1" outlineLevel="1" x14ac:dyDescent="0.35">
      <c r="B2535" s="203"/>
      <c r="C2535" s="204"/>
      <c r="D2535" s="204"/>
      <c r="E2535" s="204"/>
      <c r="F2535" s="205"/>
      <c r="G2535" s="548"/>
      <c r="H2535" s="550"/>
      <c r="I2535" s="326"/>
      <c r="J2535" s="326"/>
      <c r="K2535" s="326"/>
      <c r="M2535" s="463"/>
      <c r="N2535" s="464"/>
    </row>
    <row r="2536" spans="2:14" hidden="1" outlineLevel="1" x14ac:dyDescent="0.35">
      <c r="B2536" s="203"/>
      <c r="C2536" s="204"/>
      <c r="D2536" s="204"/>
      <c r="E2536" s="204"/>
      <c r="F2536" s="205"/>
      <c r="G2536" s="548"/>
      <c r="H2536" s="550"/>
      <c r="I2536" s="326"/>
      <c r="J2536" s="326"/>
      <c r="K2536" s="326"/>
      <c r="M2536" s="463"/>
      <c r="N2536" s="464"/>
    </row>
    <row r="2537" spans="2:14" hidden="1" outlineLevel="1" x14ac:dyDescent="0.35">
      <c r="B2537" s="203"/>
      <c r="C2537" s="204"/>
      <c r="D2537" s="204"/>
      <c r="E2537" s="204"/>
      <c r="F2537" s="205"/>
      <c r="G2537" s="548"/>
      <c r="H2537" s="550"/>
      <c r="I2537" s="326"/>
      <c r="J2537" s="326"/>
      <c r="K2537" s="326"/>
      <c r="M2537" s="463"/>
      <c r="N2537" s="464"/>
    </row>
    <row r="2538" spans="2:14" hidden="1" outlineLevel="1" x14ac:dyDescent="0.35">
      <c r="B2538" s="203"/>
      <c r="C2538" s="204"/>
      <c r="D2538" s="204"/>
      <c r="E2538" s="204"/>
      <c r="F2538" s="205"/>
      <c r="G2538" s="548"/>
      <c r="H2538" s="550"/>
      <c r="I2538" s="326"/>
      <c r="J2538" s="326"/>
      <c r="K2538" s="326"/>
      <c r="M2538" s="463"/>
      <c r="N2538" s="464"/>
    </row>
    <row r="2539" spans="2:14" hidden="1" outlineLevel="1" x14ac:dyDescent="0.35">
      <c r="B2539" s="203"/>
      <c r="C2539" s="204"/>
      <c r="D2539" s="204"/>
      <c r="E2539" s="204"/>
      <c r="F2539" s="205"/>
      <c r="G2539" s="548"/>
      <c r="H2539" s="550"/>
      <c r="I2539" s="326"/>
      <c r="J2539" s="326"/>
      <c r="K2539" s="326"/>
      <c r="M2539" s="463"/>
      <c r="N2539" s="464"/>
    </row>
    <row r="2540" spans="2:14" hidden="1" outlineLevel="1" x14ac:dyDescent="0.35">
      <c r="B2540" s="203"/>
      <c r="C2540" s="204"/>
      <c r="D2540" s="204"/>
      <c r="E2540" s="204"/>
      <c r="F2540" s="205"/>
      <c r="G2540" s="548"/>
      <c r="H2540" s="550"/>
      <c r="I2540" s="326"/>
      <c r="J2540" s="326"/>
      <c r="K2540" s="326"/>
      <c r="M2540" s="463"/>
      <c r="N2540" s="464"/>
    </row>
    <row r="2541" spans="2:14" hidden="1" outlineLevel="1" x14ac:dyDescent="0.35">
      <c r="B2541" s="203"/>
      <c r="C2541" s="204"/>
      <c r="D2541" s="204"/>
      <c r="E2541" s="204"/>
      <c r="F2541" s="205"/>
      <c r="G2541" s="548"/>
      <c r="H2541" s="550"/>
      <c r="I2541" s="326"/>
      <c r="J2541" s="326"/>
      <c r="K2541" s="326"/>
      <c r="M2541" s="463"/>
      <c r="N2541" s="464"/>
    </row>
    <row r="2542" spans="2:14" hidden="1" outlineLevel="1" x14ac:dyDescent="0.35">
      <c r="B2542" s="203"/>
      <c r="C2542" s="204"/>
      <c r="D2542" s="204"/>
      <c r="E2542" s="204"/>
      <c r="F2542" s="205"/>
      <c r="G2542" s="548"/>
      <c r="H2542" s="550"/>
      <c r="I2542" s="326"/>
      <c r="J2542" s="326"/>
      <c r="K2542" s="326"/>
      <c r="M2542" s="463"/>
      <c r="N2542" s="464"/>
    </row>
    <row r="2543" spans="2:14" hidden="1" outlineLevel="1" x14ac:dyDescent="0.35">
      <c r="B2543" s="203"/>
      <c r="C2543" s="204"/>
      <c r="D2543" s="204"/>
      <c r="E2543" s="204"/>
      <c r="F2543" s="205"/>
      <c r="G2543" s="548"/>
      <c r="H2543" s="550"/>
      <c r="I2543" s="326"/>
      <c r="J2543" s="326"/>
      <c r="K2543" s="326"/>
      <c r="M2543" s="463"/>
      <c r="N2543" s="464"/>
    </row>
    <row r="2544" spans="2:14" hidden="1" outlineLevel="1" x14ac:dyDescent="0.35">
      <c r="B2544" s="203"/>
      <c r="C2544" s="204"/>
      <c r="D2544" s="204"/>
      <c r="E2544" s="204"/>
      <c r="F2544" s="205"/>
      <c r="G2544" s="548"/>
      <c r="H2544" s="550"/>
      <c r="I2544" s="326"/>
      <c r="J2544" s="326"/>
      <c r="K2544" s="326"/>
      <c r="M2544" s="463"/>
      <c r="N2544" s="464"/>
    </row>
    <row r="2545" spans="2:14" hidden="1" outlineLevel="1" x14ac:dyDescent="0.35">
      <c r="B2545" s="203"/>
      <c r="C2545" s="204"/>
      <c r="D2545" s="204"/>
      <c r="E2545" s="204"/>
      <c r="F2545" s="205"/>
      <c r="G2545" s="548"/>
      <c r="H2545" s="550"/>
      <c r="I2545" s="326"/>
      <c r="J2545" s="326"/>
      <c r="K2545" s="326"/>
      <c r="M2545" s="463"/>
      <c r="N2545" s="464"/>
    </row>
    <row r="2546" spans="2:14" hidden="1" outlineLevel="1" x14ac:dyDescent="0.35">
      <c r="B2546" s="203"/>
      <c r="C2546" s="204"/>
      <c r="D2546" s="204"/>
      <c r="E2546" s="204"/>
      <c r="F2546" s="205"/>
      <c r="G2546" s="548"/>
      <c r="H2546" s="550"/>
      <c r="I2546" s="326"/>
      <c r="J2546" s="326"/>
      <c r="K2546" s="326"/>
      <c r="M2546" s="463"/>
      <c r="N2546" s="464"/>
    </row>
    <row r="2547" spans="2:14" hidden="1" outlineLevel="1" x14ac:dyDescent="0.35">
      <c r="B2547" s="203"/>
      <c r="C2547" s="204"/>
      <c r="D2547" s="204"/>
      <c r="E2547" s="204"/>
      <c r="F2547" s="205"/>
      <c r="G2547" s="548"/>
      <c r="H2547" s="550"/>
      <c r="I2547" s="326"/>
      <c r="J2547" s="326"/>
      <c r="K2547" s="326"/>
      <c r="M2547" s="463"/>
      <c r="N2547" s="464"/>
    </row>
    <row r="2548" spans="2:14" hidden="1" outlineLevel="1" x14ac:dyDescent="0.35">
      <c r="B2548" s="203"/>
      <c r="C2548" s="204"/>
      <c r="D2548" s="204"/>
      <c r="E2548" s="204"/>
      <c r="F2548" s="205"/>
      <c r="G2548" s="548"/>
      <c r="H2548" s="550"/>
      <c r="I2548" s="326"/>
      <c r="J2548" s="326"/>
      <c r="K2548" s="326"/>
      <c r="M2548" s="463"/>
      <c r="N2548" s="464"/>
    </row>
    <row r="2549" spans="2:14" hidden="1" outlineLevel="1" x14ac:dyDescent="0.35">
      <c r="B2549" s="203"/>
      <c r="C2549" s="204"/>
      <c r="D2549" s="204"/>
      <c r="E2549" s="204"/>
      <c r="F2549" s="205"/>
      <c r="G2549" s="548"/>
      <c r="H2549" s="550"/>
      <c r="I2549" s="326"/>
      <c r="J2549" s="326"/>
      <c r="K2549" s="326"/>
      <c r="M2549" s="463"/>
      <c r="N2549" s="464"/>
    </row>
    <row r="2550" spans="2:14" hidden="1" outlineLevel="1" x14ac:dyDescent="0.35">
      <c r="B2550" s="203"/>
      <c r="C2550" s="204"/>
      <c r="D2550" s="204"/>
      <c r="E2550" s="204"/>
      <c r="F2550" s="205"/>
      <c r="G2550" s="548"/>
      <c r="H2550" s="550"/>
      <c r="I2550" s="326"/>
      <c r="J2550" s="326"/>
      <c r="K2550" s="326"/>
      <c r="M2550" s="463"/>
      <c r="N2550" s="464"/>
    </row>
    <row r="2551" spans="2:14" hidden="1" outlineLevel="1" x14ac:dyDescent="0.35">
      <c r="B2551" s="203"/>
      <c r="C2551" s="204"/>
      <c r="D2551" s="204"/>
      <c r="E2551" s="204"/>
      <c r="F2551" s="205"/>
      <c r="G2551" s="548"/>
      <c r="H2551" s="550"/>
      <c r="I2551" s="326"/>
      <c r="J2551" s="326"/>
      <c r="K2551" s="326"/>
      <c r="M2551" s="463"/>
      <c r="N2551" s="464"/>
    </row>
    <row r="2552" spans="2:14" hidden="1" outlineLevel="1" x14ac:dyDescent="0.35">
      <c r="B2552" s="203"/>
      <c r="C2552" s="204"/>
      <c r="D2552" s="204"/>
      <c r="E2552" s="204"/>
      <c r="F2552" s="205"/>
      <c r="G2552" s="548"/>
      <c r="H2552" s="550"/>
      <c r="I2552" s="326"/>
      <c r="J2552" s="326"/>
      <c r="K2552" s="326"/>
      <c r="M2552" s="463"/>
      <c r="N2552" s="464"/>
    </row>
    <row r="2553" spans="2:14" hidden="1" outlineLevel="1" x14ac:dyDescent="0.35">
      <c r="B2553" s="203"/>
      <c r="C2553" s="204"/>
      <c r="D2553" s="204"/>
      <c r="E2553" s="204"/>
      <c r="F2553" s="205"/>
      <c r="G2553" s="548"/>
      <c r="H2553" s="550"/>
      <c r="I2553" s="326"/>
      <c r="J2553" s="326"/>
      <c r="K2553" s="326"/>
      <c r="M2553" s="463"/>
      <c r="N2553" s="464"/>
    </row>
    <row r="2554" spans="2:14" hidden="1" outlineLevel="1" x14ac:dyDescent="0.35">
      <c r="B2554" s="203"/>
      <c r="C2554" s="204"/>
      <c r="D2554" s="204"/>
      <c r="E2554" s="204"/>
      <c r="F2554" s="205"/>
      <c r="G2554" s="548"/>
      <c r="H2554" s="550"/>
      <c r="I2554" s="326"/>
      <c r="J2554" s="326"/>
      <c r="K2554" s="326"/>
      <c r="M2554" s="463"/>
      <c r="N2554" s="464"/>
    </row>
    <row r="2555" spans="2:14" hidden="1" outlineLevel="1" x14ac:dyDescent="0.35">
      <c r="B2555" s="203"/>
      <c r="C2555" s="204"/>
      <c r="D2555" s="204"/>
      <c r="E2555" s="204"/>
      <c r="F2555" s="205"/>
      <c r="G2555" s="548"/>
      <c r="H2555" s="550"/>
      <c r="I2555" s="326"/>
      <c r="J2555" s="326"/>
      <c r="K2555" s="326"/>
      <c r="M2555" s="463"/>
      <c r="N2555" s="464"/>
    </row>
    <row r="2556" spans="2:14" hidden="1" outlineLevel="1" x14ac:dyDescent="0.35">
      <c r="B2556" s="203"/>
      <c r="C2556" s="204"/>
      <c r="D2556" s="204"/>
      <c r="E2556" s="204"/>
      <c r="F2556" s="205"/>
      <c r="G2556" s="548"/>
      <c r="H2556" s="550"/>
      <c r="I2556" s="326"/>
      <c r="J2556" s="326"/>
      <c r="K2556" s="326"/>
      <c r="M2556" s="463"/>
      <c r="N2556" s="464"/>
    </row>
    <row r="2557" spans="2:14" hidden="1" outlineLevel="1" x14ac:dyDescent="0.35">
      <c r="B2557" s="203"/>
      <c r="C2557" s="204"/>
      <c r="D2557" s="204"/>
      <c r="E2557" s="204"/>
      <c r="F2557" s="205"/>
      <c r="G2557" s="548"/>
      <c r="H2557" s="550"/>
      <c r="I2557" s="326"/>
      <c r="J2557" s="326"/>
      <c r="K2557" s="326"/>
      <c r="M2557" s="463"/>
      <c r="N2557" s="464"/>
    </row>
    <row r="2558" spans="2:14" hidden="1" outlineLevel="1" x14ac:dyDescent="0.35">
      <c r="B2558" s="203"/>
      <c r="C2558" s="204"/>
      <c r="D2558" s="204"/>
      <c r="E2558" s="204"/>
      <c r="F2558" s="205"/>
      <c r="G2558" s="548"/>
      <c r="H2558" s="550"/>
      <c r="I2558" s="326"/>
      <c r="J2558" s="326"/>
      <c r="K2558" s="326"/>
      <c r="M2558" s="463"/>
      <c r="N2558" s="464"/>
    </row>
    <row r="2559" spans="2:14" hidden="1" outlineLevel="1" x14ac:dyDescent="0.35">
      <c r="B2559" s="203"/>
      <c r="C2559" s="204"/>
      <c r="D2559" s="204"/>
      <c r="E2559" s="204"/>
      <c r="F2559" s="205"/>
      <c r="G2559" s="548"/>
      <c r="H2559" s="550"/>
      <c r="I2559" s="326"/>
      <c r="J2559" s="326"/>
      <c r="K2559" s="326"/>
      <c r="M2559" s="463"/>
      <c r="N2559" s="464"/>
    </row>
    <row r="2560" spans="2:14" hidden="1" outlineLevel="1" x14ac:dyDescent="0.35">
      <c r="B2560" s="203"/>
      <c r="C2560" s="204"/>
      <c r="D2560" s="204"/>
      <c r="E2560" s="204"/>
      <c r="F2560" s="205"/>
      <c r="G2560" s="548"/>
      <c r="H2560" s="550"/>
      <c r="I2560" s="326"/>
      <c r="J2560" s="326"/>
      <c r="K2560" s="326"/>
      <c r="M2560" s="463"/>
      <c r="N2560" s="464"/>
    </row>
    <row r="2561" spans="2:14" hidden="1" outlineLevel="1" x14ac:dyDescent="0.35">
      <c r="B2561" s="203"/>
      <c r="C2561" s="204"/>
      <c r="D2561" s="204"/>
      <c r="E2561" s="204"/>
      <c r="F2561" s="205"/>
      <c r="G2561" s="548"/>
      <c r="H2561" s="550"/>
      <c r="I2561" s="326"/>
      <c r="J2561" s="326"/>
      <c r="K2561" s="326"/>
      <c r="M2561" s="463"/>
      <c r="N2561" s="464"/>
    </row>
    <row r="2562" spans="2:14" hidden="1" outlineLevel="1" x14ac:dyDescent="0.35">
      <c r="B2562" s="203"/>
      <c r="C2562" s="204"/>
      <c r="D2562" s="204"/>
      <c r="E2562" s="204"/>
      <c r="F2562" s="205"/>
      <c r="G2562" s="548"/>
      <c r="H2562" s="550"/>
      <c r="I2562" s="326"/>
      <c r="J2562" s="326"/>
      <c r="K2562" s="326"/>
      <c r="M2562" s="463"/>
      <c r="N2562" s="464"/>
    </row>
    <row r="2563" spans="2:14" hidden="1" outlineLevel="1" x14ac:dyDescent="0.35">
      <c r="B2563" s="203"/>
      <c r="C2563" s="204"/>
      <c r="D2563" s="204"/>
      <c r="E2563" s="204"/>
      <c r="F2563" s="205"/>
      <c r="G2563" s="548"/>
      <c r="H2563" s="550"/>
      <c r="I2563" s="326"/>
      <c r="J2563" s="326"/>
      <c r="K2563" s="326"/>
      <c r="M2563" s="463"/>
      <c r="N2563" s="464"/>
    </row>
    <row r="2564" spans="2:14" hidden="1" outlineLevel="1" x14ac:dyDescent="0.35">
      <c r="B2564" s="203"/>
      <c r="C2564" s="204"/>
      <c r="D2564" s="204"/>
      <c r="E2564" s="204"/>
      <c r="F2564" s="205"/>
      <c r="G2564" s="548"/>
      <c r="H2564" s="550"/>
      <c r="I2564" s="326"/>
      <c r="J2564" s="326"/>
      <c r="K2564" s="326"/>
      <c r="M2564" s="463"/>
      <c r="N2564" s="464"/>
    </row>
    <row r="2565" spans="2:14" hidden="1" outlineLevel="1" x14ac:dyDescent="0.35">
      <c r="B2565" s="203"/>
      <c r="C2565" s="204"/>
      <c r="D2565" s="204"/>
      <c r="E2565" s="204"/>
      <c r="F2565" s="205"/>
      <c r="G2565" s="548"/>
      <c r="H2565" s="550"/>
      <c r="I2565" s="326"/>
      <c r="J2565" s="326"/>
      <c r="K2565" s="326"/>
      <c r="M2565" s="463"/>
      <c r="N2565" s="464"/>
    </row>
    <row r="2566" spans="2:14" hidden="1" outlineLevel="1" x14ac:dyDescent="0.35">
      <c r="B2566" s="203"/>
      <c r="C2566" s="204"/>
      <c r="D2566" s="204"/>
      <c r="E2566" s="204"/>
      <c r="F2566" s="205"/>
      <c r="G2566" s="548"/>
      <c r="H2566" s="550"/>
      <c r="I2566" s="326"/>
      <c r="J2566" s="326"/>
      <c r="K2566" s="326"/>
      <c r="M2566" s="463"/>
      <c r="N2566" s="464"/>
    </row>
    <row r="2567" spans="2:14" hidden="1" outlineLevel="1" x14ac:dyDescent="0.35">
      <c r="B2567" s="203"/>
      <c r="C2567" s="204"/>
      <c r="D2567" s="204"/>
      <c r="E2567" s="204"/>
      <c r="F2567" s="205"/>
      <c r="G2567" s="548"/>
      <c r="H2567" s="550"/>
      <c r="I2567" s="326"/>
      <c r="J2567" s="326"/>
      <c r="K2567" s="326"/>
      <c r="M2567" s="463"/>
      <c r="N2567" s="464"/>
    </row>
    <row r="2568" spans="2:14" hidden="1" outlineLevel="1" x14ac:dyDescent="0.35">
      <c r="B2568" s="203"/>
      <c r="C2568" s="204"/>
      <c r="D2568" s="204"/>
      <c r="E2568" s="204"/>
      <c r="F2568" s="205"/>
      <c r="G2568" s="548"/>
      <c r="H2568" s="550"/>
      <c r="I2568" s="326"/>
      <c r="J2568" s="326"/>
      <c r="K2568" s="326"/>
      <c r="M2568" s="463"/>
      <c r="N2568" s="464"/>
    </row>
    <row r="2569" spans="2:14" hidden="1" outlineLevel="1" x14ac:dyDescent="0.35">
      <c r="B2569" s="203"/>
      <c r="C2569" s="204"/>
      <c r="D2569" s="204"/>
      <c r="E2569" s="204"/>
      <c r="F2569" s="205"/>
      <c r="G2569" s="548"/>
      <c r="H2569" s="550"/>
      <c r="I2569" s="326"/>
      <c r="J2569" s="326"/>
      <c r="K2569" s="326"/>
      <c r="M2569" s="463"/>
      <c r="N2569" s="464"/>
    </row>
    <row r="2570" spans="2:14" hidden="1" outlineLevel="1" x14ac:dyDescent="0.35">
      <c r="B2570" s="203"/>
      <c r="C2570" s="204"/>
      <c r="D2570" s="204"/>
      <c r="E2570" s="204"/>
      <c r="F2570" s="205"/>
      <c r="G2570" s="548"/>
      <c r="H2570" s="550"/>
      <c r="I2570" s="326"/>
      <c r="J2570" s="326"/>
      <c r="K2570" s="326"/>
      <c r="M2570" s="463"/>
      <c r="N2570" s="464"/>
    </row>
    <row r="2571" spans="2:14" hidden="1" outlineLevel="1" x14ac:dyDescent="0.35">
      <c r="B2571" s="203"/>
      <c r="C2571" s="204"/>
      <c r="D2571" s="204"/>
      <c r="E2571" s="204"/>
      <c r="F2571" s="205"/>
      <c r="G2571" s="548"/>
      <c r="H2571" s="550"/>
      <c r="I2571" s="326"/>
      <c r="J2571" s="326"/>
      <c r="K2571" s="326"/>
      <c r="M2571" s="463"/>
      <c r="N2571" s="464"/>
    </row>
    <row r="2572" spans="2:14" hidden="1" outlineLevel="1" x14ac:dyDescent="0.35">
      <c r="B2572" s="203"/>
      <c r="C2572" s="204"/>
      <c r="D2572" s="204"/>
      <c r="E2572" s="204"/>
      <c r="F2572" s="205"/>
      <c r="G2572" s="548"/>
      <c r="H2572" s="550"/>
      <c r="I2572" s="326"/>
      <c r="J2572" s="326"/>
      <c r="K2572" s="326"/>
      <c r="M2572" s="463"/>
      <c r="N2572" s="464"/>
    </row>
    <row r="2573" spans="2:14" hidden="1" outlineLevel="1" x14ac:dyDescent="0.35">
      <c r="B2573" s="203"/>
      <c r="C2573" s="204"/>
      <c r="D2573" s="204"/>
      <c r="E2573" s="204"/>
      <c r="F2573" s="205"/>
      <c r="G2573" s="548"/>
      <c r="H2573" s="550"/>
      <c r="I2573" s="326"/>
      <c r="J2573" s="326"/>
      <c r="K2573" s="326"/>
      <c r="M2573" s="463"/>
      <c r="N2573" s="464"/>
    </row>
    <row r="2574" spans="2:14" hidden="1" outlineLevel="1" x14ac:dyDescent="0.35">
      <c r="B2574" s="203"/>
      <c r="C2574" s="204"/>
      <c r="D2574" s="204"/>
      <c r="E2574" s="204"/>
      <c r="F2574" s="205"/>
      <c r="G2574" s="548"/>
      <c r="H2574" s="550"/>
      <c r="I2574" s="326"/>
      <c r="J2574" s="326"/>
      <c r="K2574" s="326"/>
      <c r="M2574" s="463"/>
      <c r="N2574" s="464"/>
    </row>
    <row r="2575" spans="2:14" hidden="1" outlineLevel="1" x14ac:dyDescent="0.35">
      <c r="B2575" s="203"/>
      <c r="C2575" s="204"/>
      <c r="D2575" s="204"/>
      <c r="E2575" s="204"/>
      <c r="F2575" s="205"/>
      <c r="G2575" s="548"/>
      <c r="H2575" s="550"/>
      <c r="I2575" s="326"/>
      <c r="J2575" s="326"/>
      <c r="K2575" s="326"/>
      <c r="M2575" s="463"/>
      <c r="N2575" s="464"/>
    </row>
    <row r="2576" spans="2:14" hidden="1" outlineLevel="1" x14ac:dyDescent="0.35">
      <c r="B2576" s="203"/>
      <c r="C2576" s="204"/>
      <c r="D2576" s="204"/>
      <c r="E2576" s="204"/>
      <c r="F2576" s="205"/>
      <c r="G2576" s="548"/>
      <c r="H2576" s="550"/>
      <c r="I2576" s="326"/>
      <c r="J2576" s="326"/>
      <c r="K2576" s="326"/>
      <c r="M2576" s="463"/>
      <c r="N2576" s="464"/>
    </row>
    <row r="2577" spans="2:14" hidden="1" outlineLevel="1" x14ac:dyDescent="0.35">
      <c r="B2577" s="203"/>
      <c r="C2577" s="204"/>
      <c r="D2577" s="204"/>
      <c r="E2577" s="204"/>
      <c r="F2577" s="205"/>
      <c r="G2577" s="548"/>
      <c r="H2577" s="550"/>
      <c r="I2577" s="326"/>
      <c r="J2577" s="326"/>
      <c r="K2577" s="326"/>
      <c r="M2577" s="463"/>
      <c r="N2577" s="464"/>
    </row>
    <row r="2578" spans="2:14" hidden="1" outlineLevel="1" x14ac:dyDescent="0.35">
      <c r="B2578" s="203"/>
      <c r="C2578" s="204"/>
      <c r="D2578" s="204"/>
      <c r="E2578" s="204"/>
      <c r="F2578" s="205"/>
      <c r="G2578" s="548"/>
      <c r="H2578" s="550"/>
      <c r="I2578" s="326"/>
      <c r="J2578" s="326"/>
      <c r="K2578" s="326"/>
      <c r="M2578" s="463"/>
      <c r="N2578" s="464"/>
    </row>
    <row r="2579" spans="2:14" hidden="1" outlineLevel="1" x14ac:dyDescent="0.35">
      <c r="B2579" s="203"/>
      <c r="C2579" s="204"/>
      <c r="D2579" s="204"/>
      <c r="E2579" s="204"/>
      <c r="F2579" s="205"/>
      <c r="G2579" s="548"/>
      <c r="H2579" s="550"/>
      <c r="I2579" s="326"/>
      <c r="J2579" s="326"/>
      <c r="K2579" s="326"/>
      <c r="M2579" s="463"/>
      <c r="N2579" s="464"/>
    </row>
    <row r="2580" spans="2:14" hidden="1" outlineLevel="1" x14ac:dyDescent="0.35">
      <c r="B2580" s="203"/>
      <c r="C2580" s="204"/>
      <c r="D2580" s="204"/>
      <c r="E2580" s="204"/>
      <c r="F2580" s="205"/>
      <c r="G2580" s="548"/>
      <c r="H2580" s="550"/>
      <c r="I2580" s="326"/>
      <c r="J2580" s="326"/>
      <c r="K2580" s="326"/>
      <c r="M2580" s="463"/>
      <c r="N2580" s="464"/>
    </row>
    <row r="2581" spans="2:14" hidden="1" outlineLevel="1" x14ac:dyDescent="0.35">
      <c r="B2581" s="203"/>
      <c r="C2581" s="204"/>
      <c r="D2581" s="204"/>
      <c r="E2581" s="204"/>
      <c r="F2581" s="205"/>
      <c r="G2581" s="548"/>
      <c r="H2581" s="550"/>
      <c r="I2581" s="326"/>
      <c r="J2581" s="326"/>
      <c r="K2581" s="326"/>
      <c r="M2581" s="463"/>
      <c r="N2581" s="464"/>
    </row>
    <row r="2582" spans="2:14" hidden="1" outlineLevel="1" x14ac:dyDescent="0.35">
      <c r="B2582" s="203"/>
      <c r="C2582" s="204"/>
      <c r="D2582" s="204"/>
      <c r="E2582" s="204"/>
      <c r="F2582" s="205"/>
      <c r="G2582" s="548"/>
      <c r="H2582" s="550"/>
      <c r="I2582" s="326"/>
      <c r="J2582" s="326"/>
      <c r="K2582" s="326"/>
      <c r="M2582" s="463"/>
      <c r="N2582" s="464"/>
    </row>
    <row r="2583" spans="2:14" hidden="1" outlineLevel="1" x14ac:dyDescent="0.35">
      <c r="B2583" s="203"/>
      <c r="C2583" s="204"/>
      <c r="D2583" s="204"/>
      <c r="E2583" s="204"/>
      <c r="F2583" s="205"/>
      <c r="G2583" s="548"/>
      <c r="H2583" s="550"/>
      <c r="I2583" s="326"/>
      <c r="J2583" s="326"/>
      <c r="K2583" s="326"/>
      <c r="M2583" s="463"/>
      <c r="N2583" s="464"/>
    </row>
    <row r="2584" spans="2:14" hidden="1" outlineLevel="1" x14ac:dyDescent="0.35">
      <c r="B2584" s="203"/>
      <c r="C2584" s="204"/>
      <c r="D2584" s="204"/>
      <c r="E2584" s="204"/>
      <c r="F2584" s="205"/>
      <c r="G2584" s="548"/>
      <c r="H2584" s="550"/>
      <c r="I2584" s="326"/>
      <c r="J2584" s="326"/>
      <c r="K2584" s="326"/>
      <c r="M2584" s="463"/>
      <c r="N2584" s="464"/>
    </row>
    <row r="2585" spans="2:14" hidden="1" outlineLevel="1" x14ac:dyDescent="0.35">
      <c r="B2585" s="203"/>
      <c r="C2585" s="204"/>
      <c r="D2585" s="204"/>
      <c r="E2585" s="204"/>
      <c r="F2585" s="205"/>
      <c r="G2585" s="548"/>
      <c r="H2585" s="550"/>
      <c r="I2585" s="326"/>
      <c r="J2585" s="326"/>
      <c r="K2585" s="326"/>
      <c r="M2585" s="463"/>
      <c r="N2585" s="464"/>
    </row>
    <row r="2586" spans="2:14" hidden="1" outlineLevel="1" x14ac:dyDescent="0.35">
      <c r="B2586" s="203"/>
      <c r="C2586" s="204"/>
      <c r="D2586" s="204"/>
      <c r="E2586" s="204"/>
      <c r="F2586" s="205"/>
      <c r="G2586" s="548"/>
      <c r="H2586" s="550"/>
      <c r="I2586" s="326"/>
      <c r="J2586" s="326"/>
      <c r="K2586" s="326"/>
      <c r="M2586" s="463"/>
      <c r="N2586" s="464"/>
    </row>
    <row r="2587" spans="2:14" hidden="1" outlineLevel="1" x14ac:dyDescent="0.35">
      <c r="B2587" s="203"/>
      <c r="C2587" s="204"/>
      <c r="D2587" s="204"/>
      <c r="E2587" s="204"/>
      <c r="F2587" s="205"/>
      <c r="G2587" s="548"/>
      <c r="H2587" s="550"/>
      <c r="I2587" s="326"/>
      <c r="J2587" s="326"/>
      <c r="K2587" s="326"/>
      <c r="M2587" s="463"/>
      <c r="N2587" s="464"/>
    </row>
    <row r="2588" spans="2:14" hidden="1" outlineLevel="1" x14ac:dyDescent="0.35">
      <c r="B2588" s="203"/>
      <c r="C2588" s="204"/>
      <c r="D2588" s="204"/>
      <c r="E2588" s="204"/>
      <c r="F2588" s="205"/>
      <c r="G2588" s="548"/>
      <c r="H2588" s="550"/>
      <c r="I2588" s="326"/>
      <c r="J2588" s="326"/>
      <c r="K2588" s="326"/>
      <c r="M2588" s="463"/>
      <c r="N2588" s="464"/>
    </row>
    <row r="2589" spans="2:14" hidden="1" outlineLevel="1" x14ac:dyDescent="0.35">
      <c r="B2589" s="203"/>
      <c r="C2589" s="204"/>
      <c r="D2589" s="204"/>
      <c r="E2589" s="204"/>
      <c r="F2589" s="205"/>
      <c r="G2589" s="548"/>
      <c r="H2589" s="550"/>
      <c r="I2589" s="326"/>
      <c r="J2589" s="326"/>
      <c r="K2589" s="326"/>
      <c r="M2589" s="463"/>
      <c r="N2589" s="464"/>
    </row>
    <row r="2590" spans="2:14" hidden="1" outlineLevel="1" x14ac:dyDescent="0.35">
      <c r="B2590" s="203"/>
      <c r="C2590" s="204"/>
      <c r="D2590" s="204"/>
      <c r="E2590" s="204"/>
      <c r="F2590" s="205"/>
      <c r="G2590" s="548"/>
      <c r="H2590" s="550"/>
      <c r="I2590" s="326"/>
      <c r="J2590" s="326"/>
      <c r="K2590" s="326"/>
      <c r="M2590" s="463"/>
      <c r="N2590" s="464"/>
    </row>
    <row r="2591" spans="2:14" hidden="1" outlineLevel="1" x14ac:dyDescent="0.35">
      <c r="B2591" s="203"/>
      <c r="C2591" s="204"/>
      <c r="D2591" s="204"/>
      <c r="E2591" s="204"/>
      <c r="F2591" s="205"/>
      <c r="G2591" s="548"/>
      <c r="H2591" s="550"/>
      <c r="I2591" s="326"/>
      <c r="J2591" s="326"/>
      <c r="K2591" s="326"/>
      <c r="M2591" s="463"/>
      <c r="N2591" s="464"/>
    </row>
    <row r="2592" spans="2:14" hidden="1" outlineLevel="1" x14ac:dyDescent="0.35">
      <c r="B2592" s="203"/>
      <c r="C2592" s="204"/>
      <c r="D2592" s="204"/>
      <c r="E2592" s="204"/>
      <c r="F2592" s="205"/>
      <c r="G2592" s="548"/>
      <c r="H2592" s="550"/>
      <c r="I2592" s="326"/>
      <c r="J2592" s="326"/>
      <c r="K2592" s="326"/>
      <c r="M2592" s="463"/>
      <c r="N2592" s="464"/>
    </row>
    <row r="2593" spans="2:14" hidden="1" outlineLevel="1" x14ac:dyDescent="0.35">
      <c r="B2593" s="203"/>
      <c r="C2593" s="204"/>
      <c r="D2593" s="204"/>
      <c r="E2593" s="204"/>
      <c r="F2593" s="205"/>
      <c r="G2593" s="548"/>
      <c r="H2593" s="550"/>
      <c r="I2593" s="326"/>
      <c r="J2593" s="326"/>
      <c r="K2593" s="326"/>
      <c r="M2593" s="463"/>
      <c r="N2593" s="464"/>
    </row>
    <row r="2594" spans="2:14" hidden="1" outlineLevel="1" x14ac:dyDescent="0.35">
      <c r="B2594" s="203"/>
      <c r="C2594" s="204"/>
      <c r="D2594" s="204"/>
      <c r="E2594" s="204"/>
      <c r="F2594" s="205"/>
      <c r="G2594" s="548"/>
      <c r="H2594" s="550"/>
      <c r="I2594" s="326"/>
      <c r="J2594" s="326"/>
      <c r="K2594" s="326"/>
      <c r="M2594" s="463"/>
      <c r="N2594" s="464"/>
    </row>
    <row r="2595" spans="2:14" hidden="1" outlineLevel="1" x14ac:dyDescent="0.35">
      <c r="B2595" s="203"/>
      <c r="C2595" s="204"/>
      <c r="D2595" s="204"/>
      <c r="E2595" s="204"/>
      <c r="F2595" s="205"/>
      <c r="G2595" s="548"/>
      <c r="H2595" s="550"/>
      <c r="I2595" s="326"/>
      <c r="J2595" s="326"/>
      <c r="K2595" s="326"/>
      <c r="M2595" s="463"/>
      <c r="N2595" s="464"/>
    </row>
    <row r="2596" spans="2:14" hidden="1" outlineLevel="1" x14ac:dyDescent="0.35">
      <c r="B2596" s="203"/>
      <c r="C2596" s="204"/>
      <c r="D2596" s="204"/>
      <c r="E2596" s="204"/>
      <c r="F2596" s="205"/>
      <c r="G2596" s="548"/>
      <c r="H2596" s="550"/>
      <c r="I2596" s="326"/>
      <c r="J2596" s="326"/>
      <c r="K2596" s="326"/>
      <c r="M2596" s="463"/>
      <c r="N2596" s="464"/>
    </row>
    <row r="2597" spans="2:14" hidden="1" outlineLevel="1" x14ac:dyDescent="0.35">
      <c r="B2597" s="203"/>
      <c r="C2597" s="204"/>
      <c r="D2597" s="204"/>
      <c r="E2597" s="204"/>
      <c r="F2597" s="205"/>
      <c r="G2597" s="548"/>
      <c r="H2597" s="550"/>
      <c r="I2597" s="326"/>
      <c r="J2597" s="326"/>
      <c r="K2597" s="326"/>
      <c r="M2597" s="463"/>
      <c r="N2597" s="464"/>
    </row>
    <row r="2598" spans="2:14" hidden="1" outlineLevel="1" x14ac:dyDescent="0.35">
      <c r="B2598" s="203"/>
      <c r="C2598" s="204"/>
      <c r="D2598" s="204"/>
      <c r="E2598" s="204"/>
      <c r="F2598" s="205"/>
      <c r="G2598" s="548"/>
      <c r="H2598" s="550"/>
      <c r="I2598" s="326"/>
      <c r="J2598" s="326"/>
      <c r="K2598" s="326"/>
      <c r="M2598" s="463"/>
      <c r="N2598" s="464"/>
    </row>
    <row r="2599" spans="2:14" hidden="1" outlineLevel="1" x14ac:dyDescent="0.35">
      <c r="B2599" s="203"/>
      <c r="C2599" s="204"/>
      <c r="D2599" s="204"/>
      <c r="E2599" s="204"/>
      <c r="F2599" s="205"/>
      <c r="G2599" s="548"/>
      <c r="H2599" s="550"/>
      <c r="I2599" s="326"/>
      <c r="J2599" s="326"/>
      <c r="K2599" s="326"/>
      <c r="M2599" s="463"/>
      <c r="N2599" s="464"/>
    </row>
    <row r="2600" spans="2:14" hidden="1" outlineLevel="1" x14ac:dyDescent="0.35">
      <c r="B2600" s="203"/>
      <c r="C2600" s="204"/>
      <c r="D2600" s="204"/>
      <c r="E2600" s="204"/>
      <c r="F2600" s="205"/>
      <c r="G2600" s="548"/>
      <c r="H2600" s="550"/>
      <c r="I2600" s="326"/>
      <c r="J2600" s="326"/>
      <c r="K2600" s="326"/>
      <c r="M2600" s="463"/>
      <c r="N2600" s="464"/>
    </row>
    <row r="2601" spans="2:14" hidden="1" outlineLevel="1" x14ac:dyDescent="0.35">
      <c r="B2601" s="203"/>
      <c r="C2601" s="204"/>
      <c r="D2601" s="204"/>
      <c r="E2601" s="204"/>
      <c r="F2601" s="205"/>
      <c r="G2601" s="548"/>
      <c r="H2601" s="550"/>
      <c r="I2601" s="326"/>
      <c r="J2601" s="326"/>
      <c r="K2601" s="326"/>
      <c r="M2601" s="463"/>
      <c r="N2601" s="464"/>
    </row>
    <row r="2602" spans="2:14" hidden="1" outlineLevel="1" x14ac:dyDescent="0.35">
      <c r="B2602" s="203"/>
      <c r="C2602" s="204"/>
      <c r="D2602" s="204"/>
      <c r="E2602" s="204"/>
      <c r="F2602" s="205"/>
      <c r="G2602" s="548"/>
      <c r="H2602" s="550"/>
      <c r="I2602" s="326"/>
      <c r="J2602" s="326"/>
      <c r="K2602" s="326"/>
      <c r="M2602" s="463"/>
      <c r="N2602" s="464"/>
    </row>
    <row r="2603" spans="2:14" hidden="1" outlineLevel="1" x14ac:dyDescent="0.35">
      <c r="B2603" s="203"/>
      <c r="C2603" s="204"/>
      <c r="D2603" s="204"/>
      <c r="E2603" s="204"/>
      <c r="F2603" s="205"/>
      <c r="G2603" s="548"/>
      <c r="H2603" s="550"/>
      <c r="I2603" s="326"/>
      <c r="J2603" s="326"/>
      <c r="K2603" s="326"/>
      <c r="M2603" s="463"/>
      <c r="N2603" s="464"/>
    </row>
    <row r="2604" spans="2:14" hidden="1" outlineLevel="1" x14ac:dyDescent="0.35">
      <c r="B2604" s="203"/>
      <c r="C2604" s="204"/>
      <c r="D2604" s="204"/>
      <c r="E2604" s="204"/>
      <c r="F2604" s="205"/>
      <c r="G2604" s="548"/>
      <c r="H2604" s="550"/>
      <c r="I2604" s="326"/>
      <c r="J2604" s="326"/>
      <c r="K2604" s="326"/>
      <c r="M2604" s="463"/>
      <c r="N2604" s="464"/>
    </row>
    <row r="2605" spans="2:14" hidden="1" outlineLevel="1" x14ac:dyDescent="0.35">
      <c r="B2605" s="203"/>
      <c r="C2605" s="204"/>
      <c r="D2605" s="204"/>
      <c r="E2605" s="204"/>
      <c r="F2605" s="205"/>
      <c r="G2605" s="548"/>
      <c r="H2605" s="550"/>
      <c r="I2605" s="326"/>
      <c r="J2605" s="326"/>
      <c r="K2605" s="326"/>
      <c r="M2605" s="463"/>
      <c r="N2605" s="464"/>
    </row>
    <row r="2606" spans="2:14" hidden="1" outlineLevel="1" x14ac:dyDescent="0.35">
      <c r="B2606" s="203"/>
      <c r="C2606" s="204"/>
      <c r="D2606" s="204"/>
      <c r="E2606" s="204"/>
      <c r="F2606" s="205"/>
      <c r="G2606" s="548"/>
      <c r="H2606" s="550"/>
      <c r="I2606" s="326"/>
      <c r="J2606" s="326"/>
      <c r="K2606" s="326"/>
      <c r="M2606" s="463"/>
      <c r="N2606" s="464"/>
    </row>
    <row r="2607" spans="2:14" hidden="1" outlineLevel="1" x14ac:dyDescent="0.35">
      <c r="B2607" s="203"/>
      <c r="C2607" s="204"/>
      <c r="D2607" s="204"/>
      <c r="E2607" s="204"/>
      <c r="F2607" s="205"/>
      <c r="G2607" s="548"/>
      <c r="H2607" s="550"/>
      <c r="I2607" s="326"/>
      <c r="J2607" s="326"/>
      <c r="K2607" s="326"/>
      <c r="M2607" s="463"/>
      <c r="N2607" s="464"/>
    </row>
    <row r="2608" spans="2:14" hidden="1" outlineLevel="1" x14ac:dyDescent="0.35">
      <c r="B2608" s="203"/>
      <c r="C2608" s="204"/>
      <c r="D2608" s="204"/>
      <c r="E2608" s="204"/>
      <c r="F2608" s="205"/>
      <c r="G2608" s="548"/>
      <c r="H2608" s="550"/>
      <c r="I2608" s="326"/>
      <c r="J2608" s="326"/>
      <c r="K2608" s="326"/>
      <c r="M2608" s="463"/>
      <c r="N2608" s="464"/>
    </row>
    <row r="2609" spans="2:14" hidden="1" outlineLevel="1" x14ac:dyDescent="0.35">
      <c r="B2609" s="203"/>
      <c r="C2609" s="204"/>
      <c r="D2609" s="204"/>
      <c r="E2609" s="204"/>
      <c r="F2609" s="205"/>
      <c r="G2609" s="548"/>
      <c r="H2609" s="550"/>
      <c r="I2609" s="326"/>
      <c r="J2609" s="326"/>
      <c r="K2609" s="326"/>
      <c r="M2609" s="463"/>
      <c r="N2609" s="464"/>
    </row>
    <row r="2610" spans="2:14" hidden="1" outlineLevel="1" x14ac:dyDescent="0.35">
      <c r="B2610" s="203"/>
      <c r="C2610" s="204"/>
      <c r="D2610" s="204"/>
      <c r="E2610" s="204"/>
      <c r="F2610" s="205"/>
      <c r="G2610" s="548"/>
      <c r="H2610" s="550"/>
      <c r="I2610" s="326"/>
      <c r="J2610" s="326"/>
      <c r="K2610" s="326"/>
      <c r="M2610" s="463"/>
      <c r="N2610" s="464"/>
    </row>
    <row r="2611" spans="2:14" hidden="1" outlineLevel="1" x14ac:dyDescent="0.35">
      <c r="B2611" s="203"/>
      <c r="C2611" s="204"/>
      <c r="D2611" s="204"/>
      <c r="E2611" s="204"/>
      <c r="F2611" s="205"/>
      <c r="G2611" s="548"/>
      <c r="H2611" s="550"/>
      <c r="I2611" s="326"/>
      <c r="J2611" s="326"/>
      <c r="K2611" s="326"/>
      <c r="M2611" s="463"/>
      <c r="N2611" s="464"/>
    </row>
    <row r="2612" spans="2:14" hidden="1" outlineLevel="1" x14ac:dyDescent="0.35">
      <c r="B2612" s="203"/>
      <c r="C2612" s="204"/>
      <c r="D2612" s="204"/>
      <c r="E2612" s="204"/>
      <c r="F2612" s="205"/>
      <c r="G2612" s="548"/>
      <c r="H2612" s="550"/>
      <c r="I2612" s="326"/>
      <c r="J2612" s="326"/>
      <c r="K2612" s="326"/>
      <c r="M2612" s="463"/>
      <c r="N2612" s="464"/>
    </row>
    <row r="2613" spans="2:14" hidden="1" outlineLevel="1" x14ac:dyDescent="0.35">
      <c r="B2613" s="203"/>
      <c r="C2613" s="204"/>
      <c r="D2613" s="204"/>
      <c r="E2613" s="204"/>
      <c r="F2613" s="205"/>
      <c r="G2613" s="548"/>
      <c r="H2613" s="550"/>
      <c r="I2613" s="326"/>
      <c r="J2613" s="326"/>
      <c r="K2613" s="326"/>
      <c r="M2613" s="463"/>
      <c r="N2613" s="464"/>
    </row>
    <row r="2614" spans="2:14" hidden="1" outlineLevel="1" x14ac:dyDescent="0.35">
      <c r="B2614" s="203"/>
      <c r="C2614" s="204"/>
      <c r="D2614" s="204"/>
      <c r="E2614" s="204"/>
      <c r="F2614" s="205"/>
      <c r="G2614" s="548"/>
      <c r="H2614" s="550"/>
      <c r="I2614" s="326"/>
      <c r="J2614" s="326"/>
      <c r="K2614" s="326"/>
      <c r="M2614" s="463"/>
      <c r="N2614" s="464"/>
    </row>
    <row r="2615" spans="2:14" hidden="1" outlineLevel="1" x14ac:dyDescent="0.35">
      <c r="B2615" s="203"/>
      <c r="C2615" s="204"/>
      <c r="D2615" s="204"/>
      <c r="E2615" s="204"/>
      <c r="F2615" s="205"/>
      <c r="G2615" s="548"/>
      <c r="H2615" s="550"/>
      <c r="I2615" s="326"/>
      <c r="J2615" s="326"/>
      <c r="K2615" s="326"/>
      <c r="M2615" s="463"/>
      <c r="N2615" s="464"/>
    </row>
    <row r="2616" spans="2:14" hidden="1" outlineLevel="1" x14ac:dyDescent="0.35">
      <c r="B2616" s="203"/>
      <c r="C2616" s="204"/>
      <c r="D2616" s="204"/>
      <c r="E2616" s="204"/>
      <c r="F2616" s="205"/>
      <c r="G2616" s="548"/>
      <c r="H2616" s="550"/>
      <c r="I2616" s="326"/>
      <c r="J2616" s="326"/>
      <c r="K2616" s="326"/>
      <c r="M2616" s="463"/>
      <c r="N2616" s="464"/>
    </row>
    <row r="2617" spans="2:14" hidden="1" outlineLevel="1" x14ac:dyDescent="0.35">
      <c r="B2617" s="203"/>
      <c r="C2617" s="204"/>
      <c r="D2617" s="204"/>
      <c r="E2617" s="204"/>
      <c r="F2617" s="205"/>
      <c r="G2617" s="548"/>
      <c r="H2617" s="550"/>
      <c r="I2617" s="326"/>
      <c r="J2617" s="326"/>
      <c r="K2617" s="326"/>
      <c r="M2617" s="463"/>
      <c r="N2617" s="464"/>
    </row>
    <row r="2618" spans="2:14" hidden="1" outlineLevel="1" x14ac:dyDescent="0.35">
      <c r="B2618" s="203"/>
      <c r="C2618" s="204"/>
      <c r="D2618" s="204"/>
      <c r="E2618" s="204"/>
      <c r="F2618" s="205"/>
      <c r="G2618" s="548"/>
      <c r="H2618" s="550"/>
      <c r="I2618" s="326"/>
      <c r="J2618" s="326"/>
      <c r="K2618" s="326"/>
      <c r="M2618" s="463"/>
      <c r="N2618" s="464"/>
    </row>
    <row r="2619" spans="2:14" hidden="1" outlineLevel="1" x14ac:dyDescent="0.35">
      <c r="B2619" s="203"/>
      <c r="C2619" s="204"/>
      <c r="D2619" s="204"/>
      <c r="E2619" s="204"/>
      <c r="F2619" s="205"/>
      <c r="G2619" s="548"/>
      <c r="H2619" s="550"/>
      <c r="I2619" s="326"/>
      <c r="J2619" s="326"/>
      <c r="K2619" s="326"/>
      <c r="M2619" s="463"/>
      <c r="N2619" s="464"/>
    </row>
    <row r="2620" spans="2:14" hidden="1" outlineLevel="1" x14ac:dyDescent="0.35">
      <c r="B2620" s="203"/>
      <c r="C2620" s="204"/>
      <c r="D2620" s="204"/>
      <c r="E2620" s="204"/>
      <c r="F2620" s="205"/>
      <c r="G2620" s="548"/>
      <c r="H2620" s="550"/>
      <c r="I2620" s="326"/>
      <c r="J2620" s="326"/>
      <c r="K2620" s="326"/>
      <c r="M2620" s="463"/>
      <c r="N2620" s="464"/>
    </row>
    <row r="2621" spans="2:14" hidden="1" outlineLevel="1" x14ac:dyDescent="0.35">
      <c r="B2621" s="203"/>
      <c r="C2621" s="204"/>
      <c r="D2621" s="204"/>
      <c r="E2621" s="204"/>
      <c r="F2621" s="205"/>
      <c r="G2621" s="548"/>
      <c r="H2621" s="550"/>
      <c r="I2621" s="326"/>
      <c r="J2621" s="326"/>
      <c r="K2621" s="326"/>
      <c r="M2621" s="463"/>
      <c r="N2621" s="464"/>
    </row>
    <row r="2622" spans="2:14" hidden="1" outlineLevel="1" x14ac:dyDescent="0.35">
      <c r="B2622" s="203"/>
      <c r="C2622" s="204"/>
      <c r="D2622" s="204"/>
      <c r="E2622" s="204"/>
      <c r="F2622" s="205"/>
      <c r="G2622" s="548"/>
      <c r="H2622" s="550"/>
      <c r="I2622" s="326"/>
      <c r="J2622" s="326"/>
      <c r="K2622" s="326"/>
      <c r="M2622" s="463"/>
      <c r="N2622" s="464"/>
    </row>
    <row r="2623" spans="2:14" hidden="1" outlineLevel="1" x14ac:dyDescent="0.35">
      <c r="B2623" s="203"/>
      <c r="C2623" s="204"/>
      <c r="D2623" s="204"/>
      <c r="E2623" s="204"/>
      <c r="F2623" s="205"/>
      <c r="G2623" s="548"/>
      <c r="H2623" s="550"/>
      <c r="I2623" s="326"/>
      <c r="J2623" s="326"/>
      <c r="K2623" s="326"/>
      <c r="M2623" s="463"/>
      <c r="N2623" s="464"/>
    </row>
    <row r="2624" spans="2:14" hidden="1" outlineLevel="1" x14ac:dyDescent="0.35">
      <c r="B2624" s="203"/>
      <c r="C2624" s="204"/>
      <c r="D2624" s="204"/>
      <c r="E2624" s="204"/>
      <c r="F2624" s="205"/>
      <c r="G2624" s="548"/>
      <c r="H2624" s="550"/>
      <c r="I2624" s="326"/>
      <c r="J2624" s="326"/>
      <c r="K2624" s="326"/>
      <c r="M2624" s="463"/>
      <c r="N2624" s="464"/>
    </row>
    <row r="2625" spans="2:14" hidden="1" outlineLevel="1" x14ac:dyDescent="0.35">
      <c r="B2625" s="203"/>
      <c r="C2625" s="204"/>
      <c r="D2625" s="204"/>
      <c r="E2625" s="204"/>
      <c r="F2625" s="205"/>
      <c r="G2625" s="548"/>
      <c r="H2625" s="550"/>
      <c r="I2625" s="326"/>
      <c r="J2625" s="326"/>
      <c r="K2625" s="326"/>
      <c r="M2625" s="463"/>
      <c r="N2625" s="464"/>
    </row>
    <row r="2626" spans="2:14" hidden="1" outlineLevel="1" x14ac:dyDescent="0.35">
      <c r="B2626" s="203"/>
      <c r="C2626" s="204"/>
      <c r="D2626" s="204"/>
      <c r="E2626" s="204"/>
      <c r="F2626" s="205"/>
      <c r="G2626" s="548"/>
      <c r="H2626" s="550"/>
      <c r="I2626" s="326"/>
      <c r="J2626" s="326"/>
      <c r="K2626" s="326"/>
      <c r="M2626" s="463"/>
      <c r="N2626" s="464"/>
    </row>
    <row r="2627" spans="2:14" hidden="1" outlineLevel="1" x14ac:dyDescent="0.35">
      <c r="B2627" s="203"/>
      <c r="C2627" s="204"/>
      <c r="D2627" s="204"/>
      <c r="E2627" s="204"/>
      <c r="F2627" s="205"/>
      <c r="G2627" s="548"/>
      <c r="H2627" s="550"/>
      <c r="I2627" s="326"/>
      <c r="J2627" s="326"/>
      <c r="K2627" s="326"/>
      <c r="M2627" s="463"/>
      <c r="N2627" s="464"/>
    </row>
    <row r="2628" spans="2:14" hidden="1" outlineLevel="1" x14ac:dyDescent="0.35">
      <c r="B2628" s="203"/>
      <c r="C2628" s="204"/>
      <c r="D2628" s="204"/>
      <c r="E2628" s="204"/>
      <c r="F2628" s="205"/>
      <c r="G2628" s="548"/>
      <c r="H2628" s="550"/>
      <c r="I2628" s="326"/>
      <c r="J2628" s="326"/>
      <c r="K2628" s="326"/>
      <c r="M2628" s="463"/>
      <c r="N2628" s="464"/>
    </row>
    <row r="2629" spans="2:14" hidden="1" outlineLevel="1" x14ac:dyDescent="0.35">
      <c r="B2629" s="203"/>
      <c r="C2629" s="204"/>
      <c r="D2629" s="204"/>
      <c r="E2629" s="204"/>
      <c r="F2629" s="205"/>
      <c r="G2629" s="548"/>
      <c r="H2629" s="550"/>
      <c r="I2629" s="326"/>
      <c r="J2629" s="326"/>
      <c r="K2629" s="326"/>
      <c r="M2629" s="463"/>
      <c r="N2629" s="464"/>
    </row>
    <row r="2630" spans="2:14" hidden="1" outlineLevel="1" x14ac:dyDescent="0.35">
      <c r="B2630" s="203"/>
      <c r="C2630" s="204"/>
      <c r="D2630" s="204"/>
      <c r="E2630" s="204"/>
      <c r="F2630" s="205"/>
      <c r="G2630" s="548"/>
      <c r="H2630" s="550"/>
      <c r="I2630" s="326"/>
      <c r="J2630" s="326"/>
      <c r="K2630" s="326"/>
      <c r="M2630" s="463"/>
      <c r="N2630" s="464"/>
    </row>
    <row r="2631" spans="2:14" hidden="1" outlineLevel="1" x14ac:dyDescent="0.35">
      <c r="B2631" s="203"/>
      <c r="C2631" s="204"/>
      <c r="D2631" s="204"/>
      <c r="E2631" s="204"/>
      <c r="F2631" s="205"/>
      <c r="G2631" s="548"/>
      <c r="H2631" s="550"/>
      <c r="I2631" s="326"/>
      <c r="J2631" s="326"/>
      <c r="K2631" s="326"/>
      <c r="M2631" s="463"/>
      <c r="N2631" s="464"/>
    </row>
    <row r="2632" spans="2:14" hidden="1" outlineLevel="1" x14ac:dyDescent="0.35">
      <c r="B2632" s="203"/>
      <c r="C2632" s="204"/>
      <c r="D2632" s="204"/>
      <c r="E2632" s="204"/>
      <c r="F2632" s="205"/>
      <c r="G2632" s="548"/>
      <c r="H2632" s="550"/>
      <c r="I2632" s="326"/>
      <c r="J2632" s="326"/>
      <c r="K2632" s="326"/>
      <c r="M2632" s="463"/>
      <c r="N2632" s="464"/>
    </row>
    <row r="2633" spans="2:14" hidden="1" outlineLevel="1" x14ac:dyDescent="0.35">
      <c r="B2633" s="203"/>
      <c r="C2633" s="204"/>
      <c r="D2633" s="204"/>
      <c r="E2633" s="204"/>
      <c r="F2633" s="205"/>
      <c r="G2633" s="548"/>
      <c r="H2633" s="550"/>
      <c r="I2633" s="326"/>
      <c r="J2633" s="326"/>
      <c r="K2633" s="326"/>
      <c r="M2633" s="463"/>
      <c r="N2633" s="464"/>
    </row>
    <row r="2634" spans="2:14" hidden="1" outlineLevel="1" x14ac:dyDescent="0.35">
      <c r="B2634" s="203"/>
      <c r="C2634" s="204"/>
      <c r="D2634" s="204"/>
      <c r="E2634" s="204"/>
      <c r="F2634" s="205"/>
      <c r="G2634" s="548"/>
      <c r="H2634" s="550"/>
      <c r="I2634" s="326"/>
      <c r="J2634" s="326"/>
      <c r="K2634" s="326"/>
      <c r="M2634" s="463"/>
      <c r="N2634" s="464"/>
    </row>
    <row r="2635" spans="2:14" hidden="1" outlineLevel="1" x14ac:dyDescent="0.35">
      <c r="B2635" s="203"/>
      <c r="C2635" s="204"/>
      <c r="D2635" s="204"/>
      <c r="E2635" s="204"/>
      <c r="F2635" s="205"/>
      <c r="G2635" s="548"/>
      <c r="H2635" s="550"/>
      <c r="I2635" s="326"/>
      <c r="J2635" s="326"/>
      <c r="K2635" s="326"/>
      <c r="M2635" s="463"/>
      <c r="N2635" s="464"/>
    </row>
    <row r="2636" spans="2:14" hidden="1" outlineLevel="1" x14ac:dyDescent="0.35">
      <c r="B2636" s="203"/>
      <c r="C2636" s="204"/>
      <c r="D2636" s="204"/>
      <c r="E2636" s="204"/>
      <c r="F2636" s="205"/>
      <c r="G2636" s="548"/>
      <c r="H2636" s="550"/>
      <c r="I2636" s="326"/>
      <c r="J2636" s="326"/>
      <c r="K2636" s="326"/>
      <c r="M2636" s="463"/>
      <c r="N2636" s="464"/>
    </row>
    <row r="2637" spans="2:14" hidden="1" outlineLevel="1" x14ac:dyDescent="0.35">
      <c r="B2637" s="203"/>
      <c r="C2637" s="204"/>
      <c r="D2637" s="204"/>
      <c r="E2637" s="204"/>
      <c r="F2637" s="205"/>
      <c r="G2637" s="548"/>
      <c r="H2637" s="550"/>
      <c r="I2637" s="326"/>
      <c r="J2637" s="326"/>
      <c r="K2637" s="326"/>
      <c r="M2637" s="463"/>
      <c r="N2637" s="464"/>
    </row>
    <row r="2638" spans="2:14" hidden="1" outlineLevel="1" x14ac:dyDescent="0.35">
      <c r="B2638" s="203"/>
      <c r="C2638" s="204"/>
      <c r="D2638" s="204"/>
      <c r="E2638" s="204"/>
      <c r="F2638" s="205"/>
      <c r="G2638" s="548"/>
      <c r="H2638" s="550"/>
      <c r="I2638" s="326"/>
      <c r="J2638" s="326"/>
      <c r="K2638" s="326"/>
      <c r="M2638" s="463"/>
      <c r="N2638" s="464"/>
    </row>
    <row r="2639" spans="2:14" hidden="1" outlineLevel="1" x14ac:dyDescent="0.35">
      <c r="B2639" s="203"/>
      <c r="C2639" s="204"/>
      <c r="D2639" s="204"/>
      <c r="E2639" s="204"/>
      <c r="F2639" s="205"/>
      <c r="G2639" s="548"/>
      <c r="H2639" s="550"/>
      <c r="I2639" s="326"/>
      <c r="J2639" s="326"/>
      <c r="K2639" s="326"/>
      <c r="M2639" s="463"/>
      <c r="N2639" s="464"/>
    </row>
    <row r="2640" spans="2:14" hidden="1" outlineLevel="1" x14ac:dyDescent="0.35">
      <c r="B2640" s="203"/>
      <c r="C2640" s="204"/>
      <c r="D2640" s="204"/>
      <c r="E2640" s="204"/>
      <c r="F2640" s="205"/>
      <c r="G2640" s="548"/>
      <c r="H2640" s="550"/>
      <c r="I2640" s="326"/>
      <c r="J2640" s="326"/>
      <c r="K2640" s="326"/>
      <c r="M2640" s="463"/>
      <c r="N2640" s="464"/>
    </row>
    <row r="2641" spans="2:14" hidden="1" outlineLevel="1" x14ac:dyDescent="0.35">
      <c r="B2641" s="203"/>
      <c r="C2641" s="204"/>
      <c r="D2641" s="204"/>
      <c r="E2641" s="204"/>
      <c r="F2641" s="205"/>
      <c r="G2641" s="548"/>
      <c r="H2641" s="550"/>
      <c r="I2641" s="326"/>
      <c r="J2641" s="326"/>
      <c r="K2641" s="326"/>
      <c r="M2641" s="463"/>
      <c r="N2641" s="464"/>
    </row>
    <row r="2642" spans="2:14" hidden="1" outlineLevel="1" x14ac:dyDescent="0.35">
      <c r="B2642" s="203"/>
      <c r="C2642" s="204"/>
      <c r="D2642" s="204"/>
      <c r="E2642" s="204"/>
      <c r="F2642" s="205"/>
      <c r="G2642" s="548"/>
      <c r="H2642" s="550"/>
      <c r="I2642" s="326"/>
      <c r="J2642" s="326"/>
      <c r="K2642" s="326"/>
      <c r="M2642" s="463"/>
      <c r="N2642" s="464"/>
    </row>
    <row r="2643" spans="2:14" hidden="1" outlineLevel="1" x14ac:dyDescent="0.35">
      <c r="B2643" s="203"/>
      <c r="C2643" s="204"/>
      <c r="D2643" s="204"/>
      <c r="E2643" s="204"/>
      <c r="F2643" s="205"/>
      <c r="G2643" s="548"/>
      <c r="H2643" s="550"/>
      <c r="I2643" s="326"/>
      <c r="J2643" s="326"/>
      <c r="K2643" s="326"/>
      <c r="M2643" s="463"/>
      <c r="N2643" s="464"/>
    </row>
    <row r="2644" spans="2:14" hidden="1" outlineLevel="1" x14ac:dyDescent="0.35">
      <c r="B2644" s="203"/>
      <c r="C2644" s="204"/>
      <c r="D2644" s="204"/>
      <c r="E2644" s="204"/>
      <c r="F2644" s="205"/>
      <c r="G2644" s="548"/>
      <c r="H2644" s="550"/>
      <c r="I2644" s="326"/>
      <c r="J2644" s="326"/>
      <c r="K2644" s="326"/>
      <c r="M2644" s="463"/>
      <c r="N2644" s="464"/>
    </row>
    <row r="2645" spans="2:14" hidden="1" outlineLevel="1" x14ac:dyDescent="0.35">
      <c r="B2645" s="203"/>
      <c r="C2645" s="204"/>
      <c r="D2645" s="204"/>
      <c r="E2645" s="204"/>
      <c r="F2645" s="205"/>
      <c r="G2645" s="548"/>
      <c r="H2645" s="550"/>
      <c r="I2645" s="326"/>
      <c r="J2645" s="326"/>
      <c r="K2645" s="326"/>
      <c r="M2645" s="463"/>
      <c r="N2645" s="464"/>
    </row>
    <row r="2646" spans="2:14" hidden="1" outlineLevel="1" x14ac:dyDescent="0.35">
      <c r="B2646" s="203"/>
      <c r="C2646" s="204"/>
      <c r="D2646" s="204"/>
      <c r="E2646" s="204"/>
      <c r="F2646" s="205"/>
      <c r="G2646" s="548"/>
      <c r="H2646" s="550"/>
      <c r="I2646" s="326"/>
      <c r="J2646" s="326"/>
      <c r="K2646" s="326"/>
      <c r="M2646" s="463"/>
      <c r="N2646" s="464"/>
    </row>
    <row r="2647" spans="2:14" hidden="1" outlineLevel="1" x14ac:dyDescent="0.35">
      <c r="B2647" s="203"/>
      <c r="C2647" s="204"/>
      <c r="D2647" s="204"/>
      <c r="E2647" s="204"/>
      <c r="F2647" s="205"/>
      <c r="G2647" s="548"/>
      <c r="H2647" s="550"/>
      <c r="I2647" s="326"/>
      <c r="J2647" s="326"/>
      <c r="K2647" s="326"/>
      <c r="M2647" s="463"/>
      <c r="N2647" s="464"/>
    </row>
    <row r="2648" spans="2:14" hidden="1" outlineLevel="1" x14ac:dyDescent="0.35">
      <c r="B2648" s="203"/>
      <c r="C2648" s="204"/>
      <c r="D2648" s="204"/>
      <c r="E2648" s="204"/>
      <c r="F2648" s="205"/>
      <c r="G2648" s="548"/>
      <c r="H2648" s="550"/>
      <c r="I2648" s="326"/>
      <c r="J2648" s="326"/>
      <c r="K2648" s="326"/>
      <c r="M2648" s="463"/>
      <c r="N2648" s="464"/>
    </row>
    <row r="2649" spans="2:14" hidden="1" outlineLevel="1" x14ac:dyDescent="0.35">
      <c r="B2649" s="203"/>
      <c r="C2649" s="204"/>
      <c r="D2649" s="204"/>
      <c r="E2649" s="204"/>
      <c r="F2649" s="205"/>
      <c r="G2649" s="548"/>
      <c r="H2649" s="550"/>
      <c r="I2649" s="326"/>
      <c r="J2649" s="326"/>
      <c r="K2649" s="326"/>
      <c r="M2649" s="463"/>
      <c r="N2649" s="464"/>
    </row>
    <row r="2650" spans="2:14" hidden="1" outlineLevel="1" x14ac:dyDescent="0.35">
      <c r="B2650" s="203"/>
      <c r="C2650" s="204"/>
      <c r="D2650" s="204"/>
      <c r="E2650" s="204"/>
      <c r="F2650" s="205"/>
      <c r="G2650" s="548"/>
      <c r="H2650" s="550"/>
      <c r="I2650" s="326"/>
      <c r="J2650" s="326"/>
      <c r="K2650" s="326"/>
      <c r="M2650" s="463"/>
      <c r="N2650" s="464"/>
    </row>
    <row r="2651" spans="2:14" hidden="1" outlineLevel="1" x14ac:dyDescent="0.35">
      <c r="B2651" s="203"/>
      <c r="C2651" s="204"/>
      <c r="D2651" s="204"/>
      <c r="E2651" s="204"/>
      <c r="F2651" s="205"/>
      <c r="G2651" s="548"/>
      <c r="H2651" s="550"/>
      <c r="I2651" s="326"/>
      <c r="J2651" s="326"/>
      <c r="K2651" s="326"/>
      <c r="M2651" s="463"/>
      <c r="N2651" s="464"/>
    </row>
    <row r="2652" spans="2:14" hidden="1" outlineLevel="1" x14ac:dyDescent="0.35">
      <c r="B2652" s="203"/>
      <c r="C2652" s="204"/>
      <c r="D2652" s="204"/>
      <c r="E2652" s="204"/>
      <c r="F2652" s="205"/>
      <c r="G2652" s="548"/>
      <c r="H2652" s="550"/>
      <c r="I2652" s="326"/>
      <c r="J2652" s="326"/>
      <c r="K2652" s="326"/>
      <c r="M2652" s="463"/>
      <c r="N2652" s="464"/>
    </row>
    <row r="2653" spans="2:14" hidden="1" outlineLevel="1" x14ac:dyDescent="0.35">
      <c r="B2653" s="203"/>
      <c r="C2653" s="204"/>
      <c r="D2653" s="204"/>
      <c r="E2653" s="204"/>
      <c r="F2653" s="205"/>
      <c r="G2653" s="548"/>
      <c r="H2653" s="550"/>
      <c r="I2653" s="326"/>
      <c r="J2653" s="326"/>
      <c r="K2653" s="326"/>
      <c r="M2653" s="463"/>
      <c r="N2653" s="464"/>
    </row>
    <row r="2654" spans="2:14" hidden="1" outlineLevel="1" x14ac:dyDescent="0.35">
      <c r="B2654" s="203"/>
      <c r="C2654" s="204"/>
      <c r="D2654" s="204"/>
      <c r="E2654" s="204"/>
      <c r="F2654" s="205"/>
      <c r="G2654" s="548"/>
      <c r="H2654" s="550"/>
      <c r="I2654" s="326"/>
      <c r="J2654" s="326"/>
      <c r="K2654" s="326"/>
      <c r="M2654" s="463"/>
      <c r="N2654" s="464"/>
    </row>
    <row r="2655" spans="2:14" hidden="1" outlineLevel="1" x14ac:dyDescent="0.35">
      <c r="B2655" s="203"/>
      <c r="C2655" s="204"/>
      <c r="D2655" s="204"/>
      <c r="E2655" s="204"/>
      <c r="F2655" s="205"/>
      <c r="G2655" s="548"/>
      <c r="H2655" s="550"/>
      <c r="I2655" s="326"/>
      <c r="J2655" s="326"/>
      <c r="K2655" s="326"/>
      <c r="M2655" s="463"/>
      <c r="N2655" s="464"/>
    </row>
    <row r="2656" spans="2:14" hidden="1" outlineLevel="1" x14ac:dyDescent="0.35">
      <c r="B2656" s="203"/>
      <c r="C2656" s="204"/>
      <c r="D2656" s="204"/>
      <c r="E2656" s="204"/>
      <c r="F2656" s="205"/>
      <c r="G2656" s="548"/>
      <c r="H2656" s="550"/>
      <c r="I2656" s="326"/>
      <c r="J2656" s="326"/>
      <c r="K2656" s="326"/>
      <c r="M2656" s="463"/>
      <c r="N2656" s="464"/>
    </row>
    <row r="2657" spans="2:14" hidden="1" outlineLevel="1" x14ac:dyDescent="0.35">
      <c r="B2657" s="203"/>
      <c r="C2657" s="204"/>
      <c r="D2657" s="204"/>
      <c r="E2657" s="204"/>
      <c r="F2657" s="205"/>
      <c r="G2657" s="548"/>
      <c r="H2657" s="550"/>
      <c r="I2657" s="326"/>
      <c r="J2657" s="326"/>
      <c r="K2657" s="326"/>
      <c r="M2657" s="463"/>
      <c r="N2657" s="464"/>
    </row>
    <row r="2658" spans="2:14" hidden="1" outlineLevel="1" x14ac:dyDescent="0.35">
      <c r="B2658" s="203"/>
      <c r="C2658" s="204"/>
      <c r="D2658" s="204"/>
      <c r="E2658" s="204"/>
      <c r="F2658" s="205"/>
      <c r="G2658" s="548"/>
      <c r="H2658" s="550"/>
      <c r="I2658" s="326"/>
      <c r="J2658" s="326"/>
      <c r="K2658" s="326"/>
      <c r="M2658" s="463"/>
      <c r="N2658" s="464"/>
    </row>
    <row r="2659" spans="2:14" hidden="1" outlineLevel="1" x14ac:dyDescent="0.35">
      <c r="B2659" s="203"/>
      <c r="C2659" s="204"/>
      <c r="D2659" s="204"/>
      <c r="E2659" s="204"/>
      <c r="F2659" s="205"/>
      <c r="G2659" s="548"/>
      <c r="H2659" s="550"/>
      <c r="I2659" s="326"/>
      <c r="J2659" s="326"/>
      <c r="K2659" s="326"/>
      <c r="M2659" s="463"/>
      <c r="N2659" s="464"/>
    </row>
    <row r="2660" spans="2:14" hidden="1" outlineLevel="1" x14ac:dyDescent="0.35">
      <c r="B2660" s="203"/>
      <c r="C2660" s="204"/>
      <c r="D2660" s="204"/>
      <c r="E2660" s="204"/>
      <c r="F2660" s="205"/>
      <c r="G2660" s="548"/>
      <c r="H2660" s="550"/>
      <c r="I2660" s="326"/>
      <c r="J2660" s="326"/>
      <c r="K2660" s="326"/>
      <c r="M2660" s="463"/>
      <c r="N2660" s="464"/>
    </row>
    <row r="2661" spans="2:14" hidden="1" outlineLevel="1" x14ac:dyDescent="0.35">
      <c r="B2661" s="203"/>
      <c r="C2661" s="204"/>
      <c r="D2661" s="204"/>
      <c r="E2661" s="204"/>
      <c r="F2661" s="205"/>
      <c r="G2661" s="548"/>
      <c r="H2661" s="550"/>
      <c r="I2661" s="326"/>
      <c r="J2661" s="326"/>
      <c r="K2661" s="326"/>
      <c r="M2661" s="463"/>
      <c r="N2661" s="464"/>
    </row>
    <row r="2662" spans="2:14" hidden="1" outlineLevel="1" x14ac:dyDescent="0.35">
      <c r="B2662" s="203"/>
      <c r="C2662" s="204"/>
      <c r="D2662" s="204"/>
      <c r="E2662" s="204"/>
      <c r="F2662" s="205"/>
      <c r="G2662" s="548"/>
      <c r="H2662" s="550"/>
      <c r="I2662" s="326"/>
      <c r="J2662" s="326"/>
      <c r="K2662" s="326"/>
      <c r="M2662" s="463"/>
      <c r="N2662" s="464"/>
    </row>
    <row r="2663" spans="2:14" hidden="1" outlineLevel="1" x14ac:dyDescent="0.35">
      <c r="B2663" s="203"/>
      <c r="C2663" s="204"/>
      <c r="D2663" s="204"/>
      <c r="E2663" s="204"/>
      <c r="F2663" s="205"/>
      <c r="G2663" s="548"/>
      <c r="H2663" s="550"/>
      <c r="I2663" s="326"/>
      <c r="J2663" s="326"/>
      <c r="K2663" s="326"/>
      <c r="M2663" s="463"/>
      <c r="N2663" s="464"/>
    </row>
    <row r="2664" spans="2:14" hidden="1" outlineLevel="1" x14ac:dyDescent="0.35">
      <c r="B2664" s="203"/>
      <c r="C2664" s="204"/>
      <c r="D2664" s="204"/>
      <c r="E2664" s="204"/>
      <c r="F2664" s="205"/>
      <c r="G2664" s="548"/>
      <c r="H2664" s="550"/>
      <c r="I2664" s="326"/>
      <c r="J2664" s="326"/>
      <c r="K2664" s="326"/>
      <c r="M2664" s="463"/>
      <c r="N2664" s="464"/>
    </row>
    <row r="2665" spans="2:14" hidden="1" outlineLevel="1" x14ac:dyDescent="0.35">
      <c r="B2665" s="203"/>
      <c r="C2665" s="204"/>
      <c r="D2665" s="204"/>
      <c r="E2665" s="204"/>
      <c r="F2665" s="205"/>
      <c r="G2665" s="548"/>
      <c r="H2665" s="550"/>
      <c r="I2665" s="326"/>
      <c r="J2665" s="326"/>
      <c r="K2665" s="326"/>
      <c r="M2665" s="463"/>
      <c r="N2665" s="464"/>
    </row>
    <row r="2666" spans="2:14" hidden="1" outlineLevel="1" x14ac:dyDescent="0.35">
      <c r="B2666" s="203"/>
      <c r="C2666" s="204"/>
      <c r="D2666" s="204"/>
      <c r="E2666" s="204"/>
      <c r="F2666" s="205"/>
      <c r="G2666" s="548"/>
      <c r="H2666" s="550"/>
      <c r="I2666" s="326"/>
      <c r="J2666" s="326"/>
      <c r="K2666" s="326"/>
      <c r="M2666" s="463"/>
      <c r="N2666" s="464"/>
    </row>
    <row r="2667" spans="2:14" hidden="1" outlineLevel="1" x14ac:dyDescent="0.35">
      <c r="B2667" s="203"/>
      <c r="C2667" s="204"/>
      <c r="D2667" s="204"/>
      <c r="E2667" s="204"/>
      <c r="F2667" s="205"/>
      <c r="G2667" s="548"/>
      <c r="H2667" s="550"/>
      <c r="I2667" s="326"/>
      <c r="J2667" s="326"/>
      <c r="K2667" s="326"/>
      <c r="M2667" s="463"/>
      <c r="N2667" s="464"/>
    </row>
    <row r="2668" spans="2:14" hidden="1" outlineLevel="1" x14ac:dyDescent="0.35">
      <c r="B2668" s="203"/>
      <c r="C2668" s="204"/>
      <c r="D2668" s="204"/>
      <c r="E2668" s="204"/>
      <c r="F2668" s="205"/>
      <c r="G2668" s="548"/>
      <c r="H2668" s="550"/>
      <c r="I2668" s="326"/>
      <c r="J2668" s="326"/>
      <c r="K2668" s="326"/>
      <c r="M2668" s="463"/>
      <c r="N2668" s="464"/>
    </row>
    <row r="2669" spans="2:14" hidden="1" outlineLevel="1" x14ac:dyDescent="0.35">
      <c r="B2669" s="203"/>
      <c r="C2669" s="204"/>
      <c r="D2669" s="204"/>
      <c r="E2669" s="204"/>
      <c r="F2669" s="205"/>
      <c r="G2669" s="548"/>
      <c r="H2669" s="550"/>
      <c r="I2669" s="326"/>
      <c r="J2669" s="326"/>
      <c r="K2669" s="326"/>
      <c r="M2669" s="463"/>
      <c r="N2669" s="464"/>
    </row>
    <row r="2670" spans="2:14" hidden="1" outlineLevel="1" x14ac:dyDescent="0.35">
      <c r="B2670" s="203"/>
      <c r="C2670" s="204"/>
      <c r="D2670" s="204"/>
      <c r="E2670" s="204"/>
      <c r="F2670" s="205"/>
      <c r="G2670" s="548"/>
      <c r="H2670" s="550"/>
      <c r="I2670" s="326"/>
      <c r="J2670" s="326"/>
      <c r="K2670" s="326"/>
      <c r="M2670" s="463"/>
      <c r="N2670" s="464"/>
    </row>
    <row r="2671" spans="2:14" hidden="1" outlineLevel="1" x14ac:dyDescent="0.35">
      <c r="B2671" s="203"/>
      <c r="C2671" s="204"/>
      <c r="D2671" s="204"/>
      <c r="E2671" s="204"/>
      <c r="F2671" s="205"/>
      <c r="G2671" s="548"/>
      <c r="H2671" s="550"/>
      <c r="I2671" s="326"/>
      <c r="J2671" s="326"/>
      <c r="K2671" s="326"/>
      <c r="M2671" s="463"/>
      <c r="N2671" s="464"/>
    </row>
    <row r="2672" spans="2:14" hidden="1" outlineLevel="1" x14ac:dyDescent="0.35">
      <c r="B2672" s="203"/>
      <c r="C2672" s="204"/>
      <c r="D2672" s="204"/>
      <c r="E2672" s="204"/>
      <c r="F2672" s="205"/>
      <c r="G2672" s="548"/>
      <c r="H2672" s="550"/>
      <c r="I2672" s="326"/>
      <c r="J2672" s="326"/>
      <c r="K2672" s="326"/>
      <c r="M2672" s="463"/>
      <c r="N2672" s="464"/>
    </row>
    <row r="2673" spans="2:14" hidden="1" outlineLevel="1" x14ac:dyDescent="0.35">
      <c r="B2673" s="203"/>
      <c r="C2673" s="204"/>
      <c r="D2673" s="204"/>
      <c r="E2673" s="204"/>
      <c r="F2673" s="205"/>
      <c r="G2673" s="548"/>
      <c r="H2673" s="550"/>
      <c r="I2673" s="326"/>
      <c r="J2673" s="326"/>
      <c r="K2673" s="326"/>
      <c r="M2673" s="463"/>
      <c r="N2673" s="464"/>
    </row>
    <row r="2674" spans="2:14" hidden="1" outlineLevel="1" x14ac:dyDescent="0.35">
      <c r="B2674" s="203"/>
      <c r="C2674" s="204"/>
      <c r="D2674" s="204"/>
      <c r="E2674" s="204"/>
      <c r="F2674" s="205"/>
      <c r="G2674" s="548"/>
      <c r="H2674" s="550"/>
      <c r="I2674" s="326"/>
      <c r="J2674" s="326"/>
      <c r="K2674" s="326"/>
      <c r="M2674" s="463"/>
      <c r="N2674" s="464"/>
    </row>
    <row r="2675" spans="2:14" hidden="1" outlineLevel="1" x14ac:dyDescent="0.35">
      <c r="B2675" s="203"/>
      <c r="C2675" s="204"/>
      <c r="D2675" s="204"/>
      <c r="E2675" s="204"/>
      <c r="F2675" s="205"/>
      <c r="G2675" s="548"/>
      <c r="H2675" s="550"/>
      <c r="I2675" s="326"/>
      <c r="J2675" s="326"/>
      <c r="K2675" s="326"/>
      <c r="M2675" s="463"/>
      <c r="N2675" s="464"/>
    </row>
    <row r="2676" spans="2:14" hidden="1" outlineLevel="1" x14ac:dyDescent="0.35">
      <c r="B2676" s="203"/>
      <c r="C2676" s="204"/>
      <c r="D2676" s="204"/>
      <c r="E2676" s="204"/>
      <c r="F2676" s="205"/>
      <c r="G2676" s="548"/>
      <c r="H2676" s="550"/>
      <c r="I2676" s="326"/>
      <c r="J2676" s="326"/>
      <c r="K2676" s="326"/>
      <c r="M2676" s="463"/>
      <c r="N2676" s="464"/>
    </row>
    <row r="2677" spans="2:14" hidden="1" outlineLevel="1" x14ac:dyDescent="0.35">
      <c r="B2677" s="203"/>
      <c r="C2677" s="204"/>
      <c r="D2677" s="204"/>
      <c r="E2677" s="204"/>
      <c r="F2677" s="205"/>
      <c r="G2677" s="548"/>
      <c r="H2677" s="550"/>
      <c r="I2677" s="326"/>
      <c r="J2677" s="326"/>
      <c r="K2677" s="326"/>
      <c r="M2677" s="463"/>
      <c r="N2677" s="464"/>
    </row>
    <row r="2678" spans="2:14" hidden="1" outlineLevel="1" x14ac:dyDescent="0.35">
      <c r="B2678" s="203"/>
      <c r="C2678" s="204"/>
      <c r="D2678" s="204"/>
      <c r="E2678" s="204"/>
      <c r="F2678" s="205"/>
      <c r="G2678" s="548"/>
      <c r="H2678" s="550"/>
      <c r="I2678" s="326"/>
      <c r="J2678" s="326"/>
      <c r="K2678" s="326"/>
      <c r="M2678" s="463"/>
      <c r="N2678" s="464"/>
    </row>
    <row r="2679" spans="2:14" hidden="1" outlineLevel="1" x14ac:dyDescent="0.35">
      <c r="B2679" s="203"/>
      <c r="C2679" s="204"/>
      <c r="D2679" s="204"/>
      <c r="E2679" s="204"/>
      <c r="F2679" s="205"/>
      <c r="G2679" s="548"/>
      <c r="H2679" s="550"/>
      <c r="I2679" s="326"/>
      <c r="J2679" s="326"/>
      <c r="K2679" s="326"/>
      <c r="M2679" s="463"/>
      <c r="N2679" s="464"/>
    </row>
    <row r="2680" spans="2:14" hidden="1" outlineLevel="1" x14ac:dyDescent="0.35">
      <c r="B2680" s="203"/>
      <c r="C2680" s="204"/>
      <c r="D2680" s="204"/>
      <c r="E2680" s="204"/>
      <c r="F2680" s="205"/>
      <c r="G2680" s="548"/>
      <c r="H2680" s="550"/>
      <c r="I2680" s="326"/>
      <c r="J2680" s="326"/>
      <c r="K2680" s="326"/>
      <c r="M2680" s="463"/>
      <c r="N2680" s="464"/>
    </row>
    <row r="2681" spans="2:14" hidden="1" outlineLevel="1" x14ac:dyDescent="0.35">
      <c r="B2681" s="203"/>
      <c r="C2681" s="204"/>
      <c r="D2681" s="204"/>
      <c r="E2681" s="204"/>
      <c r="F2681" s="205"/>
      <c r="G2681" s="548"/>
      <c r="H2681" s="550"/>
      <c r="I2681" s="326"/>
      <c r="J2681" s="326"/>
      <c r="K2681" s="326"/>
      <c r="M2681" s="463"/>
      <c r="N2681" s="464"/>
    </row>
    <row r="2682" spans="2:14" hidden="1" outlineLevel="1" x14ac:dyDescent="0.35">
      <c r="B2682" s="203"/>
      <c r="C2682" s="204"/>
      <c r="D2682" s="204"/>
      <c r="E2682" s="204"/>
      <c r="F2682" s="205"/>
      <c r="G2682" s="548"/>
      <c r="H2682" s="550"/>
      <c r="I2682" s="326"/>
      <c r="J2682" s="326"/>
      <c r="K2682" s="326"/>
      <c r="M2682" s="463"/>
      <c r="N2682" s="464"/>
    </row>
    <row r="2683" spans="2:14" hidden="1" outlineLevel="1" x14ac:dyDescent="0.35">
      <c r="B2683" s="203"/>
      <c r="C2683" s="204"/>
      <c r="D2683" s="204"/>
      <c r="E2683" s="204"/>
      <c r="F2683" s="205"/>
      <c r="G2683" s="548"/>
      <c r="H2683" s="550"/>
      <c r="I2683" s="326"/>
      <c r="J2683" s="326"/>
      <c r="K2683" s="326"/>
      <c r="M2683" s="463"/>
      <c r="N2683" s="464"/>
    </row>
    <row r="2684" spans="2:14" hidden="1" outlineLevel="1" x14ac:dyDescent="0.35">
      <c r="B2684" s="203"/>
      <c r="C2684" s="204"/>
      <c r="D2684" s="204"/>
      <c r="E2684" s="204"/>
      <c r="F2684" s="205"/>
      <c r="G2684" s="548"/>
      <c r="H2684" s="550"/>
      <c r="I2684" s="326"/>
      <c r="J2684" s="326"/>
      <c r="K2684" s="326"/>
      <c r="M2684" s="463"/>
      <c r="N2684" s="464"/>
    </row>
    <row r="2685" spans="2:14" hidden="1" outlineLevel="1" x14ac:dyDescent="0.35">
      <c r="B2685" s="203"/>
      <c r="C2685" s="204"/>
      <c r="D2685" s="204"/>
      <c r="E2685" s="204"/>
      <c r="F2685" s="205"/>
      <c r="G2685" s="548"/>
      <c r="H2685" s="550"/>
      <c r="I2685" s="326"/>
      <c r="J2685" s="326"/>
      <c r="K2685" s="326"/>
      <c r="M2685" s="463"/>
      <c r="N2685" s="464"/>
    </row>
    <row r="2686" spans="2:14" hidden="1" outlineLevel="1" x14ac:dyDescent="0.35">
      <c r="B2686" s="203"/>
      <c r="C2686" s="204"/>
      <c r="D2686" s="204"/>
      <c r="E2686" s="204"/>
      <c r="F2686" s="205"/>
      <c r="G2686" s="548"/>
      <c r="H2686" s="550"/>
      <c r="I2686" s="326"/>
      <c r="J2686" s="326"/>
      <c r="K2686" s="326"/>
      <c r="M2686" s="463"/>
      <c r="N2686" s="464"/>
    </row>
    <row r="2687" spans="2:14" hidden="1" outlineLevel="1" x14ac:dyDescent="0.35">
      <c r="B2687" s="203"/>
      <c r="C2687" s="204"/>
      <c r="D2687" s="204"/>
      <c r="E2687" s="204"/>
      <c r="F2687" s="205"/>
      <c r="G2687" s="548"/>
      <c r="H2687" s="550"/>
      <c r="I2687" s="326"/>
      <c r="J2687" s="326"/>
      <c r="K2687" s="326"/>
      <c r="M2687" s="463"/>
      <c r="N2687" s="464"/>
    </row>
    <row r="2688" spans="2:14" hidden="1" outlineLevel="1" x14ac:dyDescent="0.35">
      <c r="B2688" s="203"/>
      <c r="C2688" s="204"/>
      <c r="D2688" s="204"/>
      <c r="E2688" s="204"/>
      <c r="F2688" s="205"/>
      <c r="G2688" s="548"/>
      <c r="H2688" s="550"/>
      <c r="I2688" s="326"/>
      <c r="J2688" s="326"/>
      <c r="K2688" s="326"/>
      <c r="M2688" s="463"/>
      <c r="N2688" s="464"/>
    </row>
    <row r="2689" spans="2:14" hidden="1" outlineLevel="1" x14ac:dyDescent="0.35">
      <c r="B2689" s="203"/>
      <c r="C2689" s="204"/>
      <c r="D2689" s="204"/>
      <c r="E2689" s="204"/>
      <c r="F2689" s="205"/>
      <c r="G2689" s="548"/>
      <c r="H2689" s="550"/>
      <c r="I2689" s="326"/>
      <c r="J2689" s="326"/>
      <c r="K2689" s="326"/>
      <c r="M2689" s="463"/>
      <c r="N2689" s="464"/>
    </row>
    <row r="2690" spans="2:14" hidden="1" outlineLevel="1" x14ac:dyDescent="0.35">
      <c r="B2690" s="203"/>
      <c r="C2690" s="204"/>
      <c r="D2690" s="204"/>
      <c r="E2690" s="204"/>
      <c r="F2690" s="205"/>
      <c r="G2690" s="548"/>
      <c r="H2690" s="550"/>
      <c r="I2690" s="326"/>
      <c r="J2690" s="326"/>
      <c r="K2690" s="326"/>
      <c r="M2690" s="463"/>
      <c r="N2690" s="464"/>
    </row>
    <row r="2691" spans="2:14" hidden="1" outlineLevel="1" x14ac:dyDescent="0.35">
      <c r="B2691" s="203"/>
      <c r="C2691" s="204"/>
      <c r="D2691" s="204"/>
      <c r="E2691" s="204"/>
      <c r="F2691" s="205"/>
      <c r="G2691" s="548"/>
      <c r="H2691" s="550"/>
      <c r="I2691" s="326"/>
      <c r="J2691" s="326"/>
      <c r="K2691" s="326"/>
      <c r="M2691" s="463"/>
      <c r="N2691" s="464"/>
    </row>
    <row r="2692" spans="2:14" hidden="1" outlineLevel="1" x14ac:dyDescent="0.35">
      <c r="B2692" s="203"/>
      <c r="C2692" s="204"/>
      <c r="D2692" s="204"/>
      <c r="E2692" s="204"/>
      <c r="F2692" s="205"/>
      <c r="G2692" s="548"/>
      <c r="H2692" s="550"/>
      <c r="I2692" s="326"/>
      <c r="J2692" s="326"/>
      <c r="K2692" s="326"/>
      <c r="M2692" s="463"/>
      <c r="N2692" s="464"/>
    </row>
    <row r="2693" spans="2:14" hidden="1" outlineLevel="1" x14ac:dyDescent="0.35">
      <c r="B2693" s="203"/>
      <c r="C2693" s="204"/>
      <c r="D2693" s="204"/>
      <c r="E2693" s="204"/>
      <c r="F2693" s="205"/>
      <c r="G2693" s="548"/>
      <c r="H2693" s="550"/>
      <c r="I2693" s="326"/>
      <c r="J2693" s="326"/>
      <c r="K2693" s="326"/>
      <c r="M2693" s="463"/>
      <c r="N2693" s="464"/>
    </row>
    <row r="2694" spans="2:14" hidden="1" outlineLevel="1" x14ac:dyDescent="0.35">
      <c r="B2694" s="203"/>
      <c r="C2694" s="204"/>
      <c r="D2694" s="204"/>
      <c r="E2694" s="204"/>
      <c r="F2694" s="205"/>
      <c r="G2694" s="548"/>
      <c r="H2694" s="550"/>
      <c r="I2694" s="326"/>
      <c r="J2694" s="326"/>
      <c r="K2694" s="326"/>
      <c r="M2694" s="463"/>
      <c r="N2694" s="464"/>
    </row>
    <row r="2695" spans="2:14" hidden="1" outlineLevel="1" x14ac:dyDescent="0.35">
      <c r="B2695" s="203"/>
      <c r="C2695" s="204"/>
      <c r="D2695" s="204"/>
      <c r="E2695" s="204"/>
      <c r="F2695" s="205"/>
      <c r="G2695" s="548"/>
      <c r="H2695" s="550"/>
      <c r="I2695" s="326"/>
      <c r="J2695" s="326"/>
      <c r="K2695" s="326"/>
      <c r="M2695" s="463"/>
      <c r="N2695" s="464"/>
    </row>
    <row r="2696" spans="2:14" hidden="1" outlineLevel="1" x14ac:dyDescent="0.35">
      <c r="B2696" s="203"/>
      <c r="C2696" s="204"/>
      <c r="D2696" s="204"/>
      <c r="E2696" s="204"/>
      <c r="F2696" s="205"/>
      <c r="G2696" s="548"/>
      <c r="H2696" s="550"/>
      <c r="I2696" s="326"/>
      <c r="J2696" s="326"/>
      <c r="K2696" s="326"/>
      <c r="M2696" s="463"/>
      <c r="N2696" s="464"/>
    </row>
    <row r="2697" spans="2:14" hidden="1" outlineLevel="1" x14ac:dyDescent="0.35">
      <c r="B2697" s="203"/>
      <c r="C2697" s="204"/>
      <c r="D2697" s="204"/>
      <c r="E2697" s="204"/>
      <c r="F2697" s="205"/>
      <c r="G2697" s="548"/>
      <c r="H2697" s="550"/>
      <c r="I2697" s="326"/>
      <c r="J2697" s="326"/>
      <c r="K2697" s="326"/>
      <c r="M2697" s="463"/>
      <c r="N2697" s="464"/>
    </row>
    <row r="2698" spans="2:14" hidden="1" outlineLevel="1" x14ac:dyDescent="0.35">
      <c r="B2698" s="203"/>
      <c r="C2698" s="204"/>
      <c r="D2698" s="204"/>
      <c r="E2698" s="204"/>
      <c r="F2698" s="205"/>
      <c r="G2698" s="548"/>
      <c r="H2698" s="550"/>
      <c r="I2698" s="326"/>
      <c r="J2698" s="326"/>
      <c r="K2698" s="326"/>
      <c r="M2698" s="463"/>
      <c r="N2698" s="464"/>
    </row>
    <row r="2699" spans="2:14" hidden="1" outlineLevel="1" x14ac:dyDescent="0.35">
      <c r="B2699" s="203"/>
      <c r="C2699" s="204"/>
      <c r="D2699" s="204"/>
      <c r="E2699" s="204"/>
      <c r="F2699" s="205"/>
      <c r="G2699" s="548"/>
      <c r="H2699" s="550"/>
      <c r="I2699" s="326"/>
      <c r="J2699" s="326"/>
      <c r="K2699" s="326"/>
      <c r="M2699" s="463"/>
      <c r="N2699" s="464"/>
    </row>
    <row r="2700" spans="2:14" hidden="1" outlineLevel="1" x14ac:dyDescent="0.35">
      <c r="B2700" s="203"/>
      <c r="C2700" s="204"/>
      <c r="D2700" s="204"/>
      <c r="E2700" s="204"/>
      <c r="F2700" s="205"/>
      <c r="G2700" s="548"/>
      <c r="H2700" s="550"/>
      <c r="I2700" s="326"/>
      <c r="J2700" s="326"/>
      <c r="K2700" s="326"/>
      <c r="M2700" s="463"/>
      <c r="N2700" s="464"/>
    </row>
    <row r="2701" spans="2:14" hidden="1" outlineLevel="1" x14ac:dyDescent="0.35">
      <c r="B2701" s="203"/>
      <c r="C2701" s="204"/>
      <c r="D2701" s="204"/>
      <c r="E2701" s="204"/>
      <c r="F2701" s="205"/>
      <c r="G2701" s="548"/>
      <c r="H2701" s="550"/>
      <c r="I2701" s="326"/>
      <c r="J2701" s="326"/>
      <c r="K2701" s="326"/>
      <c r="M2701" s="463"/>
      <c r="N2701" s="464"/>
    </row>
    <row r="2702" spans="2:14" hidden="1" outlineLevel="1" x14ac:dyDescent="0.35">
      <c r="B2702" s="203"/>
      <c r="C2702" s="204"/>
      <c r="D2702" s="204"/>
      <c r="E2702" s="204"/>
      <c r="F2702" s="205"/>
      <c r="G2702" s="548"/>
      <c r="H2702" s="550"/>
      <c r="I2702" s="326"/>
      <c r="J2702" s="326"/>
      <c r="K2702" s="326"/>
      <c r="M2702" s="463"/>
      <c r="N2702" s="464"/>
    </row>
    <row r="2703" spans="2:14" hidden="1" outlineLevel="1" x14ac:dyDescent="0.35">
      <c r="B2703" s="203"/>
      <c r="C2703" s="204"/>
      <c r="D2703" s="204"/>
      <c r="E2703" s="204"/>
      <c r="F2703" s="205"/>
      <c r="G2703" s="548"/>
      <c r="H2703" s="550"/>
      <c r="I2703" s="326"/>
      <c r="J2703" s="326"/>
      <c r="K2703" s="326"/>
      <c r="M2703" s="463"/>
      <c r="N2703" s="464"/>
    </row>
    <row r="2704" spans="2:14" hidden="1" outlineLevel="1" x14ac:dyDescent="0.35">
      <c r="B2704" s="203"/>
      <c r="C2704" s="204"/>
      <c r="D2704" s="204"/>
      <c r="E2704" s="204"/>
      <c r="F2704" s="205"/>
      <c r="G2704" s="548"/>
      <c r="H2704" s="550"/>
      <c r="I2704" s="326"/>
      <c r="J2704" s="326"/>
      <c r="K2704" s="326"/>
      <c r="M2704" s="463"/>
      <c r="N2704" s="464"/>
    </row>
    <row r="2705" spans="2:14" hidden="1" outlineLevel="1" x14ac:dyDescent="0.35">
      <c r="B2705" s="203"/>
      <c r="C2705" s="204"/>
      <c r="D2705" s="204"/>
      <c r="E2705" s="204"/>
      <c r="F2705" s="205"/>
      <c r="G2705" s="548"/>
      <c r="H2705" s="550"/>
      <c r="I2705" s="326"/>
      <c r="J2705" s="326"/>
      <c r="K2705" s="326"/>
      <c r="M2705" s="463"/>
      <c r="N2705" s="464"/>
    </row>
    <row r="2706" spans="2:14" hidden="1" outlineLevel="1" x14ac:dyDescent="0.35">
      <c r="B2706" s="203"/>
      <c r="C2706" s="204"/>
      <c r="D2706" s="204"/>
      <c r="E2706" s="204"/>
      <c r="F2706" s="205"/>
      <c r="G2706" s="548"/>
      <c r="H2706" s="550"/>
      <c r="I2706" s="326"/>
      <c r="J2706" s="326"/>
      <c r="K2706" s="326"/>
      <c r="M2706" s="463"/>
      <c r="N2706" s="464"/>
    </row>
    <row r="2707" spans="2:14" hidden="1" outlineLevel="1" x14ac:dyDescent="0.35">
      <c r="B2707" s="203"/>
      <c r="C2707" s="204"/>
      <c r="D2707" s="204"/>
      <c r="E2707" s="204"/>
      <c r="F2707" s="205"/>
      <c r="G2707" s="548"/>
      <c r="H2707" s="550"/>
      <c r="I2707" s="326"/>
      <c r="J2707" s="326"/>
      <c r="K2707" s="326"/>
      <c r="M2707" s="463"/>
      <c r="N2707" s="464"/>
    </row>
    <row r="2708" spans="2:14" hidden="1" outlineLevel="1" x14ac:dyDescent="0.35">
      <c r="B2708" s="203"/>
      <c r="C2708" s="204"/>
      <c r="D2708" s="204"/>
      <c r="E2708" s="204"/>
      <c r="F2708" s="205"/>
      <c r="G2708" s="548"/>
      <c r="H2708" s="550"/>
      <c r="I2708" s="326"/>
      <c r="J2708" s="326"/>
      <c r="K2708" s="326"/>
      <c r="M2708" s="463"/>
      <c r="N2708" s="464"/>
    </row>
    <row r="2709" spans="2:14" hidden="1" outlineLevel="1" x14ac:dyDescent="0.35">
      <c r="B2709" s="203"/>
      <c r="C2709" s="204"/>
      <c r="D2709" s="204"/>
      <c r="E2709" s="204"/>
      <c r="F2709" s="205"/>
      <c r="G2709" s="548"/>
      <c r="H2709" s="550"/>
      <c r="I2709" s="326"/>
      <c r="J2709" s="326"/>
      <c r="K2709" s="326"/>
      <c r="M2709" s="463"/>
      <c r="N2709" s="464"/>
    </row>
    <row r="2710" spans="2:14" hidden="1" outlineLevel="1" x14ac:dyDescent="0.35">
      <c r="B2710" s="203"/>
      <c r="C2710" s="204"/>
      <c r="D2710" s="204"/>
      <c r="E2710" s="204"/>
      <c r="F2710" s="205"/>
      <c r="G2710" s="548"/>
      <c r="H2710" s="550"/>
      <c r="I2710" s="326"/>
      <c r="J2710" s="326"/>
      <c r="K2710" s="326"/>
      <c r="M2710" s="463"/>
      <c r="N2710" s="464"/>
    </row>
    <row r="2711" spans="2:14" hidden="1" outlineLevel="1" x14ac:dyDescent="0.35">
      <c r="B2711" s="203"/>
      <c r="C2711" s="204"/>
      <c r="D2711" s="204"/>
      <c r="E2711" s="204"/>
      <c r="F2711" s="205"/>
      <c r="G2711" s="548"/>
      <c r="H2711" s="550"/>
      <c r="I2711" s="326"/>
      <c r="J2711" s="326"/>
      <c r="K2711" s="326"/>
      <c r="M2711" s="463"/>
      <c r="N2711" s="464"/>
    </row>
    <row r="2712" spans="2:14" hidden="1" outlineLevel="1" x14ac:dyDescent="0.35">
      <c r="B2712" s="203"/>
      <c r="C2712" s="204"/>
      <c r="D2712" s="204"/>
      <c r="E2712" s="204"/>
      <c r="F2712" s="205"/>
      <c r="G2712" s="548"/>
      <c r="H2712" s="550"/>
      <c r="I2712" s="326"/>
      <c r="J2712" s="326"/>
      <c r="K2712" s="326"/>
      <c r="M2712" s="463"/>
      <c r="N2712" s="464"/>
    </row>
    <row r="2713" spans="2:14" hidden="1" outlineLevel="1" x14ac:dyDescent="0.35">
      <c r="B2713" s="203"/>
      <c r="C2713" s="204"/>
      <c r="D2713" s="204"/>
      <c r="E2713" s="204"/>
      <c r="F2713" s="205"/>
      <c r="G2713" s="548"/>
      <c r="H2713" s="550"/>
      <c r="I2713" s="326"/>
      <c r="J2713" s="326"/>
      <c r="K2713" s="326"/>
      <c r="M2713" s="463"/>
      <c r="N2713" s="464"/>
    </row>
    <row r="2714" spans="2:14" hidden="1" outlineLevel="1" x14ac:dyDescent="0.35">
      <c r="B2714" s="203"/>
      <c r="C2714" s="204"/>
      <c r="D2714" s="204"/>
      <c r="E2714" s="204"/>
      <c r="F2714" s="205"/>
      <c r="G2714" s="548"/>
      <c r="H2714" s="550"/>
      <c r="I2714" s="326"/>
      <c r="J2714" s="326"/>
      <c r="K2714" s="326"/>
      <c r="M2714" s="463"/>
      <c r="N2714" s="464"/>
    </row>
    <row r="2715" spans="2:14" hidden="1" outlineLevel="1" x14ac:dyDescent="0.35">
      <c r="B2715" s="203"/>
      <c r="C2715" s="204"/>
      <c r="D2715" s="204"/>
      <c r="E2715" s="204"/>
      <c r="F2715" s="205"/>
      <c r="G2715" s="548"/>
      <c r="H2715" s="550"/>
      <c r="I2715" s="326"/>
      <c r="J2715" s="326"/>
      <c r="K2715" s="326"/>
      <c r="M2715" s="463"/>
      <c r="N2715" s="464"/>
    </row>
    <row r="2716" spans="2:14" hidden="1" outlineLevel="1" x14ac:dyDescent="0.35">
      <c r="B2716" s="203"/>
      <c r="C2716" s="204"/>
      <c r="D2716" s="204"/>
      <c r="E2716" s="204"/>
      <c r="F2716" s="205"/>
      <c r="G2716" s="548"/>
      <c r="H2716" s="550"/>
      <c r="I2716" s="326"/>
      <c r="J2716" s="326"/>
      <c r="K2716" s="326"/>
      <c r="M2716" s="463"/>
      <c r="N2716" s="464"/>
    </row>
    <row r="2717" spans="2:14" hidden="1" outlineLevel="1" x14ac:dyDescent="0.35">
      <c r="B2717" s="203"/>
      <c r="C2717" s="204"/>
      <c r="D2717" s="204"/>
      <c r="E2717" s="204"/>
      <c r="F2717" s="205"/>
      <c r="G2717" s="548"/>
      <c r="H2717" s="550"/>
      <c r="I2717" s="326"/>
      <c r="J2717" s="326"/>
      <c r="K2717" s="326"/>
      <c r="M2717" s="463"/>
      <c r="N2717" s="464"/>
    </row>
    <row r="2718" spans="2:14" hidden="1" outlineLevel="1" x14ac:dyDescent="0.35">
      <c r="B2718" s="203"/>
      <c r="C2718" s="204"/>
      <c r="D2718" s="204"/>
      <c r="E2718" s="204"/>
      <c r="F2718" s="205"/>
      <c r="G2718" s="548"/>
      <c r="H2718" s="550"/>
      <c r="I2718" s="326"/>
      <c r="J2718" s="326"/>
      <c r="K2718" s="326"/>
      <c r="M2718" s="463"/>
      <c r="N2718" s="464"/>
    </row>
    <row r="2719" spans="2:14" hidden="1" outlineLevel="1" x14ac:dyDescent="0.35">
      <c r="B2719" s="203"/>
      <c r="C2719" s="204"/>
      <c r="D2719" s="204"/>
      <c r="E2719" s="204"/>
      <c r="F2719" s="205"/>
      <c r="G2719" s="548"/>
      <c r="H2719" s="550"/>
      <c r="I2719" s="326"/>
      <c r="J2719" s="326"/>
      <c r="K2719" s="326"/>
      <c r="M2719" s="463"/>
      <c r="N2719" s="464"/>
    </row>
    <row r="2720" spans="2:14" hidden="1" outlineLevel="1" x14ac:dyDescent="0.35">
      <c r="B2720" s="203"/>
      <c r="C2720" s="204"/>
      <c r="D2720" s="204"/>
      <c r="E2720" s="204"/>
      <c r="F2720" s="205"/>
      <c r="G2720" s="548"/>
      <c r="H2720" s="550"/>
      <c r="I2720" s="326"/>
      <c r="J2720" s="326"/>
      <c r="K2720" s="326"/>
      <c r="M2720" s="463"/>
      <c r="N2720" s="464"/>
    </row>
    <row r="2721" spans="2:14" hidden="1" outlineLevel="1" x14ac:dyDescent="0.35">
      <c r="B2721" s="203"/>
      <c r="C2721" s="204"/>
      <c r="D2721" s="204"/>
      <c r="E2721" s="204"/>
      <c r="F2721" s="205"/>
      <c r="G2721" s="548"/>
      <c r="H2721" s="550"/>
      <c r="I2721" s="326"/>
      <c r="J2721" s="326"/>
      <c r="K2721" s="326"/>
      <c r="M2721" s="463"/>
      <c r="N2721" s="464"/>
    </row>
    <row r="2722" spans="2:14" hidden="1" outlineLevel="1" x14ac:dyDescent="0.35">
      <c r="B2722" s="203"/>
      <c r="C2722" s="204"/>
      <c r="D2722" s="204"/>
      <c r="E2722" s="204"/>
      <c r="F2722" s="205"/>
      <c r="G2722" s="548"/>
      <c r="H2722" s="550"/>
      <c r="I2722" s="326"/>
      <c r="J2722" s="326"/>
      <c r="K2722" s="326"/>
      <c r="M2722" s="463"/>
      <c r="N2722" s="464"/>
    </row>
    <row r="2723" spans="2:14" hidden="1" outlineLevel="1" x14ac:dyDescent="0.35">
      <c r="B2723" s="203"/>
      <c r="C2723" s="204"/>
      <c r="D2723" s="204"/>
      <c r="E2723" s="204"/>
      <c r="F2723" s="205"/>
      <c r="G2723" s="548"/>
      <c r="H2723" s="550"/>
      <c r="I2723" s="326"/>
      <c r="J2723" s="326"/>
      <c r="K2723" s="326"/>
      <c r="M2723" s="463"/>
      <c r="N2723" s="464"/>
    </row>
    <row r="2724" spans="2:14" hidden="1" outlineLevel="1" x14ac:dyDescent="0.35">
      <c r="B2724" s="203"/>
      <c r="C2724" s="204"/>
      <c r="D2724" s="204"/>
      <c r="E2724" s="204"/>
      <c r="F2724" s="205"/>
      <c r="G2724" s="548"/>
      <c r="H2724" s="550"/>
      <c r="I2724" s="326"/>
      <c r="J2724" s="326"/>
      <c r="K2724" s="326"/>
      <c r="M2724" s="463"/>
      <c r="N2724" s="464"/>
    </row>
    <row r="2725" spans="2:14" hidden="1" outlineLevel="1" x14ac:dyDescent="0.35">
      <c r="B2725" s="203"/>
      <c r="C2725" s="204"/>
      <c r="D2725" s="204"/>
      <c r="E2725" s="204"/>
      <c r="F2725" s="205"/>
      <c r="G2725" s="548"/>
      <c r="H2725" s="550"/>
      <c r="I2725" s="326"/>
      <c r="J2725" s="326"/>
      <c r="K2725" s="326"/>
      <c r="M2725" s="463"/>
      <c r="N2725" s="464"/>
    </row>
    <row r="2726" spans="2:14" hidden="1" outlineLevel="1" x14ac:dyDescent="0.35">
      <c r="B2726" s="203"/>
      <c r="C2726" s="204"/>
      <c r="D2726" s="204"/>
      <c r="E2726" s="204"/>
      <c r="F2726" s="205"/>
      <c r="G2726" s="548"/>
      <c r="H2726" s="550"/>
      <c r="I2726" s="326"/>
      <c r="J2726" s="326"/>
      <c r="K2726" s="326"/>
      <c r="M2726" s="463"/>
      <c r="N2726" s="464"/>
    </row>
    <row r="2727" spans="2:14" hidden="1" outlineLevel="1" x14ac:dyDescent="0.35">
      <c r="B2727" s="203"/>
      <c r="C2727" s="204"/>
      <c r="D2727" s="204"/>
      <c r="E2727" s="204"/>
      <c r="F2727" s="205"/>
      <c r="G2727" s="548"/>
      <c r="H2727" s="550"/>
      <c r="I2727" s="326"/>
      <c r="J2727" s="326"/>
      <c r="K2727" s="326"/>
      <c r="M2727" s="463"/>
      <c r="N2727" s="464"/>
    </row>
    <row r="2728" spans="2:14" hidden="1" outlineLevel="1" x14ac:dyDescent="0.35">
      <c r="B2728" s="203"/>
      <c r="C2728" s="204"/>
      <c r="D2728" s="204"/>
      <c r="E2728" s="204"/>
      <c r="F2728" s="205"/>
      <c r="G2728" s="548"/>
      <c r="H2728" s="550"/>
      <c r="I2728" s="326"/>
      <c r="J2728" s="326"/>
      <c r="K2728" s="326"/>
      <c r="M2728" s="463"/>
      <c r="N2728" s="464"/>
    </row>
    <row r="2729" spans="2:14" hidden="1" outlineLevel="1" x14ac:dyDescent="0.35">
      <c r="B2729" s="203"/>
      <c r="C2729" s="204"/>
      <c r="D2729" s="204"/>
      <c r="E2729" s="204"/>
      <c r="F2729" s="205"/>
      <c r="G2729" s="548"/>
      <c r="H2729" s="550"/>
      <c r="I2729" s="326"/>
      <c r="J2729" s="326"/>
      <c r="K2729" s="326"/>
      <c r="M2729" s="463"/>
      <c r="N2729" s="464"/>
    </row>
    <row r="2730" spans="2:14" hidden="1" outlineLevel="1" x14ac:dyDescent="0.35">
      <c r="B2730" s="203"/>
      <c r="C2730" s="204"/>
      <c r="D2730" s="204"/>
      <c r="E2730" s="204"/>
      <c r="F2730" s="205"/>
      <c r="G2730" s="548"/>
      <c r="H2730" s="550"/>
      <c r="I2730" s="326"/>
      <c r="J2730" s="326"/>
      <c r="K2730" s="326"/>
      <c r="M2730" s="463"/>
      <c r="N2730" s="464"/>
    </row>
    <row r="2731" spans="2:14" hidden="1" outlineLevel="1" x14ac:dyDescent="0.35">
      <c r="B2731" s="203"/>
      <c r="C2731" s="204"/>
      <c r="D2731" s="204"/>
      <c r="E2731" s="204"/>
      <c r="F2731" s="205"/>
      <c r="G2731" s="548"/>
      <c r="H2731" s="550"/>
      <c r="I2731" s="326"/>
      <c r="J2731" s="326"/>
      <c r="K2731" s="326"/>
      <c r="M2731" s="463"/>
      <c r="N2731" s="464"/>
    </row>
    <row r="2732" spans="2:14" hidden="1" outlineLevel="1" x14ac:dyDescent="0.35">
      <c r="B2732" s="203"/>
      <c r="C2732" s="204"/>
      <c r="D2732" s="204"/>
      <c r="E2732" s="204"/>
      <c r="F2732" s="205"/>
      <c r="G2732" s="548"/>
      <c r="H2732" s="550"/>
      <c r="I2732" s="326"/>
      <c r="J2732" s="326"/>
      <c r="K2732" s="326"/>
      <c r="M2732" s="463"/>
      <c r="N2732" s="464"/>
    </row>
    <row r="2733" spans="2:14" hidden="1" outlineLevel="1" x14ac:dyDescent="0.35">
      <c r="B2733" s="203"/>
      <c r="C2733" s="204"/>
      <c r="D2733" s="204"/>
      <c r="E2733" s="204"/>
      <c r="F2733" s="205"/>
      <c r="G2733" s="548"/>
      <c r="H2733" s="550"/>
      <c r="I2733" s="326"/>
      <c r="J2733" s="326"/>
      <c r="K2733" s="326"/>
      <c r="M2733" s="463"/>
      <c r="N2733" s="464"/>
    </row>
    <row r="2734" spans="2:14" hidden="1" outlineLevel="1" x14ac:dyDescent="0.35">
      <c r="B2734" s="203"/>
      <c r="C2734" s="204"/>
      <c r="D2734" s="204"/>
      <c r="E2734" s="204"/>
      <c r="F2734" s="205"/>
      <c r="G2734" s="548"/>
      <c r="H2734" s="550"/>
      <c r="I2734" s="326"/>
      <c r="J2734" s="326"/>
      <c r="K2734" s="326"/>
      <c r="M2734" s="463"/>
      <c r="N2734" s="464"/>
    </row>
    <row r="2735" spans="2:14" hidden="1" outlineLevel="1" x14ac:dyDescent="0.35">
      <c r="B2735" s="203"/>
      <c r="C2735" s="204"/>
      <c r="D2735" s="204"/>
      <c r="E2735" s="204"/>
      <c r="F2735" s="205"/>
      <c r="G2735" s="548"/>
      <c r="H2735" s="550"/>
      <c r="I2735" s="326"/>
      <c r="J2735" s="326"/>
      <c r="K2735" s="326"/>
      <c r="M2735" s="463"/>
      <c r="N2735" s="464"/>
    </row>
    <row r="2736" spans="2:14" hidden="1" outlineLevel="1" x14ac:dyDescent="0.35">
      <c r="B2736" s="203"/>
      <c r="C2736" s="204"/>
      <c r="D2736" s="204"/>
      <c r="E2736" s="204"/>
      <c r="F2736" s="205"/>
      <c r="G2736" s="548"/>
      <c r="H2736" s="550"/>
      <c r="I2736" s="326"/>
      <c r="J2736" s="326"/>
      <c r="K2736" s="326"/>
      <c r="M2736" s="463"/>
      <c r="N2736" s="464"/>
    </row>
    <row r="2737" spans="2:14" hidden="1" outlineLevel="1" x14ac:dyDescent="0.35">
      <c r="B2737" s="203"/>
      <c r="C2737" s="204"/>
      <c r="D2737" s="204"/>
      <c r="E2737" s="204"/>
      <c r="F2737" s="205"/>
      <c r="G2737" s="548"/>
      <c r="H2737" s="550"/>
      <c r="I2737" s="326"/>
      <c r="J2737" s="326"/>
      <c r="K2737" s="326"/>
      <c r="M2737" s="463"/>
      <c r="N2737" s="464"/>
    </row>
    <row r="2738" spans="2:14" hidden="1" outlineLevel="1" x14ac:dyDescent="0.35">
      <c r="B2738" s="203"/>
      <c r="C2738" s="204"/>
      <c r="D2738" s="204"/>
      <c r="E2738" s="204"/>
      <c r="F2738" s="205"/>
      <c r="G2738" s="548"/>
      <c r="H2738" s="550"/>
      <c r="I2738" s="326"/>
      <c r="J2738" s="326"/>
      <c r="K2738" s="326"/>
      <c r="M2738" s="463"/>
      <c r="N2738" s="464"/>
    </row>
    <row r="2739" spans="2:14" hidden="1" outlineLevel="1" x14ac:dyDescent="0.35">
      <c r="B2739" s="203"/>
      <c r="C2739" s="204"/>
      <c r="D2739" s="204"/>
      <c r="E2739" s="204"/>
      <c r="F2739" s="205"/>
      <c r="G2739" s="548"/>
      <c r="H2739" s="550"/>
      <c r="I2739" s="326"/>
      <c r="J2739" s="326"/>
      <c r="K2739" s="326"/>
      <c r="M2739" s="463"/>
      <c r="N2739" s="464"/>
    </row>
    <row r="2740" spans="2:14" hidden="1" outlineLevel="1" x14ac:dyDescent="0.35">
      <c r="B2740" s="203"/>
      <c r="C2740" s="204"/>
      <c r="D2740" s="204"/>
      <c r="E2740" s="204"/>
      <c r="F2740" s="205"/>
      <c r="G2740" s="548"/>
      <c r="H2740" s="550"/>
      <c r="I2740" s="326"/>
      <c r="J2740" s="326"/>
      <c r="K2740" s="326"/>
      <c r="M2740" s="463"/>
      <c r="N2740" s="464"/>
    </row>
    <row r="2741" spans="2:14" hidden="1" outlineLevel="1" x14ac:dyDescent="0.35">
      <c r="B2741" s="203"/>
      <c r="C2741" s="204"/>
      <c r="D2741" s="204"/>
      <c r="E2741" s="204"/>
      <c r="F2741" s="205"/>
      <c r="G2741" s="548"/>
      <c r="H2741" s="550"/>
      <c r="I2741" s="326"/>
      <c r="J2741" s="326"/>
      <c r="K2741" s="326"/>
      <c r="M2741" s="463"/>
      <c r="N2741" s="464"/>
    </row>
    <row r="2742" spans="2:14" hidden="1" outlineLevel="1" x14ac:dyDescent="0.35">
      <c r="B2742" s="203"/>
      <c r="C2742" s="204"/>
      <c r="D2742" s="204"/>
      <c r="E2742" s="204"/>
      <c r="F2742" s="205"/>
      <c r="G2742" s="548"/>
      <c r="H2742" s="550"/>
      <c r="I2742" s="326"/>
      <c r="J2742" s="326"/>
      <c r="K2742" s="326"/>
      <c r="M2742" s="463"/>
      <c r="N2742" s="464"/>
    </row>
    <row r="2743" spans="2:14" hidden="1" outlineLevel="1" x14ac:dyDescent="0.35">
      <c r="B2743" s="203"/>
      <c r="C2743" s="204"/>
      <c r="D2743" s="204"/>
      <c r="E2743" s="204"/>
      <c r="F2743" s="205"/>
      <c r="G2743" s="548"/>
      <c r="H2743" s="550"/>
      <c r="I2743" s="326"/>
      <c r="J2743" s="326"/>
      <c r="K2743" s="326"/>
      <c r="M2743" s="463"/>
      <c r="N2743" s="464"/>
    </row>
    <row r="2744" spans="2:14" hidden="1" outlineLevel="1" x14ac:dyDescent="0.35">
      <c r="B2744" s="203"/>
      <c r="C2744" s="204"/>
      <c r="D2744" s="204"/>
      <c r="E2744" s="204"/>
      <c r="F2744" s="205"/>
      <c r="G2744" s="548"/>
      <c r="H2744" s="550"/>
      <c r="I2744" s="326"/>
      <c r="J2744" s="326"/>
      <c r="K2744" s="326"/>
      <c r="M2744" s="463"/>
      <c r="N2744" s="464"/>
    </row>
    <row r="2745" spans="2:14" hidden="1" outlineLevel="1" x14ac:dyDescent="0.35">
      <c r="B2745" s="203"/>
      <c r="C2745" s="204"/>
      <c r="D2745" s="204"/>
      <c r="E2745" s="204"/>
      <c r="F2745" s="205"/>
      <c r="G2745" s="548"/>
      <c r="H2745" s="550"/>
      <c r="I2745" s="326"/>
      <c r="J2745" s="326"/>
      <c r="K2745" s="326"/>
      <c r="M2745" s="463"/>
      <c r="N2745" s="464"/>
    </row>
    <row r="2746" spans="2:14" hidden="1" outlineLevel="1" x14ac:dyDescent="0.35">
      <c r="B2746" s="203"/>
      <c r="C2746" s="204"/>
      <c r="D2746" s="204"/>
      <c r="E2746" s="204"/>
      <c r="F2746" s="205"/>
      <c r="G2746" s="548"/>
      <c r="H2746" s="550"/>
      <c r="I2746" s="326"/>
      <c r="J2746" s="326"/>
      <c r="K2746" s="326"/>
      <c r="M2746" s="463"/>
      <c r="N2746" s="464"/>
    </row>
    <row r="2747" spans="2:14" hidden="1" outlineLevel="1" x14ac:dyDescent="0.35">
      <c r="B2747" s="203"/>
      <c r="C2747" s="204"/>
      <c r="D2747" s="204"/>
      <c r="E2747" s="204"/>
      <c r="F2747" s="205"/>
      <c r="G2747" s="548"/>
      <c r="H2747" s="550"/>
      <c r="I2747" s="326"/>
      <c r="J2747" s="326"/>
      <c r="K2747" s="326"/>
      <c r="M2747" s="463"/>
      <c r="N2747" s="464"/>
    </row>
    <row r="2748" spans="2:14" hidden="1" outlineLevel="1" x14ac:dyDescent="0.35">
      <c r="B2748" s="203"/>
      <c r="C2748" s="204"/>
      <c r="D2748" s="204"/>
      <c r="E2748" s="204"/>
      <c r="F2748" s="205"/>
      <c r="G2748" s="548"/>
      <c r="H2748" s="550"/>
      <c r="I2748" s="326"/>
      <c r="J2748" s="326"/>
      <c r="K2748" s="326"/>
      <c r="M2748" s="463"/>
      <c r="N2748" s="464"/>
    </row>
    <row r="2749" spans="2:14" hidden="1" outlineLevel="1" x14ac:dyDescent="0.35">
      <c r="B2749" s="203"/>
      <c r="C2749" s="204"/>
      <c r="D2749" s="204"/>
      <c r="E2749" s="204"/>
      <c r="F2749" s="205"/>
      <c r="G2749" s="548"/>
      <c r="H2749" s="550"/>
      <c r="I2749" s="326"/>
      <c r="J2749" s="326"/>
      <c r="K2749" s="326"/>
      <c r="M2749" s="463"/>
      <c r="N2749" s="464"/>
    </row>
    <row r="2750" spans="2:14" hidden="1" outlineLevel="1" x14ac:dyDescent="0.35">
      <c r="B2750" s="203"/>
      <c r="C2750" s="204"/>
      <c r="D2750" s="204"/>
      <c r="E2750" s="204"/>
      <c r="F2750" s="205"/>
      <c r="G2750" s="548"/>
      <c r="H2750" s="550"/>
      <c r="I2750" s="326"/>
      <c r="J2750" s="326"/>
      <c r="K2750" s="326"/>
      <c r="M2750" s="463"/>
      <c r="N2750" s="464"/>
    </row>
    <row r="2751" spans="2:14" hidden="1" outlineLevel="1" x14ac:dyDescent="0.35">
      <c r="B2751" s="203"/>
      <c r="C2751" s="204"/>
      <c r="D2751" s="204"/>
      <c r="E2751" s="204"/>
      <c r="F2751" s="205"/>
      <c r="G2751" s="548"/>
      <c r="H2751" s="550"/>
      <c r="I2751" s="326"/>
      <c r="J2751" s="326"/>
      <c r="K2751" s="326"/>
      <c r="M2751" s="463"/>
      <c r="N2751" s="464"/>
    </row>
    <row r="2752" spans="2:14" hidden="1" outlineLevel="1" x14ac:dyDescent="0.35">
      <c r="B2752" s="203"/>
      <c r="C2752" s="204"/>
      <c r="D2752" s="204"/>
      <c r="E2752" s="204"/>
      <c r="F2752" s="205"/>
      <c r="G2752" s="548"/>
      <c r="H2752" s="550"/>
      <c r="I2752" s="326"/>
      <c r="J2752" s="326"/>
      <c r="K2752" s="326"/>
      <c r="M2752" s="463"/>
      <c r="N2752" s="464"/>
    </row>
    <row r="2753" spans="2:14" hidden="1" outlineLevel="1" x14ac:dyDescent="0.35">
      <c r="B2753" s="203"/>
      <c r="C2753" s="204"/>
      <c r="D2753" s="204"/>
      <c r="E2753" s="204"/>
      <c r="F2753" s="205"/>
      <c r="G2753" s="548"/>
      <c r="H2753" s="550"/>
      <c r="I2753" s="326"/>
      <c r="J2753" s="326"/>
      <c r="K2753" s="326"/>
      <c r="M2753" s="463"/>
      <c r="N2753" s="464"/>
    </row>
    <row r="2754" spans="2:14" hidden="1" outlineLevel="1" x14ac:dyDescent="0.35">
      <c r="B2754" s="203"/>
      <c r="C2754" s="204"/>
      <c r="D2754" s="204"/>
      <c r="E2754" s="204"/>
      <c r="F2754" s="205"/>
      <c r="G2754" s="548"/>
      <c r="H2754" s="550"/>
      <c r="I2754" s="326"/>
      <c r="J2754" s="326"/>
      <c r="K2754" s="326"/>
      <c r="M2754" s="463"/>
      <c r="N2754" s="464"/>
    </row>
    <row r="2755" spans="2:14" hidden="1" outlineLevel="1" x14ac:dyDescent="0.35">
      <c r="B2755" s="203"/>
      <c r="C2755" s="204"/>
      <c r="D2755" s="204"/>
      <c r="E2755" s="204"/>
      <c r="F2755" s="205"/>
      <c r="G2755" s="548"/>
      <c r="H2755" s="550"/>
      <c r="I2755" s="326"/>
      <c r="J2755" s="326"/>
      <c r="K2755" s="326"/>
      <c r="M2755" s="463"/>
      <c r="N2755" s="464"/>
    </row>
    <row r="2756" spans="2:14" hidden="1" outlineLevel="1" x14ac:dyDescent="0.35">
      <c r="B2756" s="203"/>
      <c r="C2756" s="204"/>
      <c r="D2756" s="204"/>
      <c r="E2756" s="204"/>
      <c r="F2756" s="205"/>
      <c r="G2756" s="548"/>
      <c r="H2756" s="550"/>
      <c r="I2756" s="326"/>
      <c r="J2756" s="326"/>
      <c r="K2756" s="326"/>
      <c r="M2756" s="463"/>
      <c r="N2756" s="464"/>
    </row>
    <row r="2757" spans="2:14" hidden="1" outlineLevel="1" x14ac:dyDescent="0.35">
      <c r="B2757" s="203"/>
      <c r="C2757" s="204"/>
      <c r="D2757" s="204"/>
      <c r="E2757" s="204"/>
      <c r="F2757" s="205"/>
      <c r="G2757" s="548"/>
      <c r="H2757" s="550"/>
      <c r="I2757" s="326"/>
      <c r="J2757" s="326"/>
      <c r="K2757" s="326"/>
      <c r="M2757" s="463"/>
      <c r="N2757" s="464"/>
    </row>
    <row r="2758" spans="2:14" hidden="1" outlineLevel="1" x14ac:dyDescent="0.35">
      <c r="B2758" s="203"/>
      <c r="C2758" s="204"/>
      <c r="D2758" s="204"/>
      <c r="E2758" s="204"/>
      <c r="F2758" s="205"/>
      <c r="G2758" s="548"/>
      <c r="H2758" s="550"/>
      <c r="I2758" s="326"/>
      <c r="J2758" s="326"/>
      <c r="K2758" s="326"/>
      <c r="M2758" s="463"/>
      <c r="N2758" s="464"/>
    </row>
    <row r="2759" spans="2:14" hidden="1" outlineLevel="1" x14ac:dyDescent="0.35">
      <c r="B2759" s="203"/>
      <c r="C2759" s="204"/>
      <c r="D2759" s="204"/>
      <c r="E2759" s="204"/>
      <c r="F2759" s="205"/>
      <c r="G2759" s="548"/>
      <c r="H2759" s="550"/>
      <c r="I2759" s="326"/>
      <c r="J2759" s="326"/>
      <c r="K2759" s="326"/>
      <c r="M2759" s="463"/>
      <c r="N2759" s="464"/>
    </row>
    <row r="2760" spans="2:14" hidden="1" outlineLevel="1" x14ac:dyDescent="0.35">
      <c r="B2760" s="203"/>
      <c r="C2760" s="204"/>
      <c r="D2760" s="204"/>
      <c r="E2760" s="204"/>
      <c r="F2760" s="205"/>
      <c r="G2760" s="548"/>
      <c r="H2760" s="550"/>
      <c r="I2760" s="326"/>
      <c r="J2760" s="326"/>
      <c r="K2760" s="326"/>
      <c r="M2760" s="463"/>
      <c r="N2760" s="464"/>
    </row>
    <row r="2761" spans="2:14" hidden="1" outlineLevel="1" x14ac:dyDescent="0.35">
      <c r="B2761" s="203"/>
      <c r="C2761" s="204"/>
      <c r="D2761" s="204"/>
      <c r="E2761" s="204"/>
      <c r="F2761" s="205"/>
      <c r="G2761" s="548"/>
      <c r="H2761" s="550"/>
      <c r="I2761" s="326"/>
      <c r="J2761" s="326"/>
      <c r="K2761" s="326"/>
      <c r="M2761" s="463"/>
      <c r="N2761" s="464"/>
    </row>
    <row r="2762" spans="2:14" hidden="1" outlineLevel="1" x14ac:dyDescent="0.35">
      <c r="B2762" s="203"/>
      <c r="C2762" s="204"/>
      <c r="D2762" s="204"/>
      <c r="E2762" s="204"/>
      <c r="F2762" s="205"/>
      <c r="G2762" s="548"/>
      <c r="H2762" s="550"/>
      <c r="I2762" s="326"/>
      <c r="J2762" s="326"/>
      <c r="K2762" s="326"/>
      <c r="M2762" s="463"/>
      <c r="N2762" s="464"/>
    </row>
    <row r="2763" spans="2:14" hidden="1" outlineLevel="1" x14ac:dyDescent="0.35">
      <c r="B2763" s="203"/>
      <c r="C2763" s="204"/>
      <c r="D2763" s="204"/>
      <c r="E2763" s="204"/>
      <c r="F2763" s="205"/>
      <c r="G2763" s="548"/>
      <c r="H2763" s="550"/>
      <c r="I2763" s="326"/>
      <c r="J2763" s="326"/>
      <c r="K2763" s="326"/>
      <c r="M2763" s="463"/>
      <c r="N2763" s="464"/>
    </row>
    <row r="2764" spans="2:14" hidden="1" outlineLevel="1" x14ac:dyDescent="0.35">
      <c r="B2764" s="203"/>
      <c r="C2764" s="204"/>
      <c r="D2764" s="204"/>
      <c r="E2764" s="204"/>
      <c r="F2764" s="205"/>
      <c r="G2764" s="548"/>
      <c r="H2764" s="550"/>
      <c r="I2764" s="326"/>
      <c r="J2764" s="326"/>
      <c r="K2764" s="326"/>
      <c r="M2764" s="463"/>
      <c r="N2764" s="464"/>
    </row>
    <row r="2765" spans="2:14" hidden="1" outlineLevel="1" x14ac:dyDescent="0.35">
      <c r="B2765" s="203"/>
      <c r="C2765" s="204"/>
      <c r="D2765" s="204"/>
      <c r="E2765" s="204"/>
      <c r="F2765" s="205"/>
      <c r="G2765" s="548"/>
      <c r="H2765" s="550"/>
      <c r="I2765" s="326"/>
      <c r="J2765" s="326"/>
      <c r="K2765" s="326"/>
      <c r="M2765" s="463"/>
      <c r="N2765" s="464"/>
    </row>
    <row r="2766" spans="2:14" hidden="1" outlineLevel="1" x14ac:dyDescent="0.35">
      <c r="B2766" s="203"/>
      <c r="C2766" s="204"/>
      <c r="D2766" s="204"/>
      <c r="E2766" s="204"/>
      <c r="F2766" s="205"/>
      <c r="G2766" s="548"/>
      <c r="H2766" s="550"/>
      <c r="I2766" s="326"/>
      <c r="J2766" s="326"/>
      <c r="K2766" s="326"/>
      <c r="M2766" s="463"/>
      <c r="N2766" s="464"/>
    </row>
    <row r="2767" spans="2:14" hidden="1" outlineLevel="1" x14ac:dyDescent="0.35">
      <c r="B2767" s="203"/>
      <c r="C2767" s="204"/>
      <c r="D2767" s="204"/>
      <c r="E2767" s="204"/>
      <c r="F2767" s="205"/>
      <c r="G2767" s="548"/>
      <c r="H2767" s="550"/>
      <c r="I2767" s="326"/>
      <c r="J2767" s="326"/>
      <c r="K2767" s="326"/>
      <c r="M2767" s="463"/>
      <c r="N2767" s="464"/>
    </row>
    <row r="2768" spans="2:14" hidden="1" outlineLevel="1" x14ac:dyDescent="0.35">
      <c r="B2768" s="203"/>
      <c r="C2768" s="204"/>
      <c r="D2768" s="204"/>
      <c r="E2768" s="204"/>
      <c r="F2768" s="205"/>
      <c r="G2768" s="548"/>
      <c r="H2768" s="550"/>
      <c r="I2768" s="326"/>
      <c r="J2768" s="326"/>
      <c r="K2768" s="326"/>
      <c r="M2768" s="463"/>
      <c r="N2768" s="464"/>
    </row>
    <row r="2769" spans="2:14" hidden="1" outlineLevel="1" x14ac:dyDescent="0.35">
      <c r="B2769" s="203"/>
      <c r="C2769" s="204"/>
      <c r="D2769" s="204"/>
      <c r="E2769" s="204"/>
      <c r="F2769" s="205"/>
      <c r="G2769" s="548"/>
      <c r="H2769" s="550"/>
      <c r="I2769" s="326"/>
      <c r="J2769" s="326"/>
      <c r="K2769" s="326"/>
      <c r="M2769" s="463"/>
      <c r="N2769" s="464"/>
    </row>
    <row r="2770" spans="2:14" hidden="1" outlineLevel="1" x14ac:dyDescent="0.35">
      <c r="B2770" s="203"/>
      <c r="C2770" s="204"/>
      <c r="D2770" s="204"/>
      <c r="E2770" s="204"/>
      <c r="F2770" s="205"/>
      <c r="G2770" s="548"/>
      <c r="H2770" s="550"/>
      <c r="I2770" s="326"/>
      <c r="J2770" s="326"/>
      <c r="K2770" s="326"/>
      <c r="M2770" s="463"/>
      <c r="N2770" s="464"/>
    </row>
    <row r="2771" spans="2:14" hidden="1" outlineLevel="1" x14ac:dyDescent="0.35">
      <c r="B2771" s="203"/>
      <c r="C2771" s="204"/>
      <c r="D2771" s="204"/>
      <c r="E2771" s="204"/>
      <c r="F2771" s="205"/>
      <c r="G2771" s="548"/>
      <c r="H2771" s="550"/>
      <c r="I2771" s="326"/>
      <c r="J2771" s="326"/>
      <c r="K2771" s="326"/>
      <c r="M2771" s="463"/>
      <c r="N2771" s="464"/>
    </row>
    <row r="2772" spans="2:14" hidden="1" outlineLevel="1" x14ac:dyDescent="0.35">
      <c r="B2772" s="203"/>
      <c r="C2772" s="204"/>
      <c r="D2772" s="204"/>
      <c r="E2772" s="204"/>
      <c r="F2772" s="205"/>
      <c r="G2772" s="548"/>
      <c r="H2772" s="550"/>
      <c r="I2772" s="326"/>
      <c r="J2772" s="326"/>
      <c r="K2772" s="326"/>
      <c r="M2772" s="463"/>
      <c r="N2772" s="464"/>
    </row>
    <row r="2773" spans="2:14" hidden="1" outlineLevel="1" x14ac:dyDescent="0.35">
      <c r="B2773" s="203"/>
      <c r="C2773" s="204"/>
      <c r="D2773" s="204"/>
      <c r="E2773" s="204"/>
      <c r="F2773" s="205"/>
      <c r="G2773" s="548"/>
      <c r="H2773" s="550"/>
      <c r="I2773" s="326"/>
      <c r="J2773" s="326"/>
      <c r="K2773" s="326"/>
      <c r="M2773" s="463"/>
      <c r="N2773" s="464"/>
    </row>
    <row r="2774" spans="2:14" hidden="1" outlineLevel="1" x14ac:dyDescent="0.35">
      <c r="B2774" s="203"/>
      <c r="C2774" s="204"/>
      <c r="D2774" s="204"/>
      <c r="E2774" s="204"/>
      <c r="F2774" s="205"/>
      <c r="G2774" s="548"/>
      <c r="H2774" s="550"/>
      <c r="I2774" s="326"/>
      <c r="J2774" s="326"/>
      <c r="K2774" s="326"/>
      <c r="M2774" s="463"/>
      <c r="N2774" s="464"/>
    </row>
    <row r="2775" spans="2:14" hidden="1" outlineLevel="1" x14ac:dyDescent="0.35">
      <c r="B2775" s="203"/>
      <c r="C2775" s="204"/>
      <c r="D2775" s="204"/>
      <c r="E2775" s="204"/>
      <c r="F2775" s="205"/>
      <c r="G2775" s="548"/>
      <c r="H2775" s="550"/>
      <c r="I2775" s="326"/>
      <c r="J2775" s="326"/>
      <c r="K2775" s="326"/>
      <c r="M2775" s="463"/>
      <c r="N2775" s="464"/>
    </row>
    <row r="2776" spans="2:14" hidden="1" outlineLevel="1" x14ac:dyDescent="0.35">
      <c r="B2776" s="203"/>
      <c r="C2776" s="204"/>
      <c r="D2776" s="204"/>
      <c r="E2776" s="204"/>
      <c r="F2776" s="205"/>
      <c r="G2776" s="548"/>
      <c r="H2776" s="550"/>
      <c r="I2776" s="326"/>
      <c r="J2776" s="326"/>
      <c r="K2776" s="326"/>
      <c r="M2776" s="463"/>
      <c r="N2776" s="464"/>
    </row>
    <row r="2777" spans="2:14" hidden="1" outlineLevel="1" x14ac:dyDescent="0.35">
      <c r="B2777" s="203"/>
      <c r="C2777" s="204"/>
      <c r="D2777" s="204"/>
      <c r="E2777" s="204"/>
      <c r="F2777" s="205"/>
      <c r="G2777" s="548"/>
      <c r="H2777" s="550"/>
      <c r="I2777" s="326"/>
      <c r="J2777" s="326"/>
      <c r="K2777" s="326"/>
      <c r="M2777" s="463"/>
      <c r="N2777" s="464"/>
    </row>
    <row r="2778" spans="2:14" hidden="1" outlineLevel="1" x14ac:dyDescent="0.35">
      <c r="B2778" s="203"/>
      <c r="C2778" s="204"/>
      <c r="D2778" s="204"/>
      <c r="E2778" s="204"/>
      <c r="F2778" s="205"/>
      <c r="G2778" s="548"/>
      <c r="H2778" s="550"/>
      <c r="I2778" s="326"/>
      <c r="J2778" s="326"/>
      <c r="K2778" s="326"/>
      <c r="M2778" s="463"/>
      <c r="N2778" s="464"/>
    </row>
    <row r="2779" spans="2:14" hidden="1" outlineLevel="1" x14ac:dyDescent="0.35">
      <c r="B2779" s="203"/>
      <c r="C2779" s="204"/>
      <c r="D2779" s="204"/>
      <c r="E2779" s="204"/>
      <c r="F2779" s="205"/>
      <c r="G2779" s="548"/>
      <c r="H2779" s="550"/>
      <c r="I2779" s="326"/>
      <c r="J2779" s="326"/>
      <c r="K2779" s="326"/>
      <c r="M2779" s="463"/>
      <c r="N2779" s="464"/>
    </row>
    <row r="2780" spans="2:14" hidden="1" outlineLevel="1" x14ac:dyDescent="0.35">
      <c r="B2780" s="203"/>
      <c r="C2780" s="204"/>
      <c r="D2780" s="204"/>
      <c r="E2780" s="204"/>
      <c r="F2780" s="205"/>
      <c r="G2780" s="548"/>
      <c r="H2780" s="550"/>
      <c r="I2780" s="326"/>
      <c r="J2780" s="326"/>
      <c r="K2780" s="326"/>
      <c r="M2780" s="463"/>
      <c r="N2780" s="464"/>
    </row>
    <row r="2781" spans="2:14" hidden="1" outlineLevel="1" x14ac:dyDescent="0.35">
      <c r="B2781" s="203"/>
      <c r="C2781" s="204"/>
      <c r="D2781" s="204"/>
      <c r="E2781" s="204"/>
      <c r="F2781" s="205"/>
      <c r="G2781" s="548"/>
      <c r="H2781" s="550"/>
      <c r="I2781" s="326"/>
      <c r="J2781" s="326"/>
      <c r="K2781" s="326"/>
      <c r="M2781" s="463"/>
      <c r="N2781" s="464"/>
    </row>
    <row r="2782" spans="2:14" hidden="1" outlineLevel="1" x14ac:dyDescent="0.35">
      <c r="B2782" s="203"/>
      <c r="C2782" s="204"/>
      <c r="D2782" s="204"/>
      <c r="E2782" s="204"/>
      <c r="F2782" s="205"/>
      <c r="G2782" s="548"/>
      <c r="H2782" s="550"/>
      <c r="I2782" s="326"/>
      <c r="J2782" s="326"/>
      <c r="K2782" s="326"/>
      <c r="M2782" s="463"/>
      <c r="N2782" s="464"/>
    </row>
    <row r="2783" spans="2:14" hidden="1" outlineLevel="1" x14ac:dyDescent="0.35">
      <c r="B2783" s="203"/>
      <c r="C2783" s="204"/>
      <c r="D2783" s="204"/>
      <c r="E2783" s="204"/>
      <c r="F2783" s="205"/>
      <c r="G2783" s="548"/>
      <c r="H2783" s="550"/>
      <c r="I2783" s="326"/>
      <c r="J2783" s="326"/>
      <c r="K2783" s="326"/>
      <c r="M2783" s="463"/>
      <c r="N2783" s="464"/>
    </row>
    <row r="2784" spans="2:14" hidden="1" outlineLevel="1" x14ac:dyDescent="0.35">
      <c r="B2784" s="203"/>
      <c r="C2784" s="204"/>
      <c r="D2784" s="204"/>
      <c r="E2784" s="204"/>
      <c r="F2784" s="205"/>
      <c r="G2784" s="548"/>
      <c r="H2784" s="550"/>
      <c r="I2784" s="326"/>
      <c r="J2784" s="326"/>
      <c r="K2784" s="326"/>
      <c r="M2784" s="463"/>
      <c r="N2784" s="464"/>
    </row>
    <row r="2785" spans="2:14" hidden="1" outlineLevel="1" x14ac:dyDescent="0.35">
      <c r="B2785" s="203"/>
      <c r="C2785" s="204"/>
      <c r="D2785" s="204"/>
      <c r="E2785" s="204"/>
      <c r="F2785" s="205"/>
      <c r="G2785" s="548"/>
      <c r="H2785" s="550"/>
      <c r="I2785" s="326"/>
      <c r="J2785" s="326"/>
      <c r="K2785" s="326"/>
      <c r="M2785" s="463"/>
      <c r="N2785" s="464"/>
    </row>
    <row r="2786" spans="2:14" hidden="1" outlineLevel="1" x14ac:dyDescent="0.35">
      <c r="B2786" s="203"/>
      <c r="C2786" s="204"/>
      <c r="D2786" s="204"/>
      <c r="E2786" s="204"/>
      <c r="F2786" s="205"/>
      <c r="G2786" s="548"/>
      <c r="H2786" s="550"/>
      <c r="I2786" s="326"/>
      <c r="J2786" s="326"/>
      <c r="K2786" s="326"/>
      <c r="M2786" s="463"/>
      <c r="N2786" s="464"/>
    </row>
    <row r="2787" spans="2:14" hidden="1" outlineLevel="1" x14ac:dyDescent="0.35">
      <c r="B2787" s="203"/>
      <c r="C2787" s="204"/>
      <c r="D2787" s="204"/>
      <c r="E2787" s="204"/>
      <c r="F2787" s="205"/>
      <c r="G2787" s="548"/>
      <c r="H2787" s="550"/>
      <c r="I2787" s="326"/>
      <c r="J2787" s="326"/>
      <c r="K2787" s="326"/>
      <c r="M2787" s="463"/>
      <c r="N2787" s="464"/>
    </row>
    <row r="2788" spans="2:14" hidden="1" outlineLevel="1" x14ac:dyDescent="0.35">
      <c r="B2788" s="203"/>
      <c r="C2788" s="204"/>
      <c r="D2788" s="204"/>
      <c r="E2788" s="204"/>
      <c r="F2788" s="205"/>
      <c r="G2788" s="548"/>
      <c r="H2788" s="550"/>
      <c r="I2788" s="326"/>
      <c r="J2788" s="326"/>
      <c r="K2788" s="326"/>
      <c r="M2788" s="463"/>
      <c r="N2788" s="464"/>
    </row>
    <row r="2789" spans="2:14" hidden="1" outlineLevel="1" x14ac:dyDescent="0.35">
      <c r="B2789" s="203"/>
      <c r="C2789" s="204"/>
      <c r="D2789" s="204"/>
      <c r="E2789" s="204"/>
      <c r="F2789" s="205"/>
      <c r="G2789" s="548"/>
      <c r="H2789" s="550"/>
      <c r="I2789" s="326"/>
      <c r="J2789" s="326"/>
      <c r="K2789" s="326"/>
      <c r="M2789" s="463"/>
      <c r="N2789" s="464"/>
    </row>
    <row r="2790" spans="2:14" hidden="1" outlineLevel="1" x14ac:dyDescent="0.35">
      <c r="B2790" s="203"/>
      <c r="C2790" s="204"/>
      <c r="D2790" s="204"/>
      <c r="E2790" s="204"/>
      <c r="F2790" s="205"/>
      <c r="G2790" s="548"/>
      <c r="H2790" s="550"/>
      <c r="I2790" s="326"/>
      <c r="J2790" s="326"/>
      <c r="K2790" s="326"/>
      <c r="M2790" s="463"/>
      <c r="N2790" s="464"/>
    </row>
    <row r="2791" spans="2:14" hidden="1" outlineLevel="1" x14ac:dyDescent="0.35">
      <c r="B2791" s="203"/>
      <c r="C2791" s="204"/>
      <c r="D2791" s="204"/>
      <c r="E2791" s="204"/>
      <c r="F2791" s="205"/>
      <c r="G2791" s="548"/>
      <c r="H2791" s="550"/>
      <c r="I2791" s="326"/>
      <c r="J2791" s="326"/>
      <c r="K2791" s="326"/>
      <c r="M2791" s="463"/>
      <c r="N2791" s="464"/>
    </row>
    <row r="2792" spans="2:14" hidden="1" outlineLevel="1" x14ac:dyDescent="0.35">
      <c r="B2792" s="203"/>
      <c r="C2792" s="204"/>
      <c r="D2792" s="204"/>
      <c r="E2792" s="204"/>
      <c r="F2792" s="205"/>
      <c r="G2792" s="548"/>
      <c r="H2792" s="550"/>
      <c r="I2792" s="326"/>
      <c r="J2792" s="326"/>
      <c r="K2792" s="326"/>
      <c r="M2792" s="463"/>
      <c r="N2792" s="464"/>
    </row>
    <row r="2793" spans="2:14" hidden="1" outlineLevel="1" x14ac:dyDescent="0.35">
      <c r="B2793" s="203"/>
      <c r="C2793" s="204"/>
      <c r="D2793" s="204"/>
      <c r="E2793" s="204"/>
      <c r="F2793" s="205"/>
      <c r="G2793" s="548"/>
      <c r="H2793" s="550"/>
      <c r="I2793" s="326"/>
      <c r="J2793" s="326"/>
      <c r="K2793" s="326"/>
      <c r="M2793" s="463"/>
      <c r="N2793" s="464"/>
    </row>
    <row r="2794" spans="2:14" hidden="1" outlineLevel="1" x14ac:dyDescent="0.35">
      <c r="B2794" s="203"/>
      <c r="C2794" s="204"/>
      <c r="D2794" s="204"/>
      <c r="E2794" s="204"/>
      <c r="F2794" s="205"/>
      <c r="G2794" s="548"/>
      <c r="H2794" s="550"/>
      <c r="I2794" s="326"/>
      <c r="J2794" s="326"/>
      <c r="K2794" s="326"/>
      <c r="M2794" s="463"/>
      <c r="N2794" s="464"/>
    </row>
    <row r="2795" spans="2:14" hidden="1" outlineLevel="1" x14ac:dyDescent="0.35">
      <c r="B2795" s="203"/>
      <c r="C2795" s="204"/>
      <c r="D2795" s="204"/>
      <c r="E2795" s="204"/>
      <c r="F2795" s="205"/>
      <c r="G2795" s="548"/>
      <c r="H2795" s="550"/>
      <c r="I2795" s="326"/>
      <c r="J2795" s="326"/>
      <c r="K2795" s="326"/>
      <c r="M2795" s="463"/>
      <c r="N2795" s="464"/>
    </row>
    <row r="2796" spans="2:14" hidden="1" outlineLevel="1" x14ac:dyDescent="0.35">
      <c r="B2796" s="203"/>
      <c r="C2796" s="204"/>
      <c r="D2796" s="204"/>
      <c r="E2796" s="204"/>
      <c r="F2796" s="205"/>
      <c r="G2796" s="548"/>
      <c r="H2796" s="550"/>
      <c r="I2796" s="326"/>
      <c r="J2796" s="326"/>
      <c r="K2796" s="326"/>
      <c r="M2796" s="463"/>
      <c r="N2796" s="464"/>
    </row>
    <row r="2797" spans="2:14" hidden="1" outlineLevel="1" x14ac:dyDescent="0.35">
      <c r="B2797" s="203"/>
      <c r="C2797" s="204"/>
      <c r="D2797" s="204"/>
      <c r="E2797" s="204"/>
      <c r="F2797" s="205"/>
      <c r="G2797" s="548"/>
      <c r="H2797" s="550"/>
      <c r="I2797" s="326"/>
      <c r="J2797" s="326"/>
      <c r="K2797" s="326"/>
      <c r="M2797" s="463"/>
      <c r="N2797" s="464"/>
    </row>
    <row r="2798" spans="2:14" hidden="1" outlineLevel="1" x14ac:dyDescent="0.35">
      <c r="B2798" s="203"/>
      <c r="C2798" s="204"/>
      <c r="D2798" s="204"/>
      <c r="E2798" s="204"/>
      <c r="F2798" s="205"/>
      <c r="G2798" s="548"/>
      <c r="H2798" s="550"/>
      <c r="I2798" s="326"/>
      <c r="J2798" s="326"/>
      <c r="K2798" s="326"/>
      <c r="M2798" s="463"/>
      <c r="N2798" s="464"/>
    </row>
    <row r="2799" spans="2:14" hidden="1" outlineLevel="1" x14ac:dyDescent="0.35">
      <c r="B2799" s="203"/>
      <c r="C2799" s="204"/>
      <c r="D2799" s="204"/>
      <c r="E2799" s="204"/>
      <c r="F2799" s="205"/>
      <c r="G2799" s="548"/>
      <c r="H2799" s="550"/>
      <c r="I2799" s="326"/>
      <c r="J2799" s="326"/>
      <c r="K2799" s="326"/>
      <c r="M2799" s="463"/>
      <c r="N2799" s="464"/>
    </row>
    <row r="2800" spans="2:14" hidden="1" outlineLevel="1" x14ac:dyDescent="0.35">
      <c r="B2800" s="203"/>
      <c r="C2800" s="204"/>
      <c r="D2800" s="204"/>
      <c r="E2800" s="204"/>
      <c r="F2800" s="205"/>
      <c r="G2800" s="548"/>
      <c r="H2800" s="550"/>
      <c r="I2800" s="326"/>
      <c r="J2800" s="326"/>
      <c r="K2800" s="326"/>
      <c r="M2800" s="463"/>
      <c r="N2800" s="464"/>
    </row>
    <row r="2801" spans="2:14" hidden="1" outlineLevel="1" x14ac:dyDescent="0.35">
      <c r="B2801" s="203"/>
      <c r="C2801" s="204"/>
      <c r="D2801" s="204"/>
      <c r="E2801" s="204"/>
      <c r="F2801" s="205"/>
      <c r="G2801" s="548"/>
      <c r="H2801" s="550"/>
      <c r="I2801" s="326"/>
      <c r="J2801" s="326"/>
      <c r="K2801" s="326"/>
      <c r="M2801" s="463"/>
      <c r="N2801" s="464"/>
    </row>
    <row r="2802" spans="2:14" hidden="1" outlineLevel="1" x14ac:dyDescent="0.35">
      <c r="B2802" s="203"/>
      <c r="C2802" s="204"/>
      <c r="D2802" s="204"/>
      <c r="E2802" s="204"/>
      <c r="F2802" s="205"/>
      <c r="G2802" s="548"/>
      <c r="H2802" s="550"/>
      <c r="I2802" s="326"/>
      <c r="J2802" s="326"/>
      <c r="K2802" s="326"/>
      <c r="M2802" s="463"/>
      <c r="N2802" s="464"/>
    </row>
    <row r="2803" spans="2:14" hidden="1" outlineLevel="1" x14ac:dyDescent="0.35">
      <c r="B2803" s="203"/>
      <c r="C2803" s="204"/>
      <c r="D2803" s="204"/>
      <c r="E2803" s="204"/>
      <c r="F2803" s="205"/>
      <c r="G2803" s="548"/>
      <c r="H2803" s="550"/>
      <c r="I2803" s="326"/>
      <c r="J2803" s="326"/>
      <c r="K2803" s="326"/>
      <c r="M2803" s="463"/>
      <c r="N2803" s="464"/>
    </row>
    <row r="2804" spans="2:14" hidden="1" outlineLevel="1" x14ac:dyDescent="0.35">
      <c r="B2804" s="203"/>
      <c r="C2804" s="204"/>
      <c r="D2804" s="204"/>
      <c r="E2804" s="204"/>
      <c r="F2804" s="205"/>
      <c r="G2804" s="548"/>
      <c r="H2804" s="550"/>
      <c r="I2804" s="326"/>
      <c r="J2804" s="326"/>
      <c r="K2804" s="326"/>
      <c r="M2804" s="463"/>
      <c r="N2804" s="464"/>
    </row>
    <row r="2805" spans="2:14" hidden="1" outlineLevel="1" x14ac:dyDescent="0.35">
      <c r="B2805" s="203"/>
      <c r="C2805" s="204"/>
      <c r="D2805" s="204"/>
      <c r="E2805" s="204"/>
      <c r="F2805" s="205"/>
      <c r="G2805" s="548"/>
      <c r="H2805" s="550"/>
      <c r="I2805" s="326"/>
      <c r="J2805" s="326"/>
      <c r="K2805" s="326"/>
      <c r="M2805" s="463"/>
      <c r="N2805" s="464"/>
    </row>
    <row r="2806" spans="2:14" hidden="1" outlineLevel="1" x14ac:dyDescent="0.35">
      <c r="B2806" s="203"/>
      <c r="C2806" s="204"/>
      <c r="D2806" s="204"/>
      <c r="E2806" s="204"/>
      <c r="F2806" s="205"/>
      <c r="G2806" s="548"/>
      <c r="H2806" s="550"/>
      <c r="I2806" s="326"/>
      <c r="J2806" s="326"/>
      <c r="K2806" s="326"/>
      <c r="M2806" s="463"/>
      <c r="N2806" s="464"/>
    </row>
    <row r="2807" spans="2:14" hidden="1" outlineLevel="1" x14ac:dyDescent="0.35">
      <c r="B2807" s="203"/>
      <c r="C2807" s="204"/>
      <c r="D2807" s="204"/>
      <c r="E2807" s="204"/>
      <c r="F2807" s="205"/>
      <c r="G2807" s="548"/>
      <c r="H2807" s="550"/>
      <c r="I2807" s="326"/>
      <c r="J2807" s="326"/>
      <c r="K2807" s="326"/>
      <c r="M2807" s="463"/>
      <c r="N2807" s="464"/>
    </row>
    <row r="2808" spans="2:14" hidden="1" outlineLevel="1" x14ac:dyDescent="0.35">
      <c r="B2808" s="203"/>
      <c r="C2808" s="204"/>
      <c r="D2808" s="204"/>
      <c r="E2808" s="204"/>
      <c r="F2808" s="205"/>
      <c r="G2808" s="548"/>
      <c r="H2808" s="550"/>
      <c r="I2808" s="326"/>
      <c r="J2808" s="326"/>
      <c r="K2808" s="326"/>
      <c r="M2808" s="463"/>
      <c r="N2808" s="464"/>
    </row>
    <row r="2809" spans="2:14" hidden="1" outlineLevel="1" x14ac:dyDescent="0.35">
      <c r="B2809" s="203"/>
      <c r="C2809" s="204"/>
      <c r="D2809" s="204"/>
      <c r="E2809" s="204"/>
      <c r="F2809" s="205"/>
      <c r="G2809" s="548"/>
      <c r="H2809" s="550"/>
      <c r="I2809" s="326"/>
      <c r="J2809" s="326"/>
      <c r="K2809" s="326"/>
      <c r="M2809" s="463"/>
      <c r="N2809" s="464"/>
    </row>
    <row r="2810" spans="2:14" hidden="1" outlineLevel="1" x14ac:dyDescent="0.35">
      <c r="B2810" s="203"/>
      <c r="C2810" s="204"/>
      <c r="D2810" s="204"/>
      <c r="E2810" s="204"/>
      <c r="F2810" s="205"/>
      <c r="G2810" s="548"/>
      <c r="H2810" s="550"/>
      <c r="I2810" s="326"/>
      <c r="J2810" s="326"/>
      <c r="K2810" s="326"/>
      <c r="M2810" s="463"/>
      <c r="N2810" s="464"/>
    </row>
    <row r="2811" spans="2:14" hidden="1" outlineLevel="1" x14ac:dyDescent="0.35">
      <c r="B2811" s="203"/>
      <c r="C2811" s="204"/>
      <c r="D2811" s="204"/>
      <c r="E2811" s="204"/>
      <c r="F2811" s="205"/>
      <c r="G2811" s="548"/>
      <c r="H2811" s="550"/>
      <c r="I2811" s="326"/>
      <c r="J2811" s="326"/>
      <c r="K2811" s="326"/>
      <c r="M2811" s="463"/>
      <c r="N2811" s="464"/>
    </row>
    <row r="2812" spans="2:14" hidden="1" outlineLevel="1" x14ac:dyDescent="0.35">
      <c r="B2812" s="203"/>
      <c r="C2812" s="204"/>
      <c r="D2812" s="204"/>
      <c r="E2812" s="204"/>
      <c r="F2812" s="205"/>
      <c r="G2812" s="548"/>
      <c r="H2812" s="550"/>
      <c r="I2812" s="326"/>
      <c r="J2812" s="326"/>
      <c r="K2812" s="326"/>
      <c r="M2812" s="463"/>
      <c r="N2812" s="464"/>
    </row>
    <row r="2813" spans="2:14" hidden="1" outlineLevel="1" x14ac:dyDescent="0.35">
      <c r="B2813" s="203"/>
      <c r="C2813" s="204"/>
      <c r="D2813" s="204"/>
      <c r="E2813" s="204"/>
      <c r="F2813" s="205"/>
      <c r="G2813" s="548"/>
      <c r="H2813" s="550"/>
      <c r="I2813" s="326"/>
      <c r="J2813" s="326"/>
      <c r="K2813" s="326"/>
      <c r="M2813" s="463"/>
      <c r="N2813" s="464"/>
    </row>
    <row r="2814" spans="2:14" hidden="1" outlineLevel="1" x14ac:dyDescent="0.35">
      <c r="B2814" s="203"/>
      <c r="C2814" s="204"/>
      <c r="D2814" s="204"/>
      <c r="E2814" s="204"/>
      <c r="F2814" s="205"/>
      <c r="G2814" s="548"/>
      <c r="H2814" s="550"/>
      <c r="I2814" s="326"/>
      <c r="J2814" s="326"/>
      <c r="K2814" s="326"/>
      <c r="M2814" s="463"/>
      <c r="N2814" s="464"/>
    </row>
    <row r="2815" spans="2:14" hidden="1" outlineLevel="1" x14ac:dyDescent="0.35">
      <c r="B2815" s="203"/>
      <c r="C2815" s="204"/>
      <c r="D2815" s="204"/>
      <c r="E2815" s="204"/>
      <c r="F2815" s="205"/>
      <c r="G2815" s="548"/>
      <c r="H2815" s="550"/>
      <c r="I2815" s="326"/>
      <c r="J2815" s="326"/>
      <c r="K2815" s="326"/>
      <c r="M2815" s="463"/>
      <c r="N2815" s="464"/>
    </row>
    <row r="2816" spans="2:14" hidden="1" outlineLevel="1" x14ac:dyDescent="0.35">
      <c r="B2816" s="203"/>
      <c r="C2816" s="204"/>
      <c r="D2816" s="204"/>
      <c r="E2816" s="204"/>
      <c r="F2816" s="205"/>
      <c r="G2816" s="548"/>
      <c r="H2816" s="550"/>
      <c r="I2816" s="326"/>
      <c r="J2816" s="326"/>
      <c r="K2816" s="326"/>
      <c r="M2816" s="463"/>
      <c r="N2816" s="464"/>
    </row>
    <row r="2817" spans="2:14" hidden="1" outlineLevel="1" x14ac:dyDescent="0.35">
      <c r="B2817" s="203"/>
      <c r="C2817" s="204"/>
      <c r="D2817" s="204"/>
      <c r="E2817" s="204"/>
      <c r="F2817" s="205"/>
      <c r="G2817" s="548"/>
      <c r="H2817" s="550"/>
      <c r="I2817" s="326"/>
      <c r="J2817" s="326"/>
      <c r="K2817" s="326"/>
      <c r="M2817" s="463"/>
      <c r="N2817" s="464"/>
    </row>
    <row r="2818" spans="2:14" hidden="1" outlineLevel="1" x14ac:dyDescent="0.35">
      <c r="B2818" s="203"/>
      <c r="C2818" s="204"/>
      <c r="D2818" s="204"/>
      <c r="E2818" s="204"/>
      <c r="F2818" s="205"/>
      <c r="G2818" s="548"/>
      <c r="H2818" s="550"/>
      <c r="I2818" s="326"/>
      <c r="J2818" s="326"/>
      <c r="K2818" s="326"/>
      <c r="M2818" s="463"/>
      <c r="N2818" s="464"/>
    </row>
    <row r="2819" spans="2:14" hidden="1" outlineLevel="1" x14ac:dyDescent="0.35">
      <c r="B2819" s="203"/>
      <c r="C2819" s="204"/>
      <c r="D2819" s="204"/>
      <c r="E2819" s="204"/>
      <c r="F2819" s="205"/>
      <c r="G2819" s="548"/>
      <c r="H2819" s="550"/>
      <c r="I2819" s="326"/>
      <c r="J2819" s="326"/>
      <c r="K2819" s="326"/>
      <c r="M2819" s="463"/>
      <c r="N2819" s="464"/>
    </row>
    <row r="2820" spans="2:14" hidden="1" outlineLevel="1" x14ac:dyDescent="0.35">
      <c r="B2820" s="203"/>
      <c r="C2820" s="204"/>
      <c r="D2820" s="204"/>
      <c r="E2820" s="204"/>
      <c r="F2820" s="205"/>
      <c r="G2820" s="548"/>
      <c r="H2820" s="550"/>
      <c r="I2820" s="326"/>
      <c r="J2820" s="326"/>
      <c r="K2820" s="326"/>
      <c r="M2820" s="463"/>
      <c r="N2820" s="464"/>
    </row>
    <row r="2821" spans="2:14" hidden="1" outlineLevel="1" x14ac:dyDescent="0.35">
      <c r="B2821" s="203"/>
      <c r="C2821" s="204"/>
      <c r="D2821" s="204"/>
      <c r="E2821" s="204"/>
      <c r="F2821" s="205"/>
      <c r="G2821" s="548"/>
      <c r="H2821" s="550"/>
      <c r="I2821" s="326"/>
      <c r="J2821" s="326"/>
      <c r="K2821" s="326"/>
      <c r="M2821" s="463"/>
      <c r="N2821" s="464"/>
    </row>
    <row r="2822" spans="2:14" hidden="1" outlineLevel="1" x14ac:dyDescent="0.35">
      <c r="B2822" s="203"/>
      <c r="C2822" s="204"/>
      <c r="D2822" s="204"/>
      <c r="E2822" s="204"/>
      <c r="F2822" s="205"/>
      <c r="G2822" s="548"/>
      <c r="H2822" s="550"/>
      <c r="I2822" s="326"/>
      <c r="J2822" s="326"/>
      <c r="K2822" s="326"/>
      <c r="M2822" s="463"/>
      <c r="N2822" s="464"/>
    </row>
    <row r="2823" spans="2:14" hidden="1" outlineLevel="1" x14ac:dyDescent="0.35">
      <c r="B2823" s="203"/>
      <c r="C2823" s="204"/>
      <c r="D2823" s="204"/>
      <c r="E2823" s="204"/>
      <c r="F2823" s="205"/>
      <c r="G2823" s="548"/>
      <c r="H2823" s="550"/>
      <c r="I2823" s="326"/>
      <c r="J2823" s="326"/>
      <c r="K2823" s="326"/>
      <c r="M2823" s="463"/>
      <c r="N2823" s="464"/>
    </row>
    <row r="2824" spans="2:14" hidden="1" outlineLevel="1" x14ac:dyDescent="0.35">
      <c r="B2824" s="203"/>
      <c r="C2824" s="204"/>
      <c r="D2824" s="204"/>
      <c r="E2824" s="204"/>
      <c r="F2824" s="205"/>
      <c r="G2824" s="548"/>
      <c r="H2824" s="550"/>
      <c r="I2824" s="326"/>
      <c r="J2824" s="326"/>
      <c r="K2824" s="326"/>
      <c r="M2824" s="463"/>
      <c r="N2824" s="464"/>
    </row>
    <row r="2825" spans="2:14" hidden="1" outlineLevel="1" x14ac:dyDescent="0.35">
      <c r="B2825" s="203"/>
      <c r="C2825" s="204"/>
      <c r="D2825" s="204"/>
      <c r="E2825" s="204"/>
      <c r="F2825" s="205"/>
      <c r="G2825" s="548"/>
      <c r="H2825" s="550"/>
      <c r="I2825" s="326"/>
      <c r="J2825" s="326"/>
      <c r="K2825" s="326"/>
      <c r="M2825" s="463"/>
      <c r="N2825" s="464"/>
    </row>
    <row r="2826" spans="2:14" hidden="1" outlineLevel="1" x14ac:dyDescent="0.35">
      <c r="B2826" s="203"/>
      <c r="C2826" s="204"/>
      <c r="D2826" s="204"/>
      <c r="E2826" s="204"/>
      <c r="F2826" s="205"/>
      <c r="G2826" s="548"/>
      <c r="H2826" s="550"/>
      <c r="I2826" s="326"/>
      <c r="J2826" s="326"/>
      <c r="K2826" s="326"/>
      <c r="M2826" s="463"/>
      <c r="N2826" s="464"/>
    </row>
    <row r="2827" spans="2:14" hidden="1" outlineLevel="1" x14ac:dyDescent="0.35">
      <c r="B2827" s="203"/>
      <c r="C2827" s="204"/>
      <c r="D2827" s="204"/>
      <c r="E2827" s="204"/>
      <c r="F2827" s="205"/>
      <c r="G2827" s="548"/>
      <c r="H2827" s="550"/>
      <c r="I2827" s="326"/>
      <c r="J2827" s="326"/>
      <c r="K2827" s="326"/>
      <c r="M2827" s="463"/>
      <c r="N2827" s="464"/>
    </row>
    <row r="2828" spans="2:14" hidden="1" outlineLevel="1" x14ac:dyDescent="0.35">
      <c r="B2828" s="203"/>
      <c r="C2828" s="204"/>
      <c r="D2828" s="204"/>
      <c r="E2828" s="204"/>
      <c r="F2828" s="205"/>
      <c r="G2828" s="548"/>
      <c r="H2828" s="550"/>
      <c r="I2828" s="326"/>
      <c r="J2828" s="326"/>
      <c r="K2828" s="326"/>
      <c r="M2828" s="463"/>
      <c r="N2828" s="464"/>
    </row>
    <row r="2829" spans="2:14" hidden="1" outlineLevel="1" x14ac:dyDescent="0.35">
      <c r="B2829" s="203"/>
      <c r="C2829" s="204"/>
      <c r="D2829" s="204"/>
      <c r="E2829" s="204"/>
      <c r="F2829" s="205"/>
      <c r="G2829" s="548"/>
      <c r="H2829" s="550"/>
      <c r="I2829" s="326"/>
      <c r="J2829" s="326"/>
      <c r="K2829" s="326"/>
      <c r="M2829" s="463"/>
      <c r="N2829" s="464"/>
    </row>
    <row r="2830" spans="2:14" hidden="1" outlineLevel="1" x14ac:dyDescent="0.35">
      <c r="B2830" s="203"/>
      <c r="C2830" s="204"/>
      <c r="D2830" s="204"/>
      <c r="E2830" s="204"/>
      <c r="F2830" s="205"/>
      <c r="G2830" s="548"/>
      <c r="H2830" s="550"/>
      <c r="I2830" s="326"/>
      <c r="J2830" s="326"/>
      <c r="K2830" s="326"/>
      <c r="M2830" s="463"/>
      <c r="N2830" s="464"/>
    </row>
    <row r="2831" spans="2:14" hidden="1" outlineLevel="1" x14ac:dyDescent="0.35">
      <c r="B2831" s="203"/>
      <c r="C2831" s="204"/>
      <c r="D2831" s="204"/>
      <c r="E2831" s="204"/>
      <c r="F2831" s="205"/>
      <c r="G2831" s="548"/>
      <c r="H2831" s="550"/>
      <c r="I2831" s="326"/>
      <c r="J2831" s="326"/>
      <c r="K2831" s="326"/>
      <c r="M2831" s="463"/>
      <c r="N2831" s="464"/>
    </row>
    <row r="2832" spans="2:14" hidden="1" outlineLevel="1" x14ac:dyDescent="0.35">
      <c r="B2832" s="203"/>
      <c r="C2832" s="204"/>
      <c r="D2832" s="204"/>
      <c r="E2832" s="204"/>
      <c r="F2832" s="205"/>
      <c r="G2832" s="548"/>
      <c r="H2832" s="550"/>
      <c r="I2832" s="326"/>
      <c r="J2832" s="326"/>
      <c r="K2832" s="326"/>
      <c r="M2832" s="463"/>
      <c r="N2832" s="464"/>
    </row>
    <row r="2833" spans="2:14" hidden="1" outlineLevel="1" x14ac:dyDescent="0.35">
      <c r="B2833" s="203"/>
      <c r="C2833" s="204"/>
      <c r="D2833" s="204"/>
      <c r="E2833" s="204"/>
      <c r="F2833" s="205"/>
      <c r="G2833" s="548"/>
      <c r="H2833" s="550"/>
      <c r="I2833" s="326"/>
      <c r="J2833" s="326"/>
      <c r="K2833" s="326"/>
      <c r="M2833" s="463"/>
      <c r="N2833" s="464"/>
    </row>
    <row r="2834" spans="2:14" hidden="1" outlineLevel="1" x14ac:dyDescent="0.35">
      <c r="B2834" s="203"/>
      <c r="C2834" s="204"/>
      <c r="D2834" s="204"/>
      <c r="E2834" s="204"/>
      <c r="F2834" s="205"/>
      <c r="G2834" s="548"/>
      <c r="H2834" s="550"/>
      <c r="I2834" s="326"/>
      <c r="J2834" s="326"/>
      <c r="K2834" s="326"/>
      <c r="M2834" s="463"/>
      <c r="N2834" s="464"/>
    </row>
    <row r="2835" spans="2:14" hidden="1" outlineLevel="1" x14ac:dyDescent="0.35">
      <c r="B2835" s="203"/>
      <c r="C2835" s="204"/>
      <c r="D2835" s="204"/>
      <c r="E2835" s="204"/>
      <c r="F2835" s="205"/>
      <c r="G2835" s="548"/>
      <c r="H2835" s="550"/>
      <c r="I2835" s="326"/>
      <c r="J2835" s="326"/>
      <c r="K2835" s="326"/>
      <c r="M2835" s="463"/>
      <c r="N2835" s="464"/>
    </row>
    <row r="2836" spans="2:14" hidden="1" outlineLevel="1" x14ac:dyDescent="0.35">
      <c r="B2836" s="203"/>
      <c r="C2836" s="204"/>
      <c r="D2836" s="204"/>
      <c r="E2836" s="204"/>
      <c r="F2836" s="205"/>
      <c r="G2836" s="548"/>
      <c r="H2836" s="550"/>
      <c r="I2836" s="326"/>
      <c r="J2836" s="326"/>
      <c r="K2836" s="326"/>
      <c r="M2836" s="463"/>
      <c r="N2836" s="464"/>
    </row>
    <row r="2837" spans="2:14" hidden="1" outlineLevel="1" x14ac:dyDescent="0.35">
      <c r="B2837" s="203"/>
      <c r="C2837" s="204"/>
      <c r="D2837" s="204"/>
      <c r="E2837" s="204"/>
      <c r="F2837" s="205"/>
      <c r="G2837" s="548"/>
      <c r="H2837" s="550"/>
      <c r="I2837" s="326"/>
      <c r="J2837" s="326"/>
      <c r="K2837" s="326"/>
      <c r="M2837" s="463"/>
      <c r="N2837" s="464"/>
    </row>
    <row r="2838" spans="2:14" hidden="1" outlineLevel="1" x14ac:dyDescent="0.35">
      <c r="B2838" s="203"/>
      <c r="C2838" s="204"/>
      <c r="D2838" s="204"/>
      <c r="E2838" s="204"/>
      <c r="F2838" s="205"/>
      <c r="G2838" s="548"/>
      <c r="H2838" s="550"/>
      <c r="I2838" s="326"/>
      <c r="J2838" s="326"/>
      <c r="K2838" s="326"/>
      <c r="M2838" s="463"/>
      <c r="N2838" s="464"/>
    </row>
    <row r="2839" spans="2:14" hidden="1" outlineLevel="1" x14ac:dyDescent="0.35">
      <c r="B2839" s="203"/>
      <c r="C2839" s="204"/>
      <c r="D2839" s="204"/>
      <c r="E2839" s="204"/>
      <c r="F2839" s="205"/>
      <c r="G2839" s="548"/>
      <c r="H2839" s="550"/>
      <c r="I2839" s="326"/>
      <c r="J2839" s="326"/>
      <c r="K2839" s="326"/>
      <c r="M2839" s="463"/>
      <c r="N2839" s="464"/>
    </row>
    <row r="2840" spans="2:14" hidden="1" outlineLevel="1" x14ac:dyDescent="0.35">
      <c r="B2840" s="203"/>
      <c r="C2840" s="204"/>
      <c r="D2840" s="204"/>
      <c r="E2840" s="204"/>
      <c r="F2840" s="205"/>
      <c r="G2840" s="548"/>
      <c r="H2840" s="550"/>
      <c r="I2840" s="326"/>
      <c r="J2840" s="326"/>
      <c r="K2840" s="326"/>
      <c r="M2840" s="463"/>
      <c r="N2840" s="464"/>
    </row>
    <row r="2841" spans="2:14" hidden="1" outlineLevel="1" x14ac:dyDescent="0.35">
      <c r="B2841" s="203"/>
      <c r="C2841" s="204"/>
      <c r="D2841" s="204"/>
      <c r="E2841" s="204"/>
      <c r="F2841" s="205"/>
      <c r="G2841" s="548"/>
      <c r="H2841" s="550"/>
      <c r="I2841" s="326"/>
      <c r="J2841" s="326"/>
      <c r="K2841" s="326"/>
      <c r="M2841" s="463"/>
      <c r="N2841" s="464"/>
    </row>
    <row r="2842" spans="2:14" hidden="1" outlineLevel="1" x14ac:dyDescent="0.35">
      <c r="B2842" s="203"/>
      <c r="C2842" s="204"/>
      <c r="D2842" s="204"/>
      <c r="E2842" s="204"/>
      <c r="F2842" s="205"/>
      <c r="G2842" s="548"/>
      <c r="H2842" s="550"/>
      <c r="I2842" s="326"/>
      <c r="J2842" s="326"/>
      <c r="K2842" s="326"/>
      <c r="M2842" s="463"/>
      <c r="N2842" s="464"/>
    </row>
    <row r="2843" spans="2:14" hidden="1" outlineLevel="1" x14ac:dyDescent="0.35">
      <c r="B2843" s="203"/>
      <c r="C2843" s="204"/>
      <c r="D2843" s="204"/>
      <c r="E2843" s="204"/>
      <c r="F2843" s="205"/>
      <c r="G2843" s="548"/>
      <c r="H2843" s="550"/>
      <c r="I2843" s="326"/>
      <c r="J2843" s="326"/>
      <c r="K2843" s="326"/>
      <c r="M2843" s="463"/>
      <c r="N2843" s="464"/>
    </row>
    <row r="2844" spans="2:14" hidden="1" outlineLevel="1" x14ac:dyDescent="0.35">
      <c r="B2844" s="203"/>
      <c r="C2844" s="204"/>
      <c r="D2844" s="204"/>
      <c r="E2844" s="204"/>
      <c r="F2844" s="205"/>
      <c r="G2844" s="548"/>
      <c r="H2844" s="550"/>
      <c r="I2844" s="326"/>
      <c r="J2844" s="326"/>
      <c r="K2844" s="326"/>
      <c r="M2844" s="463"/>
      <c r="N2844" s="464"/>
    </row>
    <row r="2845" spans="2:14" hidden="1" outlineLevel="1" x14ac:dyDescent="0.35">
      <c r="B2845" s="203"/>
      <c r="C2845" s="204"/>
      <c r="D2845" s="204"/>
      <c r="E2845" s="204"/>
      <c r="F2845" s="205"/>
      <c r="G2845" s="548"/>
      <c r="H2845" s="550"/>
      <c r="I2845" s="326"/>
      <c r="J2845" s="326"/>
      <c r="K2845" s="326"/>
      <c r="M2845" s="463"/>
      <c r="N2845" s="464"/>
    </row>
    <row r="2846" spans="2:14" hidden="1" outlineLevel="1" x14ac:dyDescent="0.35">
      <c r="B2846" s="203"/>
      <c r="C2846" s="204"/>
      <c r="D2846" s="204"/>
      <c r="E2846" s="204"/>
      <c r="F2846" s="205"/>
      <c r="G2846" s="548"/>
      <c r="H2846" s="550"/>
      <c r="I2846" s="326"/>
      <c r="J2846" s="326"/>
      <c r="K2846" s="326"/>
      <c r="M2846" s="463"/>
      <c r="N2846" s="464"/>
    </row>
    <row r="2847" spans="2:14" hidden="1" outlineLevel="1" x14ac:dyDescent="0.35">
      <c r="B2847" s="203"/>
      <c r="C2847" s="204"/>
      <c r="D2847" s="204"/>
      <c r="E2847" s="204"/>
      <c r="F2847" s="205"/>
      <c r="G2847" s="548"/>
      <c r="H2847" s="550"/>
      <c r="I2847" s="326"/>
      <c r="J2847" s="326"/>
      <c r="K2847" s="326"/>
      <c r="M2847" s="463"/>
      <c r="N2847" s="464"/>
    </row>
    <row r="2848" spans="2:14" hidden="1" outlineLevel="1" x14ac:dyDescent="0.35">
      <c r="B2848" s="203"/>
      <c r="C2848" s="204"/>
      <c r="D2848" s="204"/>
      <c r="E2848" s="204"/>
      <c r="F2848" s="205"/>
      <c r="G2848" s="548"/>
      <c r="H2848" s="550"/>
      <c r="I2848" s="326"/>
      <c r="J2848" s="326"/>
      <c r="K2848" s="326"/>
      <c r="M2848" s="463"/>
      <c r="N2848" s="464"/>
    </row>
    <row r="2849" spans="2:14" hidden="1" outlineLevel="1" x14ac:dyDescent="0.35">
      <c r="B2849" s="203"/>
      <c r="C2849" s="204"/>
      <c r="D2849" s="204"/>
      <c r="E2849" s="204"/>
      <c r="F2849" s="205"/>
      <c r="G2849" s="548"/>
      <c r="H2849" s="550"/>
      <c r="I2849" s="326"/>
      <c r="J2849" s="326"/>
      <c r="K2849" s="326"/>
      <c r="M2849" s="463"/>
      <c r="N2849" s="464"/>
    </row>
    <row r="2850" spans="2:14" hidden="1" outlineLevel="1" x14ac:dyDescent="0.35">
      <c r="B2850" s="203"/>
      <c r="C2850" s="204"/>
      <c r="D2850" s="204"/>
      <c r="E2850" s="204"/>
      <c r="F2850" s="205"/>
      <c r="G2850" s="548"/>
      <c r="H2850" s="550"/>
      <c r="I2850" s="326"/>
      <c r="J2850" s="326"/>
      <c r="K2850" s="326"/>
      <c r="M2850" s="463"/>
      <c r="N2850" s="464"/>
    </row>
    <row r="2851" spans="2:14" hidden="1" outlineLevel="1" x14ac:dyDescent="0.35">
      <c r="B2851" s="203"/>
      <c r="C2851" s="204"/>
      <c r="D2851" s="204"/>
      <c r="E2851" s="204"/>
      <c r="F2851" s="205"/>
      <c r="G2851" s="548"/>
      <c r="H2851" s="550"/>
      <c r="I2851" s="326"/>
      <c r="J2851" s="326"/>
      <c r="K2851" s="326"/>
      <c r="M2851" s="463"/>
      <c r="N2851" s="464"/>
    </row>
    <row r="2852" spans="2:14" hidden="1" outlineLevel="1" x14ac:dyDescent="0.35">
      <c r="B2852" s="203"/>
      <c r="C2852" s="204"/>
      <c r="D2852" s="204"/>
      <c r="E2852" s="204"/>
      <c r="F2852" s="205"/>
      <c r="G2852" s="548"/>
      <c r="H2852" s="550"/>
      <c r="I2852" s="326"/>
      <c r="J2852" s="326"/>
      <c r="K2852" s="326"/>
      <c r="M2852" s="463"/>
      <c r="N2852" s="464"/>
    </row>
    <row r="2853" spans="2:14" hidden="1" outlineLevel="1" x14ac:dyDescent="0.35">
      <c r="B2853" s="203"/>
      <c r="C2853" s="204"/>
      <c r="D2853" s="204"/>
      <c r="E2853" s="204"/>
      <c r="F2853" s="205"/>
      <c r="G2853" s="548"/>
      <c r="H2853" s="550"/>
      <c r="I2853" s="326"/>
      <c r="J2853" s="326"/>
      <c r="K2853" s="326"/>
      <c r="M2853" s="463"/>
      <c r="N2853" s="464"/>
    </row>
    <row r="2854" spans="2:14" hidden="1" outlineLevel="1" x14ac:dyDescent="0.35">
      <c r="B2854" s="203"/>
      <c r="C2854" s="204"/>
      <c r="D2854" s="204"/>
      <c r="E2854" s="204"/>
      <c r="F2854" s="205"/>
      <c r="G2854" s="548"/>
      <c r="H2854" s="550"/>
      <c r="I2854" s="326"/>
      <c r="J2854" s="326"/>
      <c r="K2854" s="326"/>
      <c r="M2854" s="463"/>
      <c r="N2854" s="464"/>
    </row>
    <row r="2855" spans="2:14" hidden="1" outlineLevel="1" x14ac:dyDescent="0.35">
      <c r="B2855" s="203"/>
      <c r="C2855" s="204"/>
      <c r="D2855" s="204"/>
      <c r="E2855" s="204"/>
      <c r="F2855" s="205"/>
      <c r="G2855" s="548"/>
      <c r="H2855" s="550"/>
      <c r="I2855" s="326"/>
      <c r="J2855" s="326"/>
      <c r="K2855" s="326"/>
      <c r="M2855" s="463"/>
      <c r="N2855" s="464"/>
    </row>
    <row r="2856" spans="2:14" hidden="1" outlineLevel="1" x14ac:dyDescent="0.35">
      <c r="B2856" s="203"/>
      <c r="C2856" s="204"/>
      <c r="D2856" s="204"/>
      <c r="E2856" s="204"/>
      <c r="F2856" s="205"/>
      <c r="G2856" s="548"/>
      <c r="H2856" s="550"/>
      <c r="I2856" s="326"/>
      <c r="J2856" s="326"/>
      <c r="K2856" s="326"/>
      <c r="M2856" s="463"/>
      <c r="N2856" s="464"/>
    </row>
    <row r="2857" spans="2:14" hidden="1" outlineLevel="1" x14ac:dyDescent="0.35">
      <c r="B2857" s="203"/>
      <c r="C2857" s="204"/>
      <c r="D2857" s="204"/>
      <c r="E2857" s="204"/>
      <c r="F2857" s="205"/>
      <c r="G2857" s="548"/>
      <c r="H2857" s="550"/>
      <c r="I2857" s="326"/>
      <c r="J2857" s="326"/>
      <c r="K2857" s="326"/>
      <c r="M2857" s="463"/>
      <c r="N2857" s="464"/>
    </row>
    <row r="2858" spans="2:14" hidden="1" outlineLevel="1" x14ac:dyDescent="0.35">
      <c r="B2858" s="203"/>
      <c r="C2858" s="204"/>
      <c r="D2858" s="204"/>
      <c r="E2858" s="204"/>
      <c r="F2858" s="205"/>
      <c r="G2858" s="548"/>
      <c r="H2858" s="550"/>
      <c r="I2858" s="326"/>
      <c r="J2858" s="326"/>
      <c r="K2858" s="326"/>
      <c r="M2858" s="463"/>
      <c r="N2858" s="464"/>
    </row>
    <row r="2859" spans="2:14" hidden="1" outlineLevel="1" x14ac:dyDescent="0.35">
      <c r="B2859" s="203"/>
      <c r="C2859" s="204"/>
      <c r="D2859" s="204"/>
      <c r="E2859" s="204"/>
      <c r="F2859" s="205"/>
      <c r="G2859" s="548"/>
      <c r="H2859" s="550"/>
      <c r="I2859" s="326"/>
      <c r="J2859" s="326"/>
      <c r="K2859" s="326"/>
      <c r="M2859" s="463"/>
      <c r="N2859" s="464"/>
    </row>
    <row r="2860" spans="2:14" hidden="1" outlineLevel="1" x14ac:dyDescent="0.35">
      <c r="B2860" s="203"/>
      <c r="C2860" s="204"/>
      <c r="D2860" s="204"/>
      <c r="E2860" s="204"/>
      <c r="F2860" s="205"/>
      <c r="G2860" s="548"/>
      <c r="H2860" s="550"/>
      <c r="I2860" s="326"/>
      <c r="J2860" s="326"/>
      <c r="K2860" s="326"/>
      <c r="M2860" s="463"/>
      <c r="N2860" s="464"/>
    </row>
    <row r="2861" spans="2:14" hidden="1" outlineLevel="1" x14ac:dyDescent="0.35">
      <c r="B2861" s="203"/>
      <c r="C2861" s="204"/>
      <c r="D2861" s="204"/>
      <c r="E2861" s="204"/>
      <c r="F2861" s="205"/>
      <c r="G2861" s="548"/>
      <c r="H2861" s="550"/>
      <c r="I2861" s="326"/>
      <c r="J2861" s="326"/>
      <c r="K2861" s="326"/>
      <c r="M2861" s="463"/>
      <c r="N2861" s="464"/>
    </row>
    <row r="2862" spans="2:14" hidden="1" outlineLevel="1" x14ac:dyDescent="0.35">
      <c r="B2862" s="203"/>
      <c r="C2862" s="204"/>
      <c r="D2862" s="204"/>
      <c r="E2862" s="204"/>
      <c r="F2862" s="205"/>
      <c r="G2862" s="548"/>
      <c r="H2862" s="550"/>
      <c r="I2862" s="326"/>
      <c r="J2862" s="326"/>
      <c r="K2862" s="326"/>
      <c r="M2862" s="463"/>
      <c r="N2862" s="464"/>
    </row>
    <row r="2863" spans="2:14" hidden="1" outlineLevel="1" x14ac:dyDescent="0.35">
      <c r="B2863" s="203"/>
      <c r="C2863" s="204"/>
      <c r="D2863" s="204"/>
      <c r="E2863" s="204"/>
      <c r="F2863" s="205"/>
      <c r="G2863" s="548"/>
      <c r="H2863" s="550"/>
      <c r="I2863" s="326"/>
      <c r="J2863" s="326"/>
      <c r="K2863" s="326"/>
      <c r="M2863" s="463"/>
      <c r="N2863" s="464"/>
    </row>
    <row r="2864" spans="2:14" hidden="1" outlineLevel="1" x14ac:dyDescent="0.35">
      <c r="B2864" s="203"/>
      <c r="C2864" s="204"/>
      <c r="D2864" s="204"/>
      <c r="E2864" s="204"/>
      <c r="F2864" s="205"/>
      <c r="G2864" s="548"/>
      <c r="H2864" s="550"/>
      <c r="I2864" s="326"/>
      <c r="J2864" s="326"/>
      <c r="K2864" s="326"/>
      <c r="M2864" s="463"/>
      <c r="N2864" s="464"/>
    </row>
    <row r="2865" spans="2:14" hidden="1" outlineLevel="1" x14ac:dyDescent="0.35">
      <c r="B2865" s="203"/>
      <c r="C2865" s="204"/>
      <c r="D2865" s="204"/>
      <c r="E2865" s="204"/>
      <c r="F2865" s="205"/>
      <c r="G2865" s="548"/>
      <c r="H2865" s="550"/>
      <c r="I2865" s="326"/>
      <c r="J2865" s="326"/>
      <c r="K2865" s="326"/>
      <c r="M2865" s="463"/>
      <c r="N2865" s="464"/>
    </row>
    <row r="2866" spans="2:14" hidden="1" outlineLevel="1" x14ac:dyDescent="0.35">
      <c r="B2866" s="203"/>
      <c r="C2866" s="204"/>
      <c r="D2866" s="204"/>
      <c r="E2866" s="204"/>
      <c r="F2866" s="205"/>
      <c r="G2866" s="548"/>
      <c r="H2866" s="550"/>
      <c r="I2866" s="326"/>
      <c r="J2866" s="326"/>
      <c r="K2866" s="326"/>
      <c r="M2866" s="463"/>
      <c r="N2866" s="464"/>
    </row>
    <row r="2867" spans="2:14" hidden="1" outlineLevel="1" x14ac:dyDescent="0.35">
      <c r="B2867" s="203"/>
      <c r="C2867" s="204"/>
      <c r="D2867" s="204"/>
      <c r="E2867" s="204"/>
      <c r="F2867" s="205"/>
      <c r="G2867" s="548"/>
      <c r="H2867" s="550"/>
      <c r="I2867" s="326"/>
      <c r="J2867" s="326"/>
      <c r="K2867" s="326"/>
      <c r="M2867" s="463"/>
      <c r="N2867" s="464"/>
    </row>
    <row r="2868" spans="2:14" hidden="1" outlineLevel="1" x14ac:dyDescent="0.35">
      <c r="B2868" s="203"/>
      <c r="C2868" s="204"/>
      <c r="D2868" s="204"/>
      <c r="E2868" s="204"/>
      <c r="F2868" s="205"/>
      <c r="G2868" s="548"/>
      <c r="H2868" s="550"/>
      <c r="I2868" s="326"/>
      <c r="J2868" s="326"/>
      <c r="K2868" s="326"/>
      <c r="M2868" s="463"/>
      <c r="N2868" s="464"/>
    </row>
    <row r="2869" spans="2:14" hidden="1" outlineLevel="1" x14ac:dyDescent="0.35">
      <c r="B2869" s="203"/>
      <c r="C2869" s="204"/>
      <c r="D2869" s="204"/>
      <c r="E2869" s="204"/>
      <c r="F2869" s="205"/>
      <c r="G2869" s="548"/>
      <c r="H2869" s="550"/>
      <c r="I2869" s="326"/>
      <c r="J2869" s="326"/>
      <c r="K2869" s="326"/>
      <c r="M2869" s="463"/>
      <c r="N2869" s="464"/>
    </row>
    <row r="2870" spans="2:14" hidden="1" outlineLevel="1" x14ac:dyDescent="0.35">
      <c r="B2870" s="203"/>
      <c r="C2870" s="204"/>
      <c r="D2870" s="204"/>
      <c r="E2870" s="204"/>
      <c r="F2870" s="205"/>
      <c r="G2870" s="548"/>
      <c r="H2870" s="550"/>
      <c r="I2870" s="326"/>
      <c r="J2870" s="326"/>
      <c r="K2870" s="326"/>
      <c r="M2870" s="463"/>
      <c r="N2870" s="464"/>
    </row>
    <row r="2871" spans="2:14" hidden="1" outlineLevel="1" x14ac:dyDescent="0.35">
      <c r="B2871" s="203"/>
      <c r="C2871" s="204"/>
      <c r="D2871" s="204"/>
      <c r="E2871" s="204"/>
      <c r="F2871" s="205"/>
      <c r="G2871" s="548"/>
      <c r="H2871" s="550"/>
      <c r="I2871" s="326"/>
      <c r="J2871" s="326"/>
      <c r="K2871" s="326"/>
      <c r="M2871" s="463"/>
      <c r="N2871" s="464"/>
    </row>
    <row r="2872" spans="2:14" hidden="1" outlineLevel="1" x14ac:dyDescent="0.35">
      <c r="B2872" s="203"/>
      <c r="C2872" s="204"/>
      <c r="D2872" s="204"/>
      <c r="E2872" s="204"/>
      <c r="F2872" s="205"/>
      <c r="G2872" s="548"/>
      <c r="H2872" s="550"/>
      <c r="I2872" s="326"/>
      <c r="J2872" s="326"/>
      <c r="K2872" s="326"/>
      <c r="M2872" s="463"/>
      <c r="N2872" s="464"/>
    </row>
    <row r="2873" spans="2:14" hidden="1" outlineLevel="1" x14ac:dyDescent="0.35">
      <c r="B2873" s="203"/>
      <c r="C2873" s="204"/>
      <c r="D2873" s="204"/>
      <c r="E2873" s="204"/>
      <c r="F2873" s="205"/>
      <c r="G2873" s="548"/>
      <c r="H2873" s="550"/>
      <c r="I2873" s="326"/>
      <c r="J2873" s="326"/>
      <c r="K2873" s="326"/>
      <c r="M2873" s="463"/>
      <c r="N2873" s="464"/>
    </row>
    <row r="2874" spans="2:14" hidden="1" outlineLevel="1" x14ac:dyDescent="0.35">
      <c r="B2874" s="203"/>
      <c r="C2874" s="204"/>
      <c r="D2874" s="204"/>
      <c r="E2874" s="204"/>
      <c r="F2874" s="205"/>
      <c r="G2874" s="548"/>
      <c r="H2874" s="550"/>
      <c r="I2874" s="326"/>
      <c r="J2874" s="326"/>
      <c r="K2874" s="326"/>
      <c r="M2874" s="463"/>
      <c r="N2874" s="464"/>
    </row>
    <row r="2875" spans="2:14" hidden="1" outlineLevel="1" x14ac:dyDescent="0.35">
      <c r="B2875" s="203"/>
      <c r="C2875" s="204"/>
      <c r="D2875" s="204"/>
      <c r="E2875" s="204"/>
      <c r="F2875" s="205"/>
      <c r="G2875" s="548"/>
      <c r="H2875" s="550"/>
      <c r="I2875" s="326"/>
      <c r="J2875" s="326"/>
      <c r="K2875" s="326"/>
      <c r="M2875" s="463"/>
      <c r="N2875" s="464"/>
    </row>
    <row r="2876" spans="2:14" hidden="1" outlineLevel="1" x14ac:dyDescent="0.35">
      <c r="B2876" s="203"/>
      <c r="C2876" s="204"/>
      <c r="D2876" s="204"/>
      <c r="E2876" s="204"/>
      <c r="F2876" s="205"/>
      <c r="G2876" s="548"/>
      <c r="H2876" s="550"/>
      <c r="I2876" s="326"/>
      <c r="J2876" s="326"/>
      <c r="K2876" s="326"/>
      <c r="M2876" s="463"/>
      <c r="N2876" s="464"/>
    </row>
    <row r="2877" spans="2:14" hidden="1" outlineLevel="1" x14ac:dyDescent="0.35">
      <c r="B2877" s="203"/>
      <c r="C2877" s="204"/>
      <c r="D2877" s="204"/>
      <c r="E2877" s="204"/>
      <c r="F2877" s="205"/>
      <c r="G2877" s="548"/>
      <c r="H2877" s="550"/>
      <c r="I2877" s="326"/>
      <c r="J2877" s="326"/>
      <c r="K2877" s="326"/>
      <c r="M2877" s="463"/>
      <c r="N2877" s="464"/>
    </row>
    <row r="2878" spans="2:14" hidden="1" outlineLevel="1" x14ac:dyDescent="0.35">
      <c r="B2878" s="203"/>
      <c r="C2878" s="204"/>
      <c r="D2878" s="204"/>
      <c r="E2878" s="204"/>
      <c r="F2878" s="205"/>
      <c r="G2878" s="548"/>
      <c r="H2878" s="550"/>
      <c r="I2878" s="326"/>
      <c r="J2878" s="326"/>
      <c r="K2878" s="326"/>
      <c r="M2878" s="463"/>
      <c r="N2878" s="464"/>
    </row>
    <row r="2879" spans="2:14" hidden="1" outlineLevel="1" x14ac:dyDescent="0.35">
      <c r="B2879" s="203"/>
      <c r="C2879" s="204"/>
      <c r="D2879" s="204"/>
      <c r="E2879" s="204"/>
      <c r="F2879" s="205"/>
      <c r="G2879" s="548"/>
      <c r="H2879" s="550"/>
      <c r="I2879" s="326"/>
      <c r="J2879" s="326"/>
      <c r="K2879" s="326"/>
      <c r="M2879" s="463"/>
      <c r="N2879" s="464"/>
    </row>
    <row r="2880" spans="2:14" hidden="1" outlineLevel="1" x14ac:dyDescent="0.35">
      <c r="B2880" s="203"/>
      <c r="C2880" s="204"/>
      <c r="D2880" s="204"/>
      <c r="E2880" s="204"/>
      <c r="F2880" s="205"/>
      <c r="G2880" s="548"/>
      <c r="H2880" s="550"/>
      <c r="I2880" s="326"/>
      <c r="J2880" s="326"/>
      <c r="K2880" s="326"/>
      <c r="M2880" s="463"/>
      <c r="N2880" s="464"/>
    </row>
    <row r="2881" spans="2:14" hidden="1" outlineLevel="1" x14ac:dyDescent="0.35">
      <c r="B2881" s="203"/>
      <c r="C2881" s="204"/>
      <c r="D2881" s="204"/>
      <c r="E2881" s="204"/>
      <c r="F2881" s="205"/>
      <c r="G2881" s="548"/>
      <c r="H2881" s="550"/>
      <c r="I2881" s="326"/>
      <c r="J2881" s="326"/>
      <c r="K2881" s="326"/>
      <c r="M2881" s="463"/>
      <c r="N2881" s="464"/>
    </row>
    <row r="2882" spans="2:14" hidden="1" outlineLevel="1" x14ac:dyDescent="0.35">
      <c r="B2882" s="203"/>
      <c r="C2882" s="204"/>
      <c r="D2882" s="204"/>
      <c r="E2882" s="204"/>
      <c r="F2882" s="205"/>
      <c r="G2882" s="548"/>
      <c r="H2882" s="550"/>
      <c r="I2882" s="326"/>
      <c r="J2882" s="326"/>
      <c r="K2882" s="326"/>
      <c r="M2882" s="463"/>
      <c r="N2882" s="464"/>
    </row>
    <row r="2883" spans="2:14" hidden="1" outlineLevel="1" x14ac:dyDescent="0.35">
      <c r="B2883" s="203"/>
      <c r="C2883" s="204"/>
      <c r="D2883" s="204"/>
      <c r="E2883" s="204"/>
      <c r="F2883" s="205"/>
      <c r="G2883" s="548"/>
      <c r="H2883" s="550"/>
      <c r="I2883" s="326"/>
      <c r="J2883" s="326"/>
      <c r="K2883" s="326"/>
      <c r="M2883" s="463"/>
      <c r="N2883" s="464"/>
    </row>
    <row r="2884" spans="2:14" hidden="1" outlineLevel="1" x14ac:dyDescent="0.35">
      <c r="B2884" s="203"/>
      <c r="C2884" s="204"/>
      <c r="D2884" s="204"/>
      <c r="E2884" s="204"/>
      <c r="F2884" s="205"/>
      <c r="G2884" s="548"/>
      <c r="H2884" s="550"/>
      <c r="I2884" s="326"/>
      <c r="J2884" s="326"/>
      <c r="K2884" s="326"/>
      <c r="M2884" s="463"/>
      <c r="N2884" s="464"/>
    </row>
    <row r="2885" spans="2:14" hidden="1" outlineLevel="1" x14ac:dyDescent="0.35">
      <c r="B2885" s="203"/>
      <c r="C2885" s="204"/>
      <c r="D2885" s="204"/>
      <c r="E2885" s="204"/>
      <c r="F2885" s="205"/>
      <c r="G2885" s="548"/>
      <c r="H2885" s="550"/>
      <c r="I2885" s="326"/>
      <c r="J2885" s="326"/>
      <c r="K2885" s="326"/>
      <c r="M2885" s="463"/>
      <c r="N2885" s="464"/>
    </row>
    <row r="2886" spans="2:14" hidden="1" outlineLevel="1" x14ac:dyDescent="0.35">
      <c r="B2886" s="203"/>
      <c r="C2886" s="204"/>
      <c r="D2886" s="204"/>
      <c r="E2886" s="204"/>
      <c r="F2886" s="205"/>
      <c r="G2886" s="548"/>
      <c r="H2886" s="550"/>
      <c r="I2886" s="326"/>
      <c r="J2886" s="326"/>
      <c r="K2886" s="326"/>
      <c r="M2886" s="463"/>
      <c r="N2886" s="464"/>
    </row>
    <row r="2887" spans="2:14" hidden="1" outlineLevel="1" x14ac:dyDescent="0.35">
      <c r="B2887" s="203"/>
      <c r="C2887" s="204"/>
      <c r="D2887" s="204"/>
      <c r="E2887" s="204"/>
      <c r="F2887" s="205"/>
      <c r="G2887" s="548"/>
      <c r="H2887" s="550"/>
      <c r="I2887" s="326"/>
      <c r="J2887" s="326"/>
      <c r="K2887" s="326"/>
      <c r="M2887" s="463"/>
      <c r="N2887" s="464"/>
    </row>
    <row r="2888" spans="2:14" hidden="1" outlineLevel="1" x14ac:dyDescent="0.35">
      <c r="B2888" s="203"/>
      <c r="C2888" s="204"/>
      <c r="D2888" s="204"/>
      <c r="E2888" s="204"/>
      <c r="F2888" s="205"/>
      <c r="G2888" s="548"/>
      <c r="H2888" s="550"/>
      <c r="I2888" s="326"/>
      <c r="J2888" s="326"/>
      <c r="K2888" s="326"/>
      <c r="M2888" s="463"/>
      <c r="N2888" s="464"/>
    </row>
    <row r="2889" spans="2:14" hidden="1" outlineLevel="1" x14ac:dyDescent="0.35">
      <c r="B2889" s="203"/>
      <c r="C2889" s="204"/>
      <c r="D2889" s="204"/>
      <c r="E2889" s="204"/>
      <c r="F2889" s="205"/>
      <c r="G2889" s="548"/>
      <c r="H2889" s="550"/>
      <c r="I2889" s="326"/>
      <c r="J2889" s="326"/>
      <c r="K2889" s="326"/>
      <c r="M2889" s="463"/>
      <c r="N2889" s="464"/>
    </row>
    <row r="2890" spans="2:14" hidden="1" outlineLevel="1" x14ac:dyDescent="0.35">
      <c r="B2890" s="203"/>
      <c r="C2890" s="204"/>
      <c r="D2890" s="204"/>
      <c r="E2890" s="204"/>
      <c r="F2890" s="205"/>
      <c r="G2890" s="548"/>
      <c r="H2890" s="550"/>
      <c r="I2890" s="326"/>
      <c r="J2890" s="326"/>
      <c r="K2890" s="326"/>
      <c r="M2890" s="463"/>
      <c r="N2890" s="464"/>
    </row>
    <row r="2891" spans="2:14" hidden="1" outlineLevel="1" x14ac:dyDescent="0.35">
      <c r="B2891" s="203"/>
      <c r="C2891" s="204"/>
      <c r="D2891" s="204"/>
      <c r="E2891" s="204"/>
      <c r="F2891" s="205"/>
      <c r="G2891" s="548"/>
      <c r="H2891" s="550"/>
      <c r="I2891" s="326"/>
      <c r="J2891" s="326"/>
      <c r="K2891" s="326"/>
      <c r="M2891" s="463"/>
      <c r="N2891" s="464"/>
    </row>
    <row r="2892" spans="2:14" hidden="1" outlineLevel="1" x14ac:dyDescent="0.35">
      <c r="B2892" s="203"/>
      <c r="C2892" s="204"/>
      <c r="D2892" s="204"/>
      <c r="E2892" s="204"/>
      <c r="F2892" s="205"/>
      <c r="G2892" s="548"/>
      <c r="H2892" s="550"/>
      <c r="I2892" s="326"/>
      <c r="J2892" s="326"/>
      <c r="K2892" s="326"/>
      <c r="M2892" s="463"/>
      <c r="N2892" s="464"/>
    </row>
    <row r="2893" spans="2:14" hidden="1" outlineLevel="1" x14ac:dyDescent="0.35">
      <c r="B2893" s="203"/>
      <c r="C2893" s="204"/>
      <c r="D2893" s="204"/>
      <c r="E2893" s="204"/>
      <c r="F2893" s="205"/>
      <c r="G2893" s="548"/>
      <c r="H2893" s="550"/>
      <c r="I2893" s="326"/>
      <c r="J2893" s="326"/>
      <c r="K2893" s="326"/>
      <c r="M2893" s="463"/>
      <c r="N2893" s="464"/>
    </row>
    <row r="2894" spans="2:14" hidden="1" outlineLevel="1" x14ac:dyDescent="0.35">
      <c r="B2894" s="203"/>
      <c r="C2894" s="204"/>
      <c r="D2894" s="204"/>
      <c r="E2894" s="204"/>
      <c r="F2894" s="205"/>
      <c r="G2894" s="548"/>
      <c r="H2894" s="550"/>
      <c r="I2894" s="326"/>
      <c r="J2894" s="326"/>
      <c r="K2894" s="326"/>
      <c r="M2894" s="463"/>
      <c r="N2894" s="464"/>
    </row>
    <row r="2895" spans="2:14" hidden="1" outlineLevel="1" x14ac:dyDescent="0.35">
      <c r="B2895" s="203"/>
      <c r="C2895" s="204"/>
      <c r="D2895" s="204"/>
      <c r="E2895" s="204"/>
      <c r="F2895" s="205"/>
      <c r="G2895" s="548"/>
      <c r="H2895" s="550"/>
      <c r="I2895" s="326"/>
      <c r="J2895" s="326"/>
      <c r="K2895" s="326"/>
      <c r="M2895" s="463"/>
      <c r="N2895" s="464"/>
    </row>
    <row r="2896" spans="2:14" hidden="1" outlineLevel="1" x14ac:dyDescent="0.35">
      <c r="B2896" s="203"/>
      <c r="C2896" s="204"/>
      <c r="D2896" s="204"/>
      <c r="E2896" s="204"/>
      <c r="F2896" s="205"/>
      <c r="G2896" s="548"/>
      <c r="H2896" s="550"/>
      <c r="I2896" s="326"/>
      <c r="J2896" s="326"/>
      <c r="K2896" s="326"/>
      <c r="M2896" s="463"/>
      <c r="N2896" s="464"/>
    </row>
    <row r="2897" spans="2:14" hidden="1" outlineLevel="1" x14ac:dyDescent="0.35">
      <c r="B2897" s="203"/>
      <c r="C2897" s="204"/>
      <c r="D2897" s="204"/>
      <c r="E2897" s="204"/>
      <c r="F2897" s="205"/>
      <c r="G2897" s="548"/>
      <c r="H2897" s="550"/>
      <c r="I2897" s="326"/>
      <c r="J2897" s="326"/>
      <c r="K2897" s="326"/>
      <c r="M2897" s="463"/>
      <c r="N2897" s="464"/>
    </row>
    <row r="2898" spans="2:14" hidden="1" outlineLevel="1" x14ac:dyDescent="0.35">
      <c r="B2898" s="203"/>
      <c r="C2898" s="204"/>
      <c r="D2898" s="204"/>
      <c r="E2898" s="204"/>
      <c r="F2898" s="205"/>
      <c r="G2898" s="548"/>
      <c r="H2898" s="550"/>
      <c r="I2898" s="326"/>
      <c r="J2898" s="326"/>
      <c r="K2898" s="326"/>
      <c r="M2898" s="463"/>
      <c r="N2898" s="464"/>
    </row>
    <row r="2899" spans="2:14" hidden="1" outlineLevel="1" x14ac:dyDescent="0.35">
      <c r="B2899" s="203"/>
      <c r="C2899" s="204"/>
      <c r="D2899" s="204"/>
      <c r="E2899" s="204"/>
      <c r="F2899" s="205"/>
      <c r="G2899" s="548"/>
      <c r="H2899" s="550"/>
      <c r="I2899" s="326"/>
      <c r="J2899" s="326"/>
      <c r="K2899" s="326"/>
      <c r="M2899" s="463"/>
      <c r="N2899" s="464"/>
    </row>
    <row r="2900" spans="2:14" hidden="1" outlineLevel="1" x14ac:dyDescent="0.35">
      <c r="B2900" s="203"/>
      <c r="C2900" s="204"/>
      <c r="D2900" s="204"/>
      <c r="E2900" s="204"/>
      <c r="F2900" s="205"/>
      <c r="G2900" s="548"/>
      <c r="H2900" s="550"/>
      <c r="I2900" s="326"/>
      <c r="J2900" s="326"/>
      <c r="K2900" s="326"/>
      <c r="M2900" s="463"/>
      <c r="N2900" s="464"/>
    </row>
    <row r="2901" spans="2:14" hidden="1" outlineLevel="1" x14ac:dyDescent="0.35">
      <c r="B2901" s="203"/>
      <c r="C2901" s="204"/>
      <c r="D2901" s="204"/>
      <c r="E2901" s="204"/>
      <c r="F2901" s="205"/>
      <c r="G2901" s="548"/>
      <c r="H2901" s="550"/>
      <c r="I2901" s="326"/>
      <c r="J2901" s="326"/>
      <c r="K2901" s="326"/>
      <c r="M2901" s="463"/>
      <c r="N2901" s="464"/>
    </row>
    <row r="2902" spans="2:14" hidden="1" outlineLevel="1" x14ac:dyDescent="0.35">
      <c r="B2902" s="203"/>
      <c r="C2902" s="204"/>
      <c r="D2902" s="204"/>
      <c r="E2902" s="204"/>
      <c r="F2902" s="205"/>
      <c r="G2902" s="548"/>
      <c r="H2902" s="550"/>
      <c r="I2902" s="326"/>
      <c r="J2902" s="326"/>
      <c r="K2902" s="326"/>
      <c r="M2902" s="463"/>
      <c r="N2902" s="464"/>
    </row>
    <row r="2903" spans="2:14" hidden="1" outlineLevel="1" x14ac:dyDescent="0.35">
      <c r="B2903" s="203"/>
      <c r="C2903" s="204"/>
      <c r="D2903" s="204"/>
      <c r="E2903" s="204"/>
      <c r="F2903" s="205"/>
      <c r="G2903" s="548"/>
      <c r="H2903" s="550"/>
      <c r="I2903" s="326"/>
      <c r="J2903" s="326"/>
      <c r="K2903" s="326"/>
      <c r="M2903" s="463"/>
      <c r="N2903" s="464"/>
    </row>
    <row r="2904" spans="2:14" hidden="1" outlineLevel="1" x14ac:dyDescent="0.35">
      <c r="B2904" s="203"/>
      <c r="C2904" s="204"/>
      <c r="D2904" s="204"/>
      <c r="E2904" s="204"/>
      <c r="F2904" s="205"/>
      <c r="G2904" s="548"/>
      <c r="H2904" s="550"/>
      <c r="I2904" s="326"/>
      <c r="J2904" s="326"/>
      <c r="K2904" s="326"/>
      <c r="M2904" s="463"/>
      <c r="N2904" s="464"/>
    </row>
    <row r="2905" spans="2:14" hidden="1" outlineLevel="1" x14ac:dyDescent="0.35">
      <c r="B2905" s="203"/>
      <c r="C2905" s="204"/>
      <c r="D2905" s="204"/>
      <c r="E2905" s="204"/>
      <c r="F2905" s="205"/>
      <c r="G2905" s="548"/>
      <c r="H2905" s="550"/>
      <c r="I2905" s="326"/>
      <c r="J2905" s="326"/>
      <c r="K2905" s="326"/>
      <c r="M2905" s="463"/>
      <c r="N2905" s="464"/>
    </row>
    <row r="2906" spans="2:14" hidden="1" outlineLevel="1" x14ac:dyDescent="0.35">
      <c r="B2906" s="203"/>
      <c r="C2906" s="204"/>
      <c r="D2906" s="204"/>
      <c r="E2906" s="204"/>
      <c r="F2906" s="205"/>
      <c r="G2906" s="548"/>
      <c r="H2906" s="550"/>
      <c r="I2906" s="326"/>
      <c r="J2906" s="326"/>
      <c r="K2906" s="326"/>
      <c r="M2906" s="463"/>
      <c r="N2906" s="464"/>
    </row>
    <row r="2907" spans="2:14" hidden="1" outlineLevel="1" x14ac:dyDescent="0.35">
      <c r="B2907" s="203"/>
      <c r="C2907" s="204"/>
      <c r="D2907" s="204"/>
      <c r="E2907" s="204"/>
      <c r="F2907" s="205"/>
      <c r="G2907" s="548"/>
      <c r="H2907" s="550"/>
      <c r="I2907" s="326"/>
      <c r="J2907" s="326"/>
      <c r="K2907" s="326"/>
      <c r="M2907" s="463"/>
      <c r="N2907" s="464"/>
    </row>
    <row r="2908" spans="2:14" hidden="1" outlineLevel="1" x14ac:dyDescent="0.35">
      <c r="B2908" s="203"/>
      <c r="C2908" s="204"/>
      <c r="D2908" s="204"/>
      <c r="E2908" s="204"/>
      <c r="F2908" s="205"/>
      <c r="G2908" s="548"/>
      <c r="H2908" s="550"/>
      <c r="I2908" s="326"/>
      <c r="J2908" s="326"/>
      <c r="K2908" s="326"/>
      <c r="M2908" s="463"/>
      <c r="N2908" s="464"/>
    </row>
    <row r="2909" spans="2:14" hidden="1" outlineLevel="1" x14ac:dyDescent="0.35">
      <c r="B2909" s="203"/>
      <c r="C2909" s="204"/>
      <c r="D2909" s="204"/>
      <c r="E2909" s="204"/>
      <c r="F2909" s="205"/>
      <c r="G2909" s="548"/>
      <c r="H2909" s="550"/>
      <c r="I2909" s="326"/>
      <c r="J2909" s="326"/>
      <c r="K2909" s="326"/>
      <c r="M2909" s="463"/>
      <c r="N2909" s="464"/>
    </row>
    <row r="2910" spans="2:14" hidden="1" outlineLevel="1" x14ac:dyDescent="0.35">
      <c r="B2910" s="203"/>
      <c r="C2910" s="204"/>
      <c r="D2910" s="204"/>
      <c r="E2910" s="204"/>
      <c r="F2910" s="205"/>
      <c r="G2910" s="548"/>
      <c r="H2910" s="550"/>
      <c r="I2910" s="326"/>
      <c r="J2910" s="326"/>
      <c r="K2910" s="326"/>
      <c r="M2910" s="463"/>
      <c r="N2910" s="464"/>
    </row>
    <row r="2911" spans="2:14" hidden="1" outlineLevel="1" x14ac:dyDescent="0.35">
      <c r="B2911" s="203"/>
      <c r="C2911" s="204"/>
      <c r="D2911" s="204"/>
      <c r="E2911" s="204"/>
      <c r="F2911" s="205"/>
      <c r="G2911" s="548"/>
      <c r="H2911" s="550"/>
      <c r="I2911" s="326"/>
      <c r="J2911" s="326"/>
      <c r="K2911" s="326"/>
      <c r="M2911" s="463"/>
      <c r="N2911" s="464"/>
    </row>
    <row r="2912" spans="2:14" hidden="1" outlineLevel="1" x14ac:dyDescent="0.35">
      <c r="B2912" s="203"/>
      <c r="C2912" s="204"/>
      <c r="D2912" s="204"/>
      <c r="E2912" s="204"/>
      <c r="F2912" s="205"/>
      <c r="G2912" s="548"/>
      <c r="H2912" s="550"/>
      <c r="I2912" s="326"/>
      <c r="J2912" s="326"/>
      <c r="K2912" s="326"/>
      <c r="M2912" s="463"/>
      <c r="N2912" s="464"/>
    </row>
    <row r="2913" spans="2:14" hidden="1" outlineLevel="1" x14ac:dyDescent="0.35">
      <c r="B2913" s="203"/>
      <c r="C2913" s="204"/>
      <c r="D2913" s="204"/>
      <c r="E2913" s="204"/>
      <c r="F2913" s="205"/>
      <c r="G2913" s="548"/>
      <c r="H2913" s="550"/>
      <c r="I2913" s="326"/>
      <c r="J2913" s="326"/>
      <c r="K2913" s="326"/>
      <c r="M2913" s="463"/>
      <c r="N2913" s="464"/>
    </row>
    <row r="2914" spans="2:14" hidden="1" outlineLevel="1" x14ac:dyDescent="0.35">
      <c r="B2914" s="203"/>
      <c r="C2914" s="204"/>
      <c r="D2914" s="204"/>
      <c r="E2914" s="204"/>
      <c r="F2914" s="205"/>
      <c r="G2914" s="548"/>
      <c r="H2914" s="550"/>
      <c r="I2914" s="326"/>
      <c r="J2914" s="326"/>
      <c r="K2914" s="326"/>
      <c r="M2914" s="463"/>
      <c r="N2914" s="464"/>
    </row>
    <row r="2915" spans="2:14" hidden="1" outlineLevel="1" x14ac:dyDescent="0.35">
      <c r="B2915" s="203"/>
      <c r="C2915" s="204"/>
      <c r="D2915" s="204"/>
      <c r="E2915" s="204"/>
      <c r="F2915" s="205"/>
      <c r="G2915" s="548"/>
      <c r="H2915" s="550"/>
      <c r="I2915" s="326"/>
      <c r="J2915" s="326"/>
      <c r="K2915" s="326"/>
      <c r="M2915" s="463"/>
      <c r="N2915" s="464"/>
    </row>
    <row r="2916" spans="2:14" hidden="1" outlineLevel="1" x14ac:dyDescent="0.35">
      <c r="B2916" s="203"/>
      <c r="C2916" s="204"/>
      <c r="D2916" s="204"/>
      <c r="E2916" s="204"/>
      <c r="F2916" s="205"/>
      <c r="G2916" s="548"/>
      <c r="H2916" s="550"/>
      <c r="I2916" s="326"/>
      <c r="J2916" s="326"/>
      <c r="K2916" s="326"/>
      <c r="M2916" s="463"/>
      <c r="N2916" s="464"/>
    </row>
    <row r="2917" spans="2:14" hidden="1" outlineLevel="1" x14ac:dyDescent="0.35">
      <c r="B2917" s="203"/>
      <c r="C2917" s="204"/>
      <c r="D2917" s="204"/>
      <c r="E2917" s="204"/>
      <c r="F2917" s="205"/>
      <c r="G2917" s="548"/>
      <c r="H2917" s="550"/>
      <c r="I2917" s="326"/>
      <c r="J2917" s="326"/>
      <c r="K2917" s="326"/>
      <c r="M2917" s="463"/>
      <c r="N2917" s="464"/>
    </row>
    <row r="2918" spans="2:14" hidden="1" outlineLevel="1" x14ac:dyDescent="0.35">
      <c r="B2918" s="203"/>
      <c r="C2918" s="204"/>
      <c r="D2918" s="204"/>
      <c r="E2918" s="204"/>
      <c r="F2918" s="205"/>
      <c r="G2918" s="548"/>
      <c r="H2918" s="550"/>
      <c r="I2918" s="326"/>
      <c r="J2918" s="326"/>
      <c r="K2918" s="326"/>
      <c r="M2918" s="463"/>
      <c r="N2918" s="464"/>
    </row>
    <row r="2919" spans="2:14" hidden="1" outlineLevel="1" x14ac:dyDescent="0.35">
      <c r="B2919" s="203"/>
      <c r="C2919" s="204"/>
      <c r="D2919" s="204"/>
      <c r="E2919" s="204"/>
      <c r="F2919" s="205"/>
      <c r="G2919" s="548"/>
      <c r="H2919" s="550"/>
      <c r="I2919" s="326"/>
      <c r="J2919" s="326"/>
      <c r="K2919" s="326"/>
      <c r="M2919" s="463"/>
      <c r="N2919" s="464"/>
    </row>
    <row r="2920" spans="2:14" hidden="1" outlineLevel="1" x14ac:dyDescent="0.35">
      <c r="B2920" s="203"/>
      <c r="C2920" s="204"/>
      <c r="D2920" s="204"/>
      <c r="E2920" s="204"/>
      <c r="F2920" s="205"/>
      <c r="G2920" s="548"/>
      <c r="H2920" s="550"/>
      <c r="I2920" s="326"/>
      <c r="J2920" s="326"/>
      <c r="K2920" s="326"/>
      <c r="M2920" s="463"/>
      <c r="N2920" s="464"/>
    </row>
    <row r="2921" spans="2:14" hidden="1" outlineLevel="1" x14ac:dyDescent="0.35">
      <c r="B2921" s="203"/>
      <c r="C2921" s="204"/>
      <c r="D2921" s="204"/>
      <c r="E2921" s="204"/>
      <c r="F2921" s="205"/>
      <c r="G2921" s="548"/>
      <c r="H2921" s="550"/>
      <c r="I2921" s="326"/>
      <c r="J2921" s="326"/>
      <c r="K2921" s="326"/>
      <c r="M2921" s="463"/>
      <c r="N2921" s="464"/>
    </row>
    <row r="2922" spans="2:14" hidden="1" outlineLevel="1" x14ac:dyDescent="0.35">
      <c r="B2922" s="203"/>
      <c r="C2922" s="204"/>
      <c r="D2922" s="204"/>
      <c r="E2922" s="204"/>
      <c r="F2922" s="205"/>
      <c r="G2922" s="548"/>
      <c r="H2922" s="550"/>
      <c r="I2922" s="326"/>
      <c r="J2922" s="326"/>
      <c r="K2922" s="326"/>
      <c r="M2922" s="463"/>
      <c r="N2922" s="464"/>
    </row>
    <row r="2923" spans="2:14" hidden="1" outlineLevel="1" x14ac:dyDescent="0.35">
      <c r="B2923" s="203"/>
      <c r="C2923" s="204"/>
      <c r="D2923" s="204"/>
      <c r="E2923" s="204"/>
      <c r="F2923" s="205"/>
      <c r="G2923" s="548"/>
      <c r="H2923" s="550"/>
      <c r="I2923" s="326"/>
      <c r="J2923" s="326"/>
      <c r="K2923" s="326"/>
      <c r="M2923" s="463"/>
      <c r="N2923" s="464"/>
    </row>
    <row r="2924" spans="2:14" hidden="1" outlineLevel="1" x14ac:dyDescent="0.35">
      <c r="B2924" s="203"/>
      <c r="C2924" s="204"/>
      <c r="D2924" s="204"/>
      <c r="E2924" s="204"/>
      <c r="F2924" s="205"/>
      <c r="G2924" s="548"/>
      <c r="H2924" s="550"/>
      <c r="I2924" s="326"/>
      <c r="J2924" s="326"/>
      <c r="K2924" s="326"/>
      <c r="M2924" s="463"/>
      <c r="N2924" s="464"/>
    </row>
    <row r="2925" spans="2:14" hidden="1" outlineLevel="1" x14ac:dyDescent="0.35">
      <c r="B2925" s="203"/>
      <c r="C2925" s="204"/>
      <c r="D2925" s="204"/>
      <c r="E2925" s="204"/>
      <c r="F2925" s="205"/>
      <c r="G2925" s="548"/>
      <c r="H2925" s="550"/>
      <c r="I2925" s="326"/>
      <c r="J2925" s="326"/>
      <c r="K2925" s="326"/>
      <c r="M2925" s="463"/>
      <c r="N2925" s="464"/>
    </row>
    <row r="2926" spans="2:14" hidden="1" outlineLevel="1" x14ac:dyDescent="0.35">
      <c r="B2926" s="203"/>
      <c r="C2926" s="204"/>
      <c r="D2926" s="204"/>
      <c r="E2926" s="204"/>
      <c r="F2926" s="205"/>
      <c r="G2926" s="548"/>
      <c r="H2926" s="550"/>
      <c r="I2926" s="326"/>
      <c r="J2926" s="326"/>
      <c r="K2926" s="326"/>
      <c r="M2926" s="463"/>
      <c r="N2926" s="464"/>
    </row>
    <row r="2927" spans="2:14" hidden="1" outlineLevel="1" x14ac:dyDescent="0.35">
      <c r="B2927" s="203"/>
      <c r="C2927" s="204"/>
      <c r="D2927" s="204"/>
      <c r="E2927" s="204"/>
      <c r="F2927" s="205"/>
      <c r="G2927" s="548"/>
      <c r="H2927" s="550"/>
      <c r="I2927" s="326"/>
      <c r="J2927" s="326"/>
      <c r="K2927" s="326"/>
      <c r="M2927" s="463"/>
      <c r="N2927" s="464"/>
    </row>
    <row r="2928" spans="2:14" hidden="1" outlineLevel="1" x14ac:dyDescent="0.35">
      <c r="B2928" s="203"/>
      <c r="C2928" s="204"/>
      <c r="D2928" s="204"/>
      <c r="E2928" s="204"/>
      <c r="F2928" s="205"/>
      <c r="G2928" s="548"/>
      <c r="H2928" s="550"/>
      <c r="I2928" s="326"/>
      <c r="J2928" s="326"/>
      <c r="K2928" s="326"/>
      <c r="M2928" s="463"/>
      <c r="N2928" s="464"/>
    </row>
    <row r="2929" spans="2:14" hidden="1" outlineLevel="1" x14ac:dyDescent="0.35">
      <c r="B2929" s="203"/>
      <c r="C2929" s="204"/>
      <c r="D2929" s="204"/>
      <c r="E2929" s="204"/>
      <c r="F2929" s="205"/>
      <c r="G2929" s="548"/>
      <c r="H2929" s="550"/>
      <c r="I2929" s="326"/>
      <c r="J2929" s="326"/>
      <c r="K2929" s="326"/>
      <c r="M2929" s="463"/>
      <c r="N2929" s="464"/>
    </row>
    <row r="2930" spans="2:14" hidden="1" outlineLevel="1" x14ac:dyDescent="0.35">
      <c r="B2930" s="203"/>
      <c r="C2930" s="204"/>
      <c r="D2930" s="204"/>
      <c r="E2930" s="204"/>
      <c r="F2930" s="205"/>
      <c r="G2930" s="548"/>
      <c r="H2930" s="550"/>
      <c r="I2930" s="326"/>
      <c r="J2930" s="326"/>
      <c r="K2930" s="326"/>
      <c r="M2930" s="463"/>
      <c r="N2930" s="464"/>
    </row>
    <row r="2931" spans="2:14" hidden="1" outlineLevel="1" x14ac:dyDescent="0.35">
      <c r="B2931" s="203"/>
      <c r="C2931" s="204"/>
      <c r="D2931" s="204"/>
      <c r="E2931" s="204"/>
      <c r="F2931" s="205"/>
      <c r="G2931" s="548"/>
      <c r="H2931" s="550"/>
      <c r="I2931" s="326"/>
      <c r="J2931" s="326"/>
      <c r="K2931" s="326"/>
      <c r="M2931" s="463"/>
      <c r="N2931" s="464"/>
    </row>
    <row r="2932" spans="2:14" hidden="1" outlineLevel="1" x14ac:dyDescent="0.35">
      <c r="B2932" s="203"/>
      <c r="C2932" s="204"/>
      <c r="D2932" s="204"/>
      <c r="E2932" s="204"/>
      <c r="F2932" s="205"/>
      <c r="G2932" s="548"/>
      <c r="H2932" s="550"/>
      <c r="I2932" s="326"/>
      <c r="J2932" s="326"/>
      <c r="K2932" s="326"/>
      <c r="M2932" s="463"/>
      <c r="N2932" s="464"/>
    </row>
    <row r="2933" spans="2:14" hidden="1" outlineLevel="1" x14ac:dyDescent="0.35">
      <c r="B2933" s="203"/>
      <c r="C2933" s="204"/>
      <c r="D2933" s="204"/>
      <c r="E2933" s="204"/>
      <c r="F2933" s="205"/>
      <c r="G2933" s="548"/>
      <c r="H2933" s="550"/>
      <c r="I2933" s="326"/>
      <c r="J2933" s="326"/>
      <c r="K2933" s="326"/>
      <c r="M2933" s="463"/>
      <c r="N2933" s="464"/>
    </row>
    <row r="2934" spans="2:14" hidden="1" outlineLevel="1" x14ac:dyDescent="0.35">
      <c r="B2934" s="203"/>
      <c r="C2934" s="204"/>
      <c r="D2934" s="204"/>
      <c r="E2934" s="204"/>
      <c r="F2934" s="205"/>
      <c r="G2934" s="548"/>
      <c r="H2934" s="550"/>
      <c r="I2934" s="326"/>
      <c r="J2934" s="326"/>
      <c r="K2934" s="326"/>
      <c r="M2934" s="463"/>
      <c r="N2934" s="464"/>
    </row>
    <row r="2935" spans="2:14" hidden="1" outlineLevel="1" x14ac:dyDescent="0.35">
      <c r="B2935" s="203"/>
      <c r="C2935" s="204"/>
      <c r="D2935" s="204"/>
      <c r="E2935" s="204"/>
      <c r="F2935" s="205"/>
      <c r="G2935" s="548"/>
      <c r="H2935" s="550"/>
      <c r="I2935" s="326"/>
      <c r="J2935" s="326"/>
      <c r="K2935" s="326"/>
      <c r="M2935" s="463"/>
      <c r="N2935" s="464"/>
    </row>
    <row r="2936" spans="2:14" hidden="1" outlineLevel="1" x14ac:dyDescent="0.35">
      <c r="B2936" s="203"/>
      <c r="C2936" s="204"/>
      <c r="D2936" s="204"/>
      <c r="E2936" s="204"/>
      <c r="F2936" s="205"/>
      <c r="G2936" s="548"/>
      <c r="H2936" s="550"/>
      <c r="I2936" s="326"/>
      <c r="J2936" s="326"/>
      <c r="K2936" s="326"/>
      <c r="M2936" s="463"/>
      <c r="N2936" s="464"/>
    </row>
    <row r="2937" spans="2:14" hidden="1" outlineLevel="1" x14ac:dyDescent="0.35">
      <c r="B2937" s="203"/>
      <c r="C2937" s="204"/>
      <c r="D2937" s="204"/>
      <c r="E2937" s="204"/>
      <c r="F2937" s="205"/>
      <c r="G2937" s="548"/>
      <c r="H2937" s="550"/>
      <c r="I2937" s="326"/>
      <c r="J2937" s="326"/>
      <c r="K2937" s="326"/>
      <c r="M2937" s="463"/>
      <c r="N2937" s="464"/>
    </row>
    <row r="2938" spans="2:14" hidden="1" outlineLevel="1" x14ac:dyDescent="0.35">
      <c r="B2938" s="203"/>
      <c r="C2938" s="204"/>
      <c r="D2938" s="204"/>
      <c r="E2938" s="204"/>
      <c r="F2938" s="205"/>
      <c r="G2938" s="548"/>
      <c r="H2938" s="550"/>
      <c r="I2938" s="326"/>
      <c r="J2938" s="326"/>
      <c r="K2938" s="326"/>
      <c r="M2938" s="463"/>
      <c r="N2938" s="464"/>
    </row>
    <row r="2939" spans="2:14" hidden="1" outlineLevel="1" x14ac:dyDescent="0.35">
      <c r="B2939" s="203"/>
      <c r="C2939" s="204"/>
      <c r="D2939" s="204"/>
      <c r="E2939" s="204"/>
      <c r="F2939" s="205"/>
      <c r="G2939" s="548"/>
      <c r="H2939" s="550"/>
      <c r="I2939" s="326"/>
      <c r="J2939" s="326"/>
      <c r="K2939" s="326"/>
      <c r="M2939" s="463"/>
      <c r="N2939" s="464"/>
    </row>
    <row r="2940" spans="2:14" hidden="1" outlineLevel="1" x14ac:dyDescent="0.35">
      <c r="B2940" s="203"/>
      <c r="C2940" s="204"/>
      <c r="D2940" s="204"/>
      <c r="E2940" s="204"/>
      <c r="F2940" s="205"/>
      <c r="G2940" s="548"/>
      <c r="H2940" s="550"/>
      <c r="I2940" s="326"/>
      <c r="J2940" s="326"/>
      <c r="K2940" s="326"/>
      <c r="M2940" s="463"/>
      <c r="N2940" s="464"/>
    </row>
    <row r="2941" spans="2:14" hidden="1" outlineLevel="1" x14ac:dyDescent="0.35">
      <c r="B2941" s="203"/>
      <c r="C2941" s="204"/>
      <c r="D2941" s="204"/>
      <c r="E2941" s="204"/>
      <c r="F2941" s="205"/>
      <c r="G2941" s="548"/>
      <c r="H2941" s="550"/>
      <c r="I2941" s="326"/>
      <c r="J2941" s="326"/>
      <c r="K2941" s="326"/>
      <c r="M2941" s="463"/>
      <c r="N2941" s="464"/>
    </row>
    <row r="2942" spans="2:14" hidden="1" outlineLevel="1" x14ac:dyDescent="0.35">
      <c r="B2942" s="203"/>
      <c r="C2942" s="204"/>
      <c r="D2942" s="204"/>
      <c r="E2942" s="204"/>
      <c r="F2942" s="205"/>
      <c r="G2942" s="548"/>
      <c r="H2942" s="550"/>
      <c r="I2942" s="326"/>
      <c r="J2942" s="326"/>
      <c r="K2942" s="326"/>
      <c r="M2942" s="463"/>
      <c r="N2942" s="464"/>
    </row>
    <row r="2943" spans="2:14" hidden="1" outlineLevel="1" x14ac:dyDescent="0.35">
      <c r="B2943" s="203"/>
      <c r="C2943" s="204"/>
      <c r="D2943" s="204"/>
      <c r="E2943" s="204"/>
      <c r="F2943" s="205"/>
      <c r="G2943" s="548"/>
      <c r="H2943" s="550"/>
      <c r="I2943" s="326"/>
      <c r="J2943" s="326"/>
      <c r="K2943" s="326"/>
      <c r="M2943" s="463"/>
      <c r="N2943" s="464"/>
    </row>
    <row r="2944" spans="2:14" hidden="1" outlineLevel="1" x14ac:dyDescent="0.35">
      <c r="B2944" s="203"/>
      <c r="C2944" s="204"/>
      <c r="D2944" s="204"/>
      <c r="E2944" s="204"/>
      <c r="F2944" s="205"/>
      <c r="G2944" s="548"/>
      <c r="H2944" s="550"/>
      <c r="I2944" s="326"/>
      <c r="J2944" s="326"/>
      <c r="K2944" s="326"/>
      <c r="M2944" s="463"/>
      <c r="N2944" s="464"/>
    </row>
    <row r="2945" spans="2:14" hidden="1" outlineLevel="1" x14ac:dyDescent="0.35">
      <c r="B2945" s="203"/>
      <c r="C2945" s="204"/>
      <c r="D2945" s="204"/>
      <c r="E2945" s="204"/>
      <c r="F2945" s="205"/>
      <c r="G2945" s="548"/>
      <c r="H2945" s="550"/>
      <c r="I2945" s="326"/>
      <c r="J2945" s="326"/>
      <c r="K2945" s="326"/>
      <c r="M2945" s="463"/>
      <c r="N2945" s="464"/>
    </row>
    <row r="2946" spans="2:14" hidden="1" outlineLevel="1" x14ac:dyDescent="0.35">
      <c r="B2946" s="203"/>
      <c r="C2946" s="204"/>
      <c r="D2946" s="204"/>
      <c r="E2946" s="204"/>
      <c r="F2946" s="205"/>
      <c r="G2946" s="548"/>
      <c r="H2946" s="550"/>
      <c r="I2946" s="326"/>
      <c r="J2946" s="326"/>
      <c r="K2946" s="326"/>
      <c r="M2946" s="463"/>
      <c r="N2946" s="464"/>
    </row>
    <row r="2947" spans="2:14" hidden="1" outlineLevel="1" x14ac:dyDescent="0.35">
      <c r="B2947" s="203"/>
      <c r="C2947" s="204"/>
      <c r="D2947" s="204"/>
      <c r="E2947" s="204"/>
      <c r="F2947" s="205"/>
      <c r="G2947" s="548"/>
      <c r="H2947" s="550"/>
      <c r="I2947" s="326"/>
      <c r="J2947" s="326"/>
      <c r="K2947" s="326"/>
      <c r="M2947" s="463"/>
      <c r="N2947" s="464"/>
    </row>
    <row r="2948" spans="2:14" hidden="1" outlineLevel="1" x14ac:dyDescent="0.35">
      <c r="B2948" s="203"/>
      <c r="C2948" s="204"/>
      <c r="D2948" s="204"/>
      <c r="E2948" s="204"/>
      <c r="F2948" s="205"/>
      <c r="G2948" s="548"/>
      <c r="H2948" s="550"/>
      <c r="I2948" s="326"/>
      <c r="J2948" s="326"/>
      <c r="K2948" s="326"/>
      <c r="M2948" s="463"/>
      <c r="N2948" s="464"/>
    </row>
    <row r="2949" spans="2:14" hidden="1" outlineLevel="1" x14ac:dyDescent="0.35">
      <c r="B2949" s="203"/>
      <c r="C2949" s="204"/>
      <c r="D2949" s="204"/>
      <c r="E2949" s="204"/>
      <c r="F2949" s="205"/>
      <c r="G2949" s="548"/>
      <c r="H2949" s="550"/>
      <c r="I2949" s="326"/>
      <c r="J2949" s="326"/>
      <c r="K2949" s="326"/>
      <c r="M2949" s="463"/>
      <c r="N2949" s="464"/>
    </row>
    <row r="2950" spans="2:14" hidden="1" outlineLevel="1" x14ac:dyDescent="0.35">
      <c r="B2950" s="203"/>
      <c r="C2950" s="204"/>
      <c r="D2950" s="204"/>
      <c r="E2950" s="204"/>
      <c r="F2950" s="205"/>
      <c r="G2950" s="548"/>
      <c r="H2950" s="550"/>
      <c r="I2950" s="326"/>
      <c r="J2950" s="326"/>
      <c r="K2950" s="326"/>
      <c r="M2950" s="463"/>
      <c r="N2950" s="464"/>
    </row>
    <row r="2951" spans="2:14" hidden="1" outlineLevel="1" x14ac:dyDescent="0.35">
      <c r="B2951" s="203"/>
      <c r="C2951" s="204"/>
      <c r="D2951" s="204"/>
      <c r="E2951" s="204"/>
      <c r="F2951" s="205"/>
      <c r="G2951" s="548"/>
      <c r="H2951" s="550"/>
      <c r="I2951" s="326"/>
      <c r="J2951" s="326"/>
      <c r="K2951" s="326"/>
      <c r="M2951" s="463"/>
      <c r="N2951" s="464"/>
    </row>
    <row r="2952" spans="2:14" hidden="1" outlineLevel="1" x14ac:dyDescent="0.35">
      <c r="B2952" s="203"/>
      <c r="C2952" s="204"/>
      <c r="D2952" s="204"/>
      <c r="E2952" s="204"/>
      <c r="F2952" s="205"/>
      <c r="G2952" s="548"/>
      <c r="H2952" s="550"/>
      <c r="I2952" s="326"/>
      <c r="J2952" s="326"/>
      <c r="K2952" s="326"/>
      <c r="M2952" s="463"/>
      <c r="N2952" s="464"/>
    </row>
    <row r="2953" spans="2:14" hidden="1" outlineLevel="1" x14ac:dyDescent="0.35">
      <c r="B2953" s="203"/>
      <c r="C2953" s="204"/>
      <c r="D2953" s="204"/>
      <c r="E2953" s="204"/>
      <c r="F2953" s="205"/>
      <c r="G2953" s="548"/>
      <c r="H2953" s="550"/>
      <c r="I2953" s="326"/>
      <c r="J2953" s="326"/>
      <c r="K2953" s="326"/>
      <c r="M2953" s="463"/>
      <c r="N2953" s="464"/>
    </row>
    <row r="2954" spans="2:14" hidden="1" outlineLevel="1" x14ac:dyDescent="0.35">
      <c r="B2954" s="203"/>
      <c r="C2954" s="204"/>
      <c r="D2954" s="204"/>
      <c r="E2954" s="204"/>
      <c r="F2954" s="205"/>
      <c r="G2954" s="548"/>
      <c r="H2954" s="550"/>
      <c r="I2954" s="326"/>
      <c r="J2954" s="326"/>
      <c r="K2954" s="326"/>
      <c r="M2954" s="463"/>
      <c r="N2954" s="464"/>
    </row>
    <row r="2955" spans="2:14" hidden="1" outlineLevel="1" x14ac:dyDescent="0.35">
      <c r="B2955" s="203"/>
      <c r="C2955" s="204"/>
      <c r="D2955" s="204"/>
      <c r="E2955" s="204"/>
      <c r="F2955" s="205"/>
      <c r="G2955" s="548"/>
      <c r="H2955" s="550"/>
      <c r="I2955" s="326"/>
      <c r="J2955" s="326"/>
      <c r="K2955" s="326"/>
      <c r="M2955" s="463"/>
      <c r="N2955" s="464"/>
    </row>
    <row r="2956" spans="2:14" hidden="1" outlineLevel="1" x14ac:dyDescent="0.35">
      <c r="B2956" s="203"/>
      <c r="C2956" s="204"/>
      <c r="D2956" s="204"/>
      <c r="E2956" s="204"/>
      <c r="F2956" s="205"/>
      <c r="G2956" s="548"/>
      <c r="H2956" s="550"/>
      <c r="I2956" s="326"/>
      <c r="J2956" s="326"/>
      <c r="K2956" s="326"/>
      <c r="M2956" s="463"/>
      <c r="N2956" s="464"/>
    </row>
    <row r="2957" spans="2:14" hidden="1" outlineLevel="1" x14ac:dyDescent="0.35">
      <c r="B2957" s="203"/>
      <c r="C2957" s="204"/>
      <c r="D2957" s="204"/>
      <c r="E2957" s="204"/>
      <c r="F2957" s="205"/>
      <c r="G2957" s="548"/>
      <c r="H2957" s="550"/>
      <c r="I2957" s="326"/>
      <c r="J2957" s="326"/>
      <c r="K2957" s="326"/>
      <c r="M2957" s="463"/>
      <c r="N2957" s="464"/>
    </row>
    <row r="2958" spans="2:14" hidden="1" outlineLevel="1" x14ac:dyDescent="0.35">
      <c r="B2958" s="203"/>
      <c r="C2958" s="204"/>
      <c r="D2958" s="204"/>
      <c r="E2958" s="204"/>
      <c r="F2958" s="205"/>
      <c r="G2958" s="548"/>
      <c r="H2958" s="550"/>
      <c r="I2958" s="326"/>
      <c r="J2958" s="326"/>
      <c r="K2958" s="326"/>
      <c r="M2958" s="463"/>
      <c r="N2958" s="464"/>
    </row>
    <row r="2959" spans="2:14" hidden="1" outlineLevel="1" x14ac:dyDescent="0.35">
      <c r="B2959" s="203"/>
      <c r="C2959" s="204"/>
      <c r="D2959" s="204"/>
      <c r="E2959" s="204"/>
      <c r="F2959" s="205"/>
      <c r="G2959" s="548"/>
      <c r="H2959" s="550"/>
      <c r="I2959" s="326"/>
      <c r="J2959" s="326"/>
      <c r="K2959" s="326"/>
      <c r="M2959" s="463"/>
      <c r="N2959" s="464"/>
    </row>
    <row r="2960" spans="2:14" hidden="1" outlineLevel="1" x14ac:dyDescent="0.35">
      <c r="B2960" s="203"/>
      <c r="C2960" s="204"/>
      <c r="D2960" s="204"/>
      <c r="E2960" s="204"/>
      <c r="F2960" s="205"/>
      <c r="G2960" s="548"/>
      <c r="H2960" s="550"/>
      <c r="I2960" s="326"/>
      <c r="J2960" s="326"/>
      <c r="K2960" s="326"/>
      <c r="M2960" s="463"/>
      <c r="N2960" s="464"/>
    </row>
    <row r="2961" spans="2:14" hidden="1" outlineLevel="1" x14ac:dyDescent="0.35">
      <c r="B2961" s="203"/>
      <c r="C2961" s="204"/>
      <c r="D2961" s="204"/>
      <c r="E2961" s="204"/>
      <c r="F2961" s="205"/>
      <c r="G2961" s="548"/>
      <c r="H2961" s="550"/>
      <c r="I2961" s="326"/>
      <c r="J2961" s="326"/>
      <c r="K2961" s="326"/>
      <c r="M2961" s="463"/>
      <c r="N2961" s="464"/>
    </row>
    <row r="2962" spans="2:14" hidden="1" outlineLevel="1" x14ac:dyDescent="0.35">
      <c r="B2962" s="203"/>
      <c r="C2962" s="204"/>
      <c r="D2962" s="204"/>
      <c r="E2962" s="204"/>
      <c r="F2962" s="205"/>
      <c r="G2962" s="548"/>
      <c r="H2962" s="550"/>
      <c r="I2962" s="326"/>
      <c r="J2962" s="326"/>
      <c r="K2962" s="326"/>
      <c r="M2962" s="463"/>
      <c r="N2962" s="464"/>
    </row>
    <row r="2963" spans="2:14" hidden="1" outlineLevel="1" x14ac:dyDescent="0.35">
      <c r="B2963" s="203"/>
      <c r="C2963" s="204"/>
      <c r="D2963" s="204"/>
      <c r="E2963" s="204"/>
      <c r="F2963" s="205"/>
      <c r="G2963" s="548"/>
      <c r="H2963" s="550"/>
      <c r="I2963" s="326"/>
      <c r="J2963" s="326"/>
      <c r="K2963" s="326"/>
      <c r="M2963" s="463"/>
      <c r="N2963" s="464"/>
    </row>
    <row r="2964" spans="2:14" hidden="1" outlineLevel="1" x14ac:dyDescent="0.35">
      <c r="B2964" s="203"/>
      <c r="C2964" s="204"/>
      <c r="D2964" s="204"/>
      <c r="E2964" s="204"/>
      <c r="F2964" s="205"/>
      <c r="G2964" s="548"/>
      <c r="H2964" s="550"/>
      <c r="I2964" s="326"/>
      <c r="J2964" s="326"/>
      <c r="K2964" s="326"/>
      <c r="M2964" s="463"/>
      <c r="N2964" s="464"/>
    </row>
    <row r="2965" spans="2:14" hidden="1" outlineLevel="1" x14ac:dyDescent="0.35">
      <c r="B2965" s="203"/>
      <c r="C2965" s="204"/>
      <c r="D2965" s="204"/>
      <c r="E2965" s="204"/>
      <c r="F2965" s="205"/>
      <c r="G2965" s="548"/>
      <c r="H2965" s="550"/>
      <c r="I2965" s="326"/>
      <c r="J2965" s="326"/>
      <c r="K2965" s="326"/>
      <c r="M2965" s="463"/>
      <c r="N2965" s="464"/>
    </row>
    <row r="2966" spans="2:14" hidden="1" outlineLevel="1" x14ac:dyDescent="0.35">
      <c r="B2966" s="203"/>
      <c r="C2966" s="204"/>
      <c r="D2966" s="204"/>
      <c r="E2966" s="204"/>
      <c r="F2966" s="205"/>
      <c r="G2966" s="548"/>
      <c r="H2966" s="550"/>
      <c r="I2966" s="326"/>
      <c r="J2966" s="326"/>
      <c r="K2966" s="326"/>
      <c r="M2966" s="463"/>
      <c r="N2966" s="464"/>
    </row>
    <row r="2967" spans="2:14" hidden="1" outlineLevel="1" x14ac:dyDescent="0.35">
      <c r="B2967" s="203"/>
      <c r="C2967" s="204"/>
      <c r="D2967" s="204"/>
      <c r="E2967" s="204"/>
      <c r="F2967" s="205"/>
      <c r="G2967" s="548"/>
      <c r="H2967" s="550"/>
      <c r="I2967" s="326"/>
      <c r="J2967" s="326"/>
      <c r="K2967" s="326"/>
      <c r="M2967" s="463"/>
      <c r="N2967" s="464"/>
    </row>
    <row r="2968" spans="2:14" hidden="1" outlineLevel="1" x14ac:dyDescent="0.35">
      <c r="B2968" s="203"/>
      <c r="C2968" s="204"/>
      <c r="D2968" s="204"/>
      <c r="E2968" s="204"/>
      <c r="F2968" s="205"/>
      <c r="G2968" s="548"/>
      <c r="H2968" s="550"/>
      <c r="I2968" s="326"/>
      <c r="J2968" s="326"/>
      <c r="K2968" s="326"/>
      <c r="M2968" s="463"/>
      <c r="N2968" s="464"/>
    </row>
    <row r="2969" spans="2:14" hidden="1" outlineLevel="1" x14ac:dyDescent="0.35">
      <c r="B2969" s="203"/>
      <c r="C2969" s="204"/>
      <c r="D2969" s="204"/>
      <c r="E2969" s="204"/>
      <c r="F2969" s="205"/>
      <c r="G2969" s="548"/>
      <c r="H2969" s="550"/>
      <c r="I2969" s="326"/>
      <c r="J2969" s="326"/>
      <c r="K2969" s="326"/>
      <c r="M2969" s="463"/>
      <c r="N2969" s="464"/>
    </row>
    <row r="2970" spans="2:14" hidden="1" outlineLevel="1" x14ac:dyDescent="0.35">
      <c r="B2970" s="203"/>
      <c r="C2970" s="204"/>
      <c r="D2970" s="204"/>
      <c r="E2970" s="204"/>
      <c r="F2970" s="205"/>
      <c r="G2970" s="548"/>
      <c r="H2970" s="550"/>
      <c r="I2970" s="326"/>
      <c r="J2970" s="326"/>
      <c r="K2970" s="326"/>
      <c r="M2970" s="463"/>
      <c r="N2970" s="464"/>
    </row>
    <row r="2971" spans="2:14" hidden="1" outlineLevel="1" x14ac:dyDescent="0.35">
      <c r="B2971" s="203"/>
      <c r="C2971" s="204"/>
      <c r="D2971" s="204"/>
      <c r="E2971" s="204"/>
      <c r="F2971" s="205"/>
      <c r="G2971" s="548"/>
      <c r="H2971" s="550"/>
      <c r="I2971" s="326"/>
      <c r="J2971" s="326"/>
      <c r="K2971" s="326"/>
      <c r="M2971" s="463"/>
      <c r="N2971" s="464"/>
    </row>
    <row r="2972" spans="2:14" hidden="1" outlineLevel="1" x14ac:dyDescent="0.35">
      <c r="B2972" s="203"/>
      <c r="C2972" s="204"/>
      <c r="D2972" s="204"/>
      <c r="E2972" s="204"/>
      <c r="F2972" s="205"/>
      <c r="G2972" s="548"/>
      <c r="H2972" s="550"/>
      <c r="I2972" s="326"/>
      <c r="J2972" s="326"/>
      <c r="K2972" s="326"/>
      <c r="M2972" s="463"/>
      <c r="N2972" s="464"/>
    </row>
    <row r="2973" spans="2:14" hidden="1" outlineLevel="1" x14ac:dyDescent="0.35">
      <c r="B2973" s="203"/>
      <c r="C2973" s="204"/>
      <c r="D2973" s="204"/>
      <c r="E2973" s="204"/>
      <c r="F2973" s="205"/>
      <c r="G2973" s="548"/>
      <c r="H2973" s="550"/>
      <c r="I2973" s="326"/>
      <c r="J2973" s="326"/>
      <c r="K2973" s="326"/>
      <c r="M2973" s="463"/>
      <c r="N2973" s="464"/>
    </row>
    <row r="2974" spans="2:14" hidden="1" outlineLevel="1" x14ac:dyDescent="0.35">
      <c r="B2974" s="203"/>
      <c r="C2974" s="204"/>
      <c r="D2974" s="204"/>
      <c r="E2974" s="204"/>
      <c r="F2974" s="205"/>
      <c r="G2974" s="548"/>
      <c r="H2974" s="550"/>
      <c r="I2974" s="326"/>
      <c r="J2974" s="326"/>
      <c r="K2974" s="326"/>
      <c r="M2974" s="463"/>
      <c r="N2974" s="464"/>
    </row>
    <row r="2975" spans="2:14" hidden="1" outlineLevel="1" x14ac:dyDescent="0.35">
      <c r="B2975" s="203"/>
      <c r="C2975" s="204"/>
      <c r="D2975" s="204"/>
      <c r="E2975" s="204"/>
      <c r="F2975" s="205"/>
      <c r="G2975" s="548"/>
      <c r="H2975" s="550"/>
      <c r="I2975" s="326"/>
      <c r="J2975" s="326"/>
      <c r="K2975" s="326"/>
      <c r="M2975" s="463"/>
      <c r="N2975" s="464"/>
    </row>
    <row r="2976" spans="2:14" hidden="1" outlineLevel="1" x14ac:dyDescent="0.35">
      <c r="B2976" s="203"/>
      <c r="C2976" s="204"/>
      <c r="D2976" s="204"/>
      <c r="E2976" s="204"/>
      <c r="F2976" s="205"/>
      <c r="G2976" s="548"/>
      <c r="H2976" s="550"/>
      <c r="I2976" s="326"/>
      <c r="J2976" s="326"/>
      <c r="K2976" s="326"/>
      <c r="M2976" s="463"/>
      <c r="N2976" s="464"/>
    </row>
    <row r="2977" spans="2:14" hidden="1" outlineLevel="1" x14ac:dyDescent="0.35">
      <c r="B2977" s="203"/>
      <c r="C2977" s="204"/>
      <c r="D2977" s="204"/>
      <c r="E2977" s="204"/>
      <c r="F2977" s="205"/>
      <c r="G2977" s="548"/>
      <c r="H2977" s="550"/>
      <c r="I2977" s="326"/>
      <c r="J2977" s="326"/>
      <c r="K2977" s="326"/>
      <c r="M2977" s="463"/>
      <c r="N2977" s="464"/>
    </row>
    <row r="2978" spans="2:14" hidden="1" outlineLevel="1" x14ac:dyDescent="0.35">
      <c r="B2978" s="203"/>
      <c r="C2978" s="204"/>
      <c r="D2978" s="204"/>
      <c r="E2978" s="204"/>
      <c r="F2978" s="205"/>
      <c r="G2978" s="548"/>
      <c r="H2978" s="550"/>
      <c r="I2978" s="326"/>
      <c r="J2978" s="326"/>
      <c r="K2978" s="326"/>
      <c r="M2978" s="463"/>
      <c r="N2978" s="464"/>
    </row>
    <row r="2979" spans="2:14" hidden="1" outlineLevel="1" x14ac:dyDescent="0.35">
      <c r="B2979" s="203"/>
      <c r="C2979" s="204"/>
      <c r="D2979" s="204"/>
      <c r="E2979" s="204"/>
      <c r="F2979" s="205"/>
      <c r="G2979" s="548"/>
      <c r="H2979" s="550"/>
      <c r="I2979" s="326"/>
      <c r="J2979" s="326"/>
      <c r="K2979" s="326"/>
      <c r="M2979" s="463"/>
      <c r="N2979" s="464"/>
    </row>
    <row r="2980" spans="2:14" hidden="1" outlineLevel="1" x14ac:dyDescent="0.35">
      <c r="B2980" s="203"/>
      <c r="C2980" s="204"/>
      <c r="D2980" s="204"/>
      <c r="E2980" s="204"/>
      <c r="F2980" s="205"/>
      <c r="G2980" s="548"/>
      <c r="H2980" s="550"/>
      <c r="I2980" s="326"/>
      <c r="J2980" s="326"/>
      <c r="K2980" s="326"/>
      <c r="M2980" s="463"/>
      <c r="N2980" s="464"/>
    </row>
    <row r="2981" spans="2:14" hidden="1" outlineLevel="1" x14ac:dyDescent="0.35">
      <c r="B2981" s="203"/>
      <c r="C2981" s="204"/>
      <c r="D2981" s="204"/>
      <c r="E2981" s="204"/>
      <c r="F2981" s="205"/>
      <c r="G2981" s="548"/>
      <c r="H2981" s="550"/>
      <c r="I2981" s="326"/>
      <c r="J2981" s="326"/>
      <c r="K2981" s="326"/>
      <c r="M2981" s="463"/>
      <c r="N2981" s="464"/>
    </row>
    <row r="2982" spans="2:14" hidden="1" outlineLevel="1" x14ac:dyDescent="0.35">
      <c r="B2982" s="203"/>
      <c r="C2982" s="204"/>
      <c r="D2982" s="204"/>
      <c r="E2982" s="204"/>
      <c r="F2982" s="205"/>
      <c r="G2982" s="548"/>
      <c r="H2982" s="550"/>
      <c r="I2982" s="326"/>
      <c r="J2982" s="326"/>
      <c r="K2982" s="326"/>
      <c r="M2982" s="463"/>
      <c r="N2982" s="464"/>
    </row>
    <row r="2983" spans="2:14" hidden="1" outlineLevel="1" x14ac:dyDescent="0.35">
      <c r="B2983" s="203"/>
      <c r="C2983" s="204"/>
      <c r="D2983" s="204"/>
      <c r="E2983" s="204"/>
      <c r="F2983" s="205"/>
      <c r="G2983" s="548"/>
      <c r="H2983" s="550"/>
      <c r="I2983" s="326"/>
      <c r="J2983" s="326"/>
      <c r="K2983" s="326"/>
      <c r="M2983" s="463"/>
      <c r="N2983" s="464"/>
    </row>
    <row r="2984" spans="2:14" hidden="1" outlineLevel="1" x14ac:dyDescent="0.35">
      <c r="B2984" s="203"/>
      <c r="C2984" s="204"/>
      <c r="D2984" s="204"/>
      <c r="E2984" s="204"/>
      <c r="F2984" s="205"/>
      <c r="G2984" s="548"/>
      <c r="H2984" s="550"/>
      <c r="I2984" s="326"/>
      <c r="J2984" s="326"/>
      <c r="K2984" s="326"/>
      <c r="M2984" s="463"/>
      <c r="N2984" s="464"/>
    </row>
    <row r="2985" spans="2:14" hidden="1" outlineLevel="1" x14ac:dyDescent="0.35">
      <c r="B2985" s="203"/>
      <c r="C2985" s="204"/>
      <c r="D2985" s="204"/>
      <c r="E2985" s="204"/>
      <c r="F2985" s="205"/>
      <c r="G2985" s="548"/>
      <c r="H2985" s="550"/>
      <c r="I2985" s="326"/>
      <c r="J2985" s="326"/>
      <c r="K2985" s="326"/>
      <c r="M2985" s="463"/>
      <c r="N2985" s="464"/>
    </row>
    <row r="2986" spans="2:14" hidden="1" outlineLevel="1" x14ac:dyDescent="0.35">
      <c r="B2986" s="203"/>
      <c r="C2986" s="204"/>
      <c r="D2986" s="204"/>
      <c r="E2986" s="204"/>
      <c r="F2986" s="205"/>
      <c r="G2986" s="548"/>
      <c r="H2986" s="550"/>
      <c r="I2986" s="326"/>
      <c r="J2986" s="326"/>
      <c r="K2986" s="326"/>
      <c r="M2986" s="463"/>
      <c r="N2986" s="464"/>
    </row>
    <row r="2987" spans="2:14" hidden="1" outlineLevel="1" x14ac:dyDescent="0.35">
      <c r="B2987" s="203"/>
      <c r="C2987" s="204"/>
      <c r="D2987" s="204"/>
      <c r="E2987" s="204"/>
      <c r="F2987" s="205"/>
      <c r="G2987" s="548"/>
      <c r="H2987" s="550"/>
      <c r="I2987" s="326"/>
      <c r="J2987" s="326"/>
      <c r="K2987" s="326"/>
      <c r="M2987" s="463"/>
      <c r="N2987" s="464"/>
    </row>
    <row r="2988" spans="2:14" hidden="1" outlineLevel="1" x14ac:dyDescent="0.35">
      <c r="B2988" s="203"/>
      <c r="C2988" s="204"/>
      <c r="D2988" s="204"/>
      <c r="E2988" s="204"/>
      <c r="F2988" s="205"/>
      <c r="G2988" s="548"/>
      <c r="H2988" s="550"/>
      <c r="I2988" s="326"/>
      <c r="J2988" s="326"/>
      <c r="K2988" s="326"/>
      <c r="M2988" s="463"/>
      <c r="N2988" s="464"/>
    </row>
    <row r="2989" spans="2:14" hidden="1" outlineLevel="1" x14ac:dyDescent="0.35">
      <c r="B2989" s="203"/>
      <c r="C2989" s="204"/>
      <c r="D2989" s="204"/>
      <c r="E2989" s="204"/>
      <c r="F2989" s="205"/>
      <c r="G2989" s="548"/>
      <c r="H2989" s="550"/>
      <c r="I2989" s="326"/>
      <c r="J2989" s="326"/>
      <c r="K2989" s="326"/>
      <c r="M2989" s="463"/>
      <c r="N2989" s="464"/>
    </row>
    <row r="2990" spans="2:14" hidden="1" outlineLevel="1" x14ac:dyDescent="0.35">
      <c r="B2990" s="203"/>
      <c r="C2990" s="204"/>
      <c r="D2990" s="204"/>
      <c r="E2990" s="204"/>
      <c r="F2990" s="205"/>
      <c r="G2990" s="548"/>
      <c r="H2990" s="550"/>
      <c r="I2990" s="326"/>
      <c r="J2990" s="326"/>
      <c r="K2990" s="326"/>
      <c r="M2990" s="463"/>
      <c r="N2990" s="464"/>
    </row>
    <row r="2991" spans="2:14" hidden="1" outlineLevel="1" x14ac:dyDescent="0.35">
      <c r="B2991" s="203"/>
      <c r="C2991" s="204"/>
      <c r="D2991" s="204"/>
      <c r="E2991" s="204"/>
      <c r="F2991" s="205"/>
      <c r="G2991" s="548"/>
      <c r="H2991" s="550"/>
      <c r="I2991" s="326"/>
      <c r="J2991" s="326"/>
      <c r="K2991" s="326"/>
      <c r="M2991" s="463"/>
      <c r="N2991" s="464"/>
    </row>
    <row r="2992" spans="2:14" hidden="1" outlineLevel="1" x14ac:dyDescent="0.35">
      <c r="B2992" s="203"/>
      <c r="C2992" s="204"/>
      <c r="D2992" s="204"/>
      <c r="E2992" s="204"/>
      <c r="F2992" s="205"/>
      <c r="G2992" s="548"/>
      <c r="H2992" s="550"/>
      <c r="I2992" s="326"/>
      <c r="J2992" s="326"/>
      <c r="K2992" s="326"/>
      <c r="M2992" s="463"/>
      <c r="N2992" s="464"/>
    </row>
    <row r="2993" spans="2:14" hidden="1" outlineLevel="1" x14ac:dyDescent="0.35">
      <c r="B2993" s="203"/>
      <c r="C2993" s="204"/>
      <c r="D2993" s="204"/>
      <c r="E2993" s="204"/>
      <c r="F2993" s="205"/>
      <c r="G2993" s="548"/>
      <c r="H2993" s="550"/>
      <c r="I2993" s="326"/>
      <c r="J2993" s="326"/>
      <c r="K2993" s="326"/>
      <c r="M2993" s="463"/>
      <c r="N2993" s="464"/>
    </row>
    <row r="2994" spans="2:14" hidden="1" outlineLevel="1" x14ac:dyDescent="0.35">
      <c r="B2994" s="203"/>
      <c r="C2994" s="204"/>
      <c r="D2994" s="204"/>
      <c r="E2994" s="204"/>
      <c r="F2994" s="205"/>
      <c r="G2994" s="548"/>
      <c r="H2994" s="550"/>
      <c r="I2994" s="326"/>
      <c r="J2994" s="326"/>
      <c r="K2994" s="326"/>
      <c r="M2994" s="463"/>
      <c r="N2994" s="464"/>
    </row>
    <row r="2995" spans="2:14" hidden="1" outlineLevel="1" x14ac:dyDescent="0.35">
      <c r="B2995" s="203"/>
      <c r="C2995" s="204"/>
      <c r="D2995" s="204"/>
      <c r="E2995" s="204"/>
      <c r="F2995" s="205"/>
      <c r="G2995" s="548"/>
      <c r="H2995" s="550"/>
      <c r="I2995" s="326"/>
      <c r="J2995" s="326"/>
      <c r="K2995" s="326"/>
      <c r="M2995" s="463"/>
      <c r="N2995" s="464"/>
    </row>
    <row r="2996" spans="2:14" hidden="1" outlineLevel="1" x14ac:dyDescent="0.35">
      <c r="B2996" s="203"/>
      <c r="C2996" s="204"/>
      <c r="D2996" s="204"/>
      <c r="E2996" s="204"/>
      <c r="F2996" s="205"/>
      <c r="G2996" s="548"/>
      <c r="H2996" s="550"/>
      <c r="I2996" s="326"/>
      <c r="J2996" s="326"/>
      <c r="K2996" s="326"/>
      <c r="M2996" s="463"/>
      <c r="N2996" s="464"/>
    </row>
    <row r="2997" spans="2:14" hidden="1" outlineLevel="1" x14ac:dyDescent="0.35">
      <c r="B2997" s="203"/>
      <c r="C2997" s="204"/>
      <c r="D2997" s="204"/>
      <c r="E2997" s="204"/>
      <c r="F2997" s="205"/>
      <c r="G2997" s="548"/>
      <c r="H2997" s="550"/>
      <c r="I2997" s="326"/>
      <c r="J2997" s="326"/>
      <c r="K2997" s="326"/>
      <c r="M2997" s="463"/>
      <c r="N2997" s="464"/>
    </row>
    <row r="2998" spans="2:14" hidden="1" outlineLevel="1" x14ac:dyDescent="0.35">
      <c r="B2998" s="203"/>
      <c r="C2998" s="204"/>
      <c r="D2998" s="204"/>
      <c r="E2998" s="204"/>
      <c r="F2998" s="205"/>
      <c r="G2998" s="548"/>
      <c r="H2998" s="550"/>
      <c r="I2998" s="326"/>
      <c r="J2998" s="326"/>
      <c r="K2998" s="326"/>
      <c r="M2998" s="463"/>
      <c r="N2998" s="464"/>
    </row>
    <row r="2999" spans="2:14" hidden="1" outlineLevel="1" x14ac:dyDescent="0.35">
      <c r="B2999" s="203"/>
      <c r="C2999" s="204"/>
      <c r="D2999" s="204"/>
      <c r="E2999" s="204"/>
      <c r="F2999" s="205"/>
      <c r="G2999" s="548"/>
      <c r="H2999" s="550"/>
      <c r="I2999" s="326"/>
      <c r="J2999" s="326"/>
      <c r="K2999" s="326"/>
      <c r="M2999" s="463"/>
      <c r="N2999" s="464"/>
    </row>
    <row r="3000" spans="2:14" hidden="1" outlineLevel="1" x14ac:dyDescent="0.35">
      <c r="B3000" s="203"/>
      <c r="C3000" s="204"/>
      <c r="D3000" s="204"/>
      <c r="E3000" s="204"/>
      <c r="F3000" s="205"/>
      <c r="G3000" s="548"/>
      <c r="H3000" s="550"/>
      <c r="I3000" s="326"/>
      <c r="J3000" s="326"/>
      <c r="K3000" s="326"/>
      <c r="M3000" s="463"/>
      <c r="N3000" s="464"/>
    </row>
    <row r="3001" spans="2:14" hidden="1" outlineLevel="1" x14ac:dyDescent="0.35">
      <c r="B3001" s="203"/>
      <c r="C3001" s="204"/>
      <c r="D3001" s="204"/>
      <c r="E3001" s="204"/>
      <c r="F3001" s="205"/>
      <c r="G3001" s="548"/>
      <c r="H3001" s="550"/>
      <c r="I3001" s="326"/>
      <c r="J3001" s="326"/>
      <c r="K3001" s="326"/>
      <c r="M3001" s="463"/>
      <c r="N3001" s="464"/>
    </row>
    <row r="3002" spans="2:14" hidden="1" outlineLevel="1" x14ac:dyDescent="0.35">
      <c r="B3002" s="203"/>
      <c r="C3002" s="204"/>
      <c r="D3002" s="204"/>
      <c r="E3002" s="204"/>
      <c r="F3002" s="205"/>
      <c r="G3002" s="548"/>
      <c r="H3002" s="550"/>
      <c r="I3002" s="326"/>
      <c r="J3002" s="326"/>
      <c r="K3002" s="326"/>
      <c r="M3002" s="463"/>
      <c r="N3002" s="464"/>
    </row>
    <row r="3003" spans="2:14" hidden="1" outlineLevel="1" x14ac:dyDescent="0.35">
      <c r="B3003" s="203"/>
      <c r="C3003" s="204"/>
      <c r="D3003" s="204"/>
      <c r="E3003" s="204"/>
      <c r="F3003" s="205"/>
      <c r="G3003" s="548"/>
      <c r="H3003" s="550"/>
      <c r="I3003" s="326"/>
      <c r="J3003" s="326"/>
      <c r="K3003" s="326"/>
      <c r="M3003" s="463"/>
      <c r="N3003" s="464"/>
    </row>
    <row r="3004" spans="2:14" hidden="1" outlineLevel="1" x14ac:dyDescent="0.35">
      <c r="B3004" s="203"/>
      <c r="C3004" s="204"/>
      <c r="D3004" s="204"/>
      <c r="E3004" s="204"/>
      <c r="F3004" s="205"/>
      <c r="G3004" s="548"/>
      <c r="H3004" s="550"/>
      <c r="I3004" s="326"/>
      <c r="J3004" s="326"/>
      <c r="K3004" s="326"/>
      <c r="M3004" s="463"/>
      <c r="N3004" s="464"/>
    </row>
    <row r="3005" spans="2:14" hidden="1" outlineLevel="1" x14ac:dyDescent="0.35">
      <c r="B3005" s="203"/>
      <c r="C3005" s="204"/>
      <c r="D3005" s="204"/>
      <c r="E3005" s="204"/>
      <c r="F3005" s="205"/>
      <c r="G3005" s="548"/>
      <c r="H3005" s="550"/>
      <c r="I3005" s="326"/>
      <c r="J3005" s="326"/>
      <c r="K3005" s="326"/>
      <c r="M3005" s="463"/>
      <c r="N3005" s="464"/>
    </row>
    <row r="3006" spans="2:14" hidden="1" outlineLevel="1" x14ac:dyDescent="0.35">
      <c r="B3006" s="203"/>
      <c r="C3006" s="204"/>
      <c r="D3006" s="204"/>
      <c r="E3006" s="204"/>
      <c r="F3006" s="205"/>
      <c r="G3006" s="548"/>
      <c r="H3006" s="550"/>
      <c r="I3006" s="326"/>
      <c r="J3006" s="326"/>
      <c r="K3006" s="326"/>
      <c r="M3006" s="463"/>
      <c r="N3006" s="464"/>
    </row>
    <row r="3007" spans="2:14" hidden="1" outlineLevel="1" x14ac:dyDescent="0.35">
      <c r="B3007" s="203"/>
      <c r="C3007" s="204"/>
      <c r="D3007" s="204"/>
      <c r="E3007" s="204"/>
      <c r="F3007" s="205"/>
      <c r="G3007" s="548"/>
      <c r="H3007" s="550"/>
      <c r="I3007" s="326"/>
      <c r="J3007" s="326"/>
      <c r="K3007" s="326"/>
      <c r="M3007" s="463"/>
      <c r="N3007" s="464"/>
    </row>
    <row r="3008" spans="2:14" hidden="1" outlineLevel="1" x14ac:dyDescent="0.35">
      <c r="B3008" s="203"/>
      <c r="C3008" s="204"/>
      <c r="D3008" s="204"/>
      <c r="E3008" s="204"/>
      <c r="F3008" s="205"/>
      <c r="G3008" s="548"/>
      <c r="H3008" s="550"/>
      <c r="I3008" s="326"/>
      <c r="J3008" s="326"/>
      <c r="K3008" s="326"/>
      <c r="M3008" s="463"/>
      <c r="N3008" s="464"/>
    </row>
    <row r="3009" spans="2:14" hidden="1" outlineLevel="1" x14ac:dyDescent="0.35">
      <c r="B3009" s="203"/>
      <c r="C3009" s="204"/>
      <c r="D3009" s="204"/>
      <c r="E3009" s="204"/>
      <c r="F3009" s="205"/>
      <c r="G3009" s="548"/>
      <c r="H3009" s="550"/>
      <c r="I3009" s="326"/>
      <c r="J3009" s="326"/>
      <c r="K3009" s="326"/>
      <c r="M3009" s="463"/>
      <c r="N3009" s="464"/>
    </row>
    <row r="3010" spans="2:14" hidden="1" outlineLevel="1" x14ac:dyDescent="0.35">
      <c r="B3010" s="203"/>
      <c r="C3010" s="204"/>
      <c r="D3010" s="204"/>
      <c r="E3010" s="204"/>
      <c r="F3010" s="205"/>
      <c r="G3010" s="548"/>
      <c r="H3010" s="550"/>
      <c r="I3010" s="326"/>
      <c r="J3010" s="326"/>
      <c r="K3010" s="326"/>
      <c r="M3010" s="463"/>
      <c r="N3010" s="464"/>
    </row>
    <row r="3011" spans="2:14" hidden="1" outlineLevel="1" x14ac:dyDescent="0.35">
      <c r="B3011" s="203"/>
      <c r="C3011" s="204"/>
      <c r="D3011" s="204"/>
      <c r="E3011" s="204"/>
      <c r="F3011" s="205"/>
      <c r="G3011" s="548"/>
      <c r="H3011" s="550"/>
      <c r="I3011" s="326"/>
      <c r="J3011" s="326"/>
      <c r="K3011" s="326"/>
      <c r="M3011" s="463"/>
      <c r="N3011" s="464"/>
    </row>
    <row r="3012" spans="2:14" hidden="1" outlineLevel="1" x14ac:dyDescent="0.35">
      <c r="B3012" s="203"/>
      <c r="C3012" s="204"/>
      <c r="D3012" s="204"/>
      <c r="E3012" s="204"/>
      <c r="F3012" s="205"/>
      <c r="G3012" s="548"/>
      <c r="H3012" s="550"/>
      <c r="I3012" s="326"/>
      <c r="J3012" s="326"/>
      <c r="K3012" s="326"/>
      <c r="M3012" s="463"/>
      <c r="N3012" s="464"/>
    </row>
    <row r="3013" spans="2:14" hidden="1" outlineLevel="1" x14ac:dyDescent="0.35">
      <c r="B3013" s="203"/>
      <c r="C3013" s="204"/>
      <c r="D3013" s="204"/>
      <c r="E3013" s="204"/>
      <c r="F3013" s="205"/>
      <c r="G3013" s="548"/>
      <c r="H3013" s="550"/>
      <c r="I3013" s="326"/>
      <c r="J3013" s="326"/>
      <c r="K3013" s="326"/>
      <c r="M3013" s="463"/>
      <c r="N3013" s="464"/>
    </row>
    <row r="3014" spans="2:14" hidden="1" outlineLevel="1" x14ac:dyDescent="0.35">
      <c r="B3014" s="203"/>
      <c r="C3014" s="204"/>
      <c r="D3014" s="204"/>
      <c r="E3014" s="204"/>
      <c r="F3014" s="205"/>
      <c r="G3014" s="548"/>
      <c r="H3014" s="550"/>
      <c r="I3014" s="326"/>
      <c r="J3014" s="326"/>
      <c r="K3014" s="326"/>
      <c r="M3014" s="463"/>
      <c r="N3014" s="464"/>
    </row>
    <row r="3015" spans="2:14" hidden="1" outlineLevel="1" x14ac:dyDescent="0.35">
      <c r="B3015" s="203"/>
      <c r="C3015" s="204"/>
      <c r="D3015" s="204"/>
      <c r="E3015" s="204"/>
      <c r="F3015" s="205"/>
      <c r="G3015" s="548"/>
      <c r="H3015" s="550"/>
      <c r="I3015" s="326"/>
      <c r="J3015" s="326"/>
      <c r="K3015" s="326"/>
      <c r="M3015" s="463"/>
      <c r="N3015" s="464"/>
    </row>
    <row r="3016" spans="2:14" hidden="1" outlineLevel="1" x14ac:dyDescent="0.35">
      <c r="B3016" s="203"/>
      <c r="C3016" s="204"/>
      <c r="D3016" s="204"/>
      <c r="E3016" s="204"/>
      <c r="F3016" s="205"/>
      <c r="G3016" s="548"/>
      <c r="H3016" s="550"/>
      <c r="I3016" s="326"/>
      <c r="J3016" s="326"/>
      <c r="K3016" s="326"/>
      <c r="M3016" s="463"/>
      <c r="N3016" s="464"/>
    </row>
    <row r="3017" spans="2:14" hidden="1" outlineLevel="1" x14ac:dyDescent="0.35">
      <c r="B3017" s="203"/>
      <c r="C3017" s="204"/>
      <c r="D3017" s="204"/>
      <c r="E3017" s="204"/>
      <c r="F3017" s="205"/>
      <c r="G3017" s="548"/>
      <c r="H3017" s="550"/>
      <c r="I3017" s="326"/>
      <c r="J3017" s="326"/>
      <c r="K3017" s="326"/>
      <c r="M3017" s="463"/>
      <c r="N3017" s="464"/>
    </row>
    <row r="3018" spans="2:14" hidden="1" outlineLevel="1" x14ac:dyDescent="0.35">
      <c r="B3018" s="203"/>
      <c r="C3018" s="204"/>
      <c r="D3018" s="204"/>
      <c r="E3018" s="204"/>
      <c r="F3018" s="205"/>
      <c r="G3018" s="548"/>
      <c r="H3018" s="550"/>
      <c r="I3018" s="326"/>
      <c r="J3018" s="326"/>
      <c r="K3018" s="326"/>
      <c r="M3018" s="463"/>
      <c r="N3018" s="464"/>
    </row>
    <row r="3019" spans="2:14" hidden="1" outlineLevel="1" x14ac:dyDescent="0.35">
      <c r="B3019" s="203"/>
      <c r="C3019" s="204"/>
      <c r="D3019" s="204"/>
      <c r="E3019" s="204"/>
      <c r="F3019" s="205"/>
      <c r="G3019" s="548"/>
      <c r="H3019" s="550"/>
      <c r="I3019" s="326"/>
      <c r="J3019" s="326"/>
      <c r="K3019" s="326"/>
      <c r="M3019" s="463"/>
      <c r="N3019" s="464"/>
    </row>
    <row r="3020" spans="2:14" hidden="1" outlineLevel="1" x14ac:dyDescent="0.35">
      <c r="B3020" s="203"/>
      <c r="C3020" s="204"/>
      <c r="D3020" s="204"/>
      <c r="E3020" s="204"/>
      <c r="F3020" s="205"/>
      <c r="G3020" s="548"/>
      <c r="H3020" s="550"/>
      <c r="I3020" s="326"/>
      <c r="J3020" s="326"/>
      <c r="K3020" s="326"/>
      <c r="M3020" s="463"/>
      <c r="N3020" s="464"/>
    </row>
    <row r="3021" spans="2:14" hidden="1" outlineLevel="1" x14ac:dyDescent="0.35">
      <c r="B3021" s="203"/>
      <c r="C3021" s="204"/>
      <c r="D3021" s="204"/>
      <c r="E3021" s="204"/>
      <c r="F3021" s="205"/>
      <c r="G3021" s="548"/>
      <c r="H3021" s="550"/>
      <c r="I3021" s="326"/>
      <c r="J3021" s="326"/>
      <c r="K3021" s="326"/>
      <c r="M3021" s="463"/>
      <c r="N3021" s="464"/>
    </row>
    <row r="3022" spans="2:14" hidden="1" outlineLevel="1" x14ac:dyDescent="0.35">
      <c r="B3022" s="203"/>
      <c r="C3022" s="204"/>
      <c r="D3022" s="204"/>
      <c r="E3022" s="204"/>
      <c r="F3022" s="205"/>
      <c r="G3022" s="548"/>
      <c r="H3022" s="550"/>
      <c r="I3022" s="326"/>
      <c r="J3022" s="326"/>
      <c r="K3022" s="326"/>
      <c r="M3022" s="463"/>
      <c r="N3022" s="464"/>
    </row>
    <row r="3023" spans="2:14" hidden="1" outlineLevel="1" x14ac:dyDescent="0.35">
      <c r="B3023" s="203"/>
      <c r="C3023" s="204"/>
      <c r="D3023" s="204"/>
      <c r="E3023" s="204"/>
      <c r="F3023" s="205"/>
      <c r="G3023" s="548"/>
      <c r="H3023" s="550"/>
      <c r="I3023" s="326"/>
      <c r="J3023" s="326"/>
      <c r="K3023" s="326"/>
      <c r="M3023" s="463"/>
      <c r="N3023" s="464"/>
    </row>
    <row r="3024" spans="2:14" hidden="1" outlineLevel="1" x14ac:dyDescent="0.35">
      <c r="B3024" s="203"/>
      <c r="C3024" s="204"/>
      <c r="D3024" s="204"/>
      <c r="E3024" s="204"/>
      <c r="F3024" s="205"/>
      <c r="G3024" s="548"/>
      <c r="H3024" s="550"/>
      <c r="I3024" s="326"/>
      <c r="J3024" s="326"/>
      <c r="K3024" s="326"/>
      <c r="M3024" s="463"/>
      <c r="N3024" s="464"/>
    </row>
    <row r="3025" spans="2:14" hidden="1" outlineLevel="1" x14ac:dyDescent="0.35">
      <c r="B3025" s="203"/>
      <c r="C3025" s="204"/>
      <c r="D3025" s="204"/>
      <c r="E3025" s="204"/>
      <c r="F3025" s="205"/>
      <c r="G3025" s="548"/>
      <c r="H3025" s="550"/>
      <c r="I3025" s="326"/>
      <c r="J3025" s="326"/>
      <c r="K3025" s="326"/>
      <c r="M3025" s="463"/>
      <c r="N3025" s="464"/>
    </row>
    <row r="3026" spans="2:14" hidden="1" outlineLevel="1" x14ac:dyDescent="0.35">
      <c r="B3026" s="203"/>
      <c r="C3026" s="204"/>
      <c r="D3026" s="204"/>
      <c r="E3026" s="204"/>
      <c r="F3026" s="205"/>
      <c r="G3026" s="548"/>
      <c r="H3026" s="550"/>
      <c r="I3026" s="326"/>
      <c r="J3026" s="326"/>
      <c r="K3026" s="326"/>
      <c r="M3026" s="463"/>
      <c r="N3026" s="464"/>
    </row>
    <row r="3027" spans="2:14" hidden="1" outlineLevel="1" x14ac:dyDescent="0.35">
      <c r="B3027" s="203"/>
      <c r="C3027" s="204"/>
      <c r="D3027" s="204"/>
      <c r="E3027" s="204"/>
      <c r="F3027" s="205"/>
      <c r="G3027" s="548"/>
      <c r="H3027" s="550"/>
      <c r="I3027" s="326"/>
      <c r="J3027" s="326"/>
      <c r="K3027" s="326"/>
      <c r="M3027" s="463"/>
      <c r="N3027" s="464"/>
    </row>
    <row r="3028" spans="2:14" hidden="1" outlineLevel="1" x14ac:dyDescent="0.35">
      <c r="B3028" s="203"/>
      <c r="C3028" s="204"/>
      <c r="D3028" s="204"/>
      <c r="E3028" s="204"/>
      <c r="F3028" s="205"/>
      <c r="G3028" s="548"/>
      <c r="H3028" s="550"/>
      <c r="I3028" s="326"/>
      <c r="J3028" s="326"/>
      <c r="K3028" s="326"/>
      <c r="M3028" s="463"/>
      <c r="N3028" s="464"/>
    </row>
    <row r="3029" spans="2:14" hidden="1" outlineLevel="1" x14ac:dyDescent="0.35">
      <c r="B3029" s="203"/>
      <c r="C3029" s="204"/>
      <c r="D3029" s="204"/>
      <c r="E3029" s="204"/>
      <c r="F3029" s="205"/>
      <c r="G3029" s="548"/>
      <c r="H3029" s="550"/>
      <c r="I3029" s="326"/>
      <c r="J3029" s="326"/>
      <c r="K3029" s="326"/>
      <c r="M3029" s="463"/>
      <c r="N3029" s="464"/>
    </row>
    <row r="3030" spans="2:14" hidden="1" outlineLevel="1" x14ac:dyDescent="0.35">
      <c r="B3030" s="203"/>
      <c r="C3030" s="204"/>
      <c r="D3030" s="204"/>
      <c r="E3030" s="204"/>
      <c r="F3030" s="205"/>
      <c r="G3030" s="548"/>
      <c r="H3030" s="550"/>
      <c r="I3030" s="326"/>
      <c r="J3030" s="326"/>
      <c r="K3030" s="326"/>
      <c r="M3030" s="463"/>
      <c r="N3030" s="464"/>
    </row>
    <row r="3031" spans="2:14" hidden="1" outlineLevel="1" x14ac:dyDescent="0.35">
      <c r="B3031" s="203"/>
      <c r="C3031" s="204"/>
      <c r="D3031" s="204"/>
      <c r="E3031" s="204"/>
      <c r="F3031" s="205"/>
      <c r="G3031" s="548"/>
      <c r="H3031" s="550"/>
      <c r="I3031" s="326"/>
      <c r="J3031" s="326"/>
      <c r="K3031" s="326"/>
      <c r="M3031" s="463"/>
      <c r="N3031" s="464"/>
    </row>
    <row r="3032" spans="2:14" hidden="1" outlineLevel="1" x14ac:dyDescent="0.35">
      <c r="B3032" s="203"/>
      <c r="C3032" s="204"/>
      <c r="D3032" s="204"/>
      <c r="E3032" s="204"/>
      <c r="F3032" s="205"/>
      <c r="G3032" s="548"/>
      <c r="H3032" s="550"/>
      <c r="I3032" s="326"/>
      <c r="J3032" s="326"/>
      <c r="K3032" s="326"/>
      <c r="M3032" s="463"/>
      <c r="N3032" s="464"/>
    </row>
    <row r="3033" spans="2:14" hidden="1" outlineLevel="1" x14ac:dyDescent="0.35">
      <c r="B3033" s="203"/>
      <c r="C3033" s="204"/>
      <c r="D3033" s="204"/>
      <c r="E3033" s="204"/>
      <c r="F3033" s="205"/>
      <c r="G3033" s="548"/>
      <c r="H3033" s="550"/>
      <c r="I3033" s="326"/>
      <c r="J3033" s="326"/>
      <c r="K3033" s="326"/>
      <c r="M3033" s="463"/>
      <c r="N3033" s="464"/>
    </row>
    <row r="3034" spans="2:14" hidden="1" outlineLevel="1" x14ac:dyDescent="0.35">
      <c r="B3034" s="203"/>
      <c r="C3034" s="204"/>
      <c r="D3034" s="204"/>
      <c r="E3034" s="204"/>
      <c r="F3034" s="205"/>
      <c r="G3034" s="548"/>
      <c r="H3034" s="550"/>
      <c r="I3034" s="326"/>
      <c r="J3034" s="326"/>
      <c r="K3034" s="326"/>
      <c r="M3034" s="463"/>
      <c r="N3034" s="464"/>
    </row>
    <row r="3035" spans="2:14" hidden="1" outlineLevel="1" x14ac:dyDescent="0.35">
      <c r="B3035" s="203"/>
      <c r="C3035" s="204"/>
      <c r="D3035" s="204"/>
      <c r="E3035" s="204"/>
      <c r="F3035" s="205"/>
      <c r="G3035" s="548"/>
      <c r="H3035" s="550"/>
      <c r="I3035" s="326"/>
      <c r="J3035" s="326"/>
      <c r="K3035" s="326"/>
      <c r="M3035" s="463"/>
      <c r="N3035" s="464"/>
    </row>
    <row r="3036" spans="2:14" hidden="1" outlineLevel="1" x14ac:dyDescent="0.35">
      <c r="B3036" s="203"/>
      <c r="C3036" s="204"/>
      <c r="D3036" s="204"/>
      <c r="E3036" s="204"/>
      <c r="F3036" s="205"/>
      <c r="G3036" s="548"/>
      <c r="H3036" s="550"/>
      <c r="I3036" s="326"/>
      <c r="J3036" s="326"/>
      <c r="K3036" s="326"/>
      <c r="M3036" s="463"/>
      <c r="N3036" s="464"/>
    </row>
    <row r="3037" spans="2:14" hidden="1" outlineLevel="1" x14ac:dyDescent="0.35">
      <c r="B3037" s="203"/>
      <c r="C3037" s="204"/>
      <c r="D3037" s="204"/>
      <c r="E3037" s="204"/>
      <c r="F3037" s="205"/>
      <c r="G3037" s="548"/>
      <c r="H3037" s="550"/>
      <c r="I3037" s="326"/>
      <c r="J3037" s="326"/>
      <c r="K3037" s="326"/>
      <c r="M3037" s="463"/>
      <c r="N3037" s="464"/>
    </row>
    <row r="3038" spans="2:14" hidden="1" outlineLevel="1" x14ac:dyDescent="0.35">
      <c r="B3038" s="203"/>
      <c r="C3038" s="204"/>
      <c r="D3038" s="204"/>
      <c r="E3038" s="204"/>
      <c r="F3038" s="205"/>
      <c r="G3038" s="548"/>
      <c r="H3038" s="550"/>
      <c r="I3038" s="326"/>
      <c r="J3038" s="326"/>
      <c r="K3038" s="326"/>
      <c r="M3038" s="463"/>
      <c r="N3038" s="464"/>
    </row>
    <row r="3039" spans="2:14" hidden="1" outlineLevel="1" x14ac:dyDescent="0.35">
      <c r="B3039" s="203"/>
      <c r="C3039" s="204"/>
      <c r="D3039" s="204"/>
      <c r="E3039" s="204"/>
      <c r="F3039" s="205"/>
      <c r="G3039" s="548"/>
      <c r="H3039" s="550"/>
      <c r="I3039" s="326"/>
      <c r="J3039" s="326"/>
      <c r="K3039" s="326"/>
      <c r="M3039" s="463"/>
      <c r="N3039" s="464"/>
    </row>
    <row r="3040" spans="2:14" hidden="1" outlineLevel="1" x14ac:dyDescent="0.35">
      <c r="B3040" s="203"/>
      <c r="C3040" s="204"/>
      <c r="D3040" s="204"/>
      <c r="E3040" s="204"/>
      <c r="F3040" s="205"/>
      <c r="G3040" s="548"/>
      <c r="H3040" s="550"/>
      <c r="I3040" s="326"/>
      <c r="J3040" s="326"/>
      <c r="K3040" s="326"/>
      <c r="M3040" s="463"/>
      <c r="N3040" s="464"/>
    </row>
    <row r="3041" spans="2:14" hidden="1" outlineLevel="1" x14ac:dyDescent="0.35">
      <c r="B3041" s="203"/>
      <c r="C3041" s="204"/>
      <c r="D3041" s="204"/>
      <c r="E3041" s="204"/>
      <c r="F3041" s="205"/>
      <c r="G3041" s="548"/>
      <c r="H3041" s="550"/>
      <c r="I3041" s="326"/>
      <c r="J3041" s="326"/>
      <c r="K3041" s="326"/>
      <c r="M3041" s="463"/>
      <c r="N3041" s="464"/>
    </row>
    <row r="3042" spans="2:14" hidden="1" outlineLevel="1" x14ac:dyDescent="0.35">
      <c r="B3042" s="203"/>
      <c r="C3042" s="204"/>
      <c r="D3042" s="204"/>
      <c r="E3042" s="204"/>
      <c r="F3042" s="205"/>
      <c r="G3042" s="548"/>
      <c r="H3042" s="550"/>
      <c r="I3042" s="326"/>
      <c r="J3042" s="326"/>
      <c r="K3042" s="326"/>
      <c r="M3042" s="463"/>
      <c r="N3042" s="464"/>
    </row>
    <row r="3043" spans="2:14" hidden="1" outlineLevel="1" x14ac:dyDescent="0.35">
      <c r="B3043" s="203"/>
      <c r="C3043" s="204"/>
      <c r="D3043" s="204"/>
      <c r="E3043" s="204"/>
      <c r="F3043" s="205"/>
      <c r="G3043" s="548"/>
      <c r="H3043" s="550"/>
      <c r="I3043" s="326"/>
      <c r="J3043" s="326"/>
      <c r="K3043" s="326"/>
      <c r="M3043" s="463"/>
      <c r="N3043" s="464"/>
    </row>
    <row r="3044" spans="2:14" hidden="1" outlineLevel="1" x14ac:dyDescent="0.35">
      <c r="B3044" s="203"/>
      <c r="C3044" s="204"/>
      <c r="D3044" s="204"/>
      <c r="E3044" s="204"/>
      <c r="F3044" s="205"/>
      <c r="G3044" s="548"/>
      <c r="H3044" s="550"/>
      <c r="I3044" s="326"/>
      <c r="J3044" s="326"/>
      <c r="K3044" s="326"/>
      <c r="M3044" s="463"/>
      <c r="N3044" s="464"/>
    </row>
    <row r="3045" spans="2:14" hidden="1" outlineLevel="1" x14ac:dyDescent="0.35">
      <c r="B3045" s="203"/>
      <c r="C3045" s="204"/>
      <c r="D3045" s="204"/>
      <c r="E3045" s="204"/>
      <c r="F3045" s="205"/>
      <c r="G3045" s="548"/>
      <c r="H3045" s="550"/>
      <c r="I3045" s="326"/>
      <c r="J3045" s="326"/>
      <c r="K3045" s="326"/>
      <c r="M3045" s="463"/>
      <c r="N3045" s="464"/>
    </row>
    <row r="3046" spans="2:14" hidden="1" outlineLevel="1" x14ac:dyDescent="0.35">
      <c r="B3046" s="203"/>
      <c r="C3046" s="204"/>
      <c r="D3046" s="204"/>
      <c r="E3046" s="204"/>
      <c r="F3046" s="205"/>
      <c r="G3046" s="548"/>
      <c r="H3046" s="550"/>
      <c r="I3046" s="326"/>
      <c r="J3046" s="326"/>
      <c r="K3046" s="326"/>
      <c r="M3046" s="463"/>
      <c r="N3046" s="464"/>
    </row>
    <row r="3047" spans="2:14" hidden="1" outlineLevel="1" x14ac:dyDescent="0.35">
      <c r="B3047" s="203"/>
      <c r="C3047" s="204"/>
      <c r="D3047" s="204"/>
      <c r="E3047" s="204"/>
      <c r="F3047" s="205"/>
      <c r="G3047" s="548"/>
      <c r="H3047" s="550"/>
      <c r="I3047" s="326"/>
      <c r="J3047" s="326"/>
      <c r="K3047" s="326"/>
      <c r="M3047" s="463"/>
      <c r="N3047" s="464"/>
    </row>
    <row r="3048" spans="2:14" hidden="1" outlineLevel="1" x14ac:dyDescent="0.35">
      <c r="B3048" s="203"/>
      <c r="C3048" s="204"/>
      <c r="D3048" s="204"/>
      <c r="E3048" s="204"/>
      <c r="F3048" s="205"/>
      <c r="G3048" s="548"/>
      <c r="H3048" s="550"/>
      <c r="I3048" s="326"/>
      <c r="J3048" s="326"/>
      <c r="K3048" s="326"/>
      <c r="M3048" s="463"/>
      <c r="N3048" s="464"/>
    </row>
    <row r="3049" spans="2:14" hidden="1" outlineLevel="1" x14ac:dyDescent="0.35">
      <c r="B3049" s="203"/>
      <c r="C3049" s="204"/>
      <c r="D3049" s="204"/>
      <c r="E3049" s="204"/>
      <c r="F3049" s="205"/>
      <c r="G3049" s="548"/>
      <c r="H3049" s="550"/>
      <c r="I3049" s="326"/>
      <c r="J3049" s="326"/>
      <c r="K3049" s="326"/>
      <c r="M3049" s="463"/>
      <c r="N3049" s="464"/>
    </row>
    <row r="3050" spans="2:14" hidden="1" outlineLevel="1" x14ac:dyDescent="0.35">
      <c r="B3050" s="203"/>
      <c r="C3050" s="204"/>
      <c r="D3050" s="204"/>
      <c r="E3050" s="204"/>
      <c r="F3050" s="205"/>
      <c r="G3050" s="548"/>
      <c r="H3050" s="550"/>
      <c r="I3050" s="326"/>
      <c r="J3050" s="326"/>
      <c r="K3050" s="326"/>
      <c r="M3050" s="463"/>
      <c r="N3050" s="464"/>
    </row>
    <row r="3051" spans="2:14" hidden="1" outlineLevel="1" x14ac:dyDescent="0.35">
      <c r="B3051" s="203"/>
      <c r="C3051" s="204"/>
      <c r="D3051" s="204"/>
      <c r="E3051" s="204"/>
      <c r="F3051" s="205"/>
      <c r="G3051" s="548"/>
      <c r="H3051" s="550"/>
      <c r="I3051" s="326"/>
      <c r="J3051" s="326"/>
      <c r="K3051" s="326"/>
      <c r="M3051" s="463"/>
      <c r="N3051" s="464"/>
    </row>
    <row r="3052" spans="2:14" hidden="1" outlineLevel="1" x14ac:dyDescent="0.35">
      <c r="B3052" s="203"/>
      <c r="C3052" s="204"/>
      <c r="D3052" s="204"/>
      <c r="E3052" s="204"/>
      <c r="F3052" s="205"/>
      <c r="G3052" s="548"/>
      <c r="H3052" s="550"/>
      <c r="I3052" s="326"/>
      <c r="J3052" s="326"/>
      <c r="K3052" s="326"/>
      <c r="M3052" s="463"/>
      <c r="N3052" s="464"/>
    </row>
    <row r="3053" spans="2:14" hidden="1" outlineLevel="1" x14ac:dyDescent="0.35">
      <c r="B3053" s="203"/>
      <c r="C3053" s="204"/>
      <c r="D3053" s="204"/>
      <c r="E3053" s="204"/>
      <c r="F3053" s="205"/>
      <c r="G3053" s="548"/>
      <c r="H3053" s="550"/>
      <c r="I3053" s="326"/>
      <c r="J3053" s="326"/>
      <c r="K3053" s="326"/>
      <c r="M3053" s="463"/>
      <c r="N3053" s="464"/>
    </row>
    <row r="3054" spans="2:14" hidden="1" outlineLevel="1" x14ac:dyDescent="0.35">
      <c r="B3054" s="203"/>
      <c r="C3054" s="204"/>
      <c r="D3054" s="204"/>
      <c r="E3054" s="204"/>
      <c r="F3054" s="205"/>
      <c r="G3054" s="548"/>
      <c r="H3054" s="550"/>
      <c r="I3054" s="326"/>
      <c r="J3054" s="326"/>
      <c r="K3054" s="326"/>
      <c r="M3054" s="463"/>
      <c r="N3054" s="464"/>
    </row>
    <row r="3055" spans="2:14" hidden="1" outlineLevel="1" x14ac:dyDescent="0.35">
      <c r="B3055" s="203"/>
      <c r="C3055" s="204"/>
      <c r="D3055" s="204"/>
      <c r="E3055" s="204"/>
      <c r="F3055" s="205"/>
      <c r="G3055" s="548"/>
      <c r="H3055" s="550"/>
      <c r="I3055" s="326"/>
      <c r="J3055" s="326"/>
      <c r="K3055" s="326"/>
      <c r="M3055" s="463"/>
      <c r="N3055" s="464"/>
    </row>
    <row r="3056" spans="2:14" hidden="1" outlineLevel="1" x14ac:dyDescent="0.35">
      <c r="B3056" s="203"/>
      <c r="C3056" s="204"/>
      <c r="D3056" s="204"/>
      <c r="E3056" s="204"/>
      <c r="F3056" s="205"/>
      <c r="G3056" s="548"/>
      <c r="H3056" s="550"/>
      <c r="I3056" s="326"/>
      <c r="J3056" s="326"/>
      <c r="K3056" s="326"/>
      <c r="M3056" s="463"/>
      <c r="N3056" s="464"/>
    </row>
    <row r="3057" spans="2:14" hidden="1" outlineLevel="1" x14ac:dyDescent="0.35">
      <c r="B3057" s="203"/>
      <c r="C3057" s="204"/>
      <c r="D3057" s="204"/>
      <c r="E3057" s="204"/>
      <c r="F3057" s="205"/>
      <c r="G3057" s="548"/>
      <c r="H3057" s="550"/>
      <c r="I3057" s="326"/>
      <c r="J3057" s="326"/>
      <c r="K3057" s="326"/>
      <c r="M3057" s="463"/>
      <c r="N3057" s="464"/>
    </row>
    <row r="3058" spans="2:14" hidden="1" outlineLevel="1" x14ac:dyDescent="0.35">
      <c r="B3058" s="203"/>
      <c r="C3058" s="204"/>
      <c r="D3058" s="204"/>
      <c r="E3058" s="204"/>
      <c r="F3058" s="205"/>
      <c r="G3058" s="548"/>
      <c r="H3058" s="550"/>
      <c r="I3058" s="326"/>
      <c r="J3058" s="326"/>
      <c r="K3058" s="326"/>
      <c r="M3058" s="463"/>
      <c r="N3058" s="464"/>
    </row>
    <row r="3059" spans="2:14" hidden="1" outlineLevel="1" x14ac:dyDescent="0.35">
      <c r="B3059" s="203"/>
      <c r="C3059" s="204"/>
      <c r="D3059" s="204"/>
      <c r="E3059" s="204"/>
      <c r="F3059" s="205"/>
      <c r="G3059" s="548"/>
      <c r="H3059" s="550"/>
      <c r="I3059" s="326"/>
      <c r="J3059" s="326"/>
      <c r="K3059" s="326"/>
      <c r="M3059" s="463"/>
      <c r="N3059" s="464"/>
    </row>
    <row r="3060" spans="2:14" hidden="1" outlineLevel="1" x14ac:dyDescent="0.35">
      <c r="B3060" s="203"/>
      <c r="C3060" s="204"/>
      <c r="D3060" s="204"/>
      <c r="E3060" s="204"/>
      <c r="F3060" s="205"/>
      <c r="G3060" s="548"/>
      <c r="H3060" s="550"/>
      <c r="I3060" s="326"/>
      <c r="J3060" s="326"/>
      <c r="K3060" s="326"/>
      <c r="M3060" s="463"/>
      <c r="N3060" s="464"/>
    </row>
    <row r="3061" spans="2:14" hidden="1" outlineLevel="1" x14ac:dyDescent="0.35">
      <c r="B3061" s="203"/>
      <c r="C3061" s="204"/>
      <c r="D3061" s="204"/>
      <c r="E3061" s="204"/>
      <c r="F3061" s="205"/>
      <c r="G3061" s="548"/>
      <c r="H3061" s="550"/>
      <c r="I3061" s="326"/>
      <c r="J3061" s="326"/>
      <c r="K3061" s="326"/>
      <c r="M3061" s="463"/>
      <c r="N3061" s="464"/>
    </row>
    <row r="3062" spans="2:14" hidden="1" outlineLevel="1" x14ac:dyDescent="0.35">
      <c r="B3062" s="203"/>
      <c r="C3062" s="204"/>
      <c r="D3062" s="204"/>
      <c r="E3062" s="204"/>
      <c r="F3062" s="205"/>
      <c r="G3062" s="548"/>
      <c r="H3062" s="550"/>
      <c r="I3062" s="326"/>
      <c r="J3062" s="326"/>
      <c r="K3062" s="326"/>
      <c r="M3062" s="463"/>
      <c r="N3062" s="464"/>
    </row>
    <row r="3063" spans="2:14" hidden="1" outlineLevel="1" x14ac:dyDescent="0.35">
      <c r="B3063" s="203"/>
      <c r="C3063" s="204"/>
      <c r="D3063" s="204"/>
      <c r="E3063" s="204"/>
      <c r="F3063" s="205"/>
      <c r="G3063" s="548"/>
      <c r="H3063" s="550"/>
      <c r="I3063" s="326"/>
      <c r="J3063" s="326"/>
      <c r="K3063" s="326"/>
      <c r="M3063" s="463"/>
      <c r="N3063" s="464"/>
    </row>
    <row r="3064" spans="2:14" hidden="1" outlineLevel="1" x14ac:dyDescent="0.35">
      <c r="B3064" s="203"/>
      <c r="C3064" s="204"/>
      <c r="D3064" s="204"/>
      <c r="E3064" s="204"/>
      <c r="F3064" s="205"/>
      <c r="G3064" s="548"/>
      <c r="H3064" s="550"/>
      <c r="I3064" s="326"/>
      <c r="J3064" s="326"/>
      <c r="K3064" s="326"/>
      <c r="M3064" s="463"/>
      <c r="N3064" s="464"/>
    </row>
    <row r="3065" spans="2:14" hidden="1" outlineLevel="1" x14ac:dyDescent="0.35">
      <c r="B3065" s="203"/>
      <c r="C3065" s="204"/>
      <c r="D3065" s="204"/>
      <c r="E3065" s="204"/>
      <c r="F3065" s="205"/>
      <c r="G3065" s="548"/>
      <c r="H3065" s="550"/>
      <c r="I3065" s="326"/>
      <c r="J3065" s="326"/>
      <c r="K3065" s="326"/>
      <c r="M3065" s="463"/>
      <c r="N3065" s="464"/>
    </row>
    <row r="3066" spans="2:14" hidden="1" outlineLevel="1" x14ac:dyDescent="0.35">
      <c r="B3066" s="203"/>
      <c r="C3066" s="204"/>
      <c r="D3066" s="204"/>
      <c r="E3066" s="204"/>
      <c r="F3066" s="205"/>
      <c r="G3066" s="548"/>
      <c r="H3066" s="550"/>
      <c r="I3066" s="326"/>
      <c r="J3066" s="326"/>
      <c r="K3066" s="326"/>
      <c r="M3066" s="463"/>
      <c r="N3066" s="464"/>
    </row>
    <row r="3067" spans="2:14" hidden="1" outlineLevel="1" x14ac:dyDescent="0.35">
      <c r="B3067" s="203"/>
      <c r="C3067" s="204"/>
      <c r="D3067" s="204"/>
      <c r="E3067" s="204"/>
      <c r="F3067" s="205"/>
      <c r="G3067" s="548"/>
      <c r="H3067" s="550"/>
      <c r="I3067" s="326"/>
      <c r="J3067" s="326"/>
      <c r="K3067" s="326"/>
      <c r="M3067" s="463"/>
      <c r="N3067" s="464"/>
    </row>
    <row r="3068" spans="2:14" hidden="1" outlineLevel="1" x14ac:dyDescent="0.35">
      <c r="B3068" s="203"/>
      <c r="C3068" s="204"/>
      <c r="D3068" s="204"/>
      <c r="E3068" s="204"/>
      <c r="F3068" s="205"/>
      <c r="G3068" s="548"/>
      <c r="H3068" s="550"/>
      <c r="I3068" s="326"/>
      <c r="J3068" s="326"/>
      <c r="K3068" s="326"/>
      <c r="M3068" s="463"/>
      <c r="N3068" s="464"/>
    </row>
    <row r="3069" spans="2:14" hidden="1" outlineLevel="1" x14ac:dyDescent="0.35">
      <c r="B3069" s="203"/>
      <c r="C3069" s="204"/>
      <c r="D3069" s="204"/>
      <c r="E3069" s="204"/>
      <c r="F3069" s="205"/>
      <c r="G3069" s="548"/>
      <c r="H3069" s="550"/>
      <c r="I3069" s="326"/>
      <c r="J3069" s="326"/>
      <c r="K3069" s="326"/>
      <c r="M3069" s="463"/>
      <c r="N3069" s="464"/>
    </row>
    <row r="3070" spans="2:14" hidden="1" outlineLevel="1" x14ac:dyDescent="0.35">
      <c r="B3070" s="203"/>
      <c r="C3070" s="204"/>
      <c r="D3070" s="204"/>
      <c r="E3070" s="204"/>
      <c r="F3070" s="205"/>
      <c r="G3070" s="548"/>
      <c r="H3070" s="550"/>
      <c r="I3070" s="326"/>
      <c r="J3070" s="326"/>
      <c r="K3070" s="326"/>
      <c r="M3070" s="463"/>
      <c r="N3070" s="464"/>
    </row>
    <row r="3071" spans="2:14" hidden="1" outlineLevel="1" x14ac:dyDescent="0.35">
      <c r="B3071" s="203"/>
      <c r="C3071" s="204"/>
      <c r="D3071" s="204"/>
      <c r="E3071" s="204"/>
      <c r="F3071" s="205"/>
      <c r="G3071" s="548"/>
      <c r="H3071" s="550"/>
      <c r="I3071" s="326"/>
      <c r="J3071" s="326"/>
      <c r="K3071" s="326"/>
      <c r="M3071" s="463"/>
      <c r="N3071" s="464"/>
    </row>
    <row r="3072" spans="2:14" hidden="1" outlineLevel="1" x14ac:dyDescent="0.35">
      <c r="B3072" s="203"/>
      <c r="C3072" s="204"/>
      <c r="D3072" s="204"/>
      <c r="E3072" s="204"/>
      <c r="F3072" s="205"/>
      <c r="G3072" s="548"/>
      <c r="H3072" s="550"/>
      <c r="I3072" s="326"/>
      <c r="J3072" s="326"/>
      <c r="K3072" s="326"/>
      <c r="M3072" s="463"/>
      <c r="N3072" s="464"/>
    </row>
    <row r="3073" spans="2:14" hidden="1" outlineLevel="1" x14ac:dyDescent="0.35">
      <c r="B3073" s="203"/>
      <c r="C3073" s="204"/>
      <c r="D3073" s="204"/>
      <c r="E3073" s="204"/>
      <c r="F3073" s="205"/>
      <c r="G3073" s="548"/>
      <c r="H3073" s="550"/>
      <c r="I3073" s="326"/>
      <c r="J3073" s="326"/>
      <c r="K3073" s="326"/>
      <c r="M3073" s="463"/>
      <c r="N3073" s="464"/>
    </row>
    <row r="3074" spans="2:14" hidden="1" outlineLevel="1" x14ac:dyDescent="0.35">
      <c r="B3074" s="203"/>
      <c r="C3074" s="204"/>
      <c r="D3074" s="204"/>
      <c r="E3074" s="204"/>
      <c r="F3074" s="205"/>
      <c r="G3074" s="548"/>
      <c r="H3074" s="550"/>
      <c r="I3074" s="326"/>
      <c r="J3074" s="326"/>
      <c r="K3074" s="326"/>
      <c r="M3074" s="463"/>
      <c r="N3074" s="464"/>
    </row>
    <row r="3075" spans="2:14" hidden="1" outlineLevel="1" x14ac:dyDescent="0.35">
      <c r="B3075" s="203"/>
      <c r="C3075" s="204"/>
      <c r="D3075" s="204"/>
      <c r="E3075" s="204"/>
      <c r="F3075" s="205"/>
      <c r="G3075" s="548"/>
      <c r="H3075" s="550"/>
      <c r="I3075" s="326"/>
      <c r="J3075" s="326"/>
      <c r="K3075" s="326"/>
      <c r="M3075" s="463"/>
      <c r="N3075" s="464"/>
    </row>
    <row r="3076" spans="2:14" hidden="1" outlineLevel="1" x14ac:dyDescent="0.35">
      <c r="B3076" s="203"/>
      <c r="C3076" s="204"/>
      <c r="D3076" s="204"/>
      <c r="E3076" s="204"/>
      <c r="F3076" s="205"/>
      <c r="G3076" s="548"/>
      <c r="H3076" s="550"/>
      <c r="I3076" s="326"/>
      <c r="J3076" s="326"/>
      <c r="K3076" s="326"/>
      <c r="M3076" s="463"/>
      <c r="N3076" s="464"/>
    </row>
    <row r="3077" spans="2:14" hidden="1" outlineLevel="1" x14ac:dyDescent="0.35">
      <c r="B3077" s="203"/>
      <c r="C3077" s="204"/>
      <c r="D3077" s="204"/>
      <c r="E3077" s="204"/>
      <c r="F3077" s="205"/>
      <c r="G3077" s="548"/>
      <c r="H3077" s="550"/>
      <c r="I3077" s="326"/>
      <c r="J3077" s="326"/>
      <c r="K3077" s="326"/>
      <c r="M3077" s="463"/>
      <c r="N3077" s="464"/>
    </row>
    <row r="3078" spans="2:14" hidden="1" outlineLevel="1" x14ac:dyDescent="0.35">
      <c r="B3078" s="203"/>
      <c r="C3078" s="204"/>
      <c r="D3078" s="204"/>
      <c r="E3078" s="204"/>
      <c r="F3078" s="205"/>
      <c r="G3078" s="548"/>
      <c r="H3078" s="550"/>
      <c r="I3078" s="326"/>
      <c r="J3078" s="326"/>
      <c r="K3078" s="326"/>
      <c r="M3078" s="463"/>
      <c r="N3078" s="464"/>
    </row>
    <row r="3079" spans="2:14" hidden="1" outlineLevel="1" x14ac:dyDescent="0.35">
      <c r="B3079" s="203"/>
      <c r="C3079" s="204"/>
      <c r="D3079" s="204"/>
      <c r="E3079" s="204"/>
      <c r="F3079" s="205"/>
      <c r="G3079" s="548"/>
      <c r="H3079" s="550"/>
      <c r="I3079" s="326"/>
      <c r="J3079" s="326"/>
      <c r="K3079" s="326"/>
      <c r="M3079" s="463"/>
      <c r="N3079" s="464"/>
    </row>
    <row r="3080" spans="2:14" hidden="1" outlineLevel="1" x14ac:dyDescent="0.35">
      <c r="B3080" s="203"/>
      <c r="C3080" s="204"/>
      <c r="D3080" s="204"/>
      <c r="E3080" s="204"/>
      <c r="F3080" s="205"/>
      <c r="G3080" s="548"/>
      <c r="H3080" s="550"/>
      <c r="I3080" s="326"/>
      <c r="J3080" s="326"/>
      <c r="K3080" s="326"/>
      <c r="M3080" s="463"/>
      <c r="N3080" s="464"/>
    </row>
    <row r="3081" spans="2:14" hidden="1" outlineLevel="1" x14ac:dyDescent="0.35">
      <c r="B3081" s="203"/>
      <c r="C3081" s="204"/>
      <c r="D3081" s="204"/>
      <c r="E3081" s="204"/>
      <c r="F3081" s="205"/>
      <c r="G3081" s="548"/>
      <c r="H3081" s="550"/>
      <c r="I3081" s="326"/>
      <c r="J3081" s="326"/>
      <c r="K3081" s="326"/>
      <c r="M3081" s="463"/>
      <c r="N3081" s="464"/>
    </row>
    <row r="3082" spans="2:14" hidden="1" outlineLevel="1" x14ac:dyDescent="0.35">
      <c r="B3082" s="203"/>
      <c r="C3082" s="204"/>
      <c r="D3082" s="204"/>
      <c r="E3082" s="204"/>
      <c r="F3082" s="205"/>
      <c r="G3082" s="548"/>
      <c r="H3082" s="550"/>
      <c r="I3082" s="326"/>
      <c r="J3082" s="326"/>
      <c r="K3082" s="326"/>
      <c r="M3082" s="463"/>
      <c r="N3082" s="464"/>
    </row>
    <row r="3083" spans="2:14" hidden="1" outlineLevel="1" x14ac:dyDescent="0.35">
      <c r="B3083" s="203"/>
      <c r="C3083" s="204"/>
      <c r="D3083" s="204"/>
      <c r="E3083" s="204"/>
      <c r="F3083" s="205"/>
      <c r="G3083" s="548"/>
      <c r="H3083" s="550"/>
      <c r="I3083" s="326"/>
      <c r="J3083" s="326"/>
      <c r="K3083" s="326"/>
      <c r="M3083" s="463"/>
      <c r="N3083" s="464"/>
    </row>
    <row r="3084" spans="2:14" hidden="1" outlineLevel="1" x14ac:dyDescent="0.35">
      <c r="B3084" s="203"/>
      <c r="C3084" s="204"/>
      <c r="D3084" s="204"/>
      <c r="E3084" s="204"/>
      <c r="F3084" s="205"/>
      <c r="G3084" s="548"/>
      <c r="H3084" s="550"/>
      <c r="I3084" s="326"/>
      <c r="J3084" s="326"/>
      <c r="K3084" s="326"/>
      <c r="M3084" s="463"/>
      <c r="N3084" s="464"/>
    </row>
    <row r="3085" spans="2:14" hidden="1" outlineLevel="1" x14ac:dyDescent="0.35">
      <c r="B3085" s="203"/>
      <c r="C3085" s="204"/>
      <c r="D3085" s="204"/>
      <c r="E3085" s="204"/>
      <c r="F3085" s="205"/>
      <c r="G3085" s="548"/>
      <c r="H3085" s="550"/>
      <c r="I3085" s="326"/>
      <c r="J3085" s="326"/>
      <c r="K3085" s="326"/>
      <c r="M3085" s="463"/>
      <c r="N3085" s="464"/>
    </row>
    <row r="3086" spans="2:14" hidden="1" outlineLevel="1" x14ac:dyDescent="0.35">
      <c r="B3086" s="203"/>
      <c r="C3086" s="204"/>
      <c r="D3086" s="204"/>
      <c r="E3086" s="204"/>
      <c r="F3086" s="205"/>
      <c r="G3086" s="548"/>
      <c r="H3086" s="550"/>
      <c r="I3086" s="326"/>
      <c r="J3086" s="326"/>
      <c r="K3086" s="326"/>
      <c r="M3086" s="463"/>
      <c r="N3086" s="464"/>
    </row>
    <row r="3087" spans="2:14" hidden="1" outlineLevel="1" x14ac:dyDescent="0.35">
      <c r="B3087" s="203"/>
      <c r="C3087" s="204"/>
      <c r="D3087" s="204"/>
      <c r="E3087" s="204"/>
      <c r="F3087" s="205"/>
      <c r="G3087" s="548"/>
      <c r="H3087" s="550"/>
      <c r="I3087" s="326"/>
      <c r="J3087" s="326"/>
      <c r="K3087" s="326"/>
      <c r="M3087" s="463"/>
      <c r="N3087" s="464"/>
    </row>
    <row r="3088" spans="2:14" hidden="1" outlineLevel="1" x14ac:dyDescent="0.35">
      <c r="B3088" s="203"/>
      <c r="C3088" s="204"/>
      <c r="D3088" s="204"/>
      <c r="E3088" s="204"/>
      <c r="F3088" s="205"/>
      <c r="G3088" s="548"/>
      <c r="H3088" s="550"/>
      <c r="I3088" s="326"/>
      <c r="J3088" s="326"/>
      <c r="K3088" s="326"/>
      <c r="M3088" s="463"/>
      <c r="N3088" s="464"/>
    </row>
    <row r="3089" spans="2:14" hidden="1" outlineLevel="1" x14ac:dyDescent="0.35">
      <c r="B3089" s="203"/>
      <c r="C3089" s="204"/>
      <c r="D3089" s="204"/>
      <c r="E3089" s="204"/>
      <c r="F3089" s="205"/>
      <c r="G3089" s="548"/>
      <c r="H3089" s="550"/>
      <c r="I3089" s="326"/>
      <c r="J3089" s="326"/>
      <c r="K3089" s="326"/>
      <c r="M3089" s="463"/>
      <c r="N3089" s="464"/>
    </row>
    <row r="3090" spans="2:14" hidden="1" outlineLevel="1" x14ac:dyDescent="0.35">
      <c r="B3090" s="203"/>
      <c r="C3090" s="204"/>
      <c r="D3090" s="204"/>
      <c r="E3090" s="204"/>
      <c r="F3090" s="205"/>
      <c r="G3090" s="548"/>
      <c r="H3090" s="550"/>
      <c r="I3090" s="326"/>
      <c r="J3090" s="326"/>
      <c r="K3090" s="326"/>
      <c r="M3090" s="463"/>
      <c r="N3090" s="464"/>
    </row>
    <row r="3091" spans="2:14" hidden="1" outlineLevel="1" x14ac:dyDescent="0.35">
      <c r="B3091" s="203"/>
      <c r="C3091" s="204"/>
      <c r="D3091" s="204"/>
      <c r="E3091" s="204"/>
      <c r="F3091" s="205"/>
      <c r="G3091" s="548"/>
      <c r="H3091" s="550"/>
      <c r="I3091" s="326"/>
      <c r="J3091" s="326"/>
      <c r="K3091" s="326"/>
      <c r="M3091" s="463"/>
      <c r="N3091" s="464"/>
    </row>
    <row r="3092" spans="2:14" hidden="1" outlineLevel="1" x14ac:dyDescent="0.35">
      <c r="B3092" s="203"/>
      <c r="C3092" s="204"/>
      <c r="D3092" s="204"/>
      <c r="E3092" s="204"/>
      <c r="F3092" s="205"/>
      <c r="G3092" s="548"/>
      <c r="H3092" s="550"/>
      <c r="I3092" s="326"/>
      <c r="J3092" s="326"/>
      <c r="K3092" s="326"/>
      <c r="M3092" s="463"/>
      <c r="N3092" s="464"/>
    </row>
    <row r="3093" spans="2:14" hidden="1" outlineLevel="1" x14ac:dyDescent="0.35">
      <c r="B3093" s="203"/>
      <c r="C3093" s="204"/>
      <c r="D3093" s="204"/>
      <c r="E3093" s="204"/>
      <c r="F3093" s="205"/>
      <c r="G3093" s="548"/>
      <c r="H3093" s="550"/>
      <c r="I3093" s="326"/>
      <c r="J3093" s="326"/>
      <c r="K3093" s="326"/>
      <c r="M3093" s="463"/>
      <c r="N3093" s="464"/>
    </row>
    <row r="3094" spans="2:14" hidden="1" outlineLevel="1" x14ac:dyDescent="0.35">
      <c r="B3094" s="203"/>
      <c r="C3094" s="204"/>
      <c r="D3094" s="204"/>
      <c r="E3094" s="204"/>
      <c r="F3094" s="205"/>
      <c r="G3094" s="548"/>
      <c r="H3094" s="550"/>
      <c r="I3094" s="326"/>
      <c r="J3094" s="326"/>
      <c r="K3094" s="326"/>
      <c r="M3094" s="463"/>
      <c r="N3094" s="464"/>
    </row>
    <row r="3095" spans="2:14" hidden="1" outlineLevel="1" x14ac:dyDescent="0.35">
      <c r="B3095" s="203"/>
      <c r="C3095" s="204"/>
      <c r="D3095" s="204"/>
      <c r="E3095" s="204"/>
      <c r="F3095" s="205"/>
      <c r="G3095" s="548"/>
      <c r="H3095" s="550"/>
      <c r="I3095" s="326"/>
      <c r="J3095" s="326"/>
      <c r="K3095" s="326"/>
      <c r="M3095" s="463"/>
      <c r="N3095" s="464"/>
    </row>
    <row r="3096" spans="2:14" hidden="1" outlineLevel="1" x14ac:dyDescent="0.35">
      <c r="B3096" s="203"/>
      <c r="C3096" s="204"/>
      <c r="D3096" s="204"/>
      <c r="E3096" s="204"/>
      <c r="F3096" s="205"/>
      <c r="G3096" s="548"/>
      <c r="H3096" s="550"/>
      <c r="I3096" s="326"/>
      <c r="J3096" s="326"/>
      <c r="K3096" s="326"/>
      <c r="M3096" s="463"/>
      <c r="N3096" s="464"/>
    </row>
    <row r="3097" spans="2:14" hidden="1" outlineLevel="1" x14ac:dyDescent="0.35">
      <c r="B3097" s="203"/>
      <c r="C3097" s="204"/>
      <c r="D3097" s="204"/>
      <c r="E3097" s="204"/>
      <c r="F3097" s="205"/>
      <c r="G3097" s="548"/>
      <c r="H3097" s="550"/>
      <c r="I3097" s="326"/>
      <c r="J3097" s="326"/>
      <c r="K3097" s="326"/>
      <c r="M3097" s="463"/>
      <c r="N3097" s="464"/>
    </row>
    <row r="3098" spans="2:14" hidden="1" outlineLevel="1" x14ac:dyDescent="0.35">
      <c r="B3098" s="203"/>
      <c r="C3098" s="204"/>
      <c r="D3098" s="204"/>
      <c r="E3098" s="204"/>
      <c r="F3098" s="205"/>
      <c r="G3098" s="548"/>
      <c r="H3098" s="550"/>
      <c r="I3098" s="326"/>
      <c r="J3098" s="326"/>
      <c r="K3098" s="326"/>
      <c r="M3098" s="463"/>
      <c r="N3098" s="464"/>
    </row>
    <row r="3099" spans="2:14" hidden="1" outlineLevel="1" x14ac:dyDescent="0.35">
      <c r="B3099" s="203"/>
      <c r="C3099" s="204"/>
      <c r="D3099" s="204"/>
      <c r="E3099" s="204"/>
      <c r="F3099" s="205"/>
      <c r="G3099" s="548"/>
      <c r="H3099" s="550"/>
      <c r="I3099" s="326"/>
      <c r="J3099" s="326"/>
      <c r="K3099" s="326"/>
      <c r="M3099" s="463"/>
      <c r="N3099" s="464"/>
    </row>
    <row r="3100" spans="2:14" hidden="1" outlineLevel="1" x14ac:dyDescent="0.35">
      <c r="B3100" s="203"/>
      <c r="C3100" s="204"/>
      <c r="D3100" s="204"/>
      <c r="E3100" s="204"/>
      <c r="F3100" s="205"/>
      <c r="G3100" s="548"/>
      <c r="H3100" s="550"/>
      <c r="I3100" s="326"/>
      <c r="J3100" s="326"/>
      <c r="K3100" s="326"/>
      <c r="M3100" s="463"/>
      <c r="N3100" s="464"/>
    </row>
    <row r="3101" spans="2:14" hidden="1" outlineLevel="1" x14ac:dyDescent="0.35">
      <c r="B3101" s="203"/>
      <c r="C3101" s="204"/>
      <c r="D3101" s="204"/>
      <c r="E3101" s="204"/>
      <c r="F3101" s="205"/>
      <c r="G3101" s="548"/>
      <c r="H3101" s="550"/>
      <c r="I3101" s="326"/>
      <c r="J3101" s="326"/>
      <c r="K3101" s="326"/>
      <c r="M3101" s="463"/>
      <c r="N3101" s="464"/>
    </row>
    <row r="3102" spans="2:14" hidden="1" outlineLevel="1" x14ac:dyDescent="0.35">
      <c r="B3102" s="203"/>
      <c r="C3102" s="204"/>
      <c r="D3102" s="204"/>
      <c r="E3102" s="204"/>
      <c r="F3102" s="205"/>
      <c r="G3102" s="548"/>
      <c r="H3102" s="550"/>
      <c r="I3102" s="326"/>
      <c r="J3102" s="326"/>
      <c r="K3102" s="326"/>
      <c r="M3102" s="463"/>
      <c r="N3102" s="464"/>
    </row>
    <row r="3103" spans="2:14" hidden="1" outlineLevel="1" x14ac:dyDescent="0.35">
      <c r="B3103" s="203"/>
      <c r="C3103" s="204"/>
      <c r="D3103" s="204"/>
      <c r="E3103" s="204"/>
      <c r="F3103" s="205"/>
      <c r="G3103" s="548"/>
      <c r="H3103" s="550"/>
      <c r="I3103" s="326"/>
      <c r="J3103" s="326"/>
      <c r="K3103" s="326"/>
      <c r="M3103" s="463"/>
      <c r="N3103" s="464"/>
    </row>
    <row r="3104" spans="2:14" hidden="1" outlineLevel="1" x14ac:dyDescent="0.35">
      <c r="B3104" s="203"/>
      <c r="C3104" s="204"/>
      <c r="D3104" s="204"/>
      <c r="E3104" s="204"/>
      <c r="F3104" s="205"/>
      <c r="G3104" s="548"/>
      <c r="H3104" s="550"/>
      <c r="I3104" s="326"/>
      <c r="J3104" s="326"/>
      <c r="K3104" s="326"/>
      <c r="M3104" s="463"/>
      <c r="N3104" s="464"/>
    </row>
    <row r="3105" spans="2:14" hidden="1" outlineLevel="1" x14ac:dyDescent="0.35">
      <c r="B3105" s="203"/>
      <c r="C3105" s="204"/>
      <c r="D3105" s="204"/>
      <c r="E3105" s="204"/>
      <c r="F3105" s="205"/>
      <c r="G3105" s="548"/>
      <c r="H3105" s="550"/>
      <c r="I3105" s="326"/>
      <c r="J3105" s="326"/>
      <c r="K3105" s="326"/>
      <c r="M3105" s="463"/>
      <c r="N3105" s="464"/>
    </row>
    <row r="3106" spans="2:14" hidden="1" outlineLevel="1" x14ac:dyDescent="0.35">
      <c r="B3106" s="203"/>
      <c r="C3106" s="204"/>
      <c r="D3106" s="204"/>
      <c r="E3106" s="204"/>
      <c r="F3106" s="205"/>
      <c r="G3106" s="548"/>
      <c r="H3106" s="550"/>
      <c r="I3106" s="326"/>
      <c r="J3106" s="326"/>
      <c r="K3106" s="326"/>
      <c r="M3106" s="463"/>
      <c r="N3106" s="464"/>
    </row>
    <row r="3107" spans="2:14" hidden="1" outlineLevel="1" x14ac:dyDescent="0.35">
      <c r="B3107" s="203"/>
      <c r="C3107" s="204"/>
      <c r="D3107" s="204"/>
      <c r="E3107" s="204"/>
      <c r="F3107" s="205"/>
      <c r="G3107" s="548"/>
      <c r="H3107" s="550"/>
      <c r="I3107" s="326"/>
      <c r="J3107" s="326"/>
      <c r="K3107" s="326"/>
      <c r="M3107" s="463"/>
      <c r="N3107" s="464"/>
    </row>
    <row r="3108" spans="2:14" hidden="1" outlineLevel="1" x14ac:dyDescent="0.35">
      <c r="B3108" s="203"/>
      <c r="C3108" s="204"/>
      <c r="D3108" s="204"/>
      <c r="E3108" s="204"/>
      <c r="F3108" s="205"/>
      <c r="G3108" s="548"/>
      <c r="H3108" s="550"/>
      <c r="I3108" s="326"/>
      <c r="J3108" s="326"/>
      <c r="K3108" s="326"/>
      <c r="M3108" s="463"/>
      <c r="N3108" s="464"/>
    </row>
    <row r="3109" spans="2:14" hidden="1" outlineLevel="1" x14ac:dyDescent="0.35">
      <c r="B3109" s="203"/>
      <c r="C3109" s="204"/>
      <c r="D3109" s="204"/>
      <c r="E3109" s="204"/>
      <c r="F3109" s="205"/>
      <c r="G3109" s="548"/>
      <c r="H3109" s="550"/>
      <c r="I3109" s="326"/>
      <c r="J3109" s="326"/>
      <c r="K3109" s="326"/>
      <c r="M3109" s="463"/>
      <c r="N3109" s="464"/>
    </row>
    <row r="3110" spans="2:14" hidden="1" outlineLevel="1" x14ac:dyDescent="0.35">
      <c r="B3110" s="203"/>
      <c r="C3110" s="204"/>
      <c r="D3110" s="204"/>
      <c r="E3110" s="204"/>
      <c r="F3110" s="205"/>
      <c r="G3110" s="548"/>
      <c r="H3110" s="550"/>
      <c r="I3110" s="326"/>
      <c r="J3110" s="326"/>
      <c r="K3110" s="326"/>
      <c r="M3110" s="463"/>
      <c r="N3110" s="464"/>
    </row>
    <row r="3111" spans="2:14" hidden="1" outlineLevel="1" x14ac:dyDescent="0.35">
      <c r="B3111" s="203"/>
      <c r="C3111" s="204"/>
      <c r="D3111" s="204"/>
      <c r="E3111" s="204"/>
      <c r="F3111" s="205"/>
      <c r="G3111" s="548"/>
      <c r="H3111" s="550"/>
      <c r="I3111" s="326"/>
      <c r="J3111" s="326"/>
      <c r="K3111" s="326"/>
      <c r="M3111" s="463"/>
      <c r="N3111" s="464"/>
    </row>
    <row r="3112" spans="2:14" hidden="1" outlineLevel="1" x14ac:dyDescent="0.35">
      <c r="B3112" s="203"/>
      <c r="C3112" s="204"/>
      <c r="D3112" s="204"/>
      <c r="E3112" s="204"/>
      <c r="F3112" s="205"/>
      <c r="G3112" s="548"/>
      <c r="H3112" s="550"/>
      <c r="I3112" s="326"/>
      <c r="J3112" s="326"/>
      <c r="K3112" s="326"/>
      <c r="M3112" s="463"/>
      <c r="N3112" s="464"/>
    </row>
    <row r="3113" spans="2:14" hidden="1" outlineLevel="1" x14ac:dyDescent="0.35">
      <c r="B3113" s="203"/>
      <c r="C3113" s="204"/>
      <c r="D3113" s="204"/>
      <c r="E3113" s="204"/>
      <c r="F3113" s="205"/>
      <c r="G3113" s="548"/>
      <c r="H3113" s="550"/>
      <c r="I3113" s="326"/>
      <c r="J3113" s="326"/>
      <c r="K3113" s="326"/>
      <c r="M3113" s="463"/>
      <c r="N3113" s="464"/>
    </row>
    <row r="3114" spans="2:14" hidden="1" outlineLevel="1" x14ac:dyDescent="0.35">
      <c r="B3114" s="203"/>
      <c r="C3114" s="204"/>
      <c r="D3114" s="204"/>
      <c r="E3114" s="204"/>
      <c r="F3114" s="205"/>
      <c r="G3114" s="548"/>
      <c r="H3114" s="550"/>
      <c r="I3114" s="326"/>
      <c r="J3114" s="326"/>
      <c r="K3114" s="326"/>
      <c r="M3114" s="463"/>
      <c r="N3114" s="464"/>
    </row>
    <row r="3115" spans="2:14" hidden="1" outlineLevel="1" x14ac:dyDescent="0.35">
      <c r="B3115" s="203"/>
      <c r="C3115" s="204"/>
      <c r="D3115" s="204"/>
      <c r="E3115" s="204"/>
      <c r="F3115" s="205"/>
      <c r="G3115" s="548"/>
      <c r="H3115" s="550"/>
      <c r="I3115" s="326"/>
      <c r="J3115" s="326"/>
      <c r="K3115" s="326"/>
      <c r="M3115" s="463"/>
      <c r="N3115" s="464"/>
    </row>
    <row r="3116" spans="2:14" hidden="1" outlineLevel="1" x14ac:dyDescent="0.35">
      <c r="B3116" s="203"/>
      <c r="C3116" s="204"/>
      <c r="D3116" s="204"/>
      <c r="E3116" s="204"/>
      <c r="F3116" s="205"/>
      <c r="G3116" s="548"/>
      <c r="H3116" s="550"/>
      <c r="I3116" s="326"/>
      <c r="J3116" s="326"/>
      <c r="K3116" s="326"/>
      <c r="M3116" s="463"/>
      <c r="N3116" s="464"/>
    </row>
    <row r="3117" spans="2:14" hidden="1" outlineLevel="1" x14ac:dyDescent="0.35">
      <c r="B3117" s="203"/>
      <c r="C3117" s="204"/>
      <c r="D3117" s="204"/>
      <c r="E3117" s="204"/>
      <c r="F3117" s="205"/>
      <c r="G3117" s="548"/>
      <c r="H3117" s="550"/>
      <c r="I3117" s="326"/>
      <c r="J3117" s="326"/>
      <c r="K3117" s="326"/>
      <c r="M3117" s="463"/>
      <c r="N3117" s="464"/>
    </row>
    <row r="3118" spans="2:14" hidden="1" outlineLevel="1" x14ac:dyDescent="0.35">
      <c r="B3118" s="203"/>
      <c r="C3118" s="204"/>
      <c r="D3118" s="204"/>
      <c r="E3118" s="204"/>
      <c r="F3118" s="205"/>
      <c r="G3118" s="548"/>
      <c r="H3118" s="550"/>
      <c r="I3118" s="326"/>
      <c r="J3118" s="326"/>
      <c r="K3118" s="326"/>
      <c r="M3118" s="463"/>
      <c r="N3118" s="464"/>
    </row>
    <row r="3119" spans="2:14" hidden="1" outlineLevel="1" x14ac:dyDescent="0.35">
      <c r="B3119" s="203"/>
      <c r="C3119" s="204"/>
      <c r="D3119" s="204"/>
      <c r="E3119" s="204"/>
      <c r="F3119" s="205"/>
      <c r="G3119" s="548"/>
      <c r="H3119" s="550"/>
      <c r="I3119" s="326"/>
      <c r="J3119" s="326"/>
      <c r="K3119" s="326"/>
      <c r="M3119" s="463"/>
      <c r="N3119" s="464"/>
    </row>
    <row r="3120" spans="2:14" hidden="1" outlineLevel="1" x14ac:dyDescent="0.35">
      <c r="B3120" s="203"/>
      <c r="C3120" s="204"/>
      <c r="D3120" s="204"/>
      <c r="E3120" s="204"/>
      <c r="F3120" s="205"/>
      <c r="G3120" s="548"/>
      <c r="H3120" s="550"/>
      <c r="I3120" s="326"/>
      <c r="J3120" s="326"/>
      <c r="K3120" s="326"/>
      <c r="M3120" s="463"/>
      <c r="N3120" s="464"/>
    </row>
    <row r="3121" spans="2:14" hidden="1" outlineLevel="1" x14ac:dyDescent="0.35">
      <c r="B3121" s="203"/>
      <c r="C3121" s="204"/>
      <c r="D3121" s="204"/>
      <c r="E3121" s="204"/>
      <c r="F3121" s="205"/>
      <c r="G3121" s="548"/>
      <c r="H3121" s="550"/>
      <c r="I3121" s="326"/>
      <c r="J3121" s="326"/>
      <c r="K3121" s="326"/>
      <c r="M3121" s="463"/>
      <c r="N3121" s="464"/>
    </row>
    <row r="3122" spans="2:14" hidden="1" outlineLevel="1" x14ac:dyDescent="0.35">
      <c r="B3122" s="203"/>
      <c r="C3122" s="204"/>
      <c r="D3122" s="204"/>
      <c r="E3122" s="204"/>
      <c r="F3122" s="205"/>
      <c r="G3122" s="548"/>
      <c r="H3122" s="550"/>
      <c r="I3122" s="326"/>
      <c r="J3122" s="326"/>
      <c r="K3122" s="326"/>
      <c r="M3122" s="463"/>
      <c r="N3122" s="464"/>
    </row>
    <row r="3123" spans="2:14" hidden="1" outlineLevel="1" x14ac:dyDescent="0.35">
      <c r="B3123" s="203"/>
      <c r="C3123" s="204"/>
      <c r="D3123" s="204"/>
      <c r="E3123" s="204"/>
      <c r="F3123" s="205"/>
      <c r="G3123" s="548"/>
      <c r="H3123" s="550"/>
      <c r="I3123" s="326"/>
      <c r="J3123" s="326"/>
      <c r="K3123" s="326"/>
      <c r="M3123" s="463"/>
      <c r="N3123" s="464"/>
    </row>
    <row r="3124" spans="2:14" hidden="1" outlineLevel="1" x14ac:dyDescent="0.35">
      <c r="B3124" s="203"/>
      <c r="C3124" s="204"/>
      <c r="D3124" s="204"/>
      <c r="E3124" s="204"/>
      <c r="F3124" s="205"/>
      <c r="G3124" s="548"/>
      <c r="H3124" s="550"/>
      <c r="I3124" s="326"/>
      <c r="J3124" s="326"/>
      <c r="K3124" s="326"/>
      <c r="M3124" s="463"/>
      <c r="N3124" s="464"/>
    </row>
    <row r="3125" spans="2:14" hidden="1" outlineLevel="1" x14ac:dyDescent="0.35">
      <c r="B3125" s="203"/>
      <c r="C3125" s="204"/>
      <c r="D3125" s="204"/>
      <c r="E3125" s="204"/>
      <c r="F3125" s="205"/>
      <c r="G3125" s="548"/>
      <c r="H3125" s="550"/>
      <c r="I3125" s="326"/>
      <c r="J3125" s="326"/>
      <c r="K3125" s="326"/>
      <c r="M3125" s="463"/>
      <c r="N3125" s="464"/>
    </row>
    <row r="3126" spans="2:14" hidden="1" outlineLevel="1" x14ac:dyDescent="0.35">
      <c r="B3126" s="203"/>
      <c r="C3126" s="204"/>
      <c r="D3126" s="204"/>
      <c r="E3126" s="204"/>
      <c r="F3126" s="205"/>
      <c r="G3126" s="548"/>
      <c r="H3126" s="550"/>
      <c r="I3126" s="326"/>
      <c r="J3126" s="326"/>
      <c r="K3126" s="326"/>
      <c r="M3126" s="463"/>
      <c r="N3126" s="464"/>
    </row>
    <row r="3127" spans="2:14" hidden="1" outlineLevel="1" x14ac:dyDescent="0.35">
      <c r="B3127" s="203"/>
      <c r="C3127" s="204"/>
      <c r="D3127" s="204"/>
      <c r="E3127" s="204"/>
      <c r="F3127" s="205"/>
      <c r="G3127" s="548"/>
      <c r="H3127" s="550"/>
      <c r="I3127" s="326"/>
      <c r="J3127" s="326"/>
      <c r="K3127" s="326"/>
      <c r="M3127" s="463"/>
      <c r="N3127" s="464"/>
    </row>
    <row r="3128" spans="2:14" hidden="1" outlineLevel="1" x14ac:dyDescent="0.35">
      <c r="B3128" s="203"/>
      <c r="C3128" s="204"/>
      <c r="D3128" s="204"/>
      <c r="E3128" s="204"/>
      <c r="F3128" s="205"/>
      <c r="G3128" s="548"/>
      <c r="H3128" s="550"/>
      <c r="I3128" s="326"/>
      <c r="J3128" s="326"/>
      <c r="K3128" s="326"/>
      <c r="M3128" s="463"/>
      <c r="N3128" s="464"/>
    </row>
    <row r="3129" spans="2:14" hidden="1" outlineLevel="1" x14ac:dyDescent="0.35">
      <c r="B3129" s="203"/>
      <c r="C3129" s="204"/>
      <c r="D3129" s="204"/>
      <c r="E3129" s="204"/>
      <c r="F3129" s="205"/>
      <c r="G3129" s="548"/>
      <c r="H3129" s="550"/>
      <c r="I3129" s="326"/>
      <c r="J3129" s="326"/>
      <c r="K3129" s="326"/>
      <c r="M3129" s="463"/>
      <c r="N3129" s="464"/>
    </row>
    <row r="3130" spans="2:14" hidden="1" outlineLevel="1" x14ac:dyDescent="0.35">
      <c r="B3130" s="203"/>
      <c r="C3130" s="204"/>
      <c r="D3130" s="204"/>
      <c r="E3130" s="204"/>
      <c r="F3130" s="205"/>
      <c r="G3130" s="548"/>
      <c r="H3130" s="550"/>
      <c r="I3130" s="326"/>
      <c r="J3130" s="326"/>
      <c r="K3130" s="326"/>
      <c r="M3130" s="463"/>
      <c r="N3130" s="464"/>
    </row>
    <row r="3131" spans="2:14" hidden="1" outlineLevel="1" x14ac:dyDescent="0.35">
      <c r="B3131" s="203"/>
      <c r="C3131" s="204"/>
      <c r="D3131" s="204"/>
      <c r="E3131" s="204"/>
      <c r="F3131" s="205"/>
      <c r="G3131" s="548"/>
      <c r="H3131" s="550"/>
      <c r="I3131" s="326"/>
      <c r="J3131" s="326"/>
      <c r="K3131" s="326"/>
      <c r="M3131" s="463"/>
      <c r="N3131" s="464"/>
    </row>
    <row r="3132" spans="2:14" hidden="1" outlineLevel="1" x14ac:dyDescent="0.35">
      <c r="B3132" s="203"/>
      <c r="C3132" s="204"/>
      <c r="D3132" s="204"/>
      <c r="E3132" s="204"/>
      <c r="F3132" s="205"/>
      <c r="G3132" s="548"/>
      <c r="H3132" s="550"/>
      <c r="I3132" s="326"/>
      <c r="J3132" s="326"/>
      <c r="K3132" s="326"/>
      <c r="M3132" s="463"/>
      <c r="N3132" s="464"/>
    </row>
    <row r="3133" spans="2:14" hidden="1" outlineLevel="1" x14ac:dyDescent="0.35">
      <c r="B3133" s="203"/>
      <c r="C3133" s="204"/>
      <c r="D3133" s="204"/>
      <c r="E3133" s="204"/>
      <c r="F3133" s="205"/>
      <c r="G3133" s="548"/>
      <c r="H3133" s="550"/>
      <c r="I3133" s="326"/>
      <c r="J3133" s="326"/>
      <c r="K3133" s="326"/>
      <c r="M3133" s="463"/>
      <c r="N3133" s="464"/>
    </row>
    <row r="3134" spans="2:14" hidden="1" outlineLevel="1" x14ac:dyDescent="0.35">
      <c r="B3134" s="203"/>
      <c r="C3134" s="204"/>
      <c r="D3134" s="204"/>
      <c r="E3134" s="204"/>
      <c r="F3134" s="205"/>
      <c r="G3134" s="548"/>
      <c r="H3134" s="550"/>
      <c r="I3134" s="326"/>
      <c r="J3134" s="326"/>
      <c r="K3134" s="326"/>
      <c r="M3134" s="463"/>
      <c r="N3134" s="464"/>
    </row>
    <row r="3135" spans="2:14" hidden="1" outlineLevel="1" x14ac:dyDescent="0.35">
      <c r="B3135" s="203"/>
      <c r="C3135" s="204"/>
      <c r="D3135" s="204"/>
      <c r="E3135" s="204"/>
      <c r="F3135" s="205"/>
      <c r="G3135" s="548"/>
      <c r="H3135" s="550"/>
      <c r="I3135" s="326"/>
      <c r="J3135" s="326"/>
      <c r="K3135" s="326"/>
      <c r="M3135" s="463"/>
      <c r="N3135" s="464"/>
    </row>
    <row r="3136" spans="2:14" hidden="1" outlineLevel="1" x14ac:dyDescent="0.35">
      <c r="B3136" s="203"/>
      <c r="C3136" s="204"/>
      <c r="D3136" s="204"/>
      <c r="E3136" s="204"/>
      <c r="F3136" s="205"/>
      <c r="G3136" s="548"/>
      <c r="H3136" s="550"/>
      <c r="I3136" s="326"/>
      <c r="J3136" s="326"/>
      <c r="K3136" s="326"/>
      <c r="M3136" s="463"/>
      <c r="N3136" s="464"/>
    </row>
    <row r="3137" spans="2:14" hidden="1" outlineLevel="1" x14ac:dyDescent="0.35">
      <c r="B3137" s="203"/>
      <c r="C3137" s="204"/>
      <c r="D3137" s="204"/>
      <c r="E3137" s="204"/>
      <c r="F3137" s="205"/>
      <c r="G3137" s="548"/>
      <c r="H3137" s="550"/>
      <c r="I3137" s="326"/>
      <c r="J3137" s="326"/>
      <c r="K3137" s="326"/>
      <c r="M3137" s="463"/>
      <c r="N3137" s="464"/>
    </row>
    <row r="3138" spans="2:14" hidden="1" outlineLevel="1" x14ac:dyDescent="0.35">
      <c r="B3138" s="203"/>
      <c r="C3138" s="204"/>
      <c r="D3138" s="204"/>
      <c r="E3138" s="204"/>
      <c r="F3138" s="205"/>
      <c r="G3138" s="548"/>
      <c r="H3138" s="550"/>
      <c r="I3138" s="326"/>
      <c r="J3138" s="326"/>
      <c r="K3138" s="326"/>
      <c r="M3138" s="463"/>
      <c r="N3138" s="464"/>
    </row>
    <row r="3139" spans="2:14" hidden="1" outlineLevel="1" x14ac:dyDescent="0.35">
      <c r="B3139" s="203"/>
      <c r="C3139" s="204"/>
      <c r="D3139" s="204"/>
      <c r="E3139" s="204"/>
      <c r="F3139" s="205"/>
      <c r="G3139" s="548"/>
      <c r="H3139" s="550"/>
      <c r="I3139" s="326"/>
      <c r="J3139" s="326"/>
      <c r="K3139" s="326"/>
      <c r="M3139" s="463"/>
      <c r="N3139" s="464"/>
    </row>
    <row r="3140" spans="2:14" hidden="1" outlineLevel="1" x14ac:dyDescent="0.35">
      <c r="B3140" s="203"/>
      <c r="C3140" s="204"/>
      <c r="D3140" s="204"/>
      <c r="E3140" s="204"/>
      <c r="F3140" s="205"/>
      <c r="G3140" s="548"/>
      <c r="H3140" s="550"/>
      <c r="I3140" s="326"/>
      <c r="J3140" s="326"/>
      <c r="K3140" s="326"/>
      <c r="M3140" s="463"/>
      <c r="N3140" s="464"/>
    </row>
    <row r="3141" spans="2:14" hidden="1" outlineLevel="1" x14ac:dyDescent="0.35">
      <c r="B3141" s="203"/>
      <c r="C3141" s="204"/>
      <c r="D3141" s="204"/>
      <c r="E3141" s="204"/>
      <c r="F3141" s="205"/>
      <c r="G3141" s="548"/>
      <c r="H3141" s="550"/>
      <c r="I3141" s="326"/>
      <c r="J3141" s="326"/>
      <c r="K3141" s="326"/>
      <c r="M3141" s="463"/>
      <c r="N3141" s="464"/>
    </row>
    <row r="3142" spans="2:14" hidden="1" outlineLevel="1" x14ac:dyDescent="0.35">
      <c r="B3142" s="203"/>
      <c r="C3142" s="204"/>
      <c r="D3142" s="204"/>
      <c r="E3142" s="204"/>
      <c r="F3142" s="205"/>
      <c r="G3142" s="548"/>
      <c r="H3142" s="550"/>
      <c r="I3142" s="326"/>
      <c r="J3142" s="326"/>
      <c r="K3142" s="326"/>
      <c r="M3142" s="463"/>
      <c r="N3142" s="464"/>
    </row>
    <row r="3143" spans="2:14" hidden="1" outlineLevel="1" x14ac:dyDescent="0.35">
      <c r="B3143" s="203"/>
      <c r="C3143" s="204"/>
      <c r="D3143" s="204"/>
      <c r="E3143" s="204"/>
      <c r="F3143" s="205"/>
      <c r="G3143" s="548"/>
      <c r="H3143" s="550"/>
      <c r="I3143" s="326"/>
      <c r="J3143" s="326"/>
      <c r="K3143" s="326"/>
      <c r="M3143" s="463"/>
      <c r="N3143" s="464"/>
    </row>
    <row r="3144" spans="2:14" hidden="1" outlineLevel="1" x14ac:dyDescent="0.35">
      <c r="B3144" s="203"/>
      <c r="C3144" s="204"/>
      <c r="D3144" s="204"/>
      <c r="E3144" s="204"/>
      <c r="F3144" s="205"/>
      <c r="G3144" s="548"/>
      <c r="H3144" s="550"/>
      <c r="I3144" s="326"/>
      <c r="J3144" s="326"/>
      <c r="K3144" s="326"/>
      <c r="M3144" s="463"/>
      <c r="N3144" s="464"/>
    </row>
    <row r="3145" spans="2:14" hidden="1" outlineLevel="1" x14ac:dyDescent="0.35">
      <c r="B3145" s="203"/>
      <c r="C3145" s="204"/>
      <c r="D3145" s="204"/>
      <c r="E3145" s="204"/>
      <c r="F3145" s="205"/>
      <c r="G3145" s="548"/>
      <c r="H3145" s="550"/>
      <c r="I3145" s="326"/>
      <c r="J3145" s="326"/>
      <c r="K3145" s="326"/>
      <c r="M3145" s="463"/>
      <c r="N3145" s="464"/>
    </row>
    <row r="3146" spans="2:14" hidden="1" outlineLevel="1" x14ac:dyDescent="0.35">
      <c r="B3146" s="203"/>
      <c r="C3146" s="204"/>
      <c r="D3146" s="204"/>
      <c r="E3146" s="204"/>
      <c r="F3146" s="205"/>
      <c r="G3146" s="548"/>
      <c r="H3146" s="550"/>
      <c r="I3146" s="326"/>
      <c r="J3146" s="326"/>
      <c r="K3146" s="326"/>
      <c r="M3146" s="463"/>
      <c r="N3146" s="464"/>
    </row>
    <row r="3147" spans="2:14" hidden="1" outlineLevel="1" x14ac:dyDescent="0.35">
      <c r="B3147" s="203"/>
      <c r="C3147" s="204"/>
      <c r="D3147" s="204"/>
      <c r="E3147" s="204"/>
      <c r="F3147" s="205"/>
      <c r="G3147" s="548"/>
      <c r="H3147" s="550"/>
      <c r="I3147" s="326"/>
      <c r="J3147" s="326"/>
      <c r="K3147" s="326"/>
      <c r="M3147" s="463"/>
      <c r="N3147" s="464"/>
    </row>
    <row r="3148" spans="2:14" hidden="1" outlineLevel="1" x14ac:dyDescent="0.35">
      <c r="B3148" s="203"/>
      <c r="C3148" s="204"/>
      <c r="D3148" s="204"/>
      <c r="E3148" s="204"/>
      <c r="F3148" s="205"/>
      <c r="G3148" s="548"/>
      <c r="H3148" s="550"/>
      <c r="I3148" s="326"/>
      <c r="J3148" s="326"/>
      <c r="K3148" s="326"/>
      <c r="M3148" s="463"/>
      <c r="N3148" s="464"/>
    </row>
    <row r="3149" spans="2:14" hidden="1" outlineLevel="1" x14ac:dyDescent="0.35">
      <c r="B3149" s="203"/>
      <c r="C3149" s="204"/>
      <c r="D3149" s="204"/>
      <c r="E3149" s="204"/>
      <c r="F3149" s="205"/>
      <c r="G3149" s="548"/>
      <c r="H3149" s="550"/>
      <c r="I3149" s="326"/>
      <c r="J3149" s="326"/>
      <c r="K3149" s="326"/>
      <c r="M3149" s="463"/>
      <c r="N3149" s="464"/>
    </row>
    <row r="3150" spans="2:14" hidden="1" outlineLevel="1" x14ac:dyDescent="0.35">
      <c r="B3150" s="203"/>
      <c r="C3150" s="204"/>
      <c r="D3150" s="204"/>
      <c r="E3150" s="204"/>
      <c r="F3150" s="205"/>
      <c r="G3150" s="548"/>
      <c r="H3150" s="550"/>
      <c r="I3150" s="326"/>
      <c r="J3150" s="326"/>
      <c r="K3150" s="326"/>
      <c r="M3150" s="463"/>
      <c r="N3150" s="464"/>
    </row>
    <row r="3151" spans="2:14" hidden="1" outlineLevel="1" x14ac:dyDescent="0.35">
      <c r="B3151" s="203"/>
      <c r="C3151" s="204"/>
      <c r="D3151" s="204"/>
      <c r="E3151" s="204"/>
      <c r="F3151" s="205"/>
      <c r="G3151" s="548"/>
      <c r="H3151" s="550"/>
      <c r="I3151" s="326"/>
      <c r="J3151" s="326"/>
      <c r="K3151" s="326"/>
      <c r="M3151" s="463"/>
      <c r="N3151" s="464"/>
    </row>
    <row r="3152" spans="2:14" hidden="1" outlineLevel="1" x14ac:dyDescent="0.35">
      <c r="B3152" s="203"/>
      <c r="C3152" s="204"/>
      <c r="D3152" s="204"/>
      <c r="E3152" s="204"/>
      <c r="F3152" s="205"/>
      <c r="G3152" s="548"/>
      <c r="H3152" s="550"/>
      <c r="I3152" s="326"/>
      <c r="J3152" s="326"/>
      <c r="K3152" s="326"/>
      <c r="M3152" s="463"/>
      <c r="N3152" s="464"/>
    </row>
    <row r="3153" spans="2:14" hidden="1" outlineLevel="1" x14ac:dyDescent="0.35">
      <c r="B3153" s="203"/>
      <c r="C3153" s="204"/>
      <c r="D3153" s="204"/>
      <c r="E3153" s="204"/>
      <c r="F3153" s="205"/>
      <c r="G3153" s="548"/>
      <c r="H3153" s="550"/>
      <c r="I3153" s="326"/>
      <c r="J3153" s="326"/>
      <c r="K3153" s="326"/>
      <c r="M3153" s="463"/>
      <c r="N3153" s="464"/>
    </row>
    <row r="3154" spans="2:14" hidden="1" outlineLevel="1" x14ac:dyDescent="0.35">
      <c r="B3154" s="203"/>
      <c r="C3154" s="204"/>
      <c r="D3154" s="204"/>
      <c r="E3154" s="204"/>
      <c r="F3154" s="205"/>
      <c r="G3154" s="548"/>
      <c r="H3154" s="550"/>
      <c r="I3154" s="326"/>
      <c r="J3154" s="326"/>
      <c r="K3154" s="326"/>
      <c r="M3154" s="463"/>
      <c r="N3154" s="464"/>
    </row>
    <row r="3155" spans="2:14" hidden="1" outlineLevel="1" x14ac:dyDescent="0.35">
      <c r="B3155" s="203"/>
      <c r="C3155" s="204"/>
      <c r="D3155" s="204"/>
      <c r="E3155" s="204"/>
      <c r="F3155" s="205"/>
      <c r="G3155" s="548"/>
      <c r="H3155" s="550"/>
      <c r="I3155" s="326"/>
      <c r="J3155" s="326"/>
      <c r="K3155" s="326"/>
      <c r="M3155" s="463"/>
      <c r="N3155" s="464"/>
    </row>
    <row r="3156" spans="2:14" hidden="1" outlineLevel="1" x14ac:dyDescent="0.35">
      <c r="B3156" s="203"/>
      <c r="C3156" s="204"/>
      <c r="D3156" s="204"/>
      <c r="E3156" s="204"/>
      <c r="F3156" s="205"/>
      <c r="G3156" s="548"/>
      <c r="H3156" s="550"/>
      <c r="I3156" s="326"/>
      <c r="J3156" s="326"/>
      <c r="K3156" s="326"/>
      <c r="M3156" s="463"/>
      <c r="N3156" s="464"/>
    </row>
    <row r="3157" spans="2:14" hidden="1" outlineLevel="1" x14ac:dyDescent="0.35">
      <c r="B3157" s="203"/>
      <c r="C3157" s="204"/>
      <c r="D3157" s="204"/>
      <c r="E3157" s="204"/>
      <c r="F3157" s="205"/>
      <c r="G3157" s="548"/>
      <c r="H3157" s="550"/>
      <c r="I3157" s="326"/>
      <c r="J3157" s="326"/>
      <c r="K3157" s="326"/>
      <c r="M3157" s="463"/>
      <c r="N3157" s="464"/>
    </row>
    <row r="3158" spans="2:14" hidden="1" outlineLevel="1" x14ac:dyDescent="0.35">
      <c r="B3158" s="203"/>
      <c r="C3158" s="204"/>
      <c r="D3158" s="204"/>
      <c r="E3158" s="204"/>
      <c r="F3158" s="205"/>
      <c r="G3158" s="548"/>
      <c r="H3158" s="550"/>
      <c r="I3158" s="326"/>
      <c r="J3158" s="326"/>
      <c r="K3158" s="326"/>
      <c r="M3158" s="463"/>
      <c r="N3158" s="464"/>
    </row>
    <row r="3159" spans="2:14" hidden="1" outlineLevel="1" x14ac:dyDescent="0.35">
      <c r="B3159" s="203"/>
      <c r="C3159" s="204"/>
      <c r="D3159" s="204"/>
      <c r="E3159" s="204"/>
      <c r="F3159" s="205"/>
      <c r="G3159" s="548"/>
      <c r="H3159" s="550"/>
      <c r="I3159" s="326"/>
      <c r="J3159" s="326"/>
      <c r="K3159" s="326"/>
      <c r="M3159" s="463"/>
      <c r="N3159" s="464"/>
    </row>
    <row r="3160" spans="2:14" hidden="1" outlineLevel="1" x14ac:dyDescent="0.35">
      <c r="B3160" s="203"/>
      <c r="C3160" s="204"/>
      <c r="D3160" s="204"/>
      <c r="E3160" s="204"/>
      <c r="F3160" s="205"/>
      <c r="G3160" s="548"/>
      <c r="H3160" s="550"/>
      <c r="I3160" s="326"/>
      <c r="J3160" s="326"/>
      <c r="K3160" s="326"/>
      <c r="M3160" s="463"/>
      <c r="N3160" s="464"/>
    </row>
    <row r="3161" spans="2:14" hidden="1" outlineLevel="1" x14ac:dyDescent="0.35">
      <c r="B3161" s="203"/>
      <c r="C3161" s="204"/>
      <c r="D3161" s="204"/>
      <c r="E3161" s="204"/>
      <c r="F3161" s="205"/>
      <c r="G3161" s="548"/>
      <c r="H3161" s="550"/>
      <c r="I3161" s="326"/>
      <c r="J3161" s="326"/>
      <c r="K3161" s="326"/>
      <c r="M3161" s="463"/>
      <c r="N3161" s="464"/>
    </row>
    <row r="3162" spans="2:14" hidden="1" outlineLevel="1" x14ac:dyDescent="0.35">
      <c r="B3162" s="203"/>
      <c r="C3162" s="204"/>
      <c r="D3162" s="204"/>
      <c r="E3162" s="204"/>
      <c r="F3162" s="205"/>
      <c r="G3162" s="548"/>
      <c r="H3162" s="550"/>
      <c r="I3162" s="326"/>
      <c r="J3162" s="326"/>
      <c r="K3162" s="326"/>
      <c r="M3162" s="463"/>
      <c r="N3162" s="464"/>
    </row>
    <row r="3163" spans="2:14" hidden="1" outlineLevel="1" x14ac:dyDescent="0.35">
      <c r="B3163" s="203"/>
      <c r="C3163" s="204"/>
      <c r="D3163" s="204"/>
      <c r="E3163" s="204"/>
      <c r="F3163" s="205"/>
      <c r="G3163" s="548"/>
      <c r="H3163" s="550"/>
      <c r="I3163" s="326"/>
      <c r="J3163" s="326"/>
      <c r="K3163" s="326"/>
      <c r="M3163" s="463"/>
      <c r="N3163" s="464"/>
    </row>
    <row r="3164" spans="2:14" hidden="1" outlineLevel="1" x14ac:dyDescent="0.35">
      <c r="B3164" s="203"/>
      <c r="C3164" s="204"/>
      <c r="D3164" s="204"/>
      <c r="E3164" s="204"/>
      <c r="F3164" s="205"/>
      <c r="G3164" s="548"/>
      <c r="H3164" s="550"/>
      <c r="I3164" s="326"/>
      <c r="J3164" s="326"/>
      <c r="K3164" s="326"/>
      <c r="M3164" s="463"/>
      <c r="N3164" s="464"/>
    </row>
    <row r="3165" spans="2:14" hidden="1" outlineLevel="1" x14ac:dyDescent="0.35">
      <c r="B3165" s="203"/>
      <c r="C3165" s="204"/>
      <c r="D3165" s="204"/>
      <c r="E3165" s="204"/>
      <c r="F3165" s="205"/>
      <c r="G3165" s="548"/>
      <c r="H3165" s="550"/>
      <c r="I3165" s="326"/>
      <c r="J3165" s="326"/>
      <c r="K3165" s="326"/>
      <c r="M3165" s="463"/>
      <c r="N3165" s="464"/>
    </row>
    <row r="3166" spans="2:14" hidden="1" outlineLevel="1" x14ac:dyDescent="0.35">
      <c r="B3166" s="203"/>
      <c r="C3166" s="204"/>
      <c r="D3166" s="204"/>
      <c r="E3166" s="204"/>
      <c r="F3166" s="205"/>
      <c r="G3166" s="548"/>
      <c r="H3166" s="550"/>
      <c r="I3166" s="326"/>
      <c r="J3166" s="326"/>
      <c r="K3166" s="326"/>
      <c r="M3166" s="463"/>
      <c r="N3166" s="464"/>
    </row>
    <row r="3167" spans="2:14" hidden="1" outlineLevel="1" x14ac:dyDescent="0.35">
      <c r="B3167" s="203"/>
      <c r="C3167" s="204"/>
      <c r="D3167" s="204"/>
      <c r="E3167" s="204"/>
      <c r="F3167" s="205"/>
      <c r="G3167" s="548"/>
      <c r="H3167" s="550"/>
      <c r="I3167" s="326"/>
      <c r="J3167" s="326"/>
      <c r="K3167" s="326"/>
      <c r="M3167" s="463"/>
      <c r="N3167" s="464"/>
    </row>
    <row r="3168" spans="2:14" hidden="1" outlineLevel="1" x14ac:dyDescent="0.35">
      <c r="B3168" s="203"/>
      <c r="C3168" s="204"/>
      <c r="D3168" s="204"/>
      <c r="E3168" s="204"/>
      <c r="F3168" s="205"/>
      <c r="G3168" s="548"/>
      <c r="H3168" s="550"/>
      <c r="I3168" s="326"/>
      <c r="J3168" s="326"/>
      <c r="K3168" s="326"/>
      <c r="M3168" s="463"/>
      <c r="N3168" s="464"/>
    </row>
    <row r="3169" spans="2:14" hidden="1" outlineLevel="1" x14ac:dyDescent="0.35">
      <c r="B3169" s="203"/>
      <c r="C3169" s="204"/>
      <c r="D3169" s="204"/>
      <c r="E3169" s="204"/>
      <c r="F3169" s="205"/>
      <c r="G3169" s="548"/>
      <c r="H3169" s="550"/>
      <c r="I3169" s="326"/>
      <c r="J3169" s="326"/>
      <c r="K3169" s="326"/>
      <c r="M3169" s="463"/>
      <c r="N3169" s="464"/>
    </row>
    <row r="3170" spans="2:14" hidden="1" outlineLevel="1" x14ac:dyDescent="0.35">
      <c r="B3170" s="203"/>
      <c r="C3170" s="204"/>
      <c r="D3170" s="204"/>
      <c r="E3170" s="204"/>
      <c r="F3170" s="205"/>
      <c r="G3170" s="548"/>
      <c r="H3170" s="550"/>
      <c r="I3170" s="326"/>
      <c r="J3170" s="326"/>
      <c r="K3170" s="326"/>
      <c r="M3170" s="463"/>
      <c r="N3170" s="464"/>
    </row>
    <row r="3171" spans="2:14" hidden="1" outlineLevel="1" x14ac:dyDescent="0.35">
      <c r="B3171" s="203"/>
      <c r="C3171" s="204"/>
      <c r="D3171" s="204"/>
      <c r="E3171" s="204"/>
      <c r="F3171" s="205"/>
      <c r="G3171" s="548"/>
      <c r="H3171" s="550"/>
      <c r="I3171" s="326"/>
      <c r="J3171" s="326"/>
      <c r="K3171" s="326"/>
      <c r="M3171" s="463"/>
      <c r="N3171" s="464"/>
    </row>
    <row r="3172" spans="2:14" hidden="1" outlineLevel="1" x14ac:dyDescent="0.35">
      <c r="B3172" s="203"/>
      <c r="C3172" s="204"/>
      <c r="D3172" s="204"/>
      <c r="E3172" s="204"/>
      <c r="F3172" s="205"/>
      <c r="G3172" s="548"/>
      <c r="H3172" s="550"/>
      <c r="I3172" s="326"/>
      <c r="J3172" s="326"/>
      <c r="K3172" s="326"/>
      <c r="M3172" s="463"/>
      <c r="N3172" s="464"/>
    </row>
    <row r="3173" spans="2:14" hidden="1" outlineLevel="1" x14ac:dyDescent="0.35">
      <c r="B3173" s="203"/>
      <c r="C3173" s="204"/>
      <c r="D3173" s="204"/>
      <c r="E3173" s="204"/>
      <c r="F3173" s="205"/>
      <c r="G3173" s="548"/>
      <c r="H3173" s="550"/>
      <c r="I3173" s="326"/>
      <c r="J3173" s="326"/>
      <c r="K3173" s="326"/>
      <c r="M3173" s="463"/>
      <c r="N3173" s="464"/>
    </row>
    <row r="3174" spans="2:14" hidden="1" outlineLevel="1" x14ac:dyDescent="0.35">
      <c r="B3174" s="203"/>
      <c r="C3174" s="204"/>
      <c r="D3174" s="204"/>
      <c r="E3174" s="204"/>
      <c r="F3174" s="205"/>
      <c r="G3174" s="548"/>
      <c r="H3174" s="550"/>
      <c r="I3174" s="326"/>
      <c r="J3174" s="326"/>
      <c r="K3174" s="326"/>
      <c r="M3174" s="463"/>
      <c r="N3174" s="464"/>
    </row>
    <row r="3175" spans="2:14" hidden="1" outlineLevel="1" x14ac:dyDescent="0.35">
      <c r="B3175" s="203"/>
      <c r="C3175" s="204"/>
      <c r="D3175" s="204"/>
      <c r="E3175" s="204"/>
      <c r="F3175" s="205"/>
      <c r="G3175" s="548"/>
      <c r="H3175" s="550"/>
      <c r="I3175" s="326"/>
      <c r="J3175" s="326"/>
      <c r="K3175" s="326"/>
      <c r="M3175" s="463"/>
      <c r="N3175" s="464"/>
    </row>
    <row r="3176" spans="2:14" hidden="1" outlineLevel="1" x14ac:dyDescent="0.35">
      <c r="B3176" s="203"/>
      <c r="C3176" s="204"/>
      <c r="D3176" s="204"/>
      <c r="E3176" s="204"/>
      <c r="F3176" s="205"/>
      <c r="G3176" s="548"/>
      <c r="H3176" s="550"/>
      <c r="I3176" s="326"/>
      <c r="J3176" s="326"/>
      <c r="K3176" s="326"/>
      <c r="M3176" s="463"/>
      <c r="N3176" s="464"/>
    </row>
    <row r="3177" spans="2:14" hidden="1" outlineLevel="1" x14ac:dyDescent="0.35">
      <c r="B3177" s="203"/>
      <c r="C3177" s="204"/>
      <c r="D3177" s="204"/>
      <c r="E3177" s="204"/>
      <c r="F3177" s="205"/>
      <c r="G3177" s="548"/>
      <c r="H3177" s="550"/>
      <c r="I3177" s="326"/>
      <c r="J3177" s="326"/>
      <c r="K3177" s="326"/>
      <c r="M3177" s="463"/>
      <c r="N3177" s="464"/>
    </row>
    <row r="3178" spans="2:14" hidden="1" outlineLevel="1" x14ac:dyDescent="0.35">
      <c r="B3178" s="203"/>
      <c r="C3178" s="204"/>
      <c r="D3178" s="204"/>
      <c r="E3178" s="204"/>
      <c r="F3178" s="205"/>
      <c r="G3178" s="548"/>
      <c r="H3178" s="550"/>
      <c r="I3178" s="326"/>
      <c r="J3178" s="326"/>
      <c r="K3178" s="326"/>
      <c r="M3178" s="463"/>
      <c r="N3178" s="464"/>
    </row>
    <row r="3179" spans="2:14" hidden="1" outlineLevel="1" x14ac:dyDescent="0.35">
      <c r="B3179" s="203"/>
      <c r="C3179" s="204"/>
      <c r="D3179" s="204"/>
      <c r="E3179" s="204"/>
      <c r="F3179" s="205"/>
      <c r="G3179" s="548"/>
      <c r="H3179" s="550"/>
      <c r="I3179" s="326"/>
      <c r="J3179" s="326"/>
      <c r="K3179" s="326"/>
      <c r="M3179" s="463"/>
      <c r="N3179" s="464"/>
    </row>
    <row r="3180" spans="2:14" hidden="1" outlineLevel="1" x14ac:dyDescent="0.35">
      <c r="B3180" s="203"/>
      <c r="C3180" s="204"/>
      <c r="D3180" s="204"/>
      <c r="E3180" s="204"/>
      <c r="F3180" s="205"/>
      <c r="G3180" s="548"/>
      <c r="H3180" s="550"/>
      <c r="I3180" s="326"/>
      <c r="J3180" s="326"/>
      <c r="K3180" s="326"/>
      <c r="M3180" s="463"/>
      <c r="N3180" s="464"/>
    </row>
    <row r="3181" spans="2:14" hidden="1" outlineLevel="1" x14ac:dyDescent="0.35">
      <c r="B3181" s="203"/>
      <c r="C3181" s="204"/>
      <c r="D3181" s="204"/>
      <c r="E3181" s="204"/>
      <c r="F3181" s="205"/>
      <c r="G3181" s="548"/>
      <c r="H3181" s="550"/>
      <c r="I3181" s="326"/>
      <c r="J3181" s="326"/>
      <c r="K3181" s="326"/>
      <c r="M3181" s="463"/>
      <c r="N3181" s="464"/>
    </row>
    <row r="3182" spans="2:14" hidden="1" outlineLevel="1" x14ac:dyDescent="0.35">
      <c r="B3182" s="203"/>
      <c r="C3182" s="204"/>
      <c r="D3182" s="204"/>
      <c r="E3182" s="204"/>
      <c r="F3182" s="205"/>
      <c r="G3182" s="548"/>
      <c r="H3182" s="550"/>
      <c r="I3182" s="326"/>
      <c r="J3182" s="326"/>
      <c r="K3182" s="326"/>
      <c r="M3182" s="463"/>
      <c r="N3182" s="464"/>
    </row>
    <row r="3183" spans="2:14" hidden="1" outlineLevel="1" x14ac:dyDescent="0.35">
      <c r="B3183" s="203"/>
      <c r="C3183" s="204"/>
      <c r="D3183" s="204"/>
      <c r="E3183" s="204"/>
      <c r="F3183" s="205"/>
      <c r="G3183" s="548"/>
      <c r="H3183" s="550"/>
      <c r="I3183" s="326"/>
      <c r="J3183" s="326"/>
      <c r="K3183" s="326"/>
      <c r="M3183" s="463"/>
      <c r="N3183" s="464"/>
    </row>
    <row r="3184" spans="2:14" hidden="1" outlineLevel="1" x14ac:dyDescent="0.35">
      <c r="B3184" s="203"/>
      <c r="C3184" s="204"/>
      <c r="D3184" s="204"/>
      <c r="E3184" s="204"/>
      <c r="F3184" s="205"/>
      <c r="G3184" s="548"/>
      <c r="H3184" s="550"/>
      <c r="I3184" s="326"/>
      <c r="J3184" s="326"/>
      <c r="K3184" s="326"/>
      <c r="M3184" s="463"/>
      <c r="N3184" s="464"/>
    </row>
    <row r="3185" spans="2:14" hidden="1" outlineLevel="1" x14ac:dyDescent="0.35">
      <c r="B3185" s="203"/>
      <c r="C3185" s="204"/>
      <c r="D3185" s="204"/>
      <c r="E3185" s="204"/>
      <c r="F3185" s="205"/>
      <c r="G3185" s="548"/>
      <c r="H3185" s="550"/>
      <c r="I3185" s="326"/>
      <c r="J3185" s="326"/>
      <c r="K3185" s="326"/>
      <c r="M3185" s="463"/>
      <c r="N3185" s="464"/>
    </row>
    <row r="3186" spans="2:14" hidden="1" outlineLevel="1" x14ac:dyDescent="0.35">
      <c r="B3186" s="203"/>
      <c r="C3186" s="204"/>
      <c r="D3186" s="204"/>
      <c r="E3186" s="204"/>
      <c r="F3186" s="205"/>
      <c r="G3186" s="548"/>
      <c r="H3186" s="550"/>
      <c r="I3186" s="326"/>
      <c r="J3186" s="326"/>
      <c r="K3186" s="326"/>
      <c r="M3186" s="463"/>
      <c r="N3186" s="464"/>
    </row>
    <row r="3187" spans="2:14" hidden="1" outlineLevel="1" x14ac:dyDescent="0.35">
      <c r="B3187" s="203"/>
      <c r="C3187" s="204"/>
      <c r="D3187" s="204"/>
      <c r="E3187" s="204"/>
      <c r="F3187" s="205"/>
      <c r="G3187" s="548"/>
      <c r="H3187" s="550"/>
      <c r="I3187" s="326"/>
      <c r="J3187" s="326"/>
      <c r="K3187" s="326"/>
      <c r="M3187" s="463"/>
      <c r="N3187" s="464"/>
    </row>
    <row r="3188" spans="2:14" hidden="1" outlineLevel="1" x14ac:dyDescent="0.35">
      <c r="B3188" s="203"/>
      <c r="C3188" s="204"/>
      <c r="D3188" s="204"/>
      <c r="E3188" s="204"/>
      <c r="F3188" s="205"/>
      <c r="G3188" s="548"/>
      <c r="H3188" s="550"/>
      <c r="I3188" s="326"/>
      <c r="J3188" s="326"/>
      <c r="K3188" s="326"/>
      <c r="M3188" s="463"/>
      <c r="N3188" s="464"/>
    </row>
    <row r="3189" spans="2:14" hidden="1" outlineLevel="1" x14ac:dyDescent="0.35">
      <c r="B3189" s="203"/>
      <c r="C3189" s="204"/>
      <c r="D3189" s="204"/>
      <c r="E3189" s="204"/>
      <c r="F3189" s="205"/>
      <c r="G3189" s="548"/>
      <c r="H3189" s="550"/>
      <c r="I3189" s="326"/>
      <c r="J3189" s="326"/>
      <c r="K3189" s="326"/>
      <c r="M3189" s="463"/>
      <c r="N3189" s="464"/>
    </row>
    <row r="3190" spans="2:14" hidden="1" outlineLevel="1" x14ac:dyDescent="0.35">
      <c r="B3190" s="203"/>
      <c r="C3190" s="204"/>
      <c r="D3190" s="204"/>
      <c r="E3190" s="204"/>
      <c r="F3190" s="205"/>
      <c r="G3190" s="548"/>
      <c r="H3190" s="550"/>
      <c r="I3190" s="326"/>
      <c r="J3190" s="326"/>
      <c r="K3190" s="326"/>
      <c r="M3190" s="463"/>
      <c r="N3190" s="464"/>
    </row>
    <row r="3191" spans="2:14" hidden="1" outlineLevel="1" x14ac:dyDescent="0.35">
      <c r="B3191" s="203"/>
      <c r="C3191" s="204"/>
      <c r="D3191" s="204"/>
      <c r="E3191" s="204"/>
      <c r="F3191" s="205"/>
      <c r="G3191" s="548"/>
      <c r="H3191" s="550"/>
      <c r="I3191" s="326"/>
      <c r="J3191" s="326"/>
      <c r="K3191" s="326"/>
      <c r="M3191" s="463"/>
      <c r="N3191" s="464"/>
    </row>
    <row r="3192" spans="2:14" hidden="1" outlineLevel="1" x14ac:dyDescent="0.35">
      <c r="B3192" s="203"/>
      <c r="C3192" s="204"/>
      <c r="D3192" s="204"/>
      <c r="E3192" s="204"/>
      <c r="F3192" s="205"/>
      <c r="G3192" s="548"/>
      <c r="H3192" s="550"/>
      <c r="I3192" s="326"/>
      <c r="J3192" s="326"/>
      <c r="K3192" s="326"/>
      <c r="M3192" s="463"/>
      <c r="N3192" s="464"/>
    </row>
    <row r="3193" spans="2:14" hidden="1" outlineLevel="1" x14ac:dyDescent="0.35">
      <c r="B3193" s="203"/>
      <c r="C3193" s="204"/>
      <c r="D3193" s="204"/>
      <c r="E3193" s="204"/>
      <c r="F3193" s="205"/>
      <c r="G3193" s="548"/>
      <c r="H3193" s="550"/>
      <c r="I3193" s="326"/>
      <c r="J3193" s="326"/>
      <c r="K3193" s="326"/>
      <c r="M3193" s="463"/>
      <c r="N3193" s="464"/>
    </row>
    <row r="3194" spans="2:14" hidden="1" outlineLevel="1" x14ac:dyDescent="0.35">
      <c r="B3194" s="203"/>
      <c r="C3194" s="204"/>
      <c r="D3194" s="204"/>
      <c r="E3194" s="204"/>
      <c r="F3194" s="205"/>
      <c r="G3194" s="548"/>
      <c r="H3194" s="550"/>
      <c r="I3194" s="326"/>
      <c r="J3194" s="326"/>
      <c r="K3194" s="326"/>
      <c r="M3194" s="463"/>
      <c r="N3194" s="464"/>
    </row>
    <row r="3195" spans="2:14" hidden="1" outlineLevel="1" x14ac:dyDescent="0.35">
      <c r="B3195" s="203"/>
      <c r="C3195" s="204"/>
      <c r="D3195" s="204"/>
      <c r="E3195" s="204"/>
      <c r="F3195" s="205"/>
      <c r="G3195" s="548"/>
      <c r="H3195" s="550"/>
      <c r="I3195" s="326"/>
      <c r="J3195" s="326"/>
      <c r="K3195" s="326"/>
      <c r="M3195" s="463"/>
      <c r="N3195" s="464"/>
    </row>
    <row r="3196" spans="2:14" hidden="1" outlineLevel="1" x14ac:dyDescent="0.35">
      <c r="B3196" s="203"/>
      <c r="C3196" s="204"/>
      <c r="D3196" s="204"/>
      <c r="E3196" s="204"/>
      <c r="F3196" s="205"/>
      <c r="G3196" s="548"/>
      <c r="H3196" s="550"/>
      <c r="I3196" s="326"/>
      <c r="J3196" s="326"/>
      <c r="K3196" s="326"/>
      <c r="M3196" s="463"/>
      <c r="N3196" s="464"/>
    </row>
    <row r="3197" spans="2:14" hidden="1" outlineLevel="1" x14ac:dyDescent="0.35">
      <c r="B3197" s="203"/>
      <c r="C3197" s="204"/>
      <c r="D3197" s="204"/>
      <c r="E3197" s="204"/>
      <c r="F3197" s="205"/>
      <c r="G3197" s="548"/>
      <c r="H3197" s="550"/>
      <c r="I3197" s="326"/>
      <c r="J3197" s="326"/>
      <c r="K3197" s="326"/>
      <c r="M3197" s="463"/>
      <c r="N3197" s="464"/>
    </row>
    <row r="3198" spans="2:14" hidden="1" outlineLevel="1" x14ac:dyDescent="0.35">
      <c r="B3198" s="203"/>
      <c r="C3198" s="204"/>
      <c r="D3198" s="204"/>
      <c r="E3198" s="204"/>
      <c r="F3198" s="205"/>
      <c r="G3198" s="548"/>
      <c r="H3198" s="550"/>
      <c r="I3198" s="326"/>
      <c r="J3198" s="326"/>
      <c r="K3198" s="326"/>
      <c r="M3198" s="463"/>
      <c r="N3198" s="464"/>
    </row>
    <row r="3199" spans="2:14" hidden="1" outlineLevel="1" x14ac:dyDescent="0.35">
      <c r="B3199" s="203"/>
      <c r="C3199" s="204"/>
      <c r="D3199" s="204"/>
      <c r="E3199" s="204"/>
      <c r="F3199" s="205"/>
      <c r="G3199" s="548"/>
      <c r="H3199" s="550"/>
      <c r="I3199" s="326"/>
      <c r="J3199" s="326"/>
      <c r="K3199" s="326"/>
      <c r="M3199" s="463"/>
      <c r="N3199" s="464"/>
    </row>
    <row r="3200" spans="2:14" hidden="1" outlineLevel="1" x14ac:dyDescent="0.35">
      <c r="B3200" s="203"/>
      <c r="C3200" s="204"/>
      <c r="D3200" s="204"/>
      <c r="E3200" s="204"/>
      <c r="F3200" s="205"/>
      <c r="G3200" s="548"/>
      <c r="H3200" s="550"/>
      <c r="I3200" s="326"/>
      <c r="J3200" s="326"/>
      <c r="K3200" s="326"/>
      <c r="M3200" s="463"/>
      <c r="N3200" s="464"/>
    </row>
    <row r="3201" spans="2:14" hidden="1" outlineLevel="1" x14ac:dyDescent="0.35">
      <c r="B3201" s="203"/>
      <c r="C3201" s="204"/>
      <c r="D3201" s="204"/>
      <c r="E3201" s="204"/>
      <c r="F3201" s="205"/>
      <c r="G3201" s="548"/>
      <c r="H3201" s="550"/>
      <c r="I3201" s="326"/>
      <c r="J3201" s="326"/>
      <c r="K3201" s="326"/>
      <c r="M3201" s="463"/>
      <c r="N3201" s="464"/>
    </row>
    <row r="3202" spans="2:14" hidden="1" outlineLevel="1" x14ac:dyDescent="0.35">
      <c r="B3202" s="203"/>
      <c r="C3202" s="204"/>
      <c r="D3202" s="204"/>
      <c r="E3202" s="204"/>
      <c r="F3202" s="205"/>
      <c r="G3202" s="548"/>
      <c r="H3202" s="550"/>
      <c r="I3202" s="326"/>
      <c r="J3202" s="326"/>
      <c r="K3202" s="326"/>
      <c r="M3202" s="463"/>
      <c r="N3202" s="464"/>
    </row>
    <row r="3203" spans="2:14" hidden="1" outlineLevel="1" x14ac:dyDescent="0.35">
      <c r="B3203" s="203"/>
      <c r="C3203" s="204"/>
      <c r="D3203" s="204"/>
      <c r="E3203" s="204"/>
      <c r="F3203" s="205"/>
      <c r="G3203" s="548"/>
      <c r="H3203" s="550"/>
      <c r="I3203" s="326"/>
      <c r="J3203" s="326"/>
      <c r="K3203" s="326"/>
      <c r="M3203" s="463"/>
      <c r="N3203" s="464"/>
    </row>
    <row r="3204" spans="2:14" hidden="1" outlineLevel="1" x14ac:dyDescent="0.35">
      <c r="B3204" s="203"/>
      <c r="C3204" s="204"/>
      <c r="D3204" s="204"/>
      <c r="E3204" s="204"/>
      <c r="F3204" s="205"/>
      <c r="G3204" s="548"/>
      <c r="H3204" s="550"/>
      <c r="I3204" s="326"/>
      <c r="J3204" s="326"/>
      <c r="K3204" s="326"/>
      <c r="M3204" s="463"/>
      <c r="N3204" s="464"/>
    </row>
    <row r="3205" spans="2:14" hidden="1" outlineLevel="1" x14ac:dyDescent="0.35">
      <c r="B3205" s="203"/>
      <c r="C3205" s="204"/>
      <c r="D3205" s="204"/>
      <c r="E3205" s="204"/>
      <c r="F3205" s="205"/>
      <c r="G3205" s="548"/>
      <c r="H3205" s="550"/>
      <c r="I3205" s="326"/>
      <c r="J3205" s="326"/>
      <c r="K3205" s="326"/>
      <c r="M3205" s="463"/>
      <c r="N3205" s="464"/>
    </row>
    <row r="3206" spans="2:14" hidden="1" outlineLevel="1" x14ac:dyDescent="0.35">
      <c r="B3206" s="203"/>
      <c r="C3206" s="204"/>
      <c r="D3206" s="204"/>
      <c r="E3206" s="204"/>
      <c r="F3206" s="205"/>
      <c r="G3206" s="548"/>
      <c r="H3206" s="550"/>
      <c r="I3206" s="326"/>
      <c r="J3206" s="326"/>
      <c r="K3206" s="326"/>
      <c r="M3206" s="463"/>
      <c r="N3206" s="464"/>
    </row>
    <row r="3207" spans="2:14" hidden="1" outlineLevel="1" x14ac:dyDescent="0.35">
      <c r="B3207" s="203"/>
      <c r="C3207" s="204"/>
      <c r="D3207" s="204"/>
      <c r="E3207" s="204"/>
      <c r="F3207" s="205"/>
      <c r="G3207" s="548"/>
      <c r="H3207" s="550"/>
      <c r="I3207" s="326"/>
      <c r="J3207" s="326"/>
      <c r="K3207" s="326"/>
      <c r="M3207" s="463"/>
      <c r="N3207" s="464"/>
    </row>
    <row r="3208" spans="2:14" hidden="1" outlineLevel="1" x14ac:dyDescent="0.35">
      <c r="B3208" s="203"/>
      <c r="C3208" s="204"/>
      <c r="D3208" s="204"/>
      <c r="E3208" s="204"/>
      <c r="F3208" s="205"/>
      <c r="G3208" s="548"/>
      <c r="H3208" s="550"/>
      <c r="I3208" s="326"/>
      <c r="J3208" s="326"/>
      <c r="K3208" s="326"/>
      <c r="M3208" s="463"/>
      <c r="N3208" s="464"/>
    </row>
    <row r="3209" spans="2:14" hidden="1" outlineLevel="1" x14ac:dyDescent="0.35">
      <c r="B3209" s="203"/>
      <c r="C3209" s="204"/>
      <c r="D3209" s="204"/>
      <c r="E3209" s="204"/>
      <c r="F3209" s="205"/>
      <c r="G3209" s="548"/>
      <c r="H3209" s="550"/>
      <c r="I3209" s="326"/>
      <c r="J3209" s="326"/>
      <c r="K3209" s="326"/>
      <c r="M3209" s="463"/>
      <c r="N3209" s="464"/>
    </row>
    <row r="3210" spans="2:14" hidden="1" outlineLevel="1" x14ac:dyDescent="0.35">
      <c r="B3210" s="203"/>
      <c r="C3210" s="204"/>
      <c r="D3210" s="204"/>
      <c r="E3210" s="204"/>
      <c r="F3210" s="205"/>
      <c r="G3210" s="548"/>
      <c r="H3210" s="550"/>
      <c r="I3210" s="326"/>
      <c r="J3210" s="326"/>
      <c r="K3210" s="326"/>
      <c r="M3210" s="463"/>
      <c r="N3210" s="464"/>
    </row>
    <row r="3211" spans="2:14" hidden="1" outlineLevel="1" x14ac:dyDescent="0.35">
      <c r="B3211" s="203"/>
      <c r="C3211" s="204"/>
      <c r="D3211" s="204"/>
      <c r="E3211" s="204"/>
      <c r="F3211" s="205"/>
      <c r="G3211" s="548"/>
      <c r="H3211" s="550"/>
      <c r="I3211" s="326"/>
      <c r="J3211" s="326"/>
      <c r="K3211" s="326"/>
      <c r="M3211" s="463"/>
      <c r="N3211" s="464"/>
    </row>
    <row r="3212" spans="2:14" hidden="1" outlineLevel="1" x14ac:dyDescent="0.35">
      <c r="B3212" s="203"/>
      <c r="C3212" s="204"/>
      <c r="D3212" s="204"/>
      <c r="E3212" s="204"/>
      <c r="F3212" s="205"/>
      <c r="G3212" s="548"/>
      <c r="H3212" s="550"/>
      <c r="I3212" s="326"/>
      <c r="J3212" s="326"/>
      <c r="K3212" s="326"/>
      <c r="M3212" s="463"/>
      <c r="N3212" s="464"/>
    </row>
    <row r="3213" spans="2:14" hidden="1" outlineLevel="1" x14ac:dyDescent="0.35">
      <c r="B3213" s="203"/>
      <c r="C3213" s="204"/>
      <c r="D3213" s="204"/>
      <c r="E3213" s="204"/>
      <c r="F3213" s="205"/>
      <c r="G3213" s="548"/>
      <c r="H3213" s="550"/>
      <c r="I3213" s="326"/>
      <c r="J3213" s="326"/>
      <c r="K3213" s="326"/>
      <c r="M3213" s="463"/>
      <c r="N3213" s="464"/>
    </row>
    <row r="3214" spans="2:14" hidden="1" outlineLevel="1" x14ac:dyDescent="0.35">
      <c r="B3214" s="203"/>
      <c r="C3214" s="204"/>
      <c r="D3214" s="204"/>
      <c r="E3214" s="204"/>
      <c r="F3214" s="205"/>
      <c r="G3214" s="548"/>
      <c r="H3214" s="550"/>
      <c r="I3214" s="326"/>
      <c r="J3214" s="326"/>
      <c r="K3214" s="326"/>
      <c r="M3214" s="463"/>
      <c r="N3214" s="464"/>
    </row>
    <row r="3215" spans="2:14" hidden="1" outlineLevel="1" x14ac:dyDescent="0.35">
      <c r="B3215" s="203"/>
      <c r="C3215" s="204"/>
      <c r="D3215" s="204"/>
      <c r="E3215" s="204"/>
      <c r="F3215" s="205"/>
      <c r="G3215" s="548"/>
      <c r="H3215" s="550"/>
      <c r="I3215" s="326"/>
      <c r="J3215" s="326"/>
      <c r="K3215" s="326"/>
      <c r="M3215" s="463"/>
      <c r="N3215" s="464"/>
    </row>
    <row r="3216" spans="2:14" hidden="1" outlineLevel="1" x14ac:dyDescent="0.35">
      <c r="B3216" s="203"/>
      <c r="C3216" s="204"/>
      <c r="D3216" s="204"/>
      <c r="E3216" s="204"/>
      <c r="F3216" s="205"/>
      <c r="G3216" s="548"/>
      <c r="H3216" s="550"/>
      <c r="I3216" s="326"/>
      <c r="J3216" s="326"/>
      <c r="K3216" s="326"/>
      <c r="M3216" s="463"/>
      <c r="N3216" s="464"/>
    </row>
    <row r="3217" spans="2:14" hidden="1" outlineLevel="1" x14ac:dyDescent="0.35">
      <c r="B3217" s="203"/>
      <c r="C3217" s="204"/>
      <c r="D3217" s="204"/>
      <c r="E3217" s="204"/>
      <c r="F3217" s="205"/>
      <c r="G3217" s="548"/>
      <c r="H3217" s="550"/>
      <c r="I3217" s="326"/>
      <c r="J3217" s="326"/>
      <c r="K3217" s="326"/>
      <c r="M3217" s="463"/>
      <c r="N3217" s="464"/>
    </row>
    <row r="3218" spans="2:14" hidden="1" outlineLevel="1" x14ac:dyDescent="0.35">
      <c r="B3218" s="203"/>
      <c r="C3218" s="204"/>
      <c r="D3218" s="204"/>
      <c r="E3218" s="204"/>
      <c r="F3218" s="205"/>
      <c r="G3218" s="548"/>
      <c r="H3218" s="550"/>
      <c r="I3218" s="326"/>
      <c r="J3218" s="326"/>
      <c r="K3218" s="326"/>
      <c r="M3218" s="463"/>
      <c r="N3218" s="464"/>
    </row>
    <row r="3219" spans="2:14" hidden="1" outlineLevel="1" x14ac:dyDescent="0.35">
      <c r="B3219" s="203"/>
      <c r="C3219" s="204"/>
      <c r="D3219" s="204"/>
      <c r="E3219" s="204"/>
      <c r="F3219" s="205"/>
      <c r="G3219" s="548"/>
      <c r="H3219" s="550"/>
      <c r="I3219" s="326"/>
      <c r="J3219" s="326"/>
      <c r="K3219" s="326"/>
      <c r="M3219" s="463"/>
      <c r="N3219" s="464"/>
    </row>
    <row r="3220" spans="2:14" hidden="1" outlineLevel="1" x14ac:dyDescent="0.35">
      <c r="B3220" s="203"/>
      <c r="C3220" s="204"/>
      <c r="D3220" s="204"/>
      <c r="E3220" s="204"/>
      <c r="F3220" s="205"/>
      <c r="G3220" s="548"/>
      <c r="H3220" s="550"/>
      <c r="I3220" s="326"/>
      <c r="J3220" s="326"/>
      <c r="K3220" s="326"/>
      <c r="M3220" s="463"/>
      <c r="N3220" s="464"/>
    </row>
    <row r="3221" spans="2:14" hidden="1" outlineLevel="1" x14ac:dyDescent="0.35">
      <c r="B3221" s="203"/>
      <c r="C3221" s="204"/>
      <c r="D3221" s="204"/>
      <c r="E3221" s="204"/>
      <c r="F3221" s="205"/>
      <c r="G3221" s="548"/>
      <c r="H3221" s="550"/>
      <c r="I3221" s="326"/>
      <c r="J3221" s="326"/>
      <c r="K3221" s="326"/>
      <c r="M3221" s="463"/>
      <c r="N3221" s="464"/>
    </row>
    <row r="3222" spans="2:14" hidden="1" outlineLevel="1" x14ac:dyDescent="0.35">
      <c r="B3222" s="203"/>
      <c r="C3222" s="204"/>
      <c r="D3222" s="204"/>
      <c r="E3222" s="204"/>
      <c r="F3222" s="205"/>
      <c r="G3222" s="548"/>
      <c r="H3222" s="550"/>
      <c r="I3222" s="326"/>
      <c r="J3222" s="326"/>
      <c r="K3222" s="326"/>
      <c r="M3222" s="463"/>
      <c r="N3222" s="464"/>
    </row>
    <row r="3223" spans="2:14" hidden="1" outlineLevel="1" x14ac:dyDescent="0.35">
      <c r="B3223" s="203"/>
      <c r="C3223" s="204"/>
      <c r="D3223" s="204"/>
      <c r="E3223" s="204"/>
      <c r="F3223" s="205"/>
      <c r="G3223" s="548"/>
      <c r="H3223" s="550"/>
      <c r="I3223" s="326"/>
      <c r="J3223" s="326"/>
      <c r="K3223" s="326"/>
      <c r="M3223" s="463"/>
      <c r="N3223" s="464"/>
    </row>
    <row r="3224" spans="2:14" hidden="1" outlineLevel="1" x14ac:dyDescent="0.35">
      <c r="B3224" s="203"/>
      <c r="C3224" s="204"/>
      <c r="D3224" s="204"/>
      <c r="E3224" s="204"/>
      <c r="F3224" s="205"/>
      <c r="G3224" s="548"/>
      <c r="H3224" s="550"/>
      <c r="I3224" s="326"/>
      <c r="J3224" s="326"/>
      <c r="K3224" s="326"/>
      <c r="M3224" s="463"/>
      <c r="N3224" s="464"/>
    </row>
    <row r="3225" spans="2:14" hidden="1" outlineLevel="1" x14ac:dyDescent="0.35">
      <c r="B3225" s="203"/>
      <c r="C3225" s="204"/>
      <c r="D3225" s="204"/>
      <c r="E3225" s="204"/>
      <c r="F3225" s="205"/>
      <c r="G3225" s="548"/>
      <c r="H3225" s="550"/>
      <c r="I3225" s="326"/>
      <c r="J3225" s="326"/>
      <c r="K3225" s="326"/>
      <c r="M3225" s="463"/>
      <c r="N3225" s="464"/>
    </row>
    <row r="3226" spans="2:14" hidden="1" outlineLevel="1" x14ac:dyDescent="0.35">
      <c r="B3226" s="203"/>
      <c r="C3226" s="204"/>
      <c r="D3226" s="204"/>
      <c r="E3226" s="204"/>
      <c r="F3226" s="205"/>
      <c r="G3226" s="548"/>
      <c r="H3226" s="550"/>
      <c r="I3226" s="326"/>
      <c r="J3226" s="326"/>
      <c r="K3226" s="326"/>
      <c r="M3226" s="463"/>
      <c r="N3226" s="464"/>
    </row>
    <row r="3227" spans="2:14" hidden="1" outlineLevel="1" x14ac:dyDescent="0.35">
      <c r="B3227" s="203"/>
      <c r="C3227" s="204"/>
      <c r="D3227" s="204"/>
      <c r="E3227" s="204"/>
      <c r="F3227" s="205"/>
      <c r="G3227" s="548"/>
      <c r="H3227" s="550"/>
      <c r="I3227" s="326"/>
      <c r="J3227" s="326"/>
      <c r="K3227" s="326"/>
      <c r="M3227" s="463"/>
      <c r="N3227" s="464"/>
    </row>
    <row r="3228" spans="2:14" hidden="1" outlineLevel="1" x14ac:dyDescent="0.35">
      <c r="B3228" s="203"/>
      <c r="C3228" s="204"/>
      <c r="D3228" s="204"/>
      <c r="E3228" s="204"/>
      <c r="F3228" s="205"/>
      <c r="G3228" s="548"/>
      <c r="H3228" s="550"/>
      <c r="I3228" s="326"/>
      <c r="J3228" s="326"/>
      <c r="K3228" s="326"/>
      <c r="M3228" s="463"/>
      <c r="N3228" s="464"/>
    </row>
    <row r="3229" spans="2:14" hidden="1" outlineLevel="1" x14ac:dyDescent="0.35">
      <c r="B3229" s="203"/>
      <c r="C3229" s="204"/>
      <c r="D3229" s="204"/>
      <c r="E3229" s="204"/>
      <c r="F3229" s="205"/>
      <c r="G3229" s="548"/>
      <c r="H3229" s="550"/>
      <c r="I3229" s="326"/>
      <c r="J3229" s="326"/>
      <c r="K3229" s="326"/>
      <c r="M3229" s="463"/>
      <c r="N3229" s="464"/>
    </row>
    <row r="3230" spans="2:14" hidden="1" outlineLevel="1" x14ac:dyDescent="0.35">
      <c r="B3230" s="203"/>
      <c r="C3230" s="204"/>
      <c r="D3230" s="204"/>
      <c r="E3230" s="204"/>
      <c r="F3230" s="205"/>
      <c r="G3230" s="548"/>
      <c r="H3230" s="550"/>
      <c r="I3230" s="326"/>
      <c r="J3230" s="326"/>
      <c r="K3230" s="326"/>
      <c r="M3230" s="463"/>
      <c r="N3230" s="464"/>
    </row>
    <row r="3231" spans="2:14" hidden="1" outlineLevel="1" x14ac:dyDescent="0.35">
      <c r="B3231" s="203"/>
      <c r="C3231" s="204"/>
      <c r="D3231" s="204"/>
      <c r="E3231" s="204"/>
      <c r="F3231" s="205"/>
      <c r="G3231" s="548"/>
      <c r="H3231" s="550"/>
      <c r="I3231" s="326"/>
      <c r="J3231" s="326"/>
      <c r="K3231" s="326"/>
      <c r="M3231" s="463"/>
      <c r="N3231" s="464"/>
    </row>
    <row r="3232" spans="2:14" hidden="1" outlineLevel="1" x14ac:dyDescent="0.35">
      <c r="B3232" s="203"/>
      <c r="C3232" s="204"/>
      <c r="D3232" s="204"/>
      <c r="E3232" s="204"/>
      <c r="F3232" s="205"/>
      <c r="G3232" s="548"/>
      <c r="H3232" s="550"/>
      <c r="I3232" s="326"/>
      <c r="J3232" s="326"/>
      <c r="K3232" s="326"/>
      <c r="M3232" s="463"/>
      <c r="N3232" s="464"/>
    </row>
    <row r="3233" spans="2:14" hidden="1" outlineLevel="1" x14ac:dyDescent="0.35">
      <c r="B3233" s="203"/>
      <c r="C3233" s="204"/>
      <c r="D3233" s="204"/>
      <c r="E3233" s="204"/>
      <c r="F3233" s="205"/>
      <c r="G3233" s="548"/>
      <c r="H3233" s="550"/>
      <c r="I3233" s="326"/>
      <c r="J3233" s="326"/>
      <c r="K3233" s="326"/>
      <c r="M3233" s="463"/>
      <c r="N3233" s="464"/>
    </row>
    <row r="3234" spans="2:14" hidden="1" outlineLevel="1" x14ac:dyDescent="0.35">
      <c r="B3234" s="203"/>
      <c r="C3234" s="204"/>
      <c r="D3234" s="204"/>
      <c r="E3234" s="204"/>
      <c r="F3234" s="205"/>
      <c r="G3234" s="548"/>
      <c r="H3234" s="550"/>
      <c r="I3234" s="326"/>
      <c r="J3234" s="326"/>
      <c r="K3234" s="326"/>
      <c r="M3234" s="463"/>
      <c r="N3234" s="464"/>
    </row>
    <row r="3235" spans="2:14" hidden="1" outlineLevel="1" x14ac:dyDescent="0.35">
      <c r="B3235" s="203"/>
      <c r="C3235" s="204"/>
      <c r="D3235" s="204"/>
      <c r="E3235" s="204"/>
      <c r="F3235" s="205"/>
      <c r="G3235" s="548"/>
      <c r="H3235" s="550"/>
      <c r="I3235" s="326"/>
      <c r="J3235" s="326"/>
      <c r="K3235" s="326"/>
      <c r="M3235" s="463"/>
      <c r="N3235" s="464"/>
    </row>
    <row r="3236" spans="2:14" hidden="1" outlineLevel="1" x14ac:dyDescent="0.35">
      <c r="B3236" s="203"/>
      <c r="C3236" s="204"/>
      <c r="D3236" s="204"/>
      <c r="E3236" s="204"/>
      <c r="F3236" s="205"/>
      <c r="G3236" s="548"/>
      <c r="H3236" s="550"/>
      <c r="I3236" s="326"/>
      <c r="J3236" s="326"/>
      <c r="K3236" s="326"/>
      <c r="M3236" s="463"/>
      <c r="N3236" s="464"/>
    </row>
    <row r="3237" spans="2:14" hidden="1" outlineLevel="1" x14ac:dyDescent="0.35">
      <c r="B3237" s="203"/>
      <c r="C3237" s="204"/>
      <c r="D3237" s="204"/>
      <c r="E3237" s="204"/>
      <c r="F3237" s="205"/>
      <c r="G3237" s="548"/>
      <c r="H3237" s="550"/>
      <c r="I3237" s="326"/>
      <c r="J3237" s="326"/>
      <c r="K3237" s="326"/>
      <c r="M3237" s="463"/>
      <c r="N3237" s="464"/>
    </row>
    <row r="3238" spans="2:14" hidden="1" outlineLevel="1" x14ac:dyDescent="0.35">
      <c r="B3238" s="203"/>
      <c r="C3238" s="204"/>
      <c r="D3238" s="204"/>
      <c r="E3238" s="204"/>
      <c r="F3238" s="205"/>
      <c r="G3238" s="548"/>
      <c r="H3238" s="550"/>
      <c r="I3238" s="326"/>
      <c r="J3238" s="326"/>
      <c r="K3238" s="326"/>
      <c r="M3238" s="463"/>
      <c r="N3238" s="464"/>
    </row>
    <row r="3239" spans="2:14" hidden="1" outlineLevel="1" x14ac:dyDescent="0.35">
      <c r="B3239" s="203"/>
      <c r="C3239" s="204"/>
      <c r="D3239" s="204"/>
      <c r="E3239" s="204"/>
      <c r="F3239" s="205"/>
      <c r="G3239" s="548"/>
      <c r="H3239" s="550"/>
      <c r="I3239" s="326"/>
      <c r="J3239" s="326"/>
      <c r="K3239" s="326"/>
      <c r="M3239" s="463"/>
      <c r="N3239" s="464"/>
    </row>
    <row r="3240" spans="2:14" hidden="1" outlineLevel="1" x14ac:dyDescent="0.35">
      <c r="B3240" s="203"/>
      <c r="C3240" s="204"/>
      <c r="D3240" s="204"/>
      <c r="E3240" s="204"/>
      <c r="F3240" s="205"/>
      <c r="G3240" s="548"/>
      <c r="H3240" s="550"/>
      <c r="I3240" s="326"/>
      <c r="J3240" s="326"/>
      <c r="K3240" s="326"/>
      <c r="M3240" s="463"/>
      <c r="N3240" s="464"/>
    </row>
    <row r="3241" spans="2:14" hidden="1" outlineLevel="1" x14ac:dyDescent="0.35">
      <c r="B3241" s="203"/>
      <c r="C3241" s="204"/>
      <c r="D3241" s="204"/>
      <c r="E3241" s="204"/>
      <c r="F3241" s="205"/>
      <c r="G3241" s="548"/>
      <c r="H3241" s="550"/>
      <c r="I3241" s="326"/>
      <c r="J3241" s="326"/>
      <c r="K3241" s="326"/>
      <c r="M3241" s="463"/>
      <c r="N3241" s="464"/>
    </row>
    <row r="3242" spans="2:14" hidden="1" outlineLevel="1" x14ac:dyDescent="0.35">
      <c r="B3242" s="203"/>
      <c r="C3242" s="204"/>
      <c r="D3242" s="204"/>
      <c r="E3242" s="204"/>
      <c r="F3242" s="205"/>
      <c r="G3242" s="548"/>
      <c r="H3242" s="550"/>
      <c r="I3242" s="326"/>
      <c r="J3242" s="326"/>
      <c r="K3242" s="326"/>
      <c r="M3242" s="463"/>
      <c r="N3242" s="464"/>
    </row>
    <row r="3243" spans="2:14" hidden="1" outlineLevel="1" x14ac:dyDescent="0.35">
      <c r="B3243" s="203"/>
      <c r="C3243" s="204"/>
      <c r="D3243" s="204"/>
      <c r="E3243" s="204"/>
      <c r="F3243" s="205"/>
      <c r="G3243" s="548"/>
      <c r="H3243" s="550"/>
      <c r="I3243" s="326"/>
      <c r="J3243" s="326"/>
      <c r="K3243" s="326"/>
      <c r="M3243" s="463"/>
      <c r="N3243" s="464"/>
    </row>
    <row r="3244" spans="2:14" hidden="1" outlineLevel="1" x14ac:dyDescent="0.35">
      <c r="B3244" s="203"/>
      <c r="C3244" s="204"/>
      <c r="D3244" s="204"/>
      <c r="E3244" s="204"/>
      <c r="F3244" s="205"/>
      <c r="G3244" s="548"/>
      <c r="H3244" s="550"/>
      <c r="I3244" s="326"/>
      <c r="J3244" s="326"/>
      <c r="K3244" s="326"/>
      <c r="M3244" s="463"/>
      <c r="N3244" s="464"/>
    </row>
    <row r="3245" spans="2:14" hidden="1" outlineLevel="1" x14ac:dyDescent="0.35">
      <c r="B3245" s="203"/>
      <c r="C3245" s="204"/>
      <c r="D3245" s="204"/>
      <c r="E3245" s="204"/>
      <c r="F3245" s="205"/>
      <c r="G3245" s="548"/>
      <c r="H3245" s="550"/>
      <c r="I3245" s="326"/>
      <c r="J3245" s="326"/>
      <c r="K3245" s="326"/>
      <c r="M3245" s="463"/>
      <c r="N3245" s="464"/>
    </row>
    <row r="3246" spans="2:14" hidden="1" outlineLevel="1" x14ac:dyDescent="0.35">
      <c r="B3246" s="203"/>
      <c r="C3246" s="204"/>
      <c r="D3246" s="204"/>
      <c r="E3246" s="204"/>
      <c r="F3246" s="205"/>
      <c r="G3246" s="548"/>
      <c r="H3246" s="550"/>
      <c r="I3246" s="326"/>
      <c r="J3246" s="326"/>
      <c r="K3246" s="326"/>
      <c r="M3246" s="463"/>
      <c r="N3246" s="464"/>
    </row>
    <row r="3247" spans="2:14" hidden="1" outlineLevel="1" x14ac:dyDescent="0.35">
      <c r="B3247" s="203"/>
      <c r="C3247" s="204"/>
      <c r="D3247" s="204"/>
      <c r="E3247" s="204"/>
      <c r="F3247" s="205"/>
      <c r="G3247" s="548"/>
      <c r="H3247" s="550"/>
      <c r="I3247" s="326"/>
      <c r="J3247" s="326"/>
      <c r="K3247" s="326"/>
      <c r="M3247" s="463"/>
      <c r="N3247" s="464"/>
    </row>
    <row r="3248" spans="2:14" hidden="1" outlineLevel="1" x14ac:dyDescent="0.35">
      <c r="B3248" s="203"/>
      <c r="C3248" s="204"/>
      <c r="D3248" s="204"/>
      <c r="E3248" s="204"/>
      <c r="F3248" s="205"/>
      <c r="G3248" s="548"/>
      <c r="H3248" s="550"/>
      <c r="I3248" s="326"/>
      <c r="J3248" s="326"/>
      <c r="K3248" s="326"/>
      <c r="M3248" s="463"/>
      <c r="N3248" s="464"/>
    </row>
    <row r="3249" spans="2:14" hidden="1" outlineLevel="1" x14ac:dyDescent="0.35">
      <c r="B3249" s="203"/>
      <c r="C3249" s="204"/>
      <c r="D3249" s="204"/>
      <c r="E3249" s="204"/>
      <c r="F3249" s="205"/>
      <c r="G3249" s="548"/>
      <c r="H3249" s="550"/>
      <c r="I3249" s="326"/>
      <c r="J3249" s="326"/>
      <c r="K3249" s="326"/>
      <c r="M3249" s="463"/>
      <c r="N3249" s="464"/>
    </row>
    <row r="3250" spans="2:14" hidden="1" outlineLevel="1" x14ac:dyDescent="0.35">
      <c r="B3250" s="203"/>
      <c r="C3250" s="204"/>
      <c r="D3250" s="204"/>
      <c r="E3250" s="204"/>
      <c r="F3250" s="205"/>
      <c r="G3250" s="548"/>
      <c r="H3250" s="550"/>
      <c r="I3250" s="326"/>
      <c r="J3250" s="326"/>
      <c r="K3250" s="326"/>
      <c r="M3250" s="463"/>
      <c r="N3250" s="464"/>
    </row>
    <row r="3251" spans="2:14" hidden="1" outlineLevel="1" x14ac:dyDescent="0.35">
      <c r="B3251" s="203"/>
      <c r="C3251" s="204"/>
      <c r="D3251" s="204"/>
      <c r="E3251" s="204"/>
      <c r="F3251" s="205"/>
      <c r="G3251" s="548"/>
      <c r="H3251" s="550"/>
      <c r="I3251" s="326"/>
      <c r="J3251" s="326"/>
      <c r="K3251" s="326"/>
      <c r="M3251" s="463"/>
      <c r="N3251" s="464"/>
    </row>
    <row r="3252" spans="2:14" hidden="1" outlineLevel="1" x14ac:dyDescent="0.35">
      <c r="B3252" s="203"/>
      <c r="C3252" s="204"/>
      <c r="D3252" s="204"/>
      <c r="E3252" s="204"/>
      <c r="F3252" s="205"/>
      <c r="G3252" s="548"/>
      <c r="H3252" s="550"/>
      <c r="I3252" s="326"/>
      <c r="J3252" s="326"/>
      <c r="K3252" s="326"/>
      <c r="M3252" s="463"/>
      <c r="N3252" s="464"/>
    </row>
    <row r="3253" spans="2:14" hidden="1" outlineLevel="1" x14ac:dyDescent="0.35">
      <c r="B3253" s="203"/>
      <c r="C3253" s="204"/>
      <c r="D3253" s="204"/>
      <c r="E3253" s="204"/>
      <c r="F3253" s="205"/>
      <c r="G3253" s="548"/>
      <c r="H3253" s="550"/>
      <c r="I3253" s="326"/>
      <c r="J3253" s="326"/>
      <c r="K3253" s="326"/>
      <c r="M3253" s="463"/>
      <c r="N3253" s="464"/>
    </row>
    <row r="3254" spans="2:14" hidden="1" outlineLevel="1" x14ac:dyDescent="0.35">
      <c r="B3254" s="203"/>
      <c r="C3254" s="204"/>
      <c r="D3254" s="204"/>
      <c r="E3254" s="204"/>
      <c r="F3254" s="205"/>
      <c r="G3254" s="548"/>
      <c r="H3254" s="550"/>
      <c r="I3254" s="326"/>
      <c r="J3254" s="326"/>
      <c r="K3254" s="326"/>
      <c r="M3254" s="463"/>
      <c r="N3254" s="464"/>
    </row>
    <row r="3255" spans="2:14" hidden="1" outlineLevel="1" x14ac:dyDescent="0.35">
      <c r="B3255" s="203"/>
      <c r="C3255" s="204"/>
      <c r="D3255" s="204"/>
      <c r="E3255" s="204"/>
      <c r="F3255" s="205"/>
      <c r="G3255" s="548"/>
      <c r="H3255" s="550"/>
      <c r="I3255" s="326"/>
      <c r="J3255" s="326"/>
      <c r="K3255" s="326"/>
      <c r="M3255" s="463"/>
      <c r="N3255" s="464"/>
    </row>
    <row r="3256" spans="2:14" hidden="1" outlineLevel="1" x14ac:dyDescent="0.35">
      <c r="B3256" s="203"/>
      <c r="C3256" s="204"/>
      <c r="D3256" s="204"/>
      <c r="E3256" s="204"/>
      <c r="F3256" s="205"/>
      <c r="G3256" s="548"/>
      <c r="H3256" s="550"/>
      <c r="I3256" s="326"/>
      <c r="J3256" s="326"/>
      <c r="K3256" s="326"/>
      <c r="M3256" s="463"/>
      <c r="N3256" s="464"/>
    </row>
    <row r="3257" spans="2:14" hidden="1" outlineLevel="1" x14ac:dyDescent="0.35">
      <c r="B3257" s="203"/>
      <c r="C3257" s="204"/>
      <c r="D3257" s="204"/>
      <c r="E3257" s="204"/>
      <c r="F3257" s="205"/>
      <c r="G3257" s="548"/>
      <c r="H3257" s="550"/>
      <c r="I3257" s="326"/>
      <c r="J3257" s="326"/>
      <c r="K3257" s="326"/>
      <c r="M3257" s="463"/>
      <c r="N3257" s="464"/>
    </row>
    <row r="3258" spans="2:14" hidden="1" outlineLevel="1" x14ac:dyDescent="0.35">
      <c r="B3258" s="203"/>
      <c r="C3258" s="204"/>
      <c r="D3258" s="204"/>
      <c r="E3258" s="204"/>
      <c r="F3258" s="205"/>
      <c r="G3258" s="548"/>
      <c r="H3258" s="550"/>
      <c r="I3258" s="326"/>
      <c r="J3258" s="326"/>
      <c r="K3258" s="326"/>
      <c r="M3258" s="463"/>
      <c r="N3258" s="464"/>
    </row>
    <row r="3259" spans="2:14" hidden="1" outlineLevel="1" x14ac:dyDescent="0.35">
      <c r="B3259" s="203"/>
      <c r="C3259" s="204"/>
      <c r="D3259" s="204"/>
      <c r="E3259" s="204"/>
      <c r="F3259" s="205"/>
      <c r="G3259" s="548"/>
      <c r="H3259" s="550"/>
      <c r="I3259" s="326"/>
      <c r="J3259" s="326"/>
      <c r="K3259" s="326"/>
      <c r="M3259" s="463"/>
      <c r="N3259" s="464"/>
    </row>
    <row r="3260" spans="2:14" hidden="1" outlineLevel="1" x14ac:dyDescent="0.35">
      <c r="B3260" s="203"/>
      <c r="C3260" s="204"/>
      <c r="D3260" s="204"/>
      <c r="E3260" s="204"/>
      <c r="F3260" s="205"/>
      <c r="G3260" s="548"/>
      <c r="H3260" s="550"/>
      <c r="I3260" s="326"/>
      <c r="J3260" s="326"/>
      <c r="K3260" s="326"/>
      <c r="M3260" s="463"/>
      <c r="N3260" s="464"/>
    </row>
    <row r="3261" spans="2:14" hidden="1" outlineLevel="1" x14ac:dyDescent="0.35">
      <c r="B3261" s="203"/>
      <c r="C3261" s="204"/>
      <c r="D3261" s="204"/>
      <c r="E3261" s="204"/>
      <c r="F3261" s="205"/>
      <c r="G3261" s="548"/>
      <c r="H3261" s="550"/>
      <c r="I3261" s="326"/>
      <c r="J3261" s="326"/>
      <c r="K3261" s="326"/>
      <c r="M3261" s="463"/>
      <c r="N3261" s="464"/>
    </row>
    <row r="3262" spans="2:14" hidden="1" outlineLevel="1" x14ac:dyDescent="0.35">
      <c r="B3262" s="203"/>
      <c r="C3262" s="204"/>
      <c r="D3262" s="204"/>
      <c r="E3262" s="204"/>
      <c r="F3262" s="205"/>
      <c r="G3262" s="548"/>
      <c r="H3262" s="550"/>
      <c r="I3262" s="326"/>
      <c r="J3262" s="326"/>
      <c r="K3262" s="326"/>
      <c r="M3262" s="463"/>
      <c r="N3262" s="464"/>
    </row>
    <row r="3263" spans="2:14" hidden="1" outlineLevel="1" x14ac:dyDescent="0.35">
      <c r="B3263" s="203"/>
      <c r="C3263" s="204"/>
      <c r="D3263" s="204"/>
      <c r="E3263" s="204"/>
      <c r="F3263" s="205"/>
      <c r="G3263" s="548"/>
      <c r="H3263" s="550"/>
      <c r="I3263" s="326"/>
      <c r="J3263" s="326"/>
      <c r="K3263" s="326"/>
      <c r="M3263" s="463"/>
      <c r="N3263" s="464"/>
    </row>
    <row r="3264" spans="2:14" hidden="1" outlineLevel="1" x14ac:dyDescent="0.35">
      <c r="B3264" s="203"/>
      <c r="C3264" s="204"/>
      <c r="D3264" s="204"/>
      <c r="E3264" s="204"/>
      <c r="F3264" s="205"/>
      <c r="G3264" s="548"/>
      <c r="H3264" s="550"/>
      <c r="I3264" s="326"/>
      <c r="J3264" s="326"/>
      <c r="K3264" s="326"/>
      <c r="M3264" s="463"/>
      <c r="N3264" s="464"/>
    </row>
    <row r="3265" spans="2:14" hidden="1" outlineLevel="1" x14ac:dyDescent="0.35">
      <c r="B3265" s="203"/>
      <c r="C3265" s="204"/>
      <c r="D3265" s="204"/>
      <c r="E3265" s="204"/>
      <c r="F3265" s="205"/>
      <c r="G3265" s="548"/>
      <c r="H3265" s="550"/>
      <c r="I3265" s="326"/>
      <c r="J3265" s="326"/>
      <c r="K3265" s="326"/>
      <c r="M3265" s="463"/>
      <c r="N3265" s="464"/>
    </row>
    <row r="3266" spans="2:14" hidden="1" outlineLevel="1" x14ac:dyDescent="0.35">
      <c r="B3266" s="203"/>
      <c r="C3266" s="204"/>
      <c r="D3266" s="204"/>
      <c r="E3266" s="204"/>
      <c r="F3266" s="205"/>
      <c r="G3266" s="548"/>
      <c r="H3266" s="550"/>
      <c r="I3266" s="326"/>
      <c r="J3266" s="326"/>
      <c r="K3266" s="326"/>
      <c r="M3266" s="463"/>
      <c r="N3266" s="464"/>
    </row>
    <row r="3267" spans="2:14" hidden="1" outlineLevel="1" x14ac:dyDescent="0.35">
      <c r="B3267" s="203"/>
      <c r="C3267" s="204"/>
      <c r="D3267" s="204"/>
      <c r="E3267" s="204"/>
      <c r="F3267" s="205"/>
      <c r="G3267" s="548"/>
      <c r="H3267" s="550"/>
      <c r="I3267" s="326"/>
      <c r="J3267" s="326"/>
      <c r="K3267" s="326"/>
      <c r="M3267" s="463"/>
      <c r="N3267" s="464"/>
    </row>
    <row r="3268" spans="2:14" hidden="1" outlineLevel="1" x14ac:dyDescent="0.35">
      <c r="B3268" s="203"/>
      <c r="C3268" s="204"/>
      <c r="D3268" s="204"/>
      <c r="E3268" s="204"/>
      <c r="F3268" s="205"/>
      <c r="G3268" s="548"/>
      <c r="H3268" s="550"/>
      <c r="I3268" s="326"/>
      <c r="J3268" s="326"/>
      <c r="K3268" s="326"/>
      <c r="M3268" s="463"/>
      <c r="N3268" s="464"/>
    </row>
    <row r="3269" spans="2:14" hidden="1" outlineLevel="1" x14ac:dyDescent="0.35">
      <c r="B3269" s="203"/>
      <c r="C3269" s="204"/>
      <c r="D3269" s="204"/>
      <c r="E3269" s="204"/>
      <c r="F3269" s="205"/>
      <c r="G3269" s="548"/>
      <c r="H3269" s="550"/>
      <c r="I3269" s="326"/>
      <c r="J3269" s="326"/>
      <c r="K3269" s="326"/>
      <c r="M3269" s="463"/>
      <c r="N3269" s="464"/>
    </row>
    <row r="3270" spans="2:14" hidden="1" outlineLevel="1" x14ac:dyDescent="0.35">
      <c r="B3270" s="203"/>
      <c r="C3270" s="204"/>
      <c r="D3270" s="204"/>
      <c r="E3270" s="204"/>
      <c r="F3270" s="205"/>
      <c r="G3270" s="548"/>
      <c r="H3270" s="550"/>
      <c r="I3270" s="326"/>
      <c r="J3270" s="326"/>
      <c r="K3270" s="326"/>
      <c r="M3270" s="463"/>
      <c r="N3270" s="464"/>
    </row>
    <row r="3271" spans="2:14" hidden="1" outlineLevel="1" x14ac:dyDescent="0.35">
      <c r="B3271" s="203"/>
      <c r="C3271" s="204"/>
      <c r="D3271" s="204"/>
      <c r="E3271" s="204"/>
      <c r="F3271" s="205"/>
      <c r="G3271" s="548"/>
      <c r="H3271" s="550"/>
      <c r="I3271" s="326"/>
      <c r="J3271" s="326"/>
      <c r="K3271" s="326"/>
      <c r="M3271" s="463"/>
      <c r="N3271" s="464"/>
    </row>
    <row r="3272" spans="2:14" hidden="1" outlineLevel="1" x14ac:dyDescent="0.35">
      <c r="B3272" s="203"/>
      <c r="C3272" s="204"/>
      <c r="D3272" s="204"/>
      <c r="E3272" s="204"/>
      <c r="F3272" s="205"/>
      <c r="G3272" s="548"/>
      <c r="H3272" s="550"/>
      <c r="I3272" s="326"/>
      <c r="J3272" s="326"/>
      <c r="K3272" s="326"/>
      <c r="M3272" s="463"/>
      <c r="N3272" s="464"/>
    </row>
    <row r="3273" spans="2:14" hidden="1" outlineLevel="1" x14ac:dyDescent="0.35">
      <c r="B3273" s="203"/>
      <c r="C3273" s="204"/>
      <c r="D3273" s="204"/>
      <c r="E3273" s="204"/>
      <c r="F3273" s="205"/>
      <c r="G3273" s="548"/>
      <c r="H3273" s="550"/>
      <c r="I3273" s="326"/>
      <c r="J3273" s="326"/>
      <c r="K3273" s="326"/>
      <c r="M3273" s="463"/>
      <c r="N3273" s="464"/>
    </row>
    <row r="3274" spans="2:14" hidden="1" outlineLevel="1" x14ac:dyDescent="0.35">
      <c r="B3274" s="203"/>
      <c r="C3274" s="204"/>
      <c r="D3274" s="204"/>
      <c r="E3274" s="204"/>
      <c r="F3274" s="205"/>
      <c r="G3274" s="548"/>
      <c r="H3274" s="550"/>
      <c r="I3274" s="326"/>
      <c r="J3274" s="326"/>
      <c r="K3274" s="326"/>
      <c r="M3274" s="463"/>
      <c r="N3274" s="464"/>
    </row>
    <row r="3275" spans="2:14" hidden="1" outlineLevel="1" x14ac:dyDescent="0.35">
      <c r="B3275" s="203"/>
      <c r="C3275" s="204"/>
      <c r="D3275" s="204"/>
      <c r="E3275" s="204"/>
      <c r="F3275" s="205"/>
      <c r="G3275" s="548"/>
      <c r="H3275" s="550"/>
      <c r="I3275" s="326"/>
      <c r="J3275" s="326"/>
      <c r="K3275" s="326"/>
      <c r="M3275" s="463"/>
      <c r="N3275" s="464"/>
    </row>
    <row r="3276" spans="2:14" hidden="1" outlineLevel="1" x14ac:dyDescent="0.35">
      <c r="B3276" s="203"/>
      <c r="C3276" s="204"/>
      <c r="D3276" s="204"/>
      <c r="E3276" s="204"/>
      <c r="F3276" s="205"/>
      <c r="G3276" s="548"/>
      <c r="H3276" s="550"/>
      <c r="I3276" s="326"/>
      <c r="J3276" s="326"/>
      <c r="K3276" s="326"/>
      <c r="M3276" s="463"/>
      <c r="N3276" s="464"/>
    </row>
    <row r="3277" spans="2:14" hidden="1" outlineLevel="1" x14ac:dyDescent="0.35">
      <c r="B3277" s="203"/>
      <c r="C3277" s="204"/>
      <c r="D3277" s="204"/>
      <c r="E3277" s="204"/>
      <c r="F3277" s="205"/>
      <c r="G3277" s="548"/>
      <c r="H3277" s="550"/>
      <c r="I3277" s="326"/>
      <c r="J3277" s="326"/>
      <c r="K3277" s="326"/>
      <c r="M3277" s="463"/>
      <c r="N3277" s="464"/>
    </row>
    <row r="3278" spans="2:14" hidden="1" outlineLevel="1" x14ac:dyDescent="0.35">
      <c r="B3278" s="203"/>
      <c r="C3278" s="204"/>
      <c r="D3278" s="204"/>
      <c r="E3278" s="204"/>
      <c r="F3278" s="205"/>
      <c r="G3278" s="548"/>
      <c r="H3278" s="550"/>
      <c r="I3278" s="326"/>
      <c r="J3278" s="326"/>
      <c r="K3278" s="326"/>
      <c r="M3278" s="463"/>
      <c r="N3278" s="464"/>
    </row>
    <row r="3279" spans="2:14" hidden="1" outlineLevel="1" x14ac:dyDescent="0.35">
      <c r="B3279" s="203"/>
      <c r="C3279" s="204"/>
      <c r="D3279" s="204"/>
      <c r="E3279" s="204"/>
      <c r="F3279" s="205"/>
      <c r="G3279" s="548"/>
      <c r="H3279" s="550"/>
      <c r="I3279" s="326"/>
      <c r="J3279" s="326"/>
      <c r="K3279" s="326"/>
      <c r="M3279" s="463"/>
      <c r="N3279" s="464"/>
    </row>
    <row r="3280" spans="2:14" hidden="1" outlineLevel="1" x14ac:dyDescent="0.35">
      <c r="B3280" s="203"/>
      <c r="C3280" s="204"/>
      <c r="D3280" s="204"/>
      <c r="E3280" s="204"/>
      <c r="F3280" s="205"/>
      <c r="G3280" s="548"/>
      <c r="H3280" s="550"/>
      <c r="I3280" s="326"/>
      <c r="J3280" s="326"/>
      <c r="K3280" s="326"/>
      <c r="M3280" s="463"/>
      <c r="N3280" s="464"/>
    </row>
    <row r="3281" spans="2:14" hidden="1" outlineLevel="1" x14ac:dyDescent="0.35">
      <c r="B3281" s="203"/>
      <c r="C3281" s="204"/>
      <c r="D3281" s="204"/>
      <c r="E3281" s="204"/>
      <c r="F3281" s="205"/>
      <c r="G3281" s="548"/>
      <c r="H3281" s="550"/>
      <c r="I3281" s="326"/>
      <c r="J3281" s="326"/>
      <c r="K3281" s="326"/>
      <c r="M3281" s="463"/>
      <c r="N3281" s="464"/>
    </row>
    <row r="3282" spans="2:14" hidden="1" outlineLevel="1" x14ac:dyDescent="0.35">
      <c r="B3282" s="203"/>
      <c r="C3282" s="204"/>
      <c r="D3282" s="204"/>
      <c r="E3282" s="204"/>
      <c r="F3282" s="205"/>
      <c r="G3282" s="548"/>
      <c r="H3282" s="550"/>
      <c r="I3282" s="326"/>
      <c r="J3282" s="326"/>
      <c r="K3282" s="326"/>
      <c r="M3282" s="463"/>
      <c r="N3282" s="464"/>
    </row>
    <row r="3283" spans="2:14" hidden="1" outlineLevel="1" x14ac:dyDescent="0.35">
      <c r="B3283" s="203"/>
      <c r="C3283" s="204"/>
      <c r="D3283" s="204"/>
      <c r="E3283" s="204"/>
      <c r="F3283" s="205"/>
      <c r="G3283" s="548"/>
      <c r="H3283" s="550"/>
      <c r="I3283" s="326"/>
      <c r="J3283" s="326"/>
      <c r="K3283" s="326"/>
      <c r="M3283" s="463"/>
      <c r="N3283" s="464"/>
    </row>
    <row r="3284" spans="2:14" hidden="1" outlineLevel="1" x14ac:dyDescent="0.35">
      <c r="B3284" s="203"/>
      <c r="C3284" s="204"/>
      <c r="D3284" s="204"/>
      <c r="E3284" s="204"/>
      <c r="F3284" s="205"/>
      <c r="G3284" s="548"/>
      <c r="H3284" s="550"/>
      <c r="I3284" s="326"/>
      <c r="J3284" s="326"/>
      <c r="K3284" s="326"/>
      <c r="M3284" s="463"/>
      <c r="N3284" s="464"/>
    </row>
    <row r="3285" spans="2:14" hidden="1" outlineLevel="1" x14ac:dyDescent="0.35">
      <c r="B3285" s="203"/>
      <c r="C3285" s="204"/>
      <c r="D3285" s="204"/>
      <c r="E3285" s="204"/>
      <c r="F3285" s="205"/>
      <c r="G3285" s="548"/>
      <c r="H3285" s="550"/>
      <c r="I3285" s="326"/>
      <c r="J3285" s="326"/>
      <c r="K3285" s="326"/>
      <c r="M3285" s="463"/>
      <c r="N3285" s="464"/>
    </row>
    <row r="3286" spans="2:14" hidden="1" outlineLevel="1" x14ac:dyDescent="0.35">
      <c r="B3286" s="203"/>
      <c r="C3286" s="204"/>
      <c r="D3286" s="204"/>
      <c r="E3286" s="204"/>
      <c r="F3286" s="205"/>
      <c r="G3286" s="548"/>
      <c r="H3286" s="550"/>
      <c r="I3286" s="326"/>
      <c r="J3286" s="326"/>
      <c r="K3286" s="326"/>
      <c r="M3286" s="463"/>
      <c r="N3286" s="464"/>
    </row>
    <row r="3287" spans="2:14" hidden="1" outlineLevel="1" x14ac:dyDescent="0.35">
      <c r="B3287" s="203"/>
      <c r="C3287" s="204"/>
      <c r="D3287" s="204"/>
      <c r="E3287" s="204"/>
      <c r="F3287" s="205"/>
      <c r="G3287" s="548"/>
      <c r="H3287" s="550"/>
      <c r="I3287" s="326"/>
      <c r="J3287" s="326"/>
      <c r="K3287" s="326"/>
      <c r="M3287" s="463"/>
      <c r="N3287" s="464"/>
    </row>
    <row r="3288" spans="2:14" hidden="1" outlineLevel="1" x14ac:dyDescent="0.35">
      <c r="B3288" s="203"/>
      <c r="C3288" s="204"/>
      <c r="D3288" s="204"/>
      <c r="E3288" s="204"/>
      <c r="F3288" s="205"/>
      <c r="G3288" s="548"/>
      <c r="H3288" s="550"/>
      <c r="I3288" s="326"/>
      <c r="J3288" s="326"/>
      <c r="K3288" s="326"/>
      <c r="M3288" s="463"/>
      <c r="N3288" s="464"/>
    </row>
    <row r="3289" spans="2:14" hidden="1" outlineLevel="1" x14ac:dyDescent="0.35">
      <c r="B3289" s="203"/>
      <c r="C3289" s="204"/>
      <c r="D3289" s="204"/>
      <c r="E3289" s="204"/>
      <c r="F3289" s="205"/>
      <c r="G3289" s="548"/>
      <c r="H3289" s="550"/>
      <c r="I3289" s="326"/>
      <c r="J3289" s="326"/>
      <c r="K3289" s="326"/>
      <c r="M3289" s="463"/>
      <c r="N3289" s="464"/>
    </row>
    <row r="3290" spans="2:14" hidden="1" outlineLevel="1" x14ac:dyDescent="0.35">
      <c r="B3290" s="203"/>
      <c r="C3290" s="204"/>
      <c r="D3290" s="204"/>
      <c r="E3290" s="204"/>
      <c r="F3290" s="205"/>
      <c r="G3290" s="548"/>
      <c r="H3290" s="550"/>
      <c r="I3290" s="326"/>
      <c r="J3290" s="326"/>
      <c r="K3290" s="326"/>
      <c r="M3290" s="463"/>
      <c r="N3290" s="464"/>
    </row>
    <row r="3291" spans="2:14" hidden="1" outlineLevel="1" x14ac:dyDescent="0.35">
      <c r="B3291" s="203"/>
      <c r="C3291" s="204"/>
      <c r="D3291" s="204"/>
      <c r="E3291" s="204"/>
      <c r="F3291" s="205"/>
      <c r="G3291" s="548"/>
      <c r="H3291" s="550"/>
      <c r="I3291" s="326"/>
      <c r="J3291" s="326"/>
      <c r="K3291" s="326"/>
      <c r="M3291" s="463"/>
      <c r="N3291" s="464"/>
    </row>
    <row r="3292" spans="2:14" hidden="1" outlineLevel="1" x14ac:dyDescent="0.35">
      <c r="B3292" s="203"/>
      <c r="C3292" s="204"/>
      <c r="D3292" s="204"/>
      <c r="E3292" s="204"/>
      <c r="F3292" s="205"/>
      <c r="G3292" s="548"/>
      <c r="H3292" s="550"/>
      <c r="I3292" s="326"/>
      <c r="J3292" s="326"/>
      <c r="K3292" s="326"/>
      <c r="M3292" s="463"/>
      <c r="N3292" s="464"/>
    </row>
    <row r="3293" spans="2:14" hidden="1" outlineLevel="1" x14ac:dyDescent="0.35">
      <c r="B3293" s="203"/>
      <c r="C3293" s="204"/>
      <c r="D3293" s="204"/>
      <c r="E3293" s="204"/>
      <c r="F3293" s="205"/>
      <c r="G3293" s="548"/>
      <c r="H3293" s="550"/>
      <c r="I3293" s="326"/>
      <c r="J3293" s="326"/>
      <c r="K3293" s="326"/>
      <c r="M3293" s="463"/>
      <c r="N3293" s="464"/>
    </row>
    <row r="3294" spans="2:14" hidden="1" outlineLevel="1" x14ac:dyDescent="0.35">
      <c r="B3294" s="203"/>
      <c r="C3294" s="204"/>
      <c r="D3294" s="204"/>
      <c r="E3294" s="204"/>
      <c r="F3294" s="205"/>
      <c r="G3294" s="548"/>
      <c r="H3294" s="550"/>
      <c r="I3294" s="326"/>
      <c r="J3294" s="326"/>
      <c r="K3294" s="326"/>
      <c r="M3294" s="463"/>
      <c r="N3294" s="464"/>
    </row>
    <row r="3295" spans="2:14" hidden="1" outlineLevel="1" x14ac:dyDescent="0.35">
      <c r="B3295" s="203"/>
      <c r="C3295" s="204"/>
      <c r="D3295" s="204"/>
      <c r="E3295" s="204"/>
      <c r="F3295" s="205"/>
      <c r="G3295" s="548"/>
      <c r="H3295" s="550"/>
      <c r="I3295" s="326"/>
      <c r="J3295" s="326"/>
      <c r="K3295" s="326"/>
      <c r="M3295" s="463"/>
      <c r="N3295" s="464"/>
    </row>
    <row r="3296" spans="2:14" hidden="1" outlineLevel="1" x14ac:dyDescent="0.35">
      <c r="B3296" s="203"/>
      <c r="C3296" s="204"/>
      <c r="D3296" s="204"/>
      <c r="E3296" s="204"/>
      <c r="F3296" s="205"/>
      <c r="G3296" s="548"/>
      <c r="H3296" s="550"/>
      <c r="I3296" s="326"/>
      <c r="J3296" s="326"/>
      <c r="K3296" s="326"/>
      <c r="M3296" s="463"/>
      <c r="N3296" s="464"/>
    </row>
    <row r="3297" spans="2:14" hidden="1" outlineLevel="1" x14ac:dyDescent="0.35">
      <c r="B3297" s="203"/>
      <c r="C3297" s="204"/>
      <c r="D3297" s="204"/>
      <c r="E3297" s="204"/>
      <c r="F3297" s="205"/>
      <c r="G3297" s="548"/>
      <c r="H3297" s="550"/>
      <c r="I3297" s="326"/>
      <c r="J3297" s="326"/>
      <c r="K3297" s="326"/>
      <c r="M3297" s="463"/>
      <c r="N3297" s="464"/>
    </row>
    <row r="3298" spans="2:14" hidden="1" outlineLevel="1" x14ac:dyDescent="0.35">
      <c r="B3298" s="203"/>
      <c r="C3298" s="204"/>
      <c r="D3298" s="204"/>
      <c r="E3298" s="204"/>
      <c r="F3298" s="205"/>
      <c r="G3298" s="548"/>
      <c r="H3298" s="550"/>
      <c r="I3298" s="326"/>
      <c r="J3298" s="326"/>
      <c r="K3298" s="326"/>
      <c r="M3298" s="463"/>
      <c r="N3298" s="464"/>
    </row>
    <row r="3299" spans="2:14" hidden="1" outlineLevel="1" x14ac:dyDescent="0.35">
      <c r="B3299" s="203"/>
      <c r="C3299" s="204"/>
      <c r="D3299" s="204"/>
      <c r="E3299" s="204"/>
      <c r="F3299" s="205"/>
      <c r="G3299" s="548"/>
      <c r="H3299" s="550"/>
      <c r="I3299" s="326"/>
      <c r="J3299" s="326"/>
      <c r="K3299" s="326"/>
      <c r="M3299" s="463"/>
      <c r="N3299" s="464"/>
    </row>
    <row r="3300" spans="2:14" hidden="1" outlineLevel="1" x14ac:dyDescent="0.35">
      <c r="B3300" s="203"/>
      <c r="C3300" s="204"/>
      <c r="D3300" s="204"/>
      <c r="E3300" s="204"/>
      <c r="F3300" s="205"/>
      <c r="G3300" s="548"/>
      <c r="H3300" s="550"/>
      <c r="I3300" s="326"/>
      <c r="J3300" s="326"/>
      <c r="K3300" s="326"/>
      <c r="M3300" s="463"/>
      <c r="N3300" s="464"/>
    </row>
    <row r="3301" spans="2:14" hidden="1" outlineLevel="1" x14ac:dyDescent="0.35">
      <c r="B3301" s="203"/>
      <c r="C3301" s="204"/>
      <c r="D3301" s="204"/>
      <c r="E3301" s="204"/>
      <c r="F3301" s="205"/>
      <c r="G3301" s="548"/>
      <c r="H3301" s="550"/>
      <c r="I3301" s="326"/>
      <c r="J3301" s="326"/>
      <c r="K3301" s="326"/>
      <c r="M3301" s="463"/>
      <c r="N3301" s="464"/>
    </row>
    <row r="3302" spans="2:14" hidden="1" outlineLevel="1" x14ac:dyDescent="0.35">
      <c r="B3302" s="203"/>
      <c r="C3302" s="204"/>
      <c r="D3302" s="204"/>
      <c r="E3302" s="204"/>
      <c r="F3302" s="205"/>
      <c r="G3302" s="548"/>
      <c r="H3302" s="550"/>
      <c r="I3302" s="326"/>
      <c r="J3302" s="326"/>
      <c r="K3302" s="326"/>
      <c r="M3302" s="463"/>
      <c r="N3302" s="464"/>
    </row>
    <row r="3303" spans="2:14" hidden="1" outlineLevel="1" x14ac:dyDescent="0.35">
      <c r="B3303" s="203"/>
      <c r="C3303" s="204"/>
      <c r="D3303" s="204"/>
      <c r="E3303" s="204"/>
      <c r="F3303" s="205"/>
      <c r="G3303" s="548"/>
      <c r="H3303" s="550"/>
      <c r="I3303" s="326"/>
      <c r="J3303" s="326"/>
      <c r="K3303" s="326"/>
      <c r="M3303" s="463"/>
      <c r="N3303" s="464"/>
    </row>
    <row r="3304" spans="2:14" hidden="1" outlineLevel="1" x14ac:dyDescent="0.35">
      <c r="B3304" s="203"/>
      <c r="C3304" s="204"/>
      <c r="D3304" s="204"/>
      <c r="E3304" s="204"/>
      <c r="F3304" s="205"/>
      <c r="G3304" s="548"/>
      <c r="H3304" s="550"/>
      <c r="I3304" s="326"/>
      <c r="J3304" s="326"/>
      <c r="K3304" s="326"/>
      <c r="M3304" s="463"/>
      <c r="N3304" s="464"/>
    </row>
    <row r="3305" spans="2:14" hidden="1" outlineLevel="1" x14ac:dyDescent="0.35">
      <c r="B3305" s="203"/>
      <c r="C3305" s="204"/>
      <c r="D3305" s="204"/>
      <c r="E3305" s="204"/>
      <c r="F3305" s="205"/>
      <c r="G3305" s="548"/>
      <c r="H3305" s="550"/>
      <c r="I3305" s="326"/>
      <c r="J3305" s="326"/>
      <c r="K3305" s="326"/>
      <c r="M3305" s="463"/>
      <c r="N3305" s="464"/>
    </row>
    <row r="3306" spans="2:14" hidden="1" outlineLevel="1" x14ac:dyDescent="0.35">
      <c r="B3306" s="203"/>
      <c r="C3306" s="204"/>
      <c r="D3306" s="204"/>
      <c r="E3306" s="204"/>
      <c r="F3306" s="205"/>
      <c r="G3306" s="548"/>
      <c r="H3306" s="550"/>
      <c r="I3306" s="326"/>
      <c r="J3306" s="326"/>
      <c r="K3306" s="326"/>
      <c r="M3306" s="463"/>
      <c r="N3306" s="464"/>
    </row>
    <row r="3307" spans="2:14" hidden="1" outlineLevel="1" x14ac:dyDescent="0.35">
      <c r="B3307" s="203"/>
      <c r="C3307" s="204"/>
      <c r="D3307" s="204"/>
      <c r="E3307" s="204"/>
      <c r="F3307" s="205"/>
      <c r="G3307" s="548"/>
      <c r="H3307" s="550"/>
      <c r="I3307" s="326"/>
      <c r="J3307" s="326"/>
      <c r="K3307" s="326"/>
      <c r="M3307" s="463"/>
      <c r="N3307" s="464"/>
    </row>
    <row r="3308" spans="2:14" hidden="1" outlineLevel="1" x14ac:dyDescent="0.35">
      <c r="B3308" s="203"/>
      <c r="C3308" s="204"/>
      <c r="D3308" s="204"/>
      <c r="E3308" s="204"/>
      <c r="F3308" s="205"/>
      <c r="G3308" s="548"/>
      <c r="H3308" s="550"/>
      <c r="I3308" s="326"/>
      <c r="J3308" s="326"/>
      <c r="K3308" s="326"/>
      <c r="M3308" s="463"/>
      <c r="N3308" s="464"/>
    </row>
    <row r="3309" spans="2:14" hidden="1" outlineLevel="1" x14ac:dyDescent="0.35">
      <c r="B3309" s="203"/>
      <c r="C3309" s="204"/>
      <c r="D3309" s="204"/>
      <c r="E3309" s="204"/>
      <c r="F3309" s="205"/>
      <c r="G3309" s="548"/>
      <c r="H3309" s="550"/>
      <c r="I3309" s="326"/>
      <c r="J3309" s="326"/>
      <c r="K3309" s="326"/>
      <c r="M3309" s="463"/>
      <c r="N3309" s="464"/>
    </row>
    <row r="3310" spans="2:14" hidden="1" outlineLevel="1" x14ac:dyDescent="0.35">
      <c r="B3310" s="203"/>
      <c r="C3310" s="204"/>
      <c r="D3310" s="204"/>
      <c r="E3310" s="204"/>
      <c r="F3310" s="205"/>
      <c r="G3310" s="548"/>
      <c r="H3310" s="550"/>
      <c r="I3310" s="326"/>
      <c r="J3310" s="326"/>
      <c r="K3310" s="326"/>
      <c r="M3310" s="463"/>
      <c r="N3310" s="464"/>
    </row>
    <row r="3311" spans="2:14" hidden="1" outlineLevel="1" x14ac:dyDescent="0.35">
      <c r="B3311" s="203"/>
      <c r="C3311" s="204"/>
      <c r="D3311" s="204"/>
      <c r="E3311" s="204"/>
      <c r="F3311" s="205"/>
      <c r="G3311" s="548"/>
      <c r="H3311" s="550"/>
      <c r="I3311" s="326"/>
      <c r="J3311" s="326"/>
      <c r="K3311" s="326"/>
      <c r="M3311" s="463"/>
      <c r="N3311" s="464"/>
    </row>
    <row r="3312" spans="2:14" hidden="1" outlineLevel="1" x14ac:dyDescent="0.35">
      <c r="B3312" s="203"/>
      <c r="C3312" s="204"/>
      <c r="D3312" s="204"/>
      <c r="E3312" s="204"/>
      <c r="F3312" s="205"/>
      <c r="G3312" s="548"/>
      <c r="H3312" s="550"/>
      <c r="I3312" s="326"/>
      <c r="J3312" s="326"/>
      <c r="K3312" s="326"/>
      <c r="M3312" s="463"/>
      <c r="N3312" s="464"/>
    </row>
    <row r="3313" spans="2:14" hidden="1" outlineLevel="1" x14ac:dyDescent="0.35">
      <c r="B3313" s="203"/>
      <c r="C3313" s="204"/>
      <c r="D3313" s="204"/>
      <c r="E3313" s="204"/>
      <c r="F3313" s="205"/>
      <c r="G3313" s="548"/>
      <c r="H3313" s="550"/>
      <c r="I3313" s="326"/>
      <c r="J3313" s="326"/>
      <c r="K3313" s="326"/>
      <c r="M3313" s="463"/>
      <c r="N3313" s="464"/>
    </row>
    <row r="3314" spans="2:14" hidden="1" outlineLevel="1" x14ac:dyDescent="0.35">
      <c r="B3314" s="203"/>
      <c r="C3314" s="204"/>
      <c r="D3314" s="204"/>
      <c r="E3314" s="204"/>
      <c r="F3314" s="205"/>
      <c r="G3314" s="548"/>
      <c r="H3314" s="550"/>
      <c r="I3314" s="326"/>
      <c r="J3314" s="326"/>
      <c r="K3314" s="326"/>
      <c r="M3314" s="463"/>
      <c r="N3314" s="464"/>
    </row>
    <row r="3315" spans="2:14" hidden="1" outlineLevel="1" x14ac:dyDescent="0.35">
      <c r="B3315" s="203"/>
      <c r="C3315" s="204"/>
      <c r="D3315" s="204"/>
      <c r="E3315" s="204"/>
      <c r="F3315" s="205"/>
      <c r="G3315" s="548"/>
      <c r="H3315" s="550"/>
      <c r="I3315" s="326"/>
      <c r="J3315" s="326"/>
      <c r="K3315" s="326"/>
      <c r="M3315" s="463"/>
      <c r="N3315" s="464"/>
    </row>
    <row r="3316" spans="2:14" hidden="1" outlineLevel="1" x14ac:dyDescent="0.35">
      <c r="B3316" s="203"/>
      <c r="C3316" s="204"/>
      <c r="D3316" s="204"/>
      <c r="E3316" s="204"/>
      <c r="F3316" s="205"/>
      <c r="G3316" s="548"/>
      <c r="H3316" s="550"/>
      <c r="I3316" s="326"/>
      <c r="J3316" s="326"/>
      <c r="K3316" s="326"/>
      <c r="M3316" s="463"/>
      <c r="N3316" s="464"/>
    </row>
    <row r="3317" spans="2:14" hidden="1" outlineLevel="1" x14ac:dyDescent="0.35">
      <c r="B3317" s="203"/>
      <c r="C3317" s="204"/>
      <c r="D3317" s="204"/>
      <c r="E3317" s="204"/>
      <c r="F3317" s="205"/>
      <c r="G3317" s="548"/>
      <c r="H3317" s="550"/>
      <c r="I3317" s="326"/>
      <c r="J3317" s="326"/>
      <c r="K3317" s="326"/>
      <c r="M3317" s="463"/>
      <c r="N3317" s="464"/>
    </row>
    <row r="3318" spans="2:14" hidden="1" outlineLevel="1" x14ac:dyDescent="0.35">
      <c r="B3318" s="203"/>
      <c r="C3318" s="204"/>
      <c r="D3318" s="204"/>
      <c r="E3318" s="204"/>
      <c r="F3318" s="205"/>
      <c r="G3318" s="548"/>
      <c r="H3318" s="550"/>
      <c r="I3318" s="326"/>
      <c r="J3318" s="326"/>
      <c r="K3318" s="326"/>
      <c r="M3318" s="463"/>
      <c r="N3318" s="464"/>
    </row>
    <row r="3319" spans="2:14" hidden="1" outlineLevel="1" x14ac:dyDescent="0.35">
      <c r="B3319" s="203"/>
      <c r="C3319" s="204"/>
      <c r="D3319" s="204"/>
      <c r="E3319" s="204"/>
      <c r="F3319" s="205"/>
      <c r="G3319" s="548"/>
      <c r="H3319" s="550"/>
      <c r="I3319" s="326"/>
      <c r="J3319" s="326"/>
      <c r="K3319" s="326"/>
      <c r="M3319" s="463"/>
      <c r="N3319" s="464"/>
    </row>
    <row r="3320" spans="2:14" hidden="1" outlineLevel="1" x14ac:dyDescent="0.35">
      <c r="B3320" s="203"/>
      <c r="C3320" s="204"/>
      <c r="D3320" s="204"/>
      <c r="E3320" s="204"/>
      <c r="F3320" s="205"/>
      <c r="G3320" s="548"/>
      <c r="H3320" s="550"/>
      <c r="I3320" s="326"/>
      <c r="J3320" s="326"/>
      <c r="K3320" s="326"/>
      <c r="M3320" s="463"/>
      <c r="N3320" s="464"/>
    </row>
    <row r="3321" spans="2:14" hidden="1" outlineLevel="1" x14ac:dyDescent="0.35">
      <c r="B3321" s="203"/>
      <c r="C3321" s="204"/>
      <c r="D3321" s="204"/>
      <c r="E3321" s="204"/>
      <c r="F3321" s="205"/>
      <c r="G3321" s="548"/>
      <c r="H3321" s="550"/>
      <c r="I3321" s="326"/>
      <c r="J3321" s="326"/>
      <c r="K3321" s="326"/>
      <c r="M3321" s="463"/>
      <c r="N3321" s="464"/>
    </row>
    <row r="3322" spans="2:14" hidden="1" outlineLevel="1" x14ac:dyDescent="0.35">
      <c r="B3322" s="203"/>
      <c r="C3322" s="204"/>
      <c r="D3322" s="204"/>
      <c r="E3322" s="204"/>
      <c r="F3322" s="205"/>
      <c r="G3322" s="548"/>
      <c r="H3322" s="550"/>
      <c r="I3322" s="326"/>
      <c r="J3322" s="326"/>
      <c r="K3322" s="326"/>
      <c r="M3322" s="463"/>
      <c r="N3322" s="464"/>
    </row>
    <row r="3323" spans="2:14" hidden="1" outlineLevel="1" x14ac:dyDescent="0.35">
      <c r="B3323" s="203"/>
      <c r="C3323" s="204"/>
      <c r="D3323" s="204"/>
      <c r="E3323" s="204"/>
      <c r="F3323" s="205"/>
      <c r="G3323" s="548"/>
      <c r="H3323" s="550"/>
      <c r="I3323" s="326"/>
      <c r="J3323" s="326"/>
      <c r="K3323" s="326"/>
      <c r="M3323" s="463"/>
      <c r="N3323" s="464"/>
    </row>
    <row r="3324" spans="2:14" hidden="1" outlineLevel="1" x14ac:dyDescent="0.35">
      <c r="B3324" s="203"/>
      <c r="C3324" s="204"/>
      <c r="D3324" s="204"/>
      <c r="E3324" s="204"/>
      <c r="F3324" s="205"/>
      <c r="G3324" s="548"/>
      <c r="H3324" s="550"/>
      <c r="I3324" s="326"/>
      <c r="J3324" s="326"/>
      <c r="K3324" s="326"/>
      <c r="M3324" s="463"/>
      <c r="N3324" s="464"/>
    </row>
    <row r="3325" spans="2:14" hidden="1" outlineLevel="1" x14ac:dyDescent="0.35">
      <c r="B3325" s="203"/>
      <c r="C3325" s="204"/>
      <c r="D3325" s="204"/>
      <c r="E3325" s="204"/>
      <c r="F3325" s="205"/>
      <c r="G3325" s="548"/>
      <c r="H3325" s="550"/>
      <c r="I3325" s="326"/>
      <c r="J3325" s="326"/>
      <c r="K3325" s="326"/>
      <c r="M3325" s="463"/>
      <c r="N3325" s="464"/>
    </row>
    <row r="3326" spans="2:14" hidden="1" outlineLevel="1" x14ac:dyDescent="0.35">
      <c r="B3326" s="203"/>
      <c r="C3326" s="204"/>
      <c r="D3326" s="204"/>
      <c r="E3326" s="204"/>
      <c r="F3326" s="205"/>
      <c r="G3326" s="548"/>
      <c r="H3326" s="550"/>
      <c r="I3326" s="326"/>
      <c r="J3326" s="326"/>
      <c r="K3326" s="326"/>
      <c r="M3326" s="463"/>
      <c r="N3326" s="464"/>
    </row>
    <row r="3327" spans="2:14" hidden="1" outlineLevel="1" x14ac:dyDescent="0.35">
      <c r="B3327" s="203"/>
      <c r="C3327" s="204"/>
      <c r="D3327" s="204"/>
      <c r="E3327" s="204"/>
      <c r="F3327" s="205"/>
      <c r="G3327" s="548"/>
      <c r="H3327" s="550"/>
      <c r="I3327" s="326"/>
      <c r="J3327" s="326"/>
      <c r="K3327" s="326"/>
      <c r="M3327" s="463"/>
      <c r="N3327" s="464"/>
    </row>
    <row r="3328" spans="2:14" hidden="1" outlineLevel="1" x14ac:dyDescent="0.35">
      <c r="B3328" s="203"/>
      <c r="C3328" s="204"/>
      <c r="D3328" s="204"/>
      <c r="E3328" s="204"/>
      <c r="F3328" s="205"/>
      <c r="G3328" s="548"/>
      <c r="H3328" s="550"/>
      <c r="I3328" s="326"/>
      <c r="J3328" s="326"/>
      <c r="K3328" s="326"/>
      <c r="M3328" s="463"/>
      <c r="N3328" s="464"/>
    </row>
    <row r="3329" spans="2:14" hidden="1" outlineLevel="1" x14ac:dyDescent="0.35">
      <c r="B3329" s="203"/>
      <c r="C3329" s="204"/>
      <c r="D3329" s="204"/>
      <c r="E3329" s="204"/>
      <c r="F3329" s="205"/>
      <c r="G3329" s="548"/>
      <c r="H3329" s="550"/>
      <c r="I3329" s="326"/>
      <c r="J3329" s="326"/>
      <c r="K3329" s="326"/>
      <c r="M3329" s="463"/>
      <c r="N3329" s="464"/>
    </row>
    <row r="3330" spans="2:14" hidden="1" outlineLevel="1" x14ac:dyDescent="0.35">
      <c r="B3330" s="203"/>
      <c r="C3330" s="204"/>
      <c r="D3330" s="204"/>
      <c r="E3330" s="204"/>
      <c r="F3330" s="205"/>
      <c r="G3330" s="548"/>
      <c r="H3330" s="550"/>
      <c r="I3330" s="326"/>
      <c r="J3330" s="326"/>
      <c r="K3330" s="326"/>
      <c r="M3330" s="463"/>
      <c r="N3330" s="464"/>
    </row>
    <row r="3331" spans="2:14" hidden="1" outlineLevel="1" x14ac:dyDescent="0.35">
      <c r="B3331" s="203"/>
      <c r="C3331" s="204"/>
      <c r="D3331" s="204"/>
      <c r="E3331" s="204"/>
      <c r="F3331" s="205"/>
      <c r="G3331" s="548"/>
      <c r="H3331" s="550"/>
      <c r="I3331" s="326"/>
      <c r="J3331" s="326"/>
      <c r="K3331" s="326"/>
      <c r="M3331" s="463"/>
      <c r="N3331" s="464"/>
    </row>
    <row r="3332" spans="2:14" hidden="1" outlineLevel="1" x14ac:dyDescent="0.35">
      <c r="B3332" s="203"/>
      <c r="C3332" s="204"/>
      <c r="D3332" s="204"/>
      <c r="E3332" s="204"/>
      <c r="F3332" s="205"/>
      <c r="G3332" s="548"/>
      <c r="H3332" s="550"/>
      <c r="I3332" s="326"/>
      <c r="J3332" s="326"/>
      <c r="K3332" s="326"/>
      <c r="M3332" s="463"/>
      <c r="N3332" s="464"/>
    </row>
    <row r="3333" spans="2:14" hidden="1" outlineLevel="1" x14ac:dyDescent="0.35">
      <c r="B3333" s="203"/>
      <c r="C3333" s="204"/>
      <c r="D3333" s="204"/>
      <c r="E3333" s="204"/>
      <c r="F3333" s="205"/>
      <c r="G3333" s="548"/>
      <c r="H3333" s="550"/>
      <c r="I3333" s="326"/>
      <c r="J3333" s="326"/>
      <c r="K3333" s="326"/>
      <c r="M3333" s="463"/>
      <c r="N3333" s="464"/>
    </row>
    <row r="3334" spans="2:14" hidden="1" outlineLevel="1" x14ac:dyDescent="0.35">
      <c r="B3334" s="203"/>
      <c r="C3334" s="204"/>
      <c r="D3334" s="204"/>
      <c r="E3334" s="204"/>
      <c r="F3334" s="205"/>
      <c r="G3334" s="548"/>
      <c r="H3334" s="550"/>
      <c r="I3334" s="326"/>
      <c r="J3334" s="326"/>
      <c r="K3334" s="326"/>
      <c r="M3334" s="463"/>
      <c r="N3334" s="464"/>
    </row>
    <row r="3335" spans="2:14" hidden="1" outlineLevel="1" x14ac:dyDescent="0.35">
      <c r="B3335" s="203"/>
      <c r="C3335" s="204"/>
      <c r="D3335" s="204"/>
      <c r="E3335" s="204"/>
      <c r="F3335" s="205"/>
      <c r="G3335" s="548"/>
      <c r="H3335" s="550"/>
      <c r="I3335" s="326"/>
      <c r="J3335" s="326"/>
      <c r="K3335" s="326"/>
      <c r="M3335" s="463"/>
      <c r="N3335" s="464"/>
    </row>
    <row r="3336" spans="2:14" hidden="1" outlineLevel="1" x14ac:dyDescent="0.35">
      <c r="B3336" s="203"/>
      <c r="C3336" s="204"/>
      <c r="D3336" s="204"/>
      <c r="E3336" s="204"/>
      <c r="F3336" s="205"/>
      <c r="G3336" s="548"/>
      <c r="H3336" s="550"/>
      <c r="I3336" s="326"/>
      <c r="J3336" s="326"/>
      <c r="K3336" s="326"/>
      <c r="M3336" s="463"/>
      <c r="N3336" s="464"/>
    </row>
    <row r="3337" spans="2:14" hidden="1" outlineLevel="1" x14ac:dyDescent="0.35">
      <c r="B3337" s="203"/>
      <c r="C3337" s="204"/>
      <c r="D3337" s="204"/>
      <c r="E3337" s="204"/>
      <c r="F3337" s="205"/>
      <c r="G3337" s="548"/>
      <c r="H3337" s="550"/>
      <c r="I3337" s="326"/>
      <c r="J3337" s="326"/>
      <c r="K3337" s="326"/>
      <c r="M3337" s="463"/>
      <c r="N3337" s="464"/>
    </row>
    <row r="3338" spans="2:14" hidden="1" outlineLevel="1" x14ac:dyDescent="0.35">
      <c r="B3338" s="203"/>
      <c r="C3338" s="204"/>
      <c r="D3338" s="204"/>
      <c r="E3338" s="204"/>
      <c r="F3338" s="205"/>
      <c r="G3338" s="548"/>
      <c r="H3338" s="550"/>
      <c r="I3338" s="326"/>
      <c r="J3338" s="326"/>
      <c r="K3338" s="326"/>
      <c r="M3338" s="463"/>
      <c r="N3338" s="464"/>
    </row>
    <row r="3339" spans="2:14" hidden="1" outlineLevel="1" x14ac:dyDescent="0.35">
      <c r="B3339" s="203"/>
      <c r="C3339" s="204"/>
      <c r="D3339" s="204"/>
      <c r="E3339" s="204"/>
      <c r="F3339" s="205"/>
      <c r="G3339" s="548"/>
      <c r="H3339" s="550"/>
      <c r="I3339" s="326"/>
      <c r="J3339" s="326"/>
      <c r="K3339" s="326"/>
      <c r="M3339" s="463"/>
      <c r="N3339" s="464"/>
    </row>
    <row r="3340" spans="2:14" hidden="1" outlineLevel="1" x14ac:dyDescent="0.35">
      <c r="B3340" s="203"/>
      <c r="C3340" s="204"/>
      <c r="D3340" s="204"/>
      <c r="E3340" s="204"/>
      <c r="F3340" s="205"/>
      <c r="G3340" s="548"/>
      <c r="H3340" s="550"/>
      <c r="I3340" s="326"/>
      <c r="J3340" s="326"/>
      <c r="K3340" s="326"/>
      <c r="M3340" s="463"/>
      <c r="N3340" s="464"/>
    </row>
    <row r="3341" spans="2:14" hidden="1" outlineLevel="1" x14ac:dyDescent="0.35">
      <c r="B3341" s="203"/>
      <c r="C3341" s="204"/>
      <c r="D3341" s="204"/>
      <c r="E3341" s="204"/>
      <c r="F3341" s="205"/>
      <c r="G3341" s="548"/>
      <c r="H3341" s="550"/>
      <c r="I3341" s="326"/>
      <c r="J3341" s="326"/>
      <c r="K3341" s="326"/>
      <c r="M3341" s="463"/>
      <c r="N3341" s="464"/>
    </row>
    <row r="3342" spans="2:14" hidden="1" outlineLevel="1" x14ac:dyDescent="0.35">
      <c r="B3342" s="203"/>
      <c r="C3342" s="204"/>
      <c r="D3342" s="204"/>
      <c r="E3342" s="204"/>
      <c r="F3342" s="205"/>
      <c r="G3342" s="548"/>
      <c r="H3342" s="550"/>
      <c r="I3342" s="326"/>
      <c r="J3342" s="326"/>
      <c r="K3342" s="326"/>
      <c r="M3342" s="463"/>
      <c r="N3342" s="464"/>
    </row>
    <row r="3343" spans="2:14" hidden="1" outlineLevel="1" x14ac:dyDescent="0.35">
      <c r="B3343" s="203"/>
      <c r="C3343" s="204"/>
      <c r="D3343" s="204"/>
      <c r="E3343" s="204"/>
      <c r="F3343" s="205"/>
      <c r="G3343" s="548"/>
      <c r="H3343" s="550"/>
      <c r="I3343" s="326"/>
      <c r="J3343" s="326"/>
      <c r="K3343" s="326"/>
      <c r="M3343" s="463"/>
      <c r="N3343" s="464"/>
    </row>
    <row r="3344" spans="2:14" hidden="1" outlineLevel="1" x14ac:dyDescent="0.35">
      <c r="B3344" s="203"/>
      <c r="C3344" s="204"/>
      <c r="D3344" s="204"/>
      <c r="E3344" s="204"/>
      <c r="F3344" s="205"/>
      <c r="G3344" s="548"/>
      <c r="H3344" s="550"/>
      <c r="I3344" s="326"/>
      <c r="J3344" s="326"/>
      <c r="K3344" s="326"/>
      <c r="M3344" s="463"/>
      <c r="N3344" s="464"/>
    </row>
    <row r="3345" spans="2:14" hidden="1" outlineLevel="1" x14ac:dyDescent="0.35">
      <c r="B3345" s="203"/>
      <c r="C3345" s="204"/>
      <c r="D3345" s="204"/>
      <c r="E3345" s="204"/>
      <c r="F3345" s="205"/>
      <c r="G3345" s="548"/>
      <c r="H3345" s="550"/>
      <c r="I3345" s="326"/>
      <c r="J3345" s="326"/>
      <c r="K3345" s="326"/>
      <c r="M3345" s="463"/>
      <c r="N3345" s="464"/>
    </row>
    <row r="3346" spans="2:14" hidden="1" outlineLevel="1" x14ac:dyDescent="0.35">
      <c r="B3346" s="203"/>
      <c r="C3346" s="204"/>
      <c r="D3346" s="204"/>
      <c r="E3346" s="204"/>
      <c r="F3346" s="205"/>
      <c r="G3346" s="548"/>
      <c r="H3346" s="550"/>
      <c r="I3346" s="326"/>
      <c r="J3346" s="326"/>
      <c r="K3346" s="326"/>
      <c r="M3346" s="463"/>
      <c r="N3346" s="464"/>
    </row>
    <row r="3347" spans="2:14" hidden="1" outlineLevel="1" x14ac:dyDescent="0.35">
      <c r="B3347" s="203"/>
      <c r="C3347" s="204"/>
      <c r="D3347" s="204"/>
      <c r="E3347" s="204"/>
      <c r="F3347" s="205"/>
      <c r="G3347" s="548"/>
      <c r="H3347" s="550"/>
      <c r="I3347" s="326"/>
      <c r="J3347" s="326"/>
      <c r="K3347" s="326"/>
      <c r="M3347" s="463"/>
      <c r="N3347" s="464"/>
    </row>
    <row r="3348" spans="2:14" hidden="1" outlineLevel="1" x14ac:dyDescent="0.35">
      <c r="B3348" s="203"/>
      <c r="C3348" s="204"/>
      <c r="D3348" s="204"/>
      <c r="E3348" s="204"/>
      <c r="F3348" s="205"/>
      <c r="G3348" s="548"/>
      <c r="H3348" s="550"/>
      <c r="I3348" s="326"/>
      <c r="J3348" s="326"/>
      <c r="K3348" s="326"/>
      <c r="M3348" s="463"/>
      <c r="N3348" s="464"/>
    </row>
    <row r="3349" spans="2:14" hidden="1" outlineLevel="1" x14ac:dyDescent="0.35">
      <c r="B3349" s="203"/>
      <c r="C3349" s="204"/>
      <c r="D3349" s="204"/>
      <c r="E3349" s="204"/>
      <c r="F3349" s="205"/>
      <c r="G3349" s="548"/>
      <c r="H3349" s="550"/>
      <c r="I3349" s="326"/>
      <c r="J3349" s="326"/>
      <c r="K3349" s="326"/>
      <c r="M3349" s="463"/>
      <c r="N3349" s="464"/>
    </row>
    <row r="3350" spans="2:14" hidden="1" outlineLevel="1" x14ac:dyDescent="0.35">
      <c r="B3350" s="203"/>
      <c r="C3350" s="204"/>
      <c r="D3350" s="204"/>
      <c r="E3350" s="204"/>
      <c r="F3350" s="205"/>
      <c r="G3350" s="548"/>
      <c r="H3350" s="550"/>
      <c r="I3350" s="326"/>
      <c r="J3350" s="326"/>
      <c r="K3350" s="326"/>
      <c r="M3350" s="463"/>
      <c r="N3350" s="464"/>
    </row>
    <row r="3351" spans="2:14" hidden="1" outlineLevel="1" x14ac:dyDescent="0.35">
      <c r="B3351" s="203"/>
      <c r="C3351" s="204"/>
      <c r="D3351" s="204"/>
      <c r="E3351" s="204"/>
      <c r="F3351" s="205"/>
      <c r="G3351" s="548"/>
      <c r="H3351" s="550"/>
      <c r="I3351" s="326"/>
      <c r="J3351" s="326"/>
      <c r="K3351" s="326"/>
      <c r="M3351" s="463"/>
      <c r="N3351" s="464"/>
    </row>
    <row r="3352" spans="2:14" hidden="1" outlineLevel="1" x14ac:dyDescent="0.35">
      <c r="B3352" s="203"/>
      <c r="C3352" s="204"/>
      <c r="D3352" s="204"/>
      <c r="E3352" s="204"/>
      <c r="F3352" s="205"/>
      <c r="G3352" s="548"/>
      <c r="H3352" s="550"/>
      <c r="I3352" s="326"/>
      <c r="J3352" s="326"/>
      <c r="K3352" s="326"/>
      <c r="M3352" s="463"/>
      <c r="N3352" s="464"/>
    </row>
    <row r="3353" spans="2:14" hidden="1" outlineLevel="1" x14ac:dyDescent="0.35">
      <c r="B3353" s="203"/>
      <c r="C3353" s="204"/>
      <c r="D3353" s="204"/>
      <c r="E3353" s="204"/>
      <c r="F3353" s="205"/>
      <c r="G3353" s="548"/>
      <c r="H3353" s="550"/>
      <c r="I3353" s="326"/>
      <c r="J3353" s="326"/>
      <c r="K3353" s="326"/>
      <c r="M3353" s="463"/>
      <c r="N3353" s="464"/>
    </row>
    <row r="3354" spans="2:14" hidden="1" outlineLevel="1" x14ac:dyDescent="0.35">
      <c r="B3354" s="203"/>
      <c r="C3354" s="204"/>
      <c r="D3354" s="204"/>
      <c r="E3354" s="204"/>
      <c r="F3354" s="205"/>
      <c r="G3354" s="548"/>
      <c r="H3354" s="550"/>
      <c r="I3354" s="326"/>
      <c r="J3354" s="326"/>
      <c r="K3354" s="326"/>
      <c r="M3354" s="463"/>
      <c r="N3354" s="464"/>
    </row>
    <row r="3355" spans="2:14" hidden="1" outlineLevel="1" x14ac:dyDescent="0.35">
      <c r="B3355" s="203"/>
      <c r="C3355" s="204"/>
      <c r="D3355" s="204"/>
      <c r="E3355" s="204"/>
      <c r="F3355" s="205"/>
      <c r="G3355" s="548"/>
      <c r="H3355" s="550"/>
      <c r="I3355" s="326"/>
      <c r="J3355" s="326"/>
      <c r="K3355" s="326"/>
      <c r="M3355" s="463"/>
      <c r="N3355" s="464"/>
    </row>
    <row r="3356" spans="2:14" hidden="1" outlineLevel="1" x14ac:dyDescent="0.35">
      <c r="B3356" s="203"/>
      <c r="C3356" s="204"/>
      <c r="D3356" s="204"/>
      <c r="E3356" s="204"/>
      <c r="F3356" s="205"/>
      <c r="G3356" s="548"/>
      <c r="H3356" s="550"/>
      <c r="I3356" s="326"/>
      <c r="J3356" s="326"/>
      <c r="K3356" s="326"/>
      <c r="M3356" s="463"/>
      <c r="N3356" s="464"/>
    </row>
    <row r="3357" spans="2:14" hidden="1" outlineLevel="1" x14ac:dyDescent="0.35">
      <c r="B3357" s="203"/>
      <c r="C3357" s="204"/>
      <c r="D3357" s="204"/>
      <c r="E3357" s="204"/>
      <c r="F3357" s="205"/>
      <c r="G3357" s="548"/>
      <c r="H3357" s="550"/>
      <c r="I3357" s="326"/>
      <c r="J3357" s="326"/>
      <c r="K3357" s="326"/>
      <c r="M3357" s="463"/>
      <c r="N3357" s="464"/>
    </row>
    <row r="3358" spans="2:14" hidden="1" outlineLevel="1" x14ac:dyDescent="0.35">
      <c r="B3358" s="203"/>
      <c r="C3358" s="204"/>
      <c r="D3358" s="204"/>
      <c r="E3358" s="204"/>
      <c r="F3358" s="205"/>
      <c r="G3358" s="548"/>
      <c r="H3358" s="550"/>
      <c r="I3358" s="326"/>
      <c r="J3358" s="326"/>
      <c r="K3358" s="326"/>
      <c r="M3358" s="463"/>
      <c r="N3358" s="464"/>
    </row>
    <row r="3359" spans="2:14" hidden="1" outlineLevel="1" x14ac:dyDescent="0.35">
      <c r="B3359" s="203"/>
      <c r="C3359" s="204"/>
      <c r="D3359" s="204"/>
      <c r="E3359" s="204"/>
      <c r="F3359" s="205"/>
      <c r="G3359" s="548"/>
      <c r="H3359" s="550"/>
      <c r="I3359" s="326"/>
      <c r="J3359" s="326"/>
      <c r="K3359" s="326"/>
      <c r="M3359" s="463"/>
      <c r="N3359" s="464"/>
    </row>
    <row r="3360" spans="2:14" hidden="1" outlineLevel="1" x14ac:dyDescent="0.35">
      <c r="B3360" s="203"/>
      <c r="C3360" s="204"/>
      <c r="D3360" s="204"/>
      <c r="E3360" s="204"/>
      <c r="F3360" s="205"/>
      <c r="G3360" s="548"/>
      <c r="H3360" s="550"/>
      <c r="I3360" s="326"/>
      <c r="J3360" s="326"/>
      <c r="K3360" s="326"/>
      <c r="M3360" s="463"/>
      <c r="N3360" s="464"/>
    </row>
    <row r="3361" spans="2:14" hidden="1" outlineLevel="1" x14ac:dyDescent="0.35">
      <c r="B3361" s="203"/>
      <c r="C3361" s="204"/>
      <c r="D3361" s="204"/>
      <c r="E3361" s="204"/>
      <c r="F3361" s="205"/>
      <c r="G3361" s="548"/>
      <c r="H3361" s="550"/>
      <c r="I3361" s="326"/>
      <c r="J3361" s="326"/>
      <c r="K3361" s="326"/>
      <c r="M3361" s="463"/>
      <c r="N3361" s="464"/>
    </row>
    <row r="3362" spans="2:14" hidden="1" outlineLevel="1" x14ac:dyDescent="0.35">
      <c r="B3362" s="203"/>
      <c r="C3362" s="204"/>
      <c r="D3362" s="204"/>
      <c r="E3362" s="204"/>
      <c r="F3362" s="205"/>
      <c r="G3362" s="548"/>
      <c r="H3362" s="550"/>
      <c r="I3362" s="326"/>
      <c r="J3362" s="326"/>
      <c r="K3362" s="326"/>
      <c r="M3362" s="463"/>
      <c r="N3362" s="464"/>
    </row>
    <row r="3363" spans="2:14" hidden="1" outlineLevel="1" x14ac:dyDescent="0.35">
      <c r="B3363" s="203"/>
      <c r="C3363" s="204"/>
      <c r="D3363" s="204"/>
      <c r="E3363" s="204"/>
      <c r="F3363" s="205"/>
      <c r="G3363" s="548"/>
      <c r="H3363" s="550"/>
      <c r="I3363" s="326"/>
      <c r="J3363" s="326"/>
      <c r="K3363" s="326"/>
      <c r="M3363" s="463"/>
      <c r="N3363" s="464"/>
    </row>
    <row r="3364" spans="2:14" hidden="1" outlineLevel="1" x14ac:dyDescent="0.35">
      <c r="B3364" s="203"/>
      <c r="C3364" s="204"/>
      <c r="D3364" s="204"/>
      <c r="E3364" s="204"/>
      <c r="F3364" s="205"/>
      <c r="G3364" s="548"/>
      <c r="H3364" s="550"/>
      <c r="I3364" s="326"/>
      <c r="J3364" s="326"/>
      <c r="K3364" s="326"/>
      <c r="M3364" s="463"/>
      <c r="N3364" s="464"/>
    </row>
    <row r="3365" spans="2:14" hidden="1" outlineLevel="1" x14ac:dyDescent="0.35">
      <c r="B3365" s="203"/>
      <c r="C3365" s="204"/>
      <c r="D3365" s="204"/>
      <c r="E3365" s="204"/>
      <c r="F3365" s="205"/>
      <c r="G3365" s="548"/>
      <c r="H3365" s="550"/>
      <c r="I3365" s="326"/>
      <c r="J3365" s="326"/>
      <c r="K3365" s="326"/>
      <c r="M3365" s="463"/>
      <c r="N3365" s="464"/>
    </row>
    <row r="3366" spans="2:14" hidden="1" outlineLevel="1" x14ac:dyDescent="0.35">
      <c r="B3366" s="203"/>
      <c r="C3366" s="204"/>
      <c r="D3366" s="204"/>
      <c r="E3366" s="204"/>
      <c r="F3366" s="205"/>
      <c r="G3366" s="548"/>
      <c r="H3366" s="550"/>
      <c r="I3366" s="326"/>
      <c r="J3366" s="326"/>
      <c r="K3366" s="326"/>
      <c r="M3366" s="463"/>
      <c r="N3366" s="464"/>
    </row>
    <row r="3367" spans="2:14" hidden="1" outlineLevel="1" x14ac:dyDescent="0.35">
      <c r="B3367" s="203"/>
      <c r="C3367" s="204"/>
      <c r="D3367" s="204"/>
      <c r="E3367" s="204"/>
      <c r="F3367" s="205"/>
      <c r="G3367" s="548"/>
      <c r="H3367" s="550"/>
      <c r="I3367" s="326"/>
      <c r="J3367" s="326"/>
      <c r="K3367" s="326"/>
      <c r="M3367" s="463"/>
      <c r="N3367" s="464"/>
    </row>
    <row r="3368" spans="2:14" hidden="1" outlineLevel="1" x14ac:dyDescent="0.35">
      <c r="B3368" s="203"/>
      <c r="C3368" s="204"/>
      <c r="D3368" s="204"/>
      <c r="E3368" s="204"/>
      <c r="F3368" s="205"/>
      <c r="G3368" s="548"/>
      <c r="H3368" s="550"/>
      <c r="I3368" s="326"/>
      <c r="J3368" s="326"/>
      <c r="K3368" s="326"/>
      <c r="M3368" s="463"/>
      <c r="N3368" s="464"/>
    </row>
    <row r="3369" spans="2:14" hidden="1" outlineLevel="1" x14ac:dyDescent="0.35">
      <c r="B3369" s="203"/>
      <c r="C3369" s="204"/>
      <c r="D3369" s="204"/>
      <c r="E3369" s="204"/>
      <c r="F3369" s="205"/>
      <c r="G3369" s="548"/>
      <c r="H3369" s="550"/>
      <c r="I3369" s="326"/>
      <c r="J3369" s="326"/>
      <c r="K3369" s="326"/>
      <c r="M3369" s="463"/>
      <c r="N3369" s="464"/>
    </row>
    <row r="3370" spans="2:14" hidden="1" outlineLevel="1" x14ac:dyDescent="0.35">
      <c r="B3370" s="203"/>
      <c r="C3370" s="204"/>
      <c r="D3370" s="204"/>
      <c r="E3370" s="204"/>
      <c r="F3370" s="205"/>
      <c r="G3370" s="548"/>
      <c r="H3370" s="550"/>
      <c r="I3370" s="326"/>
      <c r="J3370" s="326"/>
      <c r="K3370" s="326"/>
      <c r="M3370" s="463"/>
      <c r="N3370" s="464"/>
    </row>
    <row r="3371" spans="2:14" hidden="1" outlineLevel="1" x14ac:dyDescent="0.35">
      <c r="B3371" s="203"/>
      <c r="C3371" s="204"/>
      <c r="D3371" s="204"/>
      <c r="E3371" s="204"/>
      <c r="F3371" s="205"/>
      <c r="G3371" s="548"/>
      <c r="H3371" s="550"/>
      <c r="I3371" s="326"/>
      <c r="J3371" s="326"/>
      <c r="K3371" s="326"/>
      <c r="M3371" s="463"/>
      <c r="N3371" s="464"/>
    </row>
    <row r="3372" spans="2:14" hidden="1" outlineLevel="1" x14ac:dyDescent="0.35">
      <c r="B3372" s="203"/>
      <c r="C3372" s="204"/>
      <c r="D3372" s="204"/>
      <c r="E3372" s="204"/>
      <c r="F3372" s="205"/>
      <c r="G3372" s="548"/>
      <c r="H3372" s="550"/>
      <c r="I3372" s="326"/>
      <c r="J3372" s="326"/>
      <c r="K3372" s="326"/>
      <c r="M3372" s="463"/>
      <c r="N3372" s="464"/>
    </row>
    <row r="3373" spans="2:14" hidden="1" outlineLevel="1" x14ac:dyDescent="0.35">
      <c r="B3373" s="203"/>
      <c r="C3373" s="204"/>
      <c r="D3373" s="204"/>
      <c r="E3373" s="204"/>
      <c r="F3373" s="205"/>
      <c r="G3373" s="548"/>
      <c r="H3373" s="550"/>
      <c r="I3373" s="326"/>
      <c r="J3373" s="326"/>
      <c r="K3373" s="326"/>
      <c r="M3373" s="463"/>
      <c r="N3373" s="464"/>
    </row>
    <row r="3374" spans="2:14" hidden="1" outlineLevel="1" x14ac:dyDescent="0.35">
      <c r="B3374" s="203"/>
      <c r="C3374" s="204"/>
      <c r="D3374" s="204"/>
      <c r="E3374" s="204"/>
      <c r="F3374" s="205"/>
      <c r="G3374" s="548"/>
      <c r="H3374" s="550"/>
      <c r="I3374" s="326"/>
      <c r="J3374" s="326"/>
      <c r="K3374" s="326"/>
      <c r="M3374" s="463"/>
      <c r="N3374" s="464"/>
    </row>
    <row r="3375" spans="2:14" hidden="1" outlineLevel="1" x14ac:dyDescent="0.35">
      <c r="B3375" s="203"/>
      <c r="C3375" s="204"/>
      <c r="D3375" s="204"/>
      <c r="E3375" s="204"/>
      <c r="F3375" s="205"/>
      <c r="G3375" s="548"/>
      <c r="H3375" s="550"/>
      <c r="I3375" s="326"/>
      <c r="J3375" s="326"/>
      <c r="K3375" s="326"/>
      <c r="M3375" s="463"/>
      <c r="N3375" s="464"/>
    </row>
    <row r="3376" spans="2:14" hidden="1" outlineLevel="1" x14ac:dyDescent="0.35">
      <c r="B3376" s="203"/>
      <c r="C3376" s="204"/>
      <c r="D3376" s="204"/>
      <c r="E3376" s="204"/>
      <c r="F3376" s="205"/>
      <c r="G3376" s="548"/>
      <c r="H3376" s="550"/>
      <c r="I3376" s="326"/>
      <c r="J3376" s="326"/>
      <c r="K3376" s="326"/>
      <c r="M3376" s="463"/>
      <c r="N3376" s="464"/>
    </row>
    <row r="3377" spans="2:14" hidden="1" outlineLevel="1" x14ac:dyDescent="0.35">
      <c r="B3377" s="203"/>
      <c r="C3377" s="204"/>
      <c r="D3377" s="204"/>
      <c r="E3377" s="204"/>
      <c r="F3377" s="205"/>
      <c r="G3377" s="548"/>
      <c r="H3377" s="550"/>
      <c r="I3377" s="326"/>
      <c r="J3377" s="326"/>
      <c r="K3377" s="326"/>
      <c r="M3377" s="463"/>
      <c r="N3377" s="464"/>
    </row>
    <row r="3378" spans="2:14" hidden="1" outlineLevel="1" x14ac:dyDescent="0.35">
      <c r="B3378" s="203"/>
      <c r="C3378" s="204"/>
      <c r="D3378" s="204"/>
      <c r="E3378" s="204"/>
      <c r="F3378" s="205"/>
      <c r="G3378" s="548"/>
      <c r="H3378" s="550"/>
      <c r="I3378" s="326"/>
      <c r="J3378" s="326"/>
      <c r="K3378" s="326"/>
      <c r="M3378" s="463"/>
      <c r="N3378" s="464"/>
    </row>
    <row r="3379" spans="2:14" hidden="1" outlineLevel="1" x14ac:dyDescent="0.35">
      <c r="B3379" s="203"/>
      <c r="C3379" s="204"/>
      <c r="D3379" s="204"/>
      <c r="E3379" s="204"/>
      <c r="F3379" s="205"/>
      <c r="G3379" s="548"/>
      <c r="H3379" s="550"/>
      <c r="I3379" s="326"/>
      <c r="J3379" s="326"/>
      <c r="K3379" s="326"/>
      <c r="M3379" s="463"/>
      <c r="N3379" s="464"/>
    </row>
    <row r="3380" spans="2:14" hidden="1" outlineLevel="1" x14ac:dyDescent="0.35">
      <c r="B3380" s="203"/>
      <c r="C3380" s="204"/>
      <c r="D3380" s="204"/>
      <c r="E3380" s="204"/>
      <c r="F3380" s="205"/>
      <c r="G3380" s="548"/>
      <c r="H3380" s="550"/>
      <c r="I3380" s="326"/>
      <c r="J3380" s="326"/>
      <c r="K3380" s="326"/>
      <c r="M3380" s="463"/>
      <c r="N3380" s="464"/>
    </row>
    <row r="3381" spans="2:14" hidden="1" outlineLevel="1" x14ac:dyDescent="0.35">
      <c r="B3381" s="203"/>
      <c r="C3381" s="204"/>
      <c r="D3381" s="204"/>
      <c r="E3381" s="204"/>
      <c r="F3381" s="205"/>
      <c r="G3381" s="548"/>
      <c r="H3381" s="550"/>
      <c r="I3381" s="326"/>
      <c r="J3381" s="326"/>
      <c r="K3381" s="326"/>
      <c r="M3381" s="463"/>
      <c r="N3381" s="464"/>
    </row>
    <row r="3382" spans="2:14" hidden="1" outlineLevel="1" x14ac:dyDescent="0.35">
      <c r="B3382" s="203"/>
      <c r="C3382" s="204"/>
      <c r="D3382" s="204"/>
      <c r="E3382" s="204"/>
      <c r="F3382" s="205"/>
      <c r="G3382" s="548"/>
      <c r="H3382" s="550"/>
      <c r="I3382" s="326"/>
      <c r="J3382" s="326"/>
      <c r="K3382" s="326"/>
      <c r="M3382" s="463"/>
      <c r="N3382" s="464"/>
    </row>
    <row r="3383" spans="2:14" hidden="1" outlineLevel="1" x14ac:dyDescent="0.35">
      <c r="B3383" s="203"/>
      <c r="C3383" s="204"/>
      <c r="D3383" s="204"/>
      <c r="E3383" s="204"/>
      <c r="F3383" s="205"/>
      <c r="G3383" s="548"/>
      <c r="H3383" s="550"/>
      <c r="I3383" s="326"/>
      <c r="J3383" s="326"/>
      <c r="K3383" s="326"/>
      <c r="M3383" s="463"/>
      <c r="N3383" s="464"/>
    </row>
    <row r="3384" spans="2:14" hidden="1" outlineLevel="1" x14ac:dyDescent="0.35">
      <c r="B3384" s="203"/>
      <c r="C3384" s="204"/>
      <c r="D3384" s="204"/>
      <c r="E3384" s="204"/>
      <c r="F3384" s="205"/>
      <c r="G3384" s="548"/>
      <c r="H3384" s="550"/>
      <c r="I3384" s="326"/>
      <c r="J3384" s="326"/>
      <c r="K3384" s="326"/>
      <c r="M3384" s="463"/>
      <c r="N3384" s="464"/>
    </row>
    <row r="3385" spans="2:14" hidden="1" outlineLevel="1" x14ac:dyDescent="0.35">
      <c r="B3385" s="203"/>
      <c r="C3385" s="204"/>
      <c r="D3385" s="204"/>
      <c r="E3385" s="204"/>
      <c r="F3385" s="205"/>
      <c r="G3385" s="548"/>
      <c r="H3385" s="550"/>
      <c r="I3385" s="326"/>
      <c r="J3385" s="326"/>
      <c r="K3385" s="326"/>
      <c r="M3385" s="463"/>
      <c r="N3385" s="464"/>
    </row>
    <row r="3386" spans="2:14" hidden="1" outlineLevel="1" x14ac:dyDescent="0.35">
      <c r="B3386" s="203"/>
      <c r="C3386" s="204"/>
      <c r="D3386" s="204"/>
      <c r="E3386" s="204"/>
      <c r="F3386" s="205"/>
      <c r="G3386" s="548"/>
      <c r="H3386" s="550"/>
      <c r="I3386" s="326"/>
      <c r="J3386" s="326"/>
      <c r="K3386" s="326"/>
      <c r="M3386" s="463"/>
      <c r="N3386" s="464"/>
    </row>
    <row r="3387" spans="2:14" hidden="1" outlineLevel="1" x14ac:dyDescent="0.35">
      <c r="B3387" s="203"/>
      <c r="C3387" s="204"/>
      <c r="D3387" s="204"/>
      <c r="E3387" s="204"/>
      <c r="F3387" s="205"/>
      <c r="G3387" s="548"/>
      <c r="H3387" s="550"/>
      <c r="I3387" s="326"/>
      <c r="J3387" s="326"/>
      <c r="K3387" s="326"/>
      <c r="M3387" s="463"/>
      <c r="N3387" s="464"/>
    </row>
    <row r="3388" spans="2:14" hidden="1" outlineLevel="1" x14ac:dyDescent="0.35">
      <c r="B3388" s="203"/>
      <c r="C3388" s="204"/>
      <c r="D3388" s="204"/>
      <c r="E3388" s="204"/>
      <c r="F3388" s="205"/>
      <c r="G3388" s="548"/>
      <c r="H3388" s="550"/>
      <c r="I3388" s="326"/>
      <c r="J3388" s="326"/>
      <c r="K3388" s="326"/>
      <c r="M3388" s="463"/>
      <c r="N3388" s="464"/>
    </row>
    <row r="3389" spans="2:14" hidden="1" outlineLevel="1" x14ac:dyDescent="0.35">
      <c r="B3389" s="203"/>
      <c r="C3389" s="204"/>
      <c r="D3389" s="204"/>
      <c r="E3389" s="204"/>
      <c r="F3389" s="205"/>
      <c r="G3389" s="548"/>
      <c r="H3389" s="550"/>
      <c r="I3389" s="326"/>
      <c r="J3389" s="326"/>
      <c r="K3389" s="326"/>
      <c r="M3389" s="463"/>
      <c r="N3389" s="464"/>
    </row>
    <row r="3390" spans="2:14" hidden="1" outlineLevel="1" x14ac:dyDescent="0.35">
      <c r="B3390" s="203"/>
      <c r="C3390" s="204"/>
      <c r="D3390" s="204"/>
      <c r="E3390" s="204"/>
      <c r="F3390" s="205"/>
      <c r="G3390" s="548"/>
      <c r="H3390" s="550"/>
      <c r="I3390" s="326"/>
      <c r="J3390" s="326"/>
      <c r="K3390" s="326"/>
      <c r="M3390" s="463"/>
      <c r="N3390" s="464"/>
    </row>
    <row r="3391" spans="2:14" hidden="1" outlineLevel="1" x14ac:dyDescent="0.35">
      <c r="B3391" s="203"/>
      <c r="C3391" s="204"/>
      <c r="D3391" s="204"/>
      <c r="E3391" s="204"/>
      <c r="F3391" s="205"/>
      <c r="G3391" s="548"/>
      <c r="H3391" s="550"/>
      <c r="I3391" s="326"/>
      <c r="J3391" s="326"/>
      <c r="K3391" s="326"/>
      <c r="M3391" s="463"/>
      <c r="N3391" s="464"/>
    </row>
    <row r="3392" spans="2:14" hidden="1" outlineLevel="1" x14ac:dyDescent="0.35">
      <c r="B3392" s="203"/>
      <c r="C3392" s="204"/>
      <c r="D3392" s="204"/>
      <c r="E3392" s="204"/>
      <c r="F3392" s="205"/>
      <c r="G3392" s="548"/>
      <c r="H3392" s="550"/>
      <c r="I3392" s="326"/>
      <c r="J3392" s="326"/>
      <c r="K3392" s="326"/>
      <c r="M3392" s="463"/>
      <c r="N3392" s="464"/>
    </row>
    <row r="3393" spans="2:14" hidden="1" outlineLevel="1" x14ac:dyDescent="0.35">
      <c r="B3393" s="203"/>
      <c r="C3393" s="204"/>
      <c r="D3393" s="204"/>
      <c r="E3393" s="204"/>
      <c r="F3393" s="205"/>
      <c r="G3393" s="548"/>
      <c r="H3393" s="550"/>
      <c r="I3393" s="326"/>
      <c r="J3393" s="326"/>
      <c r="K3393" s="326"/>
      <c r="M3393" s="463"/>
      <c r="N3393" s="464"/>
    </row>
    <row r="3394" spans="2:14" hidden="1" outlineLevel="1" x14ac:dyDescent="0.35">
      <c r="B3394" s="203"/>
      <c r="C3394" s="204"/>
      <c r="D3394" s="204"/>
      <c r="E3394" s="204"/>
      <c r="F3394" s="205"/>
      <c r="G3394" s="548"/>
      <c r="H3394" s="550"/>
      <c r="I3394" s="326"/>
      <c r="J3394" s="326"/>
      <c r="K3394" s="326"/>
      <c r="M3394" s="463"/>
      <c r="N3394" s="464"/>
    </row>
    <row r="3395" spans="2:14" hidden="1" outlineLevel="1" x14ac:dyDescent="0.35">
      <c r="B3395" s="203"/>
      <c r="C3395" s="204"/>
      <c r="D3395" s="204"/>
      <c r="E3395" s="204"/>
      <c r="F3395" s="205"/>
      <c r="G3395" s="548"/>
      <c r="H3395" s="550"/>
      <c r="I3395" s="326"/>
      <c r="J3395" s="326"/>
      <c r="K3395" s="326"/>
      <c r="M3395" s="463"/>
      <c r="N3395" s="464"/>
    </row>
    <row r="3396" spans="2:14" hidden="1" outlineLevel="1" x14ac:dyDescent="0.35">
      <c r="B3396" s="203"/>
      <c r="C3396" s="204"/>
      <c r="D3396" s="204"/>
      <c r="E3396" s="204"/>
      <c r="F3396" s="205"/>
      <c r="G3396" s="548"/>
      <c r="H3396" s="550"/>
      <c r="I3396" s="326"/>
      <c r="J3396" s="326"/>
      <c r="K3396" s="326"/>
      <c r="M3396" s="463"/>
      <c r="N3396" s="464"/>
    </row>
    <row r="3397" spans="2:14" hidden="1" outlineLevel="1" x14ac:dyDescent="0.35">
      <c r="B3397" s="203"/>
      <c r="C3397" s="204"/>
      <c r="D3397" s="204"/>
      <c r="E3397" s="204"/>
      <c r="F3397" s="205"/>
      <c r="G3397" s="548"/>
      <c r="H3397" s="550"/>
      <c r="I3397" s="326"/>
      <c r="J3397" s="326"/>
      <c r="K3397" s="326"/>
      <c r="M3397" s="463"/>
      <c r="N3397" s="464"/>
    </row>
    <row r="3398" spans="2:14" hidden="1" outlineLevel="1" x14ac:dyDescent="0.35">
      <c r="B3398" s="203"/>
      <c r="C3398" s="204"/>
      <c r="D3398" s="204"/>
      <c r="E3398" s="204"/>
      <c r="F3398" s="205"/>
      <c r="G3398" s="548"/>
      <c r="H3398" s="550"/>
      <c r="I3398" s="326"/>
      <c r="J3398" s="326"/>
      <c r="K3398" s="326"/>
      <c r="M3398" s="463"/>
      <c r="N3398" s="464"/>
    </row>
    <row r="3399" spans="2:14" hidden="1" outlineLevel="1" x14ac:dyDescent="0.35">
      <c r="B3399" s="203"/>
      <c r="C3399" s="204"/>
      <c r="D3399" s="204"/>
      <c r="E3399" s="204"/>
      <c r="F3399" s="205"/>
      <c r="G3399" s="548"/>
      <c r="H3399" s="550"/>
      <c r="I3399" s="326"/>
      <c r="J3399" s="326"/>
      <c r="K3399" s="326"/>
      <c r="M3399" s="463"/>
      <c r="N3399" s="464"/>
    </row>
    <row r="3400" spans="2:14" hidden="1" outlineLevel="1" x14ac:dyDescent="0.35">
      <c r="B3400" s="203"/>
      <c r="C3400" s="204"/>
      <c r="D3400" s="204"/>
      <c r="E3400" s="204"/>
      <c r="F3400" s="205"/>
      <c r="G3400" s="548"/>
      <c r="H3400" s="550"/>
      <c r="I3400" s="326"/>
      <c r="J3400" s="326"/>
      <c r="K3400" s="326"/>
      <c r="M3400" s="463"/>
      <c r="N3400" s="464"/>
    </row>
    <row r="3401" spans="2:14" hidden="1" outlineLevel="1" x14ac:dyDescent="0.35">
      <c r="B3401" s="203"/>
      <c r="C3401" s="204"/>
      <c r="D3401" s="204"/>
      <c r="E3401" s="204"/>
      <c r="F3401" s="205"/>
      <c r="G3401" s="548"/>
      <c r="H3401" s="550"/>
      <c r="I3401" s="326"/>
      <c r="J3401" s="326"/>
      <c r="K3401" s="326"/>
      <c r="M3401" s="463"/>
      <c r="N3401" s="464"/>
    </row>
    <row r="3402" spans="2:14" hidden="1" outlineLevel="1" x14ac:dyDescent="0.35">
      <c r="B3402" s="203"/>
      <c r="C3402" s="204"/>
      <c r="D3402" s="204"/>
      <c r="E3402" s="204"/>
      <c r="F3402" s="205"/>
      <c r="G3402" s="548"/>
      <c r="H3402" s="550"/>
      <c r="I3402" s="326"/>
      <c r="J3402" s="326"/>
      <c r="K3402" s="326"/>
      <c r="M3402" s="463"/>
      <c r="N3402" s="464"/>
    </row>
    <row r="3403" spans="2:14" hidden="1" outlineLevel="1" x14ac:dyDescent="0.35">
      <c r="B3403" s="203"/>
      <c r="C3403" s="204"/>
      <c r="D3403" s="204"/>
      <c r="E3403" s="204"/>
      <c r="F3403" s="205"/>
      <c r="G3403" s="548"/>
      <c r="H3403" s="550"/>
      <c r="I3403" s="326"/>
      <c r="J3403" s="326"/>
      <c r="K3403" s="326"/>
      <c r="M3403" s="463"/>
      <c r="N3403" s="464"/>
    </row>
    <row r="3404" spans="2:14" hidden="1" outlineLevel="1" x14ac:dyDescent="0.35">
      <c r="B3404" s="203"/>
      <c r="C3404" s="204"/>
      <c r="D3404" s="204"/>
      <c r="E3404" s="204"/>
      <c r="F3404" s="205"/>
      <c r="G3404" s="548"/>
      <c r="H3404" s="550"/>
      <c r="I3404" s="326"/>
      <c r="J3404" s="326"/>
      <c r="K3404" s="326"/>
      <c r="M3404" s="463"/>
      <c r="N3404" s="464"/>
    </row>
    <row r="3405" spans="2:14" hidden="1" outlineLevel="1" x14ac:dyDescent="0.35">
      <c r="B3405" s="203"/>
      <c r="C3405" s="204"/>
      <c r="D3405" s="204"/>
      <c r="E3405" s="204"/>
      <c r="F3405" s="205"/>
      <c r="G3405" s="548"/>
      <c r="H3405" s="550"/>
      <c r="I3405" s="326"/>
      <c r="J3405" s="326"/>
      <c r="K3405" s="326"/>
      <c r="M3405" s="463"/>
      <c r="N3405" s="464"/>
    </row>
    <row r="3406" spans="2:14" hidden="1" outlineLevel="1" x14ac:dyDescent="0.35">
      <c r="B3406" s="203"/>
      <c r="C3406" s="204"/>
      <c r="D3406" s="204"/>
      <c r="E3406" s="204"/>
      <c r="F3406" s="205"/>
      <c r="G3406" s="548"/>
      <c r="H3406" s="550"/>
      <c r="I3406" s="326"/>
      <c r="J3406" s="326"/>
      <c r="K3406" s="326"/>
      <c r="M3406" s="463"/>
      <c r="N3406" s="464"/>
    </row>
    <row r="3407" spans="2:14" hidden="1" outlineLevel="1" x14ac:dyDescent="0.35">
      <c r="B3407" s="203"/>
      <c r="C3407" s="204"/>
      <c r="D3407" s="204"/>
      <c r="E3407" s="204"/>
      <c r="F3407" s="205"/>
      <c r="G3407" s="548"/>
      <c r="H3407" s="550"/>
      <c r="I3407" s="326"/>
      <c r="J3407" s="326"/>
      <c r="K3407" s="326"/>
      <c r="M3407" s="463"/>
      <c r="N3407" s="464"/>
    </row>
    <row r="3408" spans="2:14" hidden="1" outlineLevel="1" x14ac:dyDescent="0.35">
      <c r="B3408" s="203"/>
      <c r="C3408" s="204"/>
      <c r="D3408" s="204"/>
      <c r="E3408" s="204"/>
      <c r="F3408" s="205"/>
      <c r="G3408" s="548"/>
      <c r="H3408" s="550"/>
      <c r="I3408" s="326"/>
      <c r="J3408" s="326"/>
      <c r="K3408" s="326"/>
      <c r="M3408" s="463"/>
      <c r="N3408" s="464"/>
    </row>
    <row r="3409" spans="2:14" hidden="1" outlineLevel="1" x14ac:dyDescent="0.35">
      <c r="B3409" s="203"/>
      <c r="C3409" s="204"/>
      <c r="D3409" s="204"/>
      <c r="E3409" s="204"/>
      <c r="F3409" s="205"/>
      <c r="G3409" s="548"/>
      <c r="H3409" s="550"/>
      <c r="I3409" s="326"/>
      <c r="J3409" s="326"/>
      <c r="K3409" s="326"/>
      <c r="M3409" s="463"/>
      <c r="N3409" s="464"/>
    </row>
    <row r="3410" spans="2:14" hidden="1" outlineLevel="1" x14ac:dyDescent="0.35">
      <c r="B3410" s="203"/>
      <c r="C3410" s="204"/>
      <c r="D3410" s="204"/>
      <c r="E3410" s="204"/>
      <c r="F3410" s="205"/>
      <c r="G3410" s="548"/>
      <c r="H3410" s="550"/>
      <c r="I3410" s="326"/>
      <c r="J3410" s="326"/>
      <c r="K3410" s="326"/>
      <c r="M3410" s="463"/>
      <c r="N3410" s="464"/>
    </row>
    <row r="3411" spans="2:14" hidden="1" outlineLevel="1" x14ac:dyDescent="0.35">
      <c r="B3411" s="203"/>
      <c r="C3411" s="204"/>
      <c r="D3411" s="204"/>
      <c r="E3411" s="204"/>
      <c r="F3411" s="205"/>
      <c r="G3411" s="548"/>
      <c r="H3411" s="550"/>
      <c r="I3411" s="326"/>
      <c r="J3411" s="326"/>
      <c r="K3411" s="326"/>
      <c r="M3411" s="463"/>
      <c r="N3411" s="464"/>
    </row>
    <row r="3412" spans="2:14" hidden="1" outlineLevel="1" x14ac:dyDescent="0.35">
      <c r="B3412" s="203"/>
      <c r="C3412" s="204"/>
      <c r="D3412" s="204"/>
      <c r="E3412" s="204"/>
      <c r="F3412" s="205"/>
      <c r="G3412" s="548"/>
      <c r="H3412" s="550"/>
      <c r="I3412" s="326"/>
      <c r="J3412" s="326"/>
      <c r="K3412" s="326"/>
      <c r="M3412" s="463"/>
      <c r="N3412" s="464"/>
    </row>
    <row r="3413" spans="2:14" hidden="1" outlineLevel="1" x14ac:dyDescent="0.35">
      <c r="B3413" s="203"/>
      <c r="C3413" s="204"/>
      <c r="D3413" s="204"/>
      <c r="E3413" s="204"/>
      <c r="F3413" s="205"/>
      <c r="G3413" s="548"/>
      <c r="H3413" s="550"/>
      <c r="I3413" s="326"/>
      <c r="J3413" s="326"/>
      <c r="K3413" s="326"/>
      <c r="M3413" s="463"/>
      <c r="N3413" s="464"/>
    </row>
    <row r="3414" spans="2:14" hidden="1" outlineLevel="1" x14ac:dyDescent="0.35">
      <c r="B3414" s="203"/>
      <c r="C3414" s="204"/>
      <c r="D3414" s="204"/>
      <c r="E3414" s="204"/>
      <c r="F3414" s="205"/>
      <c r="G3414" s="548"/>
      <c r="H3414" s="550"/>
      <c r="I3414" s="326"/>
      <c r="J3414" s="326"/>
      <c r="K3414" s="326"/>
      <c r="M3414" s="463"/>
      <c r="N3414" s="464"/>
    </row>
    <row r="3415" spans="2:14" hidden="1" outlineLevel="1" x14ac:dyDescent="0.35">
      <c r="B3415" s="203"/>
      <c r="C3415" s="204"/>
      <c r="D3415" s="204"/>
      <c r="E3415" s="204"/>
      <c r="F3415" s="205"/>
      <c r="G3415" s="548"/>
      <c r="H3415" s="550"/>
      <c r="I3415" s="326"/>
      <c r="J3415" s="326"/>
      <c r="K3415" s="326"/>
      <c r="M3415" s="463"/>
      <c r="N3415" s="464"/>
    </row>
    <row r="3416" spans="2:14" hidden="1" outlineLevel="1" x14ac:dyDescent="0.35">
      <c r="B3416" s="203"/>
      <c r="C3416" s="204"/>
      <c r="D3416" s="204"/>
      <c r="E3416" s="204"/>
      <c r="F3416" s="205"/>
      <c r="G3416" s="548"/>
      <c r="H3416" s="550"/>
      <c r="I3416" s="326"/>
      <c r="J3416" s="326"/>
      <c r="K3416" s="326"/>
      <c r="M3416" s="463"/>
      <c r="N3416" s="464"/>
    </row>
    <row r="3417" spans="2:14" hidden="1" outlineLevel="1" x14ac:dyDescent="0.35">
      <c r="B3417" s="203"/>
      <c r="C3417" s="204"/>
      <c r="D3417" s="204"/>
      <c r="E3417" s="204"/>
      <c r="F3417" s="205"/>
      <c r="G3417" s="548"/>
      <c r="H3417" s="550"/>
      <c r="I3417" s="326"/>
      <c r="J3417" s="326"/>
      <c r="K3417" s="326"/>
      <c r="M3417" s="463"/>
      <c r="N3417" s="464"/>
    </row>
    <row r="3418" spans="2:14" hidden="1" outlineLevel="1" x14ac:dyDescent="0.35">
      <c r="B3418" s="203"/>
      <c r="C3418" s="204"/>
      <c r="D3418" s="204"/>
      <c r="E3418" s="204"/>
      <c r="F3418" s="205"/>
      <c r="G3418" s="548"/>
      <c r="H3418" s="550"/>
      <c r="I3418" s="326"/>
      <c r="J3418" s="326"/>
      <c r="K3418" s="326"/>
      <c r="M3418" s="463"/>
      <c r="N3418" s="464"/>
    </row>
    <row r="3419" spans="2:14" hidden="1" outlineLevel="1" x14ac:dyDescent="0.35">
      <c r="B3419" s="203"/>
      <c r="C3419" s="204"/>
      <c r="D3419" s="204"/>
      <c r="E3419" s="204"/>
      <c r="F3419" s="205"/>
      <c r="G3419" s="548"/>
      <c r="H3419" s="550"/>
      <c r="I3419" s="326"/>
      <c r="J3419" s="326"/>
      <c r="K3419" s="326"/>
      <c r="M3419" s="463"/>
      <c r="N3419" s="464"/>
    </row>
    <row r="3420" spans="2:14" hidden="1" outlineLevel="1" x14ac:dyDescent="0.35">
      <c r="B3420" s="203"/>
      <c r="C3420" s="204"/>
      <c r="D3420" s="204"/>
      <c r="E3420" s="204"/>
      <c r="F3420" s="205"/>
      <c r="G3420" s="548"/>
      <c r="H3420" s="550"/>
      <c r="I3420" s="326"/>
      <c r="J3420" s="326"/>
      <c r="K3420" s="326"/>
      <c r="M3420" s="463"/>
      <c r="N3420" s="464"/>
    </row>
    <row r="3421" spans="2:14" hidden="1" outlineLevel="1" x14ac:dyDescent="0.35">
      <c r="B3421" s="203"/>
      <c r="C3421" s="204"/>
      <c r="D3421" s="204"/>
      <c r="E3421" s="204"/>
      <c r="F3421" s="205"/>
      <c r="G3421" s="548"/>
      <c r="H3421" s="550"/>
      <c r="I3421" s="326"/>
      <c r="J3421" s="326"/>
      <c r="K3421" s="326"/>
      <c r="M3421" s="463"/>
      <c r="N3421" s="464"/>
    </row>
    <row r="3422" spans="2:14" hidden="1" outlineLevel="1" x14ac:dyDescent="0.35">
      <c r="B3422" s="203"/>
      <c r="C3422" s="204"/>
      <c r="D3422" s="204"/>
      <c r="E3422" s="204"/>
      <c r="F3422" s="205"/>
      <c r="G3422" s="548"/>
      <c r="H3422" s="550"/>
      <c r="I3422" s="326"/>
      <c r="J3422" s="326"/>
      <c r="K3422" s="326"/>
      <c r="M3422" s="463"/>
      <c r="N3422" s="464"/>
    </row>
    <row r="3423" spans="2:14" hidden="1" outlineLevel="1" x14ac:dyDescent="0.35">
      <c r="B3423" s="203"/>
      <c r="C3423" s="204"/>
      <c r="D3423" s="204"/>
      <c r="E3423" s="204"/>
      <c r="F3423" s="205"/>
      <c r="G3423" s="548"/>
      <c r="H3423" s="550"/>
      <c r="I3423" s="326"/>
      <c r="J3423" s="326"/>
      <c r="K3423" s="326"/>
      <c r="M3423" s="463"/>
      <c r="N3423" s="464"/>
    </row>
    <row r="3424" spans="2:14" hidden="1" outlineLevel="1" x14ac:dyDescent="0.35">
      <c r="B3424" s="203"/>
      <c r="C3424" s="204"/>
      <c r="D3424" s="204"/>
      <c r="E3424" s="204"/>
      <c r="F3424" s="205"/>
      <c r="G3424" s="548"/>
      <c r="H3424" s="550"/>
      <c r="I3424" s="326"/>
      <c r="J3424" s="326"/>
      <c r="K3424" s="326"/>
      <c r="M3424" s="463"/>
      <c r="N3424" s="464"/>
    </row>
    <row r="3425" spans="2:14" hidden="1" outlineLevel="1" x14ac:dyDescent="0.35">
      <c r="B3425" s="203"/>
      <c r="C3425" s="204"/>
      <c r="D3425" s="204"/>
      <c r="E3425" s="204"/>
      <c r="F3425" s="205"/>
      <c r="G3425" s="548"/>
      <c r="H3425" s="550"/>
      <c r="I3425" s="326"/>
      <c r="J3425" s="326"/>
      <c r="K3425" s="326"/>
      <c r="M3425" s="463"/>
      <c r="N3425" s="464"/>
    </row>
    <row r="3426" spans="2:14" hidden="1" outlineLevel="1" x14ac:dyDescent="0.35">
      <c r="B3426" s="203"/>
      <c r="C3426" s="204"/>
      <c r="D3426" s="204"/>
      <c r="E3426" s="204"/>
      <c r="F3426" s="205"/>
      <c r="G3426" s="548"/>
      <c r="H3426" s="550"/>
      <c r="I3426" s="326"/>
      <c r="J3426" s="326"/>
      <c r="K3426" s="326"/>
      <c r="M3426" s="463"/>
      <c r="N3426" s="464"/>
    </row>
    <row r="3427" spans="2:14" hidden="1" outlineLevel="1" x14ac:dyDescent="0.35">
      <c r="B3427" s="203"/>
      <c r="C3427" s="204"/>
      <c r="D3427" s="204"/>
      <c r="E3427" s="204"/>
      <c r="F3427" s="205"/>
      <c r="G3427" s="548"/>
      <c r="H3427" s="550"/>
      <c r="I3427" s="326"/>
      <c r="J3427" s="326"/>
      <c r="K3427" s="326"/>
      <c r="M3427" s="463"/>
      <c r="N3427" s="464"/>
    </row>
    <row r="3428" spans="2:14" hidden="1" outlineLevel="1" x14ac:dyDescent="0.35">
      <c r="B3428" s="203"/>
      <c r="C3428" s="204"/>
      <c r="D3428" s="204"/>
      <c r="E3428" s="204"/>
      <c r="F3428" s="205"/>
      <c r="G3428" s="548"/>
      <c r="H3428" s="550"/>
      <c r="I3428" s="326"/>
      <c r="J3428" s="326"/>
      <c r="K3428" s="326"/>
      <c r="M3428" s="463"/>
      <c r="N3428" s="464"/>
    </row>
    <row r="3429" spans="2:14" hidden="1" outlineLevel="1" x14ac:dyDescent="0.35">
      <c r="B3429" s="203"/>
      <c r="C3429" s="204"/>
      <c r="D3429" s="204"/>
      <c r="E3429" s="204"/>
      <c r="F3429" s="205"/>
      <c r="G3429" s="548"/>
      <c r="H3429" s="550"/>
      <c r="I3429" s="326"/>
      <c r="J3429" s="326"/>
      <c r="K3429" s="326"/>
      <c r="M3429" s="463"/>
      <c r="N3429" s="464"/>
    </row>
    <row r="3430" spans="2:14" hidden="1" outlineLevel="1" x14ac:dyDescent="0.35">
      <c r="B3430" s="203"/>
      <c r="C3430" s="204"/>
      <c r="D3430" s="204"/>
      <c r="E3430" s="204"/>
      <c r="F3430" s="205"/>
      <c r="G3430" s="548"/>
      <c r="H3430" s="550"/>
      <c r="I3430" s="326"/>
      <c r="J3430" s="326"/>
      <c r="K3430" s="326"/>
      <c r="M3430" s="463"/>
      <c r="N3430" s="464"/>
    </row>
    <row r="3431" spans="2:14" hidden="1" outlineLevel="1" x14ac:dyDescent="0.35">
      <c r="B3431" s="203"/>
      <c r="C3431" s="204"/>
      <c r="D3431" s="204"/>
      <c r="E3431" s="204"/>
      <c r="F3431" s="205"/>
      <c r="G3431" s="548"/>
      <c r="H3431" s="550"/>
      <c r="I3431" s="326"/>
      <c r="J3431" s="326"/>
      <c r="K3431" s="326"/>
      <c r="M3431" s="463"/>
      <c r="N3431" s="464"/>
    </row>
    <row r="3432" spans="2:14" hidden="1" outlineLevel="1" x14ac:dyDescent="0.35">
      <c r="B3432" s="203"/>
      <c r="C3432" s="204"/>
      <c r="D3432" s="204"/>
      <c r="E3432" s="204"/>
      <c r="F3432" s="205"/>
      <c r="G3432" s="548"/>
      <c r="H3432" s="550"/>
      <c r="I3432" s="326"/>
      <c r="J3432" s="326"/>
      <c r="K3432" s="326"/>
      <c r="M3432" s="463"/>
      <c r="N3432" s="464"/>
    </row>
    <row r="3433" spans="2:14" hidden="1" outlineLevel="1" x14ac:dyDescent="0.35">
      <c r="B3433" s="203"/>
      <c r="C3433" s="204"/>
      <c r="D3433" s="204"/>
      <c r="E3433" s="204"/>
      <c r="F3433" s="205"/>
      <c r="G3433" s="548"/>
      <c r="H3433" s="550"/>
      <c r="I3433" s="326"/>
      <c r="J3433" s="326"/>
      <c r="K3433" s="326"/>
      <c r="M3433" s="463"/>
      <c r="N3433" s="464"/>
    </row>
    <row r="3434" spans="2:14" hidden="1" outlineLevel="1" x14ac:dyDescent="0.35">
      <c r="B3434" s="203"/>
      <c r="C3434" s="204"/>
      <c r="D3434" s="204"/>
      <c r="E3434" s="204"/>
      <c r="F3434" s="205"/>
      <c r="G3434" s="548"/>
      <c r="H3434" s="550"/>
      <c r="I3434" s="326"/>
      <c r="J3434" s="326"/>
      <c r="K3434" s="326"/>
      <c r="M3434" s="463"/>
      <c r="N3434" s="464"/>
    </row>
    <row r="3435" spans="2:14" hidden="1" outlineLevel="1" x14ac:dyDescent="0.35">
      <c r="B3435" s="203"/>
      <c r="C3435" s="204"/>
      <c r="D3435" s="204"/>
      <c r="E3435" s="204"/>
      <c r="F3435" s="205"/>
      <c r="G3435" s="548"/>
      <c r="H3435" s="550"/>
      <c r="I3435" s="326"/>
      <c r="J3435" s="326"/>
      <c r="K3435" s="326"/>
      <c r="M3435" s="463"/>
      <c r="N3435" s="464"/>
    </row>
    <row r="3436" spans="2:14" hidden="1" outlineLevel="1" x14ac:dyDescent="0.35">
      <c r="B3436" s="203"/>
      <c r="C3436" s="204"/>
      <c r="D3436" s="204"/>
      <c r="E3436" s="204"/>
      <c r="F3436" s="205"/>
      <c r="G3436" s="548"/>
      <c r="H3436" s="550"/>
      <c r="I3436" s="326"/>
      <c r="J3436" s="326"/>
      <c r="K3436" s="326"/>
      <c r="M3436" s="463"/>
      <c r="N3436" s="464"/>
    </row>
    <row r="3437" spans="2:14" hidden="1" outlineLevel="1" x14ac:dyDescent="0.35">
      <c r="B3437" s="203"/>
      <c r="C3437" s="204"/>
      <c r="D3437" s="204"/>
      <c r="E3437" s="204"/>
      <c r="F3437" s="205"/>
      <c r="G3437" s="548"/>
      <c r="H3437" s="550"/>
      <c r="I3437" s="326"/>
      <c r="J3437" s="326"/>
      <c r="K3437" s="326"/>
      <c r="M3437" s="463"/>
      <c r="N3437" s="464"/>
    </row>
    <row r="3438" spans="2:14" hidden="1" outlineLevel="1" x14ac:dyDescent="0.35">
      <c r="B3438" s="203"/>
      <c r="C3438" s="204"/>
      <c r="D3438" s="204"/>
      <c r="E3438" s="204"/>
      <c r="F3438" s="205"/>
      <c r="G3438" s="548"/>
      <c r="H3438" s="550"/>
      <c r="I3438" s="326"/>
      <c r="J3438" s="326"/>
      <c r="K3438" s="326"/>
      <c r="M3438" s="463"/>
      <c r="N3438" s="464"/>
    </row>
    <row r="3439" spans="2:14" hidden="1" outlineLevel="1" x14ac:dyDescent="0.35">
      <c r="B3439" s="203"/>
      <c r="C3439" s="204"/>
      <c r="D3439" s="204"/>
      <c r="E3439" s="204"/>
      <c r="F3439" s="205"/>
      <c r="G3439" s="548"/>
      <c r="H3439" s="550"/>
      <c r="I3439" s="326"/>
      <c r="J3439" s="326"/>
      <c r="K3439" s="326"/>
      <c r="M3439" s="463"/>
      <c r="N3439" s="464"/>
    </row>
    <row r="3440" spans="2:14" hidden="1" outlineLevel="1" x14ac:dyDescent="0.35">
      <c r="B3440" s="203"/>
      <c r="C3440" s="204"/>
      <c r="D3440" s="204"/>
      <c r="E3440" s="204"/>
      <c r="F3440" s="205"/>
      <c r="G3440" s="548"/>
      <c r="H3440" s="550"/>
      <c r="I3440" s="326"/>
      <c r="J3440" s="326"/>
      <c r="K3440" s="326"/>
      <c r="M3440" s="463"/>
      <c r="N3440" s="464"/>
    </row>
    <row r="3441" spans="2:14" hidden="1" outlineLevel="1" x14ac:dyDescent="0.35">
      <c r="B3441" s="203"/>
      <c r="C3441" s="204"/>
      <c r="D3441" s="204"/>
      <c r="E3441" s="204"/>
      <c r="F3441" s="205"/>
      <c r="G3441" s="548"/>
      <c r="H3441" s="550"/>
      <c r="I3441" s="326"/>
      <c r="J3441" s="326"/>
      <c r="K3441" s="326"/>
      <c r="M3441" s="463"/>
      <c r="N3441" s="464"/>
    </row>
    <row r="3442" spans="2:14" hidden="1" outlineLevel="1" x14ac:dyDescent="0.35">
      <c r="B3442" s="203"/>
      <c r="C3442" s="204"/>
      <c r="D3442" s="204"/>
      <c r="E3442" s="204"/>
      <c r="F3442" s="205"/>
      <c r="G3442" s="548"/>
      <c r="H3442" s="550"/>
      <c r="I3442" s="326"/>
      <c r="J3442" s="326"/>
      <c r="K3442" s="326"/>
      <c r="M3442" s="463"/>
      <c r="N3442" s="464"/>
    </row>
    <row r="3443" spans="2:14" hidden="1" outlineLevel="1" x14ac:dyDescent="0.35">
      <c r="B3443" s="203"/>
      <c r="C3443" s="204"/>
      <c r="D3443" s="204"/>
      <c r="E3443" s="204"/>
      <c r="F3443" s="205"/>
      <c r="G3443" s="548"/>
      <c r="H3443" s="550"/>
      <c r="I3443" s="326"/>
      <c r="J3443" s="326"/>
      <c r="K3443" s="326"/>
      <c r="M3443" s="463"/>
      <c r="N3443" s="464"/>
    </row>
    <row r="3444" spans="2:14" hidden="1" outlineLevel="1" x14ac:dyDescent="0.35">
      <c r="B3444" s="203"/>
      <c r="C3444" s="204"/>
      <c r="D3444" s="204"/>
      <c r="E3444" s="204"/>
      <c r="F3444" s="205"/>
      <c r="G3444" s="548"/>
      <c r="H3444" s="550"/>
      <c r="I3444" s="326"/>
      <c r="J3444" s="326"/>
      <c r="K3444" s="326"/>
      <c r="M3444" s="463"/>
      <c r="N3444" s="464"/>
    </row>
    <row r="3445" spans="2:14" hidden="1" outlineLevel="1" x14ac:dyDescent="0.35">
      <c r="B3445" s="203"/>
      <c r="C3445" s="204"/>
      <c r="D3445" s="204"/>
      <c r="E3445" s="204"/>
      <c r="F3445" s="205"/>
      <c r="G3445" s="548"/>
      <c r="H3445" s="550"/>
      <c r="I3445" s="326"/>
      <c r="J3445" s="326"/>
      <c r="K3445" s="326"/>
      <c r="M3445" s="463"/>
      <c r="N3445" s="464"/>
    </row>
    <row r="3446" spans="2:14" hidden="1" outlineLevel="1" x14ac:dyDescent="0.35">
      <c r="B3446" s="203"/>
      <c r="C3446" s="204"/>
      <c r="D3446" s="204"/>
      <c r="E3446" s="204"/>
      <c r="F3446" s="205"/>
      <c r="G3446" s="548"/>
      <c r="H3446" s="550"/>
      <c r="I3446" s="326"/>
      <c r="J3446" s="326"/>
      <c r="K3446" s="326"/>
      <c r="M3446" s="463"/>
      <c r="N3446" s="464"/>
    </row>
    <row r="3447" spans="2:14" hidden="1" outlineLevel="1" x14ac:dyDescent="0.35">
      <c r="B3447" s="203"/>
      <c r="C3447" s="204"/>
      <c r="D3447" s="204"/>
      <c r="E3447" s="204"/>
      <c r="F3447" s="205"/>
      <c r="G3447" s="548"/>
      <c r="H3447" s="550"/>
      <c r="I3447" s="326"/>
      <c r="J3447" s="326"/>
      <c r="K3447" s="326"/>
      <c r="M3447" s="463"/>
      <c r="N3447" s="464"/>
    </row>
    <row r="3448" spans="2:14" hidden="1" outlineLevel="1" x14ac:dyDescent="0.35">
      <c r="B3448" s="203"/>
      <c r="C3448" s="204"/>
      <c r="D3448" s="204"/>
      <c r="E3448" s="204"/>
      <c r="F3448" s="205"/>
      <c r="G3448" s="548"/>
      <c r="H3448" s="550"/>
      <c r="I3448" s="326"/>
      <c r="J3448" s="326"/>
      <c r="K3448" s="326"/>
      <c r="M3448" s="463"/>
      <c r="N3448" s="464"/>
    </row>
    <row r="3449" spans="2:14" hidden="1" outlineLevel="1" x14ac:dyDescent="0.35">
      <c r="B3449" s="203"/>
      <c r="C3449" s="204"/>
      <c r="D3449" s="204"/>
      <c r="E3449" s="204"/>
      <c r="F3449" s="205"/>
      <c r="G3449" s="548"/>
      <c r="H3449" s="550"/>
      <c r="I3449" s="326"/>
      <c r="J3449" s="326"/>
      <c r="K3449" s="326"/>
      <c r="M3449" s="463"/>
      <c r="N3449" s="464"/>
    </row>
    <row r="3450" spans="2:14" hidden="1" outlineLevel="1" x14ac:dyDescent="0.35">
      <c r="B3450" s="203"/>
      <c r="C3450" s="204"/>
      <c r="D3450" s="204"/>
      <c r="E3450" s="204"/>
      <c r="F3450" s="205"/>
      <c r="G3450" s="548"/>
      <c r="H3450" s="550"/>
      <c r="I3450" s="326"/>
      <c r="J3450" s="326"/>
      <c r="K3450" s="326"/>
      <c r="M3450" s="463"/>
      <c r="N3450" s="464"/>
    </row>
    <row r="3451" spans="2:14" hidden="1" outlineLevel="1" x14ac:dyDescent="0.35">
      <c r="B3451" s="203"/>
      <c r="C3451" s="204"/>
      <c r="D3451" s="204"/>
      <c r="E3451" s="204"/>
      <c r="F3451" s="205"/>
      <c r="G3451" s="548"/>
      <c r="H3451" s="550"/>
      <c r="I3451" s="326"/>
      <c r="J3451" s="326"/>
      <c r="K3451" s="326"/>
      <c r="M3451" s="463"/>
      <c r="N3451" s="464"/>
    </row>
    <row r="3452" spans="2:14" hidden="1" outlineLevel="1" x14ac:dyDescent="0.35">
      <c r="B3452" s="203"/>
      <c r="C3452" s="204"/>
      <c r="D3452" s="204"/>
      <c r="E3452" s="204"/>
      <c r="F3452" s="205"/>
      <c r="G3452" s="548"/>
      <c r="H3452" s="550"/>
      <c r="I3452" s="326"/>
      <c r="J3452" s="326"/>
      <c r="K3452" s="326"/>
      <c r="M3452" s="463"/>
      <c r="N3452" s="464"/>
    </row>
    <row r="3453" spans="2:14" hidden="1" outlineLevel="1" x14ac:dyDescent="0.35">
      <c r="B3453" s="203"/>
      <c r="C3453" s="204"/>
      <c r="D3453" s="204"/>
      <c r="E3453" s="204"/>
      <c r="F3453" s="205"/>
      <c r="G3453" s="548"/>
      <c r="H3453" s="550"/>
      <c r="I3453" s="326"/>
      <c r="J3453" s="326"/>
      <c r="K3453" s="326"/>
      <c r="M3453" s="463"/>
      <c r="N3453" s="464"/>
    </row>
    <row r="3454" spans="2:14" hidden="1" outlineLevel="1" x14ac:dyDescent="0.35">
      <c r="B3454" s="203"/>
      <c r="C3454" s="204"/>
      <c r="D3454" s="204"/>
      <c r="E3454" s="204"/>
      <c r="F3454" s="205"/>
      <c r="G3454" s="548"/>
      <c r="H3454" s="550"/>
      <c r="I3454" s="326"/>
      <c r="J3454" s="326"/>
      <c r="K3454" s="326"/>
      <c r="M3454" s="463"/>
      <c r="N3454" s="464"/>
    </row>
    <row r="3455" spans="2:14" hidden="1" outlineLevel="1" x14ac:dyDescent="0.35">
      <c r="B3455" s="203"/>
      <c r="C3455" s="204"/>
      <c r="D3455" s="204"/>
      <c r="E3455" s="204"/>
      <c r="F3455" s="205"/>
      <c r="G3455" s="548"/>
      <c r="H3455" s="550"/>
      <c r="I3455" s="326"/>
      <c r="J3455" s="326"/>
      <c r="K3455" s="326"/>
      <c r="M3455" s="463"/>
      <c r="N3455" s="464"/>
    </row>
    <row r="3456" spans="2:14" hidden="1" outlineLevel="1" x14ac:dyDescent="0.35">
      <c r="B3456" s="203"/>
      <c r="C3456" s="204"/>
      <c r="D3456" s="204"/>
      <c r="E3456" s="204"/>
      <c r="F3456" s="205"/>
      <c r="G3456" s="548"/>
      <c r="H3456" s="550"/>
      <c r="I3456" s="326"/>
      <c r="J3456" s="326"/>
      <c r="K3456" s="326"/>
      <c r="M3456" s="463"/>
      <c r="N3456" s="464"/>
    </row>
    <row r="3457" spans="2:14" hidden="1" outlineLevel="1" x14ac:dyDescent="0.35">
      <c r="B3457" s="203"/>
      <c r="C3457" s="204"/>
      <c r="D3457" s="204"/>
      <c r="E3457" s="204"/>
      <c r="F3457" s="205"/>
      <c r="G3457" s="548"/>
      <c r="H3457" s="550"/>
      <c r="I3457" s="326"/>
      <c r="J3457" s="326"/>
      <c r="K3457" s="326"/>
      <c r="M3457" s="463"/>
      <c r="N3457" s="464"/>
    </row>
    <row r="3458" spans="2:14" hidden="1" outlineLevel="1" x14ac:dyDescent="0.35">
      <c r="B3458" s="203"/>
      <c r="C3458" s="204"/>
      <c r="D3458" s="204"/>
      <c r="E3458" s="204"/>
      <c r="F3458" s="205"/>
      <c r="G3458" s="548"/>
      <c r="H3458" s="550"/>
      <c r="I3458" s="326"/>
      <c r="J3458" s="326"/>
      <c r="K3458" s="326"/>
      <c r="M3458" s="463"/>
      <c r="N3458" s="464"/>
    </row>
    <row r="3459" spans="2:14" hidden="1" outlineLevel="1" x14ac:dyDescent="0.35">
      <c r="B3459" s="203"/>
      <c r="C3459" s="204"/>
      <c r="D3459" s="204"/>
      <c r="E3459" s="204"/>
      <c r="F3459" s="205"/>
      <c r="G3459" s="548"/>
      <c r="H3459" s="550"/>
      <c r="I3459" s="326"/>
      <c r="J3459" s="326"/>
      <c r="K3459" s="326"/>
      <c r="M3459" s="463"/>
      <c r="N3459" s="464"/>
    </row>
    <row r="3460" spans="2:14" hidden="1" outlineLevel="1" x14ac:dyDescent="0.35">
      <c r="B3460" s="203"/>
      <c r="C3460" s="204"/>
      <c r="D3460" s="204"/>
      <c r="E3460" s="204"/>
      <c r="F3460" s="205"/>
      <c r="G3460" s="548"/>
      <c r="H3460" s="550"/>
      <c r="I3460" s="326"/>
      <c r="J3460" s="326"/>
      <c r="K3460" s="326"/>
      <c r="M3460" s="463"/>
      <c r="N3460" s="464"/>
    </row>
    <row r="3461" spans="2:14" hidden="1" outlineLevel="1" x14ac:dyDescent="0.35">
      <c r="B3461" s="203"/>
      <c r="C3461" s="204"/>
      <c r="D3461" s="204"/>
      <c r="E3461" s="204"/>
      <c r="F3461" s="205"/>
      <c r="G3461" s="548"/>
      <c r="H3461" s="550"/>
      <c r="I3461" s="326"/>
      <c r="J3461" s="326"/>
      <c r="K3461" s="326"/>
      <c r="M3461" s="463"/>
      <c r="N3461" s="464"/>
    </row>
    <row r="3462" spans="2:14" hidden="1" outlineLevel="1" x14ac:dyDescent="0.35">
      <c r="B3462" s="203"/>
      <c r="C3462" s="204"/>
      <c r="D3462" s="204"/>
      <c r="E3462" s="204"/>
      <c r="F3462" s="205"/>
      <c r="G3462" s="548"/>
      <c r="H3462" s="550"/>
      <c r="I3462" s="326"/>
      <c r="J3462" s="326"/>
      <c r="K3462" s="326"/>
      <c r="M3462" s="463"/>
      <c r="N3462" s="464"/>
    </row>
    <row r="3463" spans="2:14" hidden="1" outlineLevel="1" x14ac:dyDescent="0.35">
      <c r="B3463" s="203"/>
      <c r="C3463" s="204"/>
      <c r="D3463" s="204"/>
      <c r="E3463" s="204"/>
      <c r="F3463" s="205"/>
      <c r="G3463" s="548"/>
      <c r="H3463" s="550"/>
      <c r="I3463" s="326"/>
      <c r="J3463" s="326"/>
      <c r="K3463" s="326"/>
      <c r="M3463" s="463"/>
      <c r="N3463" s="464"/>
    </row>
    <row r="3464" spans="2:14" hidden="1" outlineLevel="1" x14ac:dyDescent="0.35">
      <c r="B3464" s="203"/>
      <c r="C3464" s="204"/>
      <c r="D3464" s="204"/>
      <c r="E3464" s="204"/>
      <c r="F3464" s="205"/>
      <c r="G3464" s="548"/>
      <c r="H3464" s="550"/>
      <c r="I3464" s="326"/>
      <c r="J3464" s="326"/>
      <c r="K3464" s="326"/>
      <c r="M3464" s="463"/>
      <c r="N3464" s="464"/>
    </row>
    <row r="3465" spans="2:14" hidden="1" outlineLevel="1" x14ac:dyDescent="0.35">
      <c r="B3465" s="203"/>
      <c r="C3465" s="204"/>
      <c r="D3465" s="204"/>
      <c r="E3465" s="204"/>
      <c r="F3465" s="205"/>
      <c r="G3465" s="548"/>
      <c r="H3465" s="550"/>
      <c r="I3465" s="326"/>
      <c r="J3465" s="326"/>
      <c r="K3465" s="326"/>
      <c r="M3465" s="463"/>
      <c r="N3465" s="464"/>
    </row>
    <row r="3466" spans="2:14" hidden="1" outlineLevel="1" x14ac:dyDescent="0.35">
      <c r="B3466" s="203"/>
      <c r="C3466" s="204"/>
      <c r="D3466" s="204"/>
      <c r="E3466" s="204"/>
      <c r="F3466" s="205"/>
      <c r="G3466" s="548"/>
      <c r="H3466" s="550"/>
      <c r="I3466" s="326"/>
      <c r="J3466" s="326"/>
      <c r="K3466" s="326"/>
      <c r="M3466" s="463"/>
      <c r="N3466" s="464"/>
    </row>
    <row r="3467" spans="2:14" hidden="1" outlineLevel="1" x14ac:dyDescent="0.35">
      <c r="B3467" s="203"/>
      <c r="C3467" s="204"/>
      <c r="D3467" s="204"/>
      <c r="E3467" s="204"/>
      <c r="F3467" s="205"/>
      <c r="G3467" s="548"/>
      <c r="H3467" s="550"/>
      <c r="I3467" s="326"/>
      <c r="J3467" s="326"/>
      <c r="K3467" s="326"/>
      <c r="M3467" s="463"/>
      <c r="N3467" s="464"/>
    </row>
    <row r="3468" spans="2:14" hidden="1" outlineLevel="1" x14ac:dyDescent="0.35">
      <c r="B3468" s="203"/>
      <c r="C3468" s="204"/>
      <c r="D3468" s="204"/>
      <c r="E3468" s="204"/>
      <c r="F3468" s="205"/>
      <c r="G3468" s="548"/>
      <c r="H3468" s="550"/>
      <c r="I3468" s="326"/>
      <c r="J3468" s="326"/>
      <c r="K3468" s="326"/>
      <c r="M3468" s="463"/>
      <c r="N3468" s="464"/>
    </row>
    <row r="3469" spans="2:14" hidden="1" outlineLevel="1" x14ac:dyDescent="0.35">
      <c r="B3469" s="203"/>
      <c r="C3469" s="204"/>
      <c r="D3469" s="204"/>
      <c r="E3469" s="204"/>
      <c r="F3469" s="205"/>
      <c r="G3469" s="548"/>
      <c r="H3469" s="550"/>
      <c r="I3469" s="326"/>
      <c r="J3469" s="326"/>
      <c r="K3469" s="326"/>
      <c r="M3469" s="463"/>
      <c r="N3469" s="464"/>
    </row>
    <row r="3470" spans="2:14" hidden="1" outlineLevel="1" x14ac:dyDescent="0.35">
      <c r="B3470" s="203"/>
      <c r="C3470" s="204"/>
      <c r="D3470" s="204"/>
      <c r="E3470" s="204"/>
      <c r="F3470" s="205"/>
      <c r="G3470" s="548"/>
      <c r="H3470" s="550"/>
      <c r="I3470" s="326"/>
      <c r="J3470" s="326"/>
      <c r="K3470" s="326"/>
      <c r="M3470" s="463"/>
      <c r="N3470" s="464"/>
    </row>
    <row r="3471" spans="2:14" hidden="1" outlineLevel="1" x14ac:dyDescent="0.35">
      <c r="B3471" s="203"/>
      <c r="C3471" s="204"/>
      <c r="D3471" s="204"/>
      <c r="E3471" s="204"/>
      <c r="F3471" s="205"/>
      <c r="G3471" s="548"/>
      <c r="H3471" s="550"/>
      <c r="I3471" s="326"/>
      <c r="J3471" s="326"/>
      <c r="K3471" s="326"/>
      <c r="M3471" s="463"/>
      <c r="N3471" s="464"/>
    </row>
    <row r="3472" spans="2:14" hidden="1" outlineLevel="1" x14ac:dyDescent="0.35">
      <c r="B3472" s="203"/>
      <c r="C3472" s="204"/>
      <c r="D3472" s="204"/>
      <c r="E3472" s="204"/>
      <c r="F3472" s="205"/>
      <c r="G3472" s="548"/>
      <c r="H3472" s="550"/>
      <c r="I3472" s="326"/>
      <c r="J3472" s="326"/>
      <c r="K3472" s="326"/>
      <c r="M3472" s="463"/>
      <c r="N3472" s="464"/>
    </row>
    <row r="3473" spans="2:14" hidden="1" outlineLevel="1" x14ac:dyDescent="0.35">
      <c r="B3473" s="203"/>
      <c r="C3473" s="204"/>
      <c r="D3473" s="204"/>
      <c r="E3473" s="204"/>
      <c r="F3473" s="205"/>
      <c r="G3473" s="548"/>
      <c r="H3473" s="550"/>
      <c r="I3473" s="326"/>
      <c r="J3473" s="326"/>
      <c r="K3473" s="326"/>
      <c r="M3473" s="463"/>
      <c r="N3473" s="464"/>
    </row>
    <row r="3474" spans="2:14" hidden="1" outlineLevel="1" x14ac:dyDescent="0.35">
      <c r="B3474" s="203"/>
      <c r="C3474" s="204"/>
      <c r="D3474" s="204"/>
      <c r="E3474" s="204"/>
      <c r="F3474" s="205"/>
      <c r="G3474" s="548"/>
      <c r="H3474" s="550"/>
      <c r="I3474" s="326"/>
      <c r="J3474" s="326"/>
      <c r="K3474" s="326"/>
      <c r="M3474" s="463"/>
      <c r="N3474" s="464"/>
    </row>
    <row r="3475" spans="2:14" hidden="1" outlineLevel="1" x14ac:dyDescent="0.35">
      <c r="B3475" s="203"/>
      <c r="C3475" s="204"/>
      <c r="D3475" s="204"/>
      <c r="E3475" s="204"/>
      <c r="F3475" s="205"/>
      <c r="G3475" s="548"/>
      <c r="H3475" s="550"/>
      <c r="I3475" s="326"/>
      <c r="J3475" s="326"/>
      <c r="K3475" s="326"/>
      <c r="M3475" s="463"/>
      <c r="N3475" s="464"/>
    </row>
    <row r="3476" spans="2:14" hidden="1" outlineLevel="1" x14ac:dyDescent="0.35">
      <c r="B3476" s="203"/>
      <c r="C3476" s="204"/>
      <c r="D3476" s="204"/>
      <c r="E3476" s="204"/>
      <c r="F3476" s="205"/>
      <c r="G3476" s="548"/>
      <c r="H3476" s="550"/>
      <c r="I3476" s="326"/>
      <c r="J3476" s="326"/>
      <c r="K3476" s="326"/>
      <c r="M3476" s="463"/>
      <c r="N3476" s="464"/>
    </row>
    <row r="3477" spans="2:14" hidden="1" outlineLevel="1" x14ac:dyDescent="0.35">
      <c r="B3477" s="203"/>
      <c r="C3477" s="204"/>
      <c r="D3477" s="204"/>
      <c r="E3477" s="204"/>
      <c r="F3477" s="205"/>
      <c r="G3477" s="548"/>
      <c r="H3477" s="550"/>
      <c r="I3477" s="326"/>
      <c r="J3477" s="326"/>
      <c r="K3477" s="326"/>
      <c r="M3477" s="463"/>
      <c r="N3477" s="464"/>
    </row>
    <row r="3478" spans="2:14" hidden="1" outlineLevel="1" x14ac:dyDescent="0.35">
      <c r="B3478" s="203"/>
      <c r="C3478" s="204"/>
      <c r="D3478" s="204"/>
      <c r="E3478" s="204"/>
      <c r="F3478" s="205"/>
      <c r="G3478" s="548"/>
      <c r="H3478" s="550"/>
      <c r="I3478" s="326"/>
      <c r="J3478" s="326"/>
      <c r="K3478" s="326"/>
      <c r="M3478" s="463"/>
      <c r="N3478" s="464"/>
    </row>
    <row r="3479" spans="2:14" hidden="1" outlineLevel="1" x14ac:dyDescent="0.35">
      <c r="B3479" s="203"/>
      <c r="C3479" s="204"/>
      <c r="D3479" s="204"/>
      <c r="E3479" s="204"/>
      <c r="F3479" s="205"/>
      <c r="G3479" s="548"/>
      <c r="H3479" s="550"/>
      <c r="I3479" s="326"/>
      <c r="J3479" s="326"/>
      <c r="K3479" s="326"/>
      <c r="M3479" s="463"/>
      <c r="N3479" s="464"/>
    </row>
    <row r="3480" spans="2:14" hidden="1" outlineLevel="1" x14ac:dyDescent="0.35">
      <c r="B3480" s="203"/>
      <c r="C3480" s="204"/>
      <c r="D3480" s="204"/>
      <c r="E3480" s="204"/>
      <c r="F3480" s="205"/>
      <c r="G3480" s="548"/>
      <c r="H3480" s="550"/>
      <c r="I3480" s="326"/>
      <c r="J3480" s="326"/>
      <c r="K3480" s="326"/>
      <c r="M3480" s="463"/>
      <c r="N3480" s="464"/>
    </row>
    <row r="3481" spans="2:14" hidden="1" outlineLevel="1" x14ac:dyDescent="0.35">
      <c r="B3481" s="203"/>
      <c r="C3481" s="204"/>
      <c r="D3481" s="204"/>
      <c r="E3481" s="204"/>
      <c r="F3481" s="205"/>
      <c r="G3481" s="548"/>
      <c r="H3481" s="550"/>
      <c r="I3481" s="326"/>
      <c r="J3481" s="326"/>
      <c r="K3481" s="326"/>
      <c r="M3481" s="463"/>
      <c r="N3481" s="464"/>
    </row>
    <row r="3482" spans="2:14" hidden="1" outlineLevel="1" x14ac:dyDescent="0.35">
      <c r="B3482" s="203"/>
      <c r="C3482" s="204"/>
      <c r="D3482" s="204"/>
      <c r="E3482" s="204"/>
      <c r="F3482" s="205"/>
      <c r="G3482" s="548"/>
      <c r="H3482" s="550"/>
      <c r="I3482" s="326"/>
      <c r="J3482" s="326"/>
      <c r="K3482" s="326"/>
      <c r="M3482" s="463"/>
      <c r="N3482" s="464"/>
    </row>
    <row r="3483" spans="2:14" hidden="1" outlineLevel="1" x14ac:dyDescent="0.35">
      <c r="B3483" s="203"/>
      <c r="C3483" s="204"/>
      <c r="D3483" s="204"/>
      <c r="E3483" s="204"/>
      <c r="F3483" s="205"/>
      <c r="G3483" s="548"/>
      <c r="H3483" s="550"/>
      <c r="I3483" s="326"/>
      <c r="J3483" s="326"/>
      <c r="K3483" s="326"/>
      <c r="M3483" s="463"/>
      <c r="N3483" s="464"/>
    </row>
    <row r="3484" spans="2:14" hidden="1" outlineLevel="1" x14ac:dyDescent="0.35">
      <c r="B3484" s="203"/>
      <c r="C3484" s="204"/>
      <c r="D3484" s="204"/>
      <c r="E3484" s="204"/>
      <c r="F3484" s="205"/>
      <c r="G3484" s="548"/>
      <c r="H3484" s="550"/>
      <c r="I3484" s="326"/>
      <c r="J3484" s="326"/>
      <c r="K3484" s="326"/>
      <c r="M3484" s="463"/>
      <c r="N3484" s="464"/>
    </row>
    <row r="3485" spans="2:14" hidden="1" outlineLevel="1" x14ac:dyDescent="0.35">
      <c r="B3485" s="203"/>
      <c r="C3485" s="204"/>
      <c r="D3485" s="204"/>
      <c r="E3485" s="204"/>
      <c r="F3485" s="205"/>
      <c r="G3485" s="548"/>
      <c r="H3485" s="550"/>
      <c r="I3485" s="326"/>
      <c r="J3485" s="326"/>
      <c r="K3485" s="326"/>
      <c r="M3485" s="463"/>
      <c r="N3485" s="464"/>
    </row>
    <row r="3486" spans="2:14" hidden="1" outlineLevel="1" x14ac:dyDescent="0.35">
      <c r="B3486" s="203"/>
      <c r="C3486" s="204"/>
      <c r="D3486" s="204"/>
      <c r="E3486" s="204"/>
      <c r="F3486" s="205"/>
      <c r="G3486" s="548"/>
      <c r="H3486" s="550"/>
      <c r="I3486" s="326"/>
      <c r="J3486" s="326"/>
      <c r="K3486" s="326"/>
      <c r="M3486" s="463"/>
      <c r="N3486" s="464"/>
    </row>
    <row r="3487" spans="2:14" hidden="1" outlineLevel="1" x14ac:dyDescent="0.35">
      <c r="B3487" s="203"/>
      <c r="C3487" s="204"/>
      <c r="D3487" s="204"/>
      <c r="E3487" s="204"/>
      <c r="F3487" s="205"/>
      <c r="G3487" s="548"/>
      <c r="H3487" s="550"/>
      <c r="I3487" s="326"/>
      <c r="J3487" s="326"/>
      <c r="K3487" s="326"/>
      <c r="M3487" s="463"/>
      <c r="N3487" s="464"/>
    </row>
    <row r="3488" spans="2:14" hidden="1" outlineLevel="1" x14ac:dyDescent="0.35">
      <c r="B3488" s="203"/>
      <c r="C3488" s="204"/>
      <c r="D3488" s="204"/>
      <c r="E3488" s="204"/>
      <c r="F3488" s="205"/>
      <c r="G3488" s="548"/>
      <c r="H3488" s="550"/>
      <c r="I3488" s="326"/>
      <c r="J3488" s="326"/>
      <c r="K3488" s="326"/>
      <c r="M3488" s="463"/>
      <c r="N3488" s="464"/>
    </row>
    <row r="3489" spans="2:14" hidden="1" outlineLevel="1" x14ac:dyDescent="0.35">
      <c r="B3489" s="203"/>
      <c r="C3489" s="204"/>
      <c r="D3489" s="204"/>
      <c r="E3489" s="204"/>
      <c r="F3489" s="205"/>
      <c r="G3489" s="548"/>
      <c r="H3489" s="550"/>
      <c r="I3489" s="326"/>
      <c r="J3489" s="326"/>
      <c r="K3489" s="326"/>
      <c r="M3489" s="463"/>
      <c r="N3489" s="464"/>
    </row>
    <row r="3490" spans="2:14" hidden="1" outlineLevel="1" x14ac:dyDescent="0.35">
      <c r="B3490" s="203"/>
      <c r="C3490" s="204"/>
      <c r="D3490" s="204"/>
      <c r="E3490" s="204"/>
      <c r="F3490" s="205"/>
      <c r="G3490" s="548"/>
      <c r="H3490" s="550"/>
      <c r="I3490" s="326"/>
      <c r="J3490" s="326"/>
      <c r="K3490" s="326"/>
      <c r="M3490" s="463"/>
      <c r="N3490" s="464"/>
    </row>
    <row r="3491" spans="2:14" hidden="1" outlineLevel="1" x14ac:dyDescent="0.35">
      <c r="B3491" s="203"/>
      <c r="C3491" s="204"/>
      <c r="D3491" s="204"/>
      <c r="E3491" s="204"/>
      <c r="F3491" s="205"/>
      <c r="G3491" s="548"/>
      <c r="H3491" s="550"/>
      <c r="I3491" s="326"/>
      <c r="J3491" s="326"/>
      <c r="K3491" s="326"/>
      <c r="M3491" s="463"/>
      <c r="N3491" s="464"/>
    </row>
    <row r="3492" spans="2:14" hidden="1" outlineLevel="1" x14ac:dyDescent="0.35">
      <c r="B3492" s="203"/>
      <c r="C3492" s="204"/>
      <c r="D3492" s="204"/>
      <c r="E3492" s="204"/>
      <c r="F3492" s="205"/>
      <c r="G3492" s="548"/>
      <c r="H3492" s="550"/>
      <c r="I3492" s="326"/>
      <c r="J3492" s="326"/>
      <c r="K3492" s="326"/>
      <c r="M3492" s="463"/>
      <c r="N3492" s="464"/>
    </row>
    <row r="3493" spans="2:14" hidden="1" outlineLevel="1" x14ac:dyDescent="0.35">
      <c r="B3493" s="203"/>
      <c r="C3493" s="204"/>
      <c r="D3493" s="204"/>
      <c r="E3493" s="204"/>
      <c r="F3493" s="205"/>
      <c r="G3493" s="548"/>
      <c r="H3493" s="550"/>
      <c r="I3493" s="326"/>
      <c r="J3493" s="326"/>
      <c r="K3493" s="326"/>
      <c r="M3493" s="463"/>
      <c r="N3493" s="464"/>
    </row>
    <row r="3494" spans="2:14" hidden="1" outlineLevel="1" x14ac:dyDescent="0.35">
      <c r="B3494" s="203"/>
      <c r="C3494" s="204"/>
      <c r="D3494" s="204"/>
      <c r="E3494" s="204"/>
      <c r="F3494" s="205"/>
      <c r="G3494" s="548"/>
      <c r="H3494" s="550"/>
      <c r="I3494" s="326"/>
      <c r="J3494" s="326"/>
      <c r="K3494" s="326"/>
      <c r="M3494" s="463"/>
      <c r="N3494" s="464"/>
    </row>
    <row r="3495" spans="2:14" hidden="1" outlineLevel="1" x14ac:dyDescent="0.35">
      <c r="B3495" s="203"/>
      <c r="C3495" s="204"/>
      <c r="D3495" s="204"/>
      <c r="E3495" s="204"/>
      <c r="F3495" s="205"/>
      <c r="G3495" s="548"/>
      <c r="H3495" s="550"/>
      <c r="I3495" s="326"/>
      <c r="J3495" s="326"/>
      <c r="K3495" s="326"/>
      <c r="M3495" s="463"/>
      <c r="N3495" s="464"/>
    </row>
    <row r="3496" spans="2:14" hidden="1" outlineLevel="1" x14ac:dyDescent="0.35">
      <c r="B3496" s="203"/>
      <c r="C3496" s="204"/>
      <c r="D3496" s="204"/>
      <c r="E3496" s="204"/>
      <c r="F3496" s="205"/>
      <c r="G3496" s="548"/>
      <c r="H3496" s="550"/>
      <c r="I3496" s="326"/>
      <c r="J3496" s="326"/>
      <c r="K3496" s="326"/>
      <c r="M3496" s="463"/>
      <c r="N3496" s="464"/>
    </row>
    <row r="3497" spans="2:14" hidden="1" outlineLevel="1" x14ac:dyDescent="0.35">
      <c r="B3497" s="203"/>
      <c r="C3497" s="204"/>
      <c r="D3497" s="204"/>
      <c r="E3497" s="204"/>
      <c r="F3497" s="205"/>
      <c r="G3497" s="548"/>
      <c r="H3497" s="550"/>
      <c r="I3497" s="326"/>
      <c r="J3497" s="326"/>
      <c r="K3497" s="326"/>
      <c r="M3497" s="463"/>
      <c r="N3497" s="464"/>
    </row>
    <row r="3498" spans="2:14" hidden="1" outlineLevel="1" x14ac:dyDescent="0.35">
      <c r="B3498" s="203"/>
      <c r="C3498" s="204"/>
      <c r="D3498" s="204"/>
      <c r="E3498" s="204"/>
      <c r="F3498" s="205"/>
      <c r="G3498" s="548"/>
      <c r="H3498" s="550"/>
      <c r="I3498" s="326"/>
      <c r="J3498" s="326"/>
      <c r="K3498" s="326"/>
      <c r="M3498" s="463"/>
      <c r="N3498" s="464"/>
    </row>
    <row r="3499" spans="2:14" hidden="1" outlineLevel="1" x14ac:dyDescent="0.35">
      <c r="B3499" s="203"/>
      <c r="C3499" s="204"/>
      <c r="D3499" s="204"/>
      <c r="E3499" s="204"/>
      <c r="F3499" s="205"/>
      <c r="G3499" s="548"/>
      <c r="H3499" s="550"/>
      <c r="I3499" s="326"/>
      <c r="J3499" s="326"/>
      <c r="K3499" s="326"/>
      <c r="M3499" s="463"/>
      <c r="N3499" s="464"/>
    </row>
    <row r="3500" spans="2:14" hidden="1" outlineLevel="1" x14ac:dyDescent="0.35">
      <c r="B3500" s="203"/>
      <c r="C3500" s="204"/>
      <c r="D3500" s="204"/>
      <c r="E3500" s="204"/>
      <c r="F3500" s="205"/>
      <c r="G3500" s="548"/>
      <c r="H3500" s="550"/>
      <c r="I3500" s="326"/>
      <c r="J3500" s="326"/>
      <c r="K3500" s="326"/>
      <c r="M3500" s="463"/>
      <c r="N3500" s="464"/>
    </row>
    <row r="3501" spans="2:14" hidden="1" outlineLevel="1" x14ac:dyDescent="0.35">
      <c r="B3501" s="203"/>
      <c r="C3501" s="204"/>
      <c r="D3501" s="204"/>
      <c r="E3501" s="204"/>
      <c r="F3501" s="205"/>
      <c r="G3501" s="548"/>
      <c r="H3501" s="550"/>
      <c r="I3501" s="326"/>
      <c r="J3501" s="326"/>
      <c r="K3501" s="326"/>
      <c r="M3501" s="463"/>
      <c r="N3501" s="464"/>
    </row>
    <row r="3502" spans="2:14" hidden="1" outlineLevel="1" x14ac:dyDescent="0.35">
      <c r="B3502" s="203"/>
      <c r="C3502" s="204"/>
      <c r="D3502" s="204"/>
      <c r="E3502" s="204"/>
      <c r="F3502" s="205"/>
      <c r="G3502" s="548"/>
      <c r="H3502" s="550"/>
      <c r="I3502" s="326"/>
      <c r="J3502" s="326"/>
      <c r="K3502" s="326"/>
      <c r="M3502" s="463"/>
      <c r="N3502" s="464"/>
    </row>
    <row r="3503" spans="2:14" hidden="1" outlineLevel="1" x14ac:dyDescent="0.35">
      <c r="B3503" s="203"/>
      <c r="C3503" s="204"/>
      <c r="D3503" s="204"/>
      <c r="E3503" s="204"/>
      <c r="F3503" s="205"/>
      <c r="G3503" s="548"/>
      <c r="H3503" s="550"/>
      <c r="I3503" s="326"/>
      <c r="J3503" s="326"/>
      <c r="K3503" s="326"/>
      <c r="M3503" s="463"/>
      <c r="N3503" s="464"/>
    </row>
    <row r="3504" spans="2:14" hidden="1" outlineLevel="1" x14ac:dyDescent="0.35">
      <c r="B3504" s="203"/>
      <c r="C3504" s="204"/>
      <c r="D3504" s="204"/>
      <c r="E3504" s="204"/>
      <c r="F3504" s="205"/>
      <c r="G3504" s="548"/>
      <c r="H3504" s="550"/>
      <c r="I3504" s="326"/>
      <c r="J3504" s="326"/>
      <c r="K3504" s="326"/>
      <c r="M3504" s="463"/>
      <c r="N3504" s="464"/>
    </row>
    <row r="3505" spans="2:14" hidden="1" outlineLevel="1" x14ac:dyDescent="0.35">
      <c r="B3505" s="203"/>
      <c r="C3505" s="204"/>
      <c r="D3505" s="204"/>
      <c r="E3505" s="204"/>
      <c r="F3505" s="205"/>
      <c r="G3505" s="548"/>
      <c r="H3505" s="550"/>
      <c r="I3505" s="326"/>
      <c r="J3505" s="326"/>
      <c r="K3505" s="326"/>
      <c r="M3505" s="463"/>
      <c r="N3505" s="464"/>
    </row>
    <row r="3506" spans="2:14" hidden="1" outlineLevel="1" x14ac:dyDescent="0.35">
      <c r="B3506" s="203"/>
      <c r="C3506" s="204"/>
      <c r="D3506" s="204"/>
      <c r="E3506" s="204"/>
      <c r="F3506" s="205"/>
      <c r="G3506" s="548"/>
      <c r="H3506" s="550"/>
      <c r="I3506" s="326"/>
      <c r="J3506" s="326"/>
      <c r="K3506" s="326"/>
      <c r="M3506" s="463"/>
      <c r="N3506" s="464"/>
    </row>
    <row r="3507" spans="2:14" hidden="1" outlineLevel="1" x14ac:dyDescent="0.35">
      <c r="B3507" s="203"/>
      <c r="C3507" s="204"/>
      <c r="D3507" s="204"/>
      <c r="E3507" s="204"/>
      <c r="F3507" s="205"/>
      <c r="G3507" s="548"/>
      <c r="H3507" s="550"/>
      <c r="I3507" s="326"/>
      <c r="J3507" s="326"/>
      <c r="K3507" s="326"/>
      <c r="M3507" s="463"/>
      <c r="N3507" s="464"/>
    </row>
    <row r="3508" spans="2:14" hidden="1" outlineLevel="1" x14ac:dyDescent="0.35">
      <c r="B3508" s="203"/>
      <c r="C3508" s="204"/>
      <c r="D3508" s="204"/>
      <c r="E3508" s="204"/>
      <c r="F3508" s="205"/>
      <c r="G3508" s="548"/>
      <c r="H3508" s="550"/>
      <c r="I3508" s="326"/>
      <c r="J3508" s="326"/>
      <c r="K3508" s="326"/>
      <c r="M3508" s="463"/>
      <c r="N3508" s="464"/>
    </row>
    <row r="3509" spans="2:14" hidden="1" outlineLevel="1" x14ac:dyDescent="0.35">
      <c r="B3509" s="203"/>
      <c r="C3509" s="204"/>
      <c r="D3509" s="204"/>
      <c r="E3509" s="204"/>
      <c r="F3509" s="205"/>
      <c r="G3509" s="548"/>
      <c r="H3509" s="550"/>
      <c r="I3509" s="326"/>
      <c r="J3509" s="326"/>
      <c r="K3509" s="326"/>
      <c r="M3509" s="463"/>
      <c r="N3509" s="464"/>
    </row>
    <row r="3510" spans="2:14" hidden="1" outlineLevel="1" x14ac:dyDescent="0.35">
      <c r="B3510" s="203"/>
      <c r="C3510" s="204"/>
      <c r="D3510" s="204"/>
      <c r="E3510" s="204"/>
      <c r="F3510" s="205"/>
      <c r="G3510" s="548"/>
      <c r="H3510" s="550"/>
      <c r="I3510" s="326"/>
      <c r="J3510" s="326"/>
      <c r="K3510" s="326"/>
      <c r="M3510" s="463"/>
      <c r="N3510" s="464"/>
    </row>
    <row r="3511" spans="2:14" hidden="1" outlineLevel="1" x14ac:dyDescent="0.35">
      <c r="B3511" s="203"/>
      <c r="C3511" s="204"/>
      <c r="D3511" s="204"/>
      <c r="E3511" s="204"/>
      <c r="F3511" s="205"/>
      <c r="G3511" s="548"/>
      <c r="H3511" s="550"/>
      <c r="I3511" s="326"/>
      <c r="J3511" s="326"/>
      <c r="K3511" s="326"/>
      <c r="M3511" s="463"/>
      <c r="N3511" s="464"/>
    </row>
    <row r="3512" spans="2:14" hidden="1" outlineLevel="1" x14ac:dyDescent="0.35">
      <c r="B3512" s="203"/>
      <c r="C3512" s="204"/>
      <c r="D3512" s="204"/>
      <c r="E3512" s="204"/>
      <c r="F3512" s="205"/>
      <c r="G3512" s="548"/>
      <c r="H3512" s="550"/>
      <c r="I3512" s="326"/>
      <c r="J3512" s="326"/>
      <c r="K3512" s="326"/>
      <c r="M3512" s="463"/>
      <c r="N3512" s="464"/>
    </row>
    <row r="3513" spans="2:14" hidden="1" outlineLevel="1" x14ac:dyDescent="0.35">
      <c r="B3513" s="203"/>
      <c r="C3513" s="204"/>
      <c r="D3513" s="204"/>
      <c r="E3513" s="204"/>
      <c r="F3513" s="205"/>
      <c r="G3513" s="548"/>
      <c r="H3513" s="550"/>
      <c r="I3513" s="326"/>
      <c r="J3513" s="326"/>
      <c r="K3513" s="326"/>
      <c r="M3513" s="463"/>
      <c r="N3513" s="464"/>
    </row>
    <row r="3514" spans="2:14" hidden="1" outlineLevel="1" x14ac:dyDescent="0.35">
      <c r="B3514" s="203"/>
      <c r="C3514" s="204"/>
      <c r="D3514" s="204"/>
      <c r="E3514" s="204"/>
      <c r="F3514" s="205"/>
      <c r="G3514" s="548"/>
      <c r="H3514" s="550"/>
      <c r="I3514" s="326"/>
      <c r="J3514" s="326"/>
      <c r="K3514" s="326"/>
      <c r="M3514" s="463"/>
      <c r="N3514" s="464"/>
    </row>
    <row r="3515" spans="2:14" hidden="1" outlineLevel="1" x14ac:dyDescent="0.35">
      <c r="B3515" s="203"/>
      <c r="C3515" s="204"/>
      <c r="D3515" s="204"/>
      <c r="E3515" s="204"/>
      <c r="F3515" s="205"/>
      <c r="G3515" s="548"/>
      <c r="H3515" s="550"/>
      <c r="I3515" s="326"/>
      <c r="J3515" s="326"/>
      <c r="K3515" s="326"/>
      <c r="M3515" s="463"/>
      <c r="N3515" s="464"/>
    </row>
    <row r="3516" spans="2:14" hidden="1" outlineLevel="1" x14ac:dyDescent="0.35">
      <c r="B3516" s="203"/>
      <c r="C3516" s="204"/>
      <c r="D3516" s="204"/>
      <c r="E3516" s="204"/>
      <c r="F3516" s="205"/>
      <c r="G3516" s="548"/>
      <c r="H3516" s="550"/>
      <c r="I3516" s="326"/>
      <c r="J3516" s="326"/>
      <c r="K3516" s="326"/>
      <c r="M3516" s="463"/>
      <c r="N3516" s="464"/>
    </row>
    <row r="3517" spans="2:14" hidden="1" outlineLevel="1" x14ac:dyDescent="0.35">
      <c r="B3517" s="203"/>
      <c r="C3517" s="204"/>
      <c r="D3517" s="204"/>
      <c r="E3517" s="204"/>
      <c r="F3517" s="205"/>
      <c r="G3517" s="548"/>
      <c r="H3517" s="550"/>
      <c r="I3517" s="326"/>
      <c r="J3517" s="326"/>
      <c r="K3517" s="326"/>
      <c r="M3517" s="463"/>
      <c r="N3517" s="464"/>
    </row>
    <row r="3518" spans="2:14" hidden="1" outlineLevel="1" x14ac:dyDescent="0.35">
      <c r="B3518" s="203"/>
      <c r="C3518" s="204"/>
      <c r="D3518" s="204"/>
      <c r="E3518" s="204"/>
      <c r="F3518" s="205"/>
      <c r="G3518" s="548"/>
      <c r="H3518" s="550"/>
      <c r="I3518" s="326"/>
      <c r="J3518" s="326"/>
      <c r="K3518" s="326"/>
      <c r="M3518" s="463"/>
      <c r="N3518" s="464"/>
    </row>
    <row r="3519" spans="2:14" hidden="1" outlineLevel="1" x14ac:dyDescent="0.35">
      <c r="B3519" s="203"/>
      <c r="C3519" s="204"/>
      <c r="D3519" s="204"/>
      <c r="E3519" s="204"/>
      <c r="F3519" s="205"/>
      <c r="G3519" s="548"/>
      <c r="H3519" s="550"/>
      <c r="I3519" s="326"/>
      <c r="J3519" s="326"/>
      <c r="K3519" s="326"/>
      <c r="M3519" s="463"/>
      <c r="N3519" s="464"/>
    </row>
    <row r="3520" spans="2:14" hidden="1" outlineLevel="1" x14ac:dyDescent="0.35">
      <c r="B3520" s="203"/>
      <c r="C3520" s="204"/>
      <c r="D3520" s="204"/>
      <c r="E3520" s="204"/>
      <c r="F3520" s="205"/>
      <c r="G3520" s="548"/>
      <c r="H3520" s="550"/>
      <c r="I3520" s="326"/>
      <c r="J3520" s="326"/>
      <c r="K3520" s="326"/>
      <c r="M3520" s="463"/>
      <c r="N3520" s="464"/>
    </row>
    <row r="3521" spans="2:14" hidden="1" outlineLevel="1" x14ac:dyDescent="0.35">
      <c r="B3521" s="203"/>
      <c r="C3521" s="204"/>
      <c r="D3521" s="204"/>
      <c r="E3521" s="204"/>
      <c r="F3521" s="205"/>
      <c r="G3521" s="548"/>
      <c r="H3521" s="550"/>
      <c r="I3521" s="326"/>
      <c r="J3521" s="326"/>
      <c r="K3521" s="326"/>
      <c r="M3521" s="463"/>
      <c r="N3521" s="464"/>
    </row>
    <row r="3522" spans="2:14" hidden="1" outlineLevel="1" x14ac:dyDescent="0.35">
      <c r="B3522" s="203"/>
      <c r="C3522" s="204"/>
      <c r="D3522" s="204"/>
      <c r="E3522" s="204"/>
      <c r="F3522" s="205"/>
      <c r="G3522" s="548"/>
      <c r="H3522" s="550"/>
      <c r="I3522" s="326"/>
      <c r="J3522" s="326"/>
      <c r="K3522" s="326"/>
      <c r="M3522" s="463"/>
      <c r="N3522" s="464"/>
    </row>
    <row r="3523" spans="2:14" hidden="1" outlineLevel="1" x14ac:dyDescent="0.35">
      <c r="B3523" s="203"/>
      <c r="C3523" s="204"/>
      <c r="D3523" s="204"/>
      <c r="E3523" s="204"/>
      <c r="F3523" s="205"/>
      <c r="G3523" s="548"/>
      <c r="H3523" s="550"/>
      <c r="I3523" s="326"/>
      <c r="J3523" s="326"/>
      <c r="K3523" s="326"/>
      <c r="M3523" s="463"/>
      <c r="N3523" s="464"/>
    </row>
    <row r="3524" spans="2:14" hidden="1" outlineLevel="1" x14ac:dyDescent="0.35">
      <c r="B3524" s="203"/>
      <c r="C3524" s="204"/>
      <c r="D3524" s="204"/>
      <c r="E3524" s="204"/>
      <c r="F3524" s="205"/>
      <c r="G3524" s="548"/>
      <c r="H3524" s="550"/>
      <c r="I3524" s="326"/>
      <c r="J3524" s="326"/>
      <c r="K3524" s="326"/>
      <c r="M3524" s="463"/>
      <c r="N3524" s="464"/>
    </row>
    <row r="3525" spans="2:14" hidden="1" outlineLevel="1" x14ac:dyDescent="0.35">
      <c r="B3525" s="203"/>
      <c r="C3525" s="204"/>
      <c r="D3525" s="204"/>
      <c r="E3525" s="204"/>
      <c r="F3525" s="205"/>
      <c r="G3525" s="548"/>
      <c r="H3525" s="550"/>
      <c r="I3525" s="326"/>
      <c r="J3525" s="326"/>
      <c r="K3525" s="326"/>
      <c r="M3525" s="463"/>
      <c r="N3525" s="464"/>
    </row>
    <row r="3526" spans="2:14" hidden="1" outlineLevel="1" x14ac:dyDescent="0.35">
      <c r="B3526" s="203"/>
      <c r="C3526" s="204"/>
      <c r="D3526" s="204"/>
      <c r="E3526" s="204"/>
      <c r="F3526" s="205"/>
      <c r="G3526" s="548"/>
      <c r="H3526" s="550"/>
      <c r="I3526" s="326"/>
      <c r="J3526" s="326"/>
      <c r="K3526" s="326"/>
      <c r="M3526" s="463"/>
      <c r="N3526" s="464"/>
    </row>
    <row r="3527" spans="2:14" hidden="1" outlineLevel="1" x14ac:dyDescent="0.35">
      <c r="B3527" s="203"/>
      <c r="C3527" s="204"/>
      <c r="D3527" s="204"/>
      <c r="E3527" s="204"/>
      <c r="F3527" s="205"/>
      <c r="G3527" s="548"/>
      <c r="H3527" s="550"/>
      <c r="I3527" s="326"/>
      <c r="J3527" s="326"/>
      <c r="K3527" s="326"/>
      <c r="M3527" s="463"/>
      <c r="N3527" s="464"/>
    </row>
    <row r="3528" spans="2:14" hidden="1" outlineLevel="1" x14ac:dyDescent="0.35">
      <c r="B3528" s="203"/>
      <c r="C3528" s="204"/>
      <c r="D3528" s="204"/>
      <c r="E3528" s="204"/>
      <c r="F3528" s="205"/>
      <c r="G3528" s="548"/>
      <c r="H3528" s="550"/>
      <c r="I3528" s="326"/>
      <c r="J3528" s="326"/>
      <c r="K3528" s="326"/>
      <c r="M3528" s="463"/>
      <c r="N3528" s="464"/>
    </row>
    <row r="3529" spans="2:14" hidden="1" outlineLevel="1" x14ac:dyDescent="0.35">
      <c r="B3529" s="203"/>
      <c r="C3529" s="204"/>
      <c r="D3529" s="204"/>
      <c r="E3529" s="204"/>
      <c r="F3529" s="205"/>
      <c r="G3529" s="548"/>
      <c r="H3529" s="550"/>
      <c r="I3529" s="326"/>
      <c r="J3529" s="326"/>
      <c r="K3529" s="326"/>
      <c r="M3529" s="463"/>
      <c r="N3529" s="464"/>
    </row>
    <row r="3530" spans="2:14" hidden="1" outlineLevel="1" x14ac:dyDescent="0.35">
      <c r="B3530" s="203"/>
      <c r="C3530" s="204"/>
      <c r="D3530" s="204"/>
      <c r="E3530" s="204"/>
      <c r="F3530" s="205"/>
      <c r="G3530" s="548"/>
      <c r="H3530" s="550"/>
      <c r="I3530" s="326"/>
      <c r="J3530" s="326"/>
      <c r="K3530" s="326"/>
      <c r="M3530" s="463"/>
      <c r="N3530" s="464"/>
    </row>
    <row r="3531" spans="2:14" hidden="1" outlineLevel="1" x14ac:dyDescent="0.35">
      <c r="B3531" s="203"/>
      <c r="C3531" s="204"/>
      <c r="D3531" s="204"/>
      <c r="E3531" s="204"/>
      <c r="F3531" s="205"/>
      <c r="G3531" s="548"/>
      <c r="H3531" s="550"/>
      <c r="I3531" s="326"/>
      <c r="J3531" s="326"/>
      <c r="K3531" s="326"/>
      <c r="M3531" s="463"/>
      <c r="N3531" s="464"/>
    </row>
    <row r="3532" spans="2:14" hidden="1" outlineLevel="1" x14ac:dyDescent="0.35">
      <c r="B3532" s="203"/>
      <c r="C3532" s="204"/>
      <c r="D3532" s="204"/>
      <c r="E3532" s="204"/>
      <c r="F3532" s="205"/>
      <c r="G3532" s="548"/>
      <c r="H3532" s="550"/>
      <c r="I3532" s="326"/>
      <c r="J3532" s="326"/>
      <c r="K3532" s="326"/>
      <c r="M3532" s="463"/>
      <c r="N3532" s="464"/>
    </row>
    <row r="3533" spans="2:14" hidden="1" outlineLevel="1" x14ac:dyDescent="0.35">
      <c r="B3533" s="203"/>
      <c r="C3533" s="204"/>
      <c r="D3533" s="204"/>
      <c r="E3533" s="204"/>
      <c r="F3533" s="205"/>
      <c r="G3533" s="548"/>
      <c r="H3533" s="550"/>
      <c r="I3533" s="326"/>
      <c r="J3533" s="326"/>
      <c r="K3533" s="326"/>
      <c r="M3533" s="463"/>
      <c r="N3533" s="464"/>
    </row>
    <row r="3534" spans="2:14" hidden="1" outlineLevel="1" x14ac:dyDescent="0.35">
      <c r="B3534" s="203"/>
      <c r="C3534" s="204"/>
      <c r="D3534" s="204"/>
      <c r="E3534" s="204"/>
      <c r="F3534" s="205"/>
      <c r="G3534" s="548"/>
      <c r="H3534" s="550"/>
      <c r="I3534" s="326"/>
      <c r="J3534" s="326"/>
      <c r="K3534" s="326"/>
      <c r="M3534" s="463"/>
      <c r="N3534" s="464"/>
    </row>
    <row r="3535" spans="2:14" hidden="1" outlineLevel="1" x14ac:dyDescent="0.35">
      <c r="B3535" s="203"/>
      <c r="C3535" s="204"/>
      <c r="D3535" s="204"/>
      <c r="E3535" s="204"/>
      <c r="F3535" s="205"/>
      <c r="G3535" s="548"/>
      <c r="H3535" s="550"/>
      <c r="I3535" s="326"/>
      <c r="J3535" s="326"/>
      <c r="K3535" s="326"/>
      <c r="M3535" s="463"/>
      <c r="N3535" s="464"/>
    </row>
    <row r="3536" spans="2:14" hidden="1" outlineLevel="1" x14ac:dyDescent="0.35">
      <c r="B3536" s="203"/>
      <c r="C3536" s="204"/>
      <c r="D3536" s="204"/>
      <c r="E3536" s="204"/>
      <c r="F3536" s="205"/>
      <c r="G3536" s="548"/>
      <c r="H3536" s="550"/>
      <c r="I3536" s="326"/>
      <c r="J3536" s="326"/>
      <c r="K3536" s="326"/>
      <c r="M3536" s="463"/>
      <c r="N3536" s="464"/>
    </row>
    <row r="3537" spans="2:14" hidden="1" outlineLevel="1" x14ac:dyDescent="0.35">
      <c r="B3537" s="203"/>
      <c r="C3537" s="204"/>
      <c r="D3537" s="204"/>
      <c r="E3537" s="204"/>
      <c r="F3537" s="205"/>
      <c r="G3537" s="548"/>
      <c r="H3537" s="550"/>
      <c r="I3537" s="326"/>
      <c r="J3537" s="326"/>
      <c r="K3537" s="326"/>
      <c r="M3537" s="463"/>
      <c r="N3537" s="464"/>
    </row>
    <row r="3538" spans="2:14" hidden="1" outlineLevel="1" x14ac:dyDescent="0.35">
      <c r="B3538" s="203"/>
      <c r="C3538" s="204"/>
      <c r="D3538" s="204"/>
      <c r="E3538" s="204"/>
      <c r="F3538" s="205"/>
      <c r="G3538" s="548"/>
      <c r="H3538" s="550"/>
      <c r="I3538" s="326"/>
      <c r="J3538" s="326"/>
      <c r="K3538" s="326"/>
      <c r="M3538" s="463"/>
      <c r="N3538" s="464"/>
    </row>
    <row r="3539" spans="2:14" hidden="1" outlineLevel="1" x14ac:dyDescent="0.35">
      <c r="B3539" s="203"/>
      <c r="C3539" s="204"/>
      <c r="D3539" s="204"/>
      <c r="E3539" s="204"/>
      <c r="F3539" s="205"/>
      <c r="G3539" s="548"/>
      <c r="H3539" s="550"/>
      <c r="I3539" s="326"/>
      <c r="J3539" s="326"/>
      <c r="K3539" s="326"/>
      <c r="M3539" s="463"/>
      <c r="N3539" s="464"/>
    </row>
    <row r="3540" spans="2:14" hidden="1" outlineLevel="1" x14ac:dyDescent="0.35">
      <c r="B3540" s="203"/>
      <c r="C3540" s="204"/>
      <c r="D3540" s="204"/>
      <c r="E3540" s="204"/>
      <c r="F3540" s="205"/>
      <c r="G3540" s="548"/>
      <c r="H3540" s="550"/>
      <c r="I3540" s="326"/>
      <c r="J3540" s="326"/>
      <c r="K3540" s="326"/>
      <c r="M3540" s="463"/>
      <c r="N3540" s="464"/>
    </row>
    <row r="3541" spans="2:14" hidden="1" outlineLevel="1" x14ac:dyDescent="0.35">
      <c r="B3541" s="203"/>
      <c r="C3541" s="204"/>
      <c r="D3541" s="204"/>
      <c r="E3541" s="204"/>
      <c r="F3541" s="205"/>
      <c r="G3541" s="548"/>
      <c r="H3541" s="550"/>
      <c r="I3541" s="326"/>
      <c r="J3541" s="326"/>
      <c r="K3541" s="326"/>
      <c r="M3541" s="463"/>
      <c r="N3541" s="464"/>
    </row>
    <row r="3542" spans="2:14" hidden="1" outlineLevel="1" x14ac:dyDescent="0.35">
      <c r="B3542" s="203"/>
      <c r="C3542" s="204"/>
      <c r="D3542" s="204"/>
      <c r="E3542" s="204"/>
      <c r="F3542" s="205"/>
      <c r="G3542" s="548"/>
      <c r="H3542" s="550"/>
      <c r="I3542" s="326"/>
      <c r="J3542" s="326"/>
      <c r="K3542" s="326"/>
      <c r="M3542" s="463"/>
      <c r="N3542" s="464"/>
    </row>
    <row r="3543" spans="2:14" hidden="1" outlineLevel="1" x14ac:dyDescent="0.35">
      <c r="B3543" s="203"/>
      <c r="C3543" s="204"/>
      <c r="D3543" s="204"/>
      <c r="E3543" s="204"/>
      <c r="F3543" s="205"/>
      <c r="G3543" s="548"/>
      <c r="H3543" s="550"/>
      <c r="I3543" s="326"/>
      <c r="J3543" s="326"/>
      <c r="K3543" s="326"/>
      <c r="M3543" s="463"/>
      <c r="N3543" s="464"/>
    </row>
    <row r="3544" spans="2:14" hidden="1" outlineLevel="1" x14ac:dyDescent="0.35">
      <c r="B3544" s="203"/>
      <c r="C3544" s="204"/>
      <c r="D3544" s="204"/>
      <c r="E3544" s="204"/>
      <c r="F3544" s="205"/>
      <c r="G3544" s="548"/>
      <c r="H3544" s="550"/>
      <c r="I3544" s="326"/>
      <c r="J3544" s="326"/>
      <c r="K3544" s="326"/>
      <c r="M3544" s="463"/>
      <c r="N3544" s="464"/>
    </row>
    <row r="3545" spans="2:14" hidden="1" outlineLevel="1" x14ac:dyDescent="0.35">
      <c r="B3545" s="203"/>
      <c r="C3545" s="204"/>
      <c r="D3545" s="204"/>
      <c r="E3545" s="204"/>
      <c r="F3545" s="205"/>
      <c r="G3545" s="548"/>
      <c r="H3545" s="550"/>
      <c r="I3545" s="326"/>
      <c r="J3545" s="326"/>
      <c r="K3545" s="326"/>
      <c r="M3545" s="463"/>
      <c r="N3545" s="464"/>
    </row>
    <row r="3546" spans="2:14" hidden="1" outlineLevel="1" x14ac:dyDescent="0.35">
      <c r="B3546" s="203"/>
      <c r="C3546" s="204"/>
      <c r="D3546" s="204"/>
      <c r="E3546" s="204"/>
      <c r="F3546" s="205"/>
      <c r="G3546" s="548"/>
      <c r="H3546" s="550"/>
      <c r="I3546" s="326"/>
      <c r="J3546" s="326"/>
      <c r="K3546" s="326"/>
      <c r="M3546" s="463"/>
      <c r="N3546" s="464"/>
    </row>
    <row r="3547" spans="2:14" hidden="1" outlineLevel="1" x14ac:dyDescent="0.35">
      <c r="B3547" s="203"/>
      <c r="C3547" s="204"/>
      <c r="D3547" s="204"/>
      <c r="E3547" s="204"/>
      <c r="F3547" s="205"/>
      <c r="G3547" s="548"/>
      <c r="H3547" s="550"/>
      <c r="I3547" s="326"/>
      <c r="J3547" s="326"/>
      <c r="K3547" s="326"/>
      <c r="M3547" s="463"/>
      <c r="N3547" s="464"/>
    </row>
    <row r="3548" spans="2:14" hidden="1" outlineLevel="1" x14ac:dyDescent="0.35">
      <c r="B3548" s="203"/>
      <c r="C3548" s="204"/>
      <c r="D3548" s="204"/>
      <c r="E3548" s="204"/>
      <c r="F3548" s="205"/>
      <c r="G3548" s="548"/>
      <c r="H3548" s="550"/>
      <c r="I3548" s="326"/>
      <c r="J3548" s="326"/>
      <c r="K3548" s="326"/>
      <c r="M3548" s="463"/>
      <c r="N3548" s="464"/>
    </row>
    <row r="3549" spans="2:14" hidden="1" outlineLevel="1" x14ac:dyDescent="0.35">
      <c r="B3549" s="203"/>
      <c r="C3549" s="204"/>
      <c r="D3549" s="204"/>
      <c r="E3549" s="204"/>
      <c r="F3549" s="205"/>
      <c r="G3549" s="548"/>
      <c r="H3549" s="550"/>
      <c r="I3549" s="326"/>
      <c r="J3549" s="326"/>
      <c r="K3549" s="326"/>
      <c r="M3549" s="463"/>
      <c r="N3549" s="464"/>
    </row>
    <row r="3550" spans="2:14" hidden="1" outlineLevel="1" x14ac:dyDescent="0.35">
      <c r="B3550" s="203"/>
      <c r="C3550" s="204"/>
      <c r="D3550" s="204"/>
      <c r="E3550" s="204"/>
      <c r="F3550" s="205"/>
      <c r="G3550" s="548"/>
      <c r="H3550" s="550"/>
      <c r="I3550" s="326"/>
      <c r="J3550" s="326"/>
      <c r="K3550" s="326"/>
      <c r="M3550" s="463"/>
      <c r="N3550" s="464"/>
    </row>
    <row r="3551" spans="2:14" hidden="1" outlineLevel="1" x14ac:dyDescent="0.35">
      <c r="B3551" s="203"/>
      <c r="C3551" s="204"/>
      <c r="D3551" s="204"/>
      <c r="E3551" s="204"/>
      <c r="F3551" s="205"/>
      <c r="G3551" s="548"/>
      <c r="H3551" s="550"/>
      <c r="I3551" s="326"/>
      <c r="J3551" s="326"/>
      <c r="K3551" s="326"/>
      <c r="M3551" s="463"/>
      <c r="N3551" s="464"/>
    </row>
    <row r="3552" spans="2:14" hidden="1" outlineLevel="1" x14ac:dyDescent="0.35">
      <c r="B3552" s="203"/>
      <c r="C3552" s="204"/>
      <c r="D3552" s="204"/>
      <c r="E3552" s="204"/>
      <c r="F3552" s="205"/>
      <c r="G3552" s="548"/>
      <c r="H3552" s="550"/>
      <c r="I3552" s="326"/>
      <c r="J3552" s="326"/>
      <c r="K3552" s="326"/>
      <c r="M3552" s="463"/>
      <c r="N3552" s="464"/>
    </row>
    <row r="3553" spans="2:14" hidden="1" outlineLevel="1" x14ac:dyDescent="0.35">
      <c r="B3553" s="203"/>
      <c r="C3553" s="204"/>
      <c r="D3553" s="204"/>
      <c r="E3553" s="204"/>
      <c r="F3553" s="205"/>
      <c r="G3553" s="548"/>
      <c r="H3553" s="550"/>
      <c r="I3553" s="326"/>
      <c r="J3553" s="326"/>
      <c r="K3553" s="326"/>
      <c r="M3553" s="463"/>
      <c r="N3553" s="464"/>
    </row>
    <row r="3554" spans="2:14" hidden="1" outlineLevel="1" x14ac:dyDescent="0.35">
      <c r="B3554" s="203"/>
      <c r="C3554" s="204"/>
      <c r="D3554" s="204"/>
      <c r="E3554" s="204"/>
      <c r="F3554" s="205"/>
      <c r="G3554" s="548"/>
      <c r="H3554" s="550"/>
      <c r="I3554" s="326"/>
      <c r="J3554" s="326"/>
      <c r="K3554" s="326"/>
      <c r="M3554" s="463"/>
      <c r="N3554" s="464"/>
    </row>
    <row r="3555" spans="2:14" hidden="1" outlineLevel="1" x14ac:dyDescent="0.35">
      <c r="B3555" s="203"/>
      <c r="C3555" s="204"/>
      <c r="D3555" s="204"/>
      <c r="E3555" s="204"/>
      <c r="F3555" s="205"/>
      <c r="G3555" s="548"/>
      <c r="H3555" s="550"/>
      <c r="I3555" s="326"/>
      <c r="J3555" s="326"/>
      <c r="K3555" s="326"/>
      <c r="M3555" s="463"/>
      <c r="N3555" s="464"/>
    </row>
    <row r="3556" spans="2:14" hidden="1" outlineLevel="1" x14ac:dyDescent="0.35">
      <c r="B3556" s="203"/>
      <c r="C3556" s="204"/>
      <c r="D3556" s="204"/>
      <c r="E3556" s="204"/>
      <c r="F3556" s="205"/>
      <c r="G3556" s="548"/>
      <c r="H3556" s="550"/>
      <c r="I3556" s="326"/>
      <c r="J3556" s="326"/>
      <c r="K3556" s="326"/>
      <c r="M3556" s="463"/>
      <c r="N3556" s="464"/>
    </row>
    <row r="3557" spans="2:14" hidden="1" outlineLevel="1" x14ac:dyDescent="0.35">
      <c r="B3557" s="203"/>
      <c r="C3557" s="204"/>
      <c r="D3557" s="204"/>
      <c r="E3557" s="204"/>
      <c r="F3557" s="205"/>
      <c r="G3557" s="548"/>
      <c r="H3557" s="550"/>
      <c r="I3557" s="326"/>
      <c r="J3557" s="326"/>
      <c r="K3557" s="326"/>
      <c r="M3557" s="463"/>
      <c r="N3557" s="464"/>
    </row>
    <row r="3558" spans="2:14" hidden="1" outlineLevel="1" x14ac:dyDescent="0.35">
      <c r="B3558" s="203"/>
      <c r="C3558" s="204"/>
      <c r="D3558" s="204"/>
      <c r="E3558" s="204"/>
      <c r="F3558" s="205"/>
      <c r="G3558" s="548"/>
      <c r="H3558" s="550"/>
      <c r="I3558" s="326"/>
      <c r="J3558" s="326"/>
      <c r="K3558" s="326"/>
      <c r="M3558" s="463"/>
      <c r="N3558" s="464"/>
    </row>
    <row r="3559" spans="2:14" hidden="1" outlineLevel="1" x14ac:dyDescent="0.35">
      <c r="B3559" s="203"/>
      <c r="C3559" s="204"/>
      <c r="D3559" s="204"/>
      <c r="E3559" s="204"/>
      <c r="F3559" s="205"/>
      <c r="G3559" s="548"/>
      <c r="H3559" s="550"/>
      <c r="I3559" s="326"/>
      <c r="J3559" s="326"/>
      <c r="K3559" s="326"/>
      <c r="M3559" s="463"/>
      <c r="N3559" s="464"/>
    </row>
    <row r="3560" spans="2:14" hidden="1" outlineLevel="1" x14ac:dyDescent="0.35">
      <c r="B3560" s="203"/>
      <c r="C3560" s="204"/>
      <c r="D3560" s="204"/>
      <c r="E3560" s="204"/>
      <c r="F3560" s="205"/>
      <c r="G3560" s="548"/>
      <c r="H3560" s="550"/>
      <c r="I3560" s="326"/>
      <c r="J3560" s="326"/>
      <c r="K3560" s="326"/>
      <c r="M3560" s="463"/>
      <c r="N3560" s="464"/>
    </row>
    <row r="3561" spans="2:14" hidden="1" outlineLevel="1" x14ac:dyDescent="0.35">
      <c r="B3561" s="203"/>
      <c r="C3561" s="204"/>
      <c r="D3561" s="204"/>
      <c r="E3561" s="204"/>
      <c r="F3561" s="205"/>
      <c r="G3561" s="548"/>
      <c r="H3561" s="550"/>
      <c r="I3561" s="326"/>
      <c r="J3561" s="326"/>
      <c r="K3561" s="326"/>
      <c r="M3561" s="463"/>
      <c r="N3561" s="464"/>
    </row>
    <row r="3562" spans="2:14" hidden="1" outlineLevel="1" x14ac:dyDescent="0.35">
      <c r="B3562" s="203"/>
      <c r="C3562" s="204"/>
      <c r="D3562" s="204"/>
      <c r="E3562" s="204"/>
      <c r="F3562" s="205"/>
      <c r="G3562" s="548"/>
      <c r="H3562" s="550"/>
      <c r="I3562" s="326"/>
      <c r="J3562" s="326"/>
      <c r="K3562" s="326"/>
      <c r="M3562" s="463"/>
      <c r="N3562" s="464"/>
    </row>
    <row r="3563" spans="2:14" hidden="1" outlineLevel="1" x14ac:dyDescent="0.35">
      <c r="B3563" s="203"/>
      <c r="C3563" s="204"/>
      <c r="D3563" s="204"/>
      <c r="E3563" s="204"/>
      <c r="F3563" s="205"/>
      <c r="G3563" s="548"/>
      <c r="H3563" s="550"/>
      <c r="I3563" s="326"/>
      <c r="J3563" s="326"/>
      <c r="K3563" s="326"/>
      <c r="M3563" s="463"/>
      <c r="N3563" s="464"/>
    </row>
    <row r="3564" spans="2:14" hidden="1" outlineLevel="1" x14ac:dyDescent="0.35">
      <c r="B3564" s="203"/>
      <c r="C3564" s="204"/>
      <c r="D3564" s="204"/>
      <c r="E3564" s="204"/>
      <c r="F3564" s="205"/>
      <c r="G3564" s="548"/>
      <c r="H3564" s="550"/>
      <c r="I3564" s="326"/>
      <c r="J3564" s="326"/>
      <c r="K3564" s="326"/>
      <c r="M3564" s="463"/>
      <c r="N3564" s="464"/>
    </row>
    <row r="3565" spans="2:14" hidden="1" outlineLevel="1" x14ac:dyDescent="0.35">
      <c r="B3565" s="203"/>
      <c r="C3565" s="204"/>
      <c r="D3565" s="204"/>
      <c r="E3565" s="204"/>
      <c r="F3565" s="205"/>
      <c r="G3565" s="548"/>
      <c r="H3565" s="550"/>
      <c r="I3565" s="326"/>
      <c r="J3565" s="326"/>
      <c r="K3565" s="326"/>
      <c r="M3565" s="463"/>
      <c r="N3565" s="464"/>
    </row>
    <row r="3566" spans="2:14" hidden="1" outlineLevel="1" x14ac:dyDescent="0.35">
      <c r="B3566" s="203"/>
      <c r="C3566" s="204"/>
      <c r="D3566" s="204"/>
      <c r="E3566" s="204"/>
      <c r="F3566" s="205"/>
      <c r="G3566" s="548"/>
      <c r="H3566" s="550"/>
      <c r="I3566" s="326"/>
      <c r="J3566" s="326"/>
      <c r="K3566" s="326"/>
      <c r="M3566" s="463"/>
      <c r="N3566" s="464"/>
    </row>
    <row r="3567" spans="2:14" hidden="1" outlineLevel="1" x14ac:dyDescent="0.35">
      <c r="B3567" s="203"/>
      <c r="C3567" s="204"/>
      <c r="D3567" s="204"/>
      <c r="E3567" s="204"/>
      <c r="F3567" s="205"/>
      <c r="G3567" s="548"/>
      <c r="H3567" s="550"/>
      <c r="I3567" s="326"/>
      <c r="J3567" s="326"/>
      <c r="K3567" s="326"/>
      <c r="M3567" s="463"/>
      <c r="N3567" s="464"/>
    </row>
    <row r="3568" spans="2:14" hidden="1" outlineLevel="1" x14ac:dyDescent="0.35">
      <c r="B3568" s="203"/>
      <c r="C3568" s="204"/>
      <c r="D3568" s="204"/>
      <c r="E3568" s="204"/>
      <c r="F3568" s="205"/>
      <c r="G3568" s="548"/>
      <c r="H3568" s="550"/>
      <c r="I3568" s="326"/>
      <c r="J3568" s="326"/>
      <c r="K3568" s="326"/>
      <c r="M3568" s="463"/>
      <c r="N3568" s="464"/>
    </row>
    <row r="3569" spans="2:14" hidden="1" outlineLevel="1" x14ac:dyDescent="0.35">
      <c r="B3569" s="203"/>
      <c r="C3569" s="204"/>
      <c r="D3569" s="204"/>
      <c r="E3569" s="204"/>
      <c r="F3569" s="205"/>
      <c r="G3569" s="548"/>
      <c r="H3569" s="550"/>
      <c r="I3569" s="326"/>
      <c r="J3569" s="326"/>
      <c r="K3569" s="326"/>
      <c r="M3569" s="463"/>
      <c r="N3569" s="464"/>
    </row>
    <row r="3570" spans="2:14" hidden="1" outlineLevel="1" x14ac:dyDescent="0.35">
      <c r="B3570" s="203"/>
      <c r="C3570" s="204"/>
      <c r="D3570" s="204"/>
      <c r="E3570" s="204"/>
      <c r="F3570" s="205"/>
      <c r="G3570" s="548"/>
      <c r="H3570" s="550"/>
      <c r="I3570" s="326"/>
      <c r="J3570" s="326"/>
      <c r="K3570" s="326"/>
      <c r="M3570" s="463"/>
      <c r="N3570" s="464"/>
    </row>
    <row r="3571" spans="2:14" hidden="1" outlineLevel="1" x14ac:dyDescent="0.35">
      <c r="B3571" s="203"/>
      <c r="C3571" s="204"/>
      <c r="D3571" s="204"/>
      <c r="E3571" s="204"/>
      <c r="F3571" s="205"/>
      <c r="G3571" s="548"/>
      <c r="H3571" s="550"/>
      <c r="I3571" s="326"/>
      <c r="J3571" s="326"/>
      <c r="K3571" s="326"/>
      <c r="M3571" s="463"/>
      <c r="N3571" s="464"/>
    </row>
    <row r="3572" spans="2:14" hidden="1" outlineLevel="1" x14ac:dyDescent="0.35">
      <c r="B3572" s="203"/>
      <c r="C3572" s="204"/>
      <c r="D3572" s="204"/>
      <c r="E3572" s="204"/>
      <c r="F3572" s="205"/>
      <c r="G3572" s="548"/>
      <c r="H3572" s="550"/>
      <c r="I3572" s="326"/>
      <c r="J3572" s="326"/>
      <c r="K3572" s="326"/>
      <c r="M3572" s="463"/>
      <c r="N3572" s="464"/>
    </row>
    <row r="3573" spans="2:14" hidden="1" outlineLevel="1" x14ac:dyDescent="0.35">
      <c r="B3573" s="203"/>
      <c r="C3573" s="204"/>
      <c r="D3573" s="204"/>
      <c r="E3573" s="204"/>
      <c r="F3573" s="205"/>
      <c r="G3573" s="548"/>
      <c r="H3573" s="550"/>
      <c r="I3573" s="326"/>
      <c r="J3573" s="326"/>
      <c r="K3573" s="326"/>
      <c r="M3573" s="463"/>
      <c r="N3573" s="464"/>
    </row>
    <row r="3574" spans="2:14" hidden="1" outlineLevel="1" x14ac:dyDescent="0.35">
      <c r="B3574" s="203"/>
      <c r="C3574" s="204"/>
      <c r="D3574" s="204"/>
      <c r="E3574" s="204"/>
      <c r="F3574" s="205"/>
      <c r="G3574" s="548"/>
      <c r="H3574" s="550"/>
      <c r="I3574" s="326"/>
      <c r="J3574" s="326"/>
      <c r="K3574" s="326"/>
      <c r="M3574" s="463"/>
      <c r="N3574" s="464"/>
    </row>
    <row r="3575" spans="2:14" hidden="1" outlineLevel="1" x14ac:dyDescent="0.35">
      <c r="B3575" s="203"/>
      <c r="C3575" s="204"/>
      <c r="D3575" s="204"/>
      <c r="E3575" s="204"/>
      <c r="F3575" s="205"/>
      <c r="G3575" s="548"/>
      <c r="H3575" s="550"/>
      <c r="I3575" s="326"/>
      <c r="J3575" s="326"/>
      <c r="K3575" s="326"/>
      <c r="M3575" s="463"/>
      <c r="N3575" s="464"/>
    </row>
    <row r="3576" spans="2:14" hidden="1" outlineLevel="1" x14ac:dyDescent="0.35">
      <c r="B3576" s="203"/>
      <c r="C3576" s="204"/>
      <c r="D3576" s="204"/>
      <c r="E3576" s="204"/>
      <c r="F3576" s="205"/>
      <c r="G3576" s="548"/>
      <c r="H3576" s="550"/>
      <c r="I3576" s="326"/>
      <c r="J3576" s="326"/>
      <c r="K3576" s="326"/>
      <c r="M3576" s="463"/>
      <c r="N3576" s="464"/>
    </row>
    <row r="3577" spans="2:14" hidden="1" outlineLevel="1" x14ac:dyDescent="0.35">
      <c r="B3577" s="203"/>
      <c r="C3577" s="204"/>
      <c r="D3577" s="204"/>
      <c r="E3577" s="204"/>
      <c r="F3577" s="205"/>
      <c r="G3577" s="548"/>
      <c r="H3577" s="550"/>
      <c r="I3577" s="326"/>
      <c r="J3577" s="326"/>
      <c r="K3577" s="326"/>
      <c r="M3577" s="463"/>
      <c r="N3577" s="464"/>
    </row>
    <row r="3578" spans="2:14" hidden="1" outlineLevel="1" x14ac:dyDescent="0.35">
      <c r="B3578" s="203"/>
      <c r="C3578" s="204"/>
      <c r="D3578" s="204"/>
      <c r="E3578" s="204"/>
      <c r="F3578" s="205"/>
      <c r="G3578" s="548"/>
      <c r="H3578" s="550"/>
      <c r="I3578" s="326"/>
      <c r="J3578" s="326"/>
      <c r="K3578" s="326"/>
      <c r="M3578" s="463"/>
      <c r="N3578" s="464"/>
    </row>
    <row r="3579" spans="2:14" hidden="1" outlineLevel="1" x14ac:dyDescent="0.35">
      <c r="B3579" s="203"/>
      <c r="C3579" s="204"/>
      <c r="D3579" s="204"/>
      <c r="E3579" s="204"/>
      <c r="F3579" s="205"/>
      <c r="G3579" s="548"/>
      <c r="H3579" s="550"/>
      <c r="I3579" s="326"/>
      <c r="J3579" s="326"/>
      <c r="K3579" s="326"/>
      <c r="M3579" s="463"/>
      <c r="N3579" s="464"/>
    </row>
    <row r="3580" spans="2:14" hidden="1" outlineLevel="1" x14ac:dyDescent="0.35">
      <c r="B3580" s="203"/>
      <c r="C3580" s="204"/>
      <c r="D3580" s="204"/>
      <c r="E3580" s="204"/>
      <c r="F3580" s="205"/>
      <c r="G3580" s="548"/>
      <c r="H3580" s="550"/>
      <c r="I3580" s="326"/>
      <c r="J3580" s="326"/>
      <c r="K3580" s="326"/>
      <c r="M3580" s="463"/>
      <c r="N3580" s="464"/>
    </row>
    <row r="3581" spans="2:14" hidden="1" outlineLevel="1" x14ac:dyDescent="0.35">
      <c r="B3581" s="203"/>
      <c r="C3581" s="204"/>
      <c r="D3581" s="204"/>
      <c r="E3581" s="204"/>
      <c r="F3581" s="205"/>
      <c r="G3581" s="548"/>
      <c r="H3581" s="550"/>
      <c r="I3581" s="326"/>
      <c r="J3581" s="326"/>
      <c r="K3581" s="326"/>
      <c r="M3581" s="463"/>
      <c r="N3581" s="464"/>
    </row>
    <row r="3582" spans="2:14" hidden="1" outlineLevel="1" x14ac:dyDescent="0.35">
      <c r="B3582" s="203"/>
      <c r="C3582" s="204"/>
      <c r="D3582" s="204"/>
      <c r="E3582" s="204"/>
      <c r="F3582" s="205"/>
      <c r="G3582" s="548"/>
      <c r="H3582" s="550"/>
      <c r="I3582" s="326"/>
      <c r="J3582" s="326"/>
      <c r="K3582" s="326"/>
      <c r="M3582" s="463"/>
      <c r="N3582" s="464"/>
    </row>
    <row r="3583" spans="2:14" hidden="1" outlineLevel="1" x14ac:dyDescent="0.35">
      <c r="B3583" s="203"/>
      <c r="C3583" s="204"/>
      <c r="D3583" s="204"/>
      <c r="E3583" s="204"/>
      <c r="F3583" s="205"/>
      <c r="G3583" s="548"/>
      <c r="H3583" s="550"/>
      <c r="I3583" s="326"/>
      <c r="J3583" s="326"/>
      <c r="K3583" s="326"/>
      <c r="M3583" s="463"/>
      <c r="N3583" s="464"/>
    </row>
    <row r="3584" spans="2:14" hidden="1" outlineLevel="1" x14ac:dyDescent="0.35">
      <c r="B3584" s="203"/>
      <c r="C3584" s="204"/>
      <c r="D3584" s="204"/>
      <c r="E3584" s="204"/>
      <c r="F3584" s="205"/>
      <c r="G3584" s="548"/>
      <c r="H3584" s="550"/>
      <c r="I3584" s="326"/>
      <c r="J3584" s="326"/>
      <c r="K3584" s="326"/>
      <c r="M3584" s="463"/>
      <c r="N3584" s="464"/>
    </row>
    <row r="3585" spans="2:14" hidden="1" outlineLevel="1" x14ac:dyDescent="0.35">
      <c r="B3585" s="203"/>
      <c r="C3585" s="204"/>
      <c r="D3585" s="204"/>
      <c r="E3585" s="204"/>
      <c r="F3585" s="205"/>
      <c r="G3585" s="548"/>
      <c r="H3585" s="550"/>
      <c r="I3585" s="326"/>
      <c r="J3585" s="326"/>
      <c r="K3585" s="326"/>
      <c r="M3585" s="463"/>
      <c r="N3585" s="464"/>
    </row>
    <row r="3586" spans="2:14" hidden="1" outlineLevel="1" x14ac:dyDescent="0.35">
      <c r="B3586" s="203"/>
      <c r="C3586" s="204"/>
      <c r="D3586" s="204"/>
      <c r="E3586" s="204"/>
      <c r="F3586" s="205"/>
      <c r="G3586" s="548"/>
      <c r="H3586" s="550"/>
      <c r="I3586" s="326"/>
      <c r="J3586" s="326"/>
      <c r="K3586" s="326"/>
      <c r="M3586" s="463"/>
      <c r="N3586" s="464"/>
    </row>
    <row r="3587" spans="2:14" hidden="1" outlineLevel="1" x14ac:dyDescent="0.35">
      <c r="B3587" s="203"/>
      <c r="C3587" s="204"/>
      <c r="D3587" s="204"/>
      <c r="E3587" s="204"/>
      <c r="F3587" s="205"/>
      <c r="G3587" s="548"/>
      <c r="H3587" s="550"/>
      <c r="I3587" s="326"/>
      <c r="J3587" s="326"/>
      <c r="K3587" s="326"/>
      <c r="M3587" s="463"/>
      <c r="N3587" s="464"/>
    </row>
    <row r="3588" spans="2:14" hidden="1" outlineLevel="1" x14ac:dyDescent="0.35">
      <c r="B3588" s="203"/>
      <c r="C3588" s="204"/>
      <c r="D3588" s="204"/>
      <c r="E3588" s="204"/>
      <c r="F3588" s="205"/>
      <c r="G3588" s="548"/>
      <c r="H3588" s="550"/>
      <c r="I3588" s="326"/>
      <c r="J3588" s="326"/>
      <c r="K3588" s="326"/>
      <c r="M3588" s="463"/>
      <c r="N3588" s="464"/>
    </row>
    <row r="3589" spans="2:14" hidden="1" outlineLevel="1" x14ac:dyDescent="0.35">
      <c r="B3589" s="203"/>
      <c r="C3589" s="204"/>
      <c r="D3589" s="204"/>
      <c r="E3589" s="204"/>
      <c r="F3589" s="205"/>
      <c r="G3589" s="548"/>
      <c r="H3589" s="550"/>
      <c r="I3589" s="326"/>
      <c r="J3589" s="326"/>
      <c r="K3589" s="326"/>
      <c r="M3589" s="463"/>
      <c r="N3589" s="464"/>
    </row>
    <row r="3590" spans="2:14" hidden="1" outlineLevel="1" x14ac:dyDescent="0.35">
      <c r="B3590" s="203"/>
      <c r="C3590" s="204"/>
      <c r="D3590" s="204"/>
      <c r="E3590" s="204"/>
      <c r="F3590" s="205"/>
      <c r="G3590" s="548"/>
      <c r="H3590" s="550"/>
      <c r="I3590" s="326"/>
      <c r="J3590" s="326"/>
      <c r="K3590" s="326"/>
      <c r="M3590" s="463"/>
      <c r="N3590" s="464"/>
    </row>
    <row r="3591" spans="2:14" hidden="1" outlineLevel="1" x14ac:dyDescent="0.35">
      <c r="B3591" s="203"/>
      <c r="C3591" s="204"/>
      <c r="D3591" s="204"/>
      <c r="E3591" s="204"/>
      <c r="F3591" s="205"/>
      <c r="G3591" s="548"/>
      <c r="H3591" s="550"/>
      <c r="I3591" s="326"/>
      <c r="J3591" s="326"/>
      <c r="K3591" s="326"/>
      <c r="M3591" s="463"/>
      <c r="N3591" s="464"/>
    </row>
    <row r="3592" spans="2:14" hidden="1" outlineLevel="1" x14ac:dyDescent="0.35">
      <c r="B3592" s="203"/>
      <c r="C3592" s="204"/>
      <c r="D3592" s="204"/>
      <c r="E3592" s="204"/>
      <c r="F3592" s="205"/>
      <c r="G3592" s="548"/>
      <c r="H3592" s="550"/>
      <c r="I3592" s="326"/>
      <c r="J3592" s="326"/>
      <c r="K3592" s="326"/>
      <c r="M3592" s="463"/>
      <c r="N3592" s="464"/>
    </row>
    <row r="3593" spans="2:14" hidden="1" outlineLevel="1" x14ac:dyDescent="0.35">
      <c r="B3593" s="203"/>
      <c r="C3593" s="204"/>
      <c r="D3593" s="204"/>
      <c r="E3593" s="204"/>
      <c r="F3593" s="205"/>
      <c r="G3593" s="548"/>
      <c r="H3593" s="550"/>
      <c r="I3593" s="326"/>
      <c r="J3593" s="326"/>
      <c r="K3593" s="326"/>
      <c r="M3593" s="463"/>
      <c r="N3593" s="464"/>
    </row>
    <row r="3594" spans="2:14" hidden="1" outlineLevel="1" x14ac:dyDescent="0.35">
      <c r="B3594" s="203"/>
      <c r="C3594" s="204"/>
      <c r="D3594" s="204"/>
      <c r="E3594" s="204"/>
      <c r="F3594" s="205"/>
      <c r="G3594" s="548"/>
      <c r="H3594" s="550"/>
      <c r="I3594" s="326"/>
      <c r="J3594" s="326"/>
      <c r="K3594" s="326"/>
      <c r="M3594" s="463"/>
      <c r="N3594" s="464"/>
    </row>
    <row r="3595" spans="2:14" hidden="1" outlineLevel="1" x14ac:dyDescent="0.35">
      <c r="B3595" s="203"/>
      <c r="C3595" s="204"/>
      <c r="D3595" s="204"/>
      <c r="E3595" s="204"/>
      <c r="F3595" s="205"/>
      <c r="G3595" s="548"/>
      <c r="H3595" s="550"/>
      <c r="I3595" s="326"/>
      <c r="J3595" s="326"/>
      <c r="K3595" s="326"/>
      <c r="M3595" s="463"/>
      <c r="N3595" s="464"/>
    </row>
    <row r="3596" spans="2:14" hidden="1" outlineLevel="1" x14ac:dyDescent="0.35">
      <c r="B3596" s="203"/>
      <c r="C3596" s="204"/>
      <c r="D3596" s="204"/>
      <c r="E3596" s="204"/>
      <c r="F3596" s="205"/>
      <c r="G3596" s="548"/>
      <c r="H3596" s="550"/>
      <c r="I3596" s="326"/>
      <c r="J3596" s="326"/>
      <c r="K3596" s="326"/>
      <c r="M3596" s="463"/>
      <c r="N3596" s="464"/>
    </row>
    <row r="3597" spans="2:14" hidden="1" outlineLevel="1" x14ac:dyDescent="0.35">
      <c r="B3597" s="203"/>
      <c r="C3597" s="204"/>
      <c r="D3597" s="204"/>
      <c r="E3597" s="204"/>
      <c r="F3597" s="205"/>
      <c r="G3597" s="548"/>
      <c r="H3597" s="550"/>
      <c r="I3597" s="326"/>
      <c r="J3597" s="326"/>
      <c r="K3597" s="326"/>
      <c r="M3597" s="463"/>
      <c r="N3597" s="464"/>
    </row>
    <row r="3598" spans="2:14" hidden="1" outlineLevel="1" x14ac:dyDescent="0.35">
      <c r="B3598" s="203"/>
      <c r="C3598" s="204"/>
      <c r="D3598" s="204"/>
      <c r="E3598" s="204"/>
      <c r="F3598" s="205"/>
      <c r="G3598" s="548"/>
      <c r="H3598" s="550"/>
      <c r="I3598" s="326"/>
      <c r="J3598" s="326"/>
      <c r="K3598" s="326"/>
      <c r="M3598" s="463"/>
      <c r="N3598" s="464"/>
    </row>
    <row r="3599" spans="2:14" hidden="1" outlineLevel="1" x14ac:dyDescent="0.35">
      <c r="B3599" s="203"/>
      <c r="C3599" s="204"/>
      <c r="D3599" s="204"/>
      <c r="E3599" s="204"/>
      <c r="F3599" s="205"/>
      <c r="G3599" s="548"/>
      <c r="H3599" s="550"/>
      <c r="I3599" s="326"/>
      <c r="J3599" s="326"/>
      <c r="K3599" s="326"/>
      <c r="M3599" s="463"/>
      <c r="N3599" s="464"/>
    </row>
    <row r="3600" spans="2:14" hidden="1" outlineLevel="1" x14ac:dyDescent="0.35">
      <c r="B3600" s="203"/>
      <c r="C3600" s="204"/>
      <c r="D3600" s="204"/>
      <c r="E3600" s="204"/>
      <c r="F3600" s="205"/>
      <c r="G3600" s="548"/>
      <c r="H3600" s="550"/>
      <c r="I3600" s="326"/>
      <c r="J3600" s="326"/>
      <c r="K3600" s="326"/>
      <c r="M3600" s="463"/>
      <c r="N3600" s="464"/>
    </row>
    <row r="3601" spans="2:14" hidden="1" outlineLevel="1" x14ac:dyDescent="0.35">
      <c r="B3601" s="203"/>
      <c r="C3601" s="204"/>
      <c r="D3601" s="204"/>
      <c r="E3601" s="204"/>
      <c r="F3601" s="205"/>
      <c r="G3601" s="548"/>
      <c r="H3601" s="550"/>
      <c r="I3601" s="326"/>
      <c r="J3601" s="326"/>
      <c r="K3601" s="326"/>
      <c r="M3601" s="463"/>
      <c r="N3601" s="464"/>
    </row>
    <row r="3602" spans="2:14" hidden="1" outlineLevel="1" x14ac:dyDescent="0.35">
      <c r="B3602" s="203"/>
      <c r="C3602" s="204"/>
      <c r="D3602" s="204"/>
      <c r="E3602" s="204"/>
      <c r="F3602" s="205"/>
      <c r="G3602" s="548"/>
      <c r="H3602" s="550"/>
      <c r="I3602" s="326"/>
      <c r="J3602" s="326"/>
      <c r="K3602" s="326"/>
      <c r="M3602" s="463"/>
      <c r="N3602" s="464"/>
    </row>
    <row r="3603" spans="2:14" hidden="1" outlineLevel="1" x14ac:dyDescent="0.35">
      <c r="B3603" s="203"/>
      <c r="C3603" s="204"/>
      <c r="D3603" s="204"/>
      <c r="E3603" s="204"/>
      <c r="F3603" s="205"/>
      <c r="G3603" s="548"/>
      <c r="H3603" s="550"/>
      <c r="I3603" s="326"/>
      <c r="J3603" s="326"/>
      <c r="K3603" s="326"/>
      <c r="M3603" s="463"/>
      <c r="N3603" s="464"/>
    </row>
    <row r="3604" spans="2:14" hidden="1" outlineLevel="1" x14ac:dyDescent="0.35">
      <c r="B3604" s="203"/>
      <c r="C3604" s="204"/>
      <c r="D3604" s="204"/>
      <c r="E3604" s="204"/>
      <c r="F3604" s="205"/>
      <c r="G3604" s="548"/>
      <c r="H3604" s="550"/>
      <c r="I3604" s="326"/>
      <c r="J3604" s="326"/>
      <c r="K3604" s="326"/>
      <c r="M3604" s="463"/>
      <c r="N3604" s="464"/>
    </row>
    <row r="3605" spans="2:14" hidden="1" outlineLevel="1" x14ac:dyDescent="0.35">
      <c r="B3605" s="203"/>
      <c r="C3605" s="204"/>
      <c r="D3605" s="204"/>
      <c r="E3605" s="204"/>
      <c r="F3605" s="205"/>
      <c r="G3605" s="548"/>
      <c r="H3605" s="550"/>
      <c r="I3605" s="326"/>
      <c r="J3605" s="326"/>
      <c r="K3605" s="326"/>
      <c r="M3605" s="463"/>
      <c r="N3605" s="464"/>
    </row>
    <row r="3606" spans="2:14" hidden="1" outlineLevel="1" x14ac:dyDescent="0.35">
      <c r="B3606" s="203"/>
      <c r="C3606" s="204"/>
      <c r="D3606" s="204"/>
      <c r="E3606" s="204"/>
      <c r="F3606" s="205"/>
      <c r="G3606" s="548"/>
      <c r="H3606" s="550"/>
      <c r="I3606" s="326"/>
      <c r="J3606" s="326"/>
      <c r="K3606" s="326"/>
      <c r="M3606" s="463"/>
      <c r="N3606" s="464"/>
    </row>
    <row r="3607" spans="2:14" hidden="1" outlineLevel="1" x14ac:dyDescent="0.35">
      <c r="B3607" s="203"/>
      <c r="C3607" s="204"/>
      <c r="D3607" s="204"/>
      <c r="E3607" s="204"/>
      <c r="F3607" s="205"/>
      <c r="G3607" s="548"/>
      <c r="H3607" s="550"/>
      <c r="I3607" s="326"/>
      <c r="J3607" s="326"/>
      <c r="K3607" s="326"/>
      <c r="M3607" s="463"/>
      <c r="N3607" s="464"/>
    </row>
    <row r="3608" spans="2:14" hidden="1" outlineLevel="1" x14ac:dyDescent="0.35">
      <c r="B3608" s="203"/>
      <c r="C3608" s="204"/>
      <c r="D3608" s="204"/>
      <c r="E3608" s="204"/>
      <c r="F3608" s="205"/>
      <c r="G3608" s="548"/>
      <c r="H3608" s="550"/>
      <c r="I3608" s="326"/>
      <c r="J3608" s="326"/>
      <c r="K3608" s="326"/>
      <c r="M3608" s="463"/>
      <c r="N3608" s="464"/>
    </row>
    <row r="3609" spans="2:14" hidden="1" outlineLevel="1" x14ac:dyDescent="0.35">
      <c r="B3609" s="203"/>
      <c r="C3609" s="204"/>
      <c r="D3609" s="204"/>
      <c r="E3609" s="204"/>
      <c r="F3609" s="205"/>
      <c r="G3609" s="548"/>
      <c r="H3609" s="550"/>
      <c r="I3609" s="326"/>
      <c r="J3609" s="326"/>
      <c r="K3609" s="326"/>
      <c r="M3609" s="463"/>
      <c r="N3609" s="464"/>
    </row>
    <row r="3610" spans="2:14" hidden="1" outlineLevel="1" x14ac:dyDescent="0.35">
      <c r="B3610" s="203"/>
      <c r="C3610" s="204"/>
      <c r="D3610" s="204"/>
      <c r="E3610" s="204"/>
      <c r="F3610" s="205"/>
      <c r="G3610" s="548"/>
      <c r="H3610" s="550"/>
      <c r="I3610" s="326"/>
      <c r="J3610" s="326"/>
      <c r="K3610" s="326"/>
      <c r="M3610" s="463"/>
      <c r="N3610" s="464"/>
    </row>
    <row r="3611" spans="2:14" hidden="1" outlineLevel="1" x14ac:dyDescent="0.35">
      <c r="B3611" s="203"/>
      <c r="C3611" s="204"/>
      <c r="D3611" s="204"/>
      <c r="E3611" s="204"/>
      <c r="F3611" s="205"/>
      <c r="G3611" s="548"/>
      <c r="H3611" s="550"/>
      <c r="I3611" s="326"/>
      <c r="J3611" s="326"/>
      <c r="K3611" s="326"/>
      <c r="M3611" s="463"/>
      <c r="N3611" s="464"/>
    </row>
    <row r="3612" spans="2:14" hidden="1" outlineLevel="1" x14ac:dyDescent="0.35">
      <c r="B3612" s="203"/>
      <c r="C3612" s="204"/>
      <c r="D3612" s="204"/>
      <c r="E3612" s="204"/>
      <c r="F3612" s="205"/>
      <c r="G3612" s="548"/>
      <c r="H3612" s="550"/>
      <c r="I3612" s="326"/>
      <c r="J3612" s="326"/>
      <c r="K3612" s="326"/>
      <c r="M3612" s="463"/>
      <c r="N3612" s="464"/>
    </row>
    <row r="3613" spans="2:14" hidden="1" outlineLevel="1" x14ac:dyDescent="0.35">
      <c r="B3613" s="203"/>
      <c r="C3613" s="204"/>
      <c r="D3613" s="204"/>
      <c r="E3613" s="204"/>
      <c r="F3613" s="205"/>
      <c r="G3613" s="548"/>
      <c r="H3613" s="550"/>
      <c r="I3613" s="326"/>
      <c r="J3613" s="326"/>
      <c r="K3613" s="326"/>
      <c r="M3613" s="463"/>
      <c r="N3613" s="464"/>
    </row>
    <row r="3614" spans="2:14" hidden="1" outlineLevel="1" x14ac:dyDescent="0.35">
      <c r="B3614" s="203"/>
      <c r="C3614" s="204"/>
      <c r="D3614" s="204"/>
      <c r="E3614" s="204"/>
      <c r="F3614" s="205"/>
      <c r="G3614" s="548"/>
      <c r="H3614" s="550"/>
      <c r="I3614" s="326"/>
      <c r="J3614" s="326"/>
      <c r="K3614" s="326"/>
      <c r="M3614" s="463"/>
      <c r="N3614" s="464"/>
    </row>
    <row r="3615" spans="2:14" hidden="1" outlineLevel="1" x14ac:dyDescent="0.35">
      <c r="B3615" s="203"/>
      <c r="C3615" s="204"/>
      <c r="D3615" s="204"/>
      <c r="E3615" s="204"/>
      <c r="F3615" s="205"/>
      <c r="G3615" s="548"/>
      <c r="H3615" s="550"/>
      <c r="I3615" s="326"/>
      <c r="J3615" s="326"/>
      <c r="K3615" s="326"/>
      <c r="M3615" s="463"/>
      <c r="N3615" s="464"/>
    </row>
    <row r="3616" spans="2:14" hidden="1" outlineLevel="1" x14ac:dyDescent="0.35">
      <c r="B3616" s="203"/>
      <c r="C3616" s="204"/>
      <c r="D3616" s="204"/>
      <c r="E3616" s="204"/>
      <c r="F3616" s="205"/>
      <c r="G3616" s="548"/>
      <c r="H3616" s="550"/>
      <c r="I3616" s="326"/>
      <c r="J3616" s="326"/>
      <c r="K3616" s="326"/>
      <c r="M3616" s="463"/>
      <c r="N3616" s="464"/>
    </row>
    <row r="3617" spans="2:14" hidden="1" outlineLevel="1" x14ac:dyDescent="0.35">
      <c r="B3617" s="203"/>
      <c r="C3617" s="204"/>
      <c r="D3617" s="204"/>
      <c r="E3617" s="204"/>
      <c r="F3617" s="205"/>
      <c r="G3617" s="548"/>
      <c r="H3617" s="550"/>
      <c r="I3617" s="326"/>
      <c r="J3617" s="326"/>
      <c r="K3617" s="326"/>
      <c r="M3617" s="463"/>
      <c r="N3617" s="464"/>
    </row>
    <row r="3618" spans="2:14" hidden="1" outlineLevel="1" x14ac:dyDescent="0.35">
      <c r="B3618" s="203"/>
      <c r="C3618" s="204"/>
      <c r="D3618" s="204"/>
      <c r="E3618" s="204"/>
      <c r="F3618" s="205"/>
      <c r="G3618" s="548"/>
      <c r="H3618" s="550"/>
      <c r="I3618" s="326"/>
      <c r="J3618" s="326"/>
      <c r="K3618" s="326"/>
      <c r="M3618" s="463"/>
      <c r="N3618" s="464"/>
    </row>
    <row r="3619" spans="2:14" hidden="1" outlineLevel="1" x14ac:dyDescent="0.35">
      <c r="B3619" s="203"/>
      <c r="C3619" s="204"/>
      <c r="D3619" s="204"/>
      <c r="E3619" s="204"/>
      <c r="F3619" s="205"/>
      <c r="G3619" s="548"/>
      <c r="H3619" s="550"/>
      <c r="I3619" s="326"/>
      <c r="J3619" s="326"/>
      <c r="K3619" s="326"/>
      <c r="M3619" s="463"/>
      <c r="N3619" s="464"/>
    </row>
    <row r="3620" spans="2:14" hidden="1" outlineLevel="1" x14ac:dyDescent="0.35">
      <c r="B3620" s="203"/>
      <c r="C3620" s="204"/>
      <c r="D3620" s="204"/>
      <c r="E3620" s="204"/>
      <c r="F3620" s="205"/>
      <c r="G3620" s="548"/>
      <c r="H3620" s="550"/>
      <c r="I3620" s="326"/>
      <c r="J3620" s="326"/>
      <c r="K3620" s="326"/>
      <c r="M3620" s="463"/>
      <c r="N3620" s="464"/>
    </row>
    <row r="3621" spans="2:14" hidden="1" outlineLevel="1" x14ac:dyDescent="0.35">
      <c r="B3621" s="203"/>
      <c r="C3621" s="204"/>
      <c r="D3621" s="204"/>
      <c r="E3621" s="204"/>
      <c r="F3621" s="205"/>
      <c r="G3621" s="548"/>
      <c r="H3621" s="550"/>
      <c r="I3621" s="326"/>
      <c r="J3621" s="326"/>
      <c r="K3621" s="326"/>
      <c r="M3621" s="463"/>
      <c r="N3621" s="464"/>
    </row>
    <row r="3622" spans="2:14" hidden="1" outlineLevel="1" x14ac:dyDescent="0.35">
      <c r="B3622" s="203"/>
      <c r="C3622" s="204"/>
      <c r="D3622" s="204"/>
      <c r="E3622" s="204"/>
      <c r="F3622" s="205"/>
      <c r="G3622" s="548"/>
      <c r="H3622" s="550"/>
      <c r="I3622" s="326"/>
      <c r="J3622" s="326"/>
      <c r="K3622" s="326"/>
      <c r="M3622" s="463"/>
      <c r="N3622" s="464"/>
    </row>
    <row r="3623" spans="2:14" hidden="1" outlineLevel="1" x14ac:dyDescent="0.35">
      <c r="B3623" s="203"/>
      <c r="C3623" s="204"/>
      <c r="D3623" s="204"/>
      <c r="E3623" s="204"/>
      <c r="F3623" s="205"/>
      <c r="G3623" s="548"/>
      <c r="H3623" s="550"/>
      <c r="I3623" s="326"/>
      <c r="J3623" s="326"/>
      <c r="K3623" s="326"/>
      <c r="M3623" s="463"/>
      <c r="N3623" s="464"/>
    </row>
    <row r="3624" spans="2:14" hidden="1" outlineLevel="1" x14ac:dyDescent="0.35">
      <c r="B3624" s="203"/>
      <c r="C3624" s="204"/>
      <c r="D3624" s="204"/>
      <c r="E3624" s="204"/>
      <c r="F3624" s="205"/>
      <c r="G3624" s="548"/>
      <c r="H3624" s="550"/>
      <c r="I3624" s="326"/>
      <c r="J3624" s="326"/>
      <c r="K3624" s="326"/>
      <c r="M3624" s="463"/>
      <c r="N3624" s="464"/>
    </row>
    <row r="3625" spans="2:14" hidden="1" outlineLevel="1" x14ac:dyDescent="0.35">
      <c r="B3625" s="203"/>
      <c r="C3625" s="204"/>
      <c r="D3625" s="204"/>
      <c r="E3625" s="204"/>
      <c r="F3625" s="205"/>
      <c r="G3625" s="548"/>
      <c r="H3625" s="550"/>
      <c r="I3625" s="326"/>
      <c r="J3625" s="326"/>
      <c r="K3625" s="326"/>
      <c r="M3625" s="463"/>
      <c r="N3625" s="464"/>
    </row>
    <row r="3626" spans="2:14" hidden="1" outlineLevel="1" x14ac:dyDescent="0.35">
      <c r="B3626" s="203"/>
      <c r="C3626" s="204"/>
      <c r="D3626" s="204"/>
      <c r="E3626" s="204"/>
      <c r="F3626" s="205"/>
      <c r="G3626" s="548"/>
      <c r="H3626" s="550"/>
      <c r="I3626" s="326"/>
      <c r="J3626" s="326"/>
      <c r="K3626" s="326"/>
      <c r="M3626" s="463"/>
      <c r="N3626" s="464"/>
    </row>
    <row r="3627" spans="2:14" hidden="1" outlineLevel="1" x14ac:dyDescent="0.35">
      <c r="B3627" s="203"/>
      <c r="C3627" s="204"/>
      <c r="D3627" s="204"/>
      <c r="E3627" s="204"/>
      <c r="F3627" s="205"/>
      <c r="G3627" s="548"/>
      <c r="H3627" s="550"/>
      <c r="I3627" s="326"/>
      <c r="J3627" s="326"/>
      <c r="K3627" s="326"/>
      <c r="M3627" s="463"/>
      <c r="N3627" s="464"/>
    </row>
    <row r="3628" spans="2:14" hidden="1" outlineLevel="1" x14ac:dyDescent="0.35">
      <c r="B3628" s="203"/>
      <c r="C3628" s="204"/>
      <c r="D3628" s="204"/>
      <c r="E3628" s="204"/>
      <c r="F3628" s="205"/>
      <c r="G3628" s="548"/>
      <c r="H3628" s="550"/>
      <c r="I3628" s="326"/>
      <c r="J3628" s="326"/>
      <c r="K3628" s="326"/>
      <c r="M3628" s="463"/>
      <c r="N3628" s="464"/>
    </row>
    <row r="3629" spans="2:14" hidden="1" outlineLevel="1" x14ac:dyDescent="0.35">
      <c r="B3629" s="203"/>
      <c r="C3629" s="204"/>
      <c r="D3629" s="204"/>
      <c r="E3629" s="204"/>
      <c r="F3629" s="205"/>
      <c r="G3629" s="548"/>
      <c r="H3629" s="550"/>
      <c r="I3629" s="326"/>
      <c r="J3629" s="326"/>
      <c r="K3629" s="326"/>
      <c r="M3629" s="463"/>
      <c r="N3629" s="464"/>
    </row>
    <row r="3630" spans="2:14" hidden="1" outlineLevel="1" x14ac:dyDescent="0.35">
      <c r="B3630" s="203"/>
      <c r="C3630" s="204"/>
      <c r="D3630" s="204"/>
      <c r="E3630" s="204"/>
      <c r="F3630" s="205"/>
      <c r="G3630" s="548"/>
      <c r="H3630" s="550"/>
      <c r="I3630" s="326"/>
      <c r="J3630" s="326"/>
      <c r="K3630" s="326"/>
      <c r="M3630" s="463"/>
      <c r="N3630" s="464"/>
    </row>
    <row r="3631" spans="2:14" hidden="1" outlineLevel="1" x14ac:dyDescent="0.35">
      <c r="B3631" s="203"/>
      <c r="C3631" s="204"/>
      <c r="D3631" s="204"/>
      <c r="E3631" s="204"/>
      <c r="F3631" s="205"/>
      <c r="G3631" s="548"/>
      <c r="H3631" s="550"/>
      <c r="I3631" s="326"/>
      <c r="J3631" s="326"/>
      <c r="K3631" s="326"/>
      <c r="M3631" s="463"/>
      <c r="N3631" s="464"/>
    </row>
    <row r="3632" spans="2:14" hidden="1" outlineLevel="1" x14ac:dyDescent="0.35">
      <c r="B3632" s="203"/>
      <c r="C3632" s="204"/>
      <c r="D3632" s="204"/>
      <c r="E3632" s="204"/>
      <c r="F3632" s="205"/>
      <c r="G3632" s="548"/>
      <c r="H3632" s="550"/>
      <c r="I3632" s="326"/>
      <c r="J3632" s="326"/>
      <c r="K3632" s="326"/>
      <c r="M3632" s="463"/>
      <c r="N3632" s="464"/>
    </row>
    <row r="3633" spans="2:14" hidden="1" outlineLevel="1" x14ac:dyDescent="0.35">
      <c r="B3633" s="203"/>
      <c r="C3633" s="204"/>
      <c r="D3633" s="204"/>
      <c r="E3633" s="204"/>
      <c r="F3633" s="205"/>
      <c r="G3633" s="548"/>
      <c r="H3633" s="550"/>
      <c r="I3633" s="326"/>
      <c r="J3633" s="326"/>
      <c r="K3633" s="326"/>
      <c r="M3633" s="463"/>
      <c r="N3633" s="464"/>
    </row>
    <row r="3634" spans="2:14" hidden="1" outlineLevel="1" x14ac:dyDescent="0.35">
      <c r="B3634" s="203"/>
      <c r="C3634" s="204"/>
      <c r="D3634" s="204"/>
      <c r="E3634" s="204"/>
      <c r="F3634" s="205"/>
      <c r="G3634" s="548"/>
      <c r="H3634" s="550"/>
      <c r="I3634" s="326"/>
      <c r="J3634" s="326"/>
      <c r="K3634" s="326"/>
      <c r="M3634" s="463"/>
      <c r="N3634" s="464"/>
    </row>
    <row r="3635" spans="2:14" hidden="1" outlineLevel="1" x14ac:dyDescent="0.35">
      <c r="B3635" s="203"/>
      <c r="C3635" s="204"/>
      <c r="D3635" s="204"/>
      <c r="E3635" s="204"/>
      <c r="F3635" s="205"/>
      <c r="G3635" s="548"/>
      <c r="H3635" s="550"/>
      <c r="I3635" s="326"/>
      <c r="J3635" s="326"/>
      <c r="K3635" s="326"/>
      <c r="M3635" s="463"/>
      <c r="N3635" s="464"/>
    </row>
    <row r="3636" spans="2:14" hidden="1" outlineLevel="1" x14ac:dyDescent="0.35">
      <c r="B3636" s="203"/>
      <c r="C3636" s="204"/>
      <c r="D3636" s="204"/>
      <c r="E3636" s="204"/>
      <c r="F3636" s="205"/>
      <c r="G3636" s="548"/>
      <c r="H3636" s="550"/>
      <c r="I3636" s="326"/>
      <c r="J3636" s="326"/>
      <c r="K3636" s="326"/>
      <c r="M3636" s="463"/>
      <c r="N3636" s="464"/>
    </row>
    <row r="3637" spans="2:14" hidden="1" outlineLevel="1" x14ac:dyDescent="0.35">
      <c r="B3637" s="203"/>
      <c r="C3637" s="204"/>
      <c r="D3637" s="204"/>
      <c r="E3637" s="204"/>
      <c r="F3637" s="205"/>
      <c r="G3637" s="548"/>
      <c r="H3637" s="550"/>
      <c r="I3637" s="326"/>
      <c r="J3637" s="326"/>
      <c r="K3637" s="326"/>
      <c r="M3637" s="463"/>
      <c r="N3637" s="464"/>
    </row>
    <row r="3638" spans="2:14" hidden="1" outlineLevel="1" x14ac:dyDescent="0.35">
      <c r="B3638" s="203"/>
      <c r="C3638" s="204"/>
      <c r="D3638" s="204"/>
      <c r="E3638" s="204"/>
      <c r="F3638" s="205"/>
      <c r="G3638" s="548"/>
      <c r="H3638" s="550"/>
      <c r="I3638" s="326"/>
      <c r="J3638" s="326"/>
      <c r="K3638" s="326"/>
      <c r="M3638" s="463"/>
      <c r="N3638" s="464"/>
    </row>
    <row r="3639" spans="2:14" hidden="1" outlineLevel="1" x14ac:dyDescent="0.35">
      <c r="B3639" s="203"/>
      <c r="C3639" s="204"/>
      <c r="D3639" s="204"/>
      <c r="E3639" s="204"/>
      <c r="F3639" s="205"/>
      <c r="G3639" s="548"/>
      <c r="H3639" s="550"/>
      <c r="I3639" s="326"/>
      <c r="J3639" s="326"/>
      <c r="K3639" s="326"/>
      <c r="M3639" s="463"/>
      <c r="N3639" s="464"/>
    </row>
    <row r="3640" spans="2:14" hidden="1" outlineLevel="1" x14ac:dyDescent="0.35">
      <c r="B3640" s="203"/>
      <c r="C3640" s="204"/>
      <c r="D3640" s="204"/>
      <c r="E3640" s="204"/>
      <c r="F3640" s="205"/>
      <c r="G3640" s="548"/>
      <c r="H3640" s="550"/>
      <c r="I3640" s="326"/>
      <c r="J3640" s="326"/>
      <c r="K3640" s="326"/>
      <c r="M3640" s="463"/>
      <c r="N3640" s="464"/>
    </row>
    <row r="3641" spans="2:14" hidden="1" outlineLevel="1" x14ac:dyDescent="0.35">
      <c r="B3641" s="203"/>
      <c r="C3641" s="204"/>
      <c r="D3641" s="204"/>
      <c r="E3641" s="204"/>
      <c r="F3641" s="205"/>
      <c r="G3641" s="548"/>
      <c r="H3641" s="550"/>
      <c r="I3641" s="326"/>
      <c r="J3641" s="326"/>
      <c r="K3641" s="326"/>
      <c r="M3641" s="463"/>
      <c r="N3641" s="464"/>
    </row>
    <row r="3642" spans="2:14" hidden="1" outlineLevel="1" x14ac:dyDescent="0.35">
      <c r="B3642" s="203"/>
      <c r="C3642" s="204"/>
      <c r="D3642" s="204"/>
      <c r="E3642" s="204"/>
      <c r="F3642" s="205"/>
      <c r="G3642" s="548"/>
      <c r="H3642" s="550"/>
      <c r="I3642" s="326"/>
      <c r="J3642" s="326"/>
      <c r="K3642" s="326"/>
      <c r="M3642" s="463"/>
      <c r="N3642" s="464"/>
    </row>
    <row r="3643" spans="2:14" hidden="1" outlineLevel="1" x14ac:dyDescent="0.35">
      <c r="B3643" s="203"/>
      <c r="C3643" s="204"/>
      <c r="D3643" s="204"/>
      <c r="E3643" s="204"/>
      <c r="F3643" s="205"/>
      <c r="G3643" s="548"/>
      <c r="H3643" s="550"/>
      <c r="I3643" s="326"/>
      <c r="J3643" s="326"/>
      <c r="K3643" s="326"/>
      <c r="M3643" s="463"/>
      <c r="N3643" s="464"/>
    </row>
    <row r="3644" spans="2:14" hidden="1" outlineLevel="1" x14ac:dyDescent="0.35">
      <c r="B3644" s="203"/>
      <c r="C3644" s="204"/>
      <c r="D3644" s="204"/>
      <c r="E3644" s="204"/>
      <c r="F3644" s="205"/>
      <c r="G3644" s="548"/>
      <c r="H3644" s="550"/>
      <c r="I3644" s="326"/>
      <c r="J3644" s="326"/>
      <c r="K3644" s="326"/>
      <c r="M3644" s="463"/>
      <c r="N3644" s="464"/>
    </row>
    <row r="3645" spans="2:14" hidden="1" outlineLevel="1" x14ac:dyDescent="0.35">
      <c r="B3645" s="203"/>
      <c r="C3645" s="204"/>
      <c r="D3645" s="204"/>
      <c r="E3645" s="204"/>
      <c r="F3645" s="205"/>
      <c r="G3645" s="548"/>
      <c r="H3645" s="550"/>
      <c r="I3645" s="326"/>
      <c r="J3645" s="326"/>
      <c r="K3645" s="326"/>
      <c r="M3645" s="463"/>
      <c r="N3645" s="464"/>
    </row>
    <row r="3646" spans="2:14" hidden="1" outlineLevel="1" x14ac:dyDescent="0.35">
      <c r="B3646" s="203"/>
      <c r="C3646" s="204"/>
      <c r="D3646" s="204"/>
      <c r="E3646" s="204"/>
      <c r="F3646" s="205"/>
      <c r="G3646" s="548"/>
      <c r="H3646" s="550"/>
      <c r="I3646" s="326"/>
      <c r="J3646" s="326"/>
      <c r="K3646" s="326"/>
      <c r="M3646" s="463"/>
      <c r="N3646" s="464"/>
    </row>
    <row r="3647" spans="2:14" hidden="1" outlineLevel="1" x14ac:dyDescent="0.35">
      <c r="B3647" s="203"/>
      <c r="C3647" s="204"/>
      <c r="D3647" s="204"/>
      <c r="E3647" s="204"/>
      <c r="F3647" s="205"/>
      <c r="G3647" s="548"/>
      <c r="H3647" s="550"/>
      <c r="I3647" s="326"/>
      <c r="J3647" s="326"/>
      <c r="K3647" s="326"/>
      <c r="M3647" s="463"/>
      <c r="N3647" s="464"/>
    </row>
    <row r="3648" spans="2:14" hidden="1" outlineLevel="1" x14ac:dyDescent="0.35">
      <c r="B3648" s="203"/>
      <c r="C3648" s="204"/>
      <c r="D3648" s="204"/>
      <c r="E3648" s="204"/>
      <c r="F3648" s="205"/>
      <c r="G3648" s="548"/>
      <c r="H3648" s="550"/>
      <c r="I3648" s="326"/>
      <c r="J3648" s="326"/>
      <c r="K3648" s="326"/>
      <c r="M3648" s="463"/>
      <c r="N3648" s="464"/>
    </row>
    <row r="3649" spans="2:14" hidden="1" outlineLevel="1" x14ac:dyDescent="0.35">
      <c r="B3649" s="203"/>
      <c r="C3649" s="204"/>
      <c r="D3649" s="204"/>
      <c r="E3649" s="204"/>
      <c r="F3649" s="205"/>
      <c r="G3649" s="548"/>
      <c r="H3649" s="550"/>
      <c r="I3649" s="326"/>
      <c r="J3649" s="326"/>
      <c r="K3649" s="326"/>
      <c r="M3649" s="463"/>
      <c r="N3649" s="464"/>
    </row>
    <row r="3650" spans="2:14" hidden="1" outlineLevel="1" x14ac:dyDescent="0.35">
      <c r="B3650" s="203"/>
      <c r="C3650" s="204"/>
      <c r="D3650" s="204"/>
      <c r="E3650" s="204"/>
      <c r="F3650" s="205"/>
      <c r="G3650" s="548"/>
      <c r="H3650" s="550"/>
      <c r="I3650" s="326"/>
      <c r="J3650" s="326"/>
      <c r="K3650" s="326"/>
      <c r="M3650" s="463"/>
      <c r="N3650" s="464"/>
    </row>
    <row r="3651" spans="2:14" hidden="1" outlineLevel="1" x14ac:dyDescent="0.35">
      <c r="B3651" s="203"/>
      <c r="C3651" s="204"/>
      <c r="D3651" s="204"/>
      <c r="E3651" s="204"/>
      <c r="F3651" s="205"/>
      <c r="G3651" s="548"/>
      <c r="H3651" s="550"/>
      <c r="I3651" s="326"/>
      <c r="J3651" s="326"/>
      <c r="K3651" s="326"/>
      <c r="M3651" s="463"/>
      <c r="N3651" s="464"/>
    </row>
    <row r="3652" spans="2:14" hidden="1" outlineLevel="1" x14ac:dyDescent="0.35">
      <c r="B3652" s="203"/>
      <c r="C3652" s="204"/>
      <c r="D3652" s="204"/>
      <c r="E3652" s="204"/>
      <c r="F3652" s="205"/>
      <c r="G3652" s="548"/>
      <c r="H3652" s="550"/>
      <c r="I3652" s="326"/>
      <c r="J3652" s="326"/>
      <c r="K3652" s="326"/>
      <c r="M3652" s="463"/>
      <c r="N3652" s="464"/>
    </row>
    <row r="3653" spans="2:14" hidden="1" outlineLevel="1" x14ac:dyDescent="0.35">
      <c r="B3653" s="203"/>
      <c r="C3653" s="204"/>
      <c r="D3653" s="204"/>
      <c r="E3653" s="204"/>
      <c r="F3653" s="205"/>
      <c r="G3653" s="548"/>
      <c r="H3653" s="550"/>
      <c r="I3653" s="326"/>
      <c r="J3653" s="326"/>
      <c r="K3653" s="326"/>
      <c r="M3653" s="463"/>
      <c r="N3653" s="464"/>
    </row>
    <row r="3654" spans="2:14" hidden="1" outlineLevel="1" x14ac:dyDescent="0.35">
      <c r="B3654" s="203"/>
      <c r="C3654" s="204"/>
      <c r="D3654" s="204"/>
      <c r="E3654" s="204"/>
      <c r="F3654" s="205"/>
      <c r="G3654" s="548"/>
      <c r="H3654" s="550"/>
      <c r="I3654" s="326"/>
      <c r="J3654" s="326"/>
      <c r="K3654" s="326"/>
      <c r="M3654" s="463"/>
      <c r="N3654" s="464"/>
    </row>
    <row r="3655" spans="2:14" hidden="1" outlineLevel="1" x14ac:dyDescent="0.35">
      <c r="B3655" s="203"/>
      <c r="C3655" s="204"/>
      <c r="D3655" s="204"/>
      <c r="E3655" s="204"/>
      <c r="F3655" s="205"/>
      <c r="G3655" s="548"/>
      <c r="H3655" s="550"/>
      <c r="I3655" s="326"/>
      <c r="J3655" s="326"/>
      <c r="K3655" s="326"/>
      <c r="M3655" s="463"/>
      <c r="N3655" s="464"/>
    </row>
    <row r="3656" spans="2:14" hidden="1" outlineLevel="1" x14ac:dyDescent="0.35">
      <c r="B3656" s="203"/>
      <c r="C3656" s="204"/>
      <c r="D3656" s="204"/>
      <c r="E3656" s="204"/>
      <c r="F3656" s="205"/>
      <c r="G3656" s="548"/>
      <c r="H3656" s="550"/>
      <c r="I3656" s="326"/>
      <c r="J3656" s="326"/>
      <c r="K3656" s="326"/>
      <c r="M3656" s="463"/>
      <c r="N3656" s="464"/>
    </row>
    <row r="3657" spans="2:14" hidden="1" outlineLevel="1" x14ac:dyDescent="0.35">
      <c r="B3657" s="203"/>
      <c r="C3657" s="204"/>
      <c r="D3657" s="204"/>
      <c r="E3657" s="204"/>
      <c r="F3657" s="205"/>
      <c r="G3657" s="548"/>
      <c r="H3657" s="550"/>
      <c r="I3657" s="326"/>
      <c r="J3657" s="326"/>
      <c r="K3657" s="326"/>
      <c r="M3657" s="463"/>
      <c r="N3657" s="464"/>
    </row>
    <row r="3658" spans="2:14" hidden="1" outlineLevel="1" x14ac:dyDescent="0.35">
      <c r="B3658" s="203"/>
      <c r="C3658" s="204"/>
      <c r="D3658" s="204"/>
      <c r="E3658" s="204"/>
      <c r="F3658" s="205"/>
      <c r="G3658" s="548"/>
      <c r="H3658" s="550"/>
      <c r="I3658" s="326"/>
      <c r="J3658" s="326"/>
      <c r="K3658" s="326"/>
      <c r="M3658" s="463"/>
      <c r="N3658" s="464"/>
    </row>
    <row r="3659" spans="2:14" hidden="1" outlineLevel="1" x14ac:dyDescent="0.35">
      <c r="B3659" s="203"/>
      <c r="C3659" s="204"/>
      <c r="D3659" s="204"/>
      <c r="E3659" s="204"/>
      <c r="F3659" s="205"/>
      <c r="G3659" s="548"/>
      <c r="H3659" s="550"/>
      <c r="I3659" s="326"/>
      <c r="J3659" s="326"/>
      <c r="K3659" s="326"/>
      <c r="M3659" s="463"/>
      <c r="N3659" s="464"/>
    </row>
    <row r="3660" spans="2:14" hidden="1" outlineLevel="1" x14ac:dyDescent="0.35">
      <c r="B3660" s="203"/>
      <c r="C3660" s="204"/>
      <c r="D3660" s="204"/>
      <c r="E3660" s="204"/>
      <c r="F3660" s="205"/>
      <c r="G3660" s="548"/>
      <c r="H3660" s="550"/>
      <c r="I3660" s="326"/>
      <c r="J3660" s="326"/>
      <c r="K3660" s="326"/>
      <c r="M3660" s="463"/>
      <c r="N3660" s="464"/>
    </row>
    <row r="3661" spans="2:14" hidden="1" outlineLevel="1" x14ac:dyDescent="0.35">
      <c r="B3661" s="203"/>
      <c r="C3661" s="204"/>
      <c r="D3661" s="204"/>
      <c r="E3661" s="204"/>
      <c r="F3661" s="205"/>
      <c r="G3661" s="548"/>
      <c r="H3661" s="550"/>
      <c r="I3661" s="326"/>
      <c r="J3661" s="326"/>
      <c r="K3661" s="326"/>
      <c r="M3661" s="463"/>
      <c r="N3661" s="464"/>
    </row>
    <row r="3662" spans="2:14" hidden="1" outlineLevel="1" x14ac:dyDescent="0.35">
      <c r="B3662" s="203"/>
      <c r="C3662" s="204"/>
      <c r="D3662" s="204"/>
      <c r="E3662" s="204"/>
      <c r="F3662" s="205"/>
      <c r="G3662" s="548"/>
      <c r="H3662" s="550"/>
      <c r="I3662" s="326"/>
      <c r="J3662" s="326"/>
      <c r="K3662" s="326"/>
      <c r="M3662" s="463"/>
      <c r="N3662" s="464"/>
    </row>
    <row r="3663" spans="2:14" hidden="1" outlineLevel="1" x14ac:dyDescent="0.35">
      <c r="B3663" s="203"/>
      <c r="C3663" s="204"/>
      <c r="D3663" s="204"/>
      <c r="E3663" s="204"/>
      <c r="F3663" s="205"/>
      <c r="G3663" s="548"/>
      <c r="H3663" s="550"/>
      <c r="I3663" s="326"/>
      <c r="J3663" s="326"/>
      <c r="K3663" s="326"/>
      <c r="M3663" s="463"/>
      <c r="N3663" s="464"/>
    </row>
    <row r="3664" spans="2:14" hidden="1" outlineLevel="1" x14ac:dyDescent="0.35">
      <c r="B3664" s="203"/>
      <c r="C3664" s="204"/>
      <c r="D3664" s="204"/>
      <c r="E3664" s="204"/>
      <c r="F3664" s="205"/>
      <c r="G3664" s="548"/>
      <c r="H3664" s="550"/>
      <c r="I3664" s="326"/>
      <c r="J3664" s="326"/>
      <c r="K3664" s="326"/>
      <c r="M3664" s="463"/>
      <c r="N3664" s="464"/>
    </row>
    <row r="3665" spans="2:14" hidden="1" outlineLevel="1" x14ac:dyDescent="0.35">
      <c r="B3665" s="203"/>
      <c r="C3665" s="204"/>
      <c r="D3665" s="204"/>
      <c r="E3665" s="204"/>
      <c r="F3665" s="205"/>
      <c r="G3665" s="548"/>
      <c r="H3665" s="550"/>
      <c r="I3665" s="326"/>
      <c r="J3665" s="326"/>
      <c r="K3665" s="326"/>
      <c r="M3665" s="463"/>
      <c r="N3665" s="464"/>
    </row>
    <row r="3666" spans="2:14" hidden="1" outlineLevel="1" x14ac:dyDescent="0.35">
      <c r="B3666" s="203"/>
      <c r="C3666" s="204"/>
      <c r="D3666" s="204"/>
      <c r="E3666" s="204"/>
      <c r="F3666" s="205"/>
      <c r="G3666" s="548"/>
      <c r="H3666" s="550"/>
      <c r="I3666" s="326"/>
      <c r="J3666" s="326"/>
      <c r="K3666" s="326"/>
      <c r="M3666" s="463"/>
      <c r="N3666" s="464"/>
    </row>
    <row r="3667" spans="2:14" hidden="1" outlineLevel="1" x14ac:dyDescent="0.35">
      <c r="B3667" s="203"/>
      <c r="C3667" s="204"/>
      <c r="D3667" s="204"/>
      <c r="E3667" s="204"/>
      <c r="F3667" s="205"/>
      <c r="G3667" s="548"/>
      <c r="H3667" s="550"/>
      <c r="I3667" s="326"/>
      <c r="J3667" s="326"/>
      <c r="K3667" s="326"/>
      <c r="M3667" s="463"/>
      <c r="N3667" s="464"/>
    </row>
    <row r="3668" spans="2:14" hidden="1" outlineLevel="1" x14ac:dyDescent="0.35">
      <c r="B3668" s="203"/>
      <c r="C3668" s="204"/>
      <c r="D3668" s="204"/>
      <c r="E3668" s="204"/>
      <c r="F3668" s="205"/>
      <c r="G3668" s="548"/>
      <c r="H3668" s="550"/>
      <c r="I3668" s="326"/>
      <c r="J3668" s="326"/>
      <c r="K3668" s="326"/>
      <c r="M3668" s="463"/>
      <c r="N3668" s="464"/>
    </row>
    <row r="3669" spans="2:14" hidden="1" outlineLevel="1" x14ac:dyDescent="0.35">
      <c r="B3669" s="203"/>
      <c r="C3669" s="204"/>
      <c r="D3669" s="204"/>
      <c r="E3669" s="204"/>
      <c r="F3669" s="205"/>
      <c r="G3669" s="548"/>
      <c r="H3669" s="550"/>
      <c r="I3669" s="326"/>
      <c r="J3669" s="326"/>
      <c r="K3669" s="326"/>
      <c r="M3669" s="463"/>
      <c r="N3669" s="464"/>
    </row>
    <row r="3670" spans="2:14" hidden="1" outlineLevel="1" x14ac:dyDescent="0.35">
      <c r="B3670" s="203"/>
      <c r="C3670" s="204"/>
      <c r="D3670" s="204"/>
      <c r="E3670" s="204"/>
      <c r="F3670" s="205"/>
      <c r="G3670" s="548"/>
      <c r="H3670" s="550"/>
      <c r="I3670" s="326"/>
      <c r="J3670" s="326"/>
      <c r="K3670" s="326"/>
      <c r="M3670" s="463"/>
      <c r="N3670" s="464"/>
    </row>
    <row r="3671" spans="2:14" hidden="1" outlineLevel="1" x14ac:dyDescent="0.35">
      <c r="B3671" s="203"/>
      <c r="C3671" s="204"/>
      <c r="D3671" s="204"/>
      <c r="E3671" s="204"/>
      <c r="F3671" s="205"/>
      <c r="G3671" s="548"/>
      <c r="H3671" s="550"/>
      <c r="I3671" s="326"/>
      <c r="J3671" s="326"/>
      <c r="K3671" s="326"/>
      <c r="M3671" s="463"/>
      <c r="N3671" s="464"/>
    </row>
    <row r="3672" spans="2:14" hidden="1" outlineLevel="1" x14ac:dyDescent="0.35">
      <c r="B3672" s="203"/>
      <c r="C3672" s="204"/>
      <c r="D3672" s="204"/>
      <c r="E3672" s="204"/>
      <c r="F3672" s="205"/>
      <c r="G3672" s="548"/>
      <c r="H3672" s="550"/>
      <c r="I3672" s="326"/>
      <c r="J3672" s="326"/>
      <c r="K3672" s="326"/>
      <c r="M3672" s="463"/>
      <c r="N3672" s="464"/>
    </row>
    <row r="3673" spans="2:14" hidden="1" outlineLevel="1" x14ac:dyDescent="0.35">
      <c r="B3673" s="203"/>
      <c r="C3673" s="204"/>
      <c r="D3673" s="204"/>
      <c r="E3673" s="204"/>
      <c r="F3673" s="205"/>
      <c r="G3673" s="548"/>
      <c r="H3673" s="550"/>
      <c r="I3673" s="326"/>
      <c r="J3673" s="326"/>
      <c r="K3673" s="326"/>
      <c r="M3673" s="463"/>
      <c r="N3673" s="464"/>
    </row>
    <row r="3674" spans="2:14" hidden="1" outlineLevel="1" x14ac:dyDescent="0.35">
      <c r="B3674" s="203"/>
      <c r="C3674" s="204"/>
      <c r="D3674" s="204"/>
      <c r="E3674" s="204"/>
      <c r="F3674" s="205"/>
      <c r="G3674" s="548"/>
      <c r="H3674" s="550"/>
      <c r="I3674" s="326"/>
      <c r="J3674" s="326"/>
      <c r="K3674" s="326"/>
      <c r="M3674" s="463"/>
      <c r="N3674" s="464"/>
    </row>
    <row r="3675" spans="2:14" hidden="1" outlineLevel="1" x14ac:dyDescent="0.35">
      <c r="B3675" s="203"/>
      <c r="C3675" s="204"/>
      <c r="D3675" s="204"/>
      <c r="E3675" s="204"/>
      <c r="F3675" s="205"/>
      <c r="G3675" s="548"/>
      <c r="H3675" s="550"/>
      <c r="I3675" s="326"/>
      <c r="J3675" s="326"/>
      <c r="K3675" s="326"/>
      <c r="M3675" s="463"/>
      <c r="N3675" s="464"/>
    </row>
    <row r="3676" spans="2:14" hidden="1" outlineLevel="1" x14ac:dyDescent="0.35">
      <c r="B3676" s="203"/>
      <c r="C3676" s="204"/>
      <c r="D3676" s="204"/>
      <c r="E3676" s="204"/>
      <c r="F3676" s="205"/>
      <c r="G3676" s="548"/>
      <c r="H3676" s="550"/>
      <c r="I3676" s="326"/>
      <c r="J3676" s="326"/>
      <c r="K3676" s="326"/>
      <c r="M3676" s="463"/>
      <c r="N3676" s="464"/>
    </row>
    <row r="3677" spans="2:14" hidden="1" outlineLevel="1" x14ac:dyDescent="0.35">
      <c r="B3677" s="203"/>
      <c r="C3677" s="204"/>
      <c r="D3677" s="204"/>
      <c r="E3677" s="204"/>
      <c r="F3677" s="205"/>
      <c r="G3677" s="548"/>
      <c r="H3677" s="550"/>
      <c r="I3677" s="326"/>
      <c r="J3677" s="326"/>
      <c r="K3677" s="326"/>
      <c r="M3677" s="463"/>
      <c r="N3677" s="464"/>
    </row>
    <row r="3678" spans="2:14" hidden="1" outlineLevel="1" x14ac:dyDescent="0.35">
      <c r="B3678" s="203"/>
      <c r="C3678" s="204"/>
      <c r="D3678" s="204"/>
      <c r="E3678" s="204"/>
      <c r="F3678" s="205"/>
      <c r="G3678" s="548"/>
      <c r="H3678" s="550"/>
      <c r="I3678" s="326"/>
      <c r="J3678" s="326"/>
      <c r="K3678" s="326"/>
      <c r="M3678" s="463"/>
      <c r="N3678" s="464"/>
    </row>
    <row r="3679" spans="2:14" hidden="1" outlineLevel="1" x14ac:dyDescent="0.35">
      <c r="B3679" s="203"/>
      <c r="C3679" s="204"/>
      <c r="D3679" s="204"/>
      <c r="E3679" s="204"/>
      <c r="F3679" s="205"/>
      <c r="G3679" s="548"/>
      <c r="H3679" s="550"/>
      <c r="I3679" s="326"/>
      <c r="J3679" s="326"/>
      <c r="K3679" s="326"/>
      <c r="M3679" s="463"/>
      <c r="N3679" s="464"/>
    </row>
    <row r="3680" spans="2:14" hidden="1" outlineLevel="1" x14ac:dyDescent="0.35">
      <c r="B3680" s="203"/>
      <c r="C3680" s="204"/>
      <c r="D3680" s="204"/>
      <c r="E3680" s="204"/>
      <c r="F3680" s="205"/>
      <c r="G3680" s="548"/>
      <c r="H3680" s="550"/>
      <c r="I3680" s="326"/>
      <c r="J3680" s="326"/>
      <c r="K3680" s="326"/>
      <c r="M3680" s="463"/>
      <c r="N3680" s="464"/>
    </row>
    <row r="3681" spans="2:14" hidden="1" outlineLevel="1" x14ac:dyDescent="0.35">
      <c r="B3681" s="203"/>
      <c r="C3681" s="204"/>
      <c r="D3681" s="204"/>
      <c r="E3681" s="204"/>
      <c r="F3681" s="205"/>
      <c r="G3681" s="548"/>
      <c r="H3681" s="550"/>
      <c r="I3681" s="326"/>
      <c r="J3681" s="326"/>
      <c r="K3681" s="326"/>
      <c r="M3681" s="463"/>
      <c r="N3681" s="464"/>
    </row>
    <row r="3682" spans="2:14" hidden="1" outlineLevel="1" x14ac:dyDescent="0.35">
      <c r="B3682" s="200"/>
      <c r="C3682" s="201"/>
      <c r="D3682" s="201"/>
      <c r="E3682" s="201"/>
      <c r="F3682" s="202"/>
      <c r="G3682" s="549"/>
      <c r="H3682" s="549"/>
      <c r="I3682" s="549"/>
      <c r="J3682" s="549"/>
      <c r="K3682" s="549"/>
      <c r="M3682" s="465"/>
      <c r="N3682" s="201"/>
    </row>
    <row r="3683" spans="2:14" hidden="1" outlineLevel="1" x14ac:dyDescent="0.35">
      <c r="B3683" s="200"/>
      <c r="C3683" s="201"/>
      <c r="D3683" s="201"/>
      <c r="E3683" s="201"/>
      <c r="F3683" s="202"/>
      <c r="G3683" s="549"/>
      <c r="H3683" s="549"/>
      <c r="I3683" s="549"/>
      <c r="J3683" s="549"/>
      <c r="K3683" s="549"/>
      <c r="M3683" s="465"/>
      <c r="N3683" s="201"/>
    </row>
    <row r="3684" spans="2:14" hidden="1" outlineLevel="1" x14ac:dyDescent="0.35">
      <c r="B3684" s="200"/>
      <c r="C3684" s="201"/>
      <c r="D3684" s="201"/>
      <c r="E3684" s="201"/>
      <c r="F3684" s="202"/>
      <c r="G3684" s="549"/>
      <c r="H3684" s="549"/>
      <c r="I3684" s="549"/>
      <c r="J3684" s="549"/>
      <c r="K3684" s="549"/>
      <c r="M3684" s="465"/>
      <c r="N3684" s="201"/>
    </row>
    <row r="3685" spans="2:14" hidden="1" outlineLevel="1" x14ac:dyDescent="0.35">
      <c r="B3685" s="200"/>
      <c r="C3685" s="201"/>
      <c r="D3685" s="201"/>
      <c r="E3685" s="201"/>
      <c r="F3685" s="202"/>
      <c r="G3685" s="549"/>
      <c r="H3685" s="549"/>
      <c r="I3685" s="549"/>
      <c r="J3685" s="549"/>
      <c r="K3685" s="549"/>
      <c r="M3685" s="465"/>
      <c r="N3685" s="201"/>
    </row>
    <row r="3686" spans="2:14" hidden="1" outlineLevel="1" x14ac:dyDescent="0.35">
      <c r="B3686" s="200"/>
      <c r="C3686" s="201"/>
      <c r="D3686" s="201"/>
      <c r="E3686" s="201"/>
      <c r="F3686" s="202"/>
      <c r="G3686" s="549"/>
      <c r="H3686" s="549"/>
      <c r="I3686" s="549"/>
      <c r="J3686" s="549"/>
      <c r="K3686" s="549"/>
      <c r="M3686" s="465"/>
      <c r="N3686" s="201"/>
    </row>
    <row r="3687" spans="2:14" hidden="1" outlineLevel="1" x14ac:dyDescent="0.35">
      <c r="B3687" s="200"/>
      <c r="C3687" s="201"/>
      <c r="D3687" s="201"/>
      <c r="E3687" s="201"/>
      <c r="F3687" s="202"/>
      <c r="G3687" s="549"/>
      <c r="H3687" s="549"/>
      <c r="I3687" s="549"/>
      <c r="J3687" s="549"/>
      <c r="K3687" s="549"/>
      <c r="M3687" s="465"/>
      <c r="N3687" s="201"/>
    </row>
    <row r="3688" spans="2:14" hidden="1" outlineLevel="1" x14ac:dyDescent="0.35">
      <c r="B3688" s="200"/>
      <c r="C3688" s="201"/>
      <c r="D3688" s="201"/>
      <c r="E3688" s="201"/>
      <c r="F3688" s="202"/>
      <c r="G3688" s="549"/>
      <c r="H3688" s="549"/>
      <c r="I3688" s="549"/>
      <c r="J3688" s="549"/>
      <c r="K3688" s="549"/>
      <c r="M3688" s="465"/>
      <c r="N3688" s="201"/>
    </row>
    <row r="3689" spans="2:14" hidden="1" outlineLevel="1" x14ac:dyDescent="0.35">
      <c r="B3689" s="200"/>
      <c r="C3689" s="201"/>
      <c r="D3689" s="201"/>
      <c r="E3689" s="201"/>
      <c r="F3689" s="202"/>
      <c r="G3689" s="549"/>
      <c r="H3689" s="549"/>
      <c r="I3689" s="549"/>
      <c r="J3689" s="549"/>
      <c r="K3689" s="549"/>
      <c r="M3689" s="465"/>
      <c r="N3689" s="201"/>
    </row>
    <row r="3690" spans="2:14" hidden="1" outlineLevel="1" x14ac:dyDescent="0.35">
      <c r="B3690" s="200"/>
      <c r="C3690" s="201"/>
      <c r="D3690" s="201"/>
      <c r="E3690" s="201"/>
      <c r="F3690" s="202"/>
      <c r="G3690" s="549"/>
      <c r="H3690" s="549"/>
      <c r="I3690" s="549"/>
      <c r="J3690" s="549"/>
      <c r="K3690" s="549"/>
      <c r="M3690" s="465"/>
      <c r="N3690" s="201"/>
    </row>
    <row r="3691" spans="2:14" hidden="1" outlineLevel="1" x14ac:dyDescent="0.35">
      <c r="B3691" s="200"/>
      <c r="C3691" s="201"/>
      <c r="D3691" s="201"/>
      <c r="E3691" s="201"/>
      <c r="F3691" s="202"/>
      <c r="G3691" s="549"/>
      <c r="H3691" s="549"/>
      <c r="I3691" s="549"/>
      <c r="J3691" s="549"/>
      <c r="K3691" s="549"/>
      <c r="M3691" s="465"/>
      <c r="N3691" s="201"/>
    </row>
    <row r="3692" spans="2:14" hidden="1" outlineLevel="1" x14ac:dyDescent="0.35">
      <c r="B3692" s="200"/>
      <c r="C3692" s="201"/>
      <c r="D3692" s="201"/>
      <c r="E3692" s="201"/>
      <c r="F3692" s="202"/>
      <c r="G3692" s="549"/>
      <c r="H3692" s="549"/>
      <c r="I3692" s="549"/>
      <c r="J3692" s="549"/>
      <c r="K3692" s="549"/>
      <c r="M3692" s="465"/>
      <c r="N3692" s="201"/>
    </row>
    <row r="3693" spans="2:14" hidden="1" outlineLevel="1" x14ac:dyDescent="0.35">
      <c r="B3693" s="200"/>
      <c r="C3693" s="201"/>
      <c r="D3693" s="201"/>
      <c r="E3693" s="201"/>
      <c r="F3693" s="202"/>
      <c r="G3693" s="549"/>
      <c r="H3693" s="549"/>
      <c r="I3693" s="549"/>
      <c r="J3693" s="549"/>
      <c r="K3693" s="549"/>
      <c r="M3693" s="465"/>
      <c r="N3693" s="201"/>
    </row>
    <row r="3694" spans="2:14" hidden="1" outlineLevel="1" x14ac:dyDescent="0.35">
      <c r="B3694" s="200"/>
      <c r="C3694" s="201"/>
      <c r="D3694" s="201"/>
      <c r="E3694" s="201"/>
      <c r="F3694" s="202"/>
      <c r="G3694" s="549"/>
      <c r="H3694" s="549"/>
      <c r="I3694" s="549"/>
      <c r="J3694" s="549"/>
      <c r="K3694" s="549"/>
      <c r="M3694" s="465"/>
      <c r="N3694" s="201"/>
    </row>
    <row r="3695" spans="2:14" hidden="1" outlineLevel="1" x14ac:dyDescent="0.35">
      <c r="B3695" s="200"/>
      <c r="C3695" s="201"/>
      <c r="D3695" s="201"/>
      <c r="E3695" s="201"/>
      <c r="F3695" s="202"/>
      <c r="G3695" s="549"/>
      <c r="H3695" s="549"/>
      <c r="I3695" s="549"/>
      <c r="J3695" s="549"/>
      <c r="K3695" s="549"/>
      <c r="M3695" s="465"/>
      <c r="N3695" s="201"/>
    </row>
    <row r="3696" spans="2:14" hidden="1" outlineLevel="1" x14ac:dyDescent="0.35">
      <c r="B3696" s="200"/>
      <c r="C3696" s="201"/>
      <c r="D3696" s="201"/>
      <c r="E3696" s="201"/>
      <c r="F3696" s="202"/>
      <c r="G3696" s="549"/>
      <c r="H3696" s="549"/>
      <c r="I3696" s="549"/>
      <c r="J3696" s="549"/>
      <c r="K3696" s="549"/>
      <c r="M3696" s="465"/>
      <c r="N3696" s="201"/>
    </row>
    <row r="3697" spans="2:14" hidden="1" outlineLevel="1" x14ac:dyDescent="0.35">
      <c r="B3697" s="200"/>
      <c r="C3697" s="201"/>
      <c r="D3697" s="201"/>
      <c r="E3697" s="201"/>
      <c r="F3697" s="202"/>
      <c r="G3697" s="549"/>
      <c r="H3697" s="549"/>
      <c r="I3697" s="549"/>
      <c r="J3697" s="549"/>
      <c r="K3697" s="549"/>
      <c r="M3697" s="465"/>
      <c r="N3697" s="201"/>
    </row>
    <row r="3698" spans="2:14" hidden="1" outlineLevel="1" x14ac:dyDescent="0.35">
      <c r="B3698" s="200"/>
      <c r="C3698" s="201"/>
      <c r="D3698" s="201"/>
      <c r="E3698" s="201"/>
      <c r="F3698" s="202"/>
      <c r="G3698" s="549"/>
      <c r="H3698" s="549"/>
      <c r="I3698" s="549"/>
      <c r="J3698" s="549"/>
      <c r="K3698" s="549"/>
      <c r="M3698" s="465"/>
      <c r="N3698" s="201"/>
    </row>
    <row r="3699" spans="2:14" hidden="1" outlineLevel="1" x14ac:dyDescent="0.35">
      <c r="B3699" s="200"/>
      <c r="C3699" s="201"/>
      <c r="D3699" s="201"/>
      <c r="E3699" s="201"/>
      <c r="F3699" s="202"/>
      <c r="G3699" s="549"/>
      <c r="H3699" s="549"/>
      <c r="I3699" s="549"/>
      <c r="J3699" s="549"/>
      <c r="K3699" s="549"/>
      <c r="M3699" s="465"/>
      <c r="N3699" s="201"/>
    </row>
    <row r="3700" spans="2:14" hidden="1" outlineLevel="1" x14ac:dyDescent="0.35">
      <c r="B3700" s="200"/>
      <c r="C3700" s="201"/>
      <c r="D3700" s="201"/>
      <c r="E3700" s="201"/>
      <c r="F3700" s="202"/>
      <c r="G3700" s="549"/>
      <c r="H3700" s="549"/>
      <c r="I3700" s="549"/>
      <c r="J3700" s="549"/>
      <c r="K3700" s="549"/>
      <c r="M3700" s="465"/>
      <c r="N3700" s="201"/>
    </row>
    <row r="3701" spans="2:14" hidden="1" outlineLevel="1" x14ac:dyDescent="0.35">
      <c r="B3701" s="200"/>
      <c r="C3701" s="201"/>
      <c r="D3701" s="201"/>
      <c r="E3701" s="201"/>
      <c r="F3701" s="202"/>
      <c r="G3701" s="549"/>
      <c r="H3701" s="549"/>
      <c r="I3701" s="549"/>
      <c r="J3701" s="549"/>
      <c r="K3701" s="549"/>
      <c r="M3701" s="465"/>
      <c r="N3701" s="201"/>
    </row>
    <row r="3702" spans="2:14" hidden="1" outlineLevel="1" x14ac:dyDescent="0.35">
      <c r="B3702" s="200"/>
      <c r="C3702" s="201"/>
      <c r="D3702" s="201"/>
      <c r="E3702" s="201"/>
      <c r="F3702" s="202"/>
      <c r="G3702" s="549"/>
      <c r="H3702" s="549"/>
      <c r="I3702" s="549"/>
      <c r="J3702" s="549"/>
      <c r="K3702" s="549"/>
      <c r="M3702" s="465"/>
      <c r="N3702" s="201"/>
    </row>
    <row r="3703" spans="2:14" hidden="1" outlineLevel="1" x14ac:dyDescent="0.35">
      <c r="B3703" s="200"/>
      <c r="C3703" s="201"/>
      <c r="D3703" s="201"/>
      <c r="E3703" s="201"/>
      <c r="F3703" s="202"/>
      <c r="G3703" s="549"/>
      <c r="H3703" s="549"/>
      <c r="I3703" s="549"/>
      <c r="J3703" s="549"/>
      <c r="K3703" s="549"/>
      <c r="M3703" s="465"/>
      <c r="N3703" s="201"/>
    </row>
    <row r="3704" spans="2:14" hidden="1" outlineLevel="1" x14ac:dyDescent="0.35">
      <c r="B3704" s="200"/>
      <c r="C3704" s="201"/>
      <c r="D3704" s="201"/>
      <c r="E3704" s="201"/>
      <c r="F3704" s="202"/>
      <c r="G3704" s="549"/>
      <c r="H3704" s="549"/>
      <c r="I3704" s="549"/>
      <c r="J3704" s="549"/>
      <c r="K3704" s="549"/>
      <c r="M3704" s="465"/>
      <c r="N3704" s="201"/>
    </row>
    <row r="3705" spans="2:14" hidden="1" outlineLevel="1" x14ac:dyDescent="0.35">
      <c r="B3705" s="200"/>
      <c r="C3705" s="201"/>
      <c r="D3705" s="201"/>
      <c r="E3705" s="201"/>
      <c r="F3705" s="202"/>
      <c r="G3705" s="549"/>
      <c r="H3705" s="549"/>
      <c r="I3705" s="549"/>
      <c r="J3705" s="549"/>
      <c r="K3705" s="549"/>
      <c r="M3705" s="465"/>
      <c r="N3705" s="201"/>
    </row>
    <row r="3706" spans="2:14" hidden="1" outlineLevel="1" x14ac:dyDescent="0.35">
      <c r="B3706" s="200"/>
      <c r="C3706" s="201"/>
      <c r="D3706" s="201"/>
      <c r="E3706" s="201"/>
      <c r="F3706" s="202"/>
      <c r="G3706" s="549"/>
      <c r="H3706" s="549"/>
      <c r="I3706" s="549"/>
      <c r="J3706" s="549"/>
      <c r="K3706" s="549"/>
      <c r="M3706" s="465"/>
      <c r="N3706" s="201"/>
    </row>
    <row r="3707" spans="2:14" hidden="1" outlineLevel="1" x14ac:dyDescent="0.35">
      <c r="B3707" s="200"/>
      <c r="C3707" s="201"/>
      <c r="D3707" s="201"/>
      <c r="E3707" s="201"/>
      <c r="F3707" s="202"/>
      <c r="G3707" s="549"/>
      <c r="H3707" s="549"/>
      <c r="I3707" s="549"/>
      <c r="J3707" s="549"/>
      <c r="K3707" s="549"/>
      <c r="M3707" s="465"/>
      <c r="N3707" s="201"/>
    </row>
    <row r="3708" spans="2:14" hidden="1" outlineLevel="1" x14ac:dyDescent="0.35">
      <c r="B3708" s="200"/>
      <c r="C3708" s="201"/>
      <c r="D3708" s="201"/>
      <c r="E3708" s="201"/>
      <c r="F3708" s="202"/>
      <c r="G3708" s="549"/>
      <c r="H3708" s="549"/>
      <c r="I3708" s="549"/>
      <c r="J3708" s="549"/>
      <c r="K3708" s="549"/>
      <c r="M3708" s="465"/>
      <c r="N3708" s="201"/>
    </row>
    <row r="3709" spans="2:14" hidden="1" outlineLevel="1" x14ac:dyDescent="0.35">
      <c r="B3709" s="200"/>
      <c r="C3709" s="201"/>
      <c r="D3709" s="201"/>
      <c r="E3709" s="201"/>
      <c r="F3709" s="202"/>
      <c r="G3709" s="549"/>
      <c r="H3709" s="549"/>
      <c r="I3709" s="549"/>
      <c r="J3709" s="549"/>
      <c r="K3709" s="549"/>
      <c r="M3709" s="465"/>
      <c r="N3709" s="201"/>
    </row>
    <row r="3710" spans="2:14" hidden="1" outlineLevel="1" x14ac:dyDescent="0.35">
      <c r="B3710" s="200"/>
      <c r="C3710" s="201"/>
      <c r="D3710" s="201"/>
      <c r="E3710" s="201"/>
      <c r="F3710" s="202"/>
      <c r="G3710" s="549"/>
      <c r="H3710" s="549"/>
      <c r="I3710" s="549"/>
      <c r="J3710" s="549"/>
      <c r="K3710" s="549"/>
      <c r="M3710" s="465"/>
      <c r="N3710" s="201"/>
    </row>
    <row r="3711" spans="2:14" hidden="1" outlineLevel="1" x14ac:dyDescent="0.35">
      <c r="B3711" s="200"/>
      <c r="C3711" s="201"/>
      <c r="D3711" s="201"/>
      <c r="E3711" s="201"/>
      <c r="F3711" s="202"/>
      <c r="G3711" s="549"/>
      <c r="H3711" s="549"/>
      <c r="I3711" s="549"/>
      <c r="J3711" s="549"/>
      <c r="K3711" s="549"/>
      <c r="M3711" s="465"/>
      <c r="N3711" s="201"/>
    </row>
    <row r="3712" spans="2:14" hidden="1" outlineLevel="1" x14ac:dyDescent="0.35">
      <c r="B3712" s="200"/>
      <c r="C3712" s="201"/>
      <c r="D3712" s="201"/>
      <c r="E3712" s="201"/>
      <c r="F3712" s="202"/>
      <c r="G3712" s="549"/>
      <c r="H3712" s="549"/>
      <c r="I3712" s="549"/>
      <c r="J3712" s="549"/>
      <c r="K3712" s="549"/>
      <c r="M3712" s="465"/>
      <c r="N3712" s="201"/>
    </row>
    <row r="3713" spans="2:14" hidden="1" outlineLevel="1" x14ac:dyDescent="0.35">
      <c r="B3713" s="200"/>
      <c r="C3713" s="201"/>
      <c r="D3713" s="201"/>
      <c r="E3713" s="201"/>
      <c r="F3713" s="202"/>
      <c r="G3713" s="549"/>
      <c r="H3713" s="549"/>
      <c r="I3713" s="549"/>
      <c r="J3713" s="549"/>
      <c r="K3713" s="549"/>
      <c r="M3713" s="465"/>
      <c r="N3713" s="201"/>
    </row>
    <row r="3714" spans="2:14" hidden="1" outlineLevel="1" x14ac:dyDescent="0.35">
      <c r="B3714" s="200"/>
      <c r="C3714" s="201"/>
      <c r="D3714" s="201"/>
      <c r="E3714" s="201"/>
      <c r="F3714" s="202"/>
      <c r="G3714" s="549"/>
      <c r="H3714" s="549"/>
      <c r="I3714" s="549"/>
      <c r="J3714" s="549"/>
      <c r="K3714" s="549"/>
      <c r="M3714" s="465"/>
      <c r="N3714" s="201"/>
    </row>
    <row r="3715" spans="2:14" hidden="1" outlineLevel="1" x14ac:dyDescent="0.35">
      <c r="B3715" s="200"/>
      <c r="C3715" s="201"/>
      <c r="D3715" s="201"/>
      <c r="E3715" s="201"/>
      <c r="F3715" s="202"/>
      <c r="G3715" s="549"/>
      <c r="H3715" s="549"/>
      <c r="I3715" s="549"/>
      <c r="J3715" s="549"/>
      <c r="K3715" s="549"/>
      <c r="M3715" s="465"/>
      <c r="N3715" s="201"/>
    </row>
    <row r="3716" spans="2:14" hidden="1" outlineLevel="1" x14ac:dyDescent="0.35">
      <c r="B3716" s="200"/>
      <c r="C3716" s="201"/>
      <c r="D3716" s="201"/>
      <c r="E3716" s="201"/>
      <c r="F3716" s="202"/>
      <c r="G3716" s="549"/>
      <c r="H3716" s="549"/>
      <c r="I3716" s="549"/>
      <c r="J3716" s="549"/>
      <c r="K3716" s="549"/>
      <c r="M3716" s="465"/>
      <c r="N3716" s="201"/>
    </row>
    <row r="3717" spans="2:14" hidden="1" outlineLevel="1" x14ac:dyDescent="0.35">
      <c r="B3717" s="200"/>
      <c r="C3717" s="201"/>
      <c r="D3717" s="201"/>
      <c r="E3717" s="201"/>
      <c r="F3717" s="202"/>
      <c r="G3717" s="549"/>
      <c r="H3717" s="549"/>
      <c r="I3717" s="549"/>
      <c r="J3717" s="549"/>
      <c r="K3717" s="549"/>
      <c r="M3717" s="465"/>
      <c r="N3717" s="201"/>
    </row>
    <row r="3718" spans="2:14" hidden="1" outlineLevel="1" x14ac:dyDescent="0.35">
      <c r="B3718" s="200"/>
      <c r="C3718" s="201"/>
      <c r="D3718" s="201"/>
      <c r="E3718" s="201"/>
      <c r="F3718" s="202"/>
      <c r="G3718" s="549"/>
      <c r="H3718" s="549"/>
      <c r="I3718" s="549"/>
      <c r="J3718" s="549"/>
      <c r="K3718" s="549"/>
      <c r="M3718" s="465"/>
      <c r="N3718" s="201"/>
    </row>
    <row r="3719" spans="2:14" hidden="1" outlineLevel="1" x14ac:dyDescent="0.35">
      <c r="B3719" s="200"/>
      <c r="C3719" s="201"/>
      <c r="D3719" s="201"/>
      <c r="E3719" s="201"/>
      <c r="F3719" s="202"/>
      <c r="G3719" s="549"/>
      <c r="H3719" s="549"/>
      <c r="I3719" s="549"/>
      <c r="J3719" s="549"/>
      <c r="K3719" s="549"/>
      <c r="M3719" s="465"/>
      <c r="N3719" s="201"/>
    </row>
    <row r="3720" spans="2:14" hidden="1" outlineLevel="1" x14ac:dyDescent="0.35">
      <c r="B3720" s="200"/>
      <c r="C3720" s="201"/>
      <c r="D3720" s="201"/>
      <c r="E3720" s="201"/>
      <c r="F3720" s="202"/>
      <c r="G3720" s="549"/>
      <c r="H3720" s="549"/>
      <c r="I3720" s="549"/>
      <c r="J3720" s="549"/>
      <c r="K3720" s="549"/>
      <c r="M3720" s="465"/>
      <c r="N3720" s="201"/>
    </row>
    <row r="3721" spans="2:14" hidden="1" outlineLevel="1" x14ac:dyDescent="0.35">
      <c r="B3721" s="200"/>
      <c r="C3721" s="201"/>
      <c r="D3721" s="201"/>
      <c r="E3721" s="201"/>
      <c r="F3721" s="202"/>
      <c r="G3721" s="549"/>
      <c r="H3721" s="549"/>
      <c r="I3721" s="549"/>
      <c r="J3721" s="549"/>
      <c r="K3721" s="549"/>
      <c r="M3721" s="465"/>
      <c r="N3721" s="201"/>
    </row>
    <row r="3722" spans="2:14" hidden="1" outlineLevel="1" x14ac:dyDescent="0.35">
      <c r="B3722" s="200"/>
      <c r="C3722" s="201"/>
      <c r="D3722" s="201"/>
      <c r="E3722" s="201"/>
      <c r="F3722" s="202"/>
      <c r="G3722" s="549"/>
      <c r="H3722" s="549"/>
      <c r="I3722" s="549"/>
      <c r="J3722" s="549"/>
      <c r="K3722" s="549"/>
      <c r="M3722" s="465"/>
      <c r="N3722" s="201"/>
    </row>
    <row r="3723" spans="2:14" hidden="1" outlineLevel="1" x14ac:dyDescent="0.35">
      <c r="B3723" s="200"/>
      <c r="C3723" s="201"/>
      <c r="D3723" s="201"/>
      <c r="E3723" s="201"/>
      <c r="F3723" s="202"/>
      <c r="G3723" s="549"/>
      <c r="H3723" s="549"/>
      <c r="I3723" s="549"/>
      <c r="J3723" s="549"/>
      <c r="K3723" s="549"/>
      <c r="M3723" s="465"/>
      <c r="N3723" s="201"/>
    </row>
    <row r="3724" spans="2:14" hidden="1" outlineLevel="1" x14ac:dyDescent="0.35">
      <c r="B3724" s="200"/>
      <c r="C3724" s="201"/>
      <c r="D3724" s="201"/>
      <c r="E3724" s="201"/>
      <c r="F3724" s="202"/>
      <c r="G3724" s="549"/>
      <c r="H3724" s="549"/>
      <c r="I3724" s="549"/>
      <c r="J3724" s="549"/>
      <c r="K3724" s="549"/>
      <c r="M3724" s="465"/>
      <c r="N3724" s="201"/>
    </row>
    <row r="3725" spans="2:14" hidden="1" outlineLevel="1" x14ac:dyDescent="0.35">
      <c r="B3725" s="200"/>
      <c r="C3725" s="201"/>
      <c r="D3725" s="201"/>
      <c r="E3725" s="201"/>
      <c r="F3725" s="202"/>
      <c r="G3725" s="549"/>
      <c r="H3725" s="549"/>
      <c r="I3725" s="549"/>
      <c r="J3725" s="549"/>
      <c r="K3725" s="549"/>
      <c r="M3725" s="465"/>
      <c r="N3725" s="201"/>
    </row>
    <row r="3726" spans="2:14" hidden="1" outlineLevel="1" x14ac:dyDescent="0.35">
      <c r="B3726" s="200"/>
      <c r="C3726" s="201"/>
      <c r="D3726" s="201"/>
      <c r="E3726" s="201"/>
      <c r="F3726" s="202"/>
      <c r="G3726" s="549"/>
      <c r="H3726" s="549"/>
      <c r="I3726" s="549"/>
      <c r="J3726" s="549"/>
      <c r="K3726" s="549"/>
      <c r="M3726" s="465"/>
      <c r="N3726" s="201"/>
    </row>
    <row r="3727" spans="2:14" hidden="1" outlineLevel="1" x14ac:dyDescent="0.35">
      <c r="B3727" s="200"/>
      <c r="C3727" s="201"/>
      <c r="D3727" s="201"/>
      <c r="E3727" s="201"/>
      <c r="F3727" s="202"/>
      <c r="G3727" s="549"/>
      <c r="H3727" s="549"/>
      <c r="I3727" s="549"/>
      <c r="J3727" s="549"/>
      <c r="K3727" s="549"/>
      <c r="M3727" s="465"/>
      <c r="N3727" s="201"/>
    </row>
    <row r="3728" spans="2:14" hidden="1" outlineLevel="1" x14ac:dyDescent="0.35">
      <c r="B3728" s="200"/>
      <c r="C3728" s="201"/>
      <c r="D3728" s="201"/>
      <c r="E3728" s="201"/>
      <c r="F3728" s="202"/>
      <c r="G3728" s="549"/>
      <c r="H3728" s="549"/>
      <c r="I3728" s="549"/>
      <c r="J3728" s="549"/>
      <c r="K3728" s="549"/>
      <c r="M3728" s="465"/>
      <c r="N3728" s="201"/>
    </row>
    <row r="3729" spans="2:14" hidden="1" outlineLevel="1" x14ac:dyDescent="0.35">
      <c r="B3729" s="200"/>
      <c r="C3729" s="201"/>
      <c r="D3729" s="201"/>
      <c r="E3729" s="201"/>
      <c r="F3729" s="202"/>
      <c r="G3729" s="549"/>
      <c r="H3729" s="549"/>
      <c r="I3729" s="549"/>
      <c r="J3729" s="549"/>
      <c r="K3729" s="549"/>
      <c r="M3729" s="465"/>
      <c r="N3729" s="201"/>
    </row>
    <row r="3730" spans="2:14" hidden="1" outlineLevel="1" x14ac:dyDescent="0.35">
      <c r="B3730" s="200"/>
      <c r="C3730" s="201"/>
      <c r="D3730" s="201"/>
      <c r="E3730" s="201"/>
      <c r="F3730" s="202"/>
      <c r="G3730" s="549"/>
      <c r="H3730" s="549"/>
      <c r="I3730" s="549"/>
      <c r="J3730" s="549"/>
      <c r="K3730" s="549"/>
      <c r="M3730" s="465"/>
      <c r="N3730" s="201"/>
    </row>
    <row r="3731" spans="2:14" hidden="1" outlineLevel="1" x14ac:dyDescent="0.35">
      <c r="B3731" s="200"/>
      <c r="C3731" s="201"/>
      <c r="D3731" s="201"/>
      <c r="E3731" s="201"/>
      <c r="F3731" s="202"/>
      <c r="G3731" s="549"/>
      <c r="H3731" s="549"/>
      <c r="I3731" s="549"/>
      <c r="J3731" s="549"/>
      <c r="K3731" s="549"/>
      <c r="M3731" s="465"/>
      <c r="N3731" s="201"/>
    </row>
    <row r="3732" spans="2:14" hidden="1" outlineLevel="1" x14ac:dyDescent="0.35">
      <c r="B3732" s="200"/>
      <c r="C3732" s="201"/>
      <c r="D3732" s="201"/>
      <c r="E3732" s="201"/>
      <c r="F3732" s="202"/>
      <c r="G3732" s="549"/>
      <c r="H3732" s="549"/>
      <c r="I3732" s="549"/>
      <c r="J3732" s="549"/>
      <c r="K3732" s="549"/>
      <c r="M3732" s="465"/>
      <c r="N3732" s="201"/>
    </row>
    <row r="3733" spans="2:14" hidden="1" outlineLevel="1" x14ac:dyDescent="0.35">
      <c r="B3733" s="200"/>
      <c r="C3733" s="201"/>
      <c r="D3733" s="201"/>
      <c r="E3733" s="201"/>
      <c r="F3733" s="202"/>
      <c r="G3733" s="549"/>
      <c r="H3733" s="549"/>
      <c r="I3733" s="549"/>
      <c r="J3733" s="549"/>
      <c r="K3733" s="549"/>
      <c r="M3733" s="465"/>
      <c r="N3733" s="201"/>
    </row>
    <row r="3734" spans="2:14" hidden="1" outlineLevel="1" x14ac:dyDescent="0.35">
      <c r="B3734" s="200"/>
      <c r="C3734" s="201"/>
      <c r="D3734" s="201"/>
      <c r="E3734" s="201"/>
      <c r="F3734" s="202"/>
      <c r="G3734" s="549"/>
      <c r="H3734" s="549"/>
      <c r="I3734" s="549"/>
      <c r="J3734" s="549"/>
      <c r="K3734" s="549"/>
      <c r="M3734" s="465"/>
      <c r="N3734" s="201"/>
    </row>
    <row r="3735" spans="2:14" hidden="1" outlineLevel="1" x14ac:dyDescent="0.35">
      <c r="B3735" s="200"/>
      <c r="C3735" s="201"/>
      <c r="D3735" s="201"/>
      <c r="E3735" s="201"/>
      <c r="F3735" s="202"/>
      <c r="G3735" s="549"/>
      <c r="H3735" s="549"/>
      <c r="I3735" s="549"/>
      <c r="J3735" s="549"/>
      <c r="K3735" s="549"/>
      <c r="M3735" s="465"/>
      <c r="N3735" s="201"/>
    </row>
    <row r="3736" spans="2:14" hidden="1" outlineLevel="1" x14ac:dyDescent="0.35">
      <c r="B3736" s="200"/>
      <c r="C3736" s="201"/>
      <c r="D3736" s="201"/>
      <c r="E3736" s="201"/>
      <c r="F3736" s="202"/>
      <c r="G3736" s="549"/>
      <c r="H3736" s="549"/>
      <c r="I3736" s="549"/>
      <c r="J3736" s="549"/>
      <c r="K3736" s="549"/>
      <c r="M3736" s="465"/>
      <c r="N3736" s="201"/>
    </row>
    <row r="3737" spans="2:14" hidden="1" outlineLevel="1" x14ac:dyDescent="0.35">
      <c r="B3737" s="200"/>
      <c r="C3737" s="201"/>
      <c r="D3737" s="201"/>
      <c r="E3737" s="201"/>
      <c r="F3737" s="202"/>
      <c r="G3737" s="549"/>
      <c r="H3737" s="549"/>
      <c r="I3737" s="549"/>
      <c r="J3737" s="549"/>
      <c r="K3737" s="549"/>
      <c r="M3737" s="465"/>
      <c r="N3737" s="201"/>
    </row>
    <row r="3738" spans="2:14" hidden="1" outlineLevel="1" x14ac:dyDescent="0.35">
      <c r="B3738" s="200"/>
      <c r="C3738" s="201"/>
      <c r="D3738" s="201"/>
      <c r="E3738" s="201"/>
      <c r="F3738" s="202"/>
      <c r="G3738" s="549"/>
      <c r="H3738" s="549"/>
      <c r="I3738" s="549"/>
      <c r="J3738" s="549"/>
      <c r="K3738" s="549"/>
      <c r="M3738" s="465"/>
      <c r="N3738" s="201"/>
    </row>
    <row r="3739" spans="2:14" hidden="1" outlineLevel="1" x14ac:dyDescent="0.35">
      <c r="B3739" s="200"/>
      <c r="C3739" s="201"/>
      <c r="D3739" s="201"/>
      <c r="E3739" s="201"/>
      <c r="F3739" s="202"/>
      <c r="G3739" s="549"/>
      <c r="H3739" s="549"/>
      <c r="I3739" s="549"/>
      <c r="J3739" s="549"/>
      <c r="K3739" s="549"/>
      <c r="M3739" s="465"/>
      <c r="N3739" s="201"/>
    </row>
    <row r="3740" spans="2:14" hidden="1" outlineLevel="1" x14ac:dyDescent="0.35">
      <c r="B3740" s="200"/>
      <c r="C3740" s="201"/>
      <c r="D3740" s="201"/>
      <c r="E3740" s="201"/>
      <c r="F3740" s="202"/>
      <c r="G3740" s="549"/>
      <c r="H3740" s="549"/>
      <c r="I3740" s="549"/>
      <c r="J3740" s="549"/>
      <c r="K3740" s="549"/>
      <c r="M3740" s="465"/>
      <c r="N3740" s="201"/>
    </row>
    <row r="3741" spans="2:14" hidden="1" outlineLevel="1" x14ac:dyDescent="0.35">
      <c r="B3741" s="200"/>
      <c r="C3741" s="201"/>
      <c r="D3741" s="201"/>
      <c r="E3741" s="201"/>
      <c r="F3741" s="202"/>
      <c r="G3741" s="549"/>
      <c r="H3741" s="549"/>
      <c r="I3741" s="549"/>
      <c r="J3741" s="549"/>
      <c r="K3741" s="549"/>
      <c r="M3741" s="465"/>
      <c r="N3741" s="201"/>
    </row>
    <row r="3742" spans="2:14" hidden="1" outlineLevel="1" x14ac:dyDescent="0.35">
      <c r="B3742" s="200"/>
      <c r="C3742" s="201"/>
      <c r="D3742" s="201"/>
      <c r="E3742" s="201"/>
      <c r="F3742" s="202"/>
      <c r="G3742" s="549"/>
      <c r="H3742" s="549"/>
      <c r="I3742" s="549"/>
      <c r="J3742" s="549"/>
      <c r="K3742" s="549"/>
      <c r="M3742" s="465"/>
      <c r="N3742" s="201"/>
    </row>
    <row r="3743" spans="2:14" hidden="1" outlineLevel="1" x14ac:dyDescent="0.35">
      <c r="B3743" s="200"/>
      <c r="C3743" s="201"/>
      <c r="D3743" s="201"/>
      <c r="E3743" s="201"/>
      <c r="F3743" s="202"/>
      <c r="G3743" s="549"/>
      <c r="H3743" s="549"/>
      <c r="I3743" s="549"/>
      <c r="J3743" s="549"/>
      <c r="K3743" s="549"/>
      <c r="M3743" s="465"/>
      <c r="N3743" s="201"/>
    </row>
    <row r="3744" spans="2:14" hidden="1" outlineLevel="1" x14ac:dyDescent="0.35">
      <c r="B3744" s="200"/>
      <c r="C3744" s="201"/>
      <c r="D3744" s="201"/>
      <c r="E3744" s="201"/>
      <c r="F3744" s="202"/>
      <c r="G3744" s="549"/>
      <c r="H3744" s="549"/>
      <c r="I3744" s="549"/>
      <c r="J3744" s="549"/>
      <c r="K3744" s="549"/>
      <c r="M3744" s="465"/>
      <c r="N3744" s="201"/>
    </row>
    <row r="3745" spans="2:14" hidden="1" outlineLevel="1" x14ac:dyDescent="0.35">
      <c r="B3745" s="200"/>
      <c r="C3745" s="201"/>
      <c r="D3745" s="201"/>
      <c r="E3745" s="201"/>
      <c r="F3745" s="202"/>
      <c r="G3745" s="549"/>
      <c r="H3745" s="549"/>
      <c r="I3745" s="549"/>
      <c r="J3745" s="549"/>
      <c r="K3745" s="549"/>
      <c r="M3745" s="465"/>
      <c r="N3745" s="201"/>
    </row>
    <row r="3746" spans="2:14" hidden="1" outlineLevel="1" x14ac:dyDescent="0.35">
      <c r="B3746" s="200"/>
      <c r="C3746" s="201"/>
      <c r="D3746" s="201"/>
      <c r="E3746" s="201"/>
      <c r="F3746" s="202"/>
      <c r="G3746" s="549"/>
      <c r="H3746" s="549"/>
      <c r="I3746" s="549"/>
      <c r="J3746" s="549"/>
      <c r="K3746" s="549"/>
      <c r="M3746" s="465"/>
      <c r="N3746" s="201"/>
    </row>
    <row r="3747" spans="2:14" hidden="1" outlineLevel="1" x14ac:dyDescent="0.35">
      <c r="B3747" s="200"/>
      <c r="C3747" s="201"/>
      <c r="D3747" s="201"/>
      <c r="E3747" s="201"/>
      <c r="F3747" s="202"/>
      <c r="G3747" s="549"/>
      <c r="H3747" s="549"/>
      <c r="I3747" s="549"/>
      <c r="J3747" s="549"/>
      <c r="K3747" s="549"/>
      <c r="M3747" s="465"/>
      <c r="N3747" s="201"/>
    </row>
    <row r="3748" spans="2:14" hidden="1" outlineLevel="1" x14ac:dyDescent="0.35">
      <c r="B3748" s="200"/>
      <c r="C3748" s="201"/>
      <c r="D3748" s="201"/>
      <c r="E3748" s="201"/>
      <c r="F3748" s="202"/>
      <c r="G3748" s="549"/>
      <c r="H3748" s="549"/>
      <c r="I3748" s="549"/>
      <c r="J3748" s="549"/>
      <c r="K3748" s="549"/>
      <c r="M3748" s="465"/>
      <c r="N3748" s="201"/>
    </row>
    <row r="3749" spans="2:14" hidden="1" outlineLevel="1" x14ac:dyDescent="0.35">
      <c r="B3749" s="200"/>
      <c r="C3749" s="201"/>
      <c r="D3749" s="201"/>
      <c r="E3749" s="201"/>
      <c r="F3749" s="202"/>
      <c r="G3749" s="549"/>
      <c r="H3749" s="549"/>
      <c r="I3749" s="549"/>
      <c r="J3749" s="549"/>
      <c r="K3749" s="549"/>
      <c r="M3749" s="465"/>
      <c r="N3749" s="201"/>
    </row>
    <row r="3750" spans="2:14" hidden="1" outlineLevel="1" x14ac:dyDescent="0.35">
      <c r="B3750" s="200"/>
      <c r="C3750" s="201"/>
      <c r="D3750" s="201"/>
      <c r="E3750" s="201"/>
      <c r="F3750" s="202"/>
      <c r="G3750" s="549"/>
      <c r="H3750" s="549"/>
      <c r="I3750" s="549"/>
      <c r="J3750" s="549"/>
      <c r="K3750" s="549"/>
      <c r="M3750" s="465"/>
      <c r="N3750" s="201"/>
    </row>
    <row r="3751" spans="2:14" hidden="1" outlineLevel="1" x14ac:dyDescent="0.35">
      <c r="B3751" s="200"/>
      <c r="C3751" s="201"/>
      <c r="D3751" s="201"/>
      <c r="E3751" s="201"/>
      <c r="F3751" s="202"/>
      <c r="G3751" s="549"/>
      <c r="H3751" s="549"/>
      <c r="I3751" s="549"/>
      <c r="J3751" s="549"/>
      <c r="K3751" s="549"/>
      <c r="M3751" s="465"/>
      <c r="N3751" s="201"/>
    </row>
    <row r="3752" spans="2:14" hidden="1" outlineLevel="1" x14ac:dyDescent="0.35">
      <c r="B3752" s="200"/>
      <c r="C3752" s="201"/>
      <c r="D3752" s="201"/>
      <c r="E3752" s="201"/>
      <c r="F3752" s="202"/>
      <c r="G3752" s="549"/>
      <c r="H3752" s="549"/>
      <c r="I3752" s="549"/>
      <c r="J3752" s="549"/>
      <c r="K3752" s="549"/>
      <c r="M3752" s="465"/>
      <c r="N3752" s="201"/>
    </row>
    <row r="3753" spans="2:14" hidden="1" outlineLevel="1" x14ac:dyDescent="0.35">
      <c r="B3753" s="200"/>
      <c r="C3753" s="201"/>
      <c r="D3753" s="201"/>
      <c r="E3753" s="201"/>
      <c r="F3753" s="202"/>
      <c r="G3753" s="549"/>
      <c r="H3753" s="549"/>
      <c r="I3753" s="549"/>
      <c r="J3753" s="549"/>
      <c r="K3753" s="549"/>
      <c r="M3753" s="465"/>
      <c r="N3753" s="201"/>
    </row>
    <row r="3754" spans="2:14" hidden="1" outlineLevel="1" x14ac:dyDescent="0.35">
      <c r="B3754" s="200"/>
      <c r="C3754" s="201"/>
      <c r="D3754" s="201"/>
      <c r="E3754" s="201"/>
      <c r="F3754" s="202"/>
      <c r="G3754" s="549"/>
      <c r="H3754" s="549"/>
      <c r="I3754" s="549"/>
      <c r="J3754" s="549"/>
      <c r="K3754" s="549"/>
      <c r="M3754" s="465"/>
      <c r="N3754" s="201"/>
    </row>
    <row r="3755" spans="2:14" hidden="1" outlineLevel="1" x14ac:dyDescent="0.35">
      <c r="B3755" s="200"/>
      <c r="C3755" s="201"/>
      <c r="D3755" s="201"/>
      <c r="E3755" s="201"/>
      <c r="F3755" s="202"/>
      <c r="G3755" s="549"/>
      <c r="H3755" s="549"/>
      <c r="I3755" s="549"/>
      <c r="J3755" s="549"/>
      <c r="K3755" s="549"/>
      <c r="M3755" s="465"/>
      <c r="N3755" s="201"/>
    </row>
    <row r="3756" spans="2:14" hidden="1" outlineLevel="1" x14ac:dyDescent="0.35">
      <c r="B3756" s="200"/>
      <c r="C3756" s="201"/>
      <c r="D3756" s="201"/>
      <c r="E3756" s="201"/>
      <c r="F3756" s="202"/>
      <c r="G3756" s="549"/>
      <c r="H3756" s="549"/>
      <c r="I3756" s="549"/>
      <c r="J3756" s="549"/>
      <c r="K3756" s="549"/>
      <c r="M3756" s="465"/>
      <c r="N3756" s="201"/>
    </row>
    <row r="3757" spans="2:14" hidden="1" outlineLevel="1" x14ac:dyDescent="0.35">
      <c r="B3757" s="200"/>
      <c r="C3757" s="201"/>
      <c r="D3757" s="201"/>
      <c r="E3757" s="201"/>
      <c r="F3757" s="202"/>
      <c r="G3757" s="549"/>
      <c r="H3757" s="549"/>
      <c r="I3757" s="549"/>
      <c r="J3757" s="549"/>
      <c r="K3757" s="549"/>
      <c r="M3757" s="465"/>
      <c r="N3757" s="201"/>
    </row>
    <row r="3758" spans="2:14" hidden="1" outlineLevel="1" x14ac:dyDescent="0.35">
      <c r="B3758" s="200"/>
      <c r="C3758" s="201"/>
      <c r="D3758" s="201"/>
      <c r="E3758" s="201"/>
      <c r="F3758" s="202"/>
      <c r="G3758" s="549"/>
      <c r="H3758" s="549"/>
      <c r="I3758" s="549"/>
      <c r="J3758" s="549"/>
      <c r="K3758" s="549"/>
      <c r="M3758" s="465"/>
      <c r="N3758" s="201"/>
    </row>
    <row r="3759" spans="2:14" hidden="1" outlineLevel="1" x14ac:dyDescent="0.35">
      <c r="B3759" s="200"/>
      <c r="C3759" s="201"/>
      <c r="D3759" s="201"/>
      <c r="E3759" s="201"/>
      <c r="F3759" s="202"/>
      <c r="G3759" s="549"/>
      <c r="H3759" s="549"/>
      <c r="I3759" s="549"/>
      <c r="J3759" s="549"/>
      <c r="K3759" s="549"/>
      <c r="M3759" s="465"/>
      <c r="N3759" s="201"/>
    </row>
    <row r="3760" spans="2:14" hidden="1" outlineLevel="1" x14ac:dyDescent="0.35">
      <c r="B3760" s="200"/>
      <c r="C3760" s="201"/>
      <c r="D3760" s="201"/>
      <c r="E3760" s="201"/>
      <c r="F3760" s="202"/>
      <c r="G3760" s="549"/>
      <c r="H3760" s="549"/>
      <c r="I3760" s="549"/>
      <c r="J3760" s="549"/>
      <c r="K3760" s="549"/>
      <c r="M3760" s="465"/>
      <c r="N3760" s="201"/>
    </row>
    <row r="3761" spans="2:14" hidden="1" outlineLevel="1" x14ac:dyDescent="0.35">
      <c r="B3761" s="200"/>
      <c r="C3761" s="201"/>
      <c r="D3761" s="201"/>
      <c r="E3761" s="201"/>
      <c r="F3761" s="202"/>
      <c r="G3761" s="549"/>
      <c r="H3761" s="549"/>
      <c r="I3761" s="549"/>
      <c r="J3761" s="549"/>
      <c r="K3761" s="549"/>
      <c r="M3761" s="465"/>
      <c r="N3761" s="201"/>
    </row>
    <row r="3762" spans="2:14" hidden="1" outlineLevel="1" x14ac:dyDescent="0.35">
      <c r="B3762" s="200"/>
      <c r="C3762" s="201"/>
      <c r="D3762" s="201"/>
      <c r="E3762" s="201"/>
      <c r="F3762" s="202"/>
      <c r="G3762" s="549"/>
      <c r="H3762" s="549"/>
      <c r="I3762" s="549"/>
      <c r="J3762" s="549"/>
      <c r="K3762" s="549"/>
      <c r="M3762" s="465"/>
      <c r="N3762" s="201"/>
    </row>
    <row r="3763" spans="2:14" hidden="1" outlineLevel="1" x14ac:dyDescent="0.35">
      <c r="B3763" s="200"/>
      <c r="C3763" s="201"/>
      <c r="D3763" s="201"/>
      <c r="E3763" s="201"/>
      <c r="F3763" s="202"/>
      <c r="G3763" s="549"/>
      <c r="H3763" s="549"/>
      <c r="I3763" s="549"/>
      <c r="J3763" s="549"/>
      <c r="K3763" s="549"/>
      <c r="M3763" s="465"/>
      <c r="N3763" s="201"/>
    </row>
    <row r="3764" spans="2:14" hidden="1" outlineLevel="1" x14ac:dyDescent="0.35">
      <c r="B3764" s="200"/>
      <c r="C3764" s="201"/>
      <c r="D3764" s="201"/>
      <c r="E3764" s="201"/>
      <c r="F3764" s="202"/>
      <c r="G3764" s="549"/>
      <c r="H3764" s="549"/>
      <c r="I3764" s="549"/>
      <c r="J3764" s="549"/>
      <c r="K3764" s="549"/>
      <c r="M3764" s="465"/>
      <c r="N3764" s="201"/>
    </row>
    <row r="3765" spans="2:14" hidden="1" outlineLevel="1" x14ac:dyDescent="0.35">
      <c r="B3765" s="200"/>
      <c r="C3765" s="201"/>
      <c r="D3765" s="201"/>
      <c r="E3765" s="201"/>
      <c r="F3765" s="202"/>
      <c r="G3765" s="549"/>
      <c r="H3765" s="549"/>
      <c r="I3765" s="549"/>
      <c r="J3765" s="549"/>
      <c r="K3765" s="549"/>
      <c r="M3765" s="465"/>
      <c r="N3765" s="201"/>
    </row>
    <row r="3766" spans="2:14" hidden="1" outlineLevel="1" x14ac:dyDescent="0.35">
      <c r="B3766" s="200"/>
      <c r="C3766" s="201"/>
      <c r="D3766" s="201"/>
      <c r="E3766" s="201"/>
      <c r="F3766" s="202"/>
      <c r="G3766" s="549"/>
      <c r="H3766" s="549"/>
      <c r="I3766" s="549"/>
      <c r="J3766" s="549"/>
      <c r="K3766" s="549"/>
      <c r="M3766" s="465"/>
      <c r="N3766" s="201"/>
    </row>
    <row r="3767" spans="2:14" hidden="1" outlineLevel="1" x14ac:dyDescent="0.35">
      <c r="B3767" s="200"/>
      <c r="C3767" s="201"/>
      <c r="D3767" s="201"/>
      <c r="E3767" s="201"/>
      <c r="F3767" s="202"/>
      <c r="G3767" s="549"/>
      <c r="H3767" s="549"/>
      <c r="I3767" s="549"/>
      <c r="J3767" s="549"/>
      <c r="K3767" s="549"/>
      <c r="M3767" s="465"/>
      <c r="N3767" s="201"/>
    </row>
    <row r="3768" spans="2:14" hidden="1" outlineLevel="1" x14ac:dyDescent="0.35">
      <c r="B3768" s="200"/>
      <c r="C3768" s="201"/>
      <c r="D3768" s="201"/>
      <c r="E3768" s="201"/>
      <c r="F3768" s="202"/>
      <c r="G3768" s="549"/>
      <c r="H3768" s="549"/>
      <c r="I3768" s="549"/>
      <c r="J3768" s="549"/>
      <c r="K3768" s="549"/>
      <c r="M3768" s="465"/>
      <c r="N3768" s="201"/>
    </row>
    <row r="3769" spans="2:14" hidden="1" outlineLevel="1" x14ac:dyDescent="0.35">
      <c r="B3769" s="200"/>
      <c r="C3769" s="201"/>
      <c r="D3769" s="201"/>
      <c r="E3769" s="201"/>
      <c r="F3769" s="202"/>
      <c r="G3769" s="549"/>
      <c r="H3769" s="549"/>
      <c r="I3769" s="549"/>
      <c r="J3769" s="549"/>
      <c r="K3769" s="549"/>
      <c r="M3769" s="465"/>
      <c r="N3769" s="201"/>
    </row>
    <row r="3770" spans="2:14" hidden="1" outlineLevel="1" x14ac:dyDescent="0.35">
      <c r="B3770" s="200"/>
      <c r="C3770" s="201"/>
      <c r="D3770" s="201"/>
      <c r="E3770" s="201"/>
      <c r="F3770" s="202"/>
      <c r="G3770" s="549"/>
      <c r="H3770" s="549"/>
      <c r="I3770" s="549"/>
      <c r="J3770" s="549"/>
      <c r="K3770" s="549"/>
      <c r="M3770" s="465"/>
      <c r="N3770" s="201"/>
    </row>
    <row r="3771" spans="2:14" hidden="1" outlineLevel="1" x14ac:dyDescent="0.35">
      <c r="B3771" s="200"/>
      <c r="C3771" s="201"/>
      <c r="D3771" s="201"/>
      <c r="E3771" s="201"/>
      <c r="F3771" s="202"/>
      <c r="G3771" s="549"/>
      <c r="H3771" s="549"/>
      <c r="I3771" s="549"/>
      <c r="J3771" s="549"/>
      <c r="K3771" s="549"/>
      <c r="M3771" s="465"/>
      <c r="N3771" s="201"/>
    </row>
    <row r="3772" spans="2:14" hidden="1" outlineLevel="1" x14ac:dyDescent="0.35">
      <c r="B3772" s="200"/>
      <c r="C3772" s="201"/>
      <c r="D3772" s="201"/>
      <c r="E3772" s="201"/>
      <c r="F3772" s="202"/>
      <c r="G3772" s="549"/>
      <c r="H3772" s="549"/>
      <c r="I3772" s="549"/>
      <c r="J3772" s="549"/>
      <c r="K3772" s="549"/>
      <c r="M3772" s="465"/>
      <c r="N3772" s="201"/>
    </row>
    <row r="3773" spans="2:14" hidden="1" outlineLevel="1" x14ac:dyDescent="0.35">
      <c r="B3773" s="200"/>
      <c r="C3773" s="201"/>
      <c r="D3773" s="201"/>
      <c r="E3773" s="201"/>
      <c r="F3773" s="202"/>
      <c r="G3773" s="549"/>
      <c r="H3773" s="549"/>
      <c r="I3773" s="549"/>
      <c r="J3773" s="549"/>
      <c r="K3773" s="549"/>
      <c r="M3773" s="465"/>
      <c r="N3773" s="201"/>
    </row>
    <row r="3774" spans="2:14" hidden="1" outlineLevel="1" x14ac:dyDescent="0.35">
      <c r="B3774" s="200"/>
      <c r="C3774" s="201"/>
      <c r="D3774" s="201"/>
      <c r="E3774" s="201"/>
      <c r="F3774" s="202"/>
      <c r="G3774" s="549"/>
      <c r="H3774" s="549"/>
      <c r="I3774" s="549"/>
      <c r="J3774" s="549"/>
      <c r="K3774" s="549"/>
      <c r="M3774" s="465"/>
      <c r="N3774" s="201"/>
    </row>
    <row r="3775" spans="2:14" hidden="1" outlineLevel="1" x14ac:dyDescent="0.35">
      <c r="B3775" s="200"/>
      <c r="C3775" s="201"/>
      <c r="D3775" s="201"/>
      <c r="E3775" s="201"/>
      <c r="F3775" s="202"/>
      <c r="G3775" s="549"/>
      <c r="H3775" s="549"/>
      <c r="I3775" s="549"/>
      <c r="J3775" s="549"/>
      <c r="K3775" s="549"/>
      <c r="M3775" s="465"/>
      <c r="N3775" s="201"/>
    </row>
    <row r="3776" spans="2:14" hidden="1" outlineLevel="1" x14ac:dyDescent="0.35">
      <c r="B3776" s="200"/>
      <c r="C3776" s="201"/>
      <c r="D3776" s="201"/>
      <c r="E3776" s="201"/>
      <c r="F3776" s="202"/>
      <c r="G3776" s="549"/>
      <c r="H3776" s="549"/>
      <c r="I3776" s="549"/>
      <c r="J3776" s="549"/>
      <c r="K3776" s="549"/>
      <c r="M3776" s="465"/>
      <c r="N3776" s="201"/>
    </row>
    <row r="3777" spans="2:14" hidden="1" outlineLevel="1" x14ac:dyDescent="0.35">
      <c r="B3777" s="200"/>
      <c r="C3777" s="201"/>
      <c r="D3777" s="201"/>
      <c r="E3777" s="201"/>
      <c r="F3777" s="202"/>
      <c r="G3777" s="549"/>
      <c r="H3777" s="549"/>
      <c r="I3777" s="549"/>
      <c r="J3777" s="549"/>
      <c r="K3777" s="549"/>
      <c r="M3777" s="465"/>
      <c r="N3777" s="201"/>
    </row>
    <row r="3778" spans="2:14" hidden="1" outlineLevel="1" x14ac:dyDescent="0.35">
      <c r="B3778" s="200"/>
      <c r="C3778" s="201"/>
      <c r="D3778" s="201"/>
      <c r="E3778" s="201"/>
      <c r="F3778" s="202"/>
      <c r="G3778" s="549"/>
      <c r="H3778" s="549"/>
      <c r="I3778" s="549"/>
      <c r="J3778" s="549"/>
      <c r="K3778" s="549"/>
      <c r="M3778" s="465"/>
      <c r="N3778" s="201"/>
    </row>
    <row r="3779" spans="2:14" hidden="1" outlineLevel="1" x14ac:dyDescent="0.35">
      <c r="B3779" s="200"/>
      <c r="C3779" s="201"/>
      <c r="D3779" s="201"/>
      <c r="E3779" s="201"/>
      <c r="F3779" s="202"/>
      <c r="G3779" s="549"/>
      <c r="H3779" s="549"/>
      <c r="I3779" s="549"/>
      <c r="J3779" s="549"/>
      <c r="K3779" s="549"/>
      <c r="M3779" s="465"/>
      <c r="N3779" s="201"/>
    </row>
    <row r="3780" spans="2:14" hidden="1" outlineLevel="1" x14ac:dyDescent="0.35">
      <c r="B3780" s="200"/>
      <c r="C3780" s="201"/>
      <c r="D3780" s="201"/>
      <c r="E3780" s="201"/>
      <c r="F3780" s="202"/>
      <c r="G3780" s="549"/>
      <c r="H3780" s="549"/>
      <c r="I3780" s="549"/>
      <c r="J3780" s="549"/>
      <c r="K3780" s="549"/>
      <c r="M3780" s="465"/>
      <c r="N3780" s="201"/>
    </row>
    <row r="3781" spans="2:14" hidden="1" outlineLevel="1" x14ac:dyDescent="0.35">
      <c r="B3781" s="200"/>
      <c r="C3781" s="201"/>
      <c r="D3781" s="201"/>
      <c r="E3781" s="201"/>
      <c r="F3781" s="202"/>
      <c r="G3781" s="549"/>
      <c r="H3781" s="549"/>
      <c r="I3781" s="549"/>
      <c r="J3781" s="549"/>
      <c r="K3781" s="549"/>
      <c r="M3781" s="465"/>
      <c r="N3781" s="201"/>
    </row>
    <row r="3782" spans="2:14" hidden="1" outlineLevel="1" x14ac:dyDescent="0.35">
      <c r="B3782" s="200"/>
      <c r="C3782" s="201"/>
      <c r="D3782" s="201"/>
      <c r="E3782" s="201"/>
      <c r="F3782" s="202"/>
      <c r="G3782" s="549"/>
      <c r="H3782" s="549"/>
      <c r="I3782" s="549"/>
      <c r="J3782" s="549"/>
      <c r="K3782" s="549"/>
      <c r="M3782" s="465"/>
      <c r="N3782" s="201"/>
    </row>
    <row r="3783" spans="2:14" hidden="1" outlineLevel="1" x14ac:dyDescent="0.35">
      <c r="B3783" s="200"/>
      <c r="C3783" s="201"/>
      <c r="D3783" s="201"/>
      <c r="E3783" s="201"/>
      <c r="F3783" s="202"/>
      <c r="G3783" s="549"/>
      <c r="H3783" s="549"/>
      <c r="I3783" s="549"/>
      <c r="J3783" s="549"/>
      <c r="K3783" s="549"/>
      <c r="M3783" s="465"/>
      <c r="N3783" s="201"/>
    </row>
    <row r="3784" spans="2:14" hidden="1" outlineLevel="1" x14ac:dyDescent="0.35">
      <c r="B3784" s="200"/>
      <c r="C3784" s="201"/>
      <c r="D3784" s="201"/>
      <c r="E3784" s="201"/>
      <c r="F3784" s="202"/>
      <c r="G3784" s="549"/>
      <c r="H3784" s="549"/>
      <c r="I3784" s="549"/>
      <c r="J3784" s="549"/>
      <c r="K3784" s="549"/>
      <c r="M3784" s="465"/>
      <c r="N3784" s="201"/>
    </row>
    <row r="3785" spans="2:14" hidden="1" outlineLevel="1" x14ac:dyDescent="0.35">
      <c r="B3785" s="200"/>
      <c r="C3785" s="201"/>
      <c r="D3785" s="201"/>
      <c r="E3785" s="201"/>
      <c r="F3785" s="202"/>
      <c r="G3785" s="549"/>
      <c r="H3785" s="549"/>
      <c r="I3785" s="549"/>
      <c r="J3785" s="549"/>
      <c r="K3785" s="549"/>
      <c r="M3785" s="465"/>
      <c r="N3785" s="201"/>
    </row>
    <row r="3786" spans="2:14" hidden="1" outlineLevel="1" x14ac:dyDescent="0.35">
      <c r="B3786" s="200"/>
      <c r="C3786" s="201"/>
      <c r="D3786" s="201"/>
      <c r="E3786" s="201"/>
      <c r="F3786" s="202"/>
      <c r="G3786" s="549"/>
      <c r="H3786" s="549"/>
      <c r="I3786" s="549"/>
      <c r="J3786" s="549"/>
      <c r="K3786" s="549"/>
      <c r="M3786" s="465"/>
      <c r="N3786" s="201"/>
    </row>
    <row r="3787" spans="2:14" hidden="1" outlineLevel="1" x14ac:dyDescent="0.35">
      <c r="B3787" s="200"/>
      <c r="C3787" s="201"/>
      <c r="D3787" s="201"/>
      <c r="E3787" s="201"/>
      <c r="F3787" s="202"/>
      <c r="G3787" s="549"/>
      <c r="H3787" s="549"/>
      <c r="I3787" s="549"/>
      <c r="J3787" s="549"/>
      <c r="K3787" s="549"/>
      <c r="M3787" s="465"/>
      <c r="N3787" s="201"/>
    </row>
    <row r="3788" spans="2:14" hidden="1" outlineLevel="1" x14ac:dyDescent="0.35">
      <c r="B3788" s="200"/>
      <c r="C3788" s="201"/>
      <c r="D3788" s="201"/>
      <c r="E3788" s="201"/>
      <c r="F3788" s="202"/>
      <c r="G3788" s="549"/>
      <c r="H3788" s="549"/>
      <c r="I3788" s="549"/>
      <c r="J3788" s="549"/>
      <c r="K3788" s="549"/>
      <c r="M3788" s="465"/>
      <c r="N3788" s="201"/>
    </row>
    <row r="3789" spans="2:14" hidden="1" outlineLevel="1" x14ac:dyDescent="0.35">
      <c r="B3789" s="200"/>
      <c r="C3789" s="201"/>
      <c r="D3789" s="201"/>
      <c r="E3789" s="201"/>
      <c r="F3789" s="202"/>
      <c r="G3789" s="549"/>
      <c r="H3789" s="549"/>
      <c r="I3789" s="549"/>
      <c r="J3789" s="549"/>
      <c r="K3789" s="549"/>
      <c r="M3789" s="465"/>
      <c r="N3789" s="201"/>
    </row>
    <row r="3790" spans="2:14" hidden="1" outlineLevel="1" x14ac:dyDescent="0.35">
      <c r="B3790" s="200"/>
      <c r="C3790" s="201"/>
      <c r="D3790" s="201"/>
      <c r="E3790" s="201"/>
      <c r="F3790" s="202"/>
      <c r="G3790" s="549"/>
      <c r="H3790" s="549"/>
      <c r="I3790" s="549"/>
      <c r="J3790" s="549"/>
      <c r="K3790" s="549"/>
      <c r="M3790" s="465"/>
      <c r="N3790" s="201"/>
    </row>
    <row r="3791" spans="2:14" hidden="1" outlineLevel="1" x14ac:dyDescent="0.35">
      <c r="B3791" s="200"/>
      <c r="C3791" s="201"/>
      <c r="D3791" s="201"/>
      <c r="E3791" s="201"/>
      <c r="F3791" s="202"/>
      <c r="G3791" s="549"/>
      <c r="H3791" s="549"/>
      <c r="I3791" s="549"/>
      <c r="J3791" s="549"/>
      <c r="K3791" s="549"/>
      <c r="M3791" s="465"/>
      <c r="N3791" s="201"/>
    </row>
    <row r="3792" spans="2:14" hidden="1" outlineLevel="1" x14ac:dyDescent="0.35">
      <c r="B3792" s="200"/>
      <c r="C3792" s="201"/>
      <c r="D3792" s="201"/>
      <c r="E3792" s="201"/>
      <c r="F3792" s="202"/>
      <c r="G3792" s="549"/>
      <c r="H3792" s="549"/>
      <c r="I3792" s="549"/>
      <c r="J3792" s="549"/>
      <c r="K3792" s="549"/>
      <c r="M3792" s="465"/>
      <c r="N3792" s="201"/>
    </row>
    <row r="3793" spans="2:14" hidden="1" outlineLevel="1" x14ac:dyDescent="0.35">
      <c r="B3793" s="200"/>
      <c r="C3793" s="201"/>
      <c r="D3793" s="201"/>
      <c r="E3793" s="201"/>
      <c r="F3793" s="202"/>
      <c r="G3793" s="549"/>
      <c r="H3793" s="549"/>
      <c r="I3793" s="549"/>
      <c r="J3793" s="549"/>
      <c r="K3793" s="549"/>
      <c r="M3793" s="465"/>
      <c r="N3793" s="201"/>
    </row>
    <row r="3794" spans="2:14" hidden="1" outlineLevel="1" x14ac:dyDescent="0.35">
      <c r="B3794" s="200"/>
      <c r="C3794" s="201"/>
      <c r="D3794" s="201"/>
      <c r="E3794" s="201"/>
      <c r="F3794" s="202"/>
      <c r="G3794" s="549"/>
      <c r="H3794" s="549"/>
      <c r="I3794" s="549"/>
      <c r="J3794" s="549"/>
      <c r="K3794" s="549"/>
      <c r="M3794" s="465"/>
      <c r="N3794" s="201"/>
    </row>
    <row r="3795" spans="2:14" hidden="1" outlineLevel="1" x14ac:dyDescent="0.35">
      <c r="B3795" s="200"/>
      <c r="C3795" s="201"/>
      <c r="D3795" s="201"/>
      <c r="E3795" s="201"/>
      <c r="F3795" s="202"/>
      <c r="G3795" s="549"/>
      <c r="H3795" s="549"/>
      <c r="I3795" s="549"/>
      <c r="J3795" s="549"/>
      <c r="K3795" s="549"/>
      <c r="M3795" s="465"/>
      <c r="N3795" s="201"/>
    </row>
    <row r="3796" spans="2:14" hidden="1" outlineLevel="1" x14ac:dyDescent="0.35">
      <c r="B3796" s="200"/>
      <c r="C3796" s="201"/>
      <c r="D3796" s="201"/>
      <c r="E3796" s="201"/>
      <c r="F3796" s="202"/>
      <c r="G3796" s="549"/>
      <c r="H3796" s="549"/>
      <c r="I3796" s="549"/>
      <c r="J3796" s="549"/>
      <c r="K3796" s="549"/>
      <c r="M3796" s="465"/>
      <c r="N3796" s="201"/>
    </row>
    <row r="3797" spans="2:14" hidden="1" outlineLevel="1" x14ac:dyDescent="0.35">
      <c r="B3797" s="200"/>
      <c r="C3797" s="201"/>
      <c r="D3797" s="201"/>
      <c r="E3797" s="201"/>
      <c r="F3797" s="202"/>
      <c r="G3797" s="549"/>
      <c r="H3797" s="549"/>
      <c r="I3797" s="549"/>
      <c r="J3797" s="549"/>
      <c r="K3797" s="549"/>
      <c r="M3797" s="465"/>
      <c r="N3797" s="201"/>
    </row>
    <row r="3798" spans="2:14" hidden="1" outlineLevel="1" x14ac:dyDescent="0.35">
      <c r="B3798" s="200"/>
      <c r="C3798" s="201"/>
      <c r="D3798" s="201"/>
      <c r="E3798" s="201"/>
      <c r="F3798" s="202"/>
      <c r="G3798" s="549"/>
      <c r="H3798" s="549"/>
      <c r="I3798" s="549"/>
      <c r="J3798" s="549"/>
      <c r="K3798" s="549"/>
      <c r="M3798" s="465"/>
      <c r="N3798" s="201"/>
    </row>
    <row r="3799" spans="2:14" hidden="1" outlineLevel="1" x14ac:dyDescent="0.35">
      <c r="B3799" s="200"/>
      <c r="C3799" s="201"/>
      <c r="D3799" s="201"/>
      <c r="E3799" s="201"/>
      <c r="F3799" s="202"/>
      <c r="G3799" s="549"/>
      <c r="H3799" s="549"/>
      <c r="I3799" s="549"/>
      <c r="J3799" s="549"/>
      <c r="K3799" s="549"/>
      <c r="M3799" s="465"/>
      <c r="N3799" s="201"/>
    </row>
    <row r="3800" spans="2:14" hidden="1" outlineLevel="1" x14ac:dyDescent="0.35">
      <c r="B3800" s="200"/>
      <c r="C3800" s="201"/>
      <c r="D3800" s="201"/>
      <c r="E3800" s="201"/>
      <c r="F3800" s="202"/>
      <c r="G3800" s="549"/>
      <c r="H3800" s="549"/>
      <c r="I3800" s="549"/>
      <c r="J3800" s="549"/>
      <c r="K3800" s="549"/>
      <c r="M3800" s="465"/>
      <c r="N3800" s="201"/>
    </row>
    <row r="3801" spans="2:14" hidden="1" outlineLevel="1" x14ac:dyDescent="0.35">
      <c r="B3801" s="200"/>
      <c r="C3801" s="201"/>
      <c r="D3801" s="201"/>
      <c r="E3801" s="201"/>
      <c r="F3801" s="202"/>
      <c r="G3801" s="549"/>
      <c r="H3801" s="549"/>
      <c r="I3801" s="549"/>
      <c r="J3801" s="549"/>
      <c r="K3801" s="549"/>
      <c r="M3801" s="465"/>
      <c r="N3801" s="201"/>
    </row>
    <row r="3802" spans="2:14" hidden="1" outlineLevel="1" x14ac:dyDescent="0.35">
      <c r="B3802" s="200"/>
      <c r="C3802" s="201"/>
      <c r="D3802" s="201"/>
      <c r="E3802" s="201"/>
      <c r="F3802" s="202"/>
      <c r="G3802" s="549"/>
      <c r="H3802" s="549"/>
      <c r="I3802" s="549"/>
      <c r="J3802" s="549"/>
      <c r="K3802" s="549"/>
      <c r="M3802" s="465"/>
      <c r="N3802" s="201"/>
    </row>
    <row r="3803" spans="2:14" hidden="1" outlineLevel="1" x14ac:dyDescent="0.35">
      <c r="B3803" s="200"/>
      <c r="C3803" s="201"/>
      <c r="D3803" s="201"/>
      <c r="E3803" s="201"/>
      <c r="F3803" s="202"/>
      <c r="G3803" s="549"/>
      <c r="H3803" s="549"/>
      <c r="I3803" s="549"/>
      <c r="J3803" s="549"/>
      <c r="K3803" s="549"/>
      <c r="M3803" s="465"/>
      <c r="N3803" s="201"/>
    </row>
    <row r="3804" spans="2:14" hidden="1" outlineLevel="1" x14ac:dyDescent="0.35">
      <c r="B3804" s="200"/>
      <c r="C3804" s="201"/>
      <c r="D3804" s="201"/>
      <c r="E3804" s="201"/>
      <c r="F3804" s="202"/>
      <c r="G3804" s="549"/>
      <c r="H3804" s="549"/>
      <c r="I3804" s="549"/>
      <c r="J3804" s="549"/>
      <c r="K3804" s="549"/>
      <c r="M3804" s="465"/>
      <c r="N3804" s="201"/>
    </row>
    <row r="3805" spans="2:14" hidden="1" outlineLevel="1" x14ac:dyDescent="0.35">
      <c r="B3805" s="200"/>
      <c r="C3805" s="201"/>
      <c r="D3805" s="201"/>
      <c r="E3805" s="201"/>
      <c r="F3805" s="202"/>
      <c r="G3805" s="549"/>
      <c r="H3805" s="549"/>
      <c r="I3805" s="549"/>
      <c r="J3805" s="549"/>
      <c r="K3805" s="549"/>
      <c r="M3805" s="465"/>
      <c r="N3805" s="201"/>
    </row>
    <row r="3806" spans="2:14" hidden="1" outlineLevel="1" x14ac:dyDescent="0.35">
      <c r="B3806" s="200"/>
      <c r="C3806" s="201"/>
      <c r="D3806" s="201"/>
      <c r="E3806" s="201"/>
      <c r="F3806" s="202"/>
      <c r="G3806" s="549"/>
      <c r="H3806" s="549"/>
      <c r="I3806" s="549"/>
      <c r="J3806" s="549"/>
      <c r="K3806" s="549"/>
      <c r="M3806" s="465"/>
      <c r="N3806" s="201"/>
    </row>
    <row r="3807" spans="2:14" hidden="1" outlineLevel="1" x14ac:dyDescent="0.35">
      <c r="B3807" s="200"/>
      <c r="C3807" s="201"/>
      <c r="D3807" s="201"/>
      <c r="E3807" s="201"/>
      <c r="F3807" s="202"/>
      <c r="G3807" s="549"/>
      <c r="H3807" s="549"/>
      <c r="I3807" s="549"/>
      <c r="J3807" s="549"/>
      <c r="K3807" s="549"/>
      <c r="M3807" s="465"/>
      <c r="N3807" s="201"/>
    </row>
    <row r="3808" spans="2:14" hidden="1" outlineLevel="1" x14ac:dyDescent="0.35">
      <c r="B3808" s="200"/>
      <c r="C3808" s="201"/>
      <c r="D3808" s="201"/>
      <c r="E3808" s="201"/>
      <c r="F3808" s="202"/>
      <c r="G3808" s="549"/>
      <c r="H3808" s="549"/>
      <c r="I3808" s="549"/>
      <c r="J3808" s="549"/>
      <c r="K3808" s="549"/>
      <c r="M3808" s="465"/>
      <c r="N3808" s="201"/>
    </row>
    <row r="3809" spans="2:14" hidden="1" outlineLevel="1" x14ac:dyDescent="0.35">
      <c r="B3809" s="200"/>
      <c r="C3809" s="201"/>
      <c r="D3809" s="201"/>
      <c r="E3809" s="201"/>
      <c r="F3809" s="202"/>
      <c r="G3809" s="549"/>
      <c r="H3809" s="549"/>
      <c r="I3809" s="549"/>
      <c r="J3809" s="549"/>
      <c r="K3809" s="549"/>
      <c r="M3809" s="465"/>
      <c r="N3809" s="201"/>
    </row>
    <row r="3810" spans="2:14" hidden="1" outlineLevel="1" x14ac:dyDescent="0.35">
      <c r="B3810" s="200"/>
      <c r="C3810" s="201"/>
      <c r="D3810" s="201"/>
      <c r="E3810" s="201"/>
      <c r="F3810" s="202"/>
      <c r="G3810" s="549"/>
      <c r="H3810" s="549"/>
      <c r="I3810" s="549"/>
      <c r="J3810" s="549"/>
      <c r="K3810" s="549"/>
      <c r="M3810" s="465"/>
      <c r="N3810" s="201"/>
    </row>
    <row r="3811" spans="2:14" hidden="1" outlineLevel="1" x14ac:dyDescent="0.35">
      <c r="B3811" s="200"/>
      <c r="C3811" s="201"/>
      <c r="D3811" s="201"/>
      <c r="E3811" s="201"/>
      <c r="F3811" s="202"/>
      <c r="G3811" s="549"/>
      <c r="H3811" s="549"/>
      <c r="I3811" s="549"/>
      <c r="J3811" s="549"/>
      <c r="K3811" s="549"/>
      <c r="M3811" s="465"/>
      <c r="N3811" s="201"/>
    </row>
    <row r="3812" spans="2:14" hidden="1" outlineLevel="1" x14ac:dyDescent="0.35">
      <c r="B3812" s="200"/>
      <c r="C3812" s="201"/>
      <c r="D3812" s="201"/>
      <c r="E3812" s="201"/>
      <c r="F3812" s="202"/>
      <c r="G3812" s="549"/>
      <c r="H3812" s="549"/>
      <c r="I3812" s="549"/>
      <c r="J3812" s="549"/>
      <c r="K3812" s="549"/>
      <c r="M3812" s="465"/>
      <c r="N3812" s="201"/>
    </row>
    <row r="3813" spans="2:14" hidden="1" outlineLevel="1" x14ac:dyDescent="0.35">
      <c r="B3813" s="200"/>
      <c r="C3813" s="201"/>
      <c r="D3813" s="201"/>
      <c r="E3813" s="201"/>
      <c r="F3813" s="202"/>
      <c r="G3813" s="549"/>
      <c r="H3813" s="549"/>
      <c r="I3813" s="549"/>
      <c r="J3813" s="549"/>
      <c r="K3813" s="549"/>
      <c r="M3813" s="465"/>
      <c r="N3813" s="201"/>
    </row>
    <row r="3814" spans="2:14" hidden="1" outlineLevel="1" x14ac:dyDescent="0.35">
      <c r="B3814" s="200"/>
      <c r="C3814" s="201"/>
      <c r="D3814" s="201"/>
      <c r="E3814" s="201"/>
      <c r="F3814" s="202"/>
      <c r="G3814" s="549"/>
      <c r="H3814" s="549"/>
      <c r="I3814" s="549"/>
      <c r="J3814" s="549"/>
      <c r="K3814" s="549"/>
      <c r="M3814" s="465"/>
      <c r="N3814" s="201"/>
    </row>
    <row r="3815" spans="2:14" hidden="1" outlineLevel="1" x14ac:dyDescent="0.35">
      <c r="B3815" s="200"/>
      <c r="C3815" s="201"/>
      <c r="D3815" s="201"/>
      <c r="E3815" s="201"/>
      <c r="F3815" s="202"/>
      <c r="G3815" s="549"/>
      <c r="H3815" s="549"/>
      <c r="I3815" s="549"/>
      <c r="J3815" s="549"/>
      <c r="K3815" s="549"/>
      <c r="M3815" s="465"/>
      <c r="N3815" s="201"/>
    </row>
    <row r="3816" spans="2:14" hidden="1" outlineLevel="1" x14ac:dyDescent="0.35">
      <c r="B3816" s="200"/>
      <c r="C3816" s="201"/>
      <c r="D3816" s="201"/>
      <c r="E3816" s="201"/>
      <c r="F3816" s="202"/>
      <c r="G3816" s="549"/>
      <c r="H3816" s="549"/>
      <c r="I3816" s="549"/>
      <c r="J3816" s="549"/>
      <c r="K3816" s="549"/>
      <c r="M3816" s="465"/>
      <c r="N3816" s="201"/>
    </row>
    <row r="3817" spans="2:14" hidden="1" outlineLevel="1" x14ac:dyDescent="0.35">
      <c r="B3817" s="200"/>
      <c r="C3817" s="201"/>
      <c r="D3817" s="201"/>
      <c r="E3817" s="201"/>
      <c r="F3817" s="202"/>
      <c r="G3817" s="549"/>
      <c r="H3817" s="549"/>
      <c r="I3817" s="549"/>
      <c r="J3817" s="549"/>
      <c r="K3817" s="549"/>
      <c r="M3817" s="465"/>
      <c r="N3817" s="201"/>
    </row>
    <row r="3818" spans="2:14" hidden="1" outlineLevel="1" x14ac:dyDescent="0.35">
      <c r="B3818" s="200"/>
      <c r="C3818" s="201"/>
      <c r="D3818" s="201"/>
      <c r="E3818" s="201"/>
      <c r="F3818" s="202"/>
      <c r="G3818" s="549"/>
      <c r="H3818" s="549"/>
      <c r="I3818" s="549"/>
      <c r="J3818" s="549"/>
      <c r="K3818" s="549"/>
      <c r="M3818" s="465"/>
      <c r="N3818" s="201"/>
    </row>
    <row r="3819" spans="2:14" hidden="1" outlineLevel="1" x14ac:dyDescent="0.35">
      <c r="B3819" s="200"/>
      <c r="C3819" s="201"/>
      <c r="D3819" s="201"/>
      <c r="E3819" s="201"/>
      <c r="F3819" s="202"/>
      <c r="G3819" s="549"/>
      <c r="H3819" s="549"/>
      <c r="I3819" s="549"/>
      <c r="J3819" s="549"/>
      <c r="K3819" s="549"/>
      <c r="M3819" s="465"/>
      <c r="N3819" s="201"/>
    </row>
    <row r="3820" spans="2:14" hidden="1" outlineLevel="1" x14ac:dyDescent="0.35">
      <c r="B3820" s="200"/>
      <c r="C3820" s="201"/>
      <c r="D3820" s="201"/>
      <c r="E3820" s="201"/>
      <c r="F3820" s="202"/>
      <c r="G3820" s="549"/>
      <c r="H3820" s="549"/>
      <c r="I3820" s="549"/>
      <c r="J3820" s="549"/>
      <c r="K3820" s="549"/>
      <c r="M3820" s="465"/>
      <c r="N3820" s="201"/>
    </row>
    <row r="3821" spans="2:14" hidden="1" outlineLevel="1" x14ac:dyDescent="0.35">
      <c r="B3821" s="200"/>
      <c r="C3821" s="201"/>
      <c r="D3821" s="201"/>
      <c r="E3821" s="201"/>
      <c r="F3821" s="202"/>
      <c r="G3821" s="549"/>
      <c r="H3821" s="549"/>
      <c r="I3821" s="549"/>
      <c r="J3821" s="549"/>
      <c r="K3821" s="549"/>
      <c r="M3821" s="465"/>
      <c r="N3821" s="201"/>
    </row>
    <row r="3822" spans="2:14" hidden="1" outlineLevel="1" x14ac:dyDescent="0.35">
      <c r="B3822" s="200"/>
      <c r="C3822" s="201"/>
      <c r="D3822" s="201"/>
      <c r="E3822" s="201"/>
      <c r="F3822" s="202"/>
      <c r="G3822" s="549"/>
      <c r="H3822" s="549"/>
      <c r="I3822" s="549"/>
      <c r="J3822" s="549"/>
      <c r="K3822" s="549"/>
      <c r="M3822" s="465"/>
      <c r="N3822" s="201"/>
    </row>
    <row r="3823" spans="2:14" hidden="1" outlineLevel="1" x14ac:dyDescent="0.35">
      <c r="B3823" s="200"/>
      <c r="C3823" s="201"/>
      <c r="D3823" s="201"/>
      <c r="E3823" s="201"/>
      <c r="F3823" s="202"/>
      <c r="G3823" s="549"/>
      <c r="H3823" s="549"/>
      <c r="I3823" s="549"/>
      <c r="J3823" s="549"/>
      <c r="K3823" s="549"/>
      <c r="M3823" s="465"/>
      <c r="N3823" s="201"/>
    </row>
    <row r="3824" spans="2:14" hidden="1" outlineLevel="1" x14ac:dyDescent="0.35">
      <c r="B3824" s="200"/>
      <c r="C3824" s="201"/>
      <c r="D3824" s="201"/>
      <c r="E3824" s="201"/>
      <c r="F3824" s="202"/>
      <c r="G3824" s="549"/>
      <c r="H3824" s="549"/>
      <c r="I3824" s="549"/>
      <c r="J3824" s="549"/>
      <c r="K3824" s="549"/>
      <c r="M3824" s="465"/>
      <c r="N3824" s="201"/>
    </row>
    <row r="3825" spans="2:14" hidden="1" outlineLevel="1" x14ac:dyDescent="0.35">
      <c r="B3825" s="200"/>
      <c r="C3825" s="201"/>
      <c r="D3825" s="201"/>
      <c r="E3825" s="201"/>
      <c r="F3825" s="202"/>
      <c r="G3825" s="549"/>
      <c r="H3825" s="549"/>
      <c r="I3825" s="549"/>
      <c r="J3825" s="549"/>
      <c r="K3825" s="549"/>
      <c r="M3825" s="465"/>
      <c r="N3825" s="201"/>
    </row>
    <row r="3826" spans="2:14" hidden="1" outlineLevel="1" x14ac:dyDescent="0.35">
      <c r="B3826" s="200"/>
      <c r="C3826" s="201"/>
      <c r="D3826" s="201"/>
      <c r="E3826" s="201"/>
      <c r="F3826" s="202"/>
      <c r="G3826" s="549"/>
      <c r="H3826" s="549"/>
      <c r="I3826" s="549"/>
      <c r="J3826" s="549"/>
      <c r="K3826" s="549"/>
      <c r="M3826" s="465"/>
      <c r="N3826" s="201"/>
    </row>
    <row r="3827" spans="2:14" hidden="1" outlineLevel="1" x14ac:dyDescent="0.35">
      <c r="B3827" s="200"/>
      <c r="C3827" s="201"/>
      <c r="D3827" s="201"/>
      <c r="E3827" s="201"/>
      <c r="F3827" s="202"/>
      <c r="G3827" s="549"/>
      <c r="H3827" s="549"/>
      <c r="I3827" s="549"/>
      <c r="J3827" s="549"/>
      <c r="K3827" s="549"/>
      <c r="M3827" s="465"/>
      <c r="N3827" s="201"/>
    </row>
    <row r="3828" spans="2:14" hidden="1" outlineLevel="1" x14ac:dyDescent="0.35">
      <c r="B3828" s="200"/>
      <c r="C3828" s="201"/>
      <c r="D3828" s="201"/>
      <c r="E3828" s="201"/>
      <c r="F3828" s="202"/>
      <c r="G3828" s="549"/>
      <c r="H3828" s="549"/>
      <c r="I3828" s="549"/>
      <c r="J3828" s="549"/>
      <c r="K3828" s="549"/>
      <c r="M3828" s="465"/>
      <c r="N3828" s="201"/>
    </row>
    <row r="3829" spans="2:14" hidden="1" outlineLevel="1" x14ac:dyDescent="0.35">
      <c r="B3829" s="200"/>
      <c r="C3829" s="201"/>
      <c r="D3829" s="201"/>
      <c r="E3829" s="201"/>
      <c r="F3829" s="202"/>
      <c r="G3829" s="549"/>
      <c r="H3829" s="549"/>
      <c r="I3829" s="549"/>
      <c r="J3829" s="549"/>
      <c r="K3829" s="549"/>
      <c r="M3829" s="465"/>
      <c r="N3829" s="201"/>
    </row>
    <row r="3830" spans="2:14" hidden="1" outlineLevel="1" x14ac:dyDescent="0.35">
      <c r="B3830" s="200"/>
      <c r="C3830" s="201"/>
      <c r="D3830" s="201"/>
      <c r="E3830" s="201"/>
      <c r="F3830" s="202"/>
      <c r="G3830" s="549"/>
      <c r="H3830" s="549"/>
      <c r="I3830" s="549"/>
      <c r="J3830" s="549"/>
      <c r="K3830" s="549"/>
      <c r="M3830" s="465"/>
      <c r="N3830" s="201"/>
    </row>
    <row r="3831" spans="2:14" hidden="1" outlineLevel="1" x14ac:dyDescent="0.35">
      <c r="B3831" s="200"/>
      <c r="C3831" s="201"/>
      <c r="D3831" s="201"/>
      <c r="E3831" s="201"/>
      <c r="F3831" s="202"/>
      <c r="G3831" s="549"/>
      <c r="H3831" s="549"/>
      <c r="I3831" s="549"/>
      <c r="J3831" s="549"/>
      <c r="K3831" s="549"/>
      <c r="M3831" s="465"/>
      <c r="N3831" s="201"/>
    </row>
    <row r="3832" spans="2:14" hidden="1" outlineLevel="1" x14ac:dyDescent="0.35">
      <c r="B3832" s="200"/>
      <c r="C3832" s="201"/>
      <c r="D3832" s="201"/>
      <c r="E3832" s="201"/>
      <c r="F3832" s="202"/>
      <c r="G3832" s="549"/>
      <c r="H3832" s="549"/>
      <c r="I3832" s="549"/>
      <c r="J3832" s="549"/>
      <c r="K3832" s="549"/>
      <c r="M3832" s="465"/>
      <c r="N3832" s="201"/>
    </row>
    <row r="3833" spans="2:14" hidden="1" outlineLevel="1" x14ac:dyDescent="0.35">
      <c r="B3833" s="200"/>
      <c r="C3833" s="201"/>
      <c r="D3833" s="201"/>
      <c r="E3833" s="201"/>
      <c r="F3833" s="202"/>
      <c r="G3833" s="549"/>
      <c r="H3833" s="549"/>
      <c r="I3833" s="549"/>
      <c r="J3833" s="549"/>
      <c r="K3833" s="549"/>
      <c r="M3833" s="465"/>
      <c r="N3833" s="201"/>
    </row>
    <row r="3834" spans="2:14" hidden="1" outlineLevel="1" x14ac:dyDescent="0.35">
      <c r="B3834" s="200"/>
      <c r="C3834" s="201"/>
      <c r="D3834" s="201"/>
      <c r="E3834" s="201"/>
      <c r="F3834" s="202"/>
      <c r="G3834" s="549"/>
      <c r="H3834" s="549"/>
      <c r="I3834" s="549"/>
      <c r="J3834" s="549"/>
      <c r="K3834" s="549"/>
      <c r="M3834" s="465"/>
      <c r="N3834" s="201"/>
    </row>
    <row r="3835" spans="2:14" hidden="1" outlineLevel="1" x14ac:dyDescent="0.35">
      <c r="B3835" s="200"/>
      <c r="C3835" s="201"/>
      <c r="D3835" s="201"/>
      <c r="E3835" s="201"/>
      <c r="F3835" s="202"/>
      <c r="G3835" s="549"/>
      <c r="H3835" s="549"/>
      <c r="I3835" s="549"/>
      <c r="J3835" s="549"/>
      <c r="K3835" s="549"/>
      <c r="M3835" s="465"/>
      <c r="N3835" s="201"/>
    </row>
    <row r="3836" spans="2:14" hidden="1" outlineLevel="1" x14ac:dyDescent="0.35">
      <c r="B3836" s="200"/>
      <c r="C3836" s="201"/>
      <c r="D3836" s="201"/>
      <c r="E3836" s="201"/>
      <c r="F3836" s="202"/>
      <c r="G3836" s="549"/>
      <c r="H3836" s="549"/>
      <c r="I3836" s="549"/>
      <c r="J3836" s="549"/>
      <c r="K3836" s="549"/>
      <c r="M3836" s="465"/>
      <c r="N3836" s="201"/>
    </row>
    <row r="3837" spans="2:14" hidden="1" outlineLevel="1" x14ac:dyDescent="0.35">
      <c r="B3837" s="200"/>
      <c r="C3837" s="201"/>
      <c r="D3837" s="201"/>
      <c r="E3837" s="201"/>
      <c r="F3837" s="202"/>
      <c r="G3837" s="549"/>
      <c r="H3837" s="549"/>
      <c r="I3837" s="549"/>
      <c r="J3837" s="549"/>
      <c r="K3837" s="549"/>
      <c r="M3837" s="465"/>
      <c r="N3837" s="201"/>
    </row>
    <row r="3838" spans="2:14" hidden="1" outlineLevel="1" x14ac:dyDescent="0.35">
      <c r="B3838" s="200"/>
      <c r="C3838" s="201"/>
      <c r="D3838" s="201"/>
      <c r="E3838" s="201"/>
      <c r="F3838" s="202"/>
      <c r="G3838" s="549"/>
      <c r="H3838" s="549"/>
      <c r="I3838" s="549"/>
      <c r="J3838" s="549"/>
      <c r="K3838" s="549"/>
      <c r="M3838" s="465"/>
      <c r="N3838" s="201"/>
    </row>
    <row r="3839" spans="2:14" hidden="1" outlineLevel="1" x14ac:dyDescent="0.35">
      <c r="B3839" s="200"/>
      <c r="C3839" s="201"/>
      <c r="D3839" s="201"/>
      <c r="E3839" s="201"/>
      <c r="F3839" s="202"/>
      <c r="G3839" s="549"/>
      <c r="H3839" s="549"/>
      <c r="I3839" s="549"/>
      <c r="J3839" s="549"/>
      <c r="K3839" s="549"/>
      <c r="M3839" s="465"/>
      <c r="N3839" s="201"/>
    </row>
    <row r="3840" spans="2:14" hidden="1" outlineLevel="1" x14ac:dyDescent="0.35">
      <c r="B3840" s="200"/>
      <c r="C3840" s="201"/>
      <c r="D3840" s="201"/>
      <c r="E3840" s="201"/>
      <c r="F3840" s="202"/>
      <c r="G3840" s="549"/>
      <c r="H3840" s="549"/>
      <c r="I3840" s="549"/>
      <c r="J3840" s="549"/>
      <c r="K3840" s="549"/>
      <c r="M3840" s="465"/>
      <c r="N3840" s="201"/>
    </row>
    <row r="3841" spans="2:14" hidden="1" outlineLevel="1" x14ac:dyDescent="0.35">
      <c r="B3841" s="200"/>
      <c r="C3841" s="201"/>
      <c r="D3841" s="201"/>
      <c r="E3841" s="201"/>
      <c r="F3841" s="202"/>
      <c r="G3841" s="549"/>
      <c r="H3841" s="549"/>
      <c r="I3841" s="549"/>
      <c r="J3841" s="549"/>
      <c r="K3841" s="549"/>
      <c r="M3841" s="465"/>
      <c r="N3841" s="201"/>
    </row>
    <row r="3842" spans="2:14" hidden="1" outlineLevel="1" x14ac:dyDescent="0.35">
      <c r="B3842" s="200"/>
      <c r="C3842" s="201"/>
      <c r="D3842" s="201"/>
      <c r="E3842" s="201"/>
      <c r="F3842" s="202"/>
      <c r="G3842" s="549"/>
      <c r="H3842" s="549"/>
      <c r="I3842" s="549"/>
      <c r="J3842" s="549"/>
      <c r="K3842" s="549"/>
      <c r="M3842" s="465"/>
      <c r="N3842" s="201"/>
    </row>
    <row r="3843" spans="2:14" hidden="1" outlineLevel="1" x14ac:dyDescent="0.35">
      <c r="B3843" s="200"/>
      <c r="C3843" s="201"/>
      <c r="D3843" s="201"/>
      <c r="E3843" s="201"/>
      <c r="F3843" s="202"/>
      <c r="G3843" s="549"/>
      <c r="H3843" s="549"/>
      <c r="I3843" s="549"/>
      <c r="J3843" s="549"/>
      <c r="K3843" s="549"/>
      <c r="M3843" s="465"/>
      <c r="N3843" s="201"/>
    </row>
    <row r="3844" spans="2:14" hidden="1" outlineLevel="1" x14ac:dyDescent="0.35">
      <c r="B3844" s="200"/>
      <c r="C3844" s="201"/>
      <c r="D3844" s="201"/>
      <c r="E3844" s="201"/>
      <c r="F3844" s="202"/>
      <c r="G3844" s="549"/>
      <c r="H3844" s="549"/>
      <c r="I3844" s="549"/>
      <c r="J3844" s="549"/>
      <c r="K3844" s="549"/>
      <c r="M3844" s="465"/>
      <c r="N3844" s="201"/>
    </row>
    <row r="3845" spans="2:14" hidden="1" outlineLevel="1" x14ac:dyDescent="0.35">
      <c r="B3845" s="200"/>
      <c r="C3845" s="201"/>
      <c r="D3845" s="201"/>
      <c r="E3845" s="201"/>
      <c r="F3845" s="202"/>
      <c r="G3845" s="549"/>
      <c r="H3845" s="549"/>
      <c r="I3845" s="549"/>
      <c r="J3845" s="549"/>
      <c r="K3845" s="549"/>
      <c r="M3845" s="465"/>
      <c r="N3845" s="201"/>
    </row>
    <row r="3846" spans="2:14" hidden="1" outlineLevel="1" x14ac:dyDescent="0.35">
      <c r="B3846" s="200"/>
      <c r="C3846" s="201"/>
      <c r="D3846" s="201"/>
      <c r="E3846" s="201"/>
      <c r="F3846" s="202"/>
      <c r="G3846" s="549"/>
      <c r="H3846" s="549"/>
      <c r="I3846" s="549"/>
      <c r="J3846" s="549"/>
      <c r="K3846" s="549"/>
      <c r="M3846" s="465"/>
      <c r="N3846" s="201"/>
    </row>
    <row r="3847" spans="2:14" hidden="1" outlineLevel="1" x14ac:dyDescent="0.35">
      <c r="B3847" s="200"/>
      <c r="C3847" s="201"/>
      <c r="D3847" s="201"/>
      <c r="E3847" s="201"/>
      <c r="F3847" s="202"/>
      <c r="G3847" s="549"/>
      <c r="H3847" s="549"/>
      <c r="I3847" s="549"/>
      <c r="J3847" s="549"/>
      <c r="K3847" s="549"/>
      <c r="M3847" s="465"/>
      <c r="N3847" s="201"/>
    </row>
    <row r="3848" spans="2:14" hidden="1" outlineLevel="1" x14ac:dyDescent="0.35">
      <c r="B3848" s="200"/>
      <c r="C3848" s="201"/>
      <c r="D3848" s="201"/>
      <c r="E3848" s="201"/>
      <c r="F3848" s="202"/>
      <c r="G3848" s="549"/>
      <c r="H3848" s="549"/>
      <c r="I3848" s="549"/>
      <c r="J3848" s="549"/>
      <c r="K3848" s="549"/>
      <c r="M3848" s="465"/>
      <c r="N3848" s="201"/>
    </row>
    <row r="3849" spans="2:14" hidden="1" outlineLevel="1" x14ac:dyDescent="0.35">
      <c r="B3849" s="200"/>
      <c r="C3849" s="201"/>
      <c r="D3849" s="201"/>
      <c r="E3849" s="201"/>
      <c r="F3849" s="202"/>
      <c r="G3849" s="549"/>
      <c r="H3849" s="549"/>
      <c r="I3849" s="549"/>
      <c r="J3849" s="549"/>
      <c r="K3849" s="549"/>
      <c r="M3849" s="465"/>
      <c r="N3849" s="201"/>
    </row>
    <row r="3850" spans="2:14" hidden="1" outlineLevel="1" x14ac:dyDescent="0.35">
      <c r="B3850" s="200"/>
      <c r="C3850" s="201"/>
      <c r="D3850" s="201"/>
      <c r="E3850" s="201"/>
      <c r="F3850" s="202"/>
      <c r="G3850" s="549"/>
      <c r="H3850" s="549"/>
      <c r="I3850" s="549"/>
      <c r="J3850" s="549"/>
      <c r="K3850" s="549"/>
      <c r="M3850" s="465"/>
      <c r="N3850" s="201"/>
    </row>
    <row r="3851" spans="2:14" hidden="1" outlineLevel="1" x14ac:dyDescent="0.35">
      <c r="B3851" s="200"/>
      <c r="C3851" s="201"/>
      <c r="D3851" s="201"/>
      <c r="E3851" s="201"/>
      <c r="F3851" s="202"/>
      <c r="G3851" s="549"/>
      <c r="H3851" s="549"/>
      <c r="I3851" s="549"/>
      <c r="J3851" s="549"/>
      <c r="K3851" s="549"/>
      <c r="M3851" s="465"/>
      <c r="N3851" s="201"/>
    </row>
    <row r="3852" spans="2:14" hidden="1" outlineLevel="1" x14ac:dyDescent="0.35">
      <c r="B3852" s="200"/>
      <c r="C3852" s="201"/>
      <c r="D3852" s="201"/>
      <c r="E3852" s="201"/>
      <c r="F3852" s="202"/>
      <c r="G3852" s="549"/>
      <c r="H3852" s="549"/>
      <c r="I3852" s="549"/>
      <c r="J3852" s="549"/>
      <c r="K3852" s="549"/>
      <c r="M3852" s="465"/>
      <c r="N3852" s="201"/>
    </row>
    <row r="3853" spans="2:14" hidden="1" outlineLevel="1" x14ac:dyDescent="0.35">
      <c r="B3853" s="200"/>
      <c r="C3853" s="201"/>
      <c r="D3853" s="201"/>
      <c r="E3853" s="201"/>
      <c r="F3853" s="202"/>
      <c r="G3853" s="549"/>
      <c r="H3853" s="549"/>
      <c r="I3853" s="549"/>
      <c r="J3853" s="549"/>
      <c r="K3853" s="549"/>
      <c r="M3853" s="465"/>
      <c r="N3853" s="201"/>
    </row>
    <row r="3854" spans="2:14" hidden="1" outlineLevel="1" x14ac:dyDescent="0.35">
      <c r="B3854" s="200"/>
      <c r="C3854" s="201"/>
      <c r="D3854" s="201"/>
      <c r="E3854" s="201"/>
      <c r="F3854" s="202"/>
      <c r="G3854" s="549"/>
      <c r="H3854" s="549"/>
      <c r="I3854" s="549"/>
      <c r="J3854" s="549"/>
      <c r="K3854" s="549"/>
      <c r="M3854" s="465"/>
      <c r="N3854" s="201"/>
    </row>
    <row r="3855" spans="2:14" hidden="1" outlineLevel="1" x14ac:dyDescent="0.35">
      <c r="B3855" s="200"/>
      <c r="C3855" s="201"/>
      <c r="D3855" s="201"/>
      <c r="E3855" s="201"/>
      <c r="F3855" s="202"/>
      <c r="G3855" s="549"/>
      <c r="H3855" s="549"/>
      <c r="I3855" s="549"/>
      <c r="J3855" s="549"/>
      <c r="K3855" s="549"/>
      <c r="M3855" s="465"/>
      <c r="N3855" s="201"/>
    </row>
    <row r="3856" spans="2:14" hidden="1" outlineLevel="1" x14ac:dyDescent="0.35">
      <c r="B3856" s="200"/>
      <c r="C3856" s="201"/>
      <c r="D3856" s="201"/>
      <c r="E3856" s="201"/>
      <c r="F3856" s="202"/>
      <c r="G3856" s="549"/>
      <c r="H3856" s="549"/>
      <c r="I3856" s="549"/>
      <c r="J3856" s="549"/>
      <c r="K3856" s="549"/>
      <c r="M3856" s="465"/>
      <c r="N3856" s="201"/>
    </row>
    <row r="3857" spans="2:14" hidden="1" outlineLevel="1" x14ac:dyDescent="0.35">
      <c r="B3857" s="200"/>
      <c r="C3857" s="201"/>
      <c r="D3857" s="201"/>
      <c r="E3857" s="201"/>
      <c r="F3857" s="202"/>
      <c r="G3857" s="549"/>
      <c r="H3857" s="549"/>
      <c r="I3857" s="549"/>
      <c r="J3857" s="549"/>
      <c r="K3857" s="549"/>
      <c r="M3857" s="465"/>
      <c r="N3857" s="201"/>
    </row>
    <row r="3858" spans="2:14" hidden="1" outlineLevel="1" x14ac:dyDescent="0.35">
      <c r="B3858" s="200"/>
      <c r="C3858" s="201"/>
      <c r="D3858" s="201"/>
      <c r="E3858" s="201"/>
      <c r="F3858" s="202"/>
      <c r="G3858" s="549"/>
      <c r="H3858" s="549"/>
      <c r="I3858" s="549"/>
      <c r="J3858" s="549"/>
      <c r="K3858" s="549"/>
      <c r="M3858" s="465"/>
      <c r="N3858" s="201"/>
    </row>
    <row r="3859" spans="2:14" hidden="1" outlineLevel="1" x14ac:dyDescent="0.35">
      <c r="B3859" s="200"/>
      <c r="C3859" s="201"/>
      <c r="D3859" s="201"/>
      <c r="E3859" s="201"/>
      <c r="F3859" s="202"/>
      <c r="G3859" s="549"/>
      <c r="H3859" s="549"/>
      <c r="I3859" s="549"/>
      <c r="J3859" s="549"/>
      <c r="K3859" s="549"/>
      <c r="M3859" s="465"/>
      <c r="N3859" s="201"/>
    </row>
    <row r="3860" spans="2:14" hidden="1" outlineLevel="1" x14ac:dyDescent="0.35">
      <c r="B3860" s="200"/>
      <c r="C3860" s="201"/>
      <c r="D3860" s="201"/>
      <c r="E3860" s="201"/>
      <c r="F3860" s="202"/>
      <c r="G3860" s="549"/>
      <c r="H3860" s="549"/>
      <c r="I3860" s="549"/>
      <c r="J3860" s="549"/>
      <c r="K3860" s="549"/>
      <c r="M3860" s="465"/>
      <c r="N3860" s="201"/>
    </row>
    <row r="3861" spans="2:14" hidden="1" outlineLevel="1" x14ac:dyDescent="0.35">
      <c r="B3861" s="200"/>
      <c r="C3861" s="201"/>
      <c r="D3861" s="201"/>
      <c r="E3861" s="201"/>
      <c r="F3861" s="202"/>
      <c r="G3861" s="549"/>
      <c r="H3861" s="549"/>
      <c r="I3861" s="549"/>
      <c r="J3861" s="549"/>
      <c r="K3861" s="549"/>
      <c r="M3861" s="465"/>
      <c r="N3861" s="201"/>
    </row>
    <row r="3862" spans="2:14" hidden="1" outlineLevel="1" x14ac:dyDescent="0.35">
      <c r="B3862" s="200"/>
      <c r="C3862" s="201"/>
      <c r="D3862" s="201"/>
      <c r="E3862" s="201"/>
      <c r="F3862" s="202"/>
      <c r="G3862" s="549"/>
      <c r="H3862" s="549"/>
      <c r="I3862" s="549"/>
      <c r="J3862" s="549"/>
      <c r="K3862" s="549"/>
      <c r="M3862" s="465"/>
      <c r="N3862" s="201"/>
    </row>
    <row r="3863" spans="2:14" hidden="1" outlineLevel="1" x14ac:dyDescent="0.35">
      <c r="B3863" s="200"/>
      <c r="C3863" s="201"/>
      <c r="D3863" s="201"/>
      <c r="E3863" s="201"/>
      <c r="F3863" s="202"/>
      <c r="G3863" s="549"/>
      <c r="H3863" s="549"/>
      <c r="I3863" s="549"/>
      <c r="J3863" s="549"/>
      <c r="K3863" s="549"/>
      <c r="M3863" s="465"/>
      <c r="N3863" s="201"/>
    </row>
    <row r="3864" spans="2:14" hidden="1" outlineLevel="1" x14ac:dyDescent="0.35">
      <c r="B3864" s="200"/>
      <c r="C3864" s="201"/>
      <c r="D3864" s="201"/>
      <c r="E3864" s="201"/>
      <c r="F3864" s="202"/>
      <c r="G3864" s="549"/>
      <c r="H3864" s="549"/>
      <c r="I3864" s="549"/>
      <c r="J3864" s="549"/>
      <c r="K3864" s="549"/>
      <c r="M3864" s="465"/>
      <c r="N3864" s="201"/>
    </row>
    <row r="3865" spans="2:14" hidden="1" outlineLevel="1" x14ac:dyDescent="0.35">
      <c r="B3865" s="200"/>
      <c r="C3865" s="201"/>
      <c r="D3865" s="201"/>
      <c r="E3865" s="201"/>
      <c r="F3865" s="202"/>
      <c r="G3865" s="549"/>
      <c r="H3865" s="549"/>
      <c r="I3865" s="549"/>
      <c r="J3865" s="549"/>
      <c r="K3865" s="549"/>
      <c r="M3865" s="465"/>
      <c r="N3865" s="201"/>
    </row>
    <row r="3866" spans="2:14" hidden="1" outlineLevel="1" x14ac:dyDescent="0.35">
      <c r="B3866" s="200"/>
      <c r="C3866" s="201"/>
      <c r="D3866" s="201"/>
      <c r="E3866" s="201"/>
      <c r="F3866" s="202"/>
      <c r="G3866" s="549"/>
      <c r="H3866" s="549"/>
      <c r="I3866" s="549"/>
      <c r="J3866" s="549"/>
      <c r="K3866" s="549"/>
      <c r="M3866" s="465"/>
      <c r="N3866" s="201"/>
    </row>
    <row r="3867" spans="2:14" hidden="1" outlineLevel="1" x14ac:dyDescent="0.35">
      <c r="B3867" s="200"/>
      <c r="C3867" s="201"/>
      <c r="D3867" s="201"/>
      <c r="E3867" s="201"/>
      <c r="F3867" s="202"/>
      <c r="G3867" s="549"/>
      <c r="H3867" s="549"/>
      <c r="I3867" s="549"/>
      <c r="J3867" s="549"/>
      <c r="K3867" s="549"/>
      <c r="M3867" s="465"/>
      <c r="N3867" s="201"/>
    </row>
    <row r="3868" spans="2:14" hidden="1" outlineLevel="1" x14ac:dyDescent="0.35">
      <c r="B3868" s="200"/>
      <c r="C3868" s="201"/>
      <c r="D3868" s="201"/>
      <c r="E3868" s="201"/>
      <c r="F3868" s="202"/>
      <c r="G3868" s="549"/>
      <c r="H3868" s="549"/>
      <c r="I3868" s="549"/>
      <c r="J3868" s="549"/>
      <c r="K3868" s="549"/>
      <c r="M3868" s="465"/>
      <c r="N3868" s="201"/>
    </row>
    <row r="3869" spans="2:14" hidden="1" outlineLevel="1" x14ac:dyDescent="0.35">
      <c r="B3869" s="200"/>
      <c r="C3869" s="201"/>
      <c r="D3869" s="201"/>
      <c r="E3869" s="201"/>
      <c r="F3869" s="202"/>
      <c r="G3869" s="549"/>
      <c r="H3869" s="549"/>
      <c r="I3869" s="549"/>
      <c r="J3869" s="549"/>
      <c r="K3869" s="549"/>
      <c r="M3869" s="465"/>
      <c r="N3869" s="201"/>
    </row>
    <row r="3870" spans="2:14" hidden="1" outlineLevel="1" x14ac:dyDescent="0.35">
      <c r="B3870" s="200"/>
      <c r="C3870" s="201"/>
      <c r="D3870" s="201"/>
      <c r="E3870" s="201"/>
      <c r="F3870" s="202"/>
      <c r="G3870" s="549"/>
      <c r="H3870" s="549"/>
      <c r="I3870" s="549"/>
      <c r="J3870" s="549"/>
      <c r="K3870" s="549"/>
      <c r="M3870" s="465"/>
      <c r="N3870" s="201"/>
    </row>
    <row r="3871" spans="2:14" hidden="1" outlineLevel="1" x14ac:dyDescent="0.35">
      <c r="B3871" s="200"/>
      <c r="C3871" s="201"/>
      <c r="D3871" s="201"/>
      <c r="E3871" s="201"/>
      <c r="F3871" s="202"/>
      <c r="G3871" s="549"/>
      <c r="H3871" s="549"/>
      <c r="I3871" s="549"/>
      <c r="J3871" s="549"/>
      <c r="K3871" s="549"/>
      <c r="M3871" s="465"/>
      <c r="N3871" s="201"/>
    </row>
    <row r="3872" spans="2:14" hidden="1" outlineLevel="1" x14ac:dyDescent="0.35">
      <c r="B3872" s="200"/>
      <c r="C3872" s="201"/>
      <c r="D3872" s="201"/>
      <c r="E3872" s="201"/>
      <c r="F3872" s="202"/>
      <c r="G3872" s="549"/>
      <c r="H3872" s="549"/>
      <c r="I3872" s="549"/>
      <c r="J3872" s="549"/>
      <c r="K3872" s="549"/>
      <c r="M3872" s="465"/>
      <c r="N3872" s="201"/>
    </row>
    <row r="3873" spans="2:14" hidden="1" outlineLevel="1" x14ac:dyDescent="0.35">
      <c r="B3873" s="200"/>
      <c r="C3873" s="201"/>
      <c r="D3873" s="201"/>
      <c r="E3873" s="201"/>
      <c r="F3873" s="202"/>
      <c r="G3873" s="549"/>
      <c r="H3873" s="549"/>
      <c r="I3873" s="549"/>
      <c r="J3873" s="549"/>
      <c r="K3873" s="549"/>
      <c r="M3873" s="465"/>
      <c r="N3873" s="201"/>
    </row>
    <row r="3874" spans="2:14" hidden="1" outlineLevel="1" x14ac:dyDescent="0.35">
      <c r="B3874" s="200"/>
      <c r="C3874" s="201"/>
      <c r="D3874" s="201"/>
      <c r="E3874" s="201"/>
      <c r="F3874" s="202"/>
      <c r="G3874" s="549"/>
      <c r="H3874" s="549"/>
      <c r="I3874" s="549"/>
      <c r="J3874" s="549"/>
      <c r="K3874" s="549"/>
      <c r="M3874" s="465"/>
      <c r="N3874" s="201"/>
    </row>
    <row r="3875" spans="2:14" hidden="1" outlineLevel="1" x14ac:dyDescent="0.35">
      <c r="B3875" s="200"/>
      <c r="C3875" s="201"/>
      <c r="D3875" s="201"/>
      <c r="E3875" s="201"/>
      <c r="F3875" s="202"/>
      <c r="G3875" s="549"/>
      <c r="H3875" s="549"/>
      <c r="I3875" s="549"/>
      <c r="J3875" s="549"/>
      <c r="K3875" s="549"/>
      <c r="M3875" s="465"/>
      <c r="N3875" s="201"/>
    </row>
    <row r="3876" spans="2:14" hidden="1" outlineLevel="1" x14ac:dyDescent="0.35">
      <c r="B3876" s="200"/>
      <c r="C3876" s="201"/>
      <c r="D3876" s="201"/>
      <c r="E3876" s="201"/>
      <c r="F3876" s="202"/>
      <c r="G3876" s="549"/>
      <c r="H3876" s="549"/>
      <c r="I3876" s="549"/>
      <c r="J3876" s="549"/>
      <c r="K3876" s="549"/>
      <c r="M3876" s="465"/>
      <c r="N3876" s="201"/>
    </row>
    <row r="3877" spans="2:14" hidden="1" outlineLevel="1" x14ac:dyDescent="0.35">
      <c r="B3877" s="200"/>
      <c r="C3877" s="201"/>
      <c r="D3877" s="201"/>
      <c r="E3877" s="201"/>
      <c r="F3877" s="202"/>
      <c r="G3877" s="549"/>
      <c r="H3877" s="549"/>
      <c r="I3877" s="549"/>
      <c r="J3877" s="549"/>
      <c r="K3877" s="549"/>
      <c r="M3877" s="465"/>
      <c r="N3877" s="201"/>
    </row>
    <row r="3878" spans="2:14" hidden="1" outlineLevel="1" x14ac:dyDescent="0.35">
      <c r="B3878" s="200"/>
      <c r="C3878" s="201"/>
      <c r="D3878" s="201"/>
      <c r="E3878" s="201"/>
      <c r="F3878" s="202"/>
      <c r="G3878" s="549"/>
      <c r="H3878" s="549"/>
      <c r="I3878" s="549"/>
      <c r="J3878" s="549"/>
      <c r="K3878" s="549"/>
      <c r="M3878" s="465"/>
      <c r="N3878" s="201"/>
    </row>
    <row r="3879" spans="2:14" hidden="1" outlineLevel="1" x14ac:dyDescent="0.35">
      <c r="B3879" s="200"/>
      <c r="C3879" s="201"/>
      <c r="D3879" s="201"/>
      <c r="E3879" s="201"/>
      <c r="F3879" s="202"/>
      <c r="G3879" s="549"/>
      <c r="H3879" s="549"/>
      <c r="I3879" s="549"/>
      <c r="J3879" s="549"/>
      <c r="K3879" s="549"/>
      <c r="M3879" s="465"/>
      <c r="N3879" s="201"/>
    </row>
    <row r="3880" spans="2:14" hidden="1" outlineLevel="1" x14ac:dyDescent="0.35">
      <c r="B3880" s="200"/>
      <c r="C3880" s="201"/>
      <c r="D3880" s="201"/>
      <c r="E3880" s="201"/>
      <c r="F3880" s="202"/>
      <c r="G3880" s="549"/>
      <c r="H3880" s="549"/>
      <c r="I3880" s="549"/>
      <c r="J3880" s="549"/>
      <c r="K3880" s="549"/>
      <c r="M3880" s="465"/>
      <c r="N3880" s="201"/>
    </row>
    <row r="3881" spans="2:14" hidden="1" outlineLevel="1" x14ac:dyDescent="0.35">
      <c r="B3881" s="200"/>
      <c r="C3881" s="201"/>
      <c r="D3881" s="201"/>
      <c r="E3881" s="201"/>
      <c r="F3881" s="202"/>
      <c r="G3881" s="549"/>
      <c r="H3881" s="549"/>
      <c r="I3881" s="549"/>
      <c r="J3881" s="549"/>
      <c r="K3881" s="549"/>
      <c r="M3881" s="465"/>
      <c r="N3881" s="201"/>
    </row>
    <row r="3882" spans="2:14" hidden="1" outlineLevel="1" x14ac:dyDescent="0.35">
      <c r="B3882" s="200"/>
      <c r="C3882" s="201"/>
      <c r="D3882" s="201"/>
      <c r="E3882" s="201"/>
      <c r="F3882" s="202"/>
      <c r="G3882" s="549"/>
      <c r="H3882" s="549"/>
      <c r="I3882" s="549"/>
      <c r="J3882" s="549"/>
      <c r="K3882" s="549"/>
      <c r="M3882" s="465"/>
      <c r="N3882" s="201"/>
    </row>
    <row r="3883" spans="2:14" hidden="1" outlineLevel="1" x14ac:dyDescent="0.35">
      <c r="B3883" s="200"/>
      <c r="C3883" s="201"/>
      <c r="D3883" s="201"/>
      <c r="E3883" s="201"/>
      <c r="F3883" s="202"/>
      <c r="G3883" s="549"/>
      <c r="H3883" s="549"/>
      <c r="I3883" s="549"/>
      <c r="J3883" s="549"/>
      <c r="K3883" s="549"/>
      <c r="M3883" s="465"/>
      <c r="N3883" s="201"/>
    </row>
    <row r="3884" spans="2:14" hidden="1" outlineLevel="1" x14ac:dyDescent="0.35">
      <c r="B3884" s="200"/>
      <c r="C3884" s="201"/>
      <c r="D3884" s="201"/>
      <c r="E3884" s="201"/>
      <c r="F3884" s="202"/>
      <c r="G3884" s="549"/>
      <c r="H3884" s="549"/>
      <c r="I3884" s="549"/>
      <c r="J3884" s="549"/>
      <c r="K3884" s="549"/>
      <c r="M3884" s="465"/>
      <c r="N3884" s="201"/>
    </row>
    <row r="3885" spans="2:14" hidden="1" outlineLevel="1" x14ac:dyDescent="0.35">
      <c r="B3885" s="200"/>
      <c r="C3885" s="201"/>
      <c r="D3885" s="201"/>
      <c r="E3885" s="201"/>
      <c r="F3885" s="202"/>
      <c r="G3885" s="549"/>
      <c r="H3885" s="549"/>
      <c r="I3885" s="549"/>
      <c r="J3885" s="549"/>
      <c r="K3885" s="549"/>
      <c r="M3885" s="465"/>
      <c r="N3885" s="201"/>
    </row>
    <row r="3886" spans="2:14" hidden="1" outlineLevel="1" x14ac:dyDescent="0.35">
      <c r="B3886" s="200"/>
      <c r="C3886" s="201"/>
      <c r="D3886" s="201"/>
      <c r="E3886" s="201"/>
      <c r="F3886" s="202"/>
      <c r="G3886" s="549"/>
      <c r="H3886" s="549"/>
      <c r="I3886" s="549"/>
      <c r="J3886" s="549"/>
      <c r="K3886" s="549"/>
      <c r="M3886" s="465"/>
      <c r="N3886" s="201"/>
    </row>
    <row r="3887" spans="2:14" hidden="1" outlineLevel="1" x14ac:dyDescent="0.35">
      <c r="B3887" s="200"/>
      <c r="C3887" s="201"/>
      <c r="D3887" s="201"/>
      <c r="E3887" s="201"/>
      <c r="F3887" s="202"/>
      <c r="G3887" s="549"/>
      <c r="H3887" s="549"/>
      <c r="I3887" s="549"/>
      <c r="J3887" s="549"/>
      <c r="K3887" s="549"/>
      <c r="M3887" s="465"/>
      <c r="N3887" s="201"/>
    </row>
    <row r="3888" spans="2:14" hidden="1" outlineLevel="1" x14ac:dyDescent="0.35">
      <c r="B3888" s="200"/>
      <c r="C3888" s="201"/>
      <c r="D3888" s="201"/>
      <c r="E3888" s="201"/>
      <c r="F3888" s="202"/>
      <c r="G3888" s="549"/>
      <c r="H3888" s="549"/>
      <c r="I3888" s="549"/>
      <c r="J3888" s="549"/>
      <c r="K3888" s="549"/>
      <c r="M3888" s="465"/>
      <c r="N3888" s="201"/>
    </row>
    <row r="3889" spans="2:14" hidden="1" outlineLevel="1" x14ac:dyDescent="0.35">
      <c r="B3889" s="200"/>
      <c r="C3889" s="201"/>
      <c r="D3889" s="201"/>
      <c r="E3889" s="201"/>
      <c r="F3889" s="202"/>
      <c r="G3889" s="549"/>
      <c r="H3889" s="549"/>
      <c r="I3889" s="549"/>
      <c r="J3889" s="549"/>
      <c r="K3889" s="549"/>
      <c r="M3889" s="465"/>
      <c r="N3889" s="201"/>
    </row>
    <row r="3890" spans="2:14" hidden="1" outlineLevel="1" x14ac:dyDescent="0.35">
      <c r="B3890" s="200"/>
      <c r="C3890" s="201"/>
      <c r="D3890" s="201"/>
      <c r="E3890" s="201"/>
      <c r="F3890" s="202"/>
      <c r="G3890" s="549"/>
      <c r="H3890" s="549"/>
      <c r="I3890" s="549"/>
      <c r="J3890" s="549"/>
      <c r="K3890" s="549"/>
      <c r="M3890" s="465"/>
      <c r="N3890" s="201"/>
    </row>
    <row r="3891" spans="2:14" hidden="1" outlineLevel="1" x14ac:dyDescent="0.35">
      <c r="B3891" s="200"/>
      <c r="C3891" s="201"/>
      <c r="D3891" s="201"/>
      <c r="E3891" s="201"/>
      <c r="F3891" s="202"/>
      <c r="G3891" s="549"/>
      <c r="H3891" s="549"/>
      <c r="I3891" s="549"/>
      <c r="J3891" s="549"/>
      <c r="K3891" s="549"/>
      <c r="M3891" s="465"/>
      <c r="N3891" s="201"/>
    </row>
    <row r="3892" spans="2:14" hidden="1" outlineLevel="1" x14ac:dyDescent="0.35">
      <c r="B3892" s="200"/>
      <c r="C3892" s="201"/>
      <c r="D3892" s="201"/>
      <c r="E3892" s="201"/>
      <c r="F3892" s="202"/>
      <c r="G3892" s="549"/>
      <c r="H3892" s="549"/>
      <c r="I3892" s="549"/>
      <c r="J3892" s="549"/>
      <c r="K3892" s="549"/>
      <c r="M3892" s="465"/>
      <c r="N3892" s="201"/>
    </row>
    <row r="3893" spans="2:14" hidden="1" outlineLevel="1" x14ac:dyDescent="0.35">
      <c r="B3893" s="200"/>
      <c r="C3893" s="201"/>
      <c r="D3893" s="201"/>
      <c r="E3893" s="201"/>
      <c r="F3893" s="202"/>
      <c r="G3893" s="549"/>
      <c r="H3893" s="549"/>
      <c r="I3893" s="549"/>
      <c r="J3893" s="549"/>
      <c r="K3893" s="549"/>
      <c r="M3893" s="465"/>
      <c r="N3893" s="201"/>
    </row>
    <row r="3894" spans="2:14" hidden="1" outlineLevel="1" x14ac:dyDescent="0.35">
      <c r="B3894" s="200"/>
      <c r="C3894" s="201"/>
      <c r="D3894" s="201"/>
      <c r="E3894" s="201"/>
      <c r="F3894" s="202"/>
      <c r="G3894" s="549"/>
      <c r="H3894" s="549"/>
      <c r="I3894" s="549"/>
      <c r="J3894" s="549"/>
      <c r="K3894" s="549"/>
      <c r="M3894" s="465"/>
      <c r="N3894" s="201"/>
    </row>
    <row r="3895" spans="2:14" hidden="1" outlineLevel="1" x14ac:dyDescent="0.35">
      <c r="B3895" s="200"/>
      <c r="C3895" s="201"/>
      <c r="D3895" s="201"/>
      <c r="E3895" s="201"/>
      <c r="F3895" s="202"/>
      <c r="G3895" s="549"/>
      <c r="H3895" s="549"/>
      <c r="I3895" s="549"/>
      <c r="J3895" s="549"/>
      <c r="K3895" s="549"/>
      <c r="M3895" s="465"/>
      <c r="N3895" s="201"/>
    </row>
    <row r="3896" spans="2:14" hidden="1" outlineLevel="1" x14ac:dyDescent="0.35">
      <c r="B3896" s="200"/>
      <c r="C3896" s="201"/>
      <c r="D3896" s="201"/>
      <c r="E3896" s="201"/>
      <c r="F3896" s="202"/>
      <c r="G3896" s="549"/>
      <c r="H3896" s="549"/>
      <c r="I3896" s="549"/>
      <c r="J3896" s="549"/>
      <c r="K3896" s="549"/>
      <c r="M3896" s="465"/>
      <c r="N3896" s="201"/>
    </row>
    <row r="3897" spans="2:14" hidden="1" outlineLevel="1" x14ac:dyDescent="0.35">
      <c r="B3897" s="200"/>
      <c r="C3897" s="201"/>
      <c r="D3897" s="201"/>
      <c r="E3897" s="201"/>
      <c r="F3897" s="202"/>
      <c r="G3897" s="549"/>
      <c r="H3897" s="549"/>
      <c r="I3897" s="549"/>
      <c r="J3897" s="549"/>
      <c r="K3897" s="549"/>
      <c r="M3897" s="465"/>
      <c r="N3897" s="201"/>
    </row>
    <row r="3898" spans="2:14" hidden="1" outlineLevel="1" x14ac:dyDescent="0.35">
      <c r="B3898" s="200"/>
      <c r="C3898" s="201"/>
      <c r="D3898" s="201"/>
      <c r="E3898" s="201"/>
      <c r="F3898" s="202"/>
      <c r="G3898" s="549"/>
      <c r="H3898" s="549"/>
      <c r="I3898" s="549"/>
      <c r="J3898" s="549"/>
      <c r="K3898" s="549"/>
      <c r="M3898" s="465"/>
      <c r="N3898" s="201"/>
    </row>
    <row r="3899" spans="2:14" hidden="1" outlineLevel="1" x14ac:dyDescent="0.35">
      <c r="B3899" s="200"/>
      <c r="C3899" s="201"/>
      <c r="D3899" s="201"/>
      <c r="E3899" s="201"/>
      <c r="F3899" s="202"/>
      <c r="G3899" s="549"/>
      <c r="H3899" s="549"/>
      <c r="I3899" s="549"/>
      <c r="J3899" s="549"/>
      <c r="K3899" s="549"/>
      <c r="M3899" s="465"/>
      <c r="N3899" s="201"/>
    </row>
    <row r="3900" spans="2:14" hidden="1" outlineLevel="1" x14ac:dyDescent="0.35">
      <c r="B3900" s="200"/>
      <c r="C3900" s="201"/>
      <c r="D3900" s="201"/>
      <c r="E3900" s="201"/>
      <c r="F3900" s="202"/>
      <c r="G3900" s="549"/>
      <c r="H3900" s="549"/>
      <c r="I3900" s="549"/>
      <c r="J3900" s="549"/>
      <c r="K3900" s="549"/>
      <c r="M3900" s="465"/>
      <c r="N3900" s="201"/>
    </row>
    <row r="3901" spans="2:14" hidden="1" outlineLevel="1" x14ac:dyDescent="0.35">
      <c r="B3901" s="200"/>
      <c r="C3901" s="201"/>
      <c r="D3901" s="201"/>
      <c r="E3901" s="201"/>
      <c r="F3901" s="202"/>
      <c r="G3901" s="549"/>
      <c r="H3901" s="549"/>
      <c r="I3901" s="549"/>
      <c r="J3901" s="549"/>
      <c r="K3901" s="549"/>
      <c r="M3901" s="465"/>
      <c r="N3901" s="201"/>
    </row>
    <row r="3902" spans="2:14" hidden="1" outlineLevel="1" x14ac:dyDescent="0.35">
      <c r="B3902" s="200"/>
      <c r="C3902" s="201"/>
      <c r="D3902" s="201"/>
      <c r="E3902" s="201"/>
      <c r="F3902" s="202"/>
      <c r="G3902" s="549"/>
      <c r="H3902" s="549"/>
      <c r="I3902" s="549"/>
      <c r="J3902" s="549"/>
      <c r="K3902" s="549"/>
      <c r="M3902" s="465"/>
      <c r="N3902" s="201"/>
    </row>
    <row r="3903" spans="2:14" hidden="1" outlineLevel="1" x14ac:dyDescent="0.35">
      <c r="B3903" s="200"/>
      <c r="C3903" s="201"/>
      <c r="D3903" s="201"/>
      <c r="E3903" s="201"/>
      <c r="F3903" s="202"/>
      <c r="G3903" s="549"/>
      <c r="H3903" s="549"/>
      <c r="I3903" s="549"/>
      <c r="J3903" s="549"/>
      <c r="K3903" s="549"/>
      <c r="M3903" s="465"/>
      <c r="N3903" s="201"/>
    </row>
    <row r="3904" spans="2:14" hidden="1" outlineLevel="1" x14ac:dyDescent="0.35">
      <c r="B3904" s="200"/>
      <c r="C3904" s="201"/>
      <c r="D3904" s="201"/>
      <c r="E3904" s="201"/>
      <c r="F3904" s="202"/>
      <c r="G3904" s="549"/>
      <c r="H3904" s="549"/>
      <c r="I3904" s="549"/>
      <c r="J3904" s="549"/>
      <c r="K3904" s="549"/>
      <c r="M3904" s="465"/>
      <c r="N3904" s="201"/>
    </row>
    <row r="3905" spans="2:14" hidden="1" outlineLevel="1" x14ac:dyDescent="0.35">
      <c r="B3905" s="200"/>
      <c r="C3905" s="201"/>
      <c r="D3905" s="201"/>
      <c r="E3905" s="201"/>
      <c r="F3905" s="202"/>
      <c r="G3905" s="549"/>
      <c r="H3905" s="549"/>
      <c r="I3905" s="549"/>
      <c r="J3905" s="549"/>
      <c r="K3905" s="549"/>
      <c r="M3905" s="465"/>
      <c r="N3905" s="201"/>
    </row>
    <row r="3906" spans="2:14" hidden="1" outlineLevel="1" x14ac:dyDescent="0.35">
      <c r="B3906" s="200"/>
      <c r="C3906" s="201"/>
      <c r="D3906" s="201"/>
      <c r="E3906" s="201"/>
      <c r="F3906" s="202"/>
      <c r="G3906" s="549"/>
      <c r="H3906" s="549"/>
      <c r="I3906" s="549"/>
      <c r="J3906" s="549"/>
      <c r="K3906" s="549"/>
      <c r="M3906" s="465"/>
      <c r="N3906" s="201"/>
    </row>
    <row r="3907" spans="2:14" hidden="1" outlineLevel="1" x14ac:dyDescent="0.35">
      <c r="B3907" s="200"/>
      <c r="C3907" s="201"/>
      <c r="D3907" s="201"/>
      <c r="E3907" s="201"/>
      <c r="F3907" s="202"/>
      <c r="G3907" s="549"/>
      <c r="H3907" s="549"/>
      <c r="I3907" s="549"/>
      <c r="J3907" s="549"/>
      <c r="K3907" s="549"/>
      <c r="M3907" s="465"/>
      <c r="N3907" s="201"/>
    </row>
    <row r="3908" spans="2:14" hidden="1" outlineLevel="1" x14ac:dyDescent="0.35">
      <c r="B3908" s="200"/>
      <c r="C3908" s="201"/>
      <c r="D3908" s="201"/>
      <c r="E3908" s="201"/>
      <c r="F3908" s="202"/>
      <c r="G3908" s="549"/>
      <c r="H3908" s="549"/>
      <c r="I3908" s="549"/>
      <c r="J3908" s="549"/>
      <c r="K3908" s="549"/>
      <c r="M3908" s="465"/>
      <c r="N3908" s="201"/>
    </row>
    <row r="3909" spans="2:14" hidden="1" outlineLevel="1" x14ac:dyDescent="0.35">
      <c r="B3909" s="200"/>
      <c r="C3909" s="201"/>
      <c r="D3909" s="201"/>
      <c r="E3909" s="201"/>
      <c r="F3909" s="202"/>
      <c r="G3909" s="549"/>
      <c r="H3909" s="549"/>
      <c r="I3909" s="549"/>
      <c r="J3909" s="549"/>
      <c r="K3909" s="549"/>
      <c r="M3909" s="465"/>
      <c r="N3909" s="201"/>
    </row>
    <row r="3910" spans="2:14" hidden="1" outlineLevel="1" x14ac:dyDescent="0.35">
      <c r="B3910" s="200"/>
      <c r="C3910" s="201"/>
      <c r="D3910" s="201"/>
      <c r="E3910" s="201"/>
      <c r="F3910" s="202"/>
      <c r="G3910" s="549"/>
      <c r="H3910" s="549"/>
      <c r="I3910" s="549"/>
      <c r="J3910" s="549"/>
      <c r="K3910" s="549"/>
      <c r="M3910" s="465"/>
      <c r="N3910" s="201"/>
    </row>
    <row r="3911" spans="2:14" hidden="1" outlineLevel="1" x14ac:dyDescent="0.35">
      <c r="B3911" s="200"/>
      <c r="C3911" s="201"/>
      <c r="D3911" s="201"/>
      <c r="E3911" s="201"/>
      <c r="F3911" s="202"/>
      <c r="G3911" s="549"/>
      <c r="H3911" s="549"/>
      <c r="I3911" s="549"/>
      <c r="J3911" s="549"/>
      <c r="K3911" s="549"/>
      <c r="M3911" s="465"/>
      <c r="N3911" s="201"/>
    </row>
    <row r="3912" spans="2:14" hidden="1" outlineLevel="1" x14ac:dyDescent="0.35">
      <c r="B3912" s="200"/>
      <c r="C3912" s="201"/>
      <c r="D3912" s="201"/>
      <c r="E3912" s="201"/>
      <c r="F3912" s="202"/>
      <c r="G3912" s="549"/>
      <c r="H3912" s="549"/>
      <c r="I3912" s="549"/>
      <c r="J3912" s="549"/>
      <c r="K3912" s="549"/>
      <c r="M3912" s="465"/>
      <c r="N3912" s="201"/>
    </row>
    <row r="3913" spans="2:14" hidden="1" outlineLevel="1" x14ac:dyDescent="0.35">
      <c r="B3913" s="200"/>
      <c r="C3913" s="201"/>
      <c r="D3913" s="201"/>
      <c r="E3913" s="201"/>
      <c r="F3913" s="202"/>
      <c r="G3913" s="549"/>
      <c r="H3913" s="549"/>
      <c r="I3913" s="549"/>
      <c r="J3913" s="549"/>
      <c r="K3913" s="549"/>
      <c r="M3913" s="465"/>
      <c r="N3913" s="201"/>
    </row>
    <row r="3914" spans="2:14" hidden="1" outlineLevel="1" x14ac:dyDescent="0.35">
      <c r="B3914" s="200"/>
      <c r="C3914" s="201"/>
      <c r="D3914" s="201"/>
      <c r="E3914" s="201"/>
      <c r="F3914" s="202"/>
      <c r="G3914" s="549"/>
      <c r="H3914" s="549"/>
      <c r="I3914" s="549"/>
      <c r="J3914" s="549"/>
      <c r="K3914" s="549"/>
      <c r="M3914" s="465"/>
      <c r="N3914" s="201"/>
    </row>
    <row r="3915" spans="2:14" hidden="1" outlineLevel="1" x14ac:dyDescent="0.35">
      <c r="B3915" s="200"/>
      <c r="C3915" s="201"/>
      <c r="D3915" s="201"/>
      <c r="E3915" s="201"/>
      <c r="F3915" s="202"/>
      <c r="G3915" s="549"/>
      <c r="H3915" s="549"/>
      <c r="I3915" s="549"/>
      <c r="J3915" s="549"/>
      <c r="K3915" s="549"/>
      <c r="M3915" s="465"/>
      <c r="N3915" s="201"/>
    </row>
    <row r="3916" spans="2:14" hidden="1" outlineLevel="1" x14ac:dyDescent="0.35">
      <c r="B3916" s="200"/>
      <c r="C3916" s="201"/>
      <c r="D3916" s="201"/>
      <c r="E3916" s="201"/>
      <c r="F3916" s="202"/>
      <c r="G3916" s="549"/>
      <c r="H3916" s="549"/>
      <c r="I3916" s="549"/>
      <c r="J3916" s="549"/>
      <c r="K3916" s="549"/>
      <c r="M3916" s="465"/>
      <c r="N3916" s="201"/>
    </row>
    <row r="3917" spans="2:14" hidden="1" outlineLevel="1" x14ac:dyDescent="0.35">
      <c r="B3917" s="200"/>
      <c r="C3917" s="201"/>
      <c r="D3917" s="201"/>
      <c r="E3917" s="201"/>
      <c r="F3917" s="202"/>
      <c r="G3917" s="549"/>
      <c r="H3917" s="549"/>
      <c r="I3917" s="549"/>
      <c r="J3917" s="549"/>
      <c r="K3917" s="549"/>
      <c r="M3917" s="465"/>
      <c r="N3917" s="201"/>
    </row>
    <row r="3918" spans="2:14" hidden="1" outlineLevel="1" x14ac:dyDescent="0.35">
      <c r="B3918" s="200"/>
      <c r="C3918" s="201"/>
      <c r="D3918" s="201"/>
      <c r="E3918" s="201"/>
      <c r="F3918" s="202"/>
      <c r="G3918" s="549"/>
      <c r="H3918" s="549"/>
      <c r="I3918" s="549"/>
      <c r="J3918" s="549"/>
      <c r="K3918" s="549"/>
      <c r="M3918" s="465"/>
      <c r="N3918" s="201"/>
    </row>
    <row r="3919" spans="2:14" hidden="1" outlineLevel="1" x14ac:dyDescent="0.35">
      <c r="B3919" s="200"/>
      <c r="C3919" s="201"/>
      <c r="D3919" s="201"/>
      <c r="E3919" s="201"/>
      <c r="F3919" s="202"/>
      <c r="G3919" s="549"/>
      <c r="H3919" s="549"/>
      <c r="I3919" s="549"/>
      <c r="J3919" s="549"/>
      <c r="K3919" s="549"/>
      <c r="M3919" s="465"/>
      <c r="N3919" s="201"/>
    </row>
    <row r="3920" spans="2:14" hidden="1" outlineLevel="1" x14ac:dyDescent="0.35">
      <c r="B3920" s="200"/>
      <c r="C3920" s="201"/>
      <c r="D3920" s="201"/>
      <c r="E3920" s="201"/>
      <c r="F3920" s="202"/>
      <c r="G3920" s="549"/>
      <c r="H3920" s="549"/>
      <c r="I3920" s="549"/>
      <c r="J3920" s="549"/>
      <c r="K3920" s="549"/>
      <c r="M3920" s="465"/>
      <c r="N3920" s="201"/>
    </row>
    <row r="3921" spans="2:14" hidden="1" outlineLevel="1" x14ac:dyDescent="0.35">
      <c r="B3921" s="200"/>
      <c r="C3921" s="201"/>
      <c r="D3921" s="201"/>
      <c r="E3921" s="201"/>
      <c r="F3921" s="202"/>
      <c r="G3921" s="549"/>
      <c r="H3921" s="549"/>
      <c r="I3921" s="549"/>
      <c r="J3921" s="549"/>
      <c r="K3921" s="549"/>
      <c r="M3921" s="465"/>
      <c r="N3921" s="201"/>
    </row>
    <row r="3922" spans="2:14" hidden="1" outlineLevel="1" x14ac:dyDescent="0.35">
      <c r="B3922" s="200"/>
      <c r="C3922" s="201"/>
      <c r="D3922" s="201"/>
      <c r="E3922" s="201"/>
      <c r="F3922" s="202"/>
      <c r="G3922" s="549"/>
      <c r="H3922" s="549"/>
      <c r="I3922" s="549"/>
      <c r="J3922" s="549"/>
      <c r="K3922" s="549"/>
      <c r="M3922" s="465"/>
      <c r="N3922" s="201"/>
    </row>
    <row r="3923" spans="2:14" hidden="1" outlineLevel="1" x14ac:dyDescent="0.35">
      <c r="B3923" s="200"/>
      <c r="C3923" s="201"/>
      <c r="D3923" s="201"/>
      <c r="E3923" s="201"/>
      <c r="F3923" s="202"/>
      <c r="G3923" s="549"/>
      <c r="H3923" s="549"/>
      <c r="I3923" s="549"/>
      <c r="J3923" s="549"/>
      <c r="K3923" s="549"/>
      <c r="M3923" s="465"/>
      <c r="N3923" s="201"/>
    </row>
    <row r="3924" spans="2:14" hidden="1" outlineLevel="1" x14ac:dyDescent="0.35">
      <c r="B3924" s="200"/>
      <c r="C3924" s="201"/>
      <c r="D3924" s="201"/>
      <c r="E3924" s="201"/>
      <c r="F3924" s="202"/>
      <c r="G3924" s="549"/>
      <c r="H3924" s="549"/>
      <c r="I3924" s="549"/>
      <c r="J3924" s="549"/>
      <c r="K3924" s="549"/>
      <c r="M3924" s="465"/>
      <c r="N3924" s="201"/>
    </row>
    <row r="3925" spans="2:14" hidden="1" outlineLevel="1" x14ac:dyDescent="0.35">
      <c r="B3925" s="200"/>
      <c r="C3925" s="201"/>
      <c r="D3925" s="201"/>
      <c r="E3925" s="201"/>
      <c r="F3925" s="202"/>
      <c r="G3925" s="549"/>
      <c r="H3925" s="549"/>
      <c r="I3925" s="549"/>
      <c r="J3925" s="549"/>
      <c r="K3925" s="549"/>
      <c r="M3925" s="465"/>
      <c r="N3925" s="201"/>
    </row>
    <row r="3926" spans="2:14" hidden="1" outlineLevel="1" x14ac:dyDescent="0.35">
      <c r="B3926" s="200"/>
      <c r="C3926" s="201"/>
      <c r="D3926" s="201"/>
      <c r="E3926" s="201"/>
      <c r="F3926" s="202"/>
      <c r="G3926" s="549"/>
      <c r="H3926" s="549"/>
      <c r="I3926" s="549"/>
      <c r="J3926" s="549"/>
      <c r="K3926" s="549"/>
      <c r="M3926" s="465"/>
      <c r="N3926" s="201"/>
    </row>
    <row r="3927" spans="2:14" hidden="1" outlineLevel="1" x14ac:dyDescent="0.35">
      <c r="B3927" s="200"/>
      <c r="C3927" s="201"/>
      <c r="D3927" s="201"/>
      <c r="E3927" s="201"/>
      <c r="F3927" s="202"/>
      <c r="G3927" s="549"/>
      <c r="H3927" s="549"/>
      <c r="I3927" s="549"/>
      <c r="J3927" s="549"/>
      <c r="K3927" s="549"/>
      <c r="M3927" s="465"/>
      <c r="N3927" s="201"/>
    </row>
    <row r="3928" spans="2:14" hidden="1" outlineLevel="1" x14ac:dyDescent="0.35">
      <c r="B3928" s="200"/>
      <c r="C3928" s="201"/>
      <c r="D3928" s="201"/>
      <c r="E3928" s="201"/>
      <c r="F3928" s="202"/>
      <c r="G3928" s="549"/>
      <c r="H3928" s="549"/>
      <c r="I3928" s="549"/>
      <c r="J3928" s="549"/>
      <c r="K3928" s="549"/>
      <c r="M3928" s="465"/>
      <c r="N3928" s="201"/>
    </row>
    <row r="3929" spans="2:14" hidden="1" outlineLevel="1" x14ac:dyDescent="0.35">
      <c r="B3929" s="200"/>
      <c r="C3929" s="201"/>
      <c r="D3929" s="201"/>
      <c r="E3929" s="201"/>
      <c r="F3929" s="202"/>
      <c r="G3929" s="549"/>
      <c r="H3929" s="549"/>
      <c r="I3929" s="549"/>
      <c r="J3929" s="549"/>
      <c r="K3929" s="549"/>
      <c r="M3929" s="465"/>
      <c r="N3929" s="201"/>
    </row>
    <row r="3930" spans="2:14" hidden="1" outlineLevel="1" x14ac:dyDescent="0.35">
      <c r="B3930" s="200"/>
      <c r="C3930" s="201"/>
      <c r="D3930" s="201"/>
      <c r="E3930" s="201"/>
      <c r="F3930" s="202"/>
      <c r="G3930" s="549"/>
      <c r="H3930" s="549"/>
      <c r="I3930" s="549"/>
      <c r="J3930" s="549"/>
      <c r="K3930" s="549"/>
      <c r="M3930" s="465"/>
      <c r="N3930" s="201"/>
    </row>
    <row r="3931" spans="2:14" hidden="1" outlineLevel="1" x14ac:dyDescent="0.35">
      <c r="B3931" s="200"/>
      <c r="C3931" s="201"/>
      <c r="D3931" s="201"/>
      <c r="E3931" s="201"/>
      <c r="F3931" s="202"/>
      <c r="G3931" s="549"/>
      <c r="H3931" s="549"/>
      <c r="I3931" s="549"/>
      <c r="J3931" s="549"/>
      <c r="K3931" s="549"/>
      <c r="M3931" s="465"/>
      <c r="N3931" s="201"/>
    </row>
    <row r="3932" spans="2:14" hidden="1" outlineLevel="1" x14ac:dyDescent="0.35">
      <c r="B3932" s="200"/>
      <c r="C3932" s="201"/>
      <c r="D3932" s="201"/>
      <c r="E3932" s="201"/>
      <c r="F3932" s="202"/>
      <c r="G3932" s="549"/>
      <c r="H3932" s="549"/>
      <c r="I3932" s="549"/>
      <c r="J3932" s="549"/>
      <c r="K3932" s="549"/>
      <c r="M3932" s="465"/>
      <c r="N3932" s="201"/>
    </row>
    <row r="3933" spans="2:14" hidden="1" outlineLevel="1" x14ac:dyDescent="0.35">
      <c r="B3933" s="200"/>
      <c r="C3933" s="201"/>
      <c r="D3933" s="201"/>
      <c r="E3933" s="201"/>
      <c r="F3933" s="202"/>
      <c r="G3933" s="549"/>
      <c r="H3933" s="549"/>
      <c r="I3933" s="549"/>
      <c r="J3933" s="549"/>
      <c r="K3933" s="549"/>
      <c r="M3933" s="465"/>
      <c r="N3933" s="201"/>
    </row>
    <row r="3934" spans="2:14" hidden="1" outlineLevel="1" x14ac:dyDescent="0.35">
      <c r="B3934" s="200"/>
      <c r="C3934" s="201"/>
      <c r="D3934" s="201"/>
      <c r="E3934" s="201"/>
      <c r="F3934" s="202"/>
      <c r="G3934" s="549"/>
      <c r="H3934" s="549"/>
      <c r="I3934" s="549"/>
      <c r="J3934" s="549"/>
      <c r="K3934" s="549"/>
      <c r="M3934" s="465"/>
      <c r="N3934" s="201"/>
    </row>
    <row r="3935" spans="2:14" hidden="1" outlineLevel="1" x14ac:dyDescent="0.35">
      <c r="B3935" s="200"/>
      <c r="C3935" s="201"/>
      <c r="D3935" s="201"/>
      <c r="E3935" s="201"/>
      <c r="F3935" s="202"/>
      <c r="G3935" s="549"/>
      <c r="H3935" s="549"/>
      <c r="I3935" s="549"/>
      <c r="J3935" s="549"/>
      <c r="K3935" s="549"/>
      <c r="M3935" s="465"/>
      <c r="N3935" s="201"/>
    </row>
    <row r="3936" spans="2:14" hidden="1" outlineLevel="1" x14ac:dyDescent="0.35">
      <c r="B3936" s="200"/>
      <c r="C3936" s="201"/>
      <c r="D3936" s="201"/>
      <c r="E3936" s="201"/>
      <c r="F3936" s="202"/>
      <c r="G3936" s="549"/>
      <c r="H3936" s="549"/>
      <c r="I3936" s="549"/>
      <c r="J3936" s="549"/>
      <c r="K3936" s="549"/>
      <c r="M3936" s="465"/>
      <c r="N3936" s="201"/>
    </row>
    <row r="3937" spans="2:14" hidden="1" outlineLevel="1" x14ac:dyDescent="0.35">
      <c r="B3937" s="200"/>
      <c r="C3937" s="201"/>
      <c r="D3937" s="201"/>
      <c r="E3937" s="201"/>
      <c r="F3937" s="202"/>
      <c r="G3937" s="549"/>
      <c r="H3937" s="549"/>
      <c r="I3937" s="549"/>
      <c r="J3937" s="549"/>
      <c r="K3937" s="549"/>
      <c r="M3937" s="465"/>
      <c r="N3937" s="201"/>
    </row>
    <row r="3938" spans="2:14" hidden="1" outlineLevel="1" x14ac:dyDescent="0.35">
      <c r="B3938" s="200"/>
      <c r="C3938" s="201"/>
      <c r="D3938" s="201"/>
      <c r="E3938" s="201"/>
      <c r="F3938" s="202"/>
      <c r="G3938" s="549"/>
      <c r="H3938" s="549"/>
      <c r="I3938" s="549"/>
      <c r="J3938" s="549"/>
      <c r="K3938" s="549"/>
      <c r="M3938" s="465"/>
      <c r="N3938" s="201"/>
    </row>
    <row r="3939" spans="2:14" hidden="1" outlineLevel="1" x14ac:dyDescent="0.35">
      <c r="B3939" s="200"/>
      <c r="C3939" s="201"/>
      <c r="D3939" s="201"/>
      <c r="E3939" s="201"/>
      <c r="F3939" s="202"/>
      <c r="G3939" s="549"/>
      <c r="H3939" s="549"/>
      <c r="I3939" s="549"/>
      <c r="J3939" s="549"/>
      <c r="K3939" s="549"/>
      <c r="M3939" s="465"/>
      <c r="N3939" s="201"/>
    </row>
    <row r="3940" spans="2:14" hidden="1" outlineLevel="1" x14ac:dyDescent="0.35">
      <c r="B3940" s="200"/>
      <c r="C3940" s="201"/>
      <c r="D3940" s="201"/>
      <c r="E3940" s="201"/>
      <c r="F3940" s="202"/>
      <c r="G3940" s="549"/>
      <c r="H3940" s="549"/>
      <c r="I3940" s="549"/>
      <c r="J3940" s="549"/>
      <c r="K3940" s="549"/>
      <c r="M3940" s="465"/>
      <c r="N3940" s="201"/>
    </row>
    <row r="3941" spans="2:14" hidden="1" outlineLevel="1" x14ac:dyDescent="0.35">
      <c r="B3941" s="200"/>
      <c r="C3941" s="201"/>
      <c r="D3941" s="201"/>
      <c r="E3941" s="201"/>
      <c r="F3941" s="202"/>
      <c r="G3941" s="549"/>
      <c r="H3941" s="549"/>
      <c r="I3941" s="549"/>
      <c r="J3941" s="549"/>
      <c r="K3941" s="549"/>
      <c r="M3941" s="465"/>
      <c r="N3941" s="201"/>
    </row>
    <row r="3942" spans="2:14" hidden="1" outlineLevel="1" x14ac:dyDescent="0.35">
      <c r="B3942" s="200"/>
      <c r="C3942" s="201"/>
      <c r="D3942" s="201"/>
      <c r="E3942" s="201"/>
      <c r="F3942" s="202"/>
      <c r="G3942" s="549"/>
      <c r="H3942" s="549"/>
      <c r="I3942" s="549"/>
      <c r="J3942" s="549"/>
      <c r="K3942" s="549"/>
      <c r="M3942" s="465"/>
      <c r="N3942" s="201"/>
    </row>
    <row r="3943" spans="2:14" hidden="1" outlineLevel="1" x14ac:dyDescent="0.35">
      <c r="B3943" s="200"/>
      <c r="C3943" s="201"/>
      <c r="D3943" s="201"/>
      <c r="E3943" s="201"/>
      <c r="F3943" s="202"/>
      <c r="G3943" s="549"/>
      <c r="H3943" s="549"/>
      <c r="I3943" s="549"/>
      <c r="J3943" s="549"/>
      <c r="K3943" s="549"/>
      <c r="M3943" s="465"/>
      <c r="N3943" s="201"/>
    </row>
    <row r="3944" spans="2:14" hidden="1" outlineLevel="1" x14ac:dyDescent="0.35">
      <c r="B3944" s="200"/>
      <c r="C3944" s="201"/>
      <c r="D3944" s="201"/>
      <c r="E3944" s="201"/>
      <c r="F3944" s="202"/>
      <c r="G3944" s="549"/>
      <c r="H3944" s="549"/>
      <c r="I3944" s="549"/>
      <c r="J3944" s="549"/>
      <c r="K3944" s="549"/>
      <c r="M3944" s="465"/>
      <c r="N3944" s="201"/>
    </row>
    <row r="3945" spans="2:14" hidden="1" outlineLevel="1" x14ac:dyDescent="0.35">
      <c r="B3945" s="200"/>
      <c r="C3945" s="201"/>
      <c r="D3945" s="201"/>
      <c r="E3945" s="201"/>
      <c r="F3945" s="202"/>
      <c r="G3945" s="549"/>
      <c r="H3945" s="549"/>
      <c r="I3945" s="549"/>
      <c r="J3945" s="549"/>
      <c r="K3945" s="549"/>
      <c r="M3945" s="465"/>
      <c r="N3945" s="201"/>
    </row>
    <row r="3946" spans="2:14" hidden="1" outlineLevel="1" x14ac:dyDescent="0.35">
      <c r="B3946" s="200"/>
      <c r="C3946" s="201"/>
      <c r="D3946" s="201"/>
      <c r="E3946" s="201"/>
      <c r="F3946" s="202"/>
      <c r="G3946" s="549"/>
      <c r="H3946" s="549"/>
      <c r="I3946" s="549"/>
      <c r="J3946" s="549"/>
      <c r="K3946" s="549"/>
      <c r="M3946" s="465"/>
      <c r="N3946" s="201"/>
    </row>
    <row r="3947" spans="2:14" hidden="1" outlineLevel="1" x14ac:dyDescent="0.35">
      <c r="B3947" s="200"/>
      <c r="C3947" s="201"/>
      <c r="D3947" s="201"/>
      <c r="E3947" s="201"/>
      <c r="F3947" s="202"/>
      <c r="G3947" s="549"/>
      <c r="H3947" s="549"/>
      <c r="I3947" s="549"/>
      <c r="J3947" s="549"/>
      <c r="K3947" s="549"/>
      <c r="M3947" s="465"/>
      <c r="N3947" s="201"/>
    </row>
    <row r="3948" spans="2:14" hidden="1" outlineLevel="1" x14ac:dyDescent="0.35">
      <c r="B3948" s="200"/>
      <c r="C3948" s="201"/>
      <c r="D3948" s="201"/>
      <c r="E3948" s="201"/>
      <c r="F3948" s="202"/>
      <c r="G3948" s="549"/>
      <c r="H3948" s="549"/>
      <c r="I3948" s="549"/>
      <c r="J3948" s="549"/>
      <c r="K3948" s="549"/>
      <c r="M3948" s="465"/>
      <c r="N3948" s="201"/>
    </row>
    <row r="3949" spans="2:14" hidden="1" outlineLevel="1" x14ac:dyDescent="0.35">
      <c r="B3949" s="200"/>
      <c r="C3949" s="201"/>
      <c r="D3949" s="201"/>
      <c r="E3949" s="201"/>
      <c r="F3949" s="202"/>
      <c r="G3949" s="549"/>
      <c r="H3949" s="549"/>
      <c r="I3949" s="549"/>
      <c r="J3949" s="549"/>
      <c r="K3949" s="549"/>
      <c r="M3949" s="465"/>
      <c r="N3949" s="201"/>
    </row>
    <row r="3950" spans="2:14" hidden="1" outlineLevel="1" x14ac:dyDescent="0.35">
      <c r="B3950" s="200"/>
      <c r="C3950" s="201"/>
      <c r="D3950" s="201"/>
      <c r="E3950" s="201"/>
      <c r="F3950" s="202"/>
      <c r="G3950" s="549"/>
      <c r="H3950" s="549"/>
      <c r="I3950" s="549"/>
      <c r="J3950" s="549"/>
      <c r="K3950" s="549"/>
      <c r="M3950" s="465"/>
      <c r="N3950" s="201"/>
    </row>
    <row r="3951" spans="2:14" hidden="1" outlineLevel="1" x14ac:dyDescent="0.35">
      <c r="B3951" s="200"/>
      <c r="C3951" s="201"/>
      <c r="D3951" s="201"/>
      <c r="E3951" s="201"/>
      <c r="F3951" s="202"/>
      <c r="G3951" s="549"/>
      <c r="H3951" s="549"/>
      <c r="I3951" s="549"/>
      <c r="J3951" s="549"/>
      <c r="K3951" s="549"/>
      <c r="M3951" s="465"/>
      <c r="N3951" s="201"/>
    </row>
    <row r="3952" spans="2:14" hidden="1" outlineLevel="1" x14ac:dyDescent="0.35">
      <c r="B3952" s="200"/>
      <c r="C3952" s="201"/>
      <c r="D3952" s="201"/>
      <c r="E3952" s="201"/>
      <c r="F3952" s="202"/>
      <c r="G3952" s="549"/>
      <c r="H3952" s="549"/>
      <c r="I3952" s="549"/>
      <c r="J3952" s="549"/>
      <c r="K3952" s="549"/>
      <c r="M3952" s="465"/>
      <c r="N3952" s="201"/>
    </row>
    <row r="3953" spans="2:14" hidden="1" outlineLevel="1" x14ac:dyDescent="0.35">
      <c r="B3953" s="200"/>
      <c r="C3953" s="201"/>
      <c r="D3953" s="201"/>
      <c r="E3953" s="201"/>
      <c r="F3953" s="202"/>
      <c r="G3953" s="549"/>
      <c r="H3953" s="549"/>
      <c r="I3953" s="549"/>
      <c r="J3953" s="549"/>
      <c r="K3953" s="549"/>
      <c r="M3953" s="465"/>
      <c r="N3953" s="201"/>
    </row>
    <row r="3954" spans="2:14" hidden="1" outlineLevel="1" x14ac:dyDescent="0.35">
      <c r="B3954" s="200"/>
      <c r="C3954" s="201"/>
      <c r="D3954" s="201"/>
      <c r="E3954" s="201"/>
      <c r="F3954" s="202"/>
      <c r="G3954" s="549"/>
      <c r="H3954" s="549"/>
      <c r="I3954" s="549"/>
      <c r="J3954" s="549"/>
      <c r="K3954" s="549"/>
      <c r="M3954" s="465"/>
      <c r="N3954" s="201"/>
    </row>
    <row r="3955" spans="2:14" hidden="1" outlineLevel="1" x14ac:dyDescent="0.35">
      <c r="B3955" s="200"/>
      <c r="C3955" s="201"/>
      <c r="D3955" s="201"/>
      <c r="E3955" s="201"/>
      <c r="F3955" s="202"/>
      <c r="G3955" s="549"/>
      <c r="H3955" s="549"/>
      <c r="I3955" s="549"/>
      <c r="J3955" s="549"/>
      <c r="K3955" s="549"/>
      <c r="M3955" s="465"/>
      <c r="N3955" s="201"/>
    </row>
    <row r="3956" spans="2:14" hidden="1" outlineLevel="1" x14ac:dyDescent="0.35">
      <c r="B3956" s="200"/>
      <c r="C3956" s="201"/>
      <c r="D3956" s="201"/>
      <c r="E3956" s="201"/>
      <c r="F3956" s="202"/>
      <c r="G3956" s="549"/>
      <c r="H3956" s="549"/>
      <c r="I3956" s="549"/>
      <c r="J3956" s="549"/>
      <c r="K3956" s="549"/>
      <c r="M3956" s="465"/>
      <c r="N3956" s="201"/>
    </row>
    <row r="3957" spans="2:14" hidden="1" outlineLevel="1" x14ac:dyDescent="0.35">
      <c r="B3957" s="200"/>
      <c r="C3957" s="201"/>
      <c r="D3957" s="201"/>
      <c r="E3957" s="201"/>
      <c r="F3957" s="202"/>
      <c r="G3957" s="549"/>
      <c r="H3957" s="549"/>
      <c r="I3957" s="549"/>
      <c r="J3957" s="549"/>
      <c r="K3957" s="549"/>
      <c r="M3957" s="465"/>
      <c r="N3957" s="201"/>
    </row>
    <row r="3958" spans="2:14" hidden="1" outlineLevel="1" x14ac:dyDescent="0.35">
      <c r="B3958" s="200"/>
      <c r="C3958" s="201"/>
      <c r="D3958" s="201"/>
      <c r="E3958" s="201"/>
      <c r="F3958" s="202"/>
      <c r="G3958" s="549"/>
      <c r="H3958" s="549"/>
      <c r="I3958" s="549"/>
      <c r="J3958" s="549"/>
      <c r="K3958" s="549"/>
      <c r="M3958" s="465"/>
      <c r="N3958" s="201"/>
    </row>
    <row r="3959" spans="2:14" hidden="1" outlineLevel="1" x14ac:dyDescent="0.35">
      <c r="B3959" s="200"/>
      <c r="C3959" s="201"/>
      <c r="D3959" s="201"/>
      <c r="E3959" s="201"/>
      <c r="F3959" s="202"/>
      <c r="G3959" s="549"/>
      <c r="H3959" s="549"/>
      <c r="I3959" s="549"/>
      <c r="J3959" s="549"/>
      <c r="K3959" s="549"/>
      <c r="M3959" s="465"/>
      <c r="N3959" s="201"/>
    </row>
    <row r="3960" spans="2:14" hidden="1" outlineLevel="1" x14ac:dyDescent="0.35">
      <c r="B3960" s="200"/>
      <c r="C3960" s="201"/>
      <c r="D3960" s="201"/>
      <c r="E3960" s="201"/>
      <c r="F3960" s="202"/>
      <c r="G3960" s="549"/>
      <c r="H3960" s="549"/>
      <c r="I3960" s="549"/>
      <c r="J3960" s="549"/>
      <c r="K3960" s="549"/>
      <c r="M3960" s="465"/>
      <c r="N3960" s="201"/>
    </row>
    <row r="3961" spans="2:14" hidden="1" outlineLevel="1" x14ac:dyDescent="0.35">
      <c r="B3961" s="200"/>
      <c r="C3961" s="201"/>
      <c r="D3961" s="201"/>
      <c r="E3961" s="201"/>
      <c r="F3961" s="202"/>
      <c r="G3961" s="549"/>
      <c r="H3961" s="549"/>
      <c r="I3961" s="549"/>
      <c r="J3961" s="549"/>
      <c r="K3961" s="549"/>
      <c r="M3961" s="465"/>
      <c r="N3961" s="201"/>
    </row>
    <row r="3962" spans="2:14" hidden="1" outlineLevel="1" x14ac:dyDescent="0.35">
      <c r="B3962" s="200"/>
      <c r="C3962" s="201"/>
      <c r="D3962" s="201"/>
      <c r="E3962" s="201"/>
      <c r="F3962" s="202"/>
      <c r="G3962" s="549"/>
      <c r="H3962" s="549"/>
      <c r="I3962" s="549"/>
      <c r="J3962" s="549"/>
      <c r="K3962" s="549"/>
      <c r="M3962" s="465"/>
      <c r="N3962" s="201"/>
    </row>
    <row r="3963" spans="2:14" hidden="1" outlineLevel="1" x14ac:dyDescent="0.35">
      <c r="B3963" s="200"/>
      <c r="C3963" s="201"/>
      <c r="D3963" s="201"/>
      <c r="E3963" s="201"/>
      <c r="F3963" s="202"/>
      <c r="G3963" s="549"/>
      <c r="H3963" s="549"/>
      <c r="I3963" s="549"/>
      <c r="J3963" s="549"/>
      <c r="K3963" s="549"/>
      <c r="M3963" s="465"/>
      <c r="N3963" s="201"/>
    </row>
    <row r="3964" spans="2:14" hidden="1" outlineLevel="1" x14ac:dyDescent="0.35">
      <c r="B3964" s="200"/>
      <c r="C3964" s="201"/>
      <c r="D3964" s="201"/>
      <c r="E3964" s="201"/>
      <c r="F3964" s="202"/>
      <c r="G3964" s="549"/>
      <c r="H3964" s="549"/>
      <c r="I3964" s="549"/>
      <c r="J3964" s="549"/>
      <c r="K3964" s="549"/>
      <c r="M3964" s="465"/>
      <c r="N3964" s="201"/>
    </row>
    <row r="3965" spans="2:14" hidden="1" outlineLevel="1" x14ac:dyDescent="0.35">
      <c r="B3965" s="200"/>
      <c r="C3965" s="201"/>
      <c r="D3965" s="201"/>
      <c r="E3965" s="201"/>
      <c r="F3965" s="202"/>
      <c r="G3965" s="549"/>
      <c r="H3965" s="549"/>
      <c r="I3965" s="549"/>
      <c r="J3965" s="549"/>
      <c r="K3965" s="549"/>
      <c r="M3965" s="465"/>
      <c r="N3965" s="201"/>
    </row>
    <row r="3966" spans="2:14" hidden="1" outlineLevel="1" x14ac:dyDescent="0.35">
      <c r="B3966" s="200"/>
      <c r="C3966" s="201"/>
      <c r="D3966" s="201"/>
      <c r="E3966" s="201"/>
      <c r="F3966" s="202"/>
      <c r="G3966" s="549"/>
      <c r="H3966" s="549"/>
      <c r="I3966" s="549"/>
      <c r="J3966" s="549"/>
      <c r="K3966" s="549"/>
      <c r="M3966" s="465"/>
      <c r="N3966" s="201"/>
    </row>
    <row r="3967" spans="2:14" hidden="1" outlineLevel="1" x14ac:dyDescent="0.35">
      <c r="B3967" s="200"/>
      <c r="C3967" s="201"/>
      <c r="D3967" s="201"/>
      <c r="E3967" s="201"/>
      <c r="F3967" s="202"/>
      <c r="G3967" s="549"/>
      <c r="H3967" s="549"/>
      <c r="I3967" s="549"/>
      <c r="J3967" s="549"/>
      <c r="K3967" s="549"/>
      <c r="M3967" s="465"/>
      <c r="N3967" s="201"/>
    </row>
    <row r="3968" spans="2:14" hidden="1" outlineLevel="1" x14ac:dyDescent="0.35">
      <c r="B3968" s="200"/>
      <c r="C3968" s="201"/>
      <c r="D3968" s="201"/>
      <c r="E3968" s="201"/>
      <c r="F3968" s="202"/>
      <c r="G3968" s="549"/>
      <c r="H3968" s="549"/>
      <c r="I3968" s="549"/>
      <c r="J3968" s="549"/>
      <c r="K3968" s="549"/>
      <c r="M3968" s="465"/>
      <c r="N3968" s="201"/>
    </row>
    <row r="3969" spans="2:14" hidden="1" outlineLevel="1" x14ac:dyDescent="0.35">
      <c r="B3969" s="200"/>
      <c r="C3969" s="201"/>
      <c r="D3969" s="201"/>
      <c r="E3969" s="201"/>
      <c r="F3969" s="202"/>
      <c r="G3969" s="549"/>
      <c r="H3969" s="549"/>
      <c r="I3969" s="549"/>
      <c r="J3969" s="549"/>
      <c r="K3969" s="549"/>
      <c r="M3969" s="465"/>
      <c r="N3969" s="201"/>
    </row>
    <row r="3970" spans="2:14" hidden="1" outlineLevel="1" x14ac:dyDescent="0.35">
      <c r="B3970" s="200"/>
      <c r="C3970" s="201"/>
      <c r="D3970" s="201"/>
      <c r="E3970" s="201"/>
      <c r="F3970" s="202"/>
      <c r="G3970" s="549"/>
      <c r="H3970" s="549"/>
      <c r="I3970" s="549"/>
      <c r="J3970" s="549"/>
      <c r="K3970" s="549"/>
      <c r="M3970" s="465"/>
      <c r="N3970" s="201"/>
    </row>
    <row r="3971" spans="2:14" hidden="1" outlineLevel="1" x14ac:dyDescent="0.35">
      <c r="B3971" s="200"/>
      <c r="C3971" s="201"/>
      <c r="D3971" s="201"/>
      <c r="E3971" s="201"/>
      <c r="F3971" s="202"/>
      <c r="G3971" s="549"/>
      <c r="H3971" s="549"/>
      <c r="I3971" s="549"/>
      <c r="J3971" s="549"/>
      <c r="K3971" s="549"/>
      <c r="M3971" s="465"/>
      <c r="N3971" s="201"/>
    </row>
    <row r="3972" spans="2:14" hidden="1" outlineLevel="1" x14ac:dyDescent="0.35">
      <c r="B3972" s="200"/>
      <c r="C3972" s="201"/>
      <c r="D3972" s="201"/>
      <c r="E3972" s="201"/>
      <c r="F3972" s="202"/>
      <c r="G3972" s="549"/>
      <c r="H3972" s="549"/>
      <c r="I3972" s="549"/>
      <c r="J3972" s="549"/>
      <c r="K3972" s="549"/>
      <c r="M3972" s="465"/>
      <c r="N3972" s="201"/>
    </row>
    <row r="3973" spans="2:14" hidden="1" outlineLevel="1" x14ac:dyDescent="0.35">
      <c r="B3973" s="200"/>
      <c r="C3973" s="201"/>
      <c r="D3973" s="201"/>
      <c r="E3973" s="201"/>
      <c r="F3973" s="202"/>
      <c r="G3973" s="549"/>
      <c r="H3973" s="549"/>
      <c r="I3973" s="549"/>
      <c r="J3973" s="549"/>
      <c r="K3973" s="549"/>
      <c r="M3973" s="465"/>
      <c r="N3973" s="201"/>
    </row>
    <row r="3974" spans="2:14" hidden="1" outlineLevel="1" x14ac:dyDescent="0.35">
      <c r="B3974" s="200"/>
      <c r="C3974" s="201"/>
      <c r="D3974" s="201"/>
      <c r="E3974" s="201"/>
      <c r="F3974" s="202"/>
      <c r="G3974" s="549"/>
      <c r="H3974" s="549"/>
      <c r="I3974" s="549"/>
      <c r="J3974" s="549"/>
      <c r="K3974" s="549"/>
      <c r="M3974" s="465"/>
      <c r="N3974" s="201"/>
    </row>
    <row r="3975" spans="2:14" hidden="1" outlineLevel="1" x14ac:dyDescent="0.35">
      <c r="B3975" s="200"/>
      <c r="C3975" s="201"/>
      <c r="D3975" s="201"/>
      <c r="E3975" s="201"/>
      <c r="F3975" s="202"/>
      <c r="G3975" s="549"/>
      <c r="H3975" s="549"/>
      <c r="I3975" s="549"/>
      <c r="J3975" s="549"/>
      <c r="K3975" s="549"/>
      <c r="M3975" s="465"/>
      <c r="N3975" s="201"/>
    </row>
    <row r="3976" spans="2:14" hidden="1" outlineLevel="1" x14ac:dyDescent="0.35">
      <c r="B3976" s="200"/>
      <c r="C3976" s="201"/>
      <c r="D3976" s="201"/>
      <c r="E3976" s="201"/>
      <c r="F3976" s="202"/>
      <c r="G3976" s="549"/>
      <c r="H3976" s="549"/>
      <c r="I3976" s="549"/>
      <c r="J3976" s="549"/>
      <c r="K3976" s="549"/>
      <c r="M3976" s="465"/>
      <c r="N3976" s="201"/>
    </row>
    <row r="3977" spans="2:14" hidden="1" outlineLevel="1" x14ac:dyDescent="0.35">
      <c r="B3977" s="200"/>
      <c r="C3977" s="201"/>
      <c r="D3977" s="201"/>
      <c r="E3977" s="201"/>
      <c r="F3977" s="202"/>
      <c r="G3977" s="549"/>
      <c r="H3977" s="549"/>
      <c r="I3977" s="549"/>
      <c r="J3977" s="549"/>
      <c r="K3977" s="549"/>
      <c r="M3977" s="465"/>
      <c r="N3977" s="201"/>
    </row>
    <row r="3978" spans="2:14" hidden="1" outlineLevel="1" x14ac:dyDescent="0.35">
      <c r="B3978" s="200"/>
      <c r="C3978" s="201"/>
      <c r="D3978" s="201"/>
      <c r="E3978" s="201"/>
      <c r="F3978" s="202"/>
      <c r="G3978" s="549"/>
      <c r="H3978" s="549"/>
      <c r="I3978" s="549"/>
      <c r="J3978" s="549"/>
      <c r="K3978" s="549"/>
      <c r="M3978" s="465"/>
      <c r="N3978" s="201"/>
    </row>
    <row r="3979" spans="2:14" hidden="1" outlineLevel="1" x14ac:dyDescent="0.35">
      <c r="B3979" s="200"/>
      <c r="C3979" s="201"/>
      <c r="D3979" s="201"/>
      <c r="E3979" s="201"/>
      <c r="F3979" s="202"/>
      <c r="G3979" s="549"/>
      <c r="H3979" s="549"/>
      <c r="I3979" s="549"/>
      <c r="J3979" s="549"/>
      <c r="K3979" s="549"/>
      <c r="M3979" s="465"/>
      <c r="N3979" s="201"/>
    </row>
    <row r="3980" spans="2:14" hidden="1" outlineLevel="1" x14ac:dyDescent="0.35">
      <c r="B3980" s="200"/>
      <c r="C3980" s="201"/>
      <c r="D3980" s="201"/>
      <c r="E3980" s="201"/>
      <c r="F3980" s="202"/>
      <c r="G3980" s="549"/>
      <c r="H3980" s="549"/>
      <c r="I3980" s="549"/>
      <c r="J3980" s="549"/>
      <c r="K3980" s="549"/>
      <c r="M3980" s="465"/>
      <c r="N3980" s="201"/>
    </row>
    <row r="3981" spans="2:14" hidden="1" outlineLevel="1" x14ac:dyDescent="0.35">
      <c r="B3981" s="200"/>
      <c r="C3981" s="201"/>
      <c r="D3981" s="201"/>
      <c r="E3981" s="201"/>
      <c r="F3981" s="202"/>
      <c r="G3981" s="549"/>
      <c r="H3981" s="549"/>
      <c r="I3981" s="549"/>
      <c r="J3981" s="549"/>
      <c r="K3981" s="549"/>
      <c r="M3981" s="465"/>
      <c r="N3981" s="201"/>
    </row>
    <row r="3982" spans="2:14" hidden="1" outlineLevel="1" x14ac:dyDescent="0.35">
      <c r="B3982" s="200"/>
      <c r="C3982" s="201"/>
      <c r="D3982" s="201"/>
      <c r="E3982" s="201"/>
      <c r="F3982" s="202"/>
      <c r="G3982" s="549"/>
      <c r="H3982" s="549"/>
      <c r="I3982" s="549"/>
      <c r="J3982" s="549"/>
      <c r="K3982" s="549"/>
      <c r="M3982" s="465"/>
      <c r="N3982" s="201"/>
    </row>
    <row r="3983" spans="2:14" hidden="1" outlineLevel="1" x14ac:dyDescent="0.35">
      <c r="B3983" s="200"/>
      <c r="C3983" s="201"/>
      <c r="D3983" s="201"/>
      <c r="E3983" s="201"/>
      <c r="F3983" s="202"/>
      <c r="G3983" s="549"/>
      <c r="H3983" s="549"/>
      <c r="I3983" s="549"/>
      <c r="J3983" s="549"/>
      <c r="K3983" s="549"/>
      <c r="M3983" s="465"/>
      <c r="N3983" s="201"/>
    </row>
    <row r="3984" spans="2:14" hidden="1" outlineLevel="1" x14ac:dyDescent="0.35">
      <c r="B3984" s="200"/>
      <c r="C3984" s="201"/>
      <c r="D3984" s="201"/>
      <c r="E3984" s="201"/>
      <c r="F3984" s="202"/>
      <c r="G3984" s="549"/>
      <c r="H3984" s="549"/>
      <c r="I3984" s="549"/>
      <c r="J3984" s="549"/>
      <c r="K3984" s="549"/>
      <c r="M3984" s="465"/>
      <c r="N3984" s="201"/>
    </row>
    <row r="3985" spans="2:14" hidden="1" outlineLevel="1" x14ac:dyDescent="0.35">
      <c r="B3985" s="200"/>
      <c r="C3985" s="201"/>
      <c r="D3985" s="201"/>
      <c r="E3985" s="201"/>
      <c r="F3985" s="202"/>
      <c r="G3985" s="549"/>
      <c r="H3985" s="549"/>
      <c r="I3985" s="549"/>
      <c r="J3985" s="549"/>
      <c r="K3985" s="549"/>
      <c r="M3985" s="465"/>
      <c r="N3985" s="201"/>
    </row>
    <row r="3986" spans="2:14" hidden="1" outlineLevel="1" x14ac:dyDescent="0.35">
      <c r="B3986" s="200"/>
      <c r="C3986" s="201"/>
      <c r="D3986" s="201"/>
      <c r="E3986" s="201"/>
      <c r="F3986" s="202"/>
      <c r="G3986" s="549"/>
      <c r="H3986" s="549"/>
      <c r="I3986" s="549"/>
      <c r="J3986" s="549"/>
      <c r="K3986" s="549"/>
      <c r="M3986" s="465"/>
      <c r="N3986" s="201"/>
    </row>
    <row r="3987" spans="2:14" hidden="1" outlineLevel="1" x14ac:dyDescent="0.35">
      <c r="B3987" s="200"/>
      <c r="C3987" s="201"/>
      <c r="D3987" s="201"/>
      <c r="E3987" s="201"/>
      <c r="F3987" s="202"/>
      <c r="G3987" s="549"/>
      <c r="H3987" s="549"/>
      <c r="I3987" s="549"/>
      <c r="J3987" s="549"/>
      <c r="K3987" s="549"/>
      <c r="M3987" s="465"/>
      <c r="N3987" s="201"/>
    </row>
    <row r="3988" spans="2:14" hidden="1" outlineLevel="1" x14ac:dyDescent="0.35">
      <c r="B3988" s="200"/>
      <c r="C3988" s="201"/>
      <c r="D3988" s="201"/>
      <c r="E3988" s="201"/>
      <c r="F3988" s="202"/>
      <c r="G3988" s="549"/>
      <c r="H3988" s="549"/>
      <c r="I3988" s="549"/>
      <c r="J3988" s="549"/>
      <c r="K3988" s="549"/>
      <c r="M3988" s="465"/>
      <c r="N3988" s="201"/>
    </row>
    <row r="3989" spans="2:14" hidden="1" outlineLevel="1" x14ac:dyDescent="0.35">
      <c r="B3989" s="200"/>
      <c r="C3989" s="201"/>
      <c r="D3989" s="201"/>
      <c r="E3989" s="201"/>
      <c r="F3989" s="202"/>
      <c r="G3989" s="549"/>
      <c r="H3989" s="549"/>
      <c r="I3989" s="549"/>
      <c r="J3989" s="549"/>
      <c r="K3989" s="549"/>
      <c r="M3989" s="465"/>
      <c r="N3989" s="201"/>
    </row>
    <row r="3990" spans="2:14" hidden="1" outlineLevel="1" x14ac:dyDescent="0.35">
      <c r="B3990" s="200"/>
      <c r="C3990" s="201"/>
      <c r="D3990" s="201"/>
      <c r="E3990" s="201"/>
      <c r="F3990" s="202"/>
      <c r="G3990" s="549"/>
      <c r="H3990" s="549"/>
      <c r="I3990" s="549"/>
      <c r="J3990" s="549"/>
      <c r="K3990" s="549"/>
      <c r="M3990" s="465"/>
      <c r="N3990" s="201"/>
    </row>
    <row r="3991" spans="2:14" hidden="1" outlineLevel="1" x14ac:dyDescent="0.35">
      <c r="B3991" s="200"/>
      <c r="C3991" s="201"/>
      <c r="D3991" s="201"/>
      <c r="E3991" s="201"/>
      <c r="F3991" s="202"/>
      <c r="G3991" s="549"/>
      <c r="H3991" s="549"/>
      <c r="I3991" s="549"/>
      <c r="J3991" s="549"/>
      <c r="K3991" s="549"/>
      <c r="M3991" s="465"/>
      <c r="N3991" s="201"/>
    </row>
    <row r="3992" spans="2:14" hidden="1" outlineLevel="1" x14ac:dyDescent="0.35">
      <c r="B3992" s="200"/>
      <c r="C3992" s="201"/>
      <c r="D3992" s="201"/>
      <c r="E3992" s="201"/>
      <c r="F3992" s="202"/>
      <c r="G3992" s="549"/>
      <c r="H3992" s="549"/>
      <c r="I3992" s="549"/>
      <c r="J3992" s="549"/>
      <c r="K3992" s="549"/>
      <c r="M3992" s="465"/>
      <c r="N3992" s="201"/>
    </row>
    <row r="3993" spans="2:14" hidden="1" outlineLevel="1" x14ac:dyDescent="0.35">
      <c r="B3993" s="200"/>
      <c r="C3993" s="201"/>
      <c r="D3993" s="201"/>
      <c r="E3993" s="201"/>
      <c r="F3993" s="202"/>
      <c r="G3993" s="549"/>
      <c r="H3993" s="549"/>
      <c r="I3993" s="549"/>
      <c r="J3993" s="549"/>
      <c r="K3993" s="549"/>
      <c r="M3993" s="465"/>
      <c r="N3993" s="201"/>
    </row>
    <row r="3994" spans="2:14" hidden="1" outlineLevel="1" x14ac:dyDescent="0.35">
      <c r="B3994" s="200"/>
      <c r="C3994" s="201"/>
      <c r="D3994" s="201"/>
      <c r="E3994" s="201"/>
      <c r="F3994" s="202"/>
      <c r="G3994" s="549"/>
      <c r="H3994" s="549"/>
      <c r="I3994" s="549"/>
      <c r="J3994" s="549"/>
      <c r="K3994" s="549"/>
      <c r="M3994" s="465"/>
      <c r="N3994" s="201"/>
    </row>
    <row r="3995" spans="2:14" hidden="1" outlineLevel="1" x14ac:dyDescent="0.35">
      <c r="B3995" s="200"/>
      <c r="C3995" s="201"/>
      <c r="D3995" s="201"/>
      <c r="E3995" s="201"/>
      <c r="F3995" s="202"/>
      <c r="G3995" s="549"/>
      <c r="H3995" s="549"/>
      <c r="I3995" s="549"/>
      <c r="J3995" s="549"/>
      <c r="K3995" s="549"/>
      <c r="M3995" s="465"/>
      <c r="N3995" s="201"/>
    </row>
    <row r="3996" spans="2:14" hidden="1" outlineLevel="1" x14ac:dyDescent="0.35">
      <c r="B3996" s="200"/>
      <c r="C3996" s="201"/>
      <c r="D3996" s="201"/>
      <c r="E3996" s="201"/>
      <c r="F3996" s="202"/>
      <c r="G3996" s="549"/>
      <c r="H3996" s="549"/>
      <c r="I3996" s="549"/>
      <c r="J3996" s="549"/>
      <c r="K3996" s="549"/>
      <c r="M3996" s="465"/>
      <c r="N3996" s="201"/>
    </row>
    <row r="3997" spans="2:14" hidden="1" outlineLevel="1" x14ac:dyDescent="0.35">
      <c r="B3997" s="200"/>
      <c r="C3997" s="201"/>
      <c r="D3997" s="201"/>
      <c r="E3997" s="201"/>
      <c r="F3997" s="202"/>
      <c r="G3997" s="549"/>
      <c r="H3997" s="549"/>
      <c r="I3997" s="549"/>
      <c r="J3997" s="549"/>
      <c r="K3997" s="549"/>
      <c r="M3997" s="465"/>
      <c r="N3997" s="201"/>
    </row>
    <row r="3998" spans="2:14" hidden="1" outlineLevel="1" x14ac:dyDescent="0.35">
      <c r="B3998" s="200"/>
      <c r="C3998" s="201"/>
      <c r="D3998" s="201"/>
      <c r="E3998" s="201"/>
      <c r="F3998" s="202"/>
      <c r="G3998" s="549"/>
      <c r="H3998" s="549"/>
      <c r="I3998" s="549"/>
      <c r="J3998" s="549"/>
      <c r="K3998" s="549"/>
      <c r="M3998" s="465"/>
      <c r="N3998" s="201"/>
    </row>
    <row r="3999" spans="2:14" hidden="1" outlineLevel="1" x14ac:dyDescent="0.35">
      <c r="B3999" s="200"/>
      <c r="C3999" s="201"/>
      <c r="D3999" s="201"/>
      <c r="E3999" s="201"/>
      <c r="F3999" s="202"/>
      <c r="G3999" s="549"/>
      <c r="H3999" s="549"/>
      <c r="I3999" s="549"/>
      <c r="J3999" s="549"/>
      <c r="K3999" s="549"/>
      <c r="M3999" s="465"/>
      <c r="N3999" s="201"/>
    </row>
    <row r="4000" spans="2:14" hidden="1" outlineLevel="1" x14ac:dyDescent="0.35">
      <c r="B4000" s="200"/>
      <c r="C4000" s="201"/>
      <c r="D4000" s="201"/>
      <c r="E4000" s="201"/>
      <c r="F4000" s="202"/>
      <c r="G4000" s="549"/>
      <c r="H4000" s="549"/>
      <c r="I4000" s="549"/>
      <c r="J4000" s="549"/>
      <c r="K4000" s="549"/>
      <c r="M4000" s="465"/>
      <c r="N4000" s="201"/>
    </row>
    <row r="4001" spans="2:14" hidden="1" outlineLevel="1" x14ac:dyDescent="0.35">
      <c r="B4001" s="200"/>
      <c r="C4001" s="201"/>
      <c r="D4001" s="201"/>
      <c r="E4001" s="201"/>
      <c r="F4001" s="202"/>
      <c r="G4001" s="549"/>
      <c r="H4001" s="549"/>
      <c r="I4001" s="549"/>
      <c r="J4001" s="549"/>
      <c r="K4001" s="549"/>
      <c r="M4001" s="465"/>
      <c r="N4001" s="201"/>
    </row>
    <row r="4002" spans="2:14" hidden="1" outlineLevel="1" x14ac:dyDescent="0.35">
      <c r="B4002" s="200"/>
      <c r="C4002" s="201"/>
      <c r="D4002" s="201"/>
      <c r="E4002" s="201"/>
      <c r="F4002" s="202"/>
      <c r="G4002" s="549"/>
      <c r="H4002" s="549"/>
      <c r="I4002" s="549"/>
      <c r="J4002" s="549"/>
      <c r="K4002" s="549"/>
      <c r="M4002" s="465"/>
      <c r="N4002" s="201"/>
    </row>
    <row r="4003" spans="2:14" hidden="1" outlineLevel="1" x14ac:dyDescent="0.35">
      <c r="B4003" s="200"/>
      <c r="C4003" s="201"/>
      <c r="D4003" s="201"/>
      <c r="E4003" s="201"/>
      <c r="F4003" s="202"/>
      <c r="G4003" s="549"/>
      <c r="H4003" s="549"/>
      <c r="I4003" s="549"/>
      <c r="J4003" s="549"/>
      <c r="K4003" s="549"/>
      <c r="M4003" s="465"/>
      <c r="N4003" s="201"/>
    </row>
    <row r="4004" spans="2:14" hidden="1" outlineLevel="1" x14ac:dyDescent="0.35">
      <c r="B4004" s="200"/>
      <c r="C4004" s="201"/>
      <c r="D4004" s="201"/>
      <c r="E4004" s="201"/>
      <c r="F4004" s="202"/>
      <c r="G4004" s="549"/>
      <c r="H4004" s="549"/>
      <c r="I4004" s="549"/>
      <c r="J4004" s="549"/>
      <c r="K4004" s="549"/>
      <c r="M4004" s="465"/>
      <c r="N4004" s="201"/>
    </row>
    <row r="4005" spans="2:14" hidden="1" outlineLevel="1" x14ac:dyDescent="0.35">
      <c r="B4005" s="200"/>
      <c r="C4005" s="201"/>
      <c r="D4005" s="201"/>
      <c r="E4005" s="201"/>
      <c r="F4005" s="202"/>
      <c r="G4005" s="549"/>
      <c r="H4005" s="549"/>
      <c r="I4005" s="549"/>
      <c r="J4005" s="549"/>
      <c r="K4005" s="549"/>
      <c r="M4005" s="465"/>
      <c r="N4005" s="201"/>
    </row>
    <row r="4006" spans="2:14" hidden="1" outlineLevel="1" x14ac:dyDescent="0.35">
      <c r="B4006" s="200"/>
      <c r="C4006" s="201"/>
      <c r="D4006" s="201"/>
      <c r="E4006" s="201"/>
      <c r="F4006" s="202"/>
      <c r="G4006" s="549"/>
      <c r="H4006" s="549"/>
      <c r="I4006" s="549"/>
      <c r="J4006" s="549"/>
      <c r="K4006" s="549"/>
      <c r="M4006" s="465"/>
      <c r="N4006" s="201"/>
    </row>
    <row r="4007" spans="2:14" hidden="1" outlineLevel="1" x14ac:dyDescent="0.35">
      <c r="B4007" s="200"/>
      <c r="C4007" s="201"/>
      <c r="D4007" s="201"/>
      <c r="E4007" s="201"/>
      <c r="F4007" s="202"/>
      <c r="G4007" s="549"/>
      <c r="H4007" s="549"/>
      <c r="I4007" s="549"/>
      <c r="J4007" s="549"/>
      <c r="K4007" s="549"/>
      <c r="M4007" s="465"/>
      <c r="N4007" s="201"/>
    </row>
    <row r="4008" spans="2:14" hidden="1" outlineLevel="1" x14ac:dyDescent="0.35">
      <c r="B4008" s="200"/>
      <c r="C4008" s="201"/>
      <c r="D4008" s="201"/>
      <c r="E4008" s="201"/>
      <c r="F4008" s="202"/>
      <c r="G4008" s="549"/>
      <c r="H4008" s="549"/>
      <c r="I4008" s="549"/>
      <c r="J4008" s="549"/>
      <c r="K4008" s="549"/>
      <c r="M4008" s="465"/>
      <c r="N4008" s="201"/>
    </row>
    <row r="4009" spans="2:14" hidden="1" outlineLevel="1" x14ac:dyDescent="0.35">
      <c r="B4009" s="200"/>
      <c r="C4009" s="201"/>
      <c r="D4009" s="201"/>
      <c r="E4009" s="201"/>
      <c r="F4009" s="202"/>
      <c r="G4009" s="549"/>
      <c r="H4009" s="549"/>
      <c r="I4009" s="549"/>
      <c r="J4009" s="549"/>
      <c r="K4009" s="549"/>
      <c r="M4009" s="465"/>
      <c r="N4009" s="201"/>
    </row>
    <row r="4010" spans="2:14" hidden="1" outlineLevel="1" x14ac:dyDescent="0.35">
      <c r="B4010" s="200"/>
      <c r="C4010" s="201"/>
      <c r="D4010" s="201"/>
      <c r="E4010" s="201"/>
      <c r="F4010" s="202"/>
      <c r="G4010" s="549"/>
      <c r="H4010" s="549"/>
      <c r="I4010" s="549"/>
      <c r="J4010" s="549"/>
      <c r="K4010" s="549"/>
      <c r="M4010" s="465"/>
      <c r="N4010" s="201"/>
    </row>
    <row r="4011" spans="2:14" hidden="1" outlineLevel="1" x14ac:dyDescent="0.35">
      <c r="B4011" s="200"/>
      <c r="C4011" s="201"/>
      <c r="D4011" s="201"/>
      <c r="E4011" s="201"/>
      <c r="F4011" s="202"/>
      <c r="G4011" s="549"/>
      <c r="H4011" s="549"/>
      <c r="I4011" s="549"/>
      <c r="J4011" s="549"/>
      <c r="K4011" s="549"/>
      <c r="M4011" s="465"/>
      <c r="N4011" s="201"/>
    </row>
    <row r="4012" spans="2:14" hidden="1" outlineLevel="1" x14ac:dyDescent="0.35">
      <c r="B4012" s="200"/>
      <c r="C4012" s="201"/>
      <c r="D4012" s="201"/>
      <c r="E4012" s="201"/>
      <c r="F4012" s="202"/>
      <c r="G4012" s="549"/>
      <c r="H4012" s="549"/>
      <c r="I4012" s="549"/>
      <c r="J4012" s="549"/>
      <c r="K4012" s="549"/>
      <c r="M4012" s="465"/>
      <c r="N4012" s="201"/>
    </row>
    <row r="4013" spans="2:14" hidden="1" outlineLevel="1" x14ac:dyDescent="0.35">
      <c r="B4013" s="200"/>
      <c r="C4013" s="201"/>
      <c r="D4013" s="201"/>
      <c r="E4013" s="201"/>
      <c r="F4013" s="202"/>
      <c r="G4013" s="549"/>
      <c r="H4013" s="549"/>
      <c r="I4013" s="549"/>
      <c r="J4013" s="549"/>
      <c r="K4013" s="549"/>
      <c r="M4013" s="465"/>
      <c r="N4013" s="201"/>
    </row>
    <row r="4014" spans="2:14" hidden="1" outlineLevel="1" x14ac:dyDescent="0.35">
      <c r="B4014" s="200"/>
      <c r="C4014" s="201"/>
      <c r="D4014" s="201"/>
      <c r="E4014" s="201"/>
      <c r="F4014" s="202"/>
      <c r="G4014" s="549"/>
      <c r="H4014" s="549"/>
      <c r="I4014" s="549"/>
      <c r="J4014" s="549"/>
      <c r="K4014" s="549"/>
      <c r="M4014" s="465"/>
      <c r="N4014" s="201"/>
    </row>
    <row r="4015" spans="2:14" hidden="1" outlineLevel="1" x14ac:dyDescent="0.35">
      <c r="B4015" s="200"/>
      <c r="C4015" s="201"/>
      <c r="D4015" s="201"/>
      <c r="E4015" s="201"/>
      <c r="F4015" s="202"/>
      <c r="G4015" s="549"/>
      <c r="H4015" s="549"/>
      <c r="I4015" s="549"/>
      <c r="J4015" s="549"/>
      <c r="K4015" s="549"/>
      <c r="M4015" s="465"/>
      <c r="N4015" s="201"/>
    </row>
    <row r="4016" spans="2:14" hidden="1" outlineLevel="1" x14ac:dyDescent="0.35">
      <c r="B4016" s="200"/>
      <c r="C4016" s="201"/>
      <c r="D4016" s="201"/>
      <c r="E4016" s="201"/>
      <c r="F4016" s="202"/>
      <c r="G4016" s="549"/>
      <c r="H4016" s="549"/>
      <c r="I4016" s="549"/>
      <c r="J4016" s="549"/>
      <c r="K4016" s="549"/>
      <c r="M4016" s="465"/>
      <c r="N4016" s="201"/>
    </row>
    <row r="4017" spans="2:14" hidden="1" outlineLevel="1" x14ac:dyDescent="0.35">
      <c r="B4017" s="200"/>
      <c r="C4017" s="201"/>
      <c r="D4017" s="201"/>
      <c r="E4017" s="201"/>
      <c r="F4017" s="202"/>
      <c r="G4017" s="549"/>
      <c r="H4017" s="549"/>
      <c r="I4017" s="549"/>
      <c r="J4017" s="549"/>
      <c r="K4017" s="549"/>
      <c r="M4017" s="465"/>
      <c r="N4017" s="201"/>
    </row>
    <row r="4018" spans="2:14" hidden="1" outlineLevel="1" x14ac:dyDescent="0.35">
      <c r="B4018" s="200"/>
      <c r="C4018" s="201"/>
      <c r="D4018" s="201"/>
      <c r="E4018" s="201"/>
      <c r="F4018" s="202"/>
      <c r="G4018" s="549"/>
      <c r="H4018" s="549"/>
      <c r="I4018" s="549"/>
      <c r="J4018" s="549"/>
      <c r="K4018" s="549"/>
      <c r="M4018" s="465"/>
      <c r="N4018" s="201"/>
    </row>
    <row r="4019" spans="2:14" hidden="1" outlineLevel="1" x14ac:dyDescent="0.35">
      <c r="B4019" s="200"/>
      <c r="C4019" s="201"/>
      <c r="D4019" s="201"/>
      <c r="E4019" s="201"/>
      <c r="F4019" s="202"/>
      <c r="G4019" s="549"/>
      <c r="H4019" s="549"/>
      <c r="I4019" s="549"/>
      <c r="J4019" s="549"/>
      <c r="K4019" s="549"/>
      <c r="M4019" s="465"/>
      <c r="N4019" s="201"/>
    </row>
    <row r="4020" spans="2:14" hidden="1" outlineLevel="1" x14ac:dyDescent="0.35">
      <c r="B4020" s="200"/>
      <c r="C4020" s="201"/>
      <c r="D4020" s="201"/>
      <c r="E4020" s="201"/>
      <c r="F4020" s="202"/>
      <c r="G4020" s="549"/>
      <c r="H4020" s="549"/>
      <c r="I4020" s="549"/>
      <c r="J4020" s="549"/>
      <c r="K4020" s="549"/>
      <c r="M4020" s="465"/>
      <c r="N4020" s="201"/>
    </row>
    <row r="4021" spans="2:14" hidden="1" outlineLevel="1" x14ac:dyDescent="0.35">
      <c r="B4021" s="200"/>
      <c r="C4021" s="201"/>
      <c r="D4021" s="201"/>
      <c r="E4021" s="201"/>
      <c r="F4021" s="202"/>
      <c r="G4021" s="549"/>
      <c r="H4021" s="549"/>
      <c r="I4021" s="549"/>
      <c r="J4021" s="549"/>
      <c r="K4021" s="549"/>
      <c r="M4021" s="465"/>
      <c r="N4021" s="201"/>
    </row>
    <row r="4022" spans="2:14" hidden="1" outlineLevel="1" x14ac:dyDescent="0.35">
      <c r="B4022" s="200"/>
      <c r="C4022" s="201"/>
      <c r="D4022" s="201"/>
      <c r="E4022" s="201"/>
      <c r="F4022" s="202"/>
      <c r="G4022" s="549"/>
      <c r="H4022" s="549"/>
      <c r="I4022" s="549"/>
      <c r="J4022" s="549"/>
      <c r="K4022" s="549"/>
      <c r="M4022" s="465"/>
      <c r="N4022" s="201"/>
    </row>
    <row r="4023" spans="2:14" hidden="1" outlineLevel="1" x14ac:dyDescent="0.35">
      <c r="B4023" s="200"/>
      <c r="C4023" s="201"/>
      <c r="D4023" s="201"/>
      <c r="E4023" s="201"/>
      <c r="F4023" s="202"/>
      <c r="G4023" s="549"/>
      <c r="H4023" s="549"/>
      <c r="I4023" s="549"/>
      <c r="J4023" s="549"/>
      <c r="K4023" s="549"/>
      <c r="M4023" s="465"/>
      <c r="N4023" s="201"/>
    </row>
    <row r="4024" spans="2:14" hidden="1" outlineLevel="1" x14ac:dyDescent="0.35">
      <c r="B4024" s="200"/>
      <c r="C4024" s="201"/>
      <c r="D4024" s="201"/>
      <c r="E4024" s="201"/>
      <c r="F4024" s="202"/>
      <c r="G4024" s="549"/>
      <c r="H4024" s="549"/>
      <c r="I4024" s="549"/>
      <c r="J4024" s="549"/>
      <c r="K4024" s="549"/>
      <c r="M4024" s="465"/>
      <c r="N4024" s="201"/>
    </row>
    <row r="4025" spans="2:14" hidden="1" outlineLevel="1" x14ac:dyDescent="0.35">
      <c r="B4025" s="200"/>
      <c r="C4025" s="201"/>
      <c r="D4025" s="201"/>
      <c r="E4025" s="201"/>
      <c r="F4025" s="202"/>
      <c r="G4025" s="549"/>
      <c r="H4025" s="549"/>
      <c r="I4025" s="549"/>
      <c r="J4025" s="549"/>
      <c r="K4025" s="549"/>
      <c r="M4025" s="465"/>
      <c r="N4025" s="201"/>
    </row>
    <row r="4026" spans="2:14" hidden="1" outlineLevel="1" x14ac:dyDescent="0.35">
      <c r="B4026" s="200"/>
      <c r="C4026" s="201"/>
      <c r="D4026" s="201"/>
      <c r="E4026" s="201"/>
      <c r="F4026" s="202"/>
      <c r="G4026" s="549"/>
      <c r="H4026" s="549"/>
      <c r="I4026" s="549"/>
      <c r="J4026" s="549"/>
      <c r="K4026" s="549"/>
      <c r="M4026" s="465"/>
      <c r="N4026" s="201"/>
    </row>
    <row r="4027" spans="2:14" hidden="1" outlineLevel="1" x14ac:dyDescent="0.35">
      <c r="B4027" s="200"/>
      <c r="C4027" s="201"/>
      <c r="D4027" s="201"/>
      <c r="E4027" s="201"/>
      <c r="F4027" s="202"/>
      <c r="G4027" s="549"/>
      <c r="H4027" s="549"/>
      <c r="I4027" s="549"/>
      <c r="J4027" s="549"/>
      <c r="K4027" s="549"/>
      <c r="M4027" s="465"/>
      <c r="N4027" s="201"/>
    </row>
    <row r="4028" spans="2:14" hidden="1" outlineLevel="1" x14ac:dyDescent="0.35">
      <c r="B4028" s="200"/>
      <c r="C4028" s="201"/>
      <c r="D4028" s="201"/>
      <c r="E4028" s="201"/>
      <c r="F4028" s="202"/>
      <c r="G4028" s="549"/>
      <c r="H4028" s="549"/>
      <c r="I4028" s="549"/>
      <c r="J4028" s="549"/>
      <c r="K4028" s="549"/>
      <c r="M4028" s="465"/>
      <c r="N4028" s="201"/>
    </row>
    <row r="4029" spans="2:14" hidden="1" outlineLevel="1" x14ac:dyDescent="0.35">
      <c r="B4029" s="200"/>
      <c r="C4029" s="201"/>
      <c r="D4029" s="201"/>
      <c r="E4029" s="201"/>
      <c r="F4029" s="202"/>
      <c r="G4029" s="549"/>
      <c r="H4029" s="549"/>
      <c r="I4029" s="549"/>
      <c r="J4029" s="549"/>
      <c r="K4029" s="549"/>
      <c r="M4029" s="465"/>
      <c r="N4029" s="201"/>
    </row>
    <row r="4030" spans="2:14" hidden="1" outlineLevel="1" x14ac:dyDescent="0.35">
      <c r="B4030" s="200"/>
      <c r="C4030" s="201"/>
      <c r="D4030" s="201"/>
      <c r="E4030" s="201"/>
      <c r="F4030" s="202"/>
      <c r="G4030" s="549"/>
      <c r="H4030" s="549"/>
      <c r="I4030" s="549"/>
      <c r="J4030" s="549"/>
      <c r="K4030" s="549"/>
      <c r="M4030" s="465"/>
      <c r="N4030" s="201"/>
    </row>
    <row r="4031" spans="2:14" hidden="1" outlineLevel="1" x14ac:dyDescent="0.35">
      <c r="B4031" s="200"/>
      <c r="C4031" s="201"/>
      <c r="D4031" s="201"/>
      <c r="E4031" s="201"/>
      <c r="F4031" s="202"/>
      <c r="G4031" s="549"/>
      <c r="H4031" s="549"/>
      <c r="I4031" s="549"/>
      <c r="J4031" s="549"/>
      <c r="K4031" s="549"/>
      <c r="M4031" s="465"/>
      <c r="N4031" s="201"/>
    </row>
    <row r="4032" spans="2:14" hidden="1" outlineLevel="1" x14ac:dyDescent="0.35">
      <c r="B4032" s="200"/>
      <c r="C4032" s="201"/>
      <c r="D4032" s="201"/>
      <c r="E4032" s="201"/>
      <c r="F4032" s="202"/>
      <c r="G4032" s="549"/>
      <c r="H4032" s="549"/>
      <c r="I4032" s="549"/>
      <c r="J4032" s="549"/>
      <c r="K4032" s="549"/>
      <c r="M4032" s="465"/>
      <c r="N4032" s="201"/>
    </row>
    <row r="4033" spans="2:14" hidden="1" outlineLevel="1" x14ac:dyDescent="0.35">
      <c r="B4033" s="200"/>
      <c r="C4033" s="201"/>
      <c r="D4033" s="201"/>
      <c r="E4033" s="201"/>
      <c r="F4033" s="202"/>
      <c r="G4033" s="549"/>
      <c r="H4033" s="549"/>
      <c r="I4033" s="549"/>
      <c r="J4033" s="549"/>
      <c r="K4033" s="549"/>
      <c r="M4033" s="465"/>
      <c r="N4033" s="201"/>
    </row>
    <row r="4034" spans="2:14" hidden="1" outlineLevel="1" x14ac:dyDescent="0.35">
      <c r="B4034" s="200"/>
      <c r="C4034" s="201"/>
      <c r="D4034" s="201"/>
      <c r="E4034" s="201"/>
      <c r="F4034" s="202"/>
      <c r="G4034" s="549"/>
      <c r="H4034" s="549"/>
      <c r="I4034" s="549"/>
      <c r="J4034" s="549"/>
      <c r="K4034" s="549"/>
      <c r="M4034" s="465"/>
      <c r="N4034" s="201"/>
    </row>
    <row r="4035" spans="2:14" hidden="1" outlineLevel="1" x14ac:dyDescent="0.35">
      <c r="B4035" s="200"/>
      <c r="C4035" s="201"/>
      <c r="D4035" s="201"/>
      <c r="E4035" s="201"/>
      <c r="F4035" s="202"/>
      <c r="G4035" s="549"/>
      <c r="H4035" s="549"/>
      <c r="I4035" s="549"/>
      <c r="J4035" s="549"/>
      <c r="K4035" s="549"/>
      <c r="M4035" s="465"/>
      <c r="N4035" s="201"/>
    </row>
    <row r="4036" spans="2:14" hidden="1" outlineLevel="1" x14ac:dyDescent="0.35">
      <c r="B4036" s="200"/>
      <c r="C4036" s="201"/>
      <c r="D4036" s="201"/>
      <c r="E4036" s="201"/>
      <c r="F4036" s="202"/>
      <c r="G4036" s="549"/>
      <c r="H4036" s="549"/>
      <c r="I4036" s="549"/>
      <c r="J4036" s="549"/>
      <c r="K4036" s="549"/>
      <c r="M4036" s="465"/>
      <c r="N4036" s="201"/>
    </row>
    <row r="4037" spans="2:14" hidden="1" outlineLevel="1" x14ac:dyDescent="0.35">
      <c r="B4037" s="200"/>
      <c r="C4037" s="201"/>
      <c r="D4037" s="201"/>
      <c r="E4037" s="201"/>
      <c r="F4037" s="202"/>
      <c r="G4037" s="549"/>
      <c r="H4037" s="549"/>
      <c r="I4037" s="549"/>
      <c r="J4037" s="549"/>
      <c r="K4037" s="549"/>
      <c r="M4037" s="465"/>
      <c r="N4037" s="201"/>
    </row>
    <row r="4038" spans="2:14" hidden="1" outlineLevel="1" x14ac:dyDescent="0.35">
      <c r="B4038" s="200"/>
      <c r="C4038" s="201"/>
      <c r="D4038" s="201"/>
      <c r="E4038" s="201"/>
      <c r="F4038" s="202"/>
      <c r="G4038" s="549"/>
      <c r="H4038" s="549"/>
      <c r="I4038" s="549"/>
      <c r="J4038" s="549"/>
      <c r="K4038" s="549"/>
      <c r="M4038" s="465"/>
      <c r="N4038" s="201"/>
    </row>
    <row r="4039" spans="2:14" hidden="1" outlineLevel="1" x14ac:dyDescent="0.35">
      <c r="B4039" s="200"/>
      <c r="C4039" s="201"/>
      <c r="D4039" s="201"/>
      <c r="E4039" s="201"/>
      <c r="F4039" s="202"/>
      <c r="G4039" s="549"/>
      <c r="H4039" s="549"/>
      <c r="I4039" s="549"/>
      <c r="J4039" s="549"/>
      <c r="K4039" s="549"/>
      <c r="M4039" s="465"/>
      <c r="N4039" s="201"/>
    </row>
    <row r="4040" spans="2:14" hidden="1" outlineLevel="1" x14ac:dyDescent="0.35">
      <c r="B4040" s="200"/>
      <c r="C4040" s="201"/>
      <c r="D4040" s="201"/>
      <c r="E4040" s="201"/>
      <c r="F4040" s="202"/>
      <c r="G4040" s="549"/>
      <c r="H4040" s="549"/>
      <c r="I4040" s="549"/>
      <c r="J4040" s="549"/>
      <c r="K4040" s="549"/>
      <c r="M4040" s="465"/>
      <c r="N4040" s="201"/>
    </row>
    <row r="4041" spans="2:14" hidden="1" outlineLevel="1" x14ac:dyDescent="0.35">
      <c r="B4041" s="200"/>
      <c r="C4041" s="201"/>
      <c r="D4041" s="201"/>
      <c r="E4041" s="201"/>
      <c r="F4041" s="202"/>
      <c r="G4041" s="549"/>
      <c r="H4041" s="549"/>
      <c r="I4041" s="549"/>
      <c r="J4041" s="549"/>
      <c r="K4041" s="549"/>
      <c r="M4041" s="465"/>
      <c r="N4041" s="201"/>
    </row>
    <row r="4042" spans="2:14" hidden="1" outlineLevel="1" x14ac:dyDescent="0.35">
      <c r="B4042" s="200"/>
      <c r="C4042" s="201"/>
      <c r="D4042" s="201"/>
      <c r="E4042" s="201"/>
      <c r="F4042" s="202"/>
      <c r="G4042" s="549"/>
      <c r="H4042" s="549"/>
      <c r="I4042" s="549"/>
      <c r="J4042" s="549"/>
      <c r="K4042" s="549"/>
      <c r="M4042" s="465"/>
      <c r="N4042" s="201"/>
    </row>
    <row r="4043" spans="2:14" hidden="1" outlineLevel="1" x14ac:dyDescent="0.35">
      <c r="B4043" s="200"/>
      <c r="C4043" s="201"/>
      <c r="D4043" s="201"/>
      <c r="E4043" s="201"/>
      <c r="F4043" s="202"/>
      <c r="G4043" s="549"/>
      <c r="H4043" s="549"/>
      <c r="I4043" s="549"/>
      <c r="J4043" s="549"/>
      <c r="K4043" s="549"/>
      <c r="M4043" s="465"/>
      <c r="N4043" s="201"/>
    </row>
    <row r="4044" spans="2:14" hidden="1" outlineLevel="1" x14ac:dyDescent="0.35">
      <c r="B4044" s="200"/>
      <c r="C4044" s="201"/>
      <c r="D4044" s="201"/>
      <c r="E4044" s="201"/>
      <c r="F4044" s="202"/>
      <c r="G4044" s="549"/>
      <c r="H4044" s="549"/>
      <c r="I4044" s="549"/>
      <c r="J4044" s="549"/>
      <c r="K4044" s="549"/>
      <c r="M4044" s="465"/>
      <c r="N4044" s="201"/>
    </row>
    <row r="4045" spans="2:14" hidden="1" outlineLevel="1" x14ac:dyDescent="0.35">
      <c r="B4045" s="200"/>
      <c r="C4045" s="201"/>
      <c r="D4045" s="201"/>
      <c r="E4045" s="201"/>
      <c r="F4045" s="202"/>
      <c r="G4045" s="549"/>
      <c r="H4045" s="549"/>
      <c r="I4045" s="549"/>
      <c r="J4045" s="549"/>
      <c r="K4045" s="549"/>
      <c r="M4045" s="465"/>
      <c r="N4045" s="201"/>
    </row>
    <row r="4046" spans="2:14" hidden="1" outlineLevel="1" x14ac:dyDescent="0.35">
      <c r="B4046" s="200"/>
      <c r="C4046" s="201"/>
      <c r="D4046" s="201"/>
      <c r="E4046" s="201"/>
      <c r="F4046" s="202"/>
      <c r="G4046" s="549"/>
      <c r="H4046" s="549"/>
      <c r="I4046" s="549"/>
      <c r="J4046" s="549"/>
      <c r="K4046" s="549"/>
      <c r="M4046" s="465"/>
      <c r="N4046" s="201"/>
    </row>
    <row r="4047" spans="2:14" hidden="1" outlineLevel="1" x14ac:dyDescent="0.35">
      <c r="B4047" s="200"/>
      <c r="C4047" s="201"/>
      <c r="D4047" s="201"/>
      <c r="E4047" s="201"/>
      <c r="F4047" s="202"/>
      <c r="G4047" s="549"/>
      <c r="H4047" s="549"/>
      <c r="I4047" s="549"/>
      <c r="J4047" s="549"/>
      <c r="K4047" s="549"/>
      <c r="M4047" s="465"/>
      <c r="N4047" s="201"/>
    </row>
    <row r="4048" spans="2:14" hidden="1" outlineLevel="1" x14ac:dyDescent="0.35">
      <c r="B4048" s="200"/>
      <c r="C4048" s="201"/>
      <c r="D4048" s="201"/>
      <c r="E4048" s="201"/>
      <c r="F4048" s="202"/>
      <c r="G4048" s="549"/>
      <c r="H4048" s="549"/>
      <c r="I4048" s="549"/>
      <c r="J4048" s="549"/>
      <c r="K4048" s="549"/>
      <c r="M4048" s="465"/>
      <c r="N4048" s="201"/>
    </row>
    <row r="4049" spans="2:14" hidden="1" outlineLevel="1" x14ac:dyDescent="0.35">
      <c r="B4049" s="200"/>
      <c r="C4049" s="201"/>
      <c r="D4049" s="201"/>
      <c r="E4049" s="201"/>
      <c r="F4049" s="202"/>
      <c r="G4049" s="549"/>
      <c r="H4049" s="549"/>
      <c r="I4049" s="549"/>
      <c r="J4049" s="549"/>
      <c r="K4049" s="549"/>
      <c r="M4049" s="465"/>
      <c r="N4049" s="201"/>
    </row>
    <row r="4050" spans="2:14" hidden="1" outlineLevel="1" x14ac:dyDescent="0.35">
      <c r="B4050" s="200"/>
      <c r="C4050" s="201"/>
      <c r="D4050" s="201"/>
      <c r="E4050" s="201"/>
      <c r="F4050" s="202"/>
      <c r="G4050" s="549"/>
      <c r="H4050" s="549"/>
      <c r="I4050" s="549"/>
      <c r="J4050" s="549"/>
      <c r="K4050" s="549"/>
      <c r="M4050" s="465"/>
      <c r="N4050" s="201"/>
    </row>
    <row r="4051" spans="2:14" hidden="1" outlineLevel="1" x14ac:dyDescent="0.35">
      <c r="B4051" s="200"/>
      <c r="C4051" s="201"/>
      <c r="D4051" s="201"/>
      <c r="E4051" s="201"/>
      <c r="F4051" s="202"/>
      <c r="G4051" s="549"/>
      <c r="H4051" s="549"/>
      <c r="I4051" s="549"/>
      <c r="J4051" s="549"/>
      <c r="K4051" s="549"/>
      <c r="M4051" s="465"/>
      <c r="N4051" s="201"/>
    </row>
    <row r="4052" spans="2:14" hidden="1" outlineLevel="1" x14ac:dyDescent="0.35">
      <c r="B4052" s="200"/>
      <c r="C4052" s="201"/>
      <c r="D4052" s="201"/>
      <c r="E4052" s="201"/>
      <c r="F4052" s="202"/>
      <c r="G4052" s="549"/>
      <c r="H4052" s="549"/>
      <c r="I4052" s="549"/>
      <c r="J4052" s="549"/>
      <c r="K4052" s="549"/>
      <c r="M4052" s="465"/>
      <c r="N4052" s="201"/>
    </row>
    <row r="4053" spans="2:14" hidden="1" outlineLevel="1" x14ac:dyDescent="0.35">
      <c r="B4053" s="200"/>
      <c r="C4053" s="201"/>
      <c r="D4053" s="201"/>
      <c r="E4053" s="201"/>
      <c r="F4053" s="202"/>
      <c r="G4053" s="549"/>
      <c r="H4053" s="549"/>
      <c r="I4053" s="549"/>
      <c r="J4053" s="549"/>
      <c r="K4053" s="549"/>
      <c r="M4053" s="465"/>
      <c r="N4053" s="201"/>
    </row>
    <row r="4054" spans="2:14" hidden="1" outlineLevel="1" x14ac:dyDescent="0.35">
      <c r="B4054" s="200"/>
      <c r="C4054" s="201"/>
      <c r="D4054" s="201"/>
      <c r="E4054" s="201"/>
      <c r="F4054" s="202"/>
      <c r="G4054" s="549"/>
      <c r="H4054" s="549"/>
      <c r="I4054" s="549"/>
      <c r="J4054" s="549"/>
      <c r="K4054" s="549"/>
      <c r="M4054" s="465"/>
      <c r="N4054" s="201"/>
    </row>
    <row r="4055" spans="2:14" hidden="1" outlineLevel="1" x14ac:dyDescent="0.35">
      <c r="B4055" s="200"/>
      <c r="C4055" s="201"/>
      <c r="D4055" s="201"/>
      <c r="E4055" s="201"/>
      <c r="F4055" s="202"/>
      <c r="G4055" s="549"/>
      <c r="H4055" s="549"/>
      <c r="I4055" s="549"/>
      <c r="J4055" s="549"/>
      <c r="K4055" s="549"/>
      <c r="M4055" s="465"/>
      <c r="N4055" s="201"/>
    </row>
    <row r="4056" spans="2:14" hidden="1" outlineLevel="1" x14ac:dyDescent="0.35">
      <c r="B4056" s="200"/>
      <c r="C4056" s="201"/>
      <c r="D4056" s="201"/>
      <c r="E4056" s="201"/>
      <c r="F4056" s="202"/>
      <c r="G4056" s="549"/>
      <c r="H4056" s="549"/>
      <c r="I4056" s="549"/>
      <c r="J4056" s="549"/>
      <c r="K4056" s="549"/>
      <c r="M4056" s="465"/>
      <c r="N4056" s="201"/>
    </row>
    <row r="4057" spans="2:14" hidden="1" outlineLevel="1" x14ac:dyDescent="0.35">
      <c r="B4057" s="200"/>
      <c r="C4057" s="201"/>
      <c r="D4057" s="201"/>
      <c r="E4057" s="201"/>
      <c r="F4057" s="202"/>
      <c r="G4057" s="549"/>
      <c r="H4057" s="549"/>
      <c r="I4057" s="549"/>
      <c r="J4057" s="549"/>
      <c r="K4057" s="549"/>
      <c r="M4057" s="465"/>
      <c r="N4057" s="201"/>
    </row>
    <row r="4058" spans="2:14" hidden="1" outlineLevel="1" x14ac:dyDescent="0.35">
      <c r="B4058" s="200"/>
      <c r="C4058" s="201"/>
      <c r="D4058" s="201"/>
      <c r="E4058" s="201"/>
      <c r="F4058" s="202"/>
      <c r="G4058" s="549"/>
      <c r="H4058" s="549"/>
      <c r="I4058" s="549"/>
      <c r="J4058" s="549"/>
      <c r="K4058" s="549"/>
      <c r="M4058" s="465"/>
      <c r="N4058" s="201"/>
    </row>
    <row r="4059" spans="2:14" hidden="1" outlineLevel="1" x14ac:dyDescent="0.35">
      <c r="B4059" s="200"/>
      <c r="C4059" s="201"/>
      <c r="D4059" s="201"/>
      <c r="E4059" s="201"/>
      <c r="F4059" s="202"/>
      <c r="G4059" s="549"/>
      <c r="H4059" s="549"/>
      <c r="I4059" s="549"/>
      <c r="J4059" s="549"/>
      <c r="K4059" s="549"/>
      <c r="M4059" s="465"/>
      <c r="N4059" s="201"/>
    </row>
    <row r="4060" spans="2:14" hidden="1" outlineLevel="1" x14ac:dyDescent="0.35">
      <c r="B4060" s="200"/>
      <c r="C4060" s="201"/>
      <c r="D4060" s="201"/>
      <c r="E4060" s="201"/>
      <c r="F4060" s="202"/>
      <c r="G4060" s="549"/>
      <c r="H4060" s="549"/>
      <c r="I4060" s="549"/>
      <c r="J4060" s="549"/>
      <c r="K4060" s="549"/>
      <c r="M4060" s="465"/>
      <c r="N4060" s="201"/>
    </row>
    <row r="4061" spans="2:14" hidden="1" outlineLevel="1" x14ac:dyDescent="0.35">
      <c r="B4061" s="200"/>
      <c r="C4061" s="201"/>
      <c r="D4061" s="201"/>
      <c r="E4061" s="201"/>
      <c r="F4061" s="202"/>
      <c r="G4061" s="549"/>
      <c r="H4061" s="549"/>
      <c r="I4061" s="549"/>
      <c r="J4061" s="549"/>
      <c r="K4061" s="549"/>
      <c r="M4061" s="465"/>
      <c r="N4061" s="201"/>
    </row>
    <row r="4062" spans="2:14" hidden="1" outlineLevel="1" x14ac:dyDescent="0.35">
      <c r="B4062" s="200"/>
      <c r="C4062" s="201"/>
      <c r="D4062" s="201"/>
      <c r="E4062" s="201"/>
      <c r="F4062" s="202"/>
      <c r="G4062" s="549"/>
      <c r="H4062" s="549"/>
      <c r="I4062" s="549"/>
      <c r="J4062" s="549"/>
      <c r="K4062" s="549"/>
      <c r="M4062" s="465"/>
      <c r="N4062" s="201"/>
    </row>
    <row r="4063" spans="2:14" hidden="1" outlineLevel="1" x14ac:dyDescent="0.35">
      <c r="B4063" s="200"/>
      <c r="C4063" s="201"/>
      <c r="D4063" s="201"/>
      <c r="E4063" s="201"/>
      <c r="F4063" s="202"/>
      <c r="G4063" s="549"/>
      <c r="H4063" s="549"/>
      <c r="I4063" s="549"/>
      <c r="J4063" s="549"/>
      <c r="K4063" s="549"/>
      <c r="M4063" s="465"/>
      <c r="N4063" s="201"/>
    </row>
    <row r="4064" spans="2:14" hidden="1" outlineLevel="1" x14ac:dyDescent="0.35">
      <c r="B4064" s="200"/>
      <c r="C4064" s="201"/>
      <c r="D4064" s="201"/>
      <c r="E4064" s="201"/>
      <c r="F4064" s="202"/>
      <c r="G4064" s="549"/>
      <c r="H4064" s="549"/>
      <c r="I4064" s="549"/>
      <c r="J4064" s="549"/>
      <c r="K4064" s="549"/>
      <c r="M4064" s="465"/>
      <c r="N4064" s="201"/>
    </row>
    <row r="4065" spans="2:14" hidden="1" outlineLevel="1" x14ac:dyDescent="0.35">
      <c r="B4065" s="200"/>
      <c r="C4065" s="201"/>
      <c r="D4065" s="201"/>
      <c r="E4065" s="201"/>
      <c r="F4065" s="202"/>
      <c r="G4065" s="549"/>
      <c r="H4065" s="549"/>
      <c r="I4065" s="549"/>
      <c r="J4065" s="549"/>
      <c r="K4065" s="549"/>
      <c r="M4065" s="465"/>
      <c r="N4065" s="201"/>
    </row>
    <row r="4066" spans="2:14" hidden="1" outlineLevel="1" x14ac:dyDescent="0.35">
      <c r="B4066" s="200"/>
      <c r="C4066" s="201"/>
      <c r="D4066" s="201"/>
      <c r="E4066" s="201"/>
      <c r="F4066" s="202"/>
      <c r="G4066" s="549"/>
      <c r="H4066" s="549"/>
      <c r="I4066" s="549"/>
      <c r="J4066" s="549"/>
      <c r="K4066" s="549"/>
      <c r="M4066" s="465"/>
      <c r="N4066" s="201"/>
    </row>
    <row r="4067" spans="2:14" hidden="1" outlineLevel="1" x14ac:dyDescent="0.35">
      <c r="B4067" s="200"/>
      <c r="C4067" s="201"/>
      <c r="D4067" s="201"/>
      <c r="E4067" s="201"/>
      <c r="F4067" s="202"/>
      <c r="G4067" s="549"/>
      <c r="H4067" s="549"/>
      <c r="I4067" s="549"/>
      <c r="J4067" s="549"/>
      <c r="K4067" s="549"/>
      <c r="M4067" s="465"/>
      <c r="N4067" s="201"/>
    </row>
    <row r="4068" spans="2:14" hidden="1" outlineLevel="1" x14ac:dyDescent="0.35">
      <c r="B4068" s="200"/>
      <c r="C4068" s="201"/>
      <c r="D4068" s="201"/>
      <c r="E4068" s="201"/>
      <c r="F4068" s="202"/>
      <c r="G4068" s="549"/>
      <c r="H4068" s="549"/>
      <c r="I4068" s="549"/>
      <c r="J4068" s="549"/>
      <c r="K4068" s="549"/>
      <c r="M4068" s="465"/>
      <c r="N4068" s="201"/>
    </row>
    <row r="4069" spans="2:14" hidden="1" outlineLevel="1" x14ac:dyDescent="0.35">
      <c r="B4069" s="200"/>
      <c r="C4069" s="201"/>
      <c r="D4069" s="201"/>
      <c r="E4069" s="201"/>
      <c r="F4069" s="202"/>
      <c r="G4069" s="549"/>
      <c r="H4069" s="549"/>
      <c r="I4069" s="549"/>
      <c r="J4069" s="549"/>
      <c r="K4069" s="549"/>
      <c r="M4069" s="465"/>
      <c r="N4069" s="201"/>
    </row>
    <row r="4070" spans="2:14" hidden="1" outlineLevel="1" x14ac:dyDescent="0.35">
      <c r="B4070" s="200"/>
      <c r="C4070" s="201"/>
      <c r="D4070" s="201"/>
      <c r="E4070" s="201"/>
      <c r="F4070" s="202"/>
      <c r="G4070" s="549"/>
      <c r="H4070" s="549"/>
      <c r="I4070" s="549"/>
      <c r="J4070" s="549"/>
      <c r="K4070" s="549"/>
      <c r="M4070" s="465"/>
      <c r="N4070" s="201"/>
    </row>
    <row r="4071" spans="2:14" hidden="1" outlineLevel="1" x14ac:dyDescent="0.35">
      <c r="B4071" s="200"/>
      <c r="C4071" s="201"/>
      <c r="D4071" s="201"/>
      <c r="E4071" s="201"/>
      <c r="F4071" s="202"/>
      <c r="G4071" s="549"/>
      <c r="H4071" s="549"/>
      <c r="I4071" s="549"/>
      <c r="J4071" s="549"/>
      <c r="K4071" s="549"/>
      <c r="M4071" s="465"/>
      <c r="N4071" s="201"/>
    </row>
    <row r="4072" spans="2:14" hidden="1" outlineLevel="1" x14ac:dyDescent="0.35">
      <c r="B4072" s="200"/>
      <c r="C4072" s="201"/>
      <c r="D4072" s="201"/>
      <c r="E4072" s="201"/>
      <c r="F4072" s="202"/>
      <c r="G4072" s="549"/>
      <c r="H4072" s="549"/>
      <c r="I4072" s="549"/>
      <c r="J4072" s="549"/>
      <c r="K4072" s="549"/>
      <c r="M4072" s="465"/>
      <c r="N4072" s="201"/>
    </row>
    <row r="4073" spans="2:14" hidden="1" outlineLevel="1" x14ac:dyDescent="0.35">
      <c r="B4073" s="200"/>
      <c r="C4073" s="201"/>
      <c r="D4073" s="201"/>
      <c r="E4073" s="201"/>
      <c r="F4073" s="202"/>
      <c r="G4073" s="549"/>
      <c r="H4073" s="549"/>
      <c r="I4073" s="549"/>
      <c r="J4073" s="549"/>
      <c r="K4073" s="549"/>
      <c r="M4073" s="465"/>
      <c r="N4073" s="201"/>
    </row>
    <row r="4074" spans="2:14" hidden="1" outlineLevel="1" x14ac:dyDescent="0.35">
      <c r="B4074" s="200"/>
      <c r="C4074" s="201"/>
      <c r="D4074" s="201"/>
      <c r="E4074" s="201"/>
      <c r="F4074" s="202"/>
      <c r="G4074" s="549"/>
      <c r="H4074" s="549"/>
      <c r="I4074" s="549"/>
      <c r="J4074" s="549"/>
      <c r="K4074" s="549"/>
      <c r="M4074" s="465"/>
      <c r="N4074" s="201"/>
    </row>
    <row r="4075" spans="2:14" hidden="1" outlineLevel="1" x14ac:dyDescent="0.35">
      <c r="B4075" s="200"/>
      <c r="C4075" s="201"/>
      <c r="D4075" s="201"/>
      <c r="E4075" s="201"/>
      <c r="F4075" s="202"/>
      <c r="G4075" s="549"/>
      <c r="H4075" s="549"/>
      <c r="I4075" s="549"/>
      <c r="J4075" s="549"/>
      <c r="K4075" s="549"/>
      <c r="M4075" s="465"/>
      <c r="N4075" s="201"/>
    </row>
    <row r="4076" spans="2:14" hidden="1" outlineLevel="1" x14ac:dyDescent="0.35">
      <c r="B4076" s="200"/>
      <c r="C4076" s="201"/>
      <c r="D4076" s="201"/>
      <c r="E4076" s="201"/>
      <c r="F4076" s="202"/>
      <c r="G4076" s="549"/>
      <c r="H4076" s="549"/>
      <c r="I4076" s="549"/>
      <c r="J4076" s="549"/>
      <c r="K4076" s="549"/>
      <c r="M4076" s="465"/>
      <c r="N4076" s="201"/>
    </row>
    <row r="4077" spans="2:14" hidden="1" outlineLevel="1" x14ac:dyDescent="0.35">
      <c r="B4077" s="200"/>
      <c r="C4077" s="201"/>
      <c r="D4077" s="201"/>
      <c r="E4077" s="201"/>
      <c r="F4077" s="202"/>
      <c r="G4077" s="549"/>
      <c r="H4077" s="549"/>
      <c r="I4077" s="549"/>
      <c r="J4077" s="549"/>
      <c r="K4077" s="549"/>
      <c r="M4077" s="465"/>
      <c r="N4077" s="201"/>
    </row>
    <row r="4078" spans="2:14" hidden="1" outlineLevel="1" x14ac:dyDescent="0.35">
      <c r="B4078" s="200"/>
      <c r="C4078" s="201"/>
      <c r="D4078" s="201"/>
      <c r="E4078" s="201"/>
      <c r="F4078" s="202"/>
      <c r="G4078" s="549"/>
      <c r="H4078" s="549"/>
      <c r="I4078" s="549"/>
      <c r="J4078" s="549"/>
      <c r="K4078" s="549"/>
      <c r="M4078" s="465"/>
      <c r="N4078" s="201"/>
    </row>
    <row r="4079" spans="2:14" hidden="1" outlineLevel="1" x14ac:dyDescent="0.35">
      <c r="B4079" s="200"/>
      <c r="C4079" s="201"/>
      <c r="D4079" s="201"/>
      <c r="E4079" s="201"/>
      <c r="F4079" s="202"/>
      <c r="G4079" s="549"/>
      <c r="H4079" s="549"/>
      <c r="I4079" s="549"/>
      <c r="J4079" s="549"/>
      <c r="K4079" s="549"/>
      <c r="M4079" s="465"/>
      <c r="N4079" s="201"/>
    </row>
    <row r="4080" spans="2:14" hidden="1" outlineLevel="1" x14ac:dyDescent="0.35">
      <c r="B4080" s="200"/>
      <c r="C4080" s="201"/>
      <c r="D4080" s="201"/>
      <c r="E4080" s="201"/>
      <c r="F4080" s="202"/>
      <c r="G4080" s="549"/>
      <c r="H4080" s="549"/>
      <c r="I4080" s="549"/>
      <c r="J4080" s="549"/>
      <c r="K4080" s="549"/>
      <c r="M4080" s="465"/>
      <c r="N4080" s="201"/>
    </row>
    <row r="4081" spans="2:14" hidden="1" outlineLevel="1" x14ac:dyDescent="0.35">
      <c r="B4081" s="200"/>
      <c r="C4081" s="201"/>
      <c r="D4081" s="201"/>
      <c r="E4081" s="201"/>
      <c r="F4081" s="202"/>
      <c r="G4081" s="549"/>
      <c r="H4081" s="549"/>
      <c r="I4081" s="549"/>
      <c r="J4081" s="549"/>
      <c r="K4081" s="549"/>
      <c r="M4081" s="465"/>
      <c r="N4081" s="201"/>
    </row>
    <row r="4082" spans="2:14" hidden="1" outlineLevel="1" x14ac:dyDescent="0.35">
      <c r="B4082" s="200"/>
      <c r="C4082" s="201"/>
      <c r="D4082" s="201"/>
      <c r="E4082" s="201"/>
      <c r="F4082" s="202"/>
      <c r="G4082" s="549"/>
      <c r="H4082" s="549"/>
      <c r="I4082" s="549"/>
      <c r="J4082" s="549"/>
      <c r="K4082" s="549"/>
      <c r="M4082" s="465"/>
      <c r="N4082" s="201"/>
    </row>
    <row r="4083" spans="2:14" hidden="1" outlineLevel="1" x14ac:dyDescent="0.35">
      <c r="B4083" s="200"/>
      <c r="C4083" s="201"/>
      <c r="D4083" s="201"/>
      <c r="E4083" s="201"/>
      <c r="F4083" s="202"/>
      <c r="G4083" s="549"/>
      <c r="H4083" s="549"/>
      <c r="I4083" s="549"/>
      <c r="J4083" s="549"/>
      <c r="K4083" s="549"/>
      <c r="M4083" s="465"/>
      <c r="N4083" s="201"/>
    </row>
    <row r="4084" spans="2:14" hidden="1" outlineLevel="1" x14ac:dyDescent="0.35">
      <c r="B4084" s="200"/>
      <c r="C4084" s="201"/>
      <c r="D4084" s="201"/>
      <c r="E4084" s="201"/>
      <c r="F4084" s="202"/>
      <c r="G4084" s="549"/>
      <c r="H4084" s="549"/>
      <c r="I4084" s="549"/>
      <c r="J4084" s="549"/>
      <c r="K4084" s="549"/>
      <c r="M4084" s="465"/>
      <c r="N4084" s="201"/>
    </row>
    <row r="4085" spans="2:14" hidden="1" outlineLevel="1" x14ac:dyDescent="0.35">
      <c r="B4085" s="200"/>
      <c r="C4085" s="201"/>
      <c r="D4085" s="201"/>
      <c r="E4085" s="201"/>
      <c r="F4085" s="202"/>
      <c r="G4085" s="549"/>
      <c r="H4085" s="549"/>
      <c r="I4085" s="549"/>
      <c r="J4085" s="549"/>
      <c r="K4085" s="549"/>
      <c r="M4085" s="465"/>
      <c r="N4085" s="201"/>
    </row>
    <row r="4086" spans="2:14" hidden="1" outlineLevel="1" x14ac:dyDescent="0.35">
      <c r="B4086" s="200"/>
      <c r="C4086" s="201"/>
      <c r="D4086" s="201"/>
      <c r="E4086" s="201"/>
      <c r="F4086" s="202"/>
      <c r="G4086" s="549"/>
      <c r="H4086" s="549"/>
      <c r="I4086" s="549"/>
      <c r="J4086" s="549"/>
      <c r="K4086" s="549"/>
      <c r="M4086" s="465"/>
      <c r="N4086" s="201"/>
    </row>
    <row r="4087" spans="2:14" hidden="1" outlineLevel="1" x14ac:dyDescent="0.35">
      <c r="B4087" s="200"/>
      <c r="C4087" s="201"/>
      <c r="D4087" s="201"/>
      <c r="E4087" s="201"/>
      <c r="F4087" s="202"/>
      <c r="G4087" s="549"/>
      <c r="H4087" s="549"/>
      <c r="I4087" s="549"/>
      <c r="J4087" s="549"/>
      <c r="K4087" s="549"/>
      <c r="M4087" s="465"/>
      <c r="N4087" s="201"/>
    </row>
    <row r="4088" spans="2:14" hidden="1" outlineLevel="1" x14ac:dyDescent="0.35">
      <c r="B4088" s="200"/>
      <c r="C4088" s="201"/>
      <c r="D4088" s="201"/>
      <c r="E4088" s="201"/>
      <c r="F4088" s="202"/>
      <c r="G4088" s="549"/>
      <c r="H4088" s="549"/>
      <c r="I4088" s="549"/>
      <c r="J4088" s="549"/>
      <c r="K4088" s="549"/>
      <c r="M4088" s="465"/>
      <c r="N4088" s="201"/>
    </row>
    <row r="4089" spans="2:14" hidden="1" outlineLevel="1" x14ac:dyDescent="0.35">
      <c r="B4089" s="200"/>
      <c r="C4089" s="201"/>
      <c r="D4089" s="201"/>
      <c r="E4089" s="201"/>
      <c r="F4089" s="202"/>
      <c r="G4089" s="549"/>
      <c r="H4089" s="549"/>
      <c r="I4089" s="549"/>
      <c r="J4089" s="549"/>
      <c r="K4089" s="549"/>
      <c r="M4089" s="465"/>
      <c r="N4089" s="201"/>
    </row>
    <row r="4090" spans="2:14" hidden="1" outlineLevel="1" x14ac:dyDescent="0.35">
      <c r="B4090" s="200"/>
      <c r="C4090" s="201"/>
      <c r="D4090" s="201"/>
      <c r="E4090" s="201"/>
      <c r="F4090" s="202"/>
      <c r="G4090" s="549"/>
      <c r="H4090" s="549"/>
      <c r="I4090" s="549"/>
      <c r="J4090" s="549"/>
      <c r="K4090" s="549"/>
      <c r="M4090" s="465"/>
      <c r="N4090" s="201"/>
    </row>
    <row r="4091" spans="2:14" hidden="1" outlineLevel="1" x14ac:dyDescent="0.35">
      <c r="B4091" s="200"/>
      <c r="C4091" s="201"/>
      <c r="D4091" s="201"/>
      <c r="E4091" s="201"/>
      <c r="F4091" s="202"/>
      <c r="G4091" s="549"/>
      <c r="H4091" s="549"/>
      <c r="I4091" s="549"/>
      <c r="J4091" s="549"/>
      <c r="K4091" s="549"/>
      <c r="M4091" s="465"/>
      <c r="N4091" s="201"/>
    </row>
    <row r="4092" spans="2:14" hidden="1" outlineLevel="1" x14ac:dyDescent="0.35">
      <c r="B4092" s="200"/>
      <c r="C4092" s="201"/>
      <c r="D4092" s="201"/>
      <c r="E4092" s="201"/>
      <c r="F4092" s="202"/>
      <c r="G4092" s="549"/>
      <c r="H4092" s="549"/>
      <c r="I4092" s="549"/>
      <c r="J4092" s="549"/>
      <c r="K4092" s="549"/>
      <c r="M4092" s="465"/>
      <c r="N4092" s="201"/>
    </row>
    <row r="4093" spans="2:14" hidden="1" outlineLevel="1" x14ac:dyDescent="0.35">
      <c r="B4093" s="200"/>
      <c r="C4093" s="201"/>
      <c r="D4093" s="201"/>
      <c r="E4093" s="201"/>
      <c r="F4093" s="202"/>
      <c r="G4093" s="549"/>
      <c r="H4093" s="549"/>
      <c r="I4093" s="549"/>
      <c r="J4093" s="549"/>
      <c r="K4093" s="549"/>
      <c r="M4093" s="465"/>
      <c r="N4093" s="201"/>
    </row>
    <row r="4094" spans="2:14" hidden="1" outlineLevel="1" x14ac:dyDescent="0.35">
      <c r="B4094" s="200"/>
      <c r="C4094" s="201"/>
      <c r="D4094" s="201"/>
      <c r="E4094" s="201"/>
      <c r="F4094" s="202"/>
      <c r="G4094" s="549"/>
      <c r="H4094" s="549"/>
      <c r="I4094" s="549"/>
      <c r="J4094" s="549"/>
      <c r="K4094" s="549"/>
      <c r="M4094" s="465"/>
      <c r="N4094" s="201"/>
    </row>
    <row r="4095" spans="2:14" hidden="1" outlineLevel="1" x14ac:dyDescent="0.35">
      <c r="B4095" s="200"/>
      <c r="C4095" s="201"/>
      <c r="D4095" s="201"/>
      <c r="E4095" s="201"/>
      <c r="F4095" s="202"/>
      <c r="G4095" s="549"/>
      <c r="H4095" s="549"/>
      <c r="I4095" s="549"/>
      <c r="J4095" s="549"/>
      <c r="K4095" s="549"/>
      <c r="M4095" s="465"/>
      <c r="N4095" s="201"/>
    </row>
    <row r="4096" spans="2:14" hidden="1" outlineLevel="1" x14ac:dyDescent="0.35">
      <c r="B4096" s="200"/>
      <c r="C4096" s="201"/>
      <c r="D4096" s="201"/>
      <c r="E4096" s="201"/>
      <c r="F4096" s="202"/>
      <c r="G4096" s="549"/>
      <c r="H4096" s="549"/>
      <c r="I4096" s="549"/>
      <c r="J4096" s="549"/>
      <c r="K4096" s="549"/>
      <c r="M4096" s="465"/>
      <c r="N4096" s="201"/>
    </row>
    <row r="4097" spans="2:14" hidden="1" outlineLevel="1" x14ac:dyDescent="0.35">
      <c r="B4097" s="200"/>
      <c r="C4097" s="201"/>
      <c r="D4097" s="201"/>
      <c r="E4097" s="201"/>
      <c r="F4097" s="202"/>
      <c r="G4097" s="549"/>
      <c r="H4097" s="549"/>
      <c r="I4097" s="549"/>
      <c r="J4097" s="549"/>
      <c r="K4097" s="549"/>
      <c r="M4097" s="465"/>
      <c r="N4097" s="201"/>
    </row>
    <row r="4098" spans="2:14" hidden="1" outlineLevel="1" x14ac:dyDescent="0.35">
      <c r="B4098" s="200"/>
      <c r="C4098" s="201"/>
      <c r="D4098" s="201"/>
      <c r="E4098" s="201"/>
      <c r="F4098" s="202"/>
      <c r="G4098" s="549"/>
      <c r="H4098" s="549"/>
      <c r="I4098" s="549"/>
      <c r="J4098" s="549"/>
      <c r="K4098" s="549"/>
      <c r="M4098" s="465"/>
      <c r="N4098" s="201"/>
    </row>
    <row r="4099" spans="2:14" hidden="1" outlineLevel="1" x14ac:dyDescent="0.35">
      <c r="B4099" s="200"/>
      <c r="C4099" s="201"/>
      <c r="D4099" s="201"/>
      <c r="E4099" s="201"/>
      <c r="F4099" s="202"/>
      <c r="G4099" s="549"/>
      <c r="H4099" s="549"/>
      <c r="I4099" s="549"/>
      <c r="J4099" s="549"/>
      <c r="K4099" s="549"/>
      <c r="M4099" s="465"/>
      <c r="N4099" s="201"/>
    </row>
    <row r="4100" spans="2:14" hidden="1" outlineLevel="1" x14ac:dyDescent="0.35">
      <c r="B4100" s="200"/>
      <c r="C4100" s="201"/>
      <c r="D4100" s="201"/>
      <c r="E4100" s="201"/>
      <c r="F4100" s="202"/>
      <c r="G4100" s="549"/>
      <c r="H4100" s="549"/>
      <c r="I4100" s="549"/>
      <c r="J4100" s="549"/>
      <c r="K4100" s="549"/>
      <c r="M4100" s="465"/>
      <c r="N4100" s="201"/>
    </row>
    <row r="4101" spans="2:14" hidden="1" outlineLevel="1" x14ac:dyDescent="0.35">
      <c r="B4101" s="200"/>
      <c r="C4101" s="201"/>
      <c r="D4101" s="201"/>
      <c r="E4101" s="201"/>
      <c r="F4101" s="202"/>
      <c r="G4101" s="549"/>
      <c r="H4101" s="549"/>
      <c r="I4101" s="549"/>
      <c r="J4101" s="549"/>
      <c r="K4101" s="549"/>
      <c r="M4101" s="465"/>
      <c r="N4101" s="201"/>
    </row>
    <row r="4102" spans="2:14" hidden="1" outlineLevel="1" x14ac:dyDescent="0.35">
      <c r="B4102" s="200"/>
      <c r="C4102" s="201"/>
      <c r="D4102" s="201"/>
      <c r="E4102" s="201"/>
      <c r="F4102" s="202"/>
      <c r="G4102" s="549"/>
      <c r="H4102" s="549"/>
      <c r="I4102" s="549"/>
      <c r="J4102" s="549"/>
      <c r="K4102" s="549"/>
      <c r="M4102" s="465"/>
      <c r="N4102" s="201"/>
    </row>
    <row r="4103" spans="2:14" hidden="1" outlineLevel="1" x14ac:dyDescent="0.35">
      <c r="B4103" s="200"/>
      <c r="C4103" s="201"/>
      <c r="D4103" s="201"/>
      <c r="E4103" s="201"/>
      <c r="F4103" s="202"/>
      <c r="G4103" s="549"/>
      <c r="H4103" s="549"/>
      <c r="I4103" s="549"/>
      <c r="J4103" s="549"/>
      <c r="K4103" s="549"/>
      <c r="M4103" s="465"/>
      <c r="N4103" s="201"/>
    </row>
    <row r="4104" spans="2:14" hidden="1" outlineLevel="1" x14ac:dyDescent="0.35">
      <c r="B4104" s="200"/>
      <c r="C4104" s="201"/>
      <c r="D4104" s="201"/>
      <c r="E4104" s="201"/>
      <c r="F4104" s="202"/>
      <c r="G4104" s="549"/>
      <c r="H4104" s="549"/>
      <c r="I4104" s="549"/>
      <c r="J4104" s="549"/>
      <c r="K4104" s="549"/>
      <c r="M4104" s="465"/>
      <c r="N4104" s="201"/>
    </row>
    <row r="4105" spans="2:14" hidden="1" outlineLevel="1" x14ac:dyDescent="0.35">
      <c r="B4105" s="200"/>
      <c r="C4105" s="201"/>
      <c r="D4105" s="201"/>
      <c r="E4105" s="201"/>
      <c r="F4105" s="202"/>
      <c r="G4105" s="549"/>
      <c r="H4105" s="549"/>
      <c r="I4105" s="549"/>
      <c r="J4105" s="549"/>
      <c r="K4105" s="549"/>
      <c r="M4105" s="465"/>
      <c r="N4105" s="201"/>
    </row>
    <row r="4106" spans="2:14" hidden="1" outlineLevel="1" x14ac:dyDescent="0.35">
      <c r="B4106" s="200"/>
      <c r="C4106" s="201"/>
      <c r="D4106" s="201"/>
      <c r="E4106" s="201"/>
      <c r="F4106" s="202"/>
      <c r="G4106" s="549"/>
      <c r="H4106" s="549"/>
      <c r="I4106" s="549"/>
      <c r="J4106" s="549"/>
      <c r="K4106" s="549"/>
      <c r="M4106" s="465"/>
      <c r="N4106" s="201"/>
    </row>
    <row r="4107" spans="2:14" hidden="1" outlineLevel="1" x14ac:dyDescent="0.35">
      <c r="B4107" s="200"/>
      <c r="C4107" s="201"/>
      <c r="D4107" s="201"/>
      <c r="E4107" s="201"/>
      <c r="F4107" s="202"/>
      <c r="G4107" s="549"/>
      <c r="H4107" s="549"/>
      <c r="I4107" s="549"/>
      <c r="J4107" s="549"/>
      <c r="K4107" s="549"/>
      <c r="M4107" s="465"/>
      <c r="N4107" s="201"/>
    </row>
    <row r="4108" spans="2:14" hidden="1" outlineLevel="1" x14ac:dyDescent="0.35">
      <c r="B4108" s="200"/>
      <c r="C4108" s="201"/>
      <c r="D4108" s="201"/>
      <c r="E4108" s="201"/>
      <c r="F4108" s="202"/>
      <c r="G4108" s="549"/>
      <c r="H4108" s="549"/>
      <c r="I4108" s="549"/>
      <c r="J4108" s="549"/>
      <c r="K4108" s="549"/>
      <c r="M4108" s="465"/>
      <c r="N4108" s="201"/>
    </row>
    <row r="4109" spans="2:14" hidden="1" outlineLevel="1" x14ac:dyDescent="0.35">
      <c r="B4109" s="200"/>
      <c r="C4109" s="201"/>
      <c r="D4109" s="201"/>
      <c r="E4109" s="201"/>
      <c r="F4109" s="202"/>
      <c r="G4109" s="549"/>
      <c r="H4109" s="549"/>
      <c r="I4109" s="549"/>
      <c r="J4109" s="549"/>
      <c r="K4109" s="549"/>
      <c r="M4109" s="465"/>
      <c r="N4109" s="201"/>
    </row>
    <row r="4110" spans="2:14" hidden="1" outlineLevel="1" x14ac:dyDescent="0.35">
      <c r="B4110" s="200"/>
      <c r="C4110" s="201"/>
      <c r="D4110" s="201"/>
      <c r="E4110" s="201"/>
      <c r="F4110" s="202"/>
      <c r="G4110" s="549"/>
      <c r="H4110" s="549"/>
      <c r="I4110" s="549"/>
      <c r="J4110" s="549"/>
      <c r="K4110" s="549"/>
      <c r="M4110" s="465"/>
      <c r="N4110" s="201"/>
    </row>
    <row r="4111" spans="2:14" hidden="1" outlineLevel="1" x14ac:dyDescent="0.35">
      <c r="B4111" s="200"/>
      <c r="C4111" s="201"/>
      <c r="D4111" s="201"/>
      <c r="E4111" s="201"/>
      <c r="F4111" s="202"/>
      <c r="G4111" s="549"/>
      <c r="H4111" s="549"/>
      <c r="I4111" s="549"/>
      <c r="J4111" s="549"/>
      <c r="K4111" s="549"/>
      <c r="M4111" s="465"/>
      <c r="N4111" s="201"/>
    </row>
    <row r="4112" spans="2:14" hidden="1" outlineLevel="1" x14ac:dyDescent="0.35">
      <c r="B4112" s="200"/>
      <c r="C4112" s="201"/>
      <c r="D4112" s="201"/>
      <c r="E4112" s="201"/>
      <c r="F4112" s="202"/>
      <c r="G4112" s="549"/>
      <c r="H4112" s="549"/>
      <c r="I4112" s="549"/>
      <c r="J4112" s="549"/>
      <c r="K4112" s="549"/>
      <c r="M4112" s="465"/>
      <c r="N4112" s="201"/>
    </row>
    <row r="4113" spans="2:14" hidden="1" outlineLevel="1" x14ac:dyDescent="0.35">
      <c r="B4113" s="200"/>
      <c r="C4113" s="201"/>
      <c r="D4113" s="201"/>
      <c r="E4113" s="201"/>
      <c r="F4113" s="202"/>
      <c r="G4113" s="549"/>
      <c r="H4113" s="549"/>
      <c r="I4113" s="549"/>
      <c r="J4113" s="549"/>
      <c r="K4113" s="549"/>
      <c r="M4113" s="465"/>
      <c r="N4113" s="201"/>
    </row>
    <row r="4114" spans="2:14" hidden="1" outlineLevel="1" x14ac:dyDescent="0.35">
      <c r="B4114" s="200"/>
      <c r="C4114" s="201"/>
      <c r="D4114" s="201"/>
      <c r="E4114" s="201"/>
      <c r="F4114" s="202"/>
      <c r="G4114" s="549"/>
      <c r="H4114" s="549"/>
      <c r="I4114" s="549"/>
      <c r="J4114" s="549"/>
      <c r="K4114" s="549"/>
      <c r="M4114" s="465"/>
      <c r="N4114" s="201"/>
    </row>
    <row r="4115" spans="2:14" hidden="1" outlineLevel="1" x14ac:dyDescent="0.35">
      <c r="B4115" s="200"/>
      <c r="C4115" s="201"/>
      <c r="D4115" s="201"/>
      <c r="E4115" s="201"/>
      <c r="F4115" s="202"/>
      <c r="G4115" s="549"/>
      <c r="H4115" s="549"/>
      <c r="I4115" s="549"/>
      <c r="J4115" s="549"/>
      <c r="K4115" s="549"/>
      <c r="M4115" s="465"/>
      <c r="N4115" s="201"/>
    </row>
    <row r="4116" spans="2:14" hidden="1" outlineLevel="1" x14ac:dyDescent="0.35">
      <c r="B4116" s="200"/>
      <c r="C4116" s="201"/>
      <c r="D4116" s="201"/>
      <c r="E4116" s="201"/>
      <c r="F4116" s="202"/>
      <c r="G4116" s="549"/>
      <c r="H4116" s="549"/>
      <c r="I4116" s="549"/>
      <c r="J4116" s="549"/>
      <c r="K4116" s="549"/>
      <c r="M4116" s="465"/>
      <c r="N4116" s="201"/>
    </row>
    <row r="4117" spans="2:14" hidden="1" outlineLevel="1" x14ac:dyDescent="0.35">
      <c r="B4117" s="200"/>
      <c r="C4117" s="201"/>
      <c r="D4117" s="201"/>
      <c r="E4117" s="201"/>
      <c r="F4117" s="202"/>
      <c r="G4117" s="549"/>
      <c r="H4117" s="549"/>
      <c r="I4117" s="549"/>
      <c r="J4117" s="549"/>
      <c r="K4117" s="549"/>
      <c r="M4117" s="465"/>
      <c r="N4117" s="201"/>
    </row>
    <row r="4118" spans="2:14" hidden="1" outlineLevel="1" x14ac:dyDescent="0.35">
      <c r="B4118" s="200"/>
      <c r="C4118" s="201"/>
      <c r="D4118" s="201"/>
      <c r="E4118" s="201"/>
      <c r="F4118" s="202"/>
      <c r="G4118" s="549"/>
      <c r="H4118" s="549"/>
      <c r="I4118" s="549"/>
      <c r="J4118" s="549"/>
      <c r="K4118" s="549"/>
      <c r="M4118" s="465"/>
      <c r="N4118" s="201"/>
    </row>
    <row r="4119" spans="2:14" hidden="1" outlineLevel="1" x14ac:dyDescent="0.35">
      <c r="B4119" s="200"/>
      <c r="C4119" s="201"/>
      <c r="D4119" s="201"/>
      <c r="E4119" s="201"/>
      <c r="F4119" s="202"/>
      <c r="G4119" s="549"/>
      <c r="H4119" s="549"/>
      <c r="I4119" s="549"/>
      <c r="J4119" s="549"/>
      <c r="K4119" s="549"/>
      <c r="M4119" s="465"/>
      <c r="N4119" s="201"/>
    </row>
    <row r="4120" spans="2:14" hidden="1" outlineLevel="1" x14ac:dyDescent="0.35">
      <c r="B4120" s="200"/>
      <c r="C4120" s="201"/>
      <c r="D4120" s="201"/>
      <c r="E4120" s="201"/>
      <c r="F4120" s="202"/>
      <c r="G4120" s="549"/>
      <c r="H4120" s="549"/>
      <c r="I4120" s="549"/>
      <c r="J4120" s="549"/>
      <c r="K4120" s="549"/>
      <c r="M4120" s="465"/>
      <c r="N4120" s="201"/>
    </row>
    <row r="4121" spans="2:14" hidden="1" outlineLevel="1" x14ac:dyDescent="0.35">
      <c r="B4121" s="200"/>
      <c r="C4121" s="201"/>
      <c r="D4121" s="201"/>
      <c r="E4121" s="201"/>
      <c r="F4121" s="202"/>
      <c r="G4121" s="549"/>
      <c r="H4121" s="549"/>
      <c r="I4121" s="549"/>
      <c r="J4121" s="549"/>
      <c r="K4121" s="549"/>
      <c r="M4121" s="465"/>
      <c r="N4121" s="201"/>
    </row>
    <row r="4122" spans="2:14" hidden="1" outlineLevel="1" x14ac:dyDescent="0.35">
      <c r="B4122" s="200"/>
      <c r="C4122" s="201"/>
      <c r="D4122" s="201"/>
      <c r="E4122" s="201"/>
      <c r="F4122" s="202"/>
      <c r="G4122" s="549"/>
      <c r="H4122" s="549"/>
      <c r="I4122" s="549"/>
      <c r="J4122" s="549"/>
      <c r="K4122" s="549"/>
      <c r="M4122" s="465"/>
      <c r="N4122" s="201"/>
    </row>
    <row r="4123" spans="2:14" hidden="1" outlineLevel="1" x14ac:dyDescent="0.35">
      <c r="B4123" s="200"/>
      <c r="C4123" s="201"/>
      <c r="D4123" s="201"/>
      <c r="E4123" s="201"/>
      <c r="F4123" s="202"/>
      <c r="G4123" s="549"/>
      <c r="H4123" s="549"/>
      <c r="I4123" s="549"/>
      <c r="J4123" s="549"/>
      <c r="K4123" s="549"/>
      <c r="M4123" s="465"/>
      <c r="N4123" s="201"/>
    </row>
    <row r="4124" spans="2:14" hidden="1" outlineLevel="1" x14ac:dyDescent="0.35">
      <c r="B4124" s="200"/>
      <c r="C4124" s="201"/>
      <c r="D4124" s="201"/>
      <c r="E4124" s="201"/>
      <c r="F4124" s="202"/>
      <c r="G4124" s="549"/>
      <c r="H4124" s="549"/>
      <c r="I4124" s="549"/>
      <c r="J4124" s="549"/>
      <c r="K4124" s="549"/>
      <c r="M4124" s="465"/>
      <c r="N4124" s="201"/>
    </row>
    <row r="4125" spans="2:14" hidden="1" outlineLevel="1" x14ac:dyDescent="0.35">
      <c r="B4125" s="200"/>
      <c r="C4125" s="201"/>
      <c r="D4125" s="201"/>
      <c r="E4125" s="201"/>
      <c r="F4125" s="202"/>
      <c r="G4125" s="549"/>
      <c r="H4125" s="549"/>
      <c r="I4125" s="549"/>
      <c r="J4125" s="549"/>
      <c r="K4125" s="549"/>
      <c r="M4125" s="465"/>
      <c r="N4125" s="201"/>
    </row>
    <row r="4126" spans="2:14" hidden="1" outlineLevel="1" x14ac:dyDescent="0.35">
      <c r="B4126" s="200"/>
      <c r="C4126" s="201"/>
      <c r="D4126" s="201"/>
      <c r="E4126" s="201"/>
      <c r="F4126" s="202"/>
      <c r="G4126" s="549"/>
      <c r="H4126" s="549"/>
      <c r="I4126" s="549"/>
      <c r="J4126" s="549"/>
      <c r="K4126" s="549"/>
      <c r="M4126" s="465"/>
      <c r="N4126" s="201"/>
    </row>
    <row r="4127" spans="2:14" hidden="1" outlineLevel="1" x14ac:dyDescent="0.35">
      <c r="B4127" s="200"/>
      <c r="C4127" s="201"/>
      <c r="D4127" s="201"/>
      <c r="E4127" s="201"/>
      <c r="F4127" s="202"/>
      <c r="G4127" s="549"/>
      <c r="H4127" s="549"/>
      <c r="I4127" s="549"/>
      <c r="J4127" s="549"/>
      <c r="K4127" s="549"/>
      <c r="M4127" s="465"/>
      <c r="N4127" s="201"/>
    </row>
    <row r="4128" spans="2:14" hidden="1" outlineLevel="1" x14ac:dyDescent="0.35">
      <c r="B4128" s="200"/>
      <c r="C4128" s="201"/>
      <c r="D4128" s="201"/>
      <c r="E4128" s="201"/>
      <c r="F4128" s="202"/>
      <c r="G4128" s="549"/>
      <c r="H4128" s="549"/>
      <c r="I4128" s="549"/>
      <c r="J4128" s="549"/>
      <c r="K4128" s="549"/>
      <c r="M4128" s="465"/>
      <c r="N4128" s="201"/>
    </row>
    <row r="4129" spans="2:14" hidden="1" outlineLevel="1" x14ac:dyDescent="0.35">
      <c r="B4129" s="200"/>
      <c r="C4129" s="201"/>
      <c r="D4129" s="201"/>
      <c r="E4129" s="201"/>
      <c r="F4129" s="202"/>
      <c r="G4129" s="549"/>
      <c r="H4129" s="549"/>
      <c r="I4129" s="549"/>
      <c r="J4129" s="549"/>
      <c r="K4129" s="549"/>
      <c r="M4129" s="465"/>
      <c r="N4129" s="201"/>
    </row>
    <row r="4130" spans="2:14" hidden="1" outlineLevel="1" x14ac:dyDescent="0.35">
      <c r="B4130" s="200"/>
      <c r="C4130" s="201"/>
      <c r="D4130" s="201"/>
      <c r="E4130" s="201"/>
      <c r="F4130" s="202"/>
      <c r="G4130" s="549"/>
      <c r="H4130" s="549"/>
      <c r="I4130" s="549"/>
      <c r="J4130" s="549"/>
      <c r="K4130" s="549"/>
      <c r="M4130" s="465"/>
      <c r="N4130" s="201"/>
    </row>
    <row r="4131" spans="2:14" hidden="1" outlineLevel="1" x14ac:dyDescent="0.35">
      <c r="B4131" s="200"/>
      <c r="C4131" s="201"/>
      <c r="D4131" s="201"/>
      <c r="E4131" s="201"/>
      <c r="F4131" s="202"/>
      <c r="G4131" s="549"/>
      <c r="H4131" s="549"/>
      <c r="I4131" s="549"/>
      <c r="J4131" s="549"/>
      <c r="K4131" s="549"/>
      <c r="M4131" s="465"/>
      <c r="N4131" s="201"/>
    </row>
    <row r="4132" spans="2:14" hidden="1" outlineLevel="1" x14ac:dyDescent="0.35">
      <c r="B4132" s="200"/>
      <c r="C4132" s="201"/>
      <c r="D4132" s="201"/>
      <c r="E4132" s="201"/>
      <c r="F4132" s="202"/>
      <c r="G4132" s="549"/>
      <c r="H4132" s="549"/>
      <c r="I4132" s="549"/>
      <c r="J4132" s="549"/>
      <c r="K4132" s="549"/>
      <c r="M4132" s="465"/>
      <c r="N4132" s="201"/>
    </row>
    <row r="4133" spans="2:14" hidden="1" outlineLevel="1" x14ac:dyDescent="0.35">
      <c r="B4133" s="200"/>
      <c r="C4133" s="201"/>
      <c r="D4133" s="201"/>
      <c r="E4133" s="201"/>
      <c r="F4133" s="202"/>
      <c r="G4133" s="549"/>
      <c r="H4133" s="549"/>
      <c r="I4133" s="549"/>
      <c r="J4133" s="549"/>
      <c r="K4133" s="549"/>
      <c r="M4133" s="465"/>
      <c r="N4133" s="201"/>
    </row>
    <row r="4134" spans="2:14" hidden="1" outlineLevel="1" x14ac:dyDescent="0.35">
      <c r="B4134" s="200"/>
      <c r="C4134" s="201"/>
      <c r="D4134" s="201"/>
      <c r="E4134" s="201"/>
      <c r="F4134" s="202"/>
      <c r="G4134" s="549"/>
      <c r="H4134" s="549"/>
      <c r="I4134" s="549"/>
      <c r="J4134" s="549"/>
      <c r="K4134" s="549"/>
      <c r="M4134" s="465"/>
      <c r="N4134" s="201"/>
    </row>
    <row r="4135" spans="2:14" hidden="1" outlineLevel="1" x14ac:dyDescent="0.35">
      <c r="B4135" s="200"/>
      <c r="C4135" s="201"/>
      <c r="D4135" s="201"/>
      <c r="E4135" s="201"/>
      <c r="F4135" s="202"/>
      <c r="G4135" s="549"/>
      <c r="H4135" s="549"/>
      <c r="I4135" s="549"/>
      <c r="J4135" s="549"/>
      <c r="K4135" s="549"/>
      <c r="M4135" s="465"/>
      <c r="N4135" s="201"/>
    </row>
    <row r="4136" spans="2:14" hidden="1" outlineLevel="1" x14ac:dyDescent="0.35">
      <c r="B4136" s="200"/>
      <c r="C4136" s="201"/>
      <c r="D4136" s="201"/>
      <c r="E4136" s="201"/>
      <c r="F4136" s="202"/>
      <c r="G4136" s="549"/>
      <c r="H4136" s="549"/>
      <c r="I4136" s="549"/>
      <c r="J4136" s="549"/>
      <c r="K4136" s="549"/>
      <c r="M4136" s="465"/>
      <c r="N4136" s="201"/>
    </row>
    <row r="4137" spans="2:14" hidden="1" outlineLevel="1" x14ac:dyDescent="0.35">
      <c r="B4137" s="200"/>
      <c r="C4137" s="201"/>
      <c r="D4137" s="201"/>
      <c r="E4137" s="201"/>
      <c r="F4137" s="202"/>
      <c r="G4137" s="549"/>
      <c r="H4137" s="549"/>
      <c r="I4137" s="549"/>
      <c r="J4137" s="549"/>
      <c r="K4137" s="549"/>
      <c r="M4137" s="465"/>
      <c r="N4137" s="201"/>
    </row>
    <row r="4138" spans="2:14" hidden="1" outlineLevel="1" x14ac:dyDescent="0.35">
      <c r="B4138" s="200"/>
      <c r="C4138" s="201"/>
      <c r="D4138" s="201"/>
      <c r="E4138" s="201"/>
      <c r="F4138" s="202"/>
      <c r="G4138" s="549"/>
      <c r="H4138" s="549"/>
      <c r="I4138" s="549"/>
      <c r="J4138" s="549"/>
      <c r="K4138" s="549"/>
      <c r="M4138" s="465"/>
      <c r="N4138" s="201"/>
    </row>
    <row r="4139" spans="2:14" hidden="1" outlineLevel="1" x14ac:dyDescent="0.35">
      <c r="B4139" s="200"/>
      <c r="C4139" s="201"/>
      <c r="D4139" s="201"/>
      <c r="E4139" s="201"/>
      <c r="F4139" s="202"/>
      <c r="G4139" s="549"/>
      <c r="H4139" s="549"/>
      <c r="I4139" s="549"/>
      <c r="J4139" s="549"/>
      <c r="K4139" s="549"/>
      <c r="M4139" s="465"/>
      <c r="N4139" s="201"/>
    </row>
    <row r="4140" spans="2:14" hidden="1" outlineLevel="1" x14ac:dyDescent="0.35">
      <c r="B4140" s="200"/>
      <c r="C4140" s="201"/>
      <c r="D4140" s="201"/>
      <c r="E4140" s="201"/>
      <c r="F4140" s="202"/>
      <c r="G4140" s="549"/>
      <c r="H4140" s="549"/>
      <c r="I4140" s="549"/>
      <c r="J4140" s="549"/>
      <c r="K4140" s="549"/>
      <c r="M4140" s="465"/>
      <c r="N4140" s="201"/>
    </row>
    <row r="4141" spans="2:14" hidden="1" outlineLevel="1" x14ac:dyDescent="0.35">
      <c r="B4141" s="200"/>
      <c r="C4141" s="201"/>
      <c r="D4141" s="201"/>
      <c r="E4141" s="201"/>
      <c r="F4141" s="202"/>
      <c r="G4141" s="549"/>
      <c r="H4141" s="549"/>
      <c r="I4141" s="549"/>
      <c r="J4141" s="549"/>
      <c r="K4141" s="549"/>
      <c r="M4141" s="465"/>
      <c r="N4141" s="201"/>
    </row>
    <row r="4142" spans="2:14" hidden="1" outlineLevel="1" x14ac:dyDescent="0.35">
      <c r="B4142" s="200"/>
      <c r="C4142" s="201"/>
      <c r="D4142" s="201"/>
      <c r="E4142" s="201"/>
      <c r="F4142" s="202"/>
      <c r="G4142" s="549"/>
      <c r="H4142" s="549"/>
      <c r="I4142" s="549"/>
      <c r="J4142" s="549"/>
      <c r="K4142" s="549"/>
      <c r="M4142" s="465"/>
      <c r="N4142" s="201"/>
    </row>
    <row r="4143" spans="2:14" hidden="1" outlineLevel="1" x14ac:dyDescent="0.35">
      <c r="B4143" s="200"/>
      <c r="C4143" s="201"/>
      <c r="D4143" s="201"/>
      <c r="E4143" s="201"/>
      <c r="F4143" s="202"/>
      <c r="G4143" s="549"/>
      <c r="H4143" s="549"/>
      <c r="I4143" s="549"/>
      <c r="J4143" s="549"/>
      <c r="K4143" s="549"/>
      <c r="M4143" s="465"/>
      <c r="N4143" s="201"/>
    </row>
    <row r="4144" spans="2:14" hidden="1" outlineLevel="1" x14ac:dyDescent="0.35">
      <c r="B4144" s="200"/>
      <c r="C4144" s="201"/>
      <c r="D4144" s="201"/>
      <c r="E4144" s="201"/>
      <c r="F4144" s="202"/>
      <c r="G4144" s="549"/>
      <c r="H4144" s="549"/>
      <c r="I4144" s="549"/>
      <c r="J4144" s="549"/>
      <c r="K4144" s="549"/>
      <c r="M4144" s="465"/>
      <c r="N4144" s="201"/>
    </row>
    <row r="4145" spans="2:14" hidden="1" outlineLevel="1" x14ac:dyDescent="0.35">
      <c r="B4145" s="200"/>
      <c r="C4145" s="201"/>
      <c r="D4145" s="201"/>
      <c r="E4145" s="201"/>
      <c r="F4145" s="202"/>
      <c r="G4145" s="549"/>
      <c r="H4145" s="549"/>
      <c r="I4145" s="549"/>
      <c r="J4145" s="549"/>
      <c r="K4145" s="549"/>
      <c r="M4145" s="465"/>
      <c r="N4145" s="201"/>
    </row>
    <row r="4146" spans="2:14" hidden="1" outlineLevel="1" x14ac:dyDescent="0.35">
      <c r="B4146" s="200"/>
      <c r="C4146" s="201"/>
      <c r="D4146" s="201"/>
      <c r="E4146" s="201"/>
      <c r="F4146" s="202"/>
      <c r="G4146" s="549"/>
      <c r="H4146" s="549"/>
      <c r="I4146" s="549"/>
      <c r="J4146" s="549"/>
      <c r="K4146" s="549"/>
      <c r="M4146" s="465"/>
      <c r="N4146" s="201"/>
    </row>
    <row r="4147" spans="2:14" hidden="1" outlineLevel="1" x14ac:dyDescent="0.35">
      <c r="B4147" s="200"/>
      <c r="C4147" s="201"/>
      <c r="D4147" s="201"/>
      <c r="E4147" s="201"/>
      <c r="F4147" s="202"/>
      <c r="G4147" s="549"/>
      <c r="H4147" s="549"/>
      <c r="I4147" s="549"/>
      <c r="J4147" s="549"/>
      <c r="K4147" s="549"/>
      <c r="M4147" s="465"/>
      <c r="N4147" s="201"/>
    </row>
    <row r="4148" spans="2:14" hidden="1" outlineLevel="1" x14ac:dyDescent="0.35">
      <c r="B4148" s="200"/>
      <c r="C4148" s="201"/>
      <c r="D4148" s="201"/>
      <c r="E4148" s="201"/>
      <c r="F4148" s="202"/>
      <c r="G4148" s="549"/>
      <c r="H4148" s="549"/>
      <c r="I4148" s="549"/>
      <c r="J4148" s="549"/>
      <c r="K4148" s="549"/>
      <c r="M4148" s="465"/>
      <c r="N4148" s="201"/>
    </row>
    <row r="4149" spans="2:14" hidden="1" outlineLevel="1" x14ac:dyDescent="0.35">
      <c r="B4149" s="200"/>
      <c r="C4149" s="201"/>
      <c r="D4149" s="201"/>
      <c r="E4149" s="201"/>
      <c r="F4149" s="202"/>
      <c r="G4149" s="549"/>
      <c r="H4149" s="549"/>
      <c r="I4149" s="549"/>
      <c r="J4149" s="549"/>
      <c r="K4149" s="549"/>
      <c r="M4149" s="465"/>
      <c r="N4149" s="201"/>
    </row>
    <row r="4150" spans="2:14" hidden="1" outlineLevel="1" x14ac:dyDescent="0.35">
      <c r="B4150" s="200"/>
      <c r="C4150" s="201"/>
      <c r="D4150" s="201"/>
      <c r="E4150" s="201"/>
      <c r="F4150" s="202"/>
      <c r="G4150" s="549"/>
      <c r="H4150" s="549"/>
      <c r="I4150" s="549"/>
      <c r="J4150" s="549"/>
      <c r="K4150" s="549"/>
      <c r="M4150" s="465"/>
      <c r="N4150" s="201"/>
    </row>
    <row r="4151" spans="2:14" hidden="1" outlineLevel="1" x14ac:dyDescent="0.35">
      <c r="B4151" s="200"/>
      <c r="C4151" s="201"/>
      <c r="D4151" s="201"/>
      <c r="E4151" s="201"/>
      <c r="F4151" s="202"/>
      <c r="G4151" s="549"/>
      <c r="H4151" s="549"/>
      <c r="I4151" s="549"/>
      <c r="J4151" s="549"/>
      <c r="K4151" s="549"/>
      <c r="M4151" s="465"/>
      <c r="N4151" s="201"/>
    </row>
    <row r="4152" spans="2:14" hidden="1" outlineLevel="1" x14ac:dyDescent="0.35">
      <c r="B4152" s="200"/>
      <c r="C4152" s="201"/>
      <c r="D4152" s="201"/>
      <c r="E4152" s="201"/>
      <c r="F4152" s="202"/>
      <c r="G4152" s="549"/>
      <c r="H4152" s="549"/>
      <c r="I4152" s="549"/>
      <c r="J4152" s="549"/>
      <c r="K4152" s="549"/>
      <c r="M4152" s="465"/>
      <c r="N4152" s="201"/>
    </row>
    <row r="4153" spans="2:14" hidden="1" outlineLevel="1" x14ac:dyDescent="0.35">
      <c r="B4153" s="200"/>
      <c r="C4153" s="201"/>
      <c r="D4153" s="201"/>
      <c r="E4153" s="201"/>
      <c r="F4153" s="202"/>
      <c r="G4153" s="549"/>
      <c r="H4153" s="549"/>
      <c r="I4153" s="549"/>
      <c r="J4153" s="549"/>
      <c r="K4153" s="549"/>
      <c r="M4153" s="465"/>
      <c r="N4153" s="201"/>
    </row>
    <row r="4154" spans="2:14" hidden="1" outlineLevel="1" x14ac:dyDescent="0.35">
      <c r="B4154" s="200"/>
      <c r="C4154" s="201"/>
      <c r="D4154" s="201"/>
      <c r="E4154" s="201"/>
      <c r="F4154" s="202"/>
      <c r="G4154" s="549"/>
      <c r="H4154" s="549"/>
      <c r="I4154" s="549"/>
      <c r="J4154" s="549"/>
      <c r="K4154" s="549"/>
      <c r="M4154" s="465"/>
      <c r="N4154" s="201"/>
    </row>
    <row r="4155" spans="2:14" hidden="1" outlineLevel="1" x14ac:dyDescent="0.35">
      <c r="B4155" s="200"/>
      <c r="C4155" s="201"/>
      <c r="D4155" s="201"/>
      <c r="E4155" s="201"/>
      <c r="F4155" s="202"/>
      <c r="G4155" s="549"/>
      <c r="H4155" s="549"/>
      <c r="I4155" s="549"/>
      <c r="J4155" s="549"/>
      <c r="K4155" s="549"/>
      <c r="M4155" s="465"/>
      <c r="N4155" s="201"/>
    </row>
    <row r="4156" spans="2:14" hidden="1" outlineLevel="1" x14ac:dyDescent="0.35">
      <c r="B4156" s="200"/>
      <c r="C4156" s="201"/>
      <c r="D4156" s="201"/>
      <c r="E4156" s="201"/>
      <c r="F4156" s="202"/>
      <c r="G4156" s="549"/>
      <c r="H4156" s="549"/>
      <c r="I4156" s="549"/>
      <c r="J4156" s="549"/>
      <c r="K4156" s="549"/>
      <c r="M4156" s="465"/>
      <c r="N4156" s="201"/>
    </row>
    <row r="4157" spans="2:14" hidden="1" outlineLevel="1" x14ac:dyDescent="0.35">
      <c r="B4157" s="200"/>
      <c r="C4157" s="201"/>
      <c r="D4157" s="201"/>
      <c r="E4157" s="201"/>
      <c r="F4157" s="202"/>
      <c r="G4157" s="549"/>
      <c r="H4157" s="549"/>
      <c r="I4157" s="549"/>
      <c r="J4157" s="549"/>
      <c r="K4157" s="549"/>
      <c r="M4157" s="465"/>
      <c r="N4157" s="201"/>
    </row>
    <row r="4158" spans="2:14" hidden="1" outlineLevel="1" x14ac:dyDescent="0.35">
      <c r="B4158" s="200"/>
      <c r="C4158" s="201"/>
      <c r="D4158" s="201"/>
      <c r="E4158" s="201"/>
      <c r="F4158" s="202"/>
      <c r="G4158" s="549"/>
      <c r="H4158" s="549"/>
      <c r="I4158" s="549"/>
      <c r="J4158" s="549"/>
      <c r="K4158" s="549"/>
      <c r="M4158" s="465"/>
      <c r="N4158" s="201"/>
    </row>
    <row r="4159" spans="2:14" hidden="1" outlineLevel="1" x14ac:dyDescent="0.35">
      <c r="B4159" s="200"/>
      <c r="C4159" s="201"/>
      <c r="D4159" s="201"/>
      <c r="E4159" s="201"/>
      <c r="F4159" s="202"/>
      <c r="G4159" s="549"/>
      <c r="H4159" s="549"/>
      <c r="I4159" s="549"/>
      <c r="J4159" s="549"/>
      <c r="K4159" s="549"/>
      <c r="M4159" s="465"/>
      <c r="N4159" s="201"/>
    </row>
    <row r="4160" spans="2:14" hidden="1" outlineLevel="1" x14ac:dyDescent="0.35">
      <c r="B4160" s="200"/>
      <c r="C4160" s="201"/>
      <c r="D4160" s="201"/>
      <c r="E4160" s="201"/>
      <c r="F4160" s="202"/>
      <c r="G4160" s="549"/>
      <c r="H4160" s="549"/>
      <c r="I4160" s="549"/>
      <c r="J4160" s="549"/>
      <c r="K4160" s="549"/>
      <c r="M4160" s="465"/>
      <c r="N4160" s="201"/>
    </row>
    <row r="4161" spans="2:14" hidden="1" outlineLevel="1" x14ac:dyDescent="0.35">
      <c r="B4161" s="200"/>
      <c r="C4161" s="201"/>
      <c r="D4161" s="201"/>
      <c r="E4161" s="201"/>
      <c r="F4161" s="202"/>
      <c r="G4161" s="549"/>
      <c r="H4161" s="549"/>
      <c r="I4161" s="549"/>
      <c r="J4161" s="549"/>
      <c r="K4161" s="549"/>
      <c r="M4161" s="465"/>
      <c r="N4161" s="201"/>
    </row>
    <row r="4162" spans="2:14" hidden="1" outlineLevel="1" x14ac:dyDescent="0.35">
      <c r="B4162" s="200"/>
      <c r="C4162" s="201"/>
      <c r="D4162" s="201"/>
      <c r="E4162" s="201"/>
      <c r="F4162" s="202"/>
      <c r="G4162" s="549"/>
      <c r="H4162" s="549"/>
      <c r="I4162" s="549"/>
      <c r="J4162" s="549"/>
      <c r="K4162" s="549"/>
      <c r="M4162" s="465"/>
      <c r="N4162" s="201"/>
    </row>
    <row r="4163" spans="2:14" hidden="1" outlineLevel="1" x14ac:dyDescent="0.35">
      <c r="B4163" s="200"/>
      <c r="C4163" s="201"/>
      <c r="D4163" s="201"/>
      <c r="E4163" s="201"/>
      <c r="F4163" s="202"/>
      <c r="G4163" s="549"/>
      <c r="H4163" s="549"/>
      <c r="I4163" s="549"/>
      <c r="J4163" s="549"/>
      <c r="K4163" s="549"/>
      <c r="M4163" s="465"/>
      <c r="N4163" s="201"/>
    </row>
    <row r="4164" spans="2:14" hidden="1" outlineLevel="1" x14ac:dyDescent="0.35">
      <c r="B4164" s="200"/>
      <c r="C4164" s="201"/>
      <c r="D4164" s="201"/>
      <c r="E4164" s="201"/>
      <c r="F4164" s="202"/>
      <c r="G4164" s="549"/>
      <c r="H4164" s="549"/>
      <c r="I4164" s="549"/>
      <c r="J4164" s="549"/>
      <c r="K4164" s="549"/>
      <c r="M4164" s="465"/>
      <c r="N4164" s="201"/>
    </row>
    <row r="4165" spans="2:14" hidden="1" outlineLevel="1" x14ac:dyDescent="0.35">
      <c r="B4165" s="200"/>
      <c r="C4165" s="201"/>
      <c r="D4165" s="201"/>
      <c r="E4165" s="201"/>
      <c r="F4165" s="202"/>
      <c r="G4165" s="549"/>
      <c r="H4165" s="549"/>
      <c r="I4165" s="549"/>
      <c r="J4165" s="549"/>
      <c r="K4165" s="549"/>
      <c r="M4165" s="465"/>
      <c r="N4165" s="201"/>
    </row>
    <row r="4166" spans="2:14" hidden="1" outlineLevel="1" x14ac:dyDescent="0.35">
      <c r="B4166" s="200"/>
      <c r="C4166" s="201"/>
      <c r="D4166" s="201"/>
      <c r="E4166" s="201"/>
      <c r="F4166" s="202"/>
      <c r="G4166" s="549"/>
      <c r="H4166" s="549"/>
      <c r="I4166" s="549"/>
      <c r="J4166" s="549"/>
      <c r="K4166" s="549"/>
      <c r="M4166" s="465"/>
      <c r="N4166" s="201"/>
    </row>
    <row r="4167" spans="2:14" hidden="1" outlineLevel="1" x14ac:dyDescent="0.35">
      <c r="B4167" s="200"/>
      <c r="C4167" s="201"/>
      <c r="D4167" s="201"/>
      <c r="E4167" s="201"/>
      <c r="F4167" s="202"/>
      <c r="G4167" s="549"/>
      <c r="H4167" s="549"/>
      <c r="I4167" s="549"/>
      <c r="J4167" s="549"/>
      <c r="K4167" s="549"/>
      <c r="M4167" s="465"/>
      <c r="N4167" s="201"/>
    </row>
    <row r="4168" spans="2:14" hidden="1" outlineLevel="1" x14ac:dyDescent="0.35">
      <c r="B4168" s="200"/>
      <c r="C4168" s="201"/>
      <c r="D4168" s="201"/>
      <c r="E4168" s="201"/>
      <c r="F4168" s="202"/>
      <c r="G4168" s="549"/>
      <c r="H4168" s="549"/>
      <c r="I4168" s="549"/>
      <c r="J4168" s="549"/>
      <c r="K4168" s="549"/>
      <c r="M4168" s="465"/>
      <c r="N4168" s="201"/>
    </row>
    <row r="4169" spans="2:14" hidden="1" outlineLevel="1" x14ac:dyDescent="0.35">
      <c r="B4169" s="200"/>
      <c r="C4169" s="201"/>
      <c r="D4169" s="201"/>
      <c r="E4169" s="201"/>
      <c r="F4169" s="202"/>
      <c r="G4169" s="549"/>
      <c r="H4169" s="549"/>
      <c r="I4169" s="549"/>
      <c r="J4169" s="549"/>
      <c r="K4169" s="549"/>
      <c r="M4169" s="465"/>
      <c r="N4169" s="201"/>
    </row>
    <row r="4170" spans="2:14" hidden="1" outlineLevel="1" x14ac:dyDescent="0.35">
      <c r="B4170" s="200"/>
      <c r="C4170" s="201"/>
      <c r="D4170" s="201"/>
      <c r="E4170" s="201"/>
      <c r="F4170" s="202"/>
      <c r="G4170" s="549"/>
      <c r="H4170" s="549"/>
      <c r="I4170" s="549"/>
      <c r="J4170" s="549"/>
      <c r="K4170" s="549"/>
      <c r="M4170" s="465"/>
      <c r="N4170" s="201"/>
    </row>
    <row r="4171" spans="2:14" hidden="1" outlineLevel="1" x14ac:dyDescent="0.35">
      <c r="B4171" s="200"/>
      <c r="C4171" s="201"/>
      <c r="D4171" s="201"/>
      <c r="E4171" s="201"/>
      <c r="F4171" s="202"/>
      <c r="G4171" s="549"/>
      <c r="H4171" s="549"/>
      <c r="I4171" s="549"/>
      <c r="J4171" s="549"/>
      <c r="K4171" s="549"/>
      <c r="M4171" s="465"/>
      <c r="N4171" s="201"/>
    </row>
    <row r="4172" spans="2:14" hidden="1" outlineLevel="1" x14ac:dyDescent="0.35">
      <c r="B4172" s="200"/>
      <c r="C4172" s="201"/>
      <c r="D4172" s="201"/>
      <c r="E4172" s="201"/>
      <c r="F4172" s="202"/>
      <c r="G4172" s="549"/>
      <c r="H4172" s="549"/>
      <c r="I4172" s="549"/>
      <c r="J4172" s="549"/>
      <c r="K4172" s="549"/>
      <c r="M4172" s="465"/>
      <c r="N4172" s="201"/>
    </row>
    <row r="4173" spans="2:14" hidden="1" outlineLevel="1" x14ac:dyDescent="0.35">
      <c r="B4173" s="200"/>
      <c r="C4173" s="201"/>
      <c r="D4173" s="201"/>
      <c r="E4173" s="201"/>
      <c r="F4173" s="202"/>
      <c r="G4173" s="549"/>
      <c r="H4173" s="549"/>
      <c r="I4173" s="549"/>
      <c r="J4173" s="549"/>
      <c r="K4173" s="549"/>
      <c r="M4173" s="465"/>
      <c r="N4173" s="201"/>
    </row>
    <row r="4174" spans="2:14" hidden="1" outlineLevel="1" x14ac:dyDescent="0.35">
      <c r="B4174" s="200"/>
      <c r="C4174" s="201"/>
      <c r="D4174" s="201"/>
      <c r="E4174" s="201"/>
      <c r="F4174" s="202"/>
      <c r="G4174" s="549"/>
      <c r="H4174" s="549"/>
      <c r="I4174" s="549"/>
      <c r="J4174" s="549"/>
      <c r="K4174" s="549"/>
      <c r="M4174" s="465"/>
      <c r="N4174" s="201"/>
    </row>
    <row r="4175" spans="2:14" hidden="1" outlineLevel="1" x14ac:dyDescent="0.35">
      <c r="B4175" s="200"/>
      <c r="C4175" s="201"/>
      <c r="D4175" s="201"/>
      <c r="E4175" s="201"/>
      <c r="F4175" s="202"/>
      <c r="G4175" s="549"/>
      <c r="H4175" s="549"/>
      <c r="I4175" s="549"/>
      <c r="J4175" s="549"/>
      <c r="K4175" s="549"/>
      <c r="M4175" s="465"/>
      <c r="N4175" s="201"/>
    </row>
    <row r="4176" spans="2:14" hidden="1" outlineLevel="1" x14ac:dyDescent="0.35">
      <c r="B4176" s="200"/>
      <c r="C4176" s="201"/>
      <c r="D4176" s="201"/>
      <c r="E4176" s="201"/>
      <c r="F4176" s="202"/>
      <c r="G4176" s="549"/>
      <c r="H4176" s="549"/>
      <c r="I4176" s="549"/>
      <c r="J4176" s="549"/>
      <c r="K4176" s="549"/>
      <c r="M4176" s="465"/>
      <c r="N4176" s="201"/>
    </row>
    <row r="4177" spans="2:14" hidden="1" outlineLevel="1" x14ac:dyDescent="0.35">
      <c r="B4177" s="200"/>
      <c r="C4177" s="201"/>
      <c r="D4177" s="201"/>
      <c r="E4177" s="201"/>
      <c r="F4177" s="202"/>
      <c r="G4177" s="549"/>
      <c r="H4177" s="549"/>
      <c r="I4177" s="549"/>
      <c r="J4177" s="549"/>
      <c r="K4177" s="549"/>
      <c r="M4177" s="465"/>
      <c r="N4177" s="201"/>
    </row>
    <row r="4178" spans="2:14" hidden="1" outlineLevel="1" x14ac:dyDescent="0.35">
      <c r="B4178" s="200"/>
      <c r="C4178" s="201"/>
      <c r="D4178" s="201"/>
      <c r="E4178" s="201"/>
      <c r="F4178" s="202"/>
      <c r="G4178" s="549"/>
      <c r="H4178" s="549"/>
      <c r="I4178" s="549"/>
      <c r="J4178" s="549"/>
      <c r="K4178" s="549"/>
      <c r="M4178" s="465"/>
      <c r="N4178" s="201"/>
    </row>
    <row r="4179" spans="2:14" hidden="1" outlineLevel="1" x14ac:dyDescent="0.35">
      <c r="B4179" s="200"/>
      <c r="C4179" s="201"/>
      <c r="D4179" s="201"/>
      <c r="E4179" s="201"/>
      <c r="F4179" s="202"/>
      <c r="G4179" s="549"/>
      <c r="H4179" s="549"/>
      <c r="I4179" s="549"/>
      <c r="J4179" s="549"/>
      <c r="K4179" s="549"/>
      <c r="M4179" s="465"/>
      <c r="N4179" s="201"/>
    </row>
    <row r="4180" spans="2:14" hidden="1" outlineLevel="1" x14ac:dyDescent="0.35">
      <c r="B4180" s="200"/>
      <c r="C4180" s="201"/>
      <c r="D4180" s="201"/>
      <c r="E4180" s="201"/>
      <c r="F4180" s="202"/>
      <c r="G4180" s="549"/>
      <c r="H4180" s="549"/>
      <c r="I4180" s="549"/>
      <c r="J4180" s="549"/>
      <c r="K4180" s="549"/>
      <c r="M4180" s="465"/>
      <c r="N4180" s="201"/>
    </row>
    <row r="4181" spans="2:14" hidden="1" outlineLevel="1" x14ac:dyDescent="0.35">
      <c r="B4181" s="200"/>
      <c r="C4181" s="201"/>
      <c r="D4181" s="201"/>
      <c r="E4181" s="201"/>
      <c r="F4181" s="202"/>
      <c r="G4181" s="549"/>
      <c r="H4181" s="549"/>
      <c r="I4181" s="549"/>
      <c r="J4181" s="549"/>
      <c r="K4181" s="549"/>
      <c r="M4181" s="465"/>
      <c r="N4181" s="201"/>
    </row>
    <row r="4182" spans="2:14" hidden="1" outlineLevel="1" x14ac:dyDescent="0.35">
      <c r="B4182" s="200"/>
      <c r="C4182" s="201"/>
      <c r="D4182" s="201"/>
      <c r="E4182" s="201"/>
      <c r="F4182" s="202"/>
      <c r="G4182" s="549"/>
      <c r="H4182" s="549"/>
      <c r="I4182" s="549"/>
      <c r="J4182" s="549"/>
      <c r="K4182" s="549"/>
      <c r="M4182" s="465"/>
      <c r="N4182" s="201"/>
    </row>
    <row r="4183" spans="2:14" hidden="1" outlineLevel="1" x14ac:dyDescent="0.35">
      <c r="B4183" s="200"/>
      <c r="C4183" s="201"/>
      <c r="D4183" s="201"/>
      <c r="E4183" s="201"/>
      <c r="F4183" s="202"/>
      <c r="G4183" s="549"/>
      <c r="H4183" s="549"/>
      <c r="I4183" s="549"/>
      <c r="J4183" s="549"/>
      <c r="K4183" s="549"/>
      <c r="M4183" s="465"/>
      <c r="N4183" s="201"/>
    </row>
    <row r="4184" spans="2:14" hidden="1" outlineLevel="1" x14ac:dyDescent="0.35">
      <c r="B4184" s="200"/>
      <c r="C4184" s="201"/>
      <c r="D4184" s="201"/>
      <c r="E4184" s="201"/>
      <c r="F4184" s="202"/>
      <c r="G4184" s="549"/>
      <c r="H4184" s="549"/>
      <c r="I4184" s="549"/>
      <c r="J4184" s="549"/>
      <c r="K4184" s="549"/>
      <c r="M4184" s="465"/>
      <c r="N4184" s="201"/>
    </row>
    <row r="4185" spans="2:14" hidden="1" outlineLevel="1" x14ac:dyDescent="0.35">
      <c r="B4185" s="200"/>
      <c r="C4185" s="201"/>
      <c r="D4185" s="201"/>
      <c r="E4185" s="201"/>
      <c r="F4185" s="202"/>
      <c r="G4185" s="549"/>
      <c r="H4185" s="549"/>
      <c r="I4185" s="549"/>
      <c r="J4185" s="549"/>
      <c r="K4185" s="549"/>
      <c r="M4185" s="465"/>
      <c r="N4185" s="201"/>
    </row>
    <row r="4186" spans="2:14" hidden="1" outlineLevel="1" x14ac:dyDescent="0.35">
      <c r="B4186" s="200"/>
      <c r="C4186" s="201"/>
      <c r="D4186" s="201"/>
      <c r="E4186" s="201"/>
      <c r="F4186" s="202"/>
      <c r="G4186" s="549"/>
      <c r="H4186" s="549"/>
      <c r="I4186" s="549"/>
      <c r="J4186" s="549"/>
      <c r="K4186" s="549"/>
      <c r="M4186" s="465"/>
      <c r="N4186" s="201"/>
    </row>
    <row r="4187" spans="2:14" hidden="1" outlineLevel="1" x14ac:dyDescent="0.35">
      <c r="B4187" s="200"/>
      <c r="C4187" s="201"/>
      <c r="D4187" s="201"/>
      <c r="E4187" s="201"/>
      <c r="F4187" s="202"/>
      <c r="G4187" s="549"/>
      <c r="H4187" s="549"/>
      <c r="I4187" s="549"/>
      <c r="J4187" s="549"/>
      <c r="K4187" s="549"/>
      <c r="M4187" s="465"/>
      <c r="N4187" s="201"/>
    </row>
    <row r="4188" spans="2:14" hidden="1" outlineLevel="1" x14ac:dyDescent="0.35">
      <c r="B4188" s="200"/>
      <c r="C4188" s="201"/>
      <c r="D4188" s="201"/>
      <c r="E4188" s="201"/>
      <c r="F4188" s="202"/>
      <c r="G4188" s="549"/>
      <c r="H4188" s="549"/>
      <c r="I4188" s="549"/>
      <c r="J4188" s="549"/>
      <c r="K4188" s="549"/>
      <c r="M4188" s="465"/>
      <c r="N4188" s="201"/>
    </row>
    <row r="4189" spans="2:14" hidden="1" outlineLevel="1" x14ac:dyDescent="0.35">
      <c r="B4189" s="200"/>
      <c r="C4189" s="201"/>
      <c r="D4189" s="201"/>
      <c r="E4189" s="201"/>
      <c r="F4189" s="202"/>
      <c r="G4189" s="549"/>
      <c r="H4189" s="549"/>
      <c r="I4189" s="549"/>
      <c r="J4189" s="549"/>
      <c r="K4189" s="549"/>
      <c r="M4189" s="465"/>
      <c r="N4189" s="201"/>
    </row>
    <row r="4190" spans="2:14" hidden="1" outlineLevel="1" x14ac:dyDescent="0.35">
      <c r="B4190" s="200"/>
      <c r="C4190" s="201"/>
      <c r="D4190" s="201"/>
      <c r="E4190" s="201"/>
      <c r="F4190" s="202"/>
      <c r="G4190" s="549"/>
      <c r="H4190" s="549"/>
      <c r="I4190" s="549"/>
      <c r="J4190" s="549"/>
      <c r="K4190" s="549"/>
      <c r="M4190" s="465"/>
      <c r="N4190" s="201"/>
    </row>
    <row r="4191" spans="2:14" hidden="1" outlineLevel="1" x14ac:dyDescent="0.35">
      <c r="B4191" s="200"/>
      <c r="C4191" s="201"/>
      <c r="D4191" s="201"/>
      <c r="E4191" s="201"/>
      <c r="F4191" s="202"/>
      <c r="G4191" s="549"/>
      <c r="H4191" s="549"/>
      <c r="I4191" s="549"/>
      <c r="J4191" s="549"/>
      <c r="K4191" s="549"/>
      <c r="M4191" s="465"/>
      <c r="N4191" s="201"/>
    </row>
    <row r="4192" spans="2:14" hidden="1" outlineLevel="1" x14ac:dyDescent="0.35">
      <c r="B4192" s="200"/>
      <c r="C4192" s="201"/>
      <c r="D4192" s="201"/>
      <c r="E4192" s="201"/>
      <c r="F4192" s="202"/>
      <c r="G4192" s="549"/>
      <c r="H4192" s="549"/>
      <c r="I4192" s="549"/>
      <c r="J4192" s="549"/>
      <c r="K4192" s="549"/>
      <c r="M4192" s="465"/>
      <c r="N4192" s="201"/>
    </row>
    <row r="4193" spans="2:14" hidden="1" outlineLevel="1" x14ac:dyDescent="0.35">
      <c r="B4193" s="200"/>
      <c r="C4193" s="201"/>
      <c r="D4193" s="201"/>
      <c r="E4193" s="201"/>
      <c r="F4193" s="202"/>
      <c r="G4193" s="549"/>
      <c r="H4193" s="549"/>
      <c r="I4193" s="549"/>
      <c r="J4193" s="549"/>
      <c r="K4193" s="549"/>
      <c r="M4193" s="465"/>
      <c r="N4193" s="201"/>
    </row>
    <row r="4194" spans="2:14" hidden="1" outlineLevel="1" x14ac:dyDescent="0.35">
      <c r="B4194" s="200"/>
      <c r="C4194" s="201"/>
      <c r="D4194" s="201"/>
      <c r="E4194" s="201"/>
      <c r="F4194" s="202"/>
      <c r="G4194" s="549"/>
      <c r="H4194" s="549"/>
      <c r="I4194" s="549"/>
      <c r="J4194" s="549"/>
      <c r="K4194" s="549"/>
      <c r="M4194" s="465"/>
      <c r="N4194" s="201"/>
    </row>
    <row r="4195" spans="2:14" hidden="1" outlineLevel="1" x14ac:dyDescent="0.35">
      <c r="B4195" s="200"/>
      <c r="C4195" s="201"/>
      <c r="D4195" s="201"/>
      <c r="E4195" s="201"/>
      <c r="F4195" s="202"/>
      <c r="G4195" s="549"/>
      <c r="H4195" s="549"/>
      <c r="I4195" s="549"/>
      <c r="J4195" s="549"/>
      <c r="K4195" s="549"/>
      <c r="M4195" s="465"/>
      <c r="N4195" s="201"/>
    </row>
    <row r="4196" spans="2:14" hidden="1" outlineLevel="1" x14ac:dyDescent="0.35">
      <c r="B4196" s="200"/>
      <c r="C4196" s="201"/>
      <c r="D4196" s="201"/>
      <c r="E4196" s="201"/>
      <c r="F4196" s="202"/>
      <c r="G4196" s="549"/>
      <c r="H4196" s="549"/>
      <c r="I4196" s="549"/>
      <c r="J4196" s="549"/>
      <c r="K4196" s="549"/>
      <c r="M4196" s="465"/>
      <c r="N4196" s="201"/>
    </row>
    <row r="4197" spans="2:14" hidden="1" outlineLevel="1" x14ac:dyDescent="0.35">
      <c r="B4197" s="200"/>
      <c r="C4197" s="201"/>
      <c r="D4197" s="201"/>
      <c r="E4197" s="201"/>
      <c r="F4197" s="202"/>
      <c r="G4197" s="549"/>
      <c r="H4197" s="549"/>
      <c r="I4197" s="549"/>
      <c r="J4197" s="549"/>
      <c r="K4197" s="549"/>
      <c r="M4197" s="465"/>
      <c r="N4197" s="201"/>
    </row>
    <row r="4198" spans="2:14" hidden="1" outlineLevel="1" x14ac:dyDescent="0.35">
      <c r="B4198" s="200"/>
      <c r="C4198" s="201"/>
      <c r="D4198" s="201"/>
      <c r="E4198" s="201"/>
      <c r="F4198" s="202"/>
      <c r="G4198" s="549"/>
      <c r="H4198" s="549"/>
      <c r="I4198" s="549"/>
      <c r="J4198" s="549"/>
      <c r="K4198" s="549"/>
      <c r="M4198" s="465"/>
      <c r="N4198" s="201"/>
    </row>
    <row r="4199" spans="2:14" hidden="1" outlineLevel="1" x14ac:dyDescent="0.35">
      <c r="B4199" s="200"/>
      <c r="C4199" s="201"/>
      <c r="D4199" s="201"/>
      <c r="E4199" s="201"/>
      <c r="F4199" s="202"/>
      <c r="G4199" s="549"/>
      <c r="H4199" s="549"/>
      <c r="I4199" s="549"/>
      <c r="J4199" s="549"/>
      <c r="K4199" s="549"/>
      <c r="M4199" s="465"/>
      <c r="N4199" s="201"/>
    </row>
    <row r="4200" spans="2:14" hidden="1" outlineLevel="1" x14ac:dyDescent="0.35">
      <c r="B4200" s="200"/>
      <c r="C4200" s="201"/>
      <c r="D4200" s="201"/>
      <c r="E4200" s="201"/>
      <c r="F4200" s="202"/>
      <c r="G4200" s="549"/>
      <c r="H4200" s="549"/>
      <c r="I4200" s="549"/>
      <c r="J4200" s="549"/>
      <c r="K4200" s="549"/>
      <c r="M4200" s="465"/>
      <c r="N4200" s="201"/>
    </row>
    <row r="4201" spans="2:14" hidden="1" outlineLevel="1" x14ac:dyDescent="0.35">
      <c r="B4201" s="200"/>
      <c r="C4201" s="201"/>
      <c r="D4201" s="201"/>
      <c r="E4201" s="201"/>
      <c r="F4201" s="202"/>
      <c r="G4201" s="549"/>
      <c r="H4201" s="549"/>
      <c r="I4201" s="549"/>
      <c r="J4201" s="549"/>
      <c r="K4201" s="549"/>
      <c r="M4201" s="465"/>
      <c r="N4201" s="201"/>
    </row>
    <row r="4202" spans="2:14" hidden="1" outlineLevel="1" x14ac:dyDescent="0.35">
      <c r="B4202" s="200"/>
      <c r="C4202" s="201"/>
      <c r="D4202" s="201"/>
      <c r="E4202" s="201"/>
      <c r="F4202" s="202"/>
      <c r="G4202" s="549"/>
      <c r="H4202" s="549"/>
      <c r="I4202" s="549"/>
      <c r="J4202" s="549"/>
      <c r="K4202" s="549"/>
      <c r="M4202" s="465"/>
      <c r="N4202" s="201"/>
    </row>
    <row r="4203" spans="2:14" hidden="1" outlineLevel="1" x14ac:dyDescent="0.35">
      <c r="B4203" s="200"/>
      <c r="C4203" s="201"/>
      <c r="D4203" s="201"/>
      <c r="E4203" s="201"/>
      <c r="F4203" s="202"/>
      <c r="G4203" s="549"/>
      <c r="H4203" s="549"/>
      <c r="I4203" s="549"/>
      <c r="J4203" s="549"/>
      <c r="K4203" s="549"/>
      <c r="M4203" s="465"/>
      <c r="N4203" s="201"/>
    </row>
    <row r="4204" spans="2:14" hidden="1" outlineLevel="1" x14ac:dyDescent="0.35">
      <c r="B4204" s="200"/>
      <c r="C4204" s="201"/>
      <c r="D4204" s="201"/>
      <c r="E4204" s="201"/>
      <c r="F4204" s="202"/>
      <c r="G4204" s="549"/>
      <c r="H4204" s="549"/>
      <c r="I4204" s="549"/>
      <c r="J4204" s="549"/>
      <c r="K4204" s="549"/>
      <c r="M4204" s="465"/>
      <c r="N4204" s="201"/>
    </row>
    <row r="4205" spans="2:14" hidden="1" outlineLevel="1" x14ac:dyDescent="0.35">
      <c r="B4205" s="200"/>
      <c r="C4205" s="201"/>
      <c r="D4205" s="201"/>
      <c r="E4205" s="201"/>
      <c r="F4205" s="202"/>
      <c r="G4205" s="549"/>
      <c r="H4205" s="549"/>
      <c r="I4205" s="549"/>
      <c r="J4205" s="549"/>
      <c r="K4205" s="549"/>
      <c r="M4205" s="465"/>
      <c r="N4205" s="201"/>
    </row>
    <row r="4206" spans="2:14" hidden="1" outlineLevel="1" x14ac:dyDescent="0.35">
      <c r="B4206" s="200"/>
      <c r="C4206" s="201"/>
      <c r="D4206" s="201"/>
      <c r="E4206" s="201"/>
      <c r="F4206" s="202"/>
      <c r="G4206" s="549"/>
      <c r="H4206" s="549"/>
      <c r="I4206" s="549"/>
      <c r="J4206" s="549"/>
      <c r="K4206" s="549"/>
      <c r="M4206" s="465"/>
      <c r="N4206" s="201"/>
    </row>
    <row r="4207" spans="2:14" hidden="1" outlineLevel="1" x14ac:dyDescent="0.35">
      <c r="B4207" s="200"/>
      <c r="C4207" s="201"/>
      <c r="D4207" s="201"/>
      <c r="E4207" s="201"/>
      <c r="F4207" s="202"/>
      <c r="G4207" s="549"/>
      <c r="H4207" s="549"/>
      <c r="I4207" s="549"/>
      <c r="J4207" s="549"/>
      <c r="K4207" s="549"/>
      <c r="M4207" s="465"/>
      <c r="N4207" s="201"/>
    </row>
    <row r="4208" spans="2:14" hidden="1" outlineLevel="1" x14ac:dyDescent="0.35">
      <c r="B4208" s="200"/>
      <c r="C4208" s="201"/>
      <c r="D4208" s="201"/>
      <c r="E4208" s="201"/>
      <c r="F4208" s="202"/>
      <c r="G4208" s="549"/>
      <c r="H4208" s="549"/>
      <c r="I4208" s="549"/>
      <c r="J4208" s="549"/>
      <c r="K4208" s="549"/>
      <c r="M4208" s="465"/>
      <c r="N4208" s="201"/>
    </row>
    <row r="4209" spans="2:14" hidden="1" outlineLevel="1" x14ac:dyDescent="0.35">
      <c r="B4209" s="200"/>
      <c r="C4209" s="201"/>
      <c r="D4209" s="201"/>
      <c r="E4209" s="201"/>
      <c r="F4209" s="202"/>
      <c r="G4209" s="549"/>
      <c r="H4209" s="549"/>
      <c r="I4209" s="549"/>
      <c r="J4209" s="549"/>
      <c r="K4209" s="549"/>
      <c r="M4209" s="465"/>
      <c r="N4209" s="201"/>
    </row>
    <row r="4210" spans="2:14" hidden="1" outlineLevel="1" x14ac:dyDescent="0.35">
      <c r="B4210" s="200"/>
      <c r="C4210" s="201"/>
      <c r="D4210" s="201"/>
      <c r="E4210" s="201"/>
      <c r="F4210" s="202"/>
      <c r="G4210" s="549"/>
      <c r="H4210" s="549"/>
      <c r="I4210" s="549"/>
      <c r="J4210" s="549"/>
      <c r="K4210" s="549"/>
      <c r="M4210" s="465"/>
      <c r="N4210" s="201"/>
    </row>
    <row r="4211" spans="2:14" hidden="1" outlineLevel="1" x14ac:dyDescent="0.35">
      <c r="B4211" s="200"/>
      <c r="C4211" s="201"/>
      <c r="D4211" s="201"/>
      <c r="E4211" s="201"/>
      <c r="F4211" s="202"/>
      <c r="G4211" s="549"/>
      <c r="H4211" s="549"/>
      <c r="I4211" s="549"/>
      <c r="J4211" s="549"/>
      <c r="K4211" s="549"/>
      <c r="M4211" s="465"/>
      <c r="N4211" s="201"/>
    </row>
    <row r="4212" spans="2:14" hidden="1" outlineLevel="1" x14ac:dyDescent="0.35">
      <c r="B4212" s="200"/>
      <c r="C4212" s="201"/>
      <c r="D4212" s="201"/>
      <c r="E4212" s="201"/>
      <c r="F4212" s="202"/>
      <c r="G4212" s="549"/>
      <c r="H4212" s="549"/>
      <c r="I4212" s="549"/>
      <c r="J4212" s="549"/>
      <c r="K4212" s="549"/>
      <c r="M4212" s="465"/>
      <c r="N4212" s="201"/>
    </row>
    <row r="4213" spans="2:14" hidden="1" outlineLevel="1" x14ac:dyDescent="0.35">
      <c r="B4213" s="200"/>
      <c r="C4213" s="201"/>
      <c r="D4213" s="201"/>
      <c r="E4213" s="201"/>
      <c r="F4213" s="202"/>
      <c r="G4213" s="549"/>
      <c r="H4213" s="549"/>
      <c r="I4213" s="549"/>
      <c r="J4213" s="549"/>
      <c r="K4213" s="549"/>
      <c r="M4213" s="465"/>
      <c r="N4213" s="201"/>
    </row>
    <row r="4214" spans="2:14" hidden="1" outlineLevel="1" x14ac:dyDescent="0.35">
      <c r="B4214" s="200"/>
      <c r="C4214" s="201"/>
      <c r="D4214" s="201"/>
      <c r="E4214" s="201"/>
      <c r="F4214" s="202"/>
      <c r="G4214" s="549"/>
      <c r="H4214" s="549"/>
      <c r="I4214" s="549"/>
      <c r="J4214" s="549"/>
      <c r="K4214" s="549"/>
      <c r="M4214" s="465"/>
      <c r="N4214" s="201"/>
    </row>
    <row r="4215" spans="2:14" hidden="1" outlineLevel="1" x14ac:dyDescent="0.35">
      <c r="B4215" s="200"/>
      <c r="C4215" s="201"/>
      <c r="D4215" s="201"/>
      <c r="E4215" s="201"/>
      <c r="F4215" s="202"/>
      <c r="G4215" s="549"/>
      <c r="H4215" s="549"/>
      <c r="I4215" s="549"/>
      <c r="J4215" s="549"/>
      <c r="K4215" s="549"/>
      <c r="M4215" s="465"/>
      <c r="N4215" s="201"/>
    </row>
    <row r="4216" spans="2:14" hidden="1" outlineLevel="1" x14ac:dyDescent="0.35">
      <c r="B4216" s="200"/>
      <c r="C4216" s="201"/>
      <c r="D4216" s="201"/>
      <c r="E4216" s="201"/>
      <c r="F4216" s="202"/>
      <c r="G4216" s="549"/>
      <c r="H4216" s="549"/>
      <c r="I4216" s="549"/>
      <c r="J4216" s="549"/>
      <c r="K4216" s="549"/>
      <c r="M4216" s="465"/>
      <c r="N4216" s="201"/>
    </row>
    <row r="4217" spans="2:14" hidden="1" outlineLevel="1" x14ac:dyDescent="0.35">
      <c r="B4217" s="200"/>
      <c r="C4217" s="201"/>
      <c r="D4217" s="201"/>
      <c r="E4217" s="201"/>
      <c r="F4217" s="202"/>
      <c r="G4217" s="549"/>
      <c r="H4217" s="549"/>
      <c r="I4217" s="549"/>
      <c r="J4217" s="549"/>
      <c r="K4217" s="549"/>
      <c r="M4217" s="465"/>
      <c r="N4217" s="201"/>
    </row>
    <row r="4218" spans="2:14" hidden="1" outlineLevel="1" x14ac:dyDescent="0.35">
      <c r="B4218" s="200"/>
      <c r="C4218" s="201"/>
      <c r="D4218" s="201"/>
      <c r="E4218" s="201"/>
      <c r="F4218" s="202"/>
      <c r="G4218" s="549"/>
      <c r="H4218" s="549"/>
      <c r="I4218" s="549"/>
      <c r="J4218" s="549"/>
      <c r="K4218" s="549"/>
      <c r="M4218" s="465"/>
      <c r="N4218" s="201"/>
    </row>
    <row r="4219" spans="2:14" hidden="1" outlineLevel="1" x14ac:dyDescent="0.35">
      <c r="B4219" s="200"/>
      <c r="C4219" s="201"/>
      <c r="D4219" s="201"/>
      <c r="E4219" s="201"/>
      <c r="F4219" s="202"/>
      <c r="G4219" s="549"/>
      <c r="H4219" s="549"/>
      <c r="I4219" s="549"/>
      <c r="J4219" s="549"/>
      <c r="K4219" s="549"/>
      <c r="M4219" s="465"/>
      <c r="N4219" s="201"/>
    </row>
    <row r="4220" spans="2:14" hidden="1" outlineLevel="1" x14ac:dyDescent="0.35">
      <c r="B4220" s="200"/>
      <c r="C4220" s="201"/>
      <c r="D4220" s="201"/>
      <c r="E4220" s="201"/>
      <c r="F4220" s="202"/>
      <c r="G4220" s="549"/>
      <c r="H4220" s="549"/>
      <c r="I4220" s="549"/>
      <c r="J4220" s="549"/>
      <c r="K4220" s="549"/>
      <c r="M4220" s="465"/>
      <c r="N4220" s="201"/>
    </row>
    <row r="4221" spans="2:14" hidden="1" outlineLevel="1" x14ac:dyDescent="0.35">
      <c r="B4221" s="200"/>
      <c r="C4221" s="201"/>
      <c r="D4221" s="201"/>
      <c r="E4221" s="201"/>
      <c r="F4221" s="202"/>
      <c r="G4221" s="549"/>
      <c r="H4221" s="549"/>
      <c r="I4221" s="549"/>
      <c r="J4221" s="549"/>
      <c r="K4221" s="549"/>
      <c r="M4221" s="465"/>
      <c r="N4221" s="201"/>
    </row>
    <row r="4222" spans="2:14" hidden="1" outlineLevel="1" x14ac:dyDescent="0.35">
      <c r="B4222" s="200"/>
      <c r="C4222" s="201"/>
      <c r="D4222" s="201"/>
      <c r="E4222" s="201"/>
      <c r="F4222" s="202"/>
      <c r="G4222" s="549"/>
      <c r="H4222" s="549"/>
      <c r="I4222" s="549"/>
      <c r="J4222" s="549"/>
      <c r="K4222" s="549"/>
      <c r="M4222" s="465"/>
      <c r="N4222" s="201"/>
    </row>
    <row r="4223" spans="2:14" hidden="1" outlineLevel="1" x14ac:dyDescent="0.35">
      <c r="B4223" s="200"/>
      <c r="C4223" s="201"/>
      <c r="D4223" s="201"/>
      <c r="E4223" s="201"/>
      <c r="F4223" s="202"/>
      <c r="G4223" s="549"/>
      <c r="H4223" s="549"/>
      <c r="I4223" s="549"/>
      <c r="J4223" s="549"/>
      <c r="K4223" s="549"/>
      <c r="M4223" s="465"/>
      <c r="N4223" s="201"/>
    </row>
    <row r="4224" spans="2:14" hidden="1" outlineLevel="1" x14ac:dyDescent="0.35">
      <c r="B4224" s="200"/>
      <c r="C4224" s="201"/>
      <c r="D4224" s="201"/>
      <c r="E4224" s="201"/>
      <c r="F4224" s="202"/>
      <c r="G4224" s="549"/>
      <c r="H4224" s="549"/>
      <c r="I4224" s="549"/>
      <c r="J4224" s="549"/>
      <c r="K4224" s="549"/>
      <c r="M4224" s="465"/>
      <c r="N4224" s="201"/>
    </row>
    <row r="4225" spans="2:14" hidden="1" outlineLevel="1" x14ac:dyDescent="0.35">
      <c r="B4225" s="200"/>
      <c r="C4225" s="201"/>
      <c r="D4225" s="201"/>
      <c r="E4225" s="201"/>
      <c r="F4225" s="202"/>
      <c r="G4225" s="549"/>
      <c r="H4225" s="549"/>
      <c r="I4225" s="549"/>
      <c r="J4225" s="549"/>
      <c r="K4225" s="549"/>
      <c r="M4225" s="465"/>
      <c r="N4225" s="201"/>
    </row>
    <row r="4226" spans="2:14" hidden="1" outlineLevel="1" x14ac:dyDescent="0.35">
      <c r="B4226" s="200"/>
      <c r="C4226" s="201"/>
      <c r="D4226" s="201"/>
      <c r="E4226" s="201"/>
      <c r="F4226" s="202"/>
      <c r="G4226" s="549"/>
      <c r="H4226" s="549"/>
      <c r="I4226" s="549"/>
      <c r="J4226" s="549"/>
      <c r="K4226" s="549"/>
      <c r="M4226" s="465"/>
      <c r="N4226" s="201"/>
    </row>
    <row r="4227" spans="2:14" hidden="1" outlineLevel="1" x14ac:dyDescent="0.35">
      <c r="B4227" s="200"/>
      <c r="C4227" s="201"/>
      <c r="D4227" s="201"/>
      <c r="E4227" s="201"/>
      <c r="F4227" s="202"/>
      <c r="G4227" s="549"/>
      <c r="H4227" s="549"/>
      <c r="I4227" s="549"/>
      <c r="J4227" s="549"/>
      <c r="K4227" s="549"/>
      <c r="M4227" s="465"/>
      <c r="N4227" s="201"/>
    </row>
    <row r="4228" spans="2:14" hidden="1" outlineLevel="1" x14ac:dyDescent="0.35">
      <c r="B4228" s="200"/>
      <c r="C4228" s="201"/>
      <c r="D4228" s="201"/>
      <c r="E4228" s="201"/>
      <c r="F4228" s="202"/>
      <c r="G4228" s="549"/>
      <c r="H4228" s="549"/>
      <c r="I4228" s="549"/>
      <c r="J4228" s="549"/>
      <c r="K4228" s="549"/>
      <c r="M4228" s="465"/>
      <c r="N4228" s="201"/>
    </row>
    <row r="4229" spans="2:14" hidden="1" outlineLevel="1" x14ac:dyDescent="0.35">
      <c r="B4229" s="200"/>
      <c r="C4229" s="201"/>
      <c r="D4229" s="201"/>
      <c r="E4229" s="201"/>
      <c r="F4229" s="202"/>
      <c r="G4229" s="549"/>
      <c r="H4229" s="549"/>
      <c r="I4229" s="549"/>
      <c r="J4229" s="549"/>
      <c r="K4229" s="549"/>
      <c r="M4229" s="465"/>
      <c r="N4229" s="201"/>
    </row>
    <row r="4230" spans="2:14" hidden="1" outlineLevel="1" x14ac:dyDescent="0.35">
      <c r="B4230" s="200"/>
      <c r="C4230" s="201"/>
      <c r="D4230" s="201"/>
      <c r="E4230" s="201"/>
      <c r="F4230" s="202"/>
      <c r="G4230" s="549"/>
      <c r="H4230" s="549"/>
      <c r="I4230" s="549"/>
      <c r="J4230" s="549"/>
      <c r="K4230" s="549"/>
      <c r="M4230" s="465"/>
      <c r="N4230" s="201"/>
    </row>
    <row r="4231" spans="2:14" hidden="1" outlineLevel="1" x14ac:dyDescent="0.35">
      <c r="B4231" s="200"/>
      <c r="C4231" s="201"/>
      <c r="D4231" s="201"/>
      <c r="E4231" s="201"/>
      <c r="F4231" s="202"/>
      <c r="G4231" s="549"/>
      <c r="H4231" s="549"/>
      <c r="I4231" s="549"/>
      <c r="J4231" s="549"/>
      <c r="K4231" s="549"/>
      <c r="M4231" s="465"/>
      <c r="N4231" s="201"/>
    </row>
    <row r="4232" spans="2:14" hidden="1" outlineLevel="1" x14ac:dyDescent="0.35">
      <c r="B4232" s="200"/>
      <c r="C4232" s="201"/>
      <c r="D4232" s="201"/>
      <c r="E4232" s="201"/>
      <c r="F4232" s="202"/>
      <c r="G4232" s="549"/>
      <c r="H4232" s="549"/>
      <c r="I4232" s="549"/>
      <c r="J4232" s="549"/>
      <c r="K4232" s="549"/>
      <c r="M4232" s="465"/>
      <c r="N4232" s="201"/>
    </row>
    <row r="4233" spans="2:14" hidden="1" outlineLevel="1" x14ac:dyDescent="0.35">
      <c r="B4233" s="200"/>
      <c r="C4233" s="201"/>
      <c r="D4233" s="201"/>
      <c r="E4233" s="201"/>
      <c r="F4233" s="202"/>
      <c r="G4233" s="549"/>
      <c r="H4233" s="549"/>
      <c r="I4233" s="549"/>
      <c r="J4233" s="549"/>
      <c r="K4233" s="549"/>
      <c r="M4233" s="465"/>
      <c r="N4233" s="201"/>
    </row>
    <row r="4234" spans="2:14" hidden="1" outlineLevel="1" x14ac:dyDescent="0.35">
      <c r="B4234" s="200"/>
      <c r="C4234" s="201"/>
      <c r="D4234" s="201"/>
      <c r="E4234" s="201"/>
      <c r="F4234" s="202"/>
      <c r="G4234" s="549"/>
      <c r="H4234" s="549"/>
      <c r="I4234" s="549"/>
      <c r="J4234" s="549"/>
      <c r="K4234" s="549"/>
      <c r="M4234" s="465"/>
      <c r="N4234" s="201"/>
    </row>
    <row r="4235" spans="2:14" hidden="1" outlineLevel="1" x14ac:dyDescent="0.35">
      <c r="B4235" s="200"/>
      <c r="C4235" s="201"/>
      <c r="D4235" s="201"/>
      <c r="E4235" s="201"/>
      <c r="F4235" s="202"/>
      <c r="G4235" s="549"/>
      <c r="H4235" s="549"/>
      <c r="I4235" s="549"/>
      <c r="J4235" s="549"/>
      <c r="K4235" s="549"/>
      <c r="M4235" s="465"/>
      <c r="N4235" s="201"/>
    </row>
    <row r="4236" spans="2:14" hidden="1" outlineLevel="1" x14ac:dyDescent="0.35">
      <c r="B4236" s="200"/>
      <c r="C4236" s="201"/>
      <c r="D4236" s="201"/>
      <c r="E4236" s="201"/>
      <c r="F4236" s="202"/>
      <c r="G4236" s="549"/>
      <c r="H4236" s="549"/>
      <c r="I4236" s="549"/>
      <c r="J4236" s="549"/>
      <c r="K4236" s="549"/>
      <c r="M4236" s="465"/>
      <c r="N4236" s="201"/>
    </row>
    <row r="4237" spans="2:14" hidden="1" outlineLevel="1" x14ac:dyDescent="0.35">
      <c r="B4237" s="200"/>
      <c r="C4237" s="201"/>
      <c r="D4237" s="201"/>
      <c r="E4237" s="201"/>
      <c r="F4237" s="202"/>
      <c r="G4237" s="549"/>
      <c r="H4237" s="549"/>
      <c r="I4237" s="549"/>
      <c r="J4237" s="549"/>
      <c r="K4237" s="549"/>
      <c r="M4237" s="465"/>
      <c r="N4237" s="201"/>
    </row>
    <row r="4238" spans="2:14" hidden="1" outlineLevel="1" x14ac:dyDescent="0.35">
      <c r="B4238" s="200"/>
      <c r="C4238" s="201"/>
      <c r="D4238" s="201"/>
      <c r="E4238" s="201"/>
      <c r="F4238" s="202"/>
      <c r="G4238" s="549"/>
      <c r="H4238" s="549"/>
      <c r="I4238" s="549"/>
      <c r="J4238" s="549"/>
      <c r="K4238" s="549"/>
      <c r="M4238" s="465"/>
      <c r="N4238" s="201"/>
    </row>
    <row r="4239" spans="2:14" hidden="1" outlineLevel="1" x14ac:dyDescent="0.35">
      <c r="B4239" s="200"/>
      <c r="C4239" s="201"/>
      <c r="D4239" s="201"/>
      <c r="E4239" s="201"/>
      <c r="F4239" s="202"/>
      <c r="G4239" s="549"/>
      <c r="H4239" s="549"/>
      <c r="I4239" s="549"/>
      <c r="J4239" s="549"/>
      <c r="K4239" s="549"/>
      <c r="M4239" s="465"/>
      <c r="N4239" s="201"/>
    </row>
    <row r="4240" spans="2:14" hidden="1" outlineLevel="1" x14ac:dyDescent="0.35">
      <c r="B4240" s="200"/>
      <c r="C4240" s="201"/>
      <c r="D4240" s="201"/>
      <c r="E4240" s="201"/>
      <c r="F4240" s="202"/>
      <c r="G4240" s="549"/>
      <c r="H4240" s="549"/>
      <c r="I4240" s="549"/>
      <c r="J4240" s="549"/>
      <c r="K4240" s="549"/>
      <c r="M4240" s="465"/>
      <c r="N4240" s="201"/>
    </row>
    <row r="4241" spans="2:14" hidden="1" outlineLevel="1" x14ac:dyDescent="0.35">
      <c r="B4241" s="200"/>
      <c r="C4241" s="201"/>
      <c r="D4241" s="201"/>
      <c r="E4241" s="201"/>
      <c r="F4241" s="202"/>
      <c r="G4241" s="549"/>
      <c r="H4241" s="549"/>
      <c r="I4241" s="549"/>
      <c r="J4241" s="549"/>
      <c r="K4241" s="549"/>
      <c r="M4241" s="465"/>
      <c r="N4241" s="201"/>
    </row>
    <row r="4242" spans="2:14" hidden="1" outlineLevel="1" x14ac:dyDescent="0.35">
      <c r="B4242" s="200"/>
      <c r="C4242" s="201"/>
      <c r="D4242" s="201"/>
      <c r="E4242" s="201"/>
      <c r="F4242" s="202"/>
      <c r="G4242" s="549"/>
      <c r="H4242" s="549"/>
      <c r="I4242" s="549"/>
      <c r="J4242" s="549"/>
      <c r="K4242" s="549"/>
      <c r="M4242" s="465"/>
      <c r="N4242" s="201"/>
    </row>
    <row r="4243" spans="2:14" hidden="1" outlineLevel="1" x14ac:dyDescent="0.35">
      <c r="B4243" s="200"/>
      <c r="C4243" s="201"/>
      <c r="D4243" s="201"/>
      <c r="E4243" s="201"/>
      <c r="F4243" s="202"/>
      <c r="G4243" s="549"/>
      <c r="H4243" s="549"/>
      <c r="I4243" s="549"/>
      <c r="J4243" s="549"/>
      <c r="K4243" s="549"/>
      <c r="M4243" s="465"/>
      <c r="N4243" s="201"/>
    </row>
    <row r="4244" spans="2:14" hidden="1" outlineLevel="1" x14ac:dyDescent="0.35">
      <c r="B4244" s="200"/>
      <c r="C4244" s="201"/>
      <c r="D4244" s="201"/>
      <c r="E4244" s="201"/>
      <c r="F4244" s="202"/>
      <c r="G4244" s="549"/>
      <c r="H4244" s="549"/>
      <c r="I4244" s="549"/>
      <c r="J4244" s="549"/>
      <c r="K4244" s="549"/>
      <c r="M4244" s="465"/>
      <c r="N4244" s="201"/>
    </row>
    <row r="4245" spans="2:14" hidden="1" outlineLevel="1" x14ac:dyDescent="0.35">
      <c r="B4245" s="200"/>
      <c r="C4245" s="201"/>
      <c r="D4245" s="201"/>
      <c r="E4245" s="201"/>
      <c r="F4245" s="202"/>
      <c r="G4245" s="549"/>
      <c r="H4245" s="549"/>
      <c r="I4245" s="549"/>
      <c r="J4245" s="549"/>
      <c r="K4245" s="549"/>
      <c r="M4245" s="465"/>
      <c r="N4245" s="201"/>
    </row>
    <row r="4246" spans="2:14" hidden="1" outlineLevel="1" x14ac:dyDescent="0.35">
      <c r="B4246" s="200"/>
      <c r="C4246" s="201"/>
      <c r="D4246" s="201"/>
      <c r="E4246" s="201"/>
      <c r="F4246" s="202"/>
      <c r="G4246" s="549"/>
      <c r="H4246" s="549"/>
      <c r="I4246" s="549"/>
      <c r="J4246" s="549"/>
      <c r="K4246" s="549"/>
      <c r="M4246" s="465"/>
      <c r="N4246" s="201"/>
    </row>
    <row r="4247" spans="2:14" hidden="1" outlineLevel="1" x14ac:dyDescent="0.35">
      <c r="B4247" s="200"/>
      <c r="C4247" s="201"/>
      <c r="D4247" s="201"/>
      <c r="E4247" s="201"/>
      <c r="F4247" s="202"/>
      <c r="G4247" s="549"/>
      <c r="H4247" s="549"/>
      <c r="I4247" s="549"/>
      <c r="J4247" s="549"/>
      <c r="K4247" s="549"/>
      <c r="M4247" s="465"/>
      <c r="N4247" s="201"/>
    </row>
    <row r="4248" spans="2:14" hidden="1" outlineLevel="1" x14ac:dyDescent="0.35">
      <c r="B4248" s="200"/>
      <c r="C4248" s="201"/>
      <c r="D4248" s="201"/>
      <c r="E4248" s="201"/>
      <c r="F4248" s="202"/>
      <c r="G4248" s="549"/>
      <c r="H4248" s="549"/>
      <c r="I4248" s="549"/>
      <c r="J4248" s="549"/>
      <c r="K4248" s="549"/>
      <c r="M4248" s="465"/>
      <c r="N4248" s="201"/>
    </row>
    <row r="4249" spans="2:14" hidden="1" outlineLevel="1" x14ac:dyDescent="0.35">
      <c r="B4249" s="200"/>
      <c r="C4249" s="201"/>
      <c r="D4249" s="201"/>
      <c r="E4249" s="201"/>
      <c r="F4249" s="202"/>
      <c r="G4249" s="549"/>
      <c r="H4249" s="549"/>
      <c r="I4249" s="549"/>
      <c r="J4249" s="549"/>
      <c r="K4249" s="549"/>
      <c r="M4249" s="465"/>
      <c r="N4249" s="201"/>
    </row>
    <row r="4250" spans="2:14" hidden="1" outlineLevel="1" x14ac:dyDescent="0.35">
      <c r="B4250" s="200"/>
      <c r="C4250" s="201"/>
      <c r="D4250" s="201"/>
      <c r="E4250" s="201"/>
      <c r="F4250" s="202"/>
      <c r="G4250" s="549"/>
      <c r="H4250" s="549"/>
      <c r="I4250" s="549"/>
      <c r="J4250" s="549"/>
      <c r="K4250" s="549"/>
      <c r="M4250" s="465"/>
      <c r="N4250" s="201"/>
    </row>
    <row r="4251" spans="2:14" hidden="1" outlineLevel="1" x14ac:dyDescent="0.35">
      <c r="B4251" s="200"/>
      <c r="C4251" s="201"/>
      <c r="D4251" s="201"/>
      <c r="E4251" s="201"/>
      <c r="F4251" s="202"/>
      <c r="G4251" s="549"/>
      <c r="H4251" s="549"/>
      <c r="I4251" s="549"/>
      <c r="J4251" s="549"/>
      <c r="K4251" s="549"/>
      <c r="M4251" s="465"/>
      <c r="N4251" s="201"/>
    </row>
    <row r="4252" spans="2:14" hidden="1" outlineLevel="1" x14ac:dyDescent="0.35">
      <c r="B4252" s="200"/>
      <c r="C4252" s="201"/>
      <c r="D4252" s="201"/>
      <c r="E4252" s="201"/>
      <c r="F4252" s="202"/>
      <c r="G4252" s="549"/>
      <c r="H4252" s="549"/>
      <c r="I4252" s="549"/>
      <c r="J4252" s="549"/>
      <c r="K4252" s="549"/>
      <c r="M4252" s="465"/>
      <c r="N4252" s="201"/>
    </row>
    <row r="4253" spans="2:14" hidden="1" outlineLevel="1" x14ac:dyDescent="0.35">
      <c r="B4253" s="200"/>
      <c r="C4253" s="201"/>
      <c r="D4253" s="201"/>
      <c r="E4253" s="201"/>
      <c r="F4253" s="202"/>
      <c r="G4253" s="549"/>
      <c r="H4253" s="549"/>
      <c r="I4253" s="549"/>
      <c r="J4253" s="549"/>
      <c r="K4253" s="549"/>
      <c r="M4253" s="465"/>
      <c r="N4253" s="201"/>
    </row>
    <row r="4254" spans="2:14" hidden="1" outlineLevel="1" x14ac:dyDescent="0.35">
      <c r="B4254" s="200"/>
      <c r="C4254" s="201"/>
      <c r="D4254" s="201"/>
      <c r="E4254" s="201"/>
      <c r="F4254" s="202"/>
      <c r="G4254" s="549"/>
      <c r="H4254" s="549"/>
      <c r="I4254" s="549"/>
      <c r="J4254" s="549"/>
      <c r="K4254" s="549"/>
      <c r="M4254" s="465"/>
      <c r="N4254" s="201"/>
    </row>
    <row r="4255" spans="2:14" hidden="1" outlineLevel="1" x14ac:dyDescent="0.35">
      <c r="B4255" s="200"/>
      <c r="C4255" s="201"/>
      <c r="D4255" s="201"/>
      <c r="E4255" s="201"/>
      <c r="F4255" s="202"/>
      <c r="G4255" s="549"/>
      <c r="H4255" s="549"/>
      <c r="I4255" s="549"/>
      <c r="J4255" s="549"/>
      <c r="K4255" s="549"/>
      <c r="M4255" s="465"/>
      <c r="N4255" s="201"/>
    </row>
    <row r="4256" spans="2:14" hidden="1" outlineLevel="1" x14ac:dyDescent="0.35">
      <c r="B4256" s="200"/>
      <c r="C4256" s="201"/>
      <c r="D4256" s="201"/>
      <c r="E4256" s="201"/>
      <c r="F4256" s="202"/>
      <c r="G4256" s="549"/>
      <c r="H4256" s="549"/>
      <c r="I4256" s="549"/>
      <c r="J4256" s="549"/>
      <c r="K4256" s="549"/>
      <c r="M4256" s="465"/>
      <c r="N4256" s="201"/>
    </row>
    <row r="4257" spans="2:14" hidden="1" outlineLevel="1" x14ac:dyDescent="0.35">
      <c r="B4257" s="200"/>
      <c r="C4257" s="201"/>
      <c r="D4257" s="201"/>
      <c r="E4257" s="201"/>
      <c r="F4257" s="202"/>
      <c r="G4257" s="549"/>
      <c r="H4257" s="549"/>
      <c r="I4257" s="549"/>
      <c r="J4257" s="549"/>
      <c r="K4257" s="549"/>
      <c r="M4257" s="465"/>
      <c r="N4257" s="201"/>
    </row>
    <row r="4258" spans="2:14" hidden="1" outlineLevel="1" x14ac:dyDescent="0.35">
      <c r="B4258" s="200"/>
      <c r="C4258" s="201"/>
      <c r="D4258" s="201"/>
      <c r="E4258" s="201"/>
      <c r="F4258" s="202"/>
      <c r="G4258" s="549"/>
      <c r="H4258" s="549"/>
      <c r="I4258" s="549"/>
      <c r="J4258" s="549"/>
      <c r="K4258" s="549"/>
      <c r="M4258" s="465"/>
      <c r="N4258" s="201"/>
    </row>
    <row r="4259" spans="2:14" hidden="1" outlineLevel="1" x14ac:dyDescent="0.35">
      <c r="B4259" s="200"/>
      <c r="C4259" s="201"/>
      <c r="D4259" s="201"/>
      <c r="E4259" s="201"/>
      <c r="F4259" s="202"/>
      <c r="G4259" s="549"/>
      <c r="H4259" s="549"/>
      <c r="I4259" s="549"/>
      <c r="J4259" s="549"/>
      <c r="K4259" s="549"/>
      <c r="M4259" s="465"/>
      <c r="N4259" s="201"/>
    </row>
    <row r="4260" spans="2:14" hidden="1" outlineLevel="1" x14ac:dyDescent="0.35">
      <c r="B4260" s="200"/>
      <c r="C4260" s="201"/>
      <c r="D4260" s="201"/>
      <c r="E4260" s="201"/>
      <c r="F4260" s="202"/>
      <c r="G4260" s="549"/>
      <c r="H4260" s="549"/>
      <c r="I4260" s="549"/>
      <c r="J4260" s="549"/>
      <c r="K4260" s="549"/>
      <c r="M4260" s="465"/>
      <c r="N4260" s="201"/>
    </row>
    <row r="4261" spans="2:14" hidden="1" outlineLevel="1" x14ac:dyDescent="0.35">
      <c r="B4261" s="200"/>
      <c r="C4261" s="201"/>
      <c r="D4261" s="201"/>
      <c r="E4261" s="201"/>
      <c r="F4261" s="202"/>
      <c r="G4261" s="549"/>
      <c r="H4261" s="549"/>
      <c r="I4261" s="549"/>
      <c r="J4261" s="549"/>
      <c r="K4261" s="549"/>
      <c r="M4261" s="465"/>
      <c r="N4261" s="201"/>
    </row>
    <row r="4262" spans="2:14" hidden="1" outlineLevel="1" x14ac:dyDescent="0.35">
      <c r="B4262" s="200"/>
      <c r="C4262" s="201"/>
      <c r="D4262" s="201"/>
      <c r="E4262" s="201"/>
      <c r="F4262" s="202"/>
      <c r="G4262" s="549"/>
      <c r="H4262" s="549"/>
      <c r="I4262" s="549"/>
      <c r="J4262" s="549"/>
      <c r="K4262" s="549"/>
      <c r="M4262" s="465"/>
      <c r="N4262" s="201"/>
    </row>
    <row r="4263" spans="2:14" hidden="1" outlineLevel="1" x14ac:dyDescent="0.35">
      <c r="B4263" s="200"/>
      <c r="C4263" s="201"/>
      <c r="D4263" s="201"/>
      <c r="E4263" s="201"/>
      <c r="F4263" s="202"/>
      <c r="G4263" s="549"/>
      <c r="H4263" s="549"/>
      <c r="I4263" s="549"/>
      <c r="J4263" s="549"/>
      <c r="K4263" s="549"/>
      <c r="M4263" s="465"/>
      <c r="N4263" s="201"/>
    </row>
    <row r="4264" spans="2:14" hidden="1" outlineLevel="1" x14ac:dyDescent="0.35">
      <c r="B4264" s="200"/>
      <c r="C4264" s="201"/>
      <c r="D4264" s="201"/>
      <c r="E4264" s="201"/>
      <c r="F4264" s="202"/>
      <c r="G4264" s="549"/>
      <c r="H4264" s="549"/>
      <c r="I4264" s="549"/>
      <c r="J4264" s="549"/>
      <c r="K4264" s="549"/>
      <c r="M4264" s="465"/>
      <c r="N4264" s="201"/>
    </row>
    <row r="4265" spans="2:14" hidden="1" outlineLevel="1" x14ac:dyDescent="0.35">
      <c r="B4265" s="200"/>
      <c r="C4265" s="201"/>
      <c r="D4265" s="201"/>
      <c r="E4265" s="201"/>
      <c r="F4265" s="202"/>
      <c r="G4265" s="549"/>
      <c r="H4265" s="549"/>
      <c r="I4265" s="549"/>
      <c r="J4265" s="549"/>
      <c r="K4265" s="549"/>
      <c r="M4265" s="465"/>
      <c r="N4265" s="201"/>
    </row>
    <row r="4266" spans="2:14" hidden="1" outlineLevel="1" x14ac:dyDescent="0.35">
      <c r="B4266" s="200"/>
      <c r="C4266" s="201"/>
      <c r="D4266" s="201"/>
      <c r="E4266" s="201"/>
      <c r="F4266" s="202"/>
      <c r="G4266" s="549"/>
      <c r="H4266" s="549"/>
      <c r="I4266" s="549"/>
      <c r="J4266" s="549"/>
      <c r="K4266" s="549"/>
      <c r="M4266" s="465"/>
      <c r="N4266" s="201"/>
    </row>
    <row r="4267" spans="2:14" hidden="1" outlineLevel="1" x14ac:dyDescent="0.35">
      <c r="B4267" s="200"/>
      <c r="C4267" s="201"/>
      <c r="D4267" s="201"/>
      <c r="E4267" s="201"/>
      <c r="F4267" s="202"/>
      <c r="G4267" s="549"/>
      <c r="H4267" s="549"/>
      <c r="I4267" s="549"/>
      <c r="J4267" s="549"/>
      <c r="K4267" s="549"/>
      <c r="M4267" s="465"/>
      <c r="N4267" s="201"/>
    </row>
    <row r="4268" spans="2:14" hidden="1" outlineLevel="1" x14ac:dyDescent="0.35">
      <c r="B4268" s="200"/>
      <c r="C4268" s="201"/>
      <c r="D4268" s="201"/>
      <c r="E4268" s="201"/>
      <c r="F4268" s="202"/>
      <c r="G4268" s="549"/>
      <c r="H4268" s="549"/>
      <c r="I4268" s="549"/>
      <c r="J4268" s="549"/>
      <c r="K4268" s="549"/>
      <c r="M4268" s="465"/>
      <c r="N4268" s="201"/>
    </row>
    <row r="4269" spans="2:14" hidden="1" outlineLevel="1" x14ac:dyDescent="0.35">
      <c r="B4269" s="200"/>
      <c r="C4269" s="201"/>
      <c r="D4269" s="201"/>
      <c r="E4269" s="201"/>
      <c r="F4269" s="202"/>
      <c r="G4269" s="549"/>
      <c r="H4269" s="549"/>
      <c r="I4269" s="549"/>
      <c r="J4269" s="549"/>
      <c r="K4269" s="549"/>
      <c r="M4269" s="465"/>
      <c r="N4269" s="201"/>
    </row>
    <row r="4270" spans="2:14" hidden="1" outlineLevel="1" x14ac:dyDescent="0.35">
      <c r="B4270" s="200"/>
      <c r="C4270" s="201"/>
      <c r="D4270" s="201"/>
      <c r="E4270" s="201"/>
      <c r="F4270" s="202"/>
      <c r="G4270" s="549"/>
      <c r="H4270" s="549"/>
      <c r="I4270" s="549"/>
      <c r="J4270" s="549"/>
      <c r="K4270" s="549"/>
      <c r="M4270" s="465"/>
      <c r="N4270" s="201"/>
    </row>
    <row r="4271" spans="2:14" hidden="1" outlineLevel="1" x14ac:dyDescent="0.35">
      <c r="B4271" s="200"/>
      <c r="C4271" s="201"/>
      <c r="D4271" s="201"/>
      <c r="E4271" s="201"/>
      <c r="F4271" s="202"/>
      <c r="G4271" s="549"/>
      <c r="H4271" s="549"/>
      <c r="I4271" s="549"/>
      <c r="J4271" s="549"/>
      <c r="K4271" s="549"/>
      <c r="M4271" s="465"/>
      <c r="N4271" s="201"/>
    </row>
    <row r="4272" spans="2:14" hidden="1" outlineLevel="1" x14ac:dyDescent="0.35">
      <c r="B4272" s="200"/>
      <c r="C4272" s="201"/>
      <c r="D4272" s="201"/>
      <c r="E4272" s="201"/>
      <c r="F4272" s="202"/>
      <c r="G4272" s="549"/>
      <c r="H4272" s="549"/>
      <c r="I4272" s="549"/>
      <c r="J4272" s="549"/>
      <c r="K4272" s="549"/>
      <c r="M4272" s="465"/>
      <c r="N4272" s="201"/>
    </row>
    <row r="4273" spans="2:14" hidden="1" outlineLevel="1" x14ac:dyDescent="0.35">
      <c r="B4273" s="200"/>
      <c r="C4273" s="201"/>
      <c r="D4273" s="201"/>
      <c r="E4273" s="201"/>
      <c r="F4273" s="202"/>
      <c r="G4273" s="549"/>
      <c r="H4273" s="549"/>
      <c r="I4273" s="549"/>
      <c r="J4273" s="549"/>
      <c r="K4273" s="549"/>
      <c r="M4273" s="465"/>
      <c r="N4273" s="201"/>
    </row>
    <row r="4274" spans="2:14" hidden="1" outlineLevel="1" x14ac:dyDescent="0.35">
      <c r="B4274" s="200"/>
      <c r="C4274" s="201"/>
      <c r="D4274" s="201"/>
      <c r="E4274" s="201"/>
      <c r="F4274" s="202"/>
      <c r="G4274" s="549"/>
      <c r="H4274" s="549"/>
      <c r="I4274" s="549"/>
      <c r="J4274" s="549"/>
      <c r="K4274" s="549"/>
      <c r="M4274" s="465"/>
      <c r="N4274" s="201"/>
    </row>
    <row r="4275" spans="2:14" hidden="1" outlineLevel="1" x14ac:dyDescent="0.35">
      <c r="B4275" s="200"/>
      <c r="C4275" s="201"/>
      <c r="D4275" s="201"/>
      <c r="E4275" s="201"/>
      <c r="F4275" s="202"/>
      <c r="G4275" s="549"/>
      <c r="H4275" s="549"/>
      <c r="I4275" s="549"/>
      <c r="J4275" s="549"/>
      <c r="K4275" s="549"/>
      <c r="M4275" s="465"/>
      <c r="N4275" s="201"/>
    </row>
    <row r="4276" spans="2:14" hidden="1" outlineLevel="1" x14ac:dyDescent="0.35">
      <c r="B4276" s="200"/>
      <c r="C4276" s="201"/>
      <c r="D4276" s="201"/>
      <c r="E4276" s="201"/>
      <c r="F4276" s="202"/>
      <c r="G4276" s="549"/>
      <c r="H4276" s="549"/>
      <c r="I4276" s="549"/>
      <c r="J4276" s="549"/>
      <c r="K4276" s="549"/>
      <c r="M4276" s="465"/>
      <c r="N4276" s="201"/>
    </row>
    <row r="4277" spans="2:14" hidden="1" outlineLevel="1" x14ac:dyDescent="0.35">
      <c r="B4277" s="200"/>
      <c r="C4277" s="201"/>
      <c r="D4277" s="201"/>
      <c r="E4277" s="201"/>
      <c r="F4277" s="202"/>
      <c r="G4277" s="549"/>
      <c r="H4277" s="549"/>
      <c r="I4277" s="549"/>
      <c r="J4277" s="549"/>
      <c r="K4277" s="549"/>
      <c r="M4277" s="465"/>
      <c r="N4277" s="201"/>
    </row>
    <row r="4278" spans="2:14" hidden="1" outlineLevel="1" x14ac:dyDescent="0.35">
      <c r="B4278" s="200"/>
      <c r="C4278" s="201"/>
      <c r="D4278" s="201"/>
      <c r="E4278" s="201"/>
      <c r="F4278" s="202"/>
      <c r="G4278" s="549"/>
      <c r="H4278" s="549"/>
      <c r="I4278" s="549"/>
      <c r="J4278" s="549"/>
      <c r="K4278" s="549"/>
      <c r="M4278" s="465"/>
      <c r="N4278" s="201"/>
    </row>
    <row r="4279" spans="2:14" hidden="1" outlineLevel="1" x14ac:dyDescent="0.35">
      <c r="B4279" s="200"/>
      <c r="C4279" s="201"/>
      <c r="D4279" s="201"/>
      <c r="E4279" s="201"/>
      <c r="F4279" s="202"/>
      <c r="G4279" s="549"/>
      <c r="H4279" s="549"/>
      <c r="I4279" s="549"/>
      <c r="J4279" s="549"/>
      <c r="K4279" s="549"/>
      <c r="M4279" s="465"/>
      <c r="N4279" s="201"/>
    </row>
    <row r="4280" spans="2:14" hidden="1" outlineLevel="1" x14ac:dyDescent="0.35">
      <c r="B4280" s="200"/>
      <c r="C4280" s="201"/>
      <c r="D4280" s="201"/>
      <c r="E4280" s="201"/>
      <c r="F4280" s="202"/>
      <c r="G4280" s="549"/>
      <c r="H4280" s="549"/>
      <c r="I4280" s="549"/>
      <c r="J4280" s="549"/>
      <c r="K4280" s="549"/>
      <c r="M4280" s="465"/>
      <c r="N4280" s="201"/>
    </row>
    <row r="4281" spans="2:14" hidden="1" outlineLevel="1" x14ac:dyDescent="0.35">
      <c r="B4281" s="200"/>
      <c r="C4281" s="201"/>
      <c r="D4281" s="201"/>
      <c r="E4281" s="201"/>
      <c r="F4281" s="202"/>
      <c r="G4281" s="549"/>
      <c r="H4281" s="549"/>
      <c r="I4281" s="549"/>
      <c r="J4281" s="549"/>
      <c r="K4281" s="549"/>
      <c r="M4281" s="465"/>
      <c r="N4281" s="201"/>
    </row>
    <row r="4282" spans="2:14" hidden="1" outlineLevel="1" x14ac:dyDescent="0.35">
      <c r="B4282" s="200"/>
      <c r="C4282" s="201"/>
      <c r="D4282" s="201"/>
      <c r="E4282" s="201"/>
      <c r="F4282" s="202"/>
      <c r="G4282" s="549"/>
      <c r="H4282" s="549"/>
      <c r="I4282" s="549"/>
      <c r="J4282" s="549"/>
      <c r="K4282" s="549"/>
      <c r="M4282" s="465"/>
      <c r="N4282" s="201"/>
    </row>
    <row r="4283" spans="2:14" hidden="1" outlineLevel="1" x14ac:dyDescent="0.35">
      <c r="B4283" s="200"/>
      <c r="C4283" s="201"/>
      <c r="D4283" s="201"/>
      <c r="E4283" s="201"/>
      <c r="F4283" s="202"/>
      <c r="G4283" s="549"/>
      <c r="H4283" s="549"/>
      <c r="I4283" s="549"/>
      <c r="J4283" s="549"/>
      <c r="K4283" s="549"/>
      <c r="M4283" s="465"/>
      <c r="N4283" s="201"/>
    </row>
    <row r="4284" spans="2:14" hidden="1" outlineLevel="1" x14ac:dyDescent="0.35">
      <c r="B4284" s="200"/>
      <c r="C4284" s="201"/>
      <c r="D4284" s="201"/>
      <c r="E4284" s="201"/>
      <c r="F4284" s="202"/>
      <c r="G4284" s="549"/>
      <c r="H4284" s="549"/>
      <c r="I4284" s="549"/>
      <c r="J4284" s="549"/>
      <c r="K4284" s="549"/>
      <c r="M4284" s="465"/>
      <c r="N4284" s="201"/>
    </row>
    <row r="4285" spans="2:14" hidden="1" outlineLevel="1" x14ac:dyDescent="0.35">
      <c r="B4285" s="200"/>
      <c r="C4285" s="201"/>
      <c r="D4285" s="201"/>
      <c r="E4285" s="201"/>
      <c r="F4285" s="202"/>
      <c r="G4285" s="549"/>
      <c r="H4285" s="549"/>
      <c r="I4285" s="549"/>
      <c r="J4285" s="549"/>
      <c r="K4285" s="549"/>
      <c r="M4285" s="465"/>
      <c r="N4285" s="201"/>
    </row>
    <row r="4286" spans="2:14" hidden="1" outlineLevel="1" x14ac:dyDescent="0.35">
      <c r="B4286" s="200"/>
      <c r="C4286" s="201"/>
      <c r="D4286" s="201"/>
      <c r="E4286" s="201"/>
      <c r="F4286" s="202"/>
      <c r="G4286" s="549"/>
      <c r="H4286" s="549"/>
      <c r="I4286" s="549"/>
      <c r="J4286" s="549"/>
      <c r="K4286" s="549"/>
      <c r="M4286" s="465"/>
      <c r="N4286" s="201"/>
    </row>
    <row r="4287" spans="2:14" hidden="1" outlineLevel="1" x14ac:dyDescent="0.35">
      <c r="B4287" s="200"/>
      <c r="C4287" s="201"/>
      <c r="D4287" s="201"/>
      <c r="E4287" s="201"/>
      <c r="F4287" s="202"/>
      <c r="G4287" s="549"/>
      <c r="H4287" s="549"/>
      <c r="I4287" s="549"/>
      <c r="J4287" s="549"/>
      <c r="K4287" s="549"/>
      <c r="M4287" s="465"/>
      <c r="N4287" s="201"/>
    </row>
    <row r="4288" spans="2:14" hidden="1" outlineLevel="1" x14ac:dyDescent="0.35">
      <c r="B4288" s="200"/>
      <c r="C4288" s="201"/>
      <c r="D4288" s="201"/>
      <c r="E4288" s="201"/>
      <c r="F4288" s="202"/>
      <c r="G4288" s="549"/>
      <c r="H4288" s="549"/>
      <c r="I4288" s="549"/>
      <c r="J4288" s="549"/>
      <c r="K4288" s="549"/>
      <c r="M4288" s="465"/>
      <c r="N4288" s="201"/>
    </row>
    <row r="4289" spans="2:14" hidden="1" outlineLevel="1" x14ac:dyDescent="0.35">
      <c r="B4289" s="200"/>
      <c r="C4289" s="201"/>
      <c r="D4289" s="201"/>
      <c r="E4289" s="201"/>
      <c r="F4289" s="202"/>
      <c r="G4289" s="549"/>
      <c r="H4289" s="549"/>
      <c r="I4289" s="549"/>
      <c r="J4289" s="549"/>
      <c r="K4289" s="549"/>
      <c r="M4289" s="465"/>
      <c r="N4289" s="201"/>
    </row>
    <row r="4290" spans="2:14" hidden="1" outlineLevel="1" x14ac:dyDescent="0.35">
      <c r="B4290" s="200"/>
      <c r="C4290" s="201"/>
      <c r="D4290" s="201"/>
      <c r="E4290" s="201"/>
      <c r="F4290" s="202"/>
      <c r="G4290" s="549"/>
      <c r="H4290" s="549"/>
      <c r="I4290" s="549"/>
      <c r="J4290" s="549"/>
      <c r="K4290" s="549"/>
      <c r="M4290" s="465"/>
      <c r="N4290" s="201"/>
    </row>
    <row r="4291" spans="2:14" hidden="1" outlineLevel="1" x14ac:dyDescent="0.35">
      <c r="B4291" s="200"/>
      <c r="C4291" s="201"/>
      <c r="D4291" s="201"/>
      <c r="E4291" s="201"/>
      <c r="F4291" s="202"/>
      <c r="G4291" s="549"/>
      <c r="H4291" s="549"/>
      <c r="I4291" s="549"/>
      <c r="J4291" s="549"/>
      <c r="K4291" s="549"/>
      <c r="M4291" s="465"/>
      <c r="N4291" s="201"/>
    </row>
    <row r="4292" spans="2:14" hidden="1" outlineLevel="1" x14ac:dyDescent="0.35">
      <c r="B4292" s="200"/>
      <c r="C4292" s="201"/>
      <c r="D4292" s="201"/>
      <c r="E4292" s="201"/>
      <c r="F4292" s="202"/>
      <c r="G4292" s="549"/>
      <c r="H4292" s="549"/>
      <c r="I4292" s="549"/>
      <c r="J4292" s="549"/>
      <c r="K4292" s="549"/>
      <c r="M4292" s="465"/>
      <c r="N4292" s="201"/>
    </row>
    <row r="4293" spans="2:14" hidden="1" outlineLevel="1" x14ac:dyDescent="0.35">
      <c r="B4293" s="200"/>
      <c r="C4293" s="201"/>
      <c r="D4293" s="201"/>
      <c r="E4293" s="201"/>
      <c r="F4293" s="202"/>
      <c r="G4293" s="549"/>
      <c r="H4293" s="549"/>
      <c r="I4293" s="549"/>
      <c r="J4293" s="549"/>
      <c r="K4293" s="549"/>
      <c r="M4293" s="465"/>
      <c r="N4293" s="201"/>
    </row>
    <row r="4294" spans="2:14" hidden="1" outlineLevel="1" x14ac:dyDescent="0.35">
      <c r="B4294" s="200"/>
      <c r="C4294" s="201"/>
      <c r="D4294" s="201"/>
      <c r="E4294" s="201"/>
      <c r="F4294" s="202"/>
      <c r="G4294" s="549"/>
      <c r="H4294" s="549"/>
      <c r="I4294" s="549"/>
      <c r="J4294" s="549"/>
      <c r="K4294" s="549"/>
      <c r="M4294" s="465"/>
      <c r="N4294" s="201"/>
    </row>
    <row r="4295" spans="2:14" hidden="1" outlineLevel="1" x14ac:dyDescent="0.35">
      <c r="B4295" s="200"/>
      <c r="C4295" s="201"/>
      <c r="D4295" s="201"/>
      <c r="E4295" s="201"/>
      <c r="F4295" s="202"/>
      <c r="G4295" s="549"/>
      <c r="H4295" s="549"/>
      <c r="I4295" s="549"/>
      <c r="J4295" s="549"/>
      <c r="K4295" s="549"/>
      <c r="M4295" s="465"/>
      <c r="N4295" s="201"/>
    </row>
    <row r="4296" spans="2:14" hidden="1" outlineLevel="1" x14ac:dyDescent="0.35">
      <c r="B4296" s="200"/>
      <c r="C4296" s="201"/>
      <c r="D4296" s="201"/>
      <c r="E4296" s="201"/>
      <c r="F4296" s="202"/>
      <c r="G4296" s="549"/>
      <c r="H4296" s="549"/>
      <c r="I4296" s="549"/>
      <c r="J4296" s="549"/>
      <c r="K4296" s="549"/>
      <c r="M4296" s="465"/>
      <c r="N4296" s="201"/>
    </row>
    <row r="4297" spans="2:14" hidden="1" outlineLevel="1" x14ac:dyDescent="0.35">
      <c r="B4297" s="200"/>
      <c r="C4297" s="201"/>
      <c r="D4297" s="201"/>
      <c r="E4297" s="201"/>
      <c r="F4297" s="202"/>
      <c r="G4297" s="549"/>
      <c r="H4297" s="549"/>
      <c r="I4297" s="549"/>
      <c r="J4297" s="549"/>
      <c r="K4297" s="549"/>
      <c r="M4297" s="465"/>
      <c r="N4297" s="201"/>
    </row>
    <row r="4298" spans="2:14" hidden="1" outlineLevel="1" x14ac:dyDescent="0.35">
      <c r="B4298" s="200"/>
      <c r="C4298" s="201"/>
      <c r="D4298" s="201"/>
      <c r="E4298" s="201"/>
      <c r="F4298" s="202"/>
      <c r="G4298" s="549"/>
      <c r="H4298" s="549"/>
      <c r="I4298" s="549"/>
      <c r="J4298" s="549"/>
      <c r="K4298" s="549"/>
      <c r="M4298" s="465"/>
      <c r="N4298" s="201"/>
    </row>
    <row r="4299" spans="2:14" hidden="1" outlineLevel="1" x14ac:dyDescent="0.35">
      <c r="B4299" s="200"/>
      <c r="C4299" s="201"/>
      <c r="D4299" s="201"/>
      <c r="E4299" s="201"/>
      <c r="F4299" s="202"/>
      <c r="G4299" s="549"/>
      <c r="H4299" s="549"/>
      <c r="I4299" s="549"/>
      <c r="J4299" s="549"/>
      <c r="K4299" s="549"/>
      <c r="M4299" s="465"/>
      <c r="N4299" s="201"/>
    </row>
    <row r="4300" spans="2:14" hidden="1" outlineLevel="1" x14ac:dyDescent="0.35">
      <c r="B4300" s="200"/>
      <c r="C4300" s="201"/>
      <c r="D4300" s="201"/>
      <c r="E4300" s="201"/>
      <c r="F4300" s="202"/>
      <c r="G4300" s="549"/>
      <c r="H4300" s="549"/>
      <c r="I4300" s="549"/>
      <c r="J4300" s="549"/>
      <c r="K4300" s="549"/>
      <c r="M4300" s="465"/>
      <c r="N4300" s="201"/>
    </row>
    <row r="4301" spans="2:14" hidden="1" outlineLevel="1" x14ac:dyDescent="0.35">
      <c r="B4301" s="200"/>
      <c r="C4301" s="201"/>
      <c r="D4301" s="201"/>
      <c r="E4301" s="201"/>
      <c r="F4301" s="202"/>
      <c r="G4301" s="549"/>
      <c r="H4301" s="549"/>
      <c r="I4301" s="549"/>
      <c r="J4301" s="549"/>
      <c r="K4301" s="549"/>
      <c r="M4301" s="465"/>
      <c r="N4301" s="201"/>
    </row>
    <row r="4302" spans="2:14" hidden="1" outlineLevel="1" x14ac:dyDescent="0.35">
      <c r="B4302" s="200"/>
      <c r="C4302" s="201"/>
      <c r="D4302" s="201"/>
      <c r="E4302" s="201"/>
      <c r="F4302" s="202"/>
      <c r="G4302" s="549"/>
      <c r="H4302" s="549"/>
      <c r="I4302" s="549"/>
      <c r="J4302" s="549"/>
      <c r="K4302" s="549"/>
      <c r="M4302" s="465"/>
      <c r="N4302" s="201"/>
    </row>
    <row r="4303" spans="2:14" hidden="1" outlineLevel="1" x14ac:dyDescent="0.35">
      <c r="B4303" s="200"/>
      <c r="C4303" s="201"/>
      <c r="D4303" s="201"/>
      <c r="E4303" s="201"/>
      <c r="F4303" s="202"/>
      <c r="G4303" s="549"/>
      <c r="H4303" s="549"/>
      <c r="I4303" s="549"/>
      <c r="J4303" s="549"/>
      <c r="K4303" s="549"/>
      <c r="M4303" s="465"/>
      <c r="N4303" s="201"/>
    </row>
    <row r="4304" spans="2:14" hidden="1" outlineLevel="1" x14ac:dyDescent="0.35">
      <c r="B4304" s="200"/>
      <c r="C4304" s="201"/>
      <c r="D4304" s="201"/>
      <c r="E4304" s="201"/>
      <c r="F4304" s="202"/>
      <c r="G4304" s="549"/>
      <c r="H4304" s="549"/>
      <c r="I4304" s="549"/>
      <c r="J4304" s="549"/>
      <c r="K4304" s="549"/>
      <c r="M4304" s="465"/>
      <c r="N4304" s="201"/>
    </row>
    <row r="4305" spans="2:14" hidden="1" outlineLevel="1" x14ac:dyDescent="0.35">
      <c r="B4305" s="200"/>
      <c r="C4305" s="201"/>
      <c r="D4305" s="201"/>
      <c r="E4305" s="201"/>
      <c r="F4305" s="202"/>
      <c r="G4305" s="549"/>
      <c r="H4305" s="549"/>
      <c r="I4305" s="549"/>
      <c r="J4305" s="549"/>
      <c r="K4305" s="549"/>
      <c r="M4305" s="465"/>
      <c r="N4305" s="201"/>
    </row>
    <row r="4306" spans="2:14" hidden="1" outlineLevel="1" x14ac:dyDescent="0.35">
      <c r="B4306" s="200"/>
      <c r="C4306" s="201"/>
      <c r="D4306" s="201"/>
      <c r="E4306" s="201"/>
      <c r="F4306" s="202"/>
      <c r="G4306" s="549"/>
      <c r="H4306" s="549"/>
      <c r="I4306" s="549"/>
      <c r="J4306" s="549"/>
      <c r="K4306" s="549"/>
      <c r="M4306" s="465"/>
      <c r="N4306" s="201"/>
    </row>
    <row r="4307" spans="2:14" hidden="1" outlineLevel="1" x14ac:dyDescent="0.35">
      <c r="B4307" s="200"/>
      <c r="C4307" s="201"/>
      <c r="D4307" s="201"/>
      <c r="E4307" s="201"/>
      <c r="F4307" s="202"/>
      <c r="G4307" s="549"/>
      <c r="H4307" s="549"/>
      <c r="I4307" s="549"/>
      <c r="J4307" s="549"/>
      <c r="K4307" s="549"/>
      <c r="M4307" s="465"/>
      <c r="N4307" s="201"/>
    </row>
    <row r="4308" spans="2:14" hidden="1" outlineLevel="1" x14ac:dyDescent="0.35">
      <c r="B4308" s="200"/>
      <c r="C4308" s="201"/>
      <c r="D4308" s="201"/>
      <c r="E4308" s="201"/>
      <c r="F4308" s="202"/>
      <c r="G4308" s="549"/>
      <c r="H4308" s="549"/>
      <c r="I4308" s="549"/>
      <c r="J4308" s="549"/>
      <c r="K4308" s="549"/>
      <c r="M4308" s="465"/>
      <c r="N4308" s="201"/>
    </row>
    <row r="4309" spans="2:14" hidden="1" outlineLevel="1" x14ac:dyDescent="0.35">
      <c r="B4309" s="200"/>
      <c r="C4309" s="201"/>
      <c r="D4309" s="201"/>
      <c r="E4309" s="201"/>
      <c r="F4309" s="202"/>
      <c r="G4309" s="549"/>
      <c r="H4309" s="549"/>
      <c r="I4309" s="549"/>
      <c r="J4309" s="549"/>
      <c r="K4309" s="549"/>
      <c r="M4309" s="465"/>
      <c r="N4309" s="201"/>
    </row>
    <row r="4310" spans="2:14" hidden="1" outlineLevel="1" x14ac:dyDescent="0.35">
      <c r="B4310" s="200"/>
      <c r="C4310" s="201"/>
      <c r="D4310" s="201"/>
      <c r="E4310" s="201"/>
      <c r="F4310" s="202"/>
      <c r="G4310" s="549"/>
      <c r="H4310" s="549"/>
      <c r="I4310" s="549"/>
      <c r="J4310" s="549"/>
      <c r="K4310" s="549"/>
      <c r="M4310" s="465"/>
      <c r="N4310" s="201"/>
    </row>
    <row r="4311" spans="2:14" hidden="1" outlineLevel="1" x14ac:dyDescent="0.35">
      <c r="B4311" s="200"/>
      <c r="C4311" s="201"/>
      <c r="D4311" s="201"/>
      <c r="E4311" s="201"/>
      <c r="F4311" s="202"/>
      <c r="G4311" s="549"/>
      <c r="H4311" s="549"/>
      <c r="I4311" s="549"/>
      <c r="J4311" s="549"/>
      <c r="K4311" s="549"/>
      <c r="M4311" s="465"/>
      <c r="N4311" s="201"/>
    </row>
    <row r="4312" spans="2:14" hidden="1" outlineLevel="1" x14ac:dyDescent="0.35">
      <c r="B4312" s="200"/>
      <c r="C4312" s="201"/>
      <c r="D4312" s="201"/>
      <c r="E4312" s="201"/>
      <c r="F4312" s="202"/>
      <c r="G4312" s="549"/>
      <c r="H4312" s="549"/>
      <c r="I4312" s="549"/>
      <c r="J4312" s="549"/>
      <c r="K4312" s="549"/>
      <c r="M4312" s="465"/>
      <c r="N4312" s="201"/>
    </row>
    <row r="4313" spans="2:14" hidden="1" outlineLevel="1" x14ac:dyDescent="0.35">
      <c r="B4313" s="200"/>
      <c r="C4313" s="201"/>
      <c r="D4313" s="201"/>
      <c r="E4313" s="201"/>
      <c r="F4313" s="202"/>
      <c r="G4313" s="549"/>
      <c r="H4313" s="549"/>
      <c r="I4313" s="549"/>
      <c r="J4313" s="549"/>
      <c r="K4313" s="549"/>
      <c r="M4313" s="465"/>
      <c r="N4313" s="201"/>
    </row>
    <row r="4314" spans="2:14" hidden="1" outlineLevel="1" x14ac:dyDescent="0.35">
      <c r="B4314" s="200"/>
      <c r="C4314" s="201"/>
      <c r="D4314" s="201"/>
      <c r="E4314" s="201"/>
      <c r="F4314" s="202"/>
      <c r="G4314" s="549"/>
      <c r="H4314" s="549"/>
      <c r="I4314" s="549"/>
      <c r="J4314" s="549"/>
      <c r="K4314" s="549"/>
      <c r="M4314" s="465"/>
      <c r="N4314" s="201"/>
    </row>
    <row r="4315" spans="2:14" hidden="1" outlineLevel="1" x14ac:dyDescent="0.35">
      <c r="B4315" s="200"/>
      <c r="C4315" s="201"/>
      <c r="D4315" s="201"/>
      <c r="E4315" s="201"/>
      <c r="F4315" s="202"/>
      <c r="G4315" s="549"/>
      <c r="H4315" s="549"/>
      <c r="I4315" s="549"/>
      <c r="J4315" s="549"/>
      <c r="K4315" s="549"/>
      <c r="M4315" s="465"/>
      <c r="N4315" s="201"/>
    </row>
    <row r="4316" spans="2:14" hidden="1" outlineLevel="1" x14ac:dyDescent="0.35">
      <c r="B4316" s="200"/>
      <c r="C4316" s="201"/>
      <c r="D4316" s="201"/>
      <c r="E4316" s="201"/>
      <c r="F4316" s="202"/>
      <c r="G4316" s="549"/>
      <c r="H4316" s="549"/>
      <c r="I4316" s="549"/>
      <c r="J4316" s="549"/>
      <c r="K4316" s="549"/>
      <c r="M4316" s="465"/>
      <c r="N4316" s="201"/>
    </row>
    <row r="4317" spans="2:14" hidden="1" outlineLevel="1" x14ac:dyDescent="0.35">
      <c r="B4317" s="200"/>
      <c r="C4317" s="201"/>
      <c r="D4317" s="201"/>
      <c r="E4317" s="201"/>
      <c r="F4317" s="202"/>
      <c r="G4317" s="549"/>
      <c r="H4317" s="549"/>
      <c r="I4317" s="549"/>
      <c r="J4317" s="549"/>
      <c r="K4317" s="549"/>
      <c r="M4317" s="465"/>
      <c r="N4317" s="201"/>
    </row>
    <row r="4318" spans="2:14" hidden="1" outlineLevel="1" x14ac:dyDescent="0.35">
      <c r="B4318" s="200"/>
      <c r="C4318" s="201"/>
      <c r="D4318" s="201"/>
      <c r="E4318" s="201"/>
      <c r="F4318" s="202"/>
      <c r="G4318" s="549"/>
      <c r="H4318" s="549"/>
      <c r="I4318" s="549"/>
      <c r="J4318" s="549"/>
      <c r="K4318" s="549"/>
      <c r="M4318" s="465"/>
      <c r="N4318" s="201"/>
    </row>
    <row r="4319" spans="2:14" hidden="1" outlineLevel="1" x14ac:dyDescent="0.35">
      <c r="B4319" s="200"/>
      <c r="C4319" s="201"/>
      <c r="D4319" s="201"/>
      <c r="E4319" s="201"/>
      <c r="F4319" s="202"/>
      <c r="G4319" s="549"/>
      <c r="H4319" s="549"/>
      <c r="I4319" s="549"/>
      <c r="J4319" s="549"/>
      <c r="K4319" s="549"/>
      <c r="M4319" s="465"/>
      <c r="N4319" s="201"/>
    </row>
    <row r="4320" spans="2:14" hidden="1" outlineLevel="1" x14ac:dyDescent="0.35">
      <c r="B4320" s="200"/>
      <c r="C4320" s="201"/>
      <c r="D4320" s="201"/>
      <c r="E4320" s="201"/>
      <c r="F4320" s="202"/>
      <c r="G4320" s="549"/>
      <c r="H4320" s="549"/>
      <c r="I4320" s="549"/>
      <c r="J4320" s="549"/>
      <c r="K4320" s="549"/>
      <c r="M4320" s="465"/>
      <c r="N4320" s="201"/>
    </row>
    <row r="4321" spans="2:14" hidden="1" outlineLevel="1" x14ac:dyDescent="0.35">
      <c r="B4321" s="200"/>
      <c r="C4321" s="201"/>
      <c r="D4321" s="201"/>
      <c r="E4321" s="201"/>
      <c r="F4321" s="202"/>
      <c r="G4321" s="549"/>
      <c r="H4321" s="549"/>
      <c r="I4321" s="549"/>
      <c r="J4321" s="549"/>
      <c r="K4321" s="549"/>
      <c r="M4321" s="465"/>
      <c r="N4321" s="201"/>
    </row>
    <row r="4322" spans="2:14" hidden="1" outlineLevel="1" x14ac:dyDescent="0.35">
      <c r="B4322" s="200"/>
      <c r="C4322" s="201"/>
      <c r="D4322" s="201"/>
      <c r="E4322" s="201"/>
      <c r="F4322" s="202"/>
      <c r="G4322" s="549"/>
      <c r="H4322" s="549"/>
      <c r="I4322" s="549"/>
      <c r="J4322" s="549"/>
      <c r="K4322" s="549"/>
      <c r="M4322" s="465"/>
      <c r="N4322" s="201"/>
    </row>
    <row r="4323" spans="2:14" hidden="1" outlineLevel="1" x14ac:dyDescent="0.35">
      <c r="B4323" s="200"/>
      <c r="C4323" s="201"/>
      <c r="D4323" s="201"/>
      <c r="E4323" s="201"/>
      <c r="F4323" s="202"/>
      <c r="G4323" s="549"/>
      <c r="H4323" s="549"/>
      <c r="I4323" s="549"/>
      <c r="J4323" s="549"/>
      <c r="K4323" s="549"/>
      <c r="M4323" s="465"/>
      <c r="N4323" s="201"/>
    </row>
    <row r="4324" spans="2:14" hidden="1" outlineLevel="1" x14ac:dyDescent="0.35">
      <c r="B4324" s="200"/>
      <c r="C4324" s="201"/>
      <c r="D4324" s="201"/>
      <c r="E4324" s="201"/>
      <c r="F4324" s="202"/>
      <c r="G4324" s="549"/>
      <c r="H4324" s="549"/>
      <c r="I4324" s="549"/>
      <c r="J4324" s="549"/>
      <c r="K4324" s="549"/>
      <c r="M4324" s="465"/>
      <c r="N4324" s="201"/>
    </row>
    <row r="4325" spans="2:14" hidden="1" outlineLevel="1" x14ac:dyDescent="0.35">
      <c r="B4325" s="200"/>
      <c r="C4325" s="201"/>
      <c r="D4325" s="201"/>
      <c r="E4325" s="201"/>
      <c r="F4325" s="202"/>
      <c r="G4325" s="549"/>
      <c r="H4325" s="549"/>
      <c r="I4325" s="549"/>
      <c r="J4325" s="549"/>
      <c r="K4325" s="549"/>
      <c r="M4325" s="465"/>
      <c r="N4325" s="201"/>
    </row>
    <row r="4326" spans="2:14" hidden="1" outlineLevel="1" x14ac:dyDescent="0.35">
      <c r="B4326" s="200"/>
      <c r="C4326" s="201"/>
      <c r="D4326" s="201"/>
      <c r="E4326" s="201"/>
      <c r="F4326" s="202"/>
      <c r="G4326" s="549"/>
      <c r="H4326" s="549"/>
      <c r="I4326" s="549"/>
      <c r="J4326" s="549"/>
      <c r="K4326" s="549"/>
      <c r="M4326" s="465"/>
      <c r="N4326" s="201"/>
    </row>
    <row r="4327" spans="2:14" hidden="1" outlineLevel="1" x14ac:dyDescent="0.35">
      <c r="B4327" s="200"/>
      <c r="C4327" s="201"/>
      <c r="D4327" s="201"/>
      <c r="E4327" s="201"/>
      <c r="F4327" s="202"/>
      <c r="G4327" s="549"/>
      <c r="H4327" s="549"/>
      <c r="I4327" s="549"/>
      <c r="J4327" s="549"/>
      <c r="K4327" s="549"/>
      <c r="M4327" s="465"/>
      <c r="N4327" s="201"/>
    </row>
    <row r="4328" spans="2:14" hidden="1" outlineLevel="1" x14ac:dyDescent="0.35">
      <c r="B4328" s="200"/>
      <c r="C4328" s="201"/>
      <c r="D4328" s="201"/>
      <c r="E4328" s="201"/>
      <c r="F4328" s="202"/>
      <c r="G4328" s="549"/>
      <c r="H4328" s="549"/>
      <c r="I4328" s="549"/>
      <c r="J4328" s="549"/>
      <c r="K4328" s="549"/>
      <c r="M4328" s="465"/>
      <c r="N4328" s="201"/>
    </row>
    <row r="4329" spans="2:14" hidden="1" outlineLevel="1" x14ac:dyDescent="0.35">
      <c r="B4329" s="200"/>
      <c r="C4329" s="201"/>
      <c r="D4329" s="201"/>
      <c r="E4329" s="201"/>
      <c r="F4329" s="202"/>
      <c r="G4329" s="549"/>
      <c r="H4329" s="549"/>
      <c r="I4329" s="549"/>
      <c r="J4329" s="549"/>
      <c r="K4329" s="549"/>
      <c r="M4329" s="465"/>
      <c r="N4329" s="201"/>
    </row>
    <row r="4330" spans="2:14" hidden="1" outlineLevel="1" x14ac:dyDescent="0.35">
      <c r="B4330" s="200"/>
      <c r="C4330" s="201"/>
      <c r="D4330" s="201"/>
      <c r="E4330" s="201"/>
      <c r="F4330" s="202"/>
      <c r="G4330" s="549"/>
      <c r="H4330" s="549"/>
      <c r="I4330" s="549"/>
      <c r="J4330" s="549"/>
      <c r="K4330" s="549"/>
      <c r="M4330" s="465"/>
      <c r="N4330" s="201"/>
    </row>
    <row r="4331" spans="2:14" hidden="1" outlineLevel="1" x14ac:dyDescent="0.35">
      <c r="B4331" s="200"/>
      <c r="C4331" s="201"/>
      <c r="D4331" s="201"/>
      <c r="E4331" s="201"/>
      <c r="F4331" s="202"/>
      <c r="G4331" s="549"/>
      <c r="H4331" s="549"/>
      <c r="I4331" s="549"/>
      <c r="J4331" s="549"/>
      <c r="K4331" s="549"/>
      <c r="M4331" s="465"/>
      <c r="N4331" s="201"/>
    </row>
    <row r="4332" spans="2:14" hidden="1" outlineLevel="1" x14ac:dyDescent="0.35">
      <c r="B4332" s="200"/>
      <c r="C4332" s="201"/>
      <c r="D4332" s="201"/>
      <c r="E4332" s="201"/>
      <c r="F4332" s="202"/>
      <c r="G4332" s="549"/>
      <c r="H4332" s="549"/>
      <c r="I4332" s="549"/>
      <c r="J4332" s="549"/>
      <c r="K4332" s="549"/>
      <c r="M4332" s="465"/>
      <c r="N4332" s="201"/>
    </row>
    <row r="4333" spans="2:14" hidden="1" outlineLevel="1" x14ac:dyDescent="0.35">
      <c r="B4333" s="200"/>
      <c r="C4333" s="201"/>
      <c r="D4333" s="201"/>
      <c r="E4333" s="201"/>
      <c r="F4333" s="202"/>
      <c r="G4333" s="549"/>
      <c r="H4333" s="549"/>
      <c r="I4333" s="549"/>
      <c r="J4333" s="549"/>
      <c r="K4333" s="549"/>
      <c r="M4333" s="465"/>
      <c r="N4333" s="201"/>
    </row>
    <row r="4334" spans="2:14" hidden="1" outlineLevel="1" x14ac:dyDescent="0.35">
      <c r="B4334" s="200"/>
      <c r="C4334" s="201"/>
      <c r="D4334" s="201"/>
      <c r="E4334" s="201"/>
      <c r="F4334" s="202"/>
      <c r="G4334" s="549"/>
      <c r="H4334" s="549"/>
      <c r="I4334" s="549"/>
      <c r="J4334" s="549"/>
      <c r="K4334" s="549"/>
      <c r="M4334" s="465"/>
      <c r="N4334" s="201"/>
    </row>
    <row r="4335" spans="2:14" hidden="1" outlineLevel="1" x14ac:dyDescent="0.35">
      <c r="B4335" s="200"/>
      <c r="C4335" s="201"/>
      <c r="D4335" s="201"/>
      <c r="E4335" s="201"/>
      <c r="F4335" s="202"/>
      <c r="G4335" s="549"/>
      <c r="H4335" s="549"/>
      <c r="I4335" s="549"/>
      <c r="J4335" s="549"/>
      <c r="K4335" s="549"/>
      <c r="M4335" s="465"/>
      <c r="N4335" s="201"/>
    </row>
    <row r="4336" spans="2:14" hidden="1" outlineLevel="1" x14ac:dyDescent="0.35">
      <c r="B4336" s="200"/>
      <c r="C4336" s="201"/>
      <c r="D4336" s="201"/>
      <c r="E4336" s="201"/>
      <c r="F4336" s="202"/>
      <c r="G4336" s="549"/>
      <c r="H4336" s="549"/>
      <c r="I4336" s="549"/>
      <c r="J4336" s="549"/>
      <c r="K4336" s="549"/>
      <c r="M4336" s="465"/>
      <c r="N4336" s="201"/>
    </row>
    <row r="4337" spans="2:14" hidden="1" outlineLevel="1" x14ac:dyDescent="0.35">
      <c r="B4337" s="200"/>
      <c r="C4337" s="201"/>
      <c r="D4337" s="201"/>
      <c r="E4337" s="201"/>
      <c r="F4337" s="202"/>
      <c r="G4337" s="549"/>
      <c r="H4337" s="549"/>
      <c r="I4337" s="549"/>
      <c r="J4337" s="549"/>
      <c r="K4337" s="549"/>
      <c r="M4337" s="465"/>
      <c r="N4337" s="201"/>
    </row>
    <row r="4338" spans="2:14" hidden="1" outlineLevel="1" x14ac:dyDescent="0.35">
      <c r="B4338" s="200"/>
      <c r="C4338" s="201"/>
      <c r="D4338" s="201"/>
      <c r="E4338" s="201"/>
      <c r="F4338" s="202"/>
      <c r="G4338" s="549"/>
      <c r="H4338" s="549"/>
      <c r="I4338" s="549"/>
      <c r="J4338" s="549"/>
      <c r="K4338" s="549"/>
      <c r="M4338" s="465"/>
      <c r="N4338" s="201"/>
    </row>
    <row r="4339" spans="2:14" hidden="1" outlineLevel="1" x14ac:dyDescent="0.35">
      <c r="B4339" s="200"/>
      <c r="C4339" s="201"/>
      <c r="D4339" s="201"/>
      <c r="E4339" s="201"/>
      <c r="F4339" s="202"/>
      <c r="G4339" s="549"/>
      <c r="H4339" s="549"/>
      <c r="I4339" s="549"/>
      <c r="J4339" s="549"/>
      <c r="K4339" s="549"/>
      <c r="M4339" s="465"/>
      <c r="N4339" s="201"/>
    </row>
    <row r="4340" spans="2:14" hidden="1" outlineLevel="1" x14ac:dyDescent="0.35">
      <c r="B4340" s="200"/>
      <c r="C4340" s="201"/>
      <c r="D4340" s="201"/>
      <c r="E4340" s="201"/>
      <c r="F4340" s="202"/>
      <c r="G4340" s="549"/>
      <c r="H4340" s="549"/>
      <c r="I4340" s="549"/>
      <c r="J4340" s="549"/>
      <c r="K4340" s="549"/>
      <c r="M4340" s="465"/>
      <c r="N4340" s="201"/>
    </row>
    <row r="4341" spans="2:14" hidden="1" outlineLevel="1" x14ac:dyDescent="0.35">
      <c r="B4341" s="200"/>
      <c r="C4341" s="201"/>
      <c r="D4341" s="201"/>
      <c r="E4341" s="201"/>
      <c r="F4341" s="202"/>
      <c r="G4341" s="549"/>
      <c r="H4341" s="549"/>
      <c r="I4341" s="549"/>
      <c r="J4341" s="549"/>
      <c r="K4341" s="549"/>
      <c r="M4341" s="465"/>
      <c r="N4341" s="201"/>
    </row>
    <row r="4342" spans="2:14" hidden="1" outlineLevel="1" x14ac:dyDescent="0.35">
      <c r="B4342" s="200"/>
      <c r="C4342" s="201"/>
      <c r="D4342" s="201"/>
      <c r="E4342" s="201"/>
      <c r="F4342" s="202"/>
      <c r="G4342" s="549"/>
      <c r="H4342" s="549"/>
      <c r="I4342" s="549"/>
      <c r="J4342" s="549"/>
      <c r="K4342" s="549"/>
      <c r="M4342" s="465"/>
      <c r="N4342" s="201"/>
    </row>
    <row r="4343" spans="2:14" hidden="1" outlineLevel="1" x14ac:dyDescent="0.35">
      <c r="B4343" s="200"/>
      <c r="C4343" s="201"/>
      <c r="D4343" s="201"/>
      <c r="E4343" s="201"/>
      <c r="F4343" s="202"/>
      <c r="G4343" s="549"/>
      <c r="H4343" s="549"/>
      <c r="I4343" s="549"/>
      <c r="J4343" s="549"/>
      <c r="K4343" s="549"/>
      <c r="M4343" s="465"/>
      <c r="N4343" s="201"/>
    </row>
    <row r="4344" spans="2:14" hidden="1" outlineLevel="1" x14ac:dyDescent="0.35">
      <c r="B4344" s="200"/>
      <c r="C4344" s="201"/>
      <c r="D4344" s="201"/>
      <c r="E4344" s="201"/>
      <c r="F4344" s="202"/>
      <c r="G4344" s="549"/>
      <c r="H4344" s="549"/>
      <c r="I4344" s="549"/>
      <c r="J4344" s="549"/>
      <c r="K4344" s="549"/>
      <c r="M4344" s="465"/>
      <c r="N4344" s="201"/>
    </row>
    <row r="4345" spans="2:14" hidden="1" outlineLevel="1" x14ac:dyDescent="0.35">
      <c r="B4345" s="200"/>
      <c r="C4345" s="201"/>
      <c r="D4345" s="201"/>
      <c r="E4345" s="201"/>
      <c r="F4345" s="202"/>
      <c r="G4345" s="549"/>
      <c r="H4345" s="549"/>
      <c r="I4345" s="549"/>
      <c r="J4345" s="549"/>
      <c r="K4345" s="549"/>
      <c r="M4345" s="465"/>
      <c r="N4345" s="201"/>
    </row>
    <row r="4346" spans="2:14" hidden="1" outlineLevel="1" x14ac:dyDescent="0.35">
      <c r="B4346" s="200"/>
      <c r="C4346" s="201"/>
      <c r="D4346" s="201"/>
      <c r="E4346" s="201"/>
      <c r="F4346" s="202"/>
      <c r="G4346" s="549"/>
      <c r="H4346" s="549"/>
      <c r="I4346" s="549"/>
      <c r="J4346" s="549"/>
      <c r="K4346" s="549"/>
      <c r="M4346" s="465"/>
      <c r="N4346" s="201"/>
    </row>
    <row r="4347" spans="2:14" hidden="1" outlineLevel="1" x14ac:dyDescent="0.35">
      <c r="B4347" s="200"/>
      <c r="C4347" s="201"/>
      <c r="D4347" s="201"/>
      <c r="E4347" s="201"/>
      <c r="F4347" s="202"/>
      <c r="G4347" s="549"/>
      <c r="H4347" s="549"/>
      <c r="I4347" s="549"/>
      <c r="J4347" s="549"/>
      <c r="K4347" s="549"/>
      <c r="M4347" s="465"/>
      <c r="N4347" s="201"/>
    </row>
    <row r="4348" spans="2:14" hidden="1" outlineLevel="1" x14ac:dyDescent="0.35">
      <c r="B4348" s="200"/>
      <c r="C4348" s="201"/>
      <c r="D4348" s="201"/>
      <c r="E4348" s="201"/>
      <c r="F4348" s="202"/>
      <c r="G4348" s="549"/>
      <c r="H4348" s="549"/>
      <c r="I4348" s="549"/>
      <c r="J4348" s="549"/>
      <c r="K4348" s="549"/>
      <c r="M4348" s="465"/>
      <c r="N4348" s="201"/>
    </row>
    <row r="4349" spans="2:14" hidden="1" outlineLevel="1" x14ac:dyDescent="0.35">
      <c r="B4349" s="200"/>
      <c r="C4349" s="201"/>
      <c r="D4349" s="201"/>
      <c r="E4349" s="201"/>
      <c r="F4349" s="202"/>
      <c r="G4349" s="549"/>
      <c r="H4349" s="549"/>
      <c r="I4349" s="549"/>
      <c r="J4349" s="549"/>
      <c r="K4349" s="549"/>
      <c r="M4349" s="465"/>
      <c r="N4349" s="201"/>
    </row>
    <row r="4350" spans="2:14" hidden="1" outlineLevel="1" x14ac:dyDescent="0.35">
      <c r="B4350" s="200"/>
      <c r="C4350" s="201"/>
      <c r="D4350" s="201"/>
      <c r="E4350" s="201"/>
      <c r="F4350" s="202"/>
      <c r="G4350" s="549"/>
      <c r="H4350" s="549"/>
      <c r="I4350" s="549"/>
      <c r="J4350" s="549"/>
      <c r="K4350" s="549"/>
      <c r="M4350" s="465"/>
      <c r="N4350" s="201"/>
    </row>
    <row r="4351" spans="2:14" hidden="1" outlineLevel="1" x14ac:dyDescent="0.35">
      <c r="B4351" s="200"/>
      <c r="C4351" s="201"/>
      <c r="D4351" s="201"/>
      <c r="E4351" s="201"/>
      <c r="F4351" s="202"/>
      <c r="G4351" s="549"/>
      <c r="H4351" s="549"/>
      <c r="I4351" s="549"/>
      <c r="J4351" s="549"/>
      <c r="K4351" s="549"/>
      <c r="M4351" s="465"/>
      <c r="N4351" s="201"/>
    </row>
    <row r="4352" spans="2:14" hidden="1" outlineLevel="1" x14ac:dyDescent="0.35">
      <c r="B4352" s="200"/>
      <c r="C4352" s="201"/>
      <c r="D4352" s="201"/>
      <c r="E4352" s="201"/>
      <c r="F4352" s="202"/>
      <c r="G4352" s="549"/>
      <c r="H4352" s="549"/>
      <c r="I4352" s="549"/>
      <c r="J4352" s="549"/>
      <c r="K4352" s="549"/>
      <c r="M4352" s="465"/>
      <c r="N4352" s="201"/>
    </row>
    <row r="4353" spans="2:14" hidden="1" outlineLevel="1" x14ac:dyDescent="0.35">
      <c r="B4353" s="200"/>
      <c r="C4353" s="201"/>
      <c r="D4353" s="201"/>
      <c r="E4353" s="201"/>
      <c r="F4353" s="202"/>
      <c r="G4353" s="549"/>
      <c r="H4353" s="549"/>
      <c r="I4353" s="549"/>
      <c r="J4353" s="549"/>
      <c r="K4353" s="549"/>
      <c r="M4353" s="465"/>
      <c r="N4353" s="201"/>
    </row>
    <row r="4354" spans="2:14" hidden="1" outlineLevel="1" x14ac:dyDescent="0.35">
      <c r="B4354" s="200"/>
      <c r="C4354" s="201"/>
      <c r="D4354" s="201"/>
      <c r="E4354" s="201"/>
      <c r="F4354" s="202"/>
      <c r="G4354" s="549"/>
      <c r="H4354" s="549"/>
      <c r="I4354" s="549"/>
      <c r="J4354" s="549"/>
      <c r="K4354" s="549"/>
      <c r="M4354" s="465"/>
      <c r="N4354" s="201"/>
    </row>
    <row r="4355" spans="2:14" hidden="1" outlineLevel="1" x14ac:dyDescent="0.35">
      <c r="B4355" s="200"/>
      <c r="C4355" s="201"/>
      <c r="D4355" s="201"/>
      <c r="E4355" s="201"/>
      <c r="F4355" s="202"/>
      <c r="G4355" s="549"/>
      <c r="H4355" s="549"/>
      <c r="I4355" s="549"/>
      <c r="J4355" s="549"/>
      <c r="K4355" s="549"/>
      <c r="M4355" s="465"/>
      <c r="N4355" s="201"/>
    </row>
    <row r="4356" spans="2:14" hidden="1" outlineLevel="1" x14ac:dyDescent="0.35">
      <c r="B4356" s="200"/>
      <c r="C4356" s="201"/>
      <c r="D4356" s="201"/>
      <c r="E4356" s="201"/>
      <c r="F4356" s="202"/>
      <c r="G4356" s="549"/>
      <c r="H4356" s="549"/>
      <c r="I4356" s="549"/>
      <c r="J4356" s="549"/>
      <c r="K4356" s="549"/>
      <c r="M4356" s="465"/>
      <c r="N4356" s="201"/>
    </row>
    <row r="4357" spans="2:14" hidden="1" outlineLevel="1" x14ac:dyDescent="0.35">
      <c r="B4357" s="200"/>
      <c r="C4357" s="201"/>
      <c r="D4357" s="201"/>
      <c r="E4357" s="201"/>
      <c r="F4357" s="202"/>
      <c r="G4357" s="549"/>
      <c r="H4357" s="549"/>
      <c r="I4357" s="549"/>
      <c r="J4357" s="549"/>
      <c r="K4357" s="549"/>
      <c r="M4357" s="465"/>
      <c r="N4357" s="201"/>
    </row>
    <row r="4358" spans="2:14" hidden="1" outlineLevel="1" x14ac:dyDescent="0.35">
      <c r="B4358" s="200"/>
      <c r="C4358" s="201"/>
      <c r="D4358" s="201"/>
      <c r="E4358" s="201"/>
      <c r="F4358" s="202"/>
      <c r="G4358" s="549"/>
      <c r="H4358" s="549"/>
      <c r="I4358" s="549"/>
      <c r="J4358" s="549"/>
      <c r="K4358" s="549"/>
      <c r="M4358" s="465"/>
      <c r="N4358" s="201"/>
    </row>
    <row r="4359" spans="2:14" hidden="1" outlineLevel="1" x14ac:dyDescent="0.35">
      <c r="B4359" s="200"/>
      <c r="C4359" s="201"/>
      <c r="D4359" s="201"/>
      <c r="E4359" s="201"/>
      <c r="F4359" s="202"/>
      <c r="G4359" s="549"/>
      <c r="H4359" s="549"/>
      <c r="I4359" s="549"/>
      <c r="J4359" s="549"/>
      <c r="K4359" s="549"/>
      <c r="M4359" s="465"/>
      <c r="N4359" s="201"/>
    </row>
    <row r="4360" spans="2:14" hidden="1" outlineLevel="1" x14ac:dyDescent="0.35">
      <c r="B4360" s="200"/>
      <c r="C4360" s="201"/>
      <c r="D4360" s="201"/>
      <c r="E4360" s="201"/>
      <c r="F4360" s="202"/>
      <c r="G4360" s="549"/>
      <c r="H4360" s="549"/>
      <c r="I4360" s="549"/>
      <c r="J4360" s="549"/>
      <c r="K4360" s="549"/>
      <c r="M4360" s="465"/>
      <c r="N4360" s="201"/>
    </row>
    <row r="4361" spans="2:14" hidden="1" outlineLevel="1" x14ac:dyDescent="0.35">
      <c r="B4361" s="200"/>
      <c r="C4361" s="201"/>
      <c r="D4361" s="201"/>
      <c r="E4361" s="201"/>
      <c r="F4361" s="202"/>
      <c r="G4361" s="549"/>
      <c r="H4361" s="549"/>
      <c r="I4361" s="549"/>
      <c r="J4361" s="549"/>
      <c r="K4361" s="549"/>
      <c r="M4361" s="465"/>
      <c r="N4361" s="201"/>
    </row>
    <row r="4362" spans="2:14" hidden="1" outlineLevel="1" x14ac:dyDescent="0.35">
      <c r="B4362" s="200"/>
      <c r="C4362" s="201"/>
      <c r="D4362" s="201"/>
      <c r="E4362" s="201"/>
      <c r="F4362" s="202"/>
      <c r="G4362" s="549"/>
      <c r="H4362" s="549"/>
      <c r="I4362" s="549"/>
      <c r="J4362" s="549"/>
      <c r="K4362" s="549"/>
      <c r="M4362" s="465"/>
      <c r="N4362" s="201"/>
    </row>
    <row r="4363" spans="2:14" hidden="1" outlineLevel="1" x14ac:dyDescent="0.35">
      <c r="B4363" s="200"/>
      <c r="C4363" s="201"/>
      <c r="D4363" s="201"/>
      <c r="E4363" s="201"/>
      <c r="F4363" s="202"/>
      <c r="G4363" s="549"/>
      <c r="H4363" s="549"/>
      <c r="I4363" s="549"/>
      <c r="J4363" s="549"/>
      <c r="K4363" s="549"/>
      <c r="M4363" s="465"/>
      <c r="N4363" s="201"/>
    </row>
    <row r="4364" spans="2:14" hidden="1" outlineLevel="1" x14ac:dyDescent="0.35">
      <c r="B4364" s="200"/>
      <c r="C4364" s="201"/>
      <c r="D4364" s="201"/>
      <c r="E4364" s="201"/>
      <c r="F4364" s="202"/>
      <c r="G4364" s="549"/>
      <c r="H4364" s="549"/>
      <c r="I4364" s="549"/>
      <c r="J4364" s="549"/>
      <c r="K4364" s="549"/>
      <c r="M4364" s="465"/>
      <c r="N4364" s="201"/>
    </row>
    <row r="4365" spans="2:14" hidden="1" outlineLevel="1" x14ac:dyDescent="0.35">
      <c r="B4365" s="200"/>
      <c r="C4365" s="201"/>
      <c r="D4365" s="201"/>
      <c r="E4365" s="201"/>
      <c r="F4365" s="202"/>
      <c r="G4365" s="549"/>
      <c r="H4365" s="549"/>
      <c r="I4365" s="549"/>
      <c r="J4365" s="549"/>
      <c r="K4365" s="549"/>
      <c r="M4365" s="465"/>
      <c r="N4365" s="201"/>
    </row>
    <row r="4366" spans="2:14" hidden="1" outlineLevel="1" x14ac:dyDescent="0.35">
      <c r="B4366" s="200"/>
      <c r="C4366" s="201"/>
      <c r="D4366" s="201"/>
      <c r="E4366" s="201"/>
      <c r="F4366" s="202"/>
      <c r="G4366" s="549"/>
      <c r="H4366" s="549"/>
      <c r="I4366" s="549"/>
      <c r="J4366" s="549"/>
      <c r="K4366" s="549"/>
      <c r="M4366" s="465"/>
      <c r="N4366" s="201"/>
    </row>
    <row r="4367" spans="2:14" hidden="1" outlineLevel="1" x14ac:dyDescent="0.35">
      <c r="B4367" s="200"/>
      <c r="C4367" s="201"/>
      <c r="D4367" s="201"/>
      <c r="E4367" s="201"/>
      <c r="F4367" s="202"/>
      <c r="G4367" s="549"/>
      <c r="H4367" s="549"/>
      <c r="I4367" s="549"/>
      <c r="J4367" s="549"/>
      <c r="K4367" s="549"/>
      <c r="M4367" s="465"/>
      <c r="N4367" s="201"/>
    </row>
    <row r="4368" spans="2:14" hidden="1" outlineLevel="1" x14ac:dyDescent="0.35">
      <c r="B4368" s="200"/>
      <c r="C4368" s="201"/>
      <c r="D4368" s="201"/>
      <c r="E4368" s="201"/>
      <c r="F4368" s="202"/>
      <c r="G4368" s="549"/>
      <c r="H4368" s="549"/>
      <c r="I4368" s="549"/>
      <c r="J4368" s="549"/>
      <c r="K4368" s="549"/>
      <c r="M4368" s="465"/>
      <c r="N4368" s="201"/>
    </row>
    <row r="4369" spans="2:14" hidden="1" outlineLevel="1" x14ac:dyDescent="0.35">
      <c r="B4369" s="200"/>
      <c r="C4369" s="201"/>
      <c r="D4369" s="201"/>
      <c r="E4369" s="201"/>
      <c r="F4369" s="202"/>
      <c r="G4369" s="549"/>
      <c r="H4369" s="549"/>
      <c r="I4369" s="549"/>
      <c r="J4369" s="549"/>
      <c r="K4369" s="549"/>
      <c r="M4369" s="465"/>
      <c r="N4369" s="201"/>
    </row>
    <row r="4370" spans="2:14" hidden="1" outlineLevel="1" x14ac:dyDescent="0.35">
      <c r="B4370" s="200"/>
      <c r="C4370" s="201"/>
      <c r="D4370" s="201"/>
      <c r="E4370" s="201"/>
      <c r="F4370" s="202"/>
      <c r="G4370" s="549"/>
      <c r="H4370" s="549"/>
      <c r="I4370" s="549"/>
      <c r="J4370" s="549"/>
      <c r="K4370" s="549"/>
      <c r="M4370" s="465"/>
      <c r="N4370" s="201"/>
    </row>
    <row r="4371" spans="2:14" hidden="1" outlineLevel="1" x14ac:dyDescent="0.35">
      <c r="B4371" s="200"/>
      <c r="C4371" s="201"/>
      <c r="D4371" s="201"/>
      <c r="E4371" s="201"/>
      <c r="F4371" s="202"/>
      <c r="G4371" s="549"/>
      <c r="H4371" s="549"/>
      <c r="I4371" s="549"/>
      <c r="J4371" s="549"/>
      <c r="K4371" s="549"/>
      <c r="M4371" s="465"/>
      <c r="N4371" s="201"/>
    </row>
    <row r="4372" spans="2:14" hidden="1" outlineLevel="1" x14ac:dyDescent="0.35">
      <c r="B4372" s="200"/>
      <c r="C4372" s="201"/>
      <c r="D4372" s="201"/>
      <c r="E4372" s="201"/>
      <c r="F4372" s="202"/>
      <c r="G4372" s="549"/>
      <c r="H4372" s="549"/>
      <c r="I4372" s="549"/>
      <c r="J4372" s="549"/>
      <c r="K4372" s="549"/>
      <c r="M4372" s="465"/>
      <c r="N4372" s="201"/>
    </row>
    <row r="4373" spans="2:14" hidden="1" outlineLevel="1" x14ac:dyDescent="0.35">
      <c r="B4373" s="200"/>
      <c r="C4373" s="201"/>
      <c r="D4373" s="201"/>
      <c r="E4373" s="201"/>
      <c r="F4373" s="202"/>
      <c r="G4373" s="549"/>
      <c r="H4373" s="549"/>
      <c r="I4373" s="549"/>
      <c r="J4373" s="549"/>
      <c r="K4373" s="549"/>
      <c r="M4373" s="465"/>
      <c r="N4373" s="201"/>
    </row>
    <row r="4374" spans="2:14" hidden="1" outlineLevel="1" x14ac:dyDescent="0.35">
      <c r="B4374" s="200"/>
      <c r="C4374" s="201"/>
      <c r="D4374" s="201"/>
      <c r="E4374" s="201"/>
      <c r="F4374" s="202"/>
      <c r="G4374" s="549"/>
      <c r="H4374" s="549"/>
      <c r="I4374" s="549"/>
      <c r="J4374" s="549"/>
      <c r="K4374" s="549"/>
      <c r="M4374" s="465"/>
      <c r="N4374" s="201"/>
    </row>
    <row r="4375" spans="2:14" hidden="1" outlineLevel="1" x14ac:dyDescent="0.35">
      <c r="B4375" s="200"/>
      <c r="C4375" s="201"/>
      <c r="D4375" s="201"/>
      <c r="E4375" s="201"/>
      <c r="F4375" s="202"/>
      <c r="G4375" s="549"/>
      <c r="H4375" s="549"/>
      <c r="I4375" s="549"/>
      <c r="J4375" s="549"/>
      <c r="K4375" s="549"/>
      <c r="M4375" s="465"/>
      <c r="N4375" s="201"/>
    </row>
    <row r="4376" spans="2:14" hidden="1" outlineLevel="1" x14ac:dyDescent="0.35">
      <c r="B4376" s="200"/>
      <c r="C4376" s="201"/>
      <c r="D4376" s="201"/>
      <c r="E4376" s="201"/>
      <c r="F4376" s="202"/>
      <c r="G4376" s="549"/>
      <c r="H4376" s="549"/>
      <c r="I4376" s="549"/>
      <c r="J4376" s="549"/>
      <c r="K4376" s="549"/>
      <c r="M4376" s="465"/>
      <c r="N4376" s="201"/>
    </row>
    <row r="4377" spans="2:14" hidden="1" outlineLevel="1" x14ac:dyDescent="0.35">
      <c r="B4377" s="200"/>
      <c r="C4377" s="201"/>
      <c r="D4377" s="201"/>
      <c r="E4377" s="201"/>
      <c r="F4377" s="202"/>
      <c r="G4377" s="549"/>
      <c r="H4377" s="549"/>
      <c r="I4377" s="549"/>
      <c r="J4377" s="549"/>
      <c r="K4377" s="549"/>
      <c r="M4377" s="465"/>
      <c r="N4377" s="201"/>
    </row>
    <row r="4378" spans="2:14" hidden="1" outlineLevel="1" x14ac:dyDescent="0.35">
      <c r="B4378" s="200"/>
      <c r="C4378" s="201"/>
      <c r="D4378" s="201"/>
      <c r="E4378" s="201"/>
      <c r="F4378" s="202"/>
      <c r="G4378" s="549"/>
      <c r="H4378" s="549"/>
      <c r="I4378" s="549"/>
      <c r="J4378" s="549"/>
      <c r="K4378" s="549"/>
      <c r="M4378" s="465"/>
      <c r="N4378" s="201"/>
    </row>
    <row r="4379" spans="2:14" hidden="1" outlineLevel="1" x14ac:dyDescent="0.35">
      <c r="B4379" s="200"/>
      <c r="C4379" s="201"/>
      <c r="D4379" s="201"/>
      <c r="E4379" s="201"/>
      <c r="F4379" s="202"/>
      <c r="G4379" s="549"/>
      <c r="H4379" s="549"/>
      <c r="I4379" s="549"/>
      <c r="J4379" s="549"/>
      <c r="K4379" s="549"/>
      <c r="M4379" s="465"/>
      <c r="N4379" s="201"/>
    </row>
    <row r="4380" spans="2:14" hidden="1" outlineLevel="1" x14ac:dyDescent="0.35">
      <c r="B4380" s="200"/>
      <c r="C4380" s="201"/>
      <c r="D4380" s="201"/>
      <c r="E4380" s="201"/>
      <c r="F4380" s="202"/>
      <c r="G4380" s="549"/>
      <c r="H4380" s="549"/>
      <c r="I4380" s="549"/>
      <c r="J4380" s="549"/>
      <c r="K4380" s="549"/>
      <c r="M4380" s="465"/>
      <c r="N4380" s="201"/>
    </row>
    <row r="4381" spans="2:14" hidden="1" outlineLevel="1" x14ac:dyDescent="0.35">
      <c r="B4381" s="200"/>
      <c r="C4381" s="201"/>
      <c r="D4381" s="201"/>
      <c r="E4381" s="201"/>
      <c r="F4381" s="202"/>
      <c r="G4381" s="549"/>
      <c r="H4381" s="549"/>
      <c r="I4381" s="549"/>
      <c r="J4381" s="549"/>
      <c r="K4381" s="549"/>
      <c r="M4381" s="465"/>
      <c r="N4381" s="201"/>
    </row>
    <row r="4382" spans="2:14" hidden="1" outlineLevel="1" x14ac:dyDescent="0.35">
      <c r="B4382" s="200"/>
      <c r="C4382" s="201"/>
      <c r="D4382" s="201"/>
      <c r="E4382" s="201"/>
      <c r="F4382" s="202"/>
      <c r="G4382" s="549"/>
      <c r="H4382" s="549"/>
      <c r="I4382" s="549"/>
      <c r="J4382" s="549"/>
      <c r="K4382" s="549"/>
      <c r="M4382" s="465"/>
      <c r="N4382" s="201"/>
    </row>
    <row r="4383" spans="2:14" hidden="1" outlineLevel="1" x14ac:dyDescent="0.35">
      <c r="B4383" s="200"/>
      <c r="C4383" s="201"/>
      <c r="D4383" s="201"/>
      <c r="E4383" s="201"/>
      <c r="F4383" s="202"/>
      <c r="G4383" s="549"/>
      <c r="H4383" s="549"/>
      <c r="I4383" s="549"/>
      <c r="J4383" s="549"/>
      <c r="K4383" s="549"/>
      <c r="M4383" s="465"/>
      <c r="N4383" s="201"/>
    </row>
    <row r="4384" spans="2:14" hidden="1" outlineLevel="1" x14ac:dyDescent="0.35">
      <c r="B4384" s="200"/>
      <c r="C4384" s="201"/>
      <c r="D4384" s="201"/>
      <c r="E4384" s="201"/>
      <c r="F4384" s="202"/>
      <c r="G4384" s="549"/>
      <c r="H4384" s="549"/>
      <c r="I4384" s="549"/>
      <c r="J4384" s="549"/>
      <c r="K4384" s="549"/>
      <c r="M4384" s="465"/>
      <c r="N4384" s="201"/>
    </row>
    <row r="4385" spans="2:14" hidden="1" outlineLevel="1" x14ac:dyDescent="0.35">
      <c r="B4385" s="200"/>
      <c r="C4385" s="201"/>
      <c r="D4385" s="201"/>
      <c r="E4385" s="201"/>
      <c r="F4385" s="202"/>
      <c r="G4385" s="549"/>
      <c r="H4385" s="549"/>
      <c r="I4385" s="549"/>
      <c r="J4385" s="549"/>
      <c r="K4385" s="549"/>
      <c r="M4385" s="465"/>
      <c r="N4385" s="201"/>
    </row>
    <row r="4386" spans="2:14" hidden="1" outlineLevel="1" x14ac:dyDescent="0.35">
      <c r="B4386" s="200"/>
      <c r="C4386" s="201"/>
      <c r="D4386" s="201"/>
      <c r="E4386" s="201"/>
      <c r="F4386" s="202"/>
      <c r="G4386" s="549"/>
      <c r="H4386" s="549"/>
      <c r="I4386" s="549"/>
      <c r="J4386" s="549"/>
      <c r="K4386" s="549"/>
      <c r="M4386" s="465"/>
      <c r="N4386" s="201"/>
    </row>
    <row r="4387" spans="2:14" hidden="1" outlineLevel="1" x14ac:dyDescent="0.35">
      <c r="B4387" s="200"/>
      <c r="C4387" s="201"/>
      <c r="D4387" s="201"/>
      <c r="E4387" s="201"/>
      <c r="F4387" s="202"/>
      <c r="G4387" s="549"/>
      <c r="H4387" s="549"/>
      <c r="I4387" s="549"/>
      <c r="J4387" s="549"/>
      <c r="K4387" s="549"/>
      <c r="M4387" s="465"/>
      <c r="N4387" s="201"/>
    </row>
    <row r="4388" spans="2:14" hidden="1" outlineLevel="1" x14ac:dyDescent="0.35">
      <c r="B4388" s="200"/>
      <c r="C4388" s="201"/>
      <c r="D4388" s="201"/>
      <c r="E4388" s="201"/>
      <c r="F4388" s="202"/>
      <c r="G4388" s="549"/>
      <c r="H4388" s="549"/>
      <c r="I4388" s="549"/>
      <c r="J4388" s="549"/>
      <c r="K4388" s="549"/>
      <c r="M4388" s="465"/>
      <c r="N4388" s="201"/>
    </row>
    <row r="4389" spans="2:14" hidden="1" outlineLevel="1" x14ac:dyDescent="0.35">
      <c r="B4389" s="200"/>
      <c r="C4389" s="201"/>
      <c r="D4389" s="201"/>
      <c r="E4389" s="201"/>
      <c r="F4389" s="202"/>
      <c r="G4389" s="549"/>
      <c r="H4389" s="549"/>
      <c r="I4389" s="549"/>
      <c r="J4389" s="549"/>
      <c r="K4389" s="549"/>
      <c r="M4389" s="465"/>
      <c r="N4389" s="201"/>
    </row>
    <row r="4390" spans="2:14" hidden="1" outlineLevel="1" x14ac:dyDescent="0.35">
      <c r="B4390" s="200"/>
      <c r="C4390" s="201"/>
      <c r="D4390" s="201"/>
      <c r="E4390" s="201"/>
      <c r="F4390" s="202"/>
      <c r="G4390" s="549"/>
      <c r="H4390" s="549"/>
      <c r="I4390" s="549"/>
      <c r="J4390" s="549"/>
      <c r="K4390" s="549"/>
      <c r="M4390" s="465"/>
      <c r="N4390" s="201"/>
    </row>
    <row r="4391" spans="2:14" hidden="1" outlineLevel="1" x14ac:dyDescent="0.35">
      <c r="B4391" s="200"/>
      <c r="C4391" s="201"/>
      <c r="D4391" s="201"/>
      <c r="E4391" s="201"/>
      <c r="F4391" s="202"/>
      <c r="G4391" s="549"/>
      <c r="H4391" s="549"/>
      <c r="I4391" s="549"/>
      <c r="J4391" s="549"/>
      <c r="K4391" s="549"/>
      <c r="M4391" s="465"/>
      <c r="N4391" s="201"/>
    </row>
    <row r="4392" spans="2:14" hidden="1" outlineLevel="1" x14ac:dyDescent="0.35">
      <c r="B4392" s="200"/>
      <c r="C4392" s="201"/>
      <c r="D4392" s="201"/>
      <c r="E4392" s="201"/>
      <c r="F4392" s="202"/>
      <c r="G4392" s="549"/>
      <c r="H4392" s="549"/>
      <c r="I4392" s="549"/>
      <c r="J4392" s="549"/>
      <c r="K4392" s="549"/>
      <c r="M4392" s="465"/>
      <c r="N4392" s="201"/>
    </row>
    <row r="4393" spans="2:14" hidden="1" outlineLevel="1" x14ac:dyDescent="0.35">
      <c r="B4393" s="200"/>
      <c r="C4393" s="201"/>
      <c r="D4393" s="201"/>
      <c r="E4393" s="201"/>
      <c r="F4393" s="202"/>
      <c r="G4393" s="549"/>
      <c r="H4393" s="549"/>
      <c r="I4393" s="549"/>
      <c r="J4393" s="549"/>
      <c r="K4393" s="549"/>
      <c r="M4393" s="465"/>
      <c r="N4393" s="201"/>
    </row>
    <row r="4394" spans="2:14" hidden="1" outlineLevel="1" x14ac:dyDescent="0.35">
      <c r="B4394" s="200"/>
      <c r="C4394" s="201"/>
      <c r="D4394" s="201"/>
      <c r="E4394" s="201"/>
      <c r="F4394" s="202"/>
      <c r="G4394" s="549"/>
      <c r="H4394" s="549"/>
      <c r="I4394" s="549"/>
      <c r="J4394" s="549"/>
      <c r="K4394" s="549"/>
      <c r="M4394" s="465"/>
      <c r="N4394" s="201"/>
    </row>
    <row r="4395" spans="2:14" hidden="1" outlineLevel="1" x14ac:dyDescent="0.35">
      <c r="B4395" s="200"/>
      <c r="C4395" s="201"/>
      <c r="D4395" s="201"/>
      <c r="E4395" s="201"/>
      <c r="F4395" s="202"/>
      <c r="G4395" s="549"/>
      <c r="H4395" s="549"/>
      <c r="I4395" s="549"/>
      <c r="J4395" s="549"/>
      <c r="K4395" s="549"/>
      <c r="M4395" s="465"/>
      <c r="N4395" s="201"/>
    </row>
    <row r="4396" spans="2:14" hidden="1" outlineLevel="1" x14ac:dyDescent="0.35">
      <c r="B4396" s="200"/>
      <c r="C4396" s="201"/>
      <c r="D4396" s="201"/>
      <c r="E4396" s="201"/>
      <c r="F4396" s="202"/>
      <c r="G4396" s="549"/>
      <c r="H4396" s="549"/>
      <c r="I4396" s="549"/>
      <c r="J4396" s="549"/>
      <c r="K4396" s="549"/>
      <c r="M4396" s="465"/>
      <c r="N4396" s="201"/>
    </row>
    <row r="4397" spans="2:14" hidden="1" outlineLevel="1" x14ac:dyDescent="0.35">
      <c r="B4397" s="200"/>
      <c r="C4397" s="201"/>
      <c r="D4397" s="201"/>
      <c r="E4397" s="201"/>
      <c r="F4397" s="202"/>
      <c r="G4397" s="549"/>
      <c r="H4397" s="549"/>
      <c r="I4397" s="549"/>
      <c r="J4397" s="549"/>
      <c r="K4397" s="549"/>
      <c r="M4397" s="465"/>
      <c r="N4397" s="201"/>
    </row>
    <row r="4398" spans="2:14" hidden="1" outlineLevel="1" x14ac:dyDescent="0.35">
      <c r="B4398" s="200"/>
      <c r="C4398" s="201"/>
      <c r="D4398" s="201"/>
      <c r="E4398" s="201"/>
      <c r="F4398" s="202"/>
      <c r="G4398" s="549"/>
      <c r="H4398" s="549"/>
      <c r="I4398" s="549"/>
      <c r="J4398" s="549"/>
      <c r="K4398" s="549"/>
      <c r="M4398" s="465"/>
      <c r="N4398" s="201"/>
    </row>
    <row r="4399" spans="2:14" hidden="1" outlineLevel="1" x14ac:dyDescent="0.35">
      <c r="B4399" s="200"/>
      <c r="C4399" s="201"/>
      <c r="D4399" s="201"/>
      <c r="E4399" s="201"/>
      <c r="F4399" s="202"/>
      <c r="G4399" s="549"/>
      <c r="H4399" s="549"/>
      <c r="I4399" s="549"/>
      <c r="J4399" s="549"/>
      <c r="K4399" s="549"/>
      <c r="M4399" s="465"/>
      <c r="N4399" s="201"/>
    </row>
    <row r="4400" spans="2:14" hidden="1" outlineLevel="1" x14ac:dyDescent="0.35">
      <c r="B4400" s="200"/>
      <c r="C4400" s="201"/>
      <c r="D4400" s="201"/>
      <c r="E4400" s="201"/>
      <c r="F4400" s="202"/>
      <c r="G4400" s="549"/>
      <c r="H4400" s="549"/>
      <c r="I4400" s="549"/>
      <c r="J4400" s="549"/>
      <c r="K4400" s="549"/>
      <c r="M4400" s="465"/>
      <c r="N4400" s="201"/>
    </row>
    <row r="4401" spans="2:14" hidden="1" outlineLevel="1" x14ac:dyDescent="0.35">
      <c r="B4401" s="200"/>
      <c r="C4401" s="201"/>
      <c r="D4401" s="201"/>
      <c r="E4401" s="201"/>
      <c r="F4401" s="202"/>
      <c r="G4401" s="549"/>
      <c r="H4401" s="549"/>
      <c r="I4401" s="549"/>
      <c r="J4401" s="549"/>
      <c r="K4401" s="549"/>
      <c r="M4401" s="465"/>
      <c r="N4401" s="201"/>
    </row>
    <row r="4402" spans="2:14" hidden="1" outlineLevel="1" x14ac:dyDescent="0.35">
      <c r="B4402" s="200"/>
      <c r="C4402" s="201"/>
      <c r="D4402" s="201"/>
      <c r="E4402" s="201"/>
      <c r="F4402" s="202"/>
      <c r="G4402" s="549"/>
      <c r="H4402" s="549"/>
      <c r="I4402" s="549"/>
      <c r="J4402" s="549"/>
      <c r="K4402" s="549"/>
      <c r="M4402" s="465"/>
      <c r="N4402" s="201"/>
    </row>
    <row r="4403" spans="2:14" hidden="1" outlineLevel="1" x14ac:dyDescent="0.35">
      <c r="B4403" s="200"/>
      <c r="C4403" s="201"/>
      <c r="D4403" s="201"/>
      <c r="E4403" s="201"/>
      <c r="F4403" s="202"/>
      <c r="G4403" s="549"/>
      <c r="H4403" s="549"/>
      <c r="I4403" s="549"/>
      <c r="J4403" s="549"/>
      <c r="K4403" s="549"/>
      <c r="M4403" s="465"/>
      <c r="N4403" s="201"/>
    </row>
    <row r="4404" spans="2:14" hidden="1" outlineLevel="1" x14ac:dyDescent="0.35">
      <c r="B4404" s="200"/>
      <c r="C4404" s="201"/>
      <c r="D4404" s="201"/>
      <c r="E4404" s="201"/>
      <c r="F4404" s="202"/>
      <c r="G4404" s="549"/>
      <c r="H4404" s="549"/>
      <c r="I4404" s="549"/>
      <c r="J4404" s="549"/>
      <c r="K4404" s="549"/>
      <c r="M4404" s="465"/>
      <c r="N4404" s="201"/>
    </row>
    <row r="4405" spans="2:14" hidden="1" outlineLevel="1" x14ac:dyDescent="0.35">
      <c r="B4405" s="200"/>
      <c r="C4405" s="201"/>
      <c r="D4405" s="201"/>
      <c r="E4405" s="201"/>
      <c r="F4405" s="202"/>
      <c r="G4405" s="549"/>
      <c r="H4405" s="549"/>
      <c r="I4405" s="549"/>
      <c r="J4405" s="549"/>
      <c r="K4405" s="549"/>
      <c r="M4405" s="465"/>
      <c r="N4405" s="201"/>
    </row>
    <row r="4406" spans="2:14" hidden="1" outlineLevel="1" x14ac:dyDescent="0.35">
      <c r="B4406" s="200"/>
      <c r="C4406" s="201"/>
      <c r="D4406" s="201"/>
      <c r="E4406" s="201"/>
      <c r="F4406" s="202"/>
      <c r="G4406" s="549"/>
      <c r="H4406" s="549"/>
      <c r="I4406" s="549"/>
      <c r="J4406" s="549"/>
      <c r="K4406" s="549"/>
      <c r="M4406" s="465"/>
      <c r="N4406" s="201"/>
    </row>
    <row r="4407" spans="2:14" hidden="1" outlineLevel="1" x14ac:dyDescent="0.35">
      <c r="B4407" s="200"/>
      <c r="C4407" s="201"/>
      <c r="D4407" s="201"/>
      <c r="E4407" s="201"/>
      <c r="F4407" s="202"/>
      <c r="G4407" s="549"/>
      <c r="H4407" s="549"/>
      <c r="I4407" s="549"/>
      <c r="J4407" s="549"/>
      <c r="K4407" s="549"/>
      <c r="M4407" s="465"/>
      <c r="N4407" s="201"/>
    </row>
    <row r="4408" spans="2:14" hidden="1" outlineLevel="1" x14ac:dyDescent="0.35">
      <c r="B4408" s="200"/>
      <c r="C4408" s="201"/>
      <c r="D4408" s="201"/>
      <c r="E4408" s="201"/>
      <c r="F4408" s="202"/>
      <c r="G4408" s="549"/>
      <c r="H4408" s="549"/>
      <c r="I4408" s="549"/>
      <c r="J4408" s="549"/>
      <c r="K4408" s="549"/>
      <c r="M4408" s="465"/>
      <c r="N4408" s="201"/>
    </row>
    <row r="4409" spans="2:14" hidden="1" outlineLevel="1" x14ac:dyDescent="0.35">
      <c r="B4409" s="200"/>
      <c r="C4409" s="201"/>
      <c r="D4409" s="201"/>
      <c r="E4409" s="201"/>
      <c r="F4409" s="202"/>
      <c r="G4409" s="549"/>
      <c r="H4409" s="549"/>
      <c r="I4409" s="549"/>
      <c r="J4409" s="549"/>
      <c r="K4409" s="549"/>
      <c r="M4409" s="465"/>
      <c r="N4409" s="201"/>
    </row>
    <row r="4410" spans="2:14" hidden="1" outlineLevel="1" x14ac:dyDescent="0.35">
      <c r="B4410" s="200"/>
      <c r="C4410" s="201"/>
      <c r="D4410" s="201"/>
      <c r="E4410" s="201"/>
      <c r="F4410" s="202"/>
      <c r="G4410" s="549"/>
      <c r="H4410" s="549"/>
      <c r="I4410" s="549"/>
      <c r="J4410" s="549"/>
      <c r="K4410" s="549"/>
      <c r="M4410" s="465"/>
      <c r="N4410" s="201"/>
    </row>
    <row r="4411" spans="2:14" hidden="1" outlineLevel="1" x14ac:dyDescent="0.35">
      <c r="B4411" s="200"/>
      <c r="C4411" s="201"/>
      <c r="D4411" s="201"/>
      <c r="E4411" s="201"/>
      <c r="F4411" s="202"/>
      <c r="G4411" s="549"/>
      <c r="H4411" s="549"/>
      <c r="I4411" s="549"/>
      <c r="J4411" s="549"/>
      <c r="K4411" s="549"/>
      <c r="M4411" s="465"/>
      <c r="N4411" s="201"/>
    </row>
    <row r="4412" spans="2:14" hidden="1" outlineLevel="1" x14ac:dyDescent="0.35">
      <c r="B4412" s="200"/>
      <c r="C4412" s="201"/>
      <c r="D4412" s="201"/>
      <c r="E4412" s="201"/>
      <c r="F4412" s="202"/>
      <c r="G4412" s="549"/>
      <c r="H4412" s="549"/>
      <c r="I4412" s="549"/>
      <c r="J4412" s="549"/>
      <c r="K4412" s="549"/>
      <c r="M4412" s="465"/>
      <c r="N4412" s="201"/>
    </row>
    <row r="4413" spans="2:14" hidden="1" outlineLevel="1" x14ac:dyDescent="0.35">
      <c r="B4413" s="200"/>
      <c r="C4413" s="201"/>
      <c r="D4413" s="201"/>
      <c r="E4413" s="201"/>
      <c r="F4413" s="202"/>
      <c r="G4413" s="549"/>
      <c r="H4413" s="549"/>
      <c r="I4413" s="549"/>
      <c r="J4413" s="549"/>
      <c r="K4413" s="549"/>
      <c r="M4413" s="465"/>
      <c r="N4413" s="201"/>
    </row>
    <row r="4414" spans="2:14" hidden="1" outlineLevel="1" x14ac:dyDescent="0.35">
      <c r="B4414" s="200"/>
      <c r="C4414" s="201"/>
      <c r="D4414" s="201"/>
      <c r="E4414" s="201"/>
      <c r="F4414" s="202"/>
      <c r="G4414" s="549"/>
      <c r="H4414" s="549"/>
      <c r="I4414" s="549"/>
      <c r="J4414" s="549"/>
      <c r="K4414" s="549"/>
      <c r="M4414" s="465"/>
      <c r="N4414" s="201"/>
    </row>
    <row r="4415" spans="2:14" hidden="1" outlineLevel="1" x14ac:dyDescent="0.35">
      <c r="B4415" s="200"/>
      <c r="C4415" s="201"/>
      <c r="D4415" s="201"/>
      <c r="E4415" s="201"/>
      <c r="F4415" s="202"/>
      <c r="G4415" s="549"/>
      <c r="H4415" s="549"/>
      <c r="I4415" s="549"/>
      <c r="J4415" s="549"/>
      <c r="K4415" s="549"/>
      <c r="M4415" s="465"/>
      <c r="N4415" s="201"/>
    </row>
    <row r="4416" spans="2:14" hidden="1" outlineLevel="1" x14ac:dyDescent="0.35">
      <c r="B4416" s="200"/>
      <c r="C4416" s="201"/>
      <c r="D4416" s="201"/>
      <c r="E4416" s="201"/>
      <c r="F4416" s="202"/>
      <c r="G4416" s="549"/>
      <c r="H4416" s="549"/>
      <c r="I4416" s="549"/>
      <c r="J4416" s="549"/>
      <c r="K4416" s="549"/>
      <c r="M4416" s="465"/>
      <c r="N4416" s="201"/>
    </row>
    <row r="4417" spans="2:14" hidden="1" outlineLevel="1" x14ac:dyDescent="0.35">
      <c r="B4417" s="200"/>
      <c r="C4417" s="201"/>
      <c r="D4417" s="201"/>
      <c r="E4417" s="201"/>
      <c r="F4417" s="202"/>
      <c r="G4417" s="549"/>
      <c r="H4417" s="549"/>
      <c r="I4417" s="549"/>
      <c r="J4417" s="549"/>
      <c r="K4417" s="549"/>
      <c r="M4417" s="465"/>
      <c r="N4417" s="201"/>
    </row>
    <row r="4418" spans="2:14" hidden="1" outlineLevel="1" x14ac:dyDescent="0.35">
      <c r="B4418" s="200"/>
      <c r="C4418" s="201"/>
      <c r="D4418" s="201"/>
      <c r="E4418" s="201"/>
      <c r="F4418" s="202"/>
      <c r="G4418" s="549"/>
      <c r="H4418" s="549"/>
      <c r="I4418" s="549"/>
      <c r="J4418" s="549"/>
      <c r="K4418" s="549"/>
      <c r="M4418" s="465"/>
      <c r="N4418" s="201"/>
    </row>
    <row r="4419" spans="2:14" hidden="1" outlineLevel="1" x14ac:dyDescent="0.35">
      <c r="B4419" s="200"/>
      <c r="C4419" s="201"/>
      <c r="D4419" s="201"/>
      <c r="E4419" s="201"/>
      <c r="F4419" s="202"/>
      <c r="G4419" s="549"/>
      <c r="H4419" s="549"/>
      <c r="I4419" s="549"/>
      <c r="J4419" s="549"/>
      <c r="K4419" s="549"/>
      <c r="M4419" s="465"/>
      <c r="N4419" s="201"/>
    </row>
    <row r="4420" spans="2:14" hidden="1" outlineLevel="1" x14ac:dyDescent="0.35">
      <c r="B4420" s="200"/>
      <c r="C4420" s="201"/>
      <c r="D4420" s="201"/>
      <c r="E4420" s="201"/>
      <c r="F4420" s="202"/>
      <c r="G4420" s="549"/>
      <c r="H4420" s="549"/>
      <c r="I4420" s="549"/>
      <c r="J4420" s="549"/>
      <c r="K4420" s="549"/>
      <c r="M4420" s="465"/>
      <c r="N4420" s="201"/>
    </row>
    <row r="4421" spans="2:14" hidden="1" outlineLevel="1" x14ac:dyDescent="0.35">
      <c r="B4421" s="200"/>
      <c r="C4421" s="201"/>
      <c r="D4421" s="201"/>
      <c r="E4421" s="201"/>
      <c r="F4421" s="202"/>
      <c r="G4421" s="549"/>
      <c r="H4421" s="549"/>
      <c r="I4421" s="549"/>
      <c r="J4421" s="549"/>
      <c r="K4421" s="549"/>
      <c r="M4421" s="465"/>
      <c r="N4421" s="201"/>
    </row>
    <row r="4422" spans="2:14" hidden="1" outlineLevel="1" x14ac:dyDescent="0.35">
      <c r="B4422" s="200"/>
      <c r="C4422" s="201"/>
      <c r="D4422" s="201"/>
      <c r="E4422" s="201"/>
      <c r="F4422" s="202"/>
      <c r="G4422" s="549"/>
      <c r="H4422" s="549"/>
      <c r="I4422" s="549"/>
      <c r="J4422" s="549"/>
      <c r="K4422" s="549"/>
      <c r="M4422" s="465"/>
      <c r="N4422" s="201"/>
    </row>
    <row r="4423" spans="2:14" hidden="1" outlineLevel="1" x14ac:dyDescent="0.35">
      <c r="B4423" s="200"/>
      <c r="C4423" s="201"/>
      <c r="D4423" s="201"/>
      <c r="E4423" s="201"/>
      <c r="F4423" s="202"/>
      <c r="G4423" s="549"/>
      <c r="H4423" s="549"/>
      <c r="I4423" s="549"/>
      <c r="J4423" s="549"/>
      <c r="K4423" s="549"/>
      <c r="M4423" s="465"/>
      <c r="N4423" s="201"/>
    </row>
    <row r="4424" spans="2:14" hidden="1" outlineLevel="1" x14ac:dyDescent="0.35">
      <c r="B4424" s="200"/>
      <c r="C4424" s="201"/>
      <c r="D4424" s="201"/>
      <c r="E4424" s="201"/>
      <c r="F4424" s="202"/>
      <c r="G4424" s="549"/>
      <c r="H4424" s="549"/>
      <c r="I4424" s="549"/>
      <c r="J4424" s="549"/>
      <c r="K4424" s="549"/>
      <c r="M4424" s="465"/>
      <c r="N4424" s="201"/>
    </row>
    <row r="4425" spans="2:14" hidden="1" outlineLevel="1" x14ac:dyDescent="0.35">
      <c r="B4425" s="200"/>
      <c r="C4425" s="201"/>
      <c r="D4425" s="201"/>
      <c r="E4425" s="201"/>
      <c r="F4425" s="202"/>
      <c r="G4425" s="549"/>
      <c r="H4425" s="549"/>
      <c r="I4425" s="549"/>
      <c r="J4425" s="549"/>
      <c r="K4425" s="549"/>
      <c r="M4425" s="465"/>
      <c r="N4425" s="201"/>
    </row>
    <row r="4426" spans="2:14" hidden="1" outlineLevel="1" x14ac:dyDescent="0.35">
      <c r="B4426" s="200"/>
      <c r="C4426" s="201"/>
      <c r="D4426" s="201"/>
      <c r="E4426" s="201"/>
      <c r="F4426" s="202"/>
      <c r="G4426" s="549"/>
      <c r="H4426" s="549"/>
      <c r="I4426" s="549"/>
      <c r="J4426" s="549"/>
      <c r="K4426" s="549"/>
      <c r="M4426" s="465"/>
      <c r="N4426" s="201"/>
    </row>
    <row r="4427" spans="2:14" hidden="1" outlineLevel="1" x14ac:dyDescent="0.35">
      <c r="B4427" s="200"/>
      <c r="C4427" s="201"/>
      <c r="D4427" s="201"/>
      <c r="E4427" s="201"/>
      <c r="F4427" s="202"/>
      <c r="G4427" s="549"/>
      <c r="H4427" s="549"/>
      <c r="I4427" s="549"/>
      <c r="J4427" s="549"/>
      <c r="K4427" s="549"/>
      <c r="M4427" s="465"/>
      <c r="N4427" s="201"/>
    </row>
    <row r="4428" spans="2:14" hidden="1" outlineLevel="1" x14ac:dyDescent="0.35">
      <c r="B4428" s="200"/>
      <c r="C4428" s="201"/>
      <c r="D4428" s="201"/>
      <c r="E4428" s="201"/>
      <c r="F4428" s="202"/>
      <c r="G4428" s="549"/>
      <c r="H4428" s="549"/>
      <c r="I4428" s="549"/>
      <c r="J4428" s="549"/>
      <c r="K4428" s="549"/>
      <c r="M4428" s="465"/>
      <c r="N4428" s="201"/>
    </row>
    <row r="4429" spans="2:14" hidden="1" outlineLevel="1" x14ac:dyDescent="0.35">
      <c r="B4429" s="200"/>
      <c r="C4429" s="201"/>
      <c r="D4429" s="201"/>
      <c r="E4429" s="201"/>
      <c r="F4429" s="202"/>
      <c r="G4429" s="549"/>
      <c r="H4429" s="549"/>
      <c r="I4429" s="549"/>
      <c r="J4429" s="549"/>
      <c r="K4429" s="549"/>
      <c r="M4429" s="465"/>
      <c r="N4429" s="201"/>
    </row>
    <row r="4430" spans="2:14" hidden="1" outlineLevel="1" x14ac:dyDescent="0.35">
      <c r="B4430" s="200"/>
      <c r="C4430" s="201"/>
      <c r="D4430" s="201"/>
      <c r="E4430" s="201"/>
      <c r="F4430" s="202"/>
      <c r="G4430" s="549"/>
      <c r="H4430" s="549"/>
      <c r="I4430" s="549"/>
      <c r="J4430" s="549"/>
      <c r="K4430" s="549"/>
      <c r="M4430" s="465"/>
      <c r="N4430" s="201"/>
    </row>
    <row r="4431" spans="2:14" hidden="1" outlineLevel="1" x14ac:dyDescent="0.35">
      <c r="B4431" s="200"/>
      <c r="C4431" s="201"/>
      <c r="D4431" s="201"/>
      <c r="E4431" s="201"/>
      <c r="F4431" s="202"/>
      <c r="G4431" s="549"/>
      <c r="H4431" s="549"/>
      <c r="I4431" s="549"/>
      <c r="J4431" s="549"/>
      <c r="K4431" s="549"/>
      <c r="M4431" s="465"/>
      <c r="N4431" s="201"/>
    </row>
    <row r="4432" spans="2:14" hidden="1" outlineLevel="1" x14ac:dyDescent="0.35">
      <c r="B4432" s="200"/>
      <c r="C4432" s="201"/>
      <c r="D4432" s="201"/>
      <c r="E4432" s="201"/>
      <c r="F4432" s="202"/>
      <c r="G4432" s="549"/>
      <c r="H4432" s="549"/>
      <c r="I4432" s="549"/>
      <c r="J4432" s="549"/>
      <c r="K4432" s="549"/>
      <c r="M4432" s="465"/>
      <c r="N4432" s="201"/>
    </row>
    <row r="4433" spans="2:14" hidden="1" outlineLevel="1" x14ac:dyDescent="0.35">
      <c r="B4433" s="200"/>
      <c r="C4433" s="201"/>
      <c r="D4433" s="201"/>
      <c r="E4433" s="201"/>
      <c r="F4433" s="202"/>
      <c r="G4433" s="549"/>
      <c r="H4433" s="549"/>
      <c r="I4433" s="549"/>
      <c r="J4433" s="549"/>
      <c r="K4433" s="549"/>
      <c r="M4433" s="465"/>
      <c r="N4433" s="201"/>
    </row>
    <row r="4434" spans="2:14" hidden="1" outlineLevel="1" x14ac:dyDescent="0.35">
      <c r="B4434" s="200"/>
      <c r="C4434" s="201"/>
      <c r="D4434" s="201"/>
      <c r="E4434" s="201"/>
      <c r="F4434" s="202"/>
      <c r="G4434" s="549"/>
      <c r="H4434" s="549"/>
      <c r="I4434" s="549"/>
      <c r="J4434" s="549"/>
      <c r="K4434" s="549"/>
      <c r="M4434" s="465"/>
      <c r="N4434" s="201"/>
    </row>
    <row r="4435" spans="2:14" hidden="1" outlineLevel="1" x14ac:dyDescent="0.35">
      <c r="B4435" s="200"/>
      <c r="C4435" s="201"/>
      <c r="D4435" s="201"/>
      <c r="E4435" s="201"/>
      <c r="F4435" s="202"/>
      <c r="G4435" s="549"/>
      <c r="H4435" s="549"/>
      <c r="I4435" s="549"/>
      <c r="J4435" s="549"/>
      <c r="K4435" s="549"/>
      <c r="M4435" s="465"/>
      <c r="N4435" s="201"/>
    </row>
    <row r="4436" spans="2:14" hidden="1" outlineLevel="1" x14ac:dyDescent="0.35">
      <c r="B4436" s="200"/>
      <c r="C4436" s="201"/>
      <c r="D4436" s="201"/>
      <c r="E4436" s="201"/>
      <c r="F4436" s="202"/>
      <c r="G4436" s="549"/>
      <c r="H4436" s="549"/>
      <c r="I4436" s="549"/>
      <c r="J4436" s="549"/>
      <c r="K4436" s="549"/>
      <c r="M4436" s="465"/>
      <c r="N4436" s="201"/>
    </row>
    <row r="4437" spans="2:14" hidden="1" outlineLevel="1" x14ac:dyDescent="0.35">
      <c r="B4437" s="200"/>
      <c r="C4437" s="201"/>
      <c r="D4437" s="201"/>
      <c r="E4437" s="201"/>
      <c r="F4437" s="202"/>
      <c r="G4437" s="549"/>
      <c r="H4437" s="549"/>
      <c r="I4437" s="549"/>
      <c r="J4437" s="549"/>
      <c r="K4437" s="549"/>
      <c r="M4437" s="465"/>
      <c r="N4437" s="201"/>
    </row>
    <row r="4438" spans="2:14" hidden="1" outlineLevel="1" x14ac:dyDescent="0.35">
      <c r="B4438" s="200"/>
      <c r="C4438" s="201"/>
      <c r="D4438" s="201"/>
      <c r="E4438" s="201"/>
      <c r="F4438" s="202"/>
      <c r="G4438" s="549"/>
      <c r="H4438" s="549"/>
      <c r="I4438" s="549"/>
      <c r="J4438" s="549"/>
      <c r="K4438" s="549"/>
      <c r="M4438" s="465"/>
      <c r="N4438" s="201"/>
    </row>
    <row r="4439" spans="2:14" hidden="1" outlineLevel="1" x14ac:dyDescent="0.35">
      <c r="B4439" s="200"/>
      <c r="C4439" s="201"/>
      <c r="D4439" s="201"/>
      <c r="E4439" s="201"/>
      <c r="F4439" s="202"/>
      <c r="G4439" s="549"/>
      <c r="H4439" s="549"/>
      <c r="I4439" s="549"/>
      <c r="J4439" s="549"/>
      <c r="K4439" s="549"/>
      <c r="M4439" s="465"/>
      <c r="N4439" s="201"/>
    </row>
    <row r="4440" spans="2:14" hidden="1" outlineLevel="1" x14ac:dyDescent="0.35">
      <c r="B4440" s="200"/>
      <c r="C4440" s="201"/>
      <c r="D4440" s="201"/>
      <c r="E4440" s="201"/>
      <c r="F4440" s="202"/>
      <c r="G4440" s="549"/>
      <c r="H4440" s="549"/>
      <c r="I4440" s="549"/>
      <c r="J4440" s="549"/>
      <c r="K4440" s="549"/>
      <c r="M4440" s="465"/>
      <c r="N4440" s="201"/>
    </row>
    <row r="4441" spans="2:14" hidden="1" outlineLevel="1" x14ac:dyDescent="0.35">
      <c r="B4441" s="200"/>
      <c r="C4441" s="201"/>
      <c r="D4441" s="201"/>
      <c r="E4441" s="201"/>
      <c r="F4441" s="202"/>
      <c r="G4441" s="549"/>
      <c r="H4441" s="549"/>
      <c r="I4441" s="549"/>
      <c r="J4441" s="549"/>
      <c r="K4441" s="549"/>
      <c r="M4441" s="465"/>
      <c r="N4441" s="201"/>
    </row>
    <row r="4442" spans="2:14" hidden="1" outlineLevel="1" x14ac:dyDescent="0.35">
      <c r="B4442" s="200"/>
      <c r="C4442" s="201"/>
      <c r="D4442" s="201"/>
      <c r="E4442" s="201"/>
      <c r="F4442" s="202"/>
      <c r="G4442" s="549"/>
      <c r="H4442" s="549"/>
      <c r="I4442" s="549"/>
      <c r="J4442" s="549"/>
      <c r="K4442" s="549"/>
      <c r="M4442" s="465"/>
      <c r="N4442" s="201"/>
    </row>
    <row r="4443" spans="2:14" hidden="1" outlineLevel="1" x14ac:dyDescent="0.35">
      <c r="B4443" s="200"/>
      <c r="C4443" s="201"/>
      <c r="D4443" s="201"/>
      <c r="E4443" s="201"/>
      <c r="F4443" s="202"/>
      <c r="G4443" s="549"/>
      <c r="H4443" s="549"/>
      <c r="I4443" s="549"/>
      <c r="J4443" s="549"/>
      <c r="K4443" s="549"/>
      <c r="M4443" s="465"/>
      <c r="N4443" s="201"/>
    </row>
    <row r="4444" spans="2:14" hidden="1" outlineLevel="1" x14ac:dyDescent="0.35">
      <c r="B4444" s="200"/>
      <c r="C4444" s="201"/>
      <c r="D4444" s="201"/>
      <c r="E4444" s="201"/>
      <c r="F4444" s="202"/>
      <c r="G4444" s="549"/>
      <c r="H4444" s="549"/>
      <c r="I4444" s="549"/>
      <c r="J4444" s="549"/>
      <c r="K4444" s="549"/>
      <c r="M4444" s="465"/>
      <c r="N4444" s="201"/>
    </row>
    <row r="4445" spans="2:14" hidden="1" outlineLevel="1" x14ac:dyDescent="0.35">
      <c r="B4445" s="200"/>
      <c r="C4445" s="201"/>
      <c r="D4445" s="201"/>
      <c r="E4445" s="201"/>
      <c r="F4445" s="202"/>
      <c r="G4445" s="549"/>
      <c r="H4445" s="549"/>
      <c r="I4445" s="549"/>
      <c r="J4445" s="549"/>
      <c r="K4445" s="549"/>
      <c r="M4445" s="465"/>
      <c r="N4445" s="201"/>
    </row>
    <row r="4446" spans="2:14" hidden="1" outlineLevel="1" x14ac:dyDescent="0.35">
      <c r="B4446" s="200"/>
      <c r="C4446" s="201"/>
      <c r="D4446" s="201"/>
      <c r="E4446" s="201"/>
      <c r="F4446" s="202"/>
      <c r="G4446" s="549"/>
      <c r="H4446" s="549"/>
      <c r="I4446" s="549"/>
      <c r="J4446" s="549"/>
      <c r="K4446" s="549"/>
      <c r="M4446" s="465"/>
      <c r="N4446" s="201"/>
    </row>
    <row r="4447" spans="2:14" hidden="1" outlineLevel="1" x14ac:dyDescent="0.35">
      <c r="B4447" s="200"/>
      <c r="C4447" s="201"/>
      <c r="D4447" s="201"/>
      <c r="E4447" s="201"/>
      <c r="F4447" s="202"/>
      <c r="G4447" s="549"/>
      <c r="H4447" s="549"/>
      <c r="I4447" s="549"/>
      <c r="J4447" s="549"/>
      <c r="K4447" s="549"/>
      <c r="M4447" s="465"/>
      <c r="N4447" s="201"/>
    </row>
    <row r="4448" spans="2:14" hidden="1" outlineLevel="1" x14ac:dyDescent="0.35">
      <c r="B4448" s="200"/>
      <c r="C4448" s="201"/>
      <c r="D4448" s="201"/>
      <c r="E4448" s="201"/>
      <c r="F4448" s="202"/>
      <c r="G4448" s="549"/>
      <c r="H4448" s="549"/>
      <c r="I4448" s="549"/>
      <c r="J4448" s="549"/>
      <c r="K4448" s="549"/>
      <c r="M4448" s="465"/>
      <c r="N4448" s="201"/>
    </row>
    <row r="4449" spans="2:14" hidden="1" outlineLevel="1" x14ac:dyDescent="0.35">
      <c r="B4449" s="200"/>
      <c r="C4449" s="201"/>
      <c r="D4449" s="201"/>
      <c r="E4449" s="201"/>
      <c r="F4449" s="202"/>
      <c r="G4449" s="549"/>
      <c r="H4449" s="549"/>
      <c r="I4449" s="549"/>
      <c r="J4449" s="549"/>
      <c r="K4449" s="549"/>
      <c r="M4449" s="465"/>
      <c r="N4449" s="201"/>
    </row>
    <row r="4450" spans="2:14" hidden="1" outlineLevel="1" x14ac:dyDescent="0.35">
      <c r="B4450" s="200"/>
      <c r="C4450" s="201"/>
      <c r="D4450" s="201"/>
      <c r="E4450" s="201"/>
      <c r="F4450" s="202"/>
      <c r="G4450" s="549"/>
      <c r="H4450" s="549"/>
      <c r="I4450" s="549"/>
      <c r="J4450" s="549"/>
      <c r="K4450" s="549"/>
      <c r="M4450" s="465"/>
      <c r="N4450" s="201"/>
    </row>
    <row r="4451" spans="2:14" hidden="1" outlineLevel="1" x14ac:dyDescent="0.35">
      <c r="B4451" s="200"/>
      <c r="C4451" s="201"/>
      <c r="D4451" s="201"/>
      <c r="E4451" s="201"/>
      <c r="F4451" s="202"/>
      <c r="G4451" s="549"/>
      <c r="H4451" s="549"/>
      <c r="I4451" s="549"/>
      <c r="J4451" s="549"/>
      <c r="K4451" s="549"/>
      <c r="M4451" s="465"/>
      <c r="N4451" s="201"/>
    </row>
    <row r="4452" spans="2:14" hidden="1" outlineLevel="1" x14ac:dyDescent="0.35">
      <c r="B4452" s="200"/>
      <c r="C4452" s="201"/>
      <c r="D4452" s="201"/>
      <c r="E4452" s="201"/>
      <c r="F4452" s="202"/>
      <c r="G4452" s="549"/>
      <c r="H4452" s="549"/>
      <c r="I4452" s="549"/>
      <c r="J4452" s="549"/>
      <c r="K4452" s="549"/>
      <c r="M4452" s="465"/>
      <c r="N4452" s="201"/>
    </row>
    <row r="4453" spans="2:14" hidden="1" outlineLevel="1" x14ac:dyDescent="0.35">
      <c r="B4453" s="200"/>
      <c r="C4453" s="201"/>
      <c r="D4453" s="201"/>
      <c r="E4453" s="201"/>
      <c r="F4453" s="202"/>
      <c r="G4453" s="549"/>
      <c r="H4453" s="549"/>
      <c r="I4453" s="549"/>
      <c r="J4453" s="549"/>
      <c r="K4453" s="549"/>
      <c r="M4453" s="465"/>
      <c r="N4453" s="201"/>
    </row>
    <row r="4454" spans="2:14" hidden="1" outlineLevel="1" x14ac:dyDescent="0.35">
      <c r="B4454" s="200"/>
      <c r="C4454" s="201"/>
      <c r="D4454" s="201"/>
      <c r="E4454" s="201"/>
      <c r="F4454" s="202"/>
      <c r="G4454" s="549"/>
      <c r="H4454" s="549"/>
      <c r="I4454" s="549"/>
      <c r="J4454" s="549"/>
      <c r="K4454" s="549"/>
      <c r="M4454" s="465"/>
      <c r="N4454" s="201"/>
    </row>
    <row r="4455" spans="2:14" hidden="1" outlineLevel="1" x14ac:dyDescent="0.35">
      <c r="B4455" s="200"/>
      <c r="C4455" s="201"/>
      <c r="D4455" s="201"/>
      <c r="E4455" s="201"/>
      <c r="F4455" s="202"/>
      <c r="G4455" s="549"/>
      <c r="H4455" s="549"/>
      <c r="I4455" s="549"/>
      <c r="J4455" s="549"/>
      <c r="K4455" s="549"/>
      <c r="M4455" s="465"/>
      <c r="N4455" s="201"/>
    </row>
    <row r="4456" spans="2:14" hidden="1" outlineLevel="1" x14ac:dyDescent="0.35">
      <c r="B4456" s="200"/>
      <c r="C4456" s="201"/>
      <c r="D4456" s="201"/>
      <c r="E4456" s="201"/>
      <c r="F4456" s="202"/>
      <c r="G4456" s="549"/>
      <c r="H4456" s="549"/>
      <c r="I4456" s="549"/>
      <c r="J4456" s="549"/>
      <c r="K4456" s="549"/>
      <c r="M4456" s="465"/>
      <c r="N4456" s="201"/>
    </row>
    <row r="4457" spans="2:14" hidden="1" outlineLevel="1" x14ac:dyDescent="0.35">
      <c r="B4457" s="200"/>
      <c r="C4457" s="201"/>
      <c r="D4457" s="201"/>
      <c r="E4457" s="201"/>
      <c r="F4457" s="202"/>
      <c r="G4457" s="549"/>
      <c r="H4457" s="549"/>
      <c r="I4457" s="549"/>
      <c r="J4457" s="549"/>
      <c r="K4457" s="549"/>
      <c r="M4457" s="465"/>
      <c r="N4457" s="201"/>
    </row>
    <row r="4458" spans="2:14" hidden="1" outlineLevel="1" x14ac:dyDescent="0.35">
      <c r="B4458" s="200"/>
      <c r="C4458" s="201"/>
      <c r="D4458" s="201"/>
      <c r="E4458" s="201"/>
      <c r="F4458" s="202"/>
      <c r="G4458" s="549"/>
      <c r="H4458" s="549"/>
      <c r="I4458" s="549"/>
      <c r="J4458" s="549"/>
      <c r="K4458" s="549"/>
      <c r="M4458" s="465"/>
      <c r="N4458" s="201"/>
    </row>
    <row r="4459" spans="2:14" hidden="1" outlineLevel="1" x14ac:dyDescent="0.35">
      <c r="B4459" s="200"/>
      <c r="C4459" s="201"/>
      <c r="D4459" s="201"/>
      <c r="E4459" s="201"/>
      <c r="F4459" s="202"/>
      <c r="G4459" s="549"/>
      <c r="H4459" s="549"/>
      <c r="I4459" s="549"/>
      <c r="J4459" s="549"/>
      <c r="K4459" s="549"/>
      <c r="M4459" s="465"/>
      <c r="N4459" s="201"/>
    </row>
    <row r="4460" spans="2:14" hidden="1" outlineLevel="1" x14ac:dyDescent="0.35">
      <c r="B4460" s="200"/>
      <c r="C4460" s="201"/>
      <c r="D4460" s="201"/>
      <c r="E4460" s="201"/>
      <c r="F4460" s="202"/>
      <c r="G4460" s="549"/>
      <c r="H4460" s="549"/>
      <c r="I4460" s="549"/>
      <c r="J4460" s="549"/>
      <c r="K4460" s="549"/>
      <c r="M4460" s="465"/>
      <c r="N4460" s="201"/>
    </row>
    <row r="4461" spans="2:14" hidden="1" outlineLevel="1" x14ac:dyDescent="0.35">
      <c r="B4461" s="200"/>
      <c r="C4461" s="201"/>
      <c r="D4461" s="201"/>
      <c r="E4461" s="201"/>
      <c r="F4461" s="202"/>
      <c r="G4461" s="549"/>
      <c r="H4461" s="549"/>
      <c r="I4461" s="549"/>
      <c r="J4461" s="549"/>
      <c r="K4461" s="549"/>
      <c r="M4461" s="465"/>
      <c r="N4461" s="201"/>
    </row>
    <row r="4462" spans="2:14" hidden="1" outlineLevel="1" x14ac:dyDescent="0.35">
      <c r="B4462" s="200"/>
      <c r="C4462" s="201"/>
      <c r="D4462" s="201"/>
      <c r="E4462" s="201"/>
      <c r="F4462" s="202"/>
      <c r="G4462" s="549"/>
      <c r="H4462" s="549"/>
      <c r="I4462" s="549"/>
      <c r="J4462" s="549"/>
      <c r="K4462" s="549"/>
      <c r="M4462" s="465"/>
      <c r="N4462" s="201"/>
    </row>
    <row r="4463" spans="2:14" hidden="1" outlineLevel="1" x14ac:dyDescent="0.35">
      <c r="B4463" s="200"/>
      <c r="C4463" s="201"/>
      <c r="D4463" s="201"/>
      <c r="E4463" s="201"/>
      <c r="F4463" s="202"/>
      <c r="G4463" s="549"/>
      <c r="H4463" s="549"/>
      <c r="I4463" s="549"/>
      <c r="J4463" s="549"/>
      <c r="K4463" s="549"/>
      <c r="M4463" s="465"/>
      <c r="N4463" s="201"/>
    </row>
    <row r="4464" spans="2:14" hidden="1" outlineLevel="1" x14ac:dyDescent="0.35">
      <c r="B4464" s="200"/>
      <c r="C4464" s="201"/>
      <c r="D4464" s="201"/>
      <c r="E4464" s="201"/>
      <c r="F4464" s="202"/>
      <c r="G4464" s="549"/>
      <c r="H4464" s="549"/>
      <c r="I4464" s="549"/>
      <c r="J4464" s="549"/>
      <c r="K4464" s="549"/>
      <c r="M4464" s="465"/>
      <c r="N4464" s="201"/>
    </row>
    <row r="4465" spans="2:14" hidden="1" outlineLevel="1" x14ac:dyDescent="0.35">
      <c r="B4465" s="200"/>
      <c r="C4465" s="201"/>
      <c r="D4465" s="201"/>
      <c r="E4465" s="201"/>
      <c r="F4465" s="202"/>
      <c r="G4465" s="549"/>
      <c r="H4465" s="549"/>
      <c r="I4465" s="549"/>
      <c r="J4465" s="549"/>
      <c r="K4465" s="549"/>
      <c r="M4465" s="465"/>
      <c r="N4465" s="201"/>
    </row>
    <row r="4466" spans="2:14" hidden="1" outlineLevel="1" x14ac:dyDescent="0.35">
      <c r="B4466" s="200"/>
      <c r="C4466" s="201"/>
      <c r="D4466" s="201"/>
      <c r="E4466" s="201"/>
      <c r="F4466" s="202"/>
      <c r="G4466" s="549"/>
      <c r="H4466" s="549"/>
      <c r="I4466" s="549"/>
      <c r="J4466" s="549"/>
      <c r="K4466" s="549"/>
      <c r="M4466" s="465"/>
      <c r="N4466" s="201"/>
    </row>
    <row r="4467" spans="2:14" hidden="1" outlineLevel="1" x14ac:dyDescent="0.35">
      <c r="B4467" s="200"/>
      <c r="C4467" s="201"/>
      <c r="D4467" s="201"/>
      <c r="E4467" s="201"/>
      <c r="F4467" s="202"/>
      <c r="G4467" s="549"/>
      <c r="H4467" s="549"/>
      <c r="I4467" s="549"/>
      <c r="J4467" s="549"/>
      <c r="K4467" s="549"/>
      <c r="M4467" s="465"/>
      <c r="N4467" s="201"/>
    </row>
    <row r="4468" spans="2:14" hidden="1" outlineLevel="1" x14ac:dyDescent="0.35">
      <c r="B4468" s="200"/>
      <c r="C4468" s="201"/>
      <c r="D4468" s="201"/>
      <c r="E4468" s="201"/>
      <c r="F4468" s="202"/>
      <c r="G4468" s="549"/>
      <c r="H4468" s="549"/>
      <c r="I4468" s="549"/>
      <c r="J4468" s="549"/>
      <c r="K4468" s="549"/>
      <c r="M4468" s="465"/>
      <c r="N4468" s="201"/>
    </row>
    <row r="4469" spans="2:14" hidden="1" outlineLevel="1" x14ac:dyDescent="0.35">
      <c r="B4469" s="200"/>
      <c r="C4469" s="201"/>
      <c r="D4469" s="201"/>
      <c r="E4469" s="201"/>
      <c r="F4469" s="202"/>
      <c r="G4469" s="549"/>
      <c r="H4469" s="549"/>
      <c r="I4469" s="549"/>
      <c r="J4469" s="549"/>
      <c r="K4469" s="549"/>
      <c r="M4469" s="465"/>
      <c r="N4469" s="201"/>
    </row>
    <row r="4470" spans="2:14" hidden="1" outlineLevel="1" x14ac:dyDescent="0.35">
      <c r="B4470" s="200"/>
      <c r="C4470" s="201"/>
      <c r="D4470" s="201"/>
      <c r="E4470" s="201"/>
      <c r="F4470" s="202"/>
      <c r="G4470" s="549"/>
      <c r="H4470" s="549"/>
      <c r="I4470" s="549"/>
      <c r="J4470" s="549"/>
      <c r="K4470" s="549"/>
      <c r="M4470" s="465"/>
      <c r="N4470" s="201"/>
    </row>
    <row r="4471" spans="2:14" hidden="1" outlineLevel="1" x14ac:dyDescent="0.35">
      <c r="B4471" s="200"/>
      <c r="C4471" s="201"/>
      <c r="D4471" s="201"/>
      <c r="E4471" s="201"/>
      <c r="F4471" s="202"/>
      <c r="G4471" s="549"/>
      <c r="H4471" s="549"/>
      <c r="I4471" s="549"/>
      <c r="J4471" s="549"/>
      <c r="K4471" s="549"/>
      <c r="M4471" s="465"/>
      <c r="N4471" s="201"/>
    </row>
    <row r="4472" spans="2:14" hidden="1" outlineLevel="1" x14ac:dyDescent="0.35">
      <c r="B4472" s="200"/>
      <c r="C4472" s="201"/>
      <c r="D4472" s="201"/>
      <c r="E4472" s="201"/>
      <c r="F4472" s="202"/>
      <c r="G4472" s="549"/>
      <c r="H4472" s="549"/>
      <c r="I4472" s="549"/>
      <c r="J4472" s="549"/>
      <c r="K4472" s="549"/>
      <c r="M4472" s="465"/>
      <c r="N4472" s="201"/>
    </row>
    <row r="4473" spans="2:14" hidden="1" outlineLevel="1" x14ac:dyDescent="0.35">
      <c r="B4473" s="200"/>
      <c r="C4473" s="201"/>
      <c r="D4473" s="201"/>
      <c r="E4473" s="201"/>
      <c r="F4473" s="202"/>
      <c r="G4473" s="549"/>
      <c r="H4473" s="549"/>
      <c r="I4473" s="549"/>
      <c r="J4473" s="549"/>
      <c r="K4473" s="549"/>
      <c r="M4473" s="465"/>
      <c r="N4473" s="201"/>
    </row>
    <row r="4474" spans="2:14" hidden="1" outlineLevel="1" x14ac:dyDescent="0.35">
      <c r="B4474" s="200"/>
      <c r="C4474" s="201"/>
      <c r="D4474" s="201"/>
      <c r="E4474" s="201"/>
      <c r="F4474" s="202"/>
      <c r="G4474" s="549"/>
      <c r="H4474" s="549"/>
      <c r="I4474" s="549"/>
      <c r="J4474" s="549"/>
      <c r="K4474" s="549"/>
      <c r="M4474" s="465"/>
      <c r="N4474" s="201"/>
    </row>
    <row r="4475" spans="2:14" hidden="1" outlineLevel="1" x14ac:dyDescent="0.35">
      <c r="B4475" s="200"/>
      <c r="C4475" s="201"/>
      <c r="D4475" s="201"/>
      <c r="E4475" s="201"/>
      <c r="F4475" s="202"/>
      <c r="G4475" s="549"/>
      <c r="H4475" s="549"/>
      <c r="I4475" s="549"/>
      <c r="J4475" s="549"/>
      <c r="K4475" s="549"/>
      <c r="M4475" s="465"/>
      <c r="N4475" s="201"/>
    </row>
    <row r="4476" spans="2:14" hidden="1" outlineLevel="1" x14ac:dyDescent="0.35">
      <c r="B4476" s="200"/>
      <c r="C4476" s="201"/>
      <c r="D4476" s="201"/>
      <c r="E4476" s="201"/>
      <c r="F4476" s="202"/>
      <c r="G4476" s="549"/>
      <c r="H4476" s="549"/>
      <c r="I4476" s="549"/>
      <c r="J4476" s="549"/>
      <c r="K4476" s="549"/>
      <c r="M4476" s="465"/>
      <c r="N4476" s="201"/>
    </row>
    <row r="4477" spans="2:14" hidden="1" outlineLevel="1" x14ac:dyDescent="0.35">
      <c r="B4477" s="200"/>
      <c r="C4477" s="201"/>
      <c r="D4477" s="201"/>
      <c r="E4477" s="201"/>
      <c r="F4477" s="202"/>
      <c r="G4477" s="549"/>
      <c r="H4477" s="549"/>
      <c r="I4477" s="549"/>
      <c r="J4477" s="549"/>
      <c r="K4477" s="549"/>
      <c r="M4477" s="465"/>
      <c r="N4477" s="201"/>
    </row>
    <row r="4478" spans="2:14" hidden="1" outlineLevel="1" x14ac:dyDescent="0.35">
      <c r="B4478" s="200"/>
      <c r="C4478" s="201"/>
      <c r="D4478" s="201"/>
      <c r="E4478" s="201"/>
      <c r="F4478" s="202"/>
      <c r="G4478" s="549"/>
      <c r="H4478" s="549"/>
      <c r="I4478" s="549"/>
      <c r="J4478" s="549"/>
      <c r="K4478" s="549"/>
      <c r="M4478" s="465"/>
      <c r="N4478" s="201"/>
    </row>
    <row r="4479" spans="2:14" hidden="1" outlineLevel="1" x14ac:dyDescent="0.35">
      <c r="B4479" s="200"/>
      <c r="C4479" s="201"/>
      <c r="D4479" s="201"/>
      <c r="E4479" s="201"/>
      <c r="F4479" s="202"/>
      <c r="G4479" s="549"/>
      <c r="H4479" s="549"/>
      <c r="I4479" s="549"/>
      <c r="J4479" s="549"/>
      <c r="K4479" s="549"/>
      <c r="M4479" s="465"/>
      <c r="N4479" s="201"/>
    </row>
    <row r="4480" spans="2:14" hidden="1" outlineLevel="1" x14ac:dyDescent="0.35">
      <c r="B4480" s="200"/>
      <c r="C4480" s="201"/>
      <c r="D4480" s="201"/>
      <c r="E4480" s="201"/>
      <c r="F4480" s="202"/>
      <c r="G4480" s="549"/>
      <c r="H4480" s="549"/>
      <c r="I4480" s="549"/>
      <c r="J4480" s="549"/>
      <c r="K4480" s="549"/>
      <c r="M4480" s="465"/>
      <c r="N4480" s="201"/>
    </row>
    <row r="4481" spans="2:14" hidden="1" outlineLevel="1" x14ac:dyDescent="0.35">
      <c r="B4481" s="200"/>
      <c r="C4481" s="201"/>
      <c r="D4481" s="201"/>
      <c r="E4481" s="201"/>
      <c r="F4481" s="202"/>
      <c r="G4481" s="549"/>
      <c r="H4481" s="549"/>
      <c r="I4481" s="549"/>
      <c r="J4481" s="549"/>
      <c r="K4481" s="549"/>
      <c r="M4481" s="465"/>
      <c r="N4481" s="201"/>
    </row>
    <row r="4482" spans="2:14" hidden="1" outlineLevel="1" x14ac:dyDescent="0.35">
      <c r="B4482" s="200"/>
      <c r="C4482" s="201"/>
      <c r="D4482" s="201"/>
      <c r="E4482" s="201"/>
      <c r="F4482" s="202"/>
      <c r="G4482" s="549"/>
      <c r="H4482" s="549"/>
      <c r="I4482" s="549"/>
      <c r="J4482" s="549"/>
      <c r="K4482" s="549"/>
      <c r="M4482" s="465"/>
      <c r="N4482" s="201"/>
    </row>
    <row r="4483" spans="2:14" hidden="1" outlineLevel="1" x14ac:dyDescent="0.35">
      <c r="B4483" s="200"/>
      <c r="C4483" s="201"/>
      <c r="D4483" s="201"/>
      <c r="E4483" s="201"/>
      <c r="F4483" s="202"/>
      <c r="G4483" s="549"/>
      <c r="H4483" s="549"/>
      <c r="I4483" s="549"/>
      <c r="J4483" s="549"/>
      <c r="K4483" s="549"/>
      <c r="M4483" s="465"/>
      <c r="N4483" s="201"/>
    </row>
    <row r="4484" spans="2:14" hidden="1" outlineLevel="1" x14ac:dyDescent="0.35">
      <c r="B4484" s="200"/>
      <c r="C4484" s="201"/>
      <c r="D4484" s="201"/>
      <c r="E4484" s="201"/>
      <c r="F4484" s="202"/>
      <c r="G4484" s="549"/>
      <c r="H4484" s="549"/>
      <c r="I4484" s="549"/>
      <c r="J4484" s="549"/>
      <c r="K4484" s="549"/>
      <c r="M4484" s="465"/>
      <c r="N4484" s="201"/>
    </row>
    <row r="4485" spans="2:14" hidden="1" outlineLevel="1" x14ac:dyDescent="0.35">
      <c r="B4485" s="200"/>
      <c r="C4485" s="201"/>
      <c r="D4485" s="201"/>
      <c r="E4485" s="201"/>
      <c r="F4485" s="202"/>
      <c r="G4485" s="549"/>
      <c r="H4485" s="549"/>
      <c r="I4485" s="549"/>
      <c r="J4485" s="549"/>
      <c r="K4485" s="549"/>
      <c r="M4485" s="465"/>
      <c r="N4485" s="201"/>
    </row>
    <row r="4486" spans="2:14" hidden="1" outlineLevel="1" x14ac:dyDescent="0.35">
      <c r="B4486" s="200"/>
      <c r="C4486" s="201"/>
      <c r="D4486" s="201"/>
      <c r="E4486" s="201"/>
      <c r="F4486" s="202"/>
      <c r="G4486" s="549"/>
      <c r="H4486" s="549"/>
      <c r="I4486" s="549"/>
      <c r="J4486" s="549"/>
      <c r="K4486" s="549"/>
      <c r="M4486" s="465"/>
      <c r="N4486" s="201"/>
    </row>
    <row r="4487" spans="2:14" hidden="1" outlineLevel="1" x14ac:dyDescent="0.35">
      <c r="B4487" s="200"/>
      <c r="C4487" s="201"/>
      <c r="D4487" s="201"/>
      <c r="E4487" s="201"/>
      <c r="F4487" s="202"/>
      <c r="G4487" s="549"/>
      <c r="H4487" s="549"/>
      <c r="I4487" s="549"/>
      <c r="J4487" s="549"/>
      <c r="K4487" s="549"/>
      <c r="M4487" s="465"/>
      <c r="N4487" s="201"/>
    </row>
    <row r="4488" spans="2:14" hidden="1" outlineLevel="1" x14ac:dyDescent="0.35">
      <c r="B4488" s="200"/>
      <c r="C4488" s="201"/>
      <c r="D4488" s="201"/>
      <c r="E4488" s="201"/>
      <c r="F4488" s="202"/>
      <c r="G4488" s="549"/>
      <c r="H4488" s="549"/>
      <c r="I4488" s="549"/>
      <c r="J4488" s="549"/>
      <c r="K4488" s="549"/>
      <c r="M4488" s="465"/>
      <c r="N4488" s="201"/>
    </row>
    <row r="4489" spans="2:14" hidden="1" outlineLevel="1" x14ac:dyDescent="0.35">
      <c r="B4489" s="200"/>
      <c r="C4489" s="201"/>
      <c r="D4489" s="201"/>
      <c r="E4489" s="201"/>
      <c r="F4489" s="202"/>
      <c r="G4489" s="549"/>
      <c r="H4489" s="549"/>
      <c r="I4489" s="549"/>
      <c r="J4489" s="549"/>
      <c r="K4489" s="549"/>
      <c r="M4489" s="465"/>
      <c r="N4489" s="201"/>
    </row>
    <row r="4490" spans="2:14" hidden="1" outlineLevel="1" x14ac:dyDescent="0.35">
      <c r="B4490" s="200"/>
      <c r="C4490" s="201"/>
      <c r="D4490" s="201"/>
      <c r="E4490" s="201"/>
      <c r="F4490" s="202"/>
      <c r="G4490" s="549"/>
      <c r="H4490" s="549"/>
      <c r="I4490" s="549"/>
      <c r="J4490" s="549"/>
      <c r="K4490" s="549"/>
      <c r="M4490" s="465"/>
      <c r="N4490" s="201"/>
    </row>
    <row r="4491" spans="2:14" hidden="1" outlineLevel="1" x14ac:dyDescent="0.35">
      <c r="B4491" s="200"/>
      <c r="C4491" s="201"/>
      <c r="D4491" s="201"/>
      <c r="E4491" s="201"/>
      <c r="F4491" s="202"/>
      <c r="G4491" s="549"/>
      <c r="H4491" s="549"/>
      <c r="I4491" s="549"/>
      <c r="J4491" s="549"/>
      <c r="K4491" s="549"/>
      <c r="M4491" s="465"/>
      <c r="N4491" s="201"/>
    </row>
    <row r="4492" spans="2:14" hidden="1" outlineLevel="1" x14ac:dyDescent="0.35">
      <c r="B4492" s="200"/>
      <c r="C4492" s="201"/>
      <c r="D4492" s="201"/>
      <c r="E4492" s="201"/>
      <c r="F4492" s="202"/>
      <c r="G4492" s="549"/>
      <c r="H4492" s="549"/>
      <c r="I4492" s="549"/>
      <c r="J4492" s="549"/>
      <c r="K4492" s="549"/>
      <c r="M4492" s="465"/>
      <c r="N4492" s="201"/>
    </row>
    <row r="4493" spans="2:14" hidden="1" outlineLevel="1" x14ac:dyDescent="0.35">
      <c r="B4493" s="200"/>
      <c r="C4493" s="201"/>
      <c r="D4493" s="201"/>
      <c r="E4493" s="201"/>
      <c r="F4493" s="202"/>
      <c r="G4493" s="549"/>
      <c r="H4493" s="549"/>
      <c r="I4493" s="549"/>
      <c r="J4493" s="549"/>
      <c r="K4493" s="549"/>
      <c r="M4493" s="465"/>
      <c r="N4493" s="201"/>
    </row>
    <row r="4494" spans="2:14" hidden="1" outlineLevel="1" x14ac:dyDescent="0.35">
      <c r="B4494" s="200"/>
      <c r="C4494" s="201"/>
      <c r="D4494" s="201"/>
      <c r="E4494" s="201"/>
      <c r="F4494" s="202"/>
      <c r="G4494" s="549"/>
      <c r="H4494" s="549"/>
      <c r="I4494" s="549"/>
      <c r="J4494" s="549"/>
      <c r="K4494" s="549"/>
      <c r="M4494" s="465"/>
      <c r="N4494" s="201"/>
    </row>
    <row r="4495" spans="2:14" hidden="1" outlineLevel="1" x14ac:dyDescent="0.35">
      <c r="B4495" s="200"/>
      <c r="C4495" s="201"/>
      <c r="D4495" s="201"/>
      <c r="E4495" s="201"/>
      <c r="F4495" s="202"/>
      <c r="G4495" s="549"/>
      <c r="H4495" s="549"/>
      <c r="I4495" s="549"/>
      <c r="J4495" s="549"/>
      <c r="K4495" s="549"/>
      <c r="M4495" s="465"/>
      <c r="N4495" s="201"/>
    </row>
    <row r="4496" spans="2:14" hidden="1" outlineLevel="1" x14ac:dyDescent="0.35">
      <c r="B4496" s="200"/>
      <c r="C4496" s="201"/>
      <c r="D4496" s="201"/>
      <c r="E4496" s="201"/>
      <c r="F4496" s="202"/>
      <c r="G4496" s="549"/>
      <c r="H4496" s="549"/>
      <c r="I4496" s="549"/>
      <c r="J4496" s="549"/>
      <c r="K4496" s="549"/>
      <c r="M4496" s="465"/>
      <c r="N4496" s="201"/>
    </row>
    <row r="4497" spans="2:14" hidden="1" outlineLevel="1" x14ac:dyDescent="0.35">
      <c r="B4497" s="200"/>
      <c r="C4497" s="201"/>
      <c r="D4497" s="201"/>
      <c r="E4497" s="201"/>
      <c r="F4497" s="202"/>
      <c r="G4497" s="549"/>
      <c r="H4497" s="549"/>
      <c r="I4497" s="549"/>
      <c r="J4497" s="549"/>
      <c r="K4497" s="549"/>
      <c r="M4497" s="465"/>
      <c r="N4497" s="201"/>
    </row>
    <row r="4498" spans="2:14" hidden="1" outlineLevel="1" x14ac:dyDescent="0.35">
      <c r="B4498" s="200"/>
      <c r="C4498" s="201"/>
      <c r="D4498" s="201"/>
      <c r="E4498" s="201"/>
      <c r="F4498" s="202"/>
      <c r="G4498" s="549"/>
      <c r="H4498" s="549"/>
      <c r="I4498" s="549"/>
      <c r="J4498" s="549"/>
      <c r="K4498" s="549"/>
      <c r="M4498" s="465"/>
      <c r="N4498" s="201"/>
    </row>
    <row r="4499" spans="2:14" hidden="1" outlineLevel="1" x14ac:dyDescent="0.35">
      <c r="B4499" s="200"/>
      <c r="C4499" s="201"/>
      <c r="D4499" s="201"/>
      <c r="E4499" s="201"/>
      <c r="F4499" s="202"/>
      <c r="G4499" s="549"/>
      <c r="H4499" s="549"/>
      <c r="I4499" s="549"/>
      <c r="J4499" s="549"/>
      <c r="K4499" s="549"/>
      <c r="M4499" s="465"/>
      <c r="N4499" s="201"/>
    </row>
    <row r="4500" spans="2:14" hidden="1" outlineLevel="1" x14ac:dyDescent="0.35">
      <c r="B4500" s="200"/>
      <c r="C4500" s="201"/>
      <c r="D4500" s="201"/>
      <c r="E4500" s="201"/>
      <c r="F4500" s="202"/>
      <c r="G4500" s="549"/>
      <c r="H4500" s="549"/>
      <c r="I4500" s="549"/>
      <c r="J4500" s="549"/>
      <c r="K4500" s="549"/>
      <c r="M4500" s="465"/>
      <c r="N4500" s="201"/>
    </row>
    <row r="4501" spans="2:14" hidden="1" outlineLevel="1" x14ac:dyDescent="0.35">
      <c r="B4501" s="200"/>
      <c r="C4501" s="201"/>
      <c r="D4501" s="201"/>
      <c r="E4501" s="201"/>
      <c r="F4501" s="202"/>
      <c r="G4501" s="549"/>
      <c r="H4501" s="549"/>
      <c r="I4501" s="549"/>
      <c r="J4501" s="549"/>
      <c r="K4501" s="549"/>
      <c r="M4501" s="465"/>
      <c r="N4501" s="201"/>
    </row>
    <row r="4502" spans="2:14" hidden="1" outlineLevel="1" x14ac:dyDescent="0.35">
      <c r="B4502" s="200"/>
      <c r="C4502" s="201"/>
      <c r="D4502" s="201"/>
      <c r="E4502" s="201"/>
      <c r="F4502" s="202"/>
      <c r="G4502" s="549"/>
      <c r="H4502" s="549"/>
      <c r="I4502" s="549"/>
      <c r="J4502" s="549"/>
      <c r="K4502" s="549"/>
      <c r="M4502" s="465"/>
      <c r="N4502" s="201"/>
    </row>
    <row r="4503" spans="2:14" hidden="1" outlineLevel="1" x14ac:dyDescent="0.35">
      <c r="B4503" s="200"/>
      <c r="C4503" s="201"/>
      <c r="D4503" s="201"/>
      <c r="E4503" s="201"/>
      <c r="F4503" s="202"/>
      <c r="G4503" s="549"/>
      <c r="H4503" s="549"/>
      <c r="I4503" s="549"/>
      <c r="J4503" s="549"/>
      <c r="K4503" s="549"/>
      <c r="M4503" s="465"/>
      <c r="N4503" s="201"/>
    </row>
    <row r="4504" spans="2:14" hidden="1" outlineLevel="1" x14ac:dyDescent="0.35">
      <c r="B4504" s="200"/>
      <c r="C4504" s="201"/>
      <c r="D4504" s="201"/>
      <c r="E4504" s="201"/>
      <c r="F4504" s="202"/>
      <c r="G4504" s="549"/>
      <c r="H4504" s="549"/>
      <c r="I4504" s="549"/>
      <c r="J4504" s="549"/>
      <c r="K4504" s="549"/>
      <c r="M4504" s="465"/>
      <c r="N4504" s="201"/>
    </row>
    <row r="4505" spans="2:14" hidden="1" outlineLevel="1" x14ac:dyDescent="0.35">
      <c r="B4505" s="200"/>
      <c r="C4505" s="201"/>
      <c r="D4505" s="201"/>
      <c r="E4505" s="201"/>
      <c r="F4505" s="202"/>
      <c r="G4505" s="549"/>
      <c r="H4505" s="549"/>
      <c r="I4505" s="549"/>
      <c r="J4505" s="549"/>
      <c r="K4505" s="549"/>
      <c r="M4505" s="465"/>
      <c r="N4505" s="201"/>
    </row>
    <row r="4506" spans="2:14" hidden="1" outlineLevel="1" x14ac:dyDescent="0.35">
      <c r="B4506" s="200"/>
      <c r="C4506" s="201"/>
      <c r="D4506" s="201"/>
      <c r="E4506" s="201"/>
      <c r="F4506" s="202"/>
      <c r="G4506" s="549"/>
      <c r="H4506" s="549"/>
      <c r="I4506" s="549"/>
      <c r="J4506" s="549"/>
      <c r="K4506" s="549"/>
      <c r="M4506" s="465"/>
      <c r="N4506" s="201"/>
    </row>
    <row r="4507" spans="2:14" hidden="1" outlineLevel="1" x14ac:dyDescent="0.35">
      <c r="B4507" s="200"/>
      <c r="C4507" s="201"/>
      <c r="D4507" s="201"/>
      <c r="E4507" s="201"/>
      <c r="F4507" s="202"/>
      <c r="G4507" s="549"/>
      <c r="H4507" s="549"/>
      <c r="I4507" s="549"/>
      <c r="J4507" s="549"/>
      <c r="K4507" s="549"/>
      <c r="M4507" s="465"/>
      <c r="N4507" s="201"/>
    </row>
    <row r="4508" spans="2:14" hidden="1" outlineLevel="1" x14ac:dyDescent="0.35">
      <c r="B4508" s="200"/>
      <c r="C4508" s="201"/>
      <c r="D4508" s="201"/>
      <c r="E4508" s="201"/>
      <c r="F4508" s="202"/>
      <c r="G4508" s="549"/>
      <c r="H4508" s="549"/>
      <c r="I4508" s="549"/>
      <c r="J4508" s="549"/>
      <c r="K4508" s="549"/>
      <c r="M4508" s="465"/>
      <c r="N4508" s="201"/>
    </row>
    <row r="4509" spans="2:14" hidden="1" outlineLevel="1" x14ac:dyDescent="0.35">
      <c r="B4509" s="200"/>
      <c r="C4509" s="201"/>
      <c r="D4509" s="201"/>
      <c r="E4509" s="201"/>
      <c r="F4509" s="202"/>
      <c r="G4509" s="549"/>
      <c r="H4509" s="549"/>
      <c r="I4509" s="549"/>
      <c r="J4509" s="549"/>
      <c r="K4509" s="549"/>
      <c r="M4509" s="465"/>
      <c r="N4509" s="201"/>
    </row>
    <row r="4510" spans="2:14" hidden="1" outlineLevel="1" x14ac:dyDescent="0.35">
      <c r="B4510" s="200"/>
      <c r="C4510" s="201"/>
      <c r="D4510" s="201"/>
      <c r="E4510" s="201"/>
      <c r="F4510" s="202"/>
      <c r="G4510" s="549"/>
      <c r="H4510" s="549"/>
      <c r="I4510" s="549"/>
      <c r="J4510" s="549"/>
      <c r="K4510" s="549"/>
      <c r="M4510" s="465"/>
      <c r="N4510" s="201"/>
    </row>
    <row r="4511" spans="2:14" hidden="1" outlineLevel="1" x14ac:dyDescent="0.35">
      <c r="B4511" s="200"/>
      <c r="C4511" s="201"/>
      <c r="D4511" s="201"/>
      <c r="E4511" s="201"/>
      <c r="F4511" s="202"/>
      <c r="G4511" s="549"/>
      <c r="H4511" s="549"/>
      <c r="I4511" s="549"/>
      <c r="J4511" s="549"/>
      <c r="K4511" s="549"/>
      <c r="M4511" s="465"/>
      <c r="N4511" s="201"/>
    </row>
    <row r="4512" spans="2:14" hidden="1" outlineLevel="1" x14ac:dyDescent="0.35">
      <c r="B4512" s="200"/>
      <c r="C4512" s="201"/>
      <c r="D4512" s="201"/>
      <c r="E4512" s="201"/>
      <c r="F4512" s="202"/>
      <c r="G4512" s="549"/>
      <c r="H4512" s="549"/>
      <c r="I4512" s="549"/>
      <c r="J4512" s="549"/>
      <c r="K4512" s="549"/>
      <c r="M4512" s="465"/>
      <c r="N4512" s="201"/>
    </row>
    <row r="4513" spans="2:14" hidden="1" outlineLevel="1" x14ac:dyDescent="0.35">
      <c r="B4513" s="200"/>
      <c r="C4513" s="201"/>
      <c r="D4513" s="201"/>
      <c r="E4513" s="201"/>
      <c r="F4513" s="202"/>
      <c r="G4513" s="549"/>
      <c r="H4513" s="549"/>
      <c r="I4513" s="549"/>
      <c r="J4513" s="549"/>
      <c r="K4513" s="549"/>
      <c r="M4513" s="465"/>
      <c r="N4513" s="201"/>
    </row>
    <row r="4514" spans="2:14" hidden="1" outlineLevel="1" x14ac:dyDescent="0.35">
      <c r="B4514" s="200"/>
      <c r="C4514" s="201"/>
      <c r="D4514" s="201"/>
      <c r="E4514" s="201"/>
      <c r="F4514" s="202"/>
      <c r="G4514" s="549"/>
      <c r="H4514" s="549"/>
      <c r="I4514" s="549"/>
      <c r="J4514" s="549"/>
      <c r="K4514" s="549"/>
      <c r="M4514" s="465"/>
      <c r="N4514" s="201"/>
    </row>
    <row r="4515" spans="2:14" hidden="1" outlineLevel="1" x14ac:dyDescent="0.35">
      <c r="B4515" s="200"/>
      <c r="C4515" s="201"/>
      <c r="D4515" s="201"/>
      <c r="E4515" s="201"/>
      <c r="F4515" s="202"/>
      <c r="G4515" s="549"/>
      <c r="H4515" s="549"/>
      <c r="I4515" s="549"/>
      <c r="J4515" s="549"/>
      <c r="K4515" s="549"/>
      <c r="M4515" s="465"/>
      <c r="N4515" s="201"/>
    </row>
    <row r="4516" spans="2:14" hidden="1" outlineLevel="1" x14ac:dyDescent="0.35">
      <c r="B4516" s="200"/>
      <c r="C4516" s="201"/>
      <c r="D4516" s="201"/>
      <c r="E4516" s="201"/>
      <c r="F4516" s="202"/>
      <c r="G4516" s="549"/>
      <c r="H4516" s="549"/>
      <c r="I4516" s="549"/>
      <c r="J4516" s="549"/>
      <c r="K4516" s="549"/>
      <c r="M4516" s="465"/>
      <c r="N4516" s="201"/>
    </row>
    <row r="4517" spans="2:14" hidden="1" outlineLevel="1" x14ac:dyDescent="0.35">
      <c r="B4517" s="200"/>
      <c r="C4517" s="201"/>
      <c r="D4517" s="201"/>
      <c r="E4517" s="201"/>
      <c r="F4517" s="202"/>
      <c r="G4517" s="549"/>
      <c r="H4517" s="549"/>
      <c r="I4517" s="549"/>
      <c r="J4517" s="549"/>
      <c r="K4517" s="549"/>
      <c r="M4517" s="465"/>
      <c r="N4517" s="201"/>
    </row>
    <row r="4518" spans="2:14" hidden="1" outlineLevel="1" x14ac:dyDescent="0.35">
      <c r="B4518" s="200"/>
      <c r="C4518" s="201"/>
      <c r="D4518" s="201"/>
      <c r="E4518" s="201"/>
      <c r="F4518" s="202"/>
      <c r="G4518" s="549"/>
      <c r="H4518" s="549"/>
      <c r="I4518" s="549"/>
      <c r="J4518" s="549"/>
      <c r="K4518" s="549"/>
      <c r="M4518" s="465"/>
      <c r="N4518" s="201"/>
    </row>
    <row r="4519" spans="2:14" hidden="1" outlineLevel="1" x14ac:dyDescent="0.35">
      <c r="B4519" s="200"/>
      <c r="C4519" s="201"/>
      <c r="D4519" s="201"/>
      <c r="E4519" s="201"/>
      <c r="F4519" s="202"/>
      <c r="G4519" s="549"/>
      <c r="H4519" s="549"/>
      <c r="I4519" s="549"/>
      <c r="J4519" s="549"/>
      <c r="K4519" s="549"/>
      <c r="M4519" s="465"/>
      <c r="N4519" s="201"/>
    </row>
    <row r="4520" spans="2:14" hidden="1" outlineLevel="1" x14ac:dyDescent="0.35">
      <c r="B4520" s="200"/>
      <c r="C4520" s="201"/>
      <c r="D4520" s="201"/>
      <c r="E4520" s="201"/>
      <c r="F4520" s="202"/>
      <c r="G4520" s="549"/>
      <c r="H4520" s="549"/>
      <c r="I4520" s="549"/>
      <c r="J4520" s="549"/>
      <c r="K4520" s="549"/>
      <c r="M4520" s="465"/>
      <c r="N4520" s="201"/>
    </row>
    <row r="4521" spans="2:14" hidden="1" outlineLevel="1" x14ac:dyDescent="0.35">
      <c r="B4521" s="200"/>
      <c r="C4521" s="201"/>
      <c r="D4521" s="201"/>
      <c r="E4521" s="201"/>
      <c r="F4521" s="202"/>
      <c r="G4521" s="549"/>
      <c r="H4521" s="549"/>
      <c r="I4521" s="549"/>
      <c r="J4521" s="549"/>
      <c r="K4521" s="549"/>
      <c r="M4521" s="465"/>
      <c r="N4521" s="201"/>
    </row>
    <row r="4522" spans="2:14" hidden="1" outlineLevel="1" x14ac:dyDescent="0.35">
      <c r="B4522" s="200"/>
      <c r="C4522" s="201"/>
      <c r="D4522" s="201"/>
      <c r="E4522" s="201"/>
      <c r="F4522" s="202"/>
      <c r="G4522" s="549"/>
      <c r="H4522" s="549"/>
      <c r="I4522" s="549"/>
      <c r="J4522" s="549"/>
      <c r="K4522" s="549"/>
      <c r="M4522" s="465"/>
      <c r="N4522" s="201"/>
    </row>
    <row r="4523" spans="2:14" hidden="1" outlineLevel="1" x14ac:dyDescent="0.35">
      <c r="B4523" s="200"/>
      <c r="C4523" s="201"/>
      <c r="D4523" s="201"/>
      <c r="E4523" s="201"/>
      <c r="F4523" s="202"/>
      <c r="G4523" s="549"/>
      <c r="H4523" s="549"/>
      <c r="I4523" s="549"/>
      <c r="J4523" s="549"/>
      <c r="K4523" s="549"/>
      <c r="M4523" s="465"/>
      <c r="N4523" s="201"/>
    </row>
    <row r="4524" spans="2:14" hidden="1" outlineLevel="1" x14ac:dyDescent="0.35">
      <c r="B4524" s="200"/>
      <c r="C4524" s="201"/>
      <c r="D4524" s="201"/>
      <c r="E4524" s="201"/>
      <c r="F4524" s="202"/>
      <c r="G4524" s="549"/>
      <c r="H4524" s="549"/>
      <c r="I4524" s="549"/>
      <c r="J4524" s="549"/>
      <c r="K4524" s="549"/>
      <c r="M4524" s="465"/>
      <c r="N4524" s="201"/>
    </row>
    <row r="4525" spans="2:14" hidden="1" outlineLevel="1" x14ac:dyDescent="0.35">
      <c r="B4525" s="200"/>
      <c r="C4525" s="201"/>
      <c r="D4525" s="201"/>
      <c r="E4525" s="201"/>
      <c r="F4525" s="202"/>
      <c r="G4525" s="549"/>
      <c r="H4525" s="549"/>
      <c r="I4525" s="549"/>
      <c r="J4525" s="549"/>
      <c r="K4525" s="549"/>
      <c r="M4525" s="465"/>
      <c r="N4525" s="201"/>
    </row>
    <row r="4526" spans="2:14" hidden="1" outlineLevel="1" x14ac:dyDescent="0.35">
      <c r="B4526" s="200"/>
      <c r="C4526" s="201"/>
      <c r="D4526" s="201"/>
      <c r="E4526" s="201"/>
      <c r="F4526" s="202"/>
      <c r="G4526" s="549"/>
      <c r="H4526" s="549"/>
      <c r="I4526" s="549"/>
      <c r="J4526" s="549"/>
      <c r="K4526" s="549"/>
      <c r="M4526" s="465"/>
      <c r="N4526" s="201"/>
    </row>
    <row r="4527" spans="2:14" hidden="1" outlineLevel="1" x14ac:dyDescent="0.35">
      <c r="B4527" s="200"/>
      <c r="C4527" s="201"/>
      <c r="D4527" s="201"/>
      <c r="E4527" s="201"/>
      <c r="F4527" s="202"/>
      <c r="G4527" s="549"/>
      <c r="H4527" s="549"/>
      <c r="I4527" s="549"/>
      <c r="J4527" s="549"/>
      <c r="K4527" s="549"/>
      <c r="M4527" s="465"/>
      <c r="N4527" s="201"/>
    </row>
    <row r="4528" spans="2:14" hidden="1" outlineLevel="1" x14ac:dyDescent="0.35">
      <c r="B4528" s="200"/>
      <c r="C4528" s="201"/>
      <c r="D4528" s="201"/>
      <c r="E4528" s="201"/>
      <c r="F4528" s="202"/>
      <c r="G4528" s="549"/>
      <c r="H4528" s="549"/>
      <c r="I4528" s="549"/>
      <c r="J4528" s="549"/>
      <c r="K4528" s="549"/>
      <c r="M4528" s="465"/>
      <c r="N4528" s="201"/>
    </row>
    <row r="4529" spans="2:14" hidden="1" outlineLevel="1" x14ac:dyDescent="0.35">
      <c r="B4529" s="200"/>
      <c r="C4529" s="201"/>
      <c r="D4529" s="201"/>
      <c r="E4529" s="201"/>
      <c r="F4529" s="202"/>
      <c r="G4529" s="549"/>
      <c r="H4529" s="549"/>
      <c r="I4529" s="549"/>
      <c r="J4529" s="549"/>
      <c r="K4529" s="549"/>
      <c r="M4529" s="465"/>
      <c r="N4529" s="201"/>
    </row>
    <row r="4530" spans="2:14" hidden="1" outlineLevel="1" x14ac:dyDescent="0.35">
      <c r="B4530" s="200"/>
      <c r="C4530" s="201"/>
      <c r="D4530" s="201"/>
      <c r="E4530" s="201"/>
      <c r="F4530" s="202"/>
      <c r="G4530" s="549"/>
      <c r="H4530" s="549"/>
      <c r="I4530" s="549"/>
      <c r="J4530" s="549"/>
      <c r="K4530" s="549"/>
      <c r="M4530" s="465"/>
      <c r="N4530" s="201"/>
    </row>
    <row r="4531" spans="2:14" hidden="1" outlineLevel="1" x14ac:dyDescent="0.35">
      <c r="B4531" s="200"/>
      <c r="C4531" s="201"/>
      <c r="D4531" s="201"/>
      <c r="E4531" s="201"/>
      <c r="F4531" s="202"/>
      <c r="G4531" s="549"/>
      <c r="H4531" s="549"/>
      <c r="I4531" s="549"/>
      <c r="J4531" s="549"/>
      <c r="K4531" s="549"/>
      <c r="M4531" s="465"/>
      <c r="N4531" s="201"/>
    </row>
    <row r="4532" spans="2:14" hidden="1" outlineLevel="1" x14ac:dyDescent="0.35">
      <c r="B4532" s="200"/>
      <c r="C4532" s="201"/>
      <c r="D4532" s="201"/>
      <c r="E4532" s="201"/>
      <c r="F4532" s="202"/>
      <c r="G4532" s="549"/>
      <c r="H4532" s="549"/>
      <c r="I4532" s="549"/>
      <c r="J4532" s="549"/>
      <c r="K4532" s="549"/>
      <c r="M4532" s="465"/>
      <c r="N4532" s="201"/>
    </row>
    <row r="4533" spans="2:14" hidden="1" outlineLevel="1" x14ac:dyDescent="0.35">
      <c r="B4533" s="200"/>
      <c r="C4533" s="201"/>
      <c r="D4533" s="201"/>
      <c r="E4533" s="201"/>
      <c r="F4533" s="202"/>
      <c r="G4533" s="549"/>
      <c r="H4533" s="549"/>
      <c r="I4533" s="549"/>
      <c r="J4533" s="549"/>
      <c r="K4533" s="549"/>
      <c r="M4533" s="465"/>
      <c r="N4533" s="201"/>
    </row>
    <row r="4534" spans="2:14" hidden="1" outlineLevel="1" x14ac:dyDescent="0.35">
      <c r="B4534" s="200"/>
      <c r="C4534" s="201"/>
      <c r="D4534" s="201"/>
      <c r="E4534" s="201"/>
      <c r="F4534" s="202"/>
      <c r="G4534" s="549"/>
      <c r="H4534" s="549"/>
      <c r="I4534" s="549"/>
      <c r="J4534" s="549"/>
      <c r="K4534" s="549"/>
      <c r="M4534" s="465"/>
      <c r="N4534" s="201"/>
    </row>
    <row r="4535" spans="2:14" hidden="1" outlineLevel="1" x14ac:dyDescent="0.35">
      <c r="B4535" s="200"/>
      <c r="C4535" s="201"/>
      <c r="D4535" s="201"/>
      <c r="E4535" s="201"/>
      <c r="F4535" s="202"/>
      <c r="G4535" s="549"/>
      <c r="H4535" s="549"/>
      <c r="I4535" s="549"/>
      <c r="J4535" s="549"/>
      <c r="K4535" s="549"/>
      <c r="M4535" s="465"/>
      <c r="N4535" s="201"/>
    </row>
    <row r="4536" spans="2:14" hidden="1" outlineLevel="1" x14ac:dyDescent="0.35">
      <c r="B4536" s="200"/>
      <c r="C4536" s="201"/>
      <c r="D4536" s="201"/>
      <c r="E4536" s="201"/>
      <c r="F4536" s="202"/>
      <c r="G4536" s="549"/>
      <c r="H4536" s="549"/>
      <c r="I4536" s="549"/>
      <c r="J4536" s="549"/>
      <c r="K4536" s="549"/>
      <c r="M4536" s="465"/>
      <c r="N4536" s="201"/>
    </row>
    <row r="4537" spans="2:14" hidden="1" outlineLevel="1" x14ac:dyDescent="0.35">
      <c r="B4537" s="200"/>
      <c r="C4537" s="201"/>
      <c r="D4537" s="201"/>
      <c r="E4537" s="201"/>
      <c r="F4537" s="202"/>
      <c r="G4537" s="549"/>
      <c r="H4537" s="549"/>
      <c r="I4537" s="549"/>
      <c r="J4537" s="549"/>
      <c r="K4537" s="549"/>
      <c r="M4537" s="465"/>
      <c r="N4537" s="201"/>
    </row>
    <row r="4538" spans="2:14" hidden="1" outlineLevel="1" x14ac:dyDescent="0.35">
      <c r="B4538" s="200"/>
      <c r="C4538" s="201"/>
      <c r="D4538" s="201"/>
      <c r="E4538" s="201"/>
      <c r="F4538" s="202"/>
      <c r="G4538" s="549"/>
      <c r="H4538" s="549"/>
      <c r="I4538" s="549"/>
      <c r="J4538" s="549"/>
      <c r="K4538" s="549"/>
      <c r="M4538" s="465"/>
      <c r="N4538" s="201"/>
    </row>
    <row r="4539" spans="2:14" hidden="1" outlineLevel="1" x14ac:dyDescent="0.35">
      <c r="B4539" s="200"/>
      <c r="C4539" s="201"/>
      <c r="D4539" s="201"/>
      <c r="E4539" s="201"/>
      <c r="F4539" s="202"/>
      <c r="G4539" s="549"/>
      <c r="H4539" s="549"/>
      <c r="I4539" s="549"/>
      <c r="J4539" s="549"/>
      <c r="K4539" s="549"/>
      <c r="M4539" s="465"/>
      <c r="N4539" s="201"/>
    </row>
    <row r="4540" spans="2:14" hidden="1" outlineLevel="1" x14ac:dyDescent="0.35">
      <c r="B4540" s="200"/>
      <c r="C4540" s="201"/>
      <c r="D4540" s="201"/>
      <c r="E4540" s="201"/>
      <c r="F4540" s="202"/>
      <c r="G4540" s="549"/>
      <c r="H4540" s="549"/>
      <c r="I4540" s="549"/>
      <c r="J4540" s="549"/>
      <c r="K4540" s="549"/>
      <c r="M4540" s="465"/>
      <c r="N4540" s="201"/>
    </row>
    <row r="4541" spans="2:14" hidden="1" outlineLevel="1" x14ac:dyDescent="0.35">
      <c r="B4541" s="200"/>
      <c r="C4541" s="201"/>
      <c r="D4541" s="201"/>
      <c r="E4541" s="201"/>
      <c r="F4541" s="202"/>
      <c r="G4541" s="549"/>
      <c r="H4541" s="549"/>
      <c r="I4541" s="549"/>
      <c r="J4541" s="549"/>
      <c r="K4541" s="549"/>
      <c r="M4541" s="465"/>
      <c r="N4541" s="201"/>
    </row>
    <row r="4542" spans="2:14" hidden="1" outlineLevel="1" x14ac:dyDescent="0.35">
      <c r="B4542" s="200"/>
      <c r="C4542" s="201"/>
      <c r="D4542" s="201"/>
      <c r="E4542" s="201"/>
      <c r="F4542" s="202"/>
      <c r="G4542" s="549"/>
      <c r="H4542" s="549"/>
      <c r="I4542" s="549"/>
      <c r="J4542" s="549"/>
      <c r="K4542" s="549"/>
      <c r="M4542" s="465"/>
      <c r="N4542" s="201"/>
    </row>
    <row r="4543" spans="2:14" hidden="1" outlineLevel="1" x14ac:dyDescent="0.35">
      <c r="B4543" s="200"/>
      <c r="C4543" s="201"/>
      <c r="D4543" s="201"/>
      <c r="E4543" s="201"/>
      <c r="F4543" s="202"/>
      <c r="G4543" s="549"/>
      <c r="H4543" s="549"/>
      <c r="I4543" s="549"/>
      <c r="J4543" s="549"/>
      <c r="K4543" s="549"/>
      <c r="M4543" s="465"/>
      <c r="N4543" s="201"/>
    </row>
    <row r="4544" spans="2:14" hidden="1" outlineLevel="1" x14ac:dyDescent="0.35">
      <c r="B4544" s="200"/>
      <c r="C4544" s="201"/>
      <c r="D4544" s="201"/>
      <c r="E4544" s="201"/>
      <c r="F4544" s="202"/>
      <c r="G4544" s="549"/>
      <c r="H4544" s="549"/>
      <c r="I4544" s="549"/>
      <c r="J4544" s="549"/>
      <c r="K4544" s="549"/>
      <c r="M4544" s="465"/>
      <c r="N4544" s="201"/>
    </row>
    <row r="4545" spans="2:14" hidden="1" outlineLevel="1" x14ac:dyDescent="0.35">
      <c r="B4545" s="200"/>
      <c r="C4545" s="201"/>
      <c r="D4545" s="201"/>
      <c r="E4545" s="201"/>
      <c r="F4545" s="202"/>
      <c r="G4545" s="549"/>
      <c r="H4545" s="549"/>
      <c r="I4545" s="549"/>
      <c r="J4545" s="549"/>
      <c r="K4545" s="549"/>
      <c r="M4545" s="465"/>
      <c r="N4545" s="201"/>
    </row>
    <row r="4546" spans="2:14" hidden="1" outlineLevel="1" x14ac:dyDescent="0.35">
      <c r="B4546" s="200"/>
      <c r="C4546" s="201"/>
      <c r="D4546" s="201"/>
      <c r="E4546" s="201"/>
      <c r="F4546" s="202"/>
      <c r="G4546" s="549"/>
      <c r="H4546" s="549"/>
      <c r="I4546" s="549"/>
      <c r="J4546" s="549"/>
      <c r="K4546" s="549"/>
      <c r="M4546" s="465"/>
      <c r="N4546" s="201"/>
    </row>
    <row r="4547" spans="2:14" hidden="1" outlineLevel="1" x14ac:dyDescent="0.35">
      <c r="B4547" s="200"/>
      <c r="C4547" s="201"/>
      <c r="D4547" s="201"/>
      <c r="E4547" s="201"/>
      <c r="F4547" s="202"/>
      <c r="G4547" s="549"/>
      <c r="H4547" s="549"/>
      <c r="I4547" s="549"/>
      <c r="J4547" s="549"/>
      <c r="K4547" s="549"/>
      <c r="M4547" s="465"/>
      <c r="N4547" s="201"/>
    </row>
    <row r="4548" spans="2:14" hidden="1" outlineLevel="1" x14ac:dyDescent="0.35">
      <c r="B4548" s="200"/>
      <c r="C4548" s="201"/>
      <c r="D4548" s="201"/>
      <c r="E4548" s="201"/>
      <c r="F4548" s="202"/>
      <c r="G4548" s="549"/>
      <c r="H4548" s="549"/>
      <c r="I4548" s="549"/>
      <c r="J4548" s="549"/>
      <c r="K4548" s="549"/>
      <c r="M4548" s="465"/>
      <c r="N4548" s="201"/>
    </row>
    <row r="4549" spans="2:14" hidden="1" outlineLevel="1" x14ac:dyDescent="0.35">
      <c r="B4549" s="200"/>
      <c r="C4549" s="201"/>
      <c r="D4549" s="201"/>
      <c r="E4549" s="201"/>
      <c r="F4549" s="202"/>
      <c r="G4549" s="549"/>
      <c r="H4549" s="549"/>
      <c r="I4549" s="549"/>
      <c r="J4549" s="549"/>
      <c r="K4549" s="549"/>
      <c r="M4549" s="465"/>
      <c r="N4549" s="201"/>
    </row>
    <row r="4550" spans="2:14" hidden="1" outlineLevel="1" x14ac:dyDescent="0.35">
      <c r="B4550" s="200"/>
      <c r="C4550" s="201"/>
      <c r="D4550" s="201"/>
      <c r="E4550" s="201"/>
      <c r="F4550" s="202"/>
      <c r="G4550" s="549"/>
      <c r="H4550" s="549"/>
      <c r="I4550" s="549"/>
      <c r="J4550" s="549"/>
      <c r="K4550" s="549"/>
      <c r="M4550" s="465"/>
      <c r="N4550" s="201"/>
    </row>
    <row r="4551" spans="2:14" hidden="1" outlineLevel="1" x14ac:dyDescent="0.35">
      <c r="B4551" s="200"/>
      <c r="C4551" s="201"/>
      <c r="D4551" s="201"/>
      <c r="E4551" s="201"/>
      <c r="F4551" s="202"/>
      <c r="G4551" s="549"/>
      <c r="H4551" s="549"/>
      <c r="I4551" s="549"/>
      <c r="J4551" s="549"/>
      <c r="K4551" s="549"/>
      <c r="M4551" s="465"/>
      <c r="N4551" s="201"/>
    </row>
    <row r="4552" spans="2:14" hidden="1" outlineLevel="1" x14ac:dyDescent="0.35">
      <c r="B4552" s="200"/>
      <c r="C4552" s="201"/>
      <c r="D4552" s="201"/>
      <c r="E4552" s="201"/>
      <c r="F4552" s="202"/>
      <c r="G4552" s="549"/>
      <c r="H4552" s="549"/>
      <c r="I4552" s="549"/>
      <c r="J4552" s="549"/>
      <c r="K4552" s="549"/>
      <c r="M4552" s="465"/>
      <c r="N4552" s="201"/>
    </row>
    <row r="4553" spans="2:14" hidden="1" outlineLevel="1" x14ac:dyDescent="0.35">
      <c r="B4553" s="200"/>
      <c r="C4553" s="201"/>
      <c r="D4553" s="201"/>
      <c r="E4553" s="201"/>
      <c r="F4553" s="202"/>
      <c r="G4553" s="549"/>
      <c r="H4553" s="549"/>
      <c r="I4553" s="549"/>
      <c r="J4553" s="549"/>
      <c r="K4553" s="549"/>
      <c r="M4553" s="465"/>
      <c r="N4553" s="201"/>
    </row>
    <row r="4554" spans="2:14" hidden="1" outlineLevel="1" x14ac:dyDescent="0.35">
      <c r="B4554" s="200"/>
      <c r="C4554" s="201"/>
      <c r="D4554" s="201"/>
      <c r="E4554" s="201"/>
      <c r="F4554" s="202"/>
      <c r="G4554" s="549"/>
      <c r="H4554" s="549"/>
      <c r="I4554" s="549"/>
      <c r="J4554" s="549"/>
      <c r="K4554" s="549"/>
      <c r="M4554" s="465"/>
      <c r="N4554" s="201"/>
    </row>
    <row r="4555" spans="2:14" hidden="1" outlineLevel="1" x14ac:dyDescent="0.35">
      <c r="B4555" s="200"/>
      <c r="C4555" s="201"/>
      <c r="D4555" s="201"/>
      <c r="E4555" s="201"/>
      <c r="F4555" s="202"/>
      <c r="G4555" s="549"/>
      <c r="H4555" s="549"/>
      <c r="I4555" s="549"/>
      <c r="J4555" s="549"/>
      <c r="K4555" s="549"/>
      <c r="M4555" s="465"/>
      <c r="N4555" s="201"/>
    </row>
    <row r="4556" spans="2:14" hidden="1" outlineLevel="1" x14ac:dyDescent="0.35">
      <c r="B4556" s="200"/>
      <c r="C4556" s="201"/>
      <c r="D4556" s="201"/>
      <c r="E4556" s="201"/>
      <c r="F4556" s="202"/>
      <c r="G4556" s="549"/>
      <c r="H4556" s="549"/>
      <c r="I4556" s="549"/>
      <c r="J4556" s="549"/>
      <c r="K4556" s="549"/>
      <c r="M4556" s="465"/>
      <c r="N4556" s="201"/>
    </row>
    <row r="4557" spans="2:14" hidden="1" outlineLevel="1" x14ac:dyDescent="0.35">
      <c r="B4557" s="200"/>
      <c r="C4557" s="201"/>
      <c r="D4557" s="201"/>
      <c r="E4557" s="201"/>
      <c r="F4557" s="202"/>
      <c r="G4557" s="549"/>
      <c r="H4557" s="549"/>
      <c r="I4557" s="549"/>
      <c r="J4557" s="549"/>
      <c r="K4557" s="549"/>
      <c r="M4557" s="465"/>
      <c r="N4557" s="201"/>
    </row>
    <row r="4558" spans="2:14" hidden="1" outlineLevel="1" x14ac:dyDescent="0.35">
      <c r="B4558" s="200"/>
      <c r="C4558" s="201"/>
      <c r="D4558" s="201"/>
      <c r="E4558" s="201"/>
      <c r="F4558" s="202"/>
      <c r="G4558" s="549"/>
      <c r="H4558" s="549"/>
      <c r="I4558" s="549"/>
      <c r="J4558" s="549"/>
      <c r="K4558" s="549"/>
      <c r="M4558" s="465"/>
      <c r="N4558" s="201"/>
    </row>
    <row r="4559" spans="2:14" hidden="1" outlineLevel="1" x14ac:dyDescent="0.35">
      <c r="B4559" s="200"/>
      <c r="C4559" s="201"/>
      <c r="D4559" s="201"/>
      <c r="E4559" s="201"/>
      <c r="F4559" s="202"/>
      <c r="G4559" s="549"/>
      <c r="H4559" s="549"/>
      <c r="I4559" s="549"/>
      <c r="J4559" s="549"/>
      <c r="K4559" s="549"/>
      <c r="M4559" s="465"/>
      <c r="N4559" s="201"/>
    </row>
    <row r="4560" spans="2:14" hidden="1" outlineLevel="1" x14ac:dyDescent="0.35">
      <c r="B4560" s="200"/>
      <c r="C4560" s="201"/>
      <c r="D4560" s="201"/>
      <c r="E4560" s="201"/>
      <c r="F4560" s="202"/>
      <c r="G4560" s="549"/>
      <c r="H4560" s="549"/>
      <c r="I4560" s="549"/>
      <c r="J4560" s="549"/>
      <c r="K4560" s="549"/>
      <c r="M4560" s="465"/>
      <c r="N4560" s="201"/>
    </row>
    <row r="4561" spans="2:14" hidden="1" outlineLevel="1" x14ac:dyDescent="0.35">
      <c r="B4561" s="200"/>
      <c r="C4561" s="201"/>
      <c r="D4561" s="201"/>
      <c r="E4561" s="201"/>
      <c r="F4561" s="202"/>
      <c r="G4561" s="549"/>
      <c r="H4561" s="549"/>
      <c r="I4561" s="549"/>
      <c r="J4561" s="549"/>
      <c r="K4561" s="549"/>
      <c r="M4561" s="465"/>
      <c r="N4561" s="201"/>
    </row>
    <row r="4562" spans="2:14" hidden="1" outlineLevel="1" x14ac:dyDescent="0.35">
      <c r="B4562" s="200"/>
      <c r="C4562" s="201"/>
      <c r="D4562" s="201"/>
      <c r="E4562" s="201"/>
      <c r="F4562" s="202"/>
      <c r="G4562" s="549"/>
      <c r="H4562" s="549"/>
      <c r="I4562" s="549"/>
      <c r="J4562" s="549"/>
      <c r="K4562" s="549"/>
      <c r="M4562" s="465"/>
      <c r="N4562" s="201"/>
    </row>
    <row r="4563" spans="2:14" hidden="1" outlineLevel="1" x14ac:dyDescent="0.35">
      <c r="B4563" s="200"/>
      <c r="C4563" s="201"/>
      <c r="D4563" s="201"/>
      <c r="E4563" s="201"/>
      <c r="F4563" s="202"/>
      <c r="G4563" s="549"/>
      <c r="H4563" s="549"/>
      <c r="I4563" s="549"/>
      <c r="J4563" s="549"/>
      <c r="K4563" s="549"/>
      <c r="M4563" s="465"/>
      <c r="N4563" s="201"/>
    </row>
    <row r="4564" spans="2:14" hidden="1" outlineLevel="1" x14ac:dyDescent="0.35">
      <c r="B4564" s="200"/>
      <c r="C4564" s="201"/>
      <c r="D4564" s="201"/>
      <c r="E4564" s="201"/>
      <c r="F4564" s="202"/>
      <c r="G4564" s="549"/>
      <c r="H4564" s="549"/>
      <c r="I4564" s="549"/>
      <c r="J4564" s="549"/>
      <c r="K4564" s="549"/>
      <c r="M4564" s="465"/>
      <c r="N4564" s="201"/>
    </row>
    <row r="4565" spans="2:14" hidden="1" outlineLevel="1" x14ac:dyDescent="0.35">
      <c r="B4565" s="200"/>
      <c r="C4565" s="201"/>
      <c r="D4565" s="201"/>
      <c r="E4565" s="201"/>
      <c r="F4565" s="202"/>
      <c r="G4565" s="549"/>
      <c r="H4565" s="549"/>
      <c r="I4565" s="549"/>
      <c r="J4565" s="549"/>
      <c r="K4565" s="549"/>
      <c r="M4565" s="465"/>
      <c r="N4565" s="201"/>
    </row>
    <row r="4566" spans="2:14" hidden="1" outlineLevel="1" x14ac:dyDescent="0.35">
      <c r="B4566" s="200"/>
      <c r="C4566" s="201"/>
      <c r="D4566" s="201"/>
      <c r="E4566" s="201"/>
      <c r="F4566" s="202"/>
      <c r="G4566" s="549"/>
      <c r="H4566" s="549"/>
      <c r="I4566" s="549"/>
      <c r="J4566" s="549"/>
      <c r="K4566" s="549"/>
      <c r="M4566" s="465"/>
      <c r="N4566" s="201"/>
    </row>
    <row r="4567" spans="2:14" hidden="1" outlineLevel="1" x14ac:dyDescent="0.35">
      <c r="B4567" s="200"/>
      <c r="C4567" s="201"/>
      <c r="D4567" s="201"/>
      <c r="E4567" s="201"/>
      <c r="F4567" s="202"/>
      <c r="G4567" s="549"/>
      <c r="H4567" s="549"/>
      <c r="I4567" s="549"/>
      <c r="J4567" s="549"/>
      <c r="K4567" s="549"/>
      <c r="M4567" s="465"/>
      <c r="N4567" s="201"/>
    </row>
    <row r="4568" spans="2:14" hidden="1" outlineLevel="1" x14ac:dyDescent="0.35">
      <c r="B4568" s="200"/>
      <c r="C4568" s="201"/>
      <c r="D4568" s="201"/>
      <c r="E4568" s="201"/>
      <c r="F4568" s="202"/>
      <c r="G4568" s="549"/>
      <c r="H4568" s="549"/>
      <c r="I4568" s="549"/>
      <c r="J4568" s="549"/>
      <c r="K4568" s="549"/>
      <c r="M4568" s="465"/>
      <c r="N4568" s="201"/>
    </row>
    <row r="4569" spans="2:14" hidden="1" outlineLevel="1" x14ac:dyDescent="0.35">
      <c r="B4569" s="200"/>
      <c r="C4569" s="201"/>
      <c r="D4569" s="201"/>
      <c r="E4569" s="201"/>
      <c r="F4569" s="202"/>
      <c r="G4569" s="549"/>
      <c r="H4569" s="549"/>
      <c r="I4569" s="549"/>
      <c r="J4569" s="549"/>
      <c r="K4569" s="549"/>
      <c r="M4569" s="465"/>
      <c r="N4569" s="201"/>
    </row>
    <row r="4570" spans="2:14" hidden="1" outlineLevel="1" x14ac:dyDescent="0.35">
      <c r="B4570" s="200"/>
      <c r="C4570" s="201"/>
      <c r="D4570" s="201"/>
      <c r="E4570" s="201"/>
      <c r="F4570" s="202"/>
      <c r="G4570" s="549"/>
      <c r="H4570" s="549"/>
      <c r="I4570" s="549"/>
      <c r="J4570" s="549"/>
      <c r="K4570" s="549"/>
      <c r="M4570" s="465"/>
      <c r="N4570" s="201"/>
    </row>
    <row r="4571" spans="2:14" hidden="1" outlineLevel="1" x14ac:dyDescent="0.35">
      <c r="B4571" s="200"/>
      <c r="C4571" s="201"/>
      <c r="D4571" s="201"/>
      <c r="E4571" s="201"/>
      <c r="F4571" s="202"/>
      <c r="G4571" s="549"/>
      <c r="H4571" s="549"/>
      <c r="I4571" s="549"/>
      <c r="J4571" s="549"/>
      <c r="K4571" s="549"/>
      <c r="M4571" s="465"/>
      <c r="N4571" s="201"/>
    </row>
    <row r="4572" spans="2:14" hidden="1" outlineLevel="1" x14ac:dyDescent="0.35">
      <c r="B4572" s="200"/>
      <c r="C4572" s="201"/>
      <c r="D4572" s="201"/>
      <c r="E4572" s="201"/>
      <c r="F4572" s="202"/>
      <c r="G4572" s="549"/>
      <c r="H4572" s="549"/>
      <c r="I4572" s="549"/>
      <c r="J4572" s="549"/>
      <c r="K4572" s="549"/>
      <c r="M4572" s="465"/>
      <c r="N4572" s="201"/>
    </row>
    <row r="4573" spans="2:14" hidden="1" outlineLevel="1" x14ac:dyDescent="0.35">
      <c r="B4573" s="200"/>
      <c r="C4573" s="201"/>
      <c r="D4573" s="201"/>
      <c r="E4573" s="201"/>
      <c r="F4573" s="202"/>
      <c r="G4573" s="549"/>
      <c r="H4573" s="549"/>
      <c r="I4573" s="549"/>
      <c r="J4573" s="549"/>
      <c r="K4573" s="549"/>
      <c r="M4573" s="465"/>
      <c r="N4573" s="201"/>
    </row>
    <row r="4574" spans="2:14" hidden="1" outlineLevel="1" x14ac:dyDescent="0.35">
      <c r="B4574" s="200"/>
      <c r="C4574" s="201"/>
      <c r="D4574" s="201"/>
      <c r="E4574" s="201"/>
      <c r="F4574" s="202"/>
      <c r="G4574" s="549"/>
      <c r="H4574" s="549"/>
      <c r="I4574" s="549"/>
      <c r="J4574" s="549"/>
      <c r="K4574" s="549"/>
      <c r="M4574" s="465"/>
      <c r="N4574" s="201"/>
    </row>
    <row r="4575" spans="2:14" hidden="1" outlineLevel="1" x14ac:dyDescent="0.35">
      <c r="B4575" s="200"/>
      <c r="C4575" s="201"/>
      <c r="D4575" s="201"/>
      <c r="E4575" s="201"/>
      <c r="F4575" s="202"/>
      <c r="G4575" s="549"/>
      <c r="H4575" s="549"/>
      <c r="I4575" s="549"/>
      <c r="J4575" s="549"/>
      <c r="K4575" s="549"/>
      <c r="M4575" s="465"/>
      <c r="N4575" s="201"/>
    </row>
    <row r="4576" spans="2:14" hidden="1" outlineLevel="1" x14ac:dyDescent="0.35">
      <c r="B4576" s="200"/>
      <c r="C4576" s="201"/>
      <c r="D4576" s="201"/>
      <c r="E4576" s="201"/>
      <c r="F4576" s="202"/>
      <c r="G4576" s="549"/>
      <c r="H4576" s="549"/>
      <c r="I4576" s="549"/>
      <c r="J4576" s="549"/>
      <c r="K4576" s="549"/>
      <c r="M4576" s="465"/>
      <c r="N4576" s="201"/>
    </row>
    <row r="4577" spans="2:14" hidden="1" outlineLevel="1" x14ac:dyDescent="0.35">
      <c r="B4577" s="200"/>
      <c r="C4577" s="201"/>
      <c r="D4577" s="201"/>
      <c r="E4577" s="201"/>
      <c r="F4577" s="202"/>
      <c r="G4577" s="549"/>
      <c r="H4577" s="549"/>
      <c r="I4577" s="549"/>
      <c r="J4577" s="549"/>
      <c r="K4577" s="549"/>
      <c r="M4577" s="465"/>
      <c r="N4577" s="201"/>
    </row>
    <row r="4578" spans="2:14" hidden="1" outlineLevel="1" x14ac:dyDescent="0.35">
      <c r="B4578" s="200"/>
      <c r="C4578" s="201"/>
      <c r="D4578" s="201"/>
      <c r="E4578" s="201"/>
      <c r="F4578" s="202"/>
      <c r="G4578" s="549"/>
      <c r="H4578" s="549"/>
      <c r="I4578" s="549"/>
      <c r="J4578" s="549"/>
      <c r="K4578" s="549"/>
      <c r="M4578" s="465"/>
      <c r="N4578" s="201"/>
    </row>
    <row r="4579" spans="2:14" hidden="1" outlineLevel="1" x14ac:dyDescent="0.35">
      <c r="B4579" s="200"/>
      <c r="C4579" s="201"/>
      <c r="D4579" s="201"/>
      <c r="E4579" s="201"/>
      <c r="F4579" s="202"/>
      <c r="G4579" s="549"/>
      <c r="H4579" s="549"/>
      <c r="I4579" s="549"/>
      <c r="J4579" s="549"/>
      <c r="K4579" s="549"/>
      <c r="M4579" s="465"/>
      <c r="N4579" s="201"/>
    </row>
    <row r="4580" spans="2:14" hidden="1" outlineLevel="1" x14ac:dyDescent="0.35">
      <c r="B4580" s="200"/>
      <c r="C4580" s="201"/>
      <c r="D4580" s="201"/>
      <c r="E4580" s="201"/>
      <c r="F4580" s="202"/>
      <c r="G4580" s="549"/>
      <c r="H4580" s="549"/>
      <c r="I4580" s="549"/>
      <c r="J4580" s="549"/>
      <c r="K4580" s="549"/>
      <c r="M4580" s="465"/>
      <c r="N4580" s="201"/>
    </row>
    <row r="4581" spans="2:14" hidden="1" outlineLevel="1" x14ac:dyDescent="0.35">
      <c r="B4581" s="200"/>
      <c r="C4581" s="201"/>
      <c r="D4581" s="201"/>
      <c r="E4581" s="201"/>
      <c r="F4581" s="202"/>
      <c r="G4581" s="549"/>
      <c r="H4581" s="549"/>
      <c r="I4581" s="549"/>
      <c r="J4581" s="549"/>
      <c r="K4581" s="549"/>
      <c r="M4581" s="465"/>
      <c r="N4581" s="201"/>
    </row>
    <row r="4582" spans="2:14" hidden="1" outlineLevel="1" x14ac:dyDescent="0.35">
      <c r="B4582" s="200"/>
      <c r="C4582" s="201"/>
      <c r="D4582" s="201"/>
      <c r="E4582" s="201"/>
      <c r="F4582" s="202"/>
      <c r="G4582" s="549"/>
      <c r="H4582" s="549"/>
      <c r="I4582" s="549"/>
      <c r="J4582" s="549"/>
      <c r="K4582" s="549"/>
      <c r="M4582" s="465"/>
      <c r="N4582" s="201"/>
    </row>
    <row r="4583" spans="2:14" hidden="1" outlineLevel="1" x14ac:dyDescent="0.35">
      <c r="B4583" s="200"/>
      <c r="C4583" s="201"/>
      <c r="D4583" s="201"/>
      <c r="E4583" s="201"/>
      <c r="F4583" s="202"/>
      <c r="G4583" s="549"/>
      <c r="H4583" s="549"/>
      <c r="I4583" s="549"/>
      <c r="J4583" s="549"/>
      <c r="K4583" s="549"/>
      <c r="M4583" s="465"/>
      <c r="N4583" s="201"/>
    </row>
    <row r="4584" spans="2:14" hidden="1" outlineLevel="1" x14ac:dyDescent="0.35">
      <c r="B4584" s="200"/>
      <c r="C4584" s="201"/>
      <c r="D4584" s="201"/>
      <c r="E4584" s="201"/>
      <c r="F4584" s="202"/>
      <c r="G4584" s="549"/>
      <c r="H4584" s="549"/>
      <c r="I4584" s="549"/>
      <c r="J4584" s="549"/>
      <c r="K4584" s="549"/>
      <c r="M4584" s="465"/>
      <c r="N4584" s="201"/>
    </row>
    <row r="4585" spans="2:14" hidden="1" outlineLevel="1" x14ac:dyDescent="0.35">
      <c r="B4585" s="200"/>
      <c r="C4585" s="201"/>
      <c r="D4585" s="201"/>
      <c r="E4585" s="201"/>
      <c r="F4585" s="202"/>
      <c r="G4585" s="549"/>
      <c r="H4585" s="549"/>
      <c r="I4585" s="549"/>
      <c r="J4585" s="549"/>
      <c r="K4585" s="549"/>
      <c r="M4585" s="465"/>
      <c r="N4585" s="201"/>
    </row>
    <row r="4586" spans="2:14" hidden="1" outlineLevel="1" x14ac:dyDescent="0.35">
      <c r="B4586" s="200"/>
      <c r="C4586" s="201"/>
      <c r="D4586" s="201"/>
      <c r="E4586" s="201"/>
      <c r="F4586" s="202"/>
      <c r="G4586" s="549"/>
      <c r="H4586" s="549"/>
      <c r="I4586" s="549"/>
      <c r="J4586" s="549"/>
      <c r="K4586" s="549"/>
      <c r="M4586" s="465"/>
      <c r="N4586" s="201"/>
    </row>
    <row r="4587" spans="2:14" hidden="1" outlineLevel="1" x14ac:dyDescent="0.35">
      <c r="B4587" s="200"/>
      <c r="C4587" s="201"/>
      <c r="D4587" s="201"/>
      <c r="E4587" s="201"/>
      <c r="F4587" s="202"/>
      <c r="G4587" s="549"/>
      <c r="H4587" s="549"/>
      <c r="I4587" s="549"/>
      <c r="J4587" s="549"/>
      <c r="K4587" s="549"/>
      <c r="M4587" s="465"/>
      <c r="N4587" s="201"/>
    </row>
    <row r="4588" spans="2:14" hidden="1" outlineLevel="1" x14ac:dyDescent="0.35">
      <c r="B4588" s="200"/>
      <c r="C4588" s="201"/>
      <c r="D4588" s="201"/>
      <c r="E4588" s="201"/>
      <c r="F4588" s="202"/>
      <c r="G4588" s="549"/>
      <c r="H4588" s="549"/>
      <c r="I4588" s="549"/>
      <c r="J4588" s="549"/>
      <c r="K4588" s="549"/>
      <c r="M4588" s="465"/>
      <c r="N4588" s="201"/>
    </row>
    <row r="4589" spans="2:14" hidden="1" outlineLevel="1" x14ac:dyDescent="0.35">
      <c r="B4589" s="200"/>
      <c r="C4589" s="201"/>
      <c r="D4589" s="201"/>
      <c r="E4589" s="201"/>
      <c r="F4589" s="202"/>
      <c r="G4589" s="549"/>
      <c r="H4589" s="549"/>
      <c r="I4589" s="549"/>
      <c r="J4589" s="549"/>
      <c r="K4589" s="549"/>
      <c r="M4589" s="465"/>
      <c r="N4589" s="201"/>
    </row>
    <row r="4590" spans="2:14" hidden="1" outlineLevel="1" x14ac:dyDescent="0.35">
      <c r="B4590" s="200"/>
      <c r="C4590" s="201"/>
      <c r="D4590" s="201"/>
      <c r="E4590" s="201"/>
      <c r="F4590" s="202"/>
      <c r="G4590" s="549"/>
      <c r="H4590" s="549"/>
      <c r="I4590" s="549"/>
      <c r="J4590" s="549"/>
      <c r="K4590" s="549"/>
      <c r="M4590" s="465"/>
      <c r="N4590" s="201"/>
    </row>
    <row r="4591" spans="2:14" hidden="1" outlineLevel="1" x14ac:dyDescent="0.35">
      <c r="B4591" s="200"/>
      <c r="C4591" s="201"/>
      <c r="D4591" s="201"/>
      <c r="E4591" s="201"/>
      <c r="F4591" s="202"/>
      <c r="G4591" s="549"/>
      <c r="H4591" s="549"/>
      <c r="I4591" s="549"/>
      <c r="J4591" s="549"/>
      <c r="K4591" s="549"/>
      <c r="M4591" s="465"/>
      <c r="N4591" s="201"/>
    </row>
    <row r="4592" spans="2:14" hidden="1" outlineLevel="1" x14ac:dyDescent="0.35">
      <c r="B4592" s="200"/>
      <c r="C4592" s="201"/>
      <c r="D4592" s="201"/>
      <c r="E4592" s="201"/>
      <c r="F4592" s="202"/>
      <c r="G4592" s="549"/>
      <c r="H4592" s="549"/>
      <c r="I4592" s="549"/>
      <c r="J4592" s="549"/>
      <c r="K4592" s="549"/>
      <c r="M4592" s="465"/>
      <c r="N4592" s="201"/>
    </row>
    <row r="4593" spans="2:14" hidden="1" outlineLevel="1" x14ac:dyDescent="0.35">
      <c r="B4593" s="200"/>
      <c r="C4593" s="201"/>
      <c r="D4593" s="201"/>
      <c r="E4593" s="201"/>
      <c r="F4593" s="202"/>
      <c r="G4593" s="549"/>
      <c r="H4593" s="549"/>
      <c r="I4593" s="549"/>
      <c r="J4593" s="549"/>
      <c r="K4593" s="549"/>
      <c r="M4593" s="465"/>
      <c r="N4593" s="201"/>
    </row>
    <row r="4594" spans="2:14" hidden="1" outlineLevel="1" x14ac:dyDescent="0.35">
      <c r="B4594" s="200"/>
      <c r="C4594" s="201"/>
      <c r="D4594" s="201"/>
      <c r="E4594" s="201"/>
      <c r="F4594" s="202"/>
      <c r="G4594" s="549"/>
      <c r="H4594" s="549"/>
      <c r="I4594" s="549"/>
      <c r="J4594" s="549"/>
      <c r="K4594" s="549"/>
      <c r="M4594" s="465"/>
      <c r="N4594" s="201"/>
    </row>
    <row r="4595" spans="2:14" hidden="1" outlineLevel="1" x14ac:dyDescent="0.35">
      <c r="B4595" s="200"/>
      <c r="C4595" s="201"/>
      <c r="D4595" s="201"/>
      <c r="E4595" s="201"/>
      <c r="F4595" s="202"/>
      <c r="G4595" s="549"/>
      <c r="H4595" s="549"/>
      <c r="I4595" s="549"/>
      <c r="J4595" s="549"/>
      <c r="K4595" s="549"/>
      <c r="M4595" s="465"/>
      <c r="N4595" s="201"/>
    </row>
    <row r="4596" spans="2:14" hidden="1" outlineLevel="1" x14ac:dyDescent="0.35">
      <c r="B4596" s="200"/>
      <c r="C4596" s="201"/>
      <c r="D4596" s="201"/>
      <c r="E4596" s="201"/>
      <c r="F4596" s="202"/>
      <c r="G4596" s="549"/>
      <c r="H4596" s="549"/>
      <c r="I4596" s="549"/>
      <c r="J4596" s="549"/>
      <c r="K4596" s="549"/>
      <c r="M4596" s="465"/>
      <c r="N4596" s="201"/>
    </row>
    <row r="4597" spans="2:14" hidden="1" outlineLevel="1" x14ac:dyDescent="0.35">
      <c r="B4597" s="200"/>
      <c r="C4597" s="201"/>
      <c r="D4597" s="201"/>
      <c r="E4597" s="201"/>
      <c r="F4597" s="202"/>
      <c r="G4597" s="549"/>
      <c r="H4597" s="549"/>
      <c r="I4597" s="549"/>
      <c r="J4597" s="549"/>
      <c r="K4597" s="549"/>
      <c r="M4597" s="465"/>
      <c r="N4597" s="201"/>
    </row>
    <row r="4598" spans="2:14" hidden="1" outlineLevel="1" x14ac:dyDescent="0.35">
      <c r="B4598" s="200"/>
      <c r="C4598" s="201"/>
      <c r="D4598" s="201"/>
      <c r="E4598" s="201"/>
      <c r="F4598" s="202"/>
      <c r="G4598" s="549"/>
      <c r="H4598" s="549"/>
      <c r="I4598" s="549"/>
      <c r="J4598" s="549"/>
      <c r="K4598" s="549"/>
      <c r="M4598" s="465"/>
      <c r="N4598" s="201"/>
    </row>
    <row r="4599" spans="2:14" hidden="1" outlineLevel="1" x14ac:dyDescent="0.35">
      <c r="B4599" s="200"/>
      <c r="C4599" s="201"/>
      <c r="D4599" s="201"/>
      <c r="E4599" s="201"/>
      <c r="F4599" s="202"/>
      <c r="G4599" s="549"/>
      <c r="H4599" s="549"/>
      <c r="I4599" s="549"/>
      <c r="J4599" s="549"/>
      <c r="K4599" s="549"/>
      <c r="M4599" s="465"/>
      <c r="N4599" s="201"/>
    </row>
    <row r="4600" spans="2:14" hidden="1" outlineLevel="1" x14ac:dyDescent="0.35">
      <c r="B4600" s="200"/>
      <c r="C4600" s="201"/>
      <c r="D4600" s="201"/>
      <c r="E4600" s="201"/>
      <c r="F4600" s="202"/>
      <c r="G4600" s="549"/>
      <c r="H4600" s="549"/>
      <c r="I4600" s="549"/>
      <c r="J4600" s="549"/>
      <c r="K4600" s="549"/>
      <c r="M4600" s="465"/>
      <c r="N4600" s="201"/>
    </row>
    <row r="4601" spans="2:14" hidden="1" outlineLevel="1" x14ac:dyDescent="0.35">
      <c r="B4601" s="200"/>
      <c r="C4601" s="201"/>
      <c r="D4601" s="201"/>
      <c r="E4601" s="201"/>
      <c r="F4601" s="202"/>
      <c r="G4601" s="549"/>
      <c r="H4601" s="549"/>
      <c r="I4601" s="549"/>
      <c r="J4601" s="549"/>
      <c r="K4601" s="549"/>
      <c r="M4601" s="465"/>
      <c r="N4601" s="201"/>
    </row>
    <row r="4602" spans="2:14" hidden="1" outlineLevel="1" x14ac:dyDescent="0.35">
      <c r="B4602" s="200"/>
      <c r="C4602" s="201"/>
      <c r="D4602" s="201"/>
      <c r="E4602" s="201"/>
      <c r="F4602" s="202"/>
      <c r="G4602" s="549"/>
      <c r="H4602" s="549"/>
      <c r="I4602" s="549"/>
      <c r="J4602" s="549"/>
      <c r="K4602" s="549"/>
      <c r="M4602" s="465"/>
      <c r="N4602" s="201"/>
    </row>
    <row r="4603" spans="2:14" hidden="1" outlineLevel="1" x14ac:dyDescent="0.35">
      <c r="B4603" s="200"/>
      <c r="C4603" s="201"/>
      <c r="D4603" s="201"/>
      <c r="E4603" s="201"/>
      <c r="F4603" s="202"/>
      <c r="G4603" s="549"/>
      <c r="H4603" s="549"/>
      <c r="I4603" s="549"/>
      <c r="J4603" s="549"/>
      <c r="K4603" s="549"/>
      <c r="M4603" s="465"/>
      <c r="N4603" s="201"/>
    </row>
    <row r="4604" spans="2:14" hidden="1" outlineLevel="1" x14ac:dyDescent="0.35">
      <c r="B4604" s="200"/>
      <c r="C4604" s="201"/>
      <c r="D4604" s="201"/>
      <c r="E4604" s="201"/>
      <c r="F4604" s="202"/>
      <c r="G4604" s="549"/>
      <c r="H4604" s="549"/>
      <c r="I4604" s="549"/>
      <c r="J4604" s="549"/>
      <c r="K4604" s="549"/>
      <c r="M4604" s="465"/>
      <c r="N4604" s="201"/>
    </row>
    <row r="4605" spans="2:14" hidden="1" outlineLevel="1" x14ac:dyDescent="0.35">
      <c r="B4605" s="200"/>
      <c r="C4605" s="201"/>
      <c r="D4605" s="201"/>
      <c r="E4605" s="201"/>
      <c r="F4605" s="202"/>
      <c r="G4605" s="549"/>
      <c r="H4605" s="549"/>
      <c r="I4605" s="549"/>
      <c r="J4605" s="549"/>
      <c r="K4605" s="549"/>
      <c r="M4605" s="465"/>
      <c r="N4605" s="201"/>
    </row>
    <row r="4606" spans="2:14" hidden="1" outlineLevel="1" x14ac:dyDescent="0.35">
      <c r="B4606" s="200"/>
      <c r="C4606" s="201"/>
      <c r="D4606" s="201"/>
      <c r="E4606" s="201"/>
      <c r="F4606" s="202"/>
      <c r="G4606" s="549"/>
      <c r="H4606" s="549"/>
      <c r="I4606" s="549"/>
      <c r="J4606" s="549"/>
      <c r="K4606" s="549"/>
      <c r="M4606" s="465"/>
      <c r="N4606" s="201"/>
    </row>
    <row r="4607" spans="2:14" hidden="1" outlineLevel="1" x14ac:dyDescent="0.35">
      <c r="B4607" s="200"/>
      <c r="C4607" s="201"/>
      <c r="D4607" s="201"/>
      <c r="E4607" s="201"/>
      <c r="F4607" s="202"/>
      <c r="G4607" s="549"/>
      <c r="H4607" s="549"/>
      <c r="I4607" s="549"/>
      <c r="J4607" s="549"/>
      <c r="K4607" s="549"/>
      <c r="M4607" s="465"/>
      <c r="N4607" s="201"/>
    </row>
    <row r="4608" spans="2:14" hidden="1" outlineLevel="1" x14ac:dyDescent="0.35">
      <c r="B4608" s="200"/>
      <c r="C4608" s="201"/>
      <c r="D4608" s="201"/>
      <c r="E4608" s="201"/>
      <c r="F4608" s="202"/>
      <c r="G4608" s="549"/>
      <c r="H4608" s="549"/>
      <c r="I4608" s="549"/>
      <c r="J4608" s="549"/>
      <c r="K4608" s="549"/>
      <c r="M4608" s="465"/>
      <c r="N4608" s="201"/>
    </row>
    <row r="4609" spans="2:14" hidden="1" outlineLevel="1" x14ac:dyDescent="0.35">
      <c r="B4609" s="200"/>
      <c r="C4609" s="201"/>
      <c r="D4609" s="201"/>
      <c r="E4609" s="201"/>
      <c r="F4609" s="202"/>
      <c r="G4609" s="549"/>
      <c r="H4609" s="549"/>
      <c r="I4609" s="549"/>
      <c r="J4609" s="549"/>
      <c r="K4609" s="549"/>
      <c r="M4609" s="465"/>
      <c r="N4609" s="201"/>
    </row>
    <row r="4610" spans="2:14" hidden="1" outlineLevel="1" x14ac:dyDescent="0.35">
      <c r="B4610" s="200"/>
      <c r="C4610" s="201"/>
      <c r="D4610" s="201"/>
      <c r="E4610" s="201"/>
      <c r="F4610" s="202"/>
      <c r="G4610" s="549"/>
      <c r="H4610" s="549"/>
      <c r="I4610" s="549"/>
      <c r="J4610" s="549"/>
      <c r="K4610" s="549"/>
      <c r="M4610" s="465"/>
      <c r="N4610" s="201"/>
    </row>
    <row r="4611" spans="2:14" hidden="1" outlineLevel="1" x14ac:dyDescent="0.35">
      <c r="B4611" s="200"/>
      <c r="C4611" s="201"/>
      <c r="D4611" s="201"/>
      <c r="E4611" s="201"/>
      <c r="F4611" s="202"/>
      <c r="G4611" s="549"/>
      <c r="H4611" s="549"/>
      <c r="I4611" s="549"/>
      <c r="J4611" s="549"/>
      <c r="K4611" s="549"/>
      <c r="M4611" s="465"/>
      <c r="N4611" s="201"/>
    </row>
    <row r="4612" spans="2:14" hidden="1" outlineLevel="1" x14ac:dyDescent="0.35">
      <c r="B4612" s="200"/>
      <c r="C4612" s="201"/>
      <c r="D4612" s="201"/>
      <c r="E4612" s="201"/>
      <c r="F4612" s="202"/>
      <c r="G4612" s="549"/>
      <c r="H4612" s="549"/>
      <c r="I4612" s="549"/>
      <c r="J4612" s="549"/>
      <c r="K4612" s="549"/>
      <c r="M4612" s="465"/>
      <c r="N4612" s="201"/>
    </row>
    <row r="4613" spans="2:14" hidden="1" outlineLevel="1" x14ac:dyDescent="0.35">
      <c r="B4613" s="200"/>
      <c r="C4613" s="201"/>
      <c r="D4613" s="201"/>
      <c r="E4613" s="201"/>
      <c r="F4613" s="202"/>
      <c r="G4613" s="549"/>
      <c r="H4613" s="549"/>
      <c r="I4613" s="549"/>
      <c r="J4613" s="549"/>
      <c r="K4613" s="549"/>
      <c r="M4613" s="465"/>
      <c r="N4613" s="201"/>
    </row>
    <row r="4614" spans="2:14" hidden="1" outlineLevel="1" x14ac:dyDescent="0.35">
      <c r="B4614" s="200"/>
      <c r="C4614" s="201"/>
      <c r="D4614" s="201"/>
      <c r="E4614" s="201"/>
      <c r="F4614" s="202"/>
      <c r="G4614" s="549"/>
      <c r="H4614" s="549"/>
      <c r="I4614" s="549"/>
      <c r="J4614" s="549"/>
      <c r="K4614" s="549"/>
      <c r="M4614" s="465"/>
      <c r="N4614" s="201"/>
    </row>
    <row r="4615" spans="2:14" hidden="1" outlineLevel="1" x14ac:dyDescent="0.35">
      <c r="B4615" s="200"/>
      <c r="C4615" s="201"/>
      <c r="D4615" s="201"/>
      <c r="E4615" s="201"/>
      <c r="F4615" s="202"/>
      <c r="G4615" s="549"/>
      <c r="H4615" s="549"/>
      <c r="I4615" s="549"/>
      <c r="J4615" s="549"/>
      <c r="K4615" s="549"/>
      <c r="M4615" s="465"/>
      <c r="N4615" s="201"/>
    </row>
    <row r="4616" spans="2:14" hidden="1" outlineLevel="1" x14ac:dyDescent="0.35">
      <c r="B4616" s="200"/>
      <c r="C4616" s="201"/>
      <c r="D4616" s="201"/>
      <c r="E4616" s="201"/>
      <c r="F4616" s="202"/>
      <c r="G4616" s="549"/>
      <c r="H4616" s="549"/>
      <c r="I4616" s="549"/>
      <c r="J4616" s="549"/>
      <c r="K4616" s="549"/>
      <c r="M4616" s="465"/>
      <c r="N4616" s="201"/>
    </row>
    <row r="4617" spans="2:14" hidden="1" outlineLevel="1" x14ac:dyDescent="0.35">
      <c r="B4617" s="200"/>
      <c r="C4617" s="201"/>
      <c r="D4617" s="201"/>
      <c r="E4617" s="201"/>
      <c r="F4617" s="202"/>
      <c r="G4617" s="549"/>
      <c r="H4617" s="549"/>
      <c r="I4617" s="549"/>
      <c r="J4617" s="549"/>
      <c r="K4617" s="549"/>
      <c r="M4617" s="465"/>
      <c r="N4617" s="201"/>
    </row>
    <row r="4618" spans="2:14" hidden="1" outlineLevel="1" x14ac:dyDescent="0.35">
      <c r="B4618" s="200"/>
      <c r="C4618" s="201"/>
      <c r="D4618" s="201"/>
      <c r="E4618" s="201"/>
      <c r="F4618" s="202"/>
      <c r="G4618" s="549"/>
      <c r="H4618" s="549"/>
      <c r="I4618" s="549"/>
      <c r="J4618" s="549"/>
      <c r="K4618" s="549"/>
      <c r="M4618" s="465"/>
      <c r="N4618" s="201"/>
    </row>
    <row r="4619" spans="2:14" hidden="1" outlineLevel="1" x14ac:dyDescent="0.35">
      <c r="B4619" s="200"/>
      <c r="C4619" s="201"/>
      <c r="D4619" s="201"/>
      <c r="E4619" s="201"/>
      <c r="F4619" s="202"/>
      <c r="G4619" s="549"/>
      <c r="H4619" s="549"/>
      <c r="I4619" s="549"/>
      <c r="J4619" s="549"/>
      <c r="K4619" s="549"/>
      <c r="M4619" s="465"/>
      <c r="N4619" s="201"/>
    </row>
    <row r="4620" spans="2:14" hidden="1" outlineLevel="1" x14ac:dyDescent="0.35">
      <c r="B4620" s="200"/>
      <c r="C4620" s="201"/>
      <c r="D4620" s="201"/>
      <c r="E4620" s="201"/>
      <c r="F4620" s="202"/>
      <c r="G4620" s="549"/>
      <c r="H4620" s="549"/>
      <c r="I4620" s="549"/>
      <c r="J4620" s="549"/>
      <c r="K4620" s="549"/>
      <c r="M4620" s="465"/>
      <c r="N4620" s="201"/>
    </row>
    <row r="4621" spans="2:14" hidden="1" outlineLevel="1" x14ac:dyDescent="0.35">
      <c r="B4621" s="200"/>
      <c r="C4621" s="201"/>
      <c r="D4621" s="201"/>
      <c r="E4621" s="201"/>
      <c r="F4621" s="202"/>
      <c r="G4621" s="549"/>
      <c r="H4621" s="549"/>
      <c r="I4621" s="549"/>
      <c r="J4621" s="549"/>
      <c r="K4621" s="549"/>
      <c r="M4621" s="465"/>
      <c r="N4621" s="201"/>
    </row>
    <row r="4622" spans="2:14" hidden="1" outlineLevel="1" x14ac:dyDescent="0.35">
      <c r="B4622" s="200"/>
      <c r="C4622" s="201"/>
      <c r="D4622" s="201"/>
      <c r="E4622" s="201"/>
      <c r="F4622" s="202"/>
      <c r="G4622" s="549"/>
      <c r="H4622" s="549"/>
      <c r="I4622" s="549"/>
      <c r="J4622" s="549"/>
      <c r="K4622" s="549"/>
      <c r="M4622" s="465"/>
      <c r="N4622" s="201"/>
    </row>
    <row r="4623" spans="2:14" hidden="1" outlineLevel="1" x14ac:dyDescent="0.35">
      <c r="B4623" s="200"/>
      <c r="C4623" s="201"/>
      <c r="D4623" s="201"/>
      <c r="E4623" s="201"/>
      <c r="F4623" s="202"/>
      <c r="G4623" s="549"/>
      <c r="H4623" s="549"/>
      <c r="I4623" s="549"/>
      <c r="J4623" s="549"/>
      <c r="K4623" s="549"/>
      <c r="M4623" s="465"/>
      <c r="N4623" s="201"/>
    </row>
    <row r="4624" spans="2:14" hidden="1" outlineLevel="1" x14ac:dyDescent="0.35">
      <c r="B4624" s="200"/>
      <c r="C4624" s="201"/>
      <c r="D4624" s="201"/>
      <c r="E4624" s="201"/>
      <c r="F4624" s="202"/>
      <c r="G4624" s="549"/>
      <c r="H4624" s="549"/>
      <c r="I4624" s="549"/>
      <c r="J4624" s="549"/>
      <c r="K4624" s="549"/>
      <c r="M4624" s="465"/>
      <c r="N4624" s="201"/>
    </row>
    <row r="4625" spans="2:14" hidden="1" outlineLevel="1" x14ac:dyDescent="0.35">
      <c r="B4625" s="200"/>
      <c r="C4625" s="201"/>
      <c r="D4625" s="201"/>
      <c r="E4625" s="201"/>
      <c r="F4625" s="202"/>
      <c r="G4625" s="549"/>
      <c r="H4625" s="549"/>
      <c r="I4625" s="549"/>
      <c r="J4625" s="549"/>
      <c r="K4625" s="549"/>
      <c r="M4625" s="465"/>
      <c r="N4625" s="201"/>
    </row>
    <row r="4626" spans="2:14" hidden="1" outlineLevel="1" x14ac:dyDescent="0.35">
      <c r="B4626" s="200"/>
      <c r="C4626" s="201"/>
      <c r="D4626" s="201"/>
      <c r="E4626" s="201"/>
      <c r="F4626" s="202"/>
      <c r="G4626" s="549"/>
      <c r="H4626" s="549"/>
      <c r="I4626" s="549"/>
      <c r="J4626" s="549"/>
      <c r="K4626" s="549"/>
      <c r="M4626" s="465"/>
      <c r="N4626" s="201"/>
    </row>
    <row r="4627" spans="2:14" hidden="1" outlineLevel="1" x14ac:dyDescent="0.35">
      <c r="B4627" s="200"/>
      <c r="C4627" s="201"/>
      <c r="D4627" s="201"/>
      <c r="E4627" s="201"/>
      <c r="F4627" s="202"/>
      <c r="G4627" s="549"/>
      <c r="H4627" s="549"/>
      <c r="I4627" s="549"/>
      <c r="J4627" s="549"/>
      <c r="K4627" s="549"/>
      <c r="M4627" s="465"/>
      <c r="N4627" s="201"/>
    </row>
    <row r="4628" spans="2:14" hidden="1" outlineLevel="1" x14ac:dyDescent="0.35">
      <c r="B4628" s="200"/>
      <c r="C4628" s="201"/>
      <c r="D4628" s="201"/>
      <c r="E4628" s="201"/>
      <c r="F4628" s="202"/>
      <c r="G4628" s="549"/>
      <c r="H4628" s="549"/>
      <c r="I4628" s="549"/>
      <c r="J4628" s="549"/>
      <c r="K4628" s="549"/>
      <c r="M4628" s="465"/>
      <c r="N4628" s="201"/>
    </row>
    <row r="4629" spans="2:14" hidden="1" outlineLevel="1" x14ac:dyDescent="0.35">
      <c r="B4629" s="200"/>
      <c r="C4629" s="201"/>
      <c r="D4629" s="201"/>
      <c r="E4629" s="201"/>
      <c r="F4629" s="202"/>
      <c r="G4629" s="549"/>
      <c r="H4629" s="549"/>
      <c r="I4629" s="549"/>
      <c r="J4629" s="549"/>
      <c r="K4629" s="549"/>
      <c r="M4629" s="465"/>
      <c r="N4629" s="201"/>
    </row>
    <row r="4630" spans="2:14" hidden="1" outlineLevel="1" x14ac:dyDescent="0.35">
      <c r="B4630" s="200"/>
      <c r="C4630" s="201"/>
      <c r="D4630" s="201"/>
      <c r="E4630" s="201"/>
      <c r="F4630" s="202"/>
      <c r="G4630" s="549"/>
      <c r="H4630" s="549"/>
      <c r="I4630" s="549"/>
      <c r="J4630" s="549"/>
      <c r="K4630" s="549"/>
      <c r="M4630" s="465"/>
      <c r="N4630" s="201"/>
    </row>
    <row r="4631" spans="2:14" hidden="1" outlineLevel="1" x14ac:dyDescent="0.35">
      <c r="B4631" s="200"/>
      <c r="C4631" s="201"/>
      <c r="D4631" s="201"/>
      <c r="E4631" s="201"/>
      <c r="F4631" s="202"/>
      <c r="G4631" s="549"/>
      <c r="H4631" s="549"/>
      <c r="I4631" s="549"/>
      <c r="J4631" s="549"/>
      <c r="K4631" s="549"/>
      <c r="M4631" s="465"/>
      <c r="N4631" s="201"/>
    </row>
    <row r="4632" spans="2:14" hidden="1" outlineLevel="1" x14ac:dyDescent="0.35">
      <c r="B4632" s="200"/>
      <c r="C4632" s="201"/>
      <c r="D4632" s="201"/>
      <c r="E4632" s="201"/>
      <c r="F4632" s="202"/>
      <c r="G4632" s="549"/>
      <c r="H4632" s="549"/>
      <c r="I4632" s="549"/>
      <c r="J4632" s="549"/>
      <c r="K4632" s="549"/>
      <c r="M4632" s="465"/>
      <c r="N4632" s="201"/>
    </row>
    <row r="4633" spans="2:14" hidden="1" outlineLevel="1" x14ac:dyDescent="0.35">
      <c r="B4633" s="200"/>
      <c r="C4633" s="201"/>
      <c r="D4633" s="201"/>
      <c r="E4633" s="201"/>
      <c r="F4633" s="202"/>
      <c r="G4633" s="549"/>
      <c r="H4633" s="549"/>
      <c r="I4633" s="549"/>
      <c r="J4633" s="549"/>
      <c r="K4633" s="549"/>
      <c r="M4633" s="465"/>
      <c r="N4633" s="201"/>
    </row>
    <row r="4634" spans="2:14" hidden="1" outlineLevel="1" x14ac:dyDescent="0.35">
      <c r="B4634" s="200"/>
      <c r="C4634" s="201"/>
      <c r="D4634" s="201"/>
      <c r="E4634" s="201"/>
      <c r="F4634" s="202"/>
      <c r="G4634" s="549"/>
      <c r="H4634" s="549"/>
      <c r="I4634" s="549"/>
      <c r="J4634" s="549"/>
      <c r="K4634" s="549"/>
      <c r="M4634" s="465"/>
      <c r="N4634" s="201"/>
    </row>
    <row r="4635" spans="2:14" hidden="1" outlineLevel="1" x14ac:dyDescent="0.35">
      <c r="B4635" s="200"/>
      <c r="C4635" s="201"/>
      <c r="D4635" s="201"/>
      <c r="E4635" s="201"/>
      <c r="F4635" s="202"/>
      <c r="G4635" s="549"/>
      <c r="H4635" s="549"/>
      <c r="I4635" s="549"/>
      <c r="J4635" s="549"/>
      <c r="K4635" s="549"/>
      <c r="M4635" s="465"/>
      <c r="N4635" s="201"/>
    </row>
    <row r="4636" spans="2:14" hidden="1" outlineLevel="1" x14ac:dyDescent="0.35">
      <c r="B4636" s="200"/>
      <c r="C4636" s="201"/>
      <c r="D4636" s="201"/>
      <c r="E4636" s="201"/>
      <c r="F4636" s="202"/>
      <c r="G4636" s="549"/>
      <c r="H4636" s="549"/>
      <c r="I4636" s="549"/>
      <c r="J4636" s="549"/>
      <c r="K4636" s="549"/>
      <c r="M4636" s="465"/>
      <c r="N4636" s="201"/>
    </row>
    <row r="4637" spans="2:14" hidden="1" outlineLevel="1" x14ac:dyDescent="0.35">
      <c r="B4637" s="200"/>
      <c r="C4637" s="201"/>
      <c r="D4637" s="201"/>
      <c r="E4637" s="201"/>
      <c r="F4637" s="202"/>
      <c r="G4637" s="549"/>
      <c r="H4637" s="549"/>
      <c r="I4637" s="549"/>
      <c r="J4637" s="549"/>
      <c r="K4637" s="549"/>
      <c r="M4637" s="465"/>
      <c r="N4637" s="201"/>
    </row>
    <row r="4638" spans="2:14" hidden="1" outlineLevel="1" x14ac:dyDescent="0.35">
      <c r="B4638" s="200"/>
      <c r="C4638" s="201"/>
      <c r="D4638" s="201"/>
      <c r="E4638" s="201"/>
      <c r="F4638" s="202"/>
      <c r="G4638" s="549"/>
      <c r="H4638" s="549"/>
      <c r="I4638" s="549"/>
      <c r="J4638" s="549"/>
      <c r="K4638" s="549"/>
      <c r="M4638" s="465"/>
      <c r="N4638" s="201"/>
    </row>
    <row r="4639" spans="2:14" hidden="1" outlineLevel="1" x14ac:dyDescent="0.35">
      <c r="B4639" s="200"/>
      <c r="C4639" s="201"/>
      <c r="D4639" s="201"/>
      <c r="E4639" s="201"/>
      <c r="F4639" s="202"/>
      <c r="G4639" s="549"/>
      <c r="H4639" s="549"/>
      <c r="I4639" s="549"/>
      <c r="J4639" s="549"/>
      <c r="K4639" s="549"/>
      <c r="M4639" s="465"/>
      <c r="N4639" s="201"/>
    </row>
    <row r="4640" spans="2:14" hidden="1" outlineLevel="1" x14ac:dyDescent="0.35">
      <c r="B4640" s="200"/>
      <c r="C4640" s="201"/>
      <c r="D4640" s="201"/>
      <c r="E4640" s="201"/>
      <c r="F4640" s="202"/>
      <c r="G4640" s="549"/>
      <c r="H4640" s="549"/>
      <c r="I4640" s="549"/>
      <c r="J4640" s="549"/>
      <c r="K4640" s="549"/>
      <c r="M4640" s="465"/>
      <c r="N4640" s="201"/>
    </row>
    <row r="4641" spans="2:14" hidden="1" outlineLevel="1" x14ac:dyDescent="0.35">
      <c r="B4641" s="200"/>
      <c r="C4641" s="201"/>
      <c r="D4641" s="201"/>
      <c r="E4641" s="201"/>
      <c r="F4641" s="202"/>
      <c r="G4641" s="549"/>
      <c r="H4641" s="549"/>
      <c r="I4641" s="549"/>
      <c r="J4641" s="549"/>
      <c r="K4641" s="549"/>
      <c r="M4641" s="465"/>
      <c r="N4641" s="201"/>
    </row>
    <row r="4642" spans="2:14" hidden="1" outlineLevel="1" x14ac:dyDescent="0.35">
      <c r="B4642" s="200"/>
      <c r="C4642" s="201"/>
      <c r="D4642" s="201"/>
      <c r="E4642" s="201"/>
      <c r="F4642" s="202"/>
      <c r="G4642" s="549"/>
      <c r="H4642" s="549"/>
      <c r="I4642" s="549"/>
      <c r="J4642" s="549"/>
      <c r="K4642" s="549"/>
      <c r="M4642" s="465"/>
      <c r="N4642" s="201"/>
    </row>
    <row r="4643" spans="2:14" hidden="1" outlineLevel="1" x14ac:dyDescent="0.35">
      <c r="B4643" s="200"/>
      <c r="C4643" s="201"/>
      <c r="D4643" s="201"/>
      <c r="E4643" s="201"/>
      <c r="F4643" s="202"/>
      <c r="G4643" s="549"/>
      <c r="H4643" s="549"/>
      <c r="I4643" s="549"/>
      <c r="J4643" s="549"/>
      <c r="K4643" s="549"/>
      <c r="M4643" s="465"/>
      <c r="N4643" s="201"/>
    </row>
    <row r="4644" spans="2:14" hidden="1" outlineLevel="1" x14ac:dyDescent="0.35">
      <c r="B4644" s="200"/>
      <c r="C4644" s="201"/>
      <c r="D4644" s="201"/>
      <c r="E4644" s="201"/>
      <c r="F4644" s="202"/>
      <c r="G4644" s="549"/>
      <c r="H4644" s="549"/>
      <c r="I4644" s="549"/>
      <c r="J4644" s="549"/>
      <c r="K4644" s="549"/>
      <c r="M4644" s="465"/>
      <c r="N4644" s="201"/>
    </row>
    <row r="4645" spans="2:14" hidden="1" outlineLevel="1" x14ac:dyDescent="0.35">
      <c r="B4645" s="200"/>
      <c r="C4645" s="201"/>
      <c r="D4645" s="201"/>
      <c r="E4645" s="201"/>
      <c r="F4645" s="202"/>
      <c r="G4645" s="549"/>
      <c r="H4645" s="549"/>
      <c r="I4645" s="549"/>
      <c r="J4645" s="549"/>
      <c r="K4645" s="549"/>
      <c r="M4645" s="465"/>
      <c r="N4645" s="201"/>
    </row>
    <row r="4646" spans="2:14" hidden="1" outlineLevel="1" x14ac:dyDescent="0.35">
      <c r="B4646" s="200"/>
      <c r="C4646" s="201"/>
      <c r="D4646" s="201"/>
      <c r="E4646" s="201"/>
      <c r="F4646" s="202"/>
      <c r="G4646" s="549"/>
      <c r="H4646" s="549"/>
      <c r="I4646" s="549"/>
      <c r="J4646" s="549"/>
      <c r="K4646" s="549"/>
      <c r="M4646" s="465"/>
      <c r="N4646" s="201"/>
    </row>
    <row r="4647" spans="2:14" hidden="1" outlineLevel="1" x14ac:dyDescent="0.35">
      <c r="B4647" s="200"/>
      <c r="C4647" s="201"/>
      <c r="D4647" s="201"/>
      <c r="E4647" s="201"/>
      <c r="F4647" s="202"/>
      <c r="G4647" s="549"/>
      <c r="H4647" s="549"/>
      <c r="I4647" s="549"/>
      <c r="J4647" s="549"/>
      <c r="K4647" s="549"/>
      <c r="M4647" s="465"/>
      <c r="N4647" s="201"/>
    </row>
    <row r="4648" spans="2:14" hidden="1" outlineLevel="1" x14ac:dyDescent="0.35">
      <c r="B4648" s="200"/>
      <c r="C4648" s="201"/>
      <c r="D4648" s="201"/>
      <c r="E4648" s="201"/>
      <c r="F4648" s="202"/>
      <c r="G4648" s="549"/>
      <c r="H4648" s="549"/>
      <c r="I4648" s="549"/>
      <c r="J4648" s="549"/>
      <c r="K4648" s="549"/>
      <c r="M4648" s="465"/>
      <c r="N4648" s="201"/>
    </row>
    <row r="4649" spans="2:14" hidden="1" outlineLevel="1" x14ac:dyDescent="0.35">
      <c r="B4649" s="200"/>
      <c r="C4649" s="201"/>
      <c r="D4649" s="201"/>
      <c r="E4649" s="201"/>
      <c r="F4649" s="202"/>
      <c r="G4649" s="549"/>
      <c r="H4649" s="549"/>
      <c r="I4649" s="549"/>
      <c r="J4649" s="549"/>
      <c r="K4649" s="549"/>
      <c r="M4649" s="465"/>
      <c r="N4649" s="201"/>
    </row>
    <row r="4650" spans="2:14" hidden="1" outlineLevel="1" x14ac:dyDescent="0.35">
      <c r="B4650" s="200"/>
      <c r="C4650" s="201"/>
      <c r="D4650" s="201"/>
      <c r="E4650" s="201"/>
      <c r="F4650" s="202"/>
      <c r="G4650" s="549"/>
      <c r="H4650" s="549"/>
      <c r="I4650" s="549"/>
      <c r="J4650" s="549"/>
      <c r="K4650" s="549"/>
      <c r="M4650" s="465"/>
      <c r="N4650" s="201"/>
    </row>
    <row r="4651" spans="2:14" hidden="1" outlineLevel="1" x14ac:dyDescent="0.35">
      <c r="B4651" s="200"/>
      <c r="C4651" s="201"/>
      <c r="D4651" s="201"/>
      <c r="E4651" s="201"/>
      <c r="F4651" s="202"/>
      <c r="G4651" s="549"/>
      <c r="H4651" s="549"/>
      <c r="I4651" s="549"/>
      <c r="J4651" s="549"/>
      <c r="K4651" s="549"/>
      <c r="M4651" s="465"/>
      <c r="N4651" s="201"/>
    </row>
    <row r="4652" spans="2:14" hidden="1" outlineLevel="1" x14ac:dyDescent="0.35">
      <c r="B4652" s="200"/>
      <c r="C4652" s="201"/>
      <c r="D4652" s="201"/>
      <c r="E4652" s="201"/>
      <c r="F4652" s="202"/>
      <c r="G4652" s="549"/>
      <c r="H4652" s="549"/>
      <c r="I4652" s="549"/>
      <c r="J4652" s="549"/>
      <c r="K4652" s="549"/>
      <c r="M4652" s="465"/>
      <c r="N4652" s="201"/>
    </row>
    <row r="4653" spans="2:14" hidden="1" outlineLevel="1" x14ac:dyDescent="0.35">
      <c r="B4653" s="200"/>
      <c r="C4653" s="201"/>
      <c r="D4653" s="201"/>
      <c r="E4653" s="201"/>
      <c r="F4653" s="202"/>
      <c r="G4653" s="549"/>
      <c r="H4653" s="549"/>
      <c r="I4653" s="549"/>
      <c r="J4653" s="549"/>
      <c r="K4653" s="549"/>
      <c r="M4653" s="465"/>
      <c r="N4653" s="201"/>
    </row>
    <row r="4654" spans="2:14" hidden="1" outlineLevel="1" x14ac:dyDescent="0.35">
      <c r="B4654" s="200"/>
      <c r="C4654" s="201"/>
      <c r="D4654" s="201"/>
      <c r="E4654" s="201"/>
      <c r="F4654" s="202"/>
      <c r="G4654" s="549"/>
      <c r="H4654" s="549"/>
      <c r="I4654" s="549"/>
      <c r="J4654" s="549"/>
      <c r="K4654" s="549"/>
      <c r="M4654" s="465"/>
      <c r="N4654" s="201"/>
    </row>
    <row r="4655" spans="2:14" hidden="1" outlineLevel="1" x14ac:dyDescent="0.35">
      <c r="B4655" s="200"/>
      <c r="C4655" s="201"/>
      <c r="D4655" s="201"/>
      <c r="E4655" s="201"/>
      <c r="F4655" s="202"/>
      <c r="G4655" s="549"/>
      <c r="H4655" s="549"/>
      <c r="I4655" s="549"/>
      <c r="J4655" s="549"/>
      <c r="K4655" s="549"/>
      <c r="M4655" s="465"/>
      <c r="N4655" s="201"/>
    </row>
    <row r="4656" spans="2:14" hidden="1" outlineLevel="1" x14ac:dyDescent="0.35">
      <c r="B4656" s="200"/>
      <c r="C4656" s="201"/>
      <c r="D4656" s="201"/>
      <c r="E4656" s="201"/>
      <c r="F4656" s="202"/>
      <c r="G4656" s="549"/>
      <c r="H4656" s="549"/>
      <c r="I4656" s="549"/>
      <c r="J4656" s="549"/>
      <c r="K4656" s="549"/>
      <c r="M4656" s="465"/>
      <c r="N4656" s="201"/>
    </row>
    <row r="4657" spans="2:14" hidden="1" outlineLevel="1" x14ac:dyDescent="0.35">
      <c r="B4657" s="200"/>
      <c r="C4657" s="201"/>
      <c r="D4657" s="201"/>
      <c r="E4657" s="201"/>
      <c r="F4657" s="202"/>
      <c r="G4657" s="549"/>
      <c r="H4657" s="549"/>
      <c r="I4657" s="549"/>
      <c r="J4657" s="549"/>
      <c r="K4657" s="549"/>
      <c r="M4657" s="465"/>
      <c r="N4657" s="201"/>
    </row>
    <row r="4658" spans="2:14" hidden="1" outlineLevel="1" x14ac:dyDescent="0.35">
      <c r="B4658" s="200"/>
      <c r="C4658" s="201"/>
      <c r="D4658" s="201"/>
      <c r="E4658" s="201"/>
      <c r="F4658" s="202"/>
      <c r="G4658" s="549"/>
      <c r="H4658" s="549"/>
      <c r="I4658" s="549"/>
      <c r="J4658" s="549"/>
      <c r="K4658" s="549"/>
      <c r="M4658" s="465"/>
      <c r="N4658" s="201"/>
    </row>
    <row r="4659" spans="2:14" hidden="1" outlineLevel="1" x14ac:dyDescent="0.35">
      <c r="B4659" s="200"/>
      <c r="C4659" s="201"/>
      <c r="D4659" s="201"/>
      <c r="E4659" s="201"/>
      <c r="F4659" s="202"/>
      <c r="G4659" s="549"/>
      <c r="H4659" s="549"/>
      <c r="I4659" s="549"/>
      <c r="J4659" s="549"/>
      <c r="K4659" s="549"/>
      <c r="M4659" s="465"/>
      <c r="N4659" s="201"/>
    </row>
    <row r="4660" spans="2:14" hidden="1" outlineLevel="1" x14ac:dyDescent="0.35">
      <c r="B4660" s="200"/>
      <c r="C4660" s="201"/>
      <c r="D4660" s="201"/>
      <c r="E4660" s="201"/>
      <c r="F4660" s="202"/>
      <c r="G4660" s="549"/>
      <c r="H4660" s="549"/>
      <c r="I4660" s="549"/>
      <c r="J4660" s="549"/>
      <c r="K4660" s="549"/>
      <c r="M4660" s="465"/>
      <c r="N4660" s="201"/>
    </row>
    <row r="4661" spans="2:14" hidden="1" outlineLevel="1" x14ac:dyDescent="0.35">
      <c r="B4661" s="200"/>
      <c r="C4661" s="201"/>
      <c r="D4661" s="201"/>
      <c r="E4661" s="201"/>
      <c r="F4661" s="202"/>
      <c r="G4661" s="549"/>
      <c r="H4661" s="549"/>
      <c r="I4661" s="549"/>
      <c r="J4661" s="549"/>
      <c r="K4661" s="549"/>
      <c r="M4661" s="465"/>
      <c r="N4661" s="201"/>
    </row>
    <row r="4662" spans="2:14" hidden="1" outlineLevel="1" x14ac:dyDescent="0.35">
      <c r="B4662" s="200"/>
      <c r="C4662" s="201"/>
      <c r="D4662" s="201"/>
      <c r="E4662" s="201"/>
      <c r="F4662" s="202"/>
      <c r="G4662" s="549"/>
      <c r="H4662" s="549"/>
      <c r="I4662" s="549"/>
      <c r="J4662" s="549"/>
      <c r="K4662" s="549"/>
      <c r="M4662" s="465"/>
      <c r="N4662" s="201"/>
    </row>
    <row r="4663" spans="2:14" hidden="1" outlineLevel="1" x14ac:dyDescent="0.35">
      <c r="B4663" s="200"/>
      <c r="C4663" s="201"/>
      <c r="D4663" s="201"/>
      <c r="E4663" s="201"/>
      <c r="F4663" s="202"/>
      <c r="G4663" s="549"/>
      <c r="H4663" s="549"/>
      <c r="I4663" s="549"/>
      <c r="J4663" s="549"/>
      <c r="K4663" s="549"/>
      <c r="M4663" s="465"/>
      <c r="N4663" s="201"/>
    </row>
    <row r="4664" spans="2:14" hidden="1" outlineLevel="1" x14ac:dyDescent="0.35">
      <c r="B4664" s="200"/>
      <c r="C4664" s="201"/>
      <c r="D4664" s="201"/>
      <c r="E4664" s="201"/>
      <c r="F4664" s="202"/>
      <c r="G4664" s="549"/>
      <c r="H4664" s="549"/>
      <c r="I4664" s="549"/>
      <c r="J4664" s="549"/>
      <c r="K4664" s="549"/>
      <c r="M4664" s="465"/>
      <c r="N4664" s="201"/>
    </row>
    <row r="4665" spans="2:14" hidden="1" outlineLevel="1" x14ac:dyDescent="0.35">
      <c r="B4665" s="200"/>
      <c r="C4665" s="201"/>
      <c r="D4665" s="201"/>
      <c r="E4665" s="201"/>
      <c r="F4665" s="202"/>
      <c r="G4665" s="549"/>
      <c r="H4665" s="549"/>
      <c r="I4665" s="549"/>
      <c r="J4665" s="549"/>
      <c r="K4665" s="549"/>
      <c r="M4665" s="465"/>
      <c r="N4665" s="201"/>
    </row>
    <row r="4666" spans="2:14" hidden="1" outlineLevel="1" x14ac:dyDescent="0.35">
      <c r="B4666" s="200"/>
      <c r="C4666" s="201"/>
      <c r="D4666" s="201"/>
      <c r="E4666" s="201"/>
      <c r="F4666" s="202"/>
      <c r="G4666" s="549"/>
      <c r="H4666" s="549"/>
      <c r="I4666" s="549"/>
      <c r="J4666" s="549"/>
      <c r="K4666" s="549"/>
      <c r="M4666" s="465"/>
      <c r="N4666" s="201"/>
    </row>
    <row r="4667" spans="2:14" hidden="1" outlineLevel="1" x14ac:dyDescent="0.35">
      <c r="B4667" s="200"/>
      <c r="C4667" s="201"/>
      <c r="D4667" s="201"/>
      <c r="E4667" s="201"/>
      <c r="F4667" s="202"/>
      <c r="G4667" s="549"/>
      <c r="H4667" s="549"/>
      <c r="I4667" s="549"/>
      <c r="J4667" s="549"/>
      <c r="K4667" s="549"/>
      <c r="M4667" s="465"/>
      <c r="N4667" s="201"/>
    </row>
    <row r="4668" spans="2:14" hidden="1" outlineLevel="1" x14ac:dyDescent="0.35">
      <c r="B4668" s="200"/>
      <c r="C4668" s="201"/>
      <c r="D4668" s="201"/>
      <c r="E4668" s="201"/>
      <c r="F4668" s="202"/>
      <c r="G4668" s="549"/>
      <c r="H4668" s="549"/>
      <c r="I4668" s="549"/>
      <c r="J4668" s="549"/>
      <c r="K4668" s="549"/>
      <c r="M4668" s="465"/>
      <c r="N4668" s="201"/>
    </row>
    <row r="4669" spans="2:14" hidden="1" outlineLevel="1" x14ac:dyDescent="0.35">
      <c r="B4669" s="200"/>
      <c r="C4669" s="201"/>
      <c r="D4669" s="201"/>
      <c r="E4669" s="201"/>
      <c r="F4669" s="202"/>
      <c r="G4669" s="549"/>
      <c r="H4669" s="549"/>
      <c r="I4669" s="549"/>
      <c r="J4669" s="549"/>
      <c r="K4669" s="549"/>
      <c r="M4669" s="465"/>
      <c r="N4669" s="201"/>
    </row>
    <row r="4670" spans="2:14" hidden="1" outlineLevel="1" x14ac:dyDescent="0.35">
      <c r="B4670" s="200"/>
      <c r="C4670" s="201"/>
      <c r="D4670" s="201"/>
      <c r="E4670" s="201"/>
      <c r="F4670" s="202"/>
      <c r="G4670" s="549"/>
      <c r="H4670" s="549"/>
      <c r="I4670" s="549"/>
      <c r="J4670" s="549"/>
      <c r="K4670" s="549"/>
      <c r="M4670" s="465"/>
      <c r="N4670" s="201"/>
    </row>
    <row r="4671" spans="2:14" hidden="1" outlineLevel="1" x14ac:dyDescent="0.35">
      <c r="B4671" s="200"/>
      <c r="C4671" s="201"/>
      <c r="D4671" s="201"/>
      <c r="E4671" s="201"/>
      <c r="F4671" s="202"/>
      <c r="G4671" s="549"/>
      <c r="H4671" s="549"/>
      <c r="I4671" s="549"/>
      <c r="J4671" s="549"/>
      <c r="K4671" s="549"/>
      <c r="M4671" s="465"/>
      <c r="N4671" s="201"/>
    </row>
    <row r="4672" spans="2:14" hidden="1" outlineLevel="1" x14ac:dyDescent="0.35">
      <c r="B4672" s="200"/>
      <c r="C4672" s="201"/>
      <c r="D4672" s="201"/>
      <c r="E4672" s="201"/>
      <c r="F4672" s="202"/>
      <c r="G4672" s="549"/>
      <c r="H4672" s="549"/>
      <c r="I4672" s="549"/>
      <c r="J4672" s="549"/>
      <c r="K4672" s="549"/>
      <c r="M4672" s="465"/>
      <c r="N4672" s="201"/>
    </row>
    <row r="4673" spans="2:14" hidden="1" outlineLevel="1" x14ac:dyDescent="0.35">
      <c r="B4673" s="200"/>
      <c r="C4673" s="201"/>
      <c r="D4673" s="201"/>
      <c r="E4673" s="201"/>
      <c r="F4673" s="202"/>
      <c r="G4673" s="549"/>
      <c r="H4673" s="549"/>
      <c r="I4673" s="549"/>
      <c r="J4673" s="549"/>
      <c r="K4673" s="549"/>
      <c r="M4673" s="465"/>
      <c r="N4673" s="201"/>
    </row>
    <row r="4674" spans="2:14" hidden="1" outlineLevel="1" x14ac:dyDescent="0.35">
      <c r="B4674" s="200"/>
      <c r="C4674" s="201"/>
      <c r="D4674" s="201"/>
      <c r="E4674" s="201"/>
      <c r="F4674" s="202"/>
      <c r="G4674" s="549"/>
      <c r="H4674" s="549"/>
      <c r="I4674" s="549"/>
      <c r="J4674" s="549"/>
      <c r="K4674" s="549"/>
      <c r="M4674" s="465"/>
      <c r="N4674" s="201"/>
    </row>
    <row r="4675" spans="2:14" hidden="1" outlineLevel="1" x14ac:dyDescent="0.35">
      <c r="B4675" s="200"/>
      <c r="C4675" s="201"/>
      <c r="D4675" s="201"/>
      <c r="E4675" s="201"/>
      <c r="F4675" s="202"/>
      <c r="G4675" s="549"/>
      <c r="H4675" s="549"/>
      <c r="I4675" s="549"/>
      <c r="J4675" s="549"/>
      <c r="K4675" s="549"/>
      <c r="M4675" s="465"/>
      <c r="N4675" s="201"/>
    </row>
    <row r="4676" spans="2:14" hidden="1" outlineLevel="1" x14ac:dyDescent="0.35">
      <c r="B4676" s="200"/>
      <c r="C4676" s="201"/>
      <c r="D4676" s="201"/>
      <c r="E4676" s="201"/>
      <c r="F4676" s="202"/>
      <c r="G4676" s="549"/>
      <c r="H4676" s="549"/>
      <c r="I4676" s="549"/>
      <c r="J4676" s="549"/>
      <c r="K4676" s="549"/>
      <c r="M4676" s="465"/>
      <c r="N4676" s="201"/>
    </row>
    <row r="4677" spans="2:14" hidden="1" outlineLevel="1" x14ac:dyDescent="0.35">
      <c r="B4677" s="200"/>
      <c r="C4677" s="201"/>
      <c r="D4677" s="201"/>
      <c r="E4677" s="201"/>
      <c r="F4677" s="202"/>
      <c r="G4677" s="549"/>
      <c r="H4677" s="549"/>
      <c r="I4677" s="549"/>
      <c r="J4677" s="549"/>
      <c r="K4677" s="549"/>
      <c r="M4677" s="465"/>
      <c r="N4677" s="201"/>
    </row>
    <row r="4678" spans="2:14" hidden="1" outlineLevel="1" x14ac:dyDescent="0.35">
      <c r="B4678" s="200"/>
      <c r="C4678" s="201"/>
      <c r="D4678" s="201"/>
      <c r="E4678" s="201"/>
      <c r="F4678" s="202"/>
      <c r="G4678" s="549"/>
      <c r="H4678" s="549"/>
      <c r="I4678" s="549"/>
      <c r="J4678" s="549"/>
      <c r="K4678" s="549"/>
      <c r="M4678" s="465"/>
      <c r="N4678" s="201"/>
    </row>
    <row r="4679" spans="2:14" hidden="1" outlineLevel="1" x14ac:dyDescent="0.35">
      <c r="B4679" s="200"/>
      <c r="C4679" s="201"/>
      <c r="D4679" s="201"/>
      <c r="E4679" s="201"/>
      <c r="F4679" s="202"/>
      <c r="G4679" s="549"/>
      <c r="H4679" s="549"/>
      <c r="I4679" s="549"/>
      <c r="J4679" s="549"/>
      <c r="K4679" s="549"/>
      <c r="M4679" s="465"/>
      <c r="N4679" s="201"/>
    </row>
    <row r="4680" spans="2:14" hidden="1" outlineLevel="1" x14ac:dyDescent="0.35">
      <c r="B4680" s="200"/>
      <c r="C4680" s="201"/>
      <c r="D4680" s="201"/>
      <c r="E4680" s="201"/>
      <c r="F4680" s="202"/>
      <c r="G4680" s="549"/>
      <c r="H4680" s="549"/>
      <c r="I4680" s="549"/>
      <c r="J4680" s="549"/>
      <c r="K4680" s="549"/>
      <c r="M4680" s="465"/>
      <c r="N4680" s="201"/>
    </row>
    <row r="4681" spans="2:14" hidden="1" outlineLevel="1" x14ac:dyDescent="0.35">
      <c r="B4681" s="200"/>
      <c r="C4681" s="201"/>
      <c r="D4681" s="201"/>
      <c r="E4681" s="201"/>
      <c r="F4681" s="202"/>
      <c r="G4681" s="549"/>
      <c r="H4681" s="549"/>
      <c r="I4681" s="549"/>
      <c r="J4681" s="549"/>
      <c r="K4681" s="549"/>
      <c r="M4681" s="465"/>
      <c r="N4681" s="201"/>
    </row>
    <row r="4682" spans="2:14" hidden="1" outlineLevel="1" x14ac:dyDescent="0.35">
      <c r="B4682" s="200"/>
      <c r="C4682" s="201"/>
      <c r="D4682" s="201"/>
      <c r="E4682" s="201"/>
      <c r="F4682" s="202"/>
      <c r="G4682" s="549"/>
      <c r="H4682" s="549"/>
      <c r="I4682" s="549"/>
      <c r="J4682" s="549"/>
      <c r="K4682" s="549"/>
      <c r="M4682" s="465"/>
      <c r="N4682" s="201"/>
    </row>
    <row r="4683" spans="2:14" hidden="1" outlineLevel="1" x14ac:dyDescent="0.35">
      <c r="B4683" s="200"/>
      <c r="C4683" s="201"/>
      <c r="D4683" s="201"/>
      <c r="E4683" s="201"/>
      <c r="F4683" s="202"/>
      <c r="G4683" s="549"/>
      <c r="H4683" s="549"/>
      <c r="I4683" s="549"/>
      <c r="J4683" s="549"/>
      <c r="K4683" s="549"/>
      <c r="M4683" s="465"/>
      <c r="N4683" s="201"/>
    </row>
    <row r="4684" spans="2:14" hidden="1" outlineLevel="1" x14ac:dyDescent="0.35">
      <c r="B4684" s="200"/>
      <c r="C4684" s="201"/>
      <c r="D4684" s="201"/>
      <c r="E4684" s="201"/>
      <c r="F4684" s="202"/>
      <c r="G4684" s="549"/>
      <c r="H4684" s="549"/>
      <c r="I4684" s="549"/>
      <c r="J4684" s="549"/>
      <c r="K4684" s="549"/>
      <c r="M4684" s="465"/>
      <c r="N4684" s="201"/>
    </row>
    <row r="4685" spans="2:14" hidden="1" outlineLevel="1" x14ac:dyDescent="0.35">
      <c r="B4685" s="200"/>
      <c r="C4685" s="201"/>
      <c r="D4685" s="201"/>
      <c r="E4685" s="201"/>
      <c r="F4685" s="202"/>
      <c r="G4685" s="549"/>
      <c r="H4685" s="549"/>
      <c r="I4685" s="549"/>
      <c r="J4685" s="549"/>
      <c r="K4685" s="549"/>
      <c r="M4685" s="465"/>
      <c r="N4685" s="201"/>
    </row>
    <row r="4686" spans="2:14" hidden="1" outlineLevel="1" x14ac:dyDescent="0.35">
      <c r="B4686" s="200"/>
      <c r="C4686" s="201"/>
      <c r="D4686" s="201"/>
      <c r="E4686" s="201"/>
      <c r="F4686" s="202"/>
      <c r="G4686" s="549"/>
      <c r="H4686" s="549"/>
      <c r="I4686" s="549"/>
      <c r="J4686" s="549"/>
      <c r="K4686" s="549"/>
      <c r="M4686" s="465"/>
      <c r="N4686" s="201"/>
    </row>
    <row r="4687" spans="2:14" hidden="1" outlineLevel="1" x14ac:dyDescent="0.35">
      <c r="B4687" s="200"/>
      <c r="C4687" s="201"/>
      <c r="D4687" s="201"/>
      <c r="E4687" s="201"/>
      <c r="F4687" s="202"/>
      <c r="G4687" s="549"/>
      <c r="H4687" s="549"/>
      <c r="I4687" s="549"/>
      <c r="J4687" s="549"/>
      <c r="K4687" s="549"/>
      <c r="M4687" s="465"/>
      <c r="N4687" s="201"/>
    </row>
    <row r="4688" spans="2:14" hidden="1" outlineLevel="1" x14ac:dyDescent="0.35">
      <c r="B4688" s="200"/>
      <c r="C4688" s="201"/>
      <c r="D4688" s="201"/>
      <c r="E4688" s="201"/>
      <c r="F4688" s="202"/>
      <c r="G4688" s="549"/>
      <c r="H4688" s="549"/>
      <c r="I4688" s="549"/>
      <c r="J4688" s="549"/>
      <c r="K4688" s="549"/>
      <c r="M4688" s="465"/>
      <c r="N4688" s="201"/>
    </row>
    <row r="4689" spans="2:14" hidden="1" outlineLevel="1" x14ac:dyDescent="0.35">
      <c r="B4689" s="200"/>
      <c r="C4689" s="201"/>
      <c r="D4689" s="201"/>
      <c r="E4689" s="201"/>
      <c r="F4689" s="202"/>
      <c r="G4689" s="549"/>
      <c r="H4689" s="549"/>
      <c r="I4689" s="549"/>
      <c r="J4689" s="549"/>
      <c r="K4689" s="549"/>
      <c r="M4689" s="465"/>
      <c r="N4689" s="201"/>
    </row>
    <row r="4690" spans="2:14" hidden="1" outlineLevel="1" x14ac:dyDescent="0.35">
      <c r="B4690" s="200"/>
      <c r="C4690" s="201"/>
      <c r="D4690" s="201"/>
      <c r="E4690" s="201"/>
      <c r="F4690" s="202"/>
      <c r="G4690" s="549"/>
      <c r="H4690" s="549"/>
      <c r="I4690" s="549"/>
      <c r="J4690" s="549"/>
      <c r="K4690" s="549"/>
      <c r="M4690" s="465"/>
      <c r="N4690" s="201"/>
    </row>
    <row r="4691" spans="2:14" hidden="1" outlineLevel="1" x14ac:dyDescent="0.35">
      <c r="B4691" s="200"/>
      <c r="C4691" s="201"/>
      <c r="D4691" s="201"/>
      <c r="E4691" s="201"/>
      <c r="F4691" s="202"/>
      <c r="G4691" s="549"/>
      <c r="H4691" s="549"/>
      <c r="I4691" s="549"/>
      <c r="J4691" s="549"/>
      <c r="K4691" s="549"/>
      <c r="M4691" s="465"/>
      <c r="N4691" s="201"/>
    </row>
    <row r="4692" spans="2:14" hidden="1" outlineLevel="1" x14ac:dyDescent="0.35">
      <c r="B4692" s="200"/>
      <c r="C4692" s="201"/>
      <c r="D4692" s="201"/>
      <c r="E4692" s="201"/>
      <c r="F4692" s="202"/>
      <c r="G4692" s="549"/>
      <c r="H4692" s="549"/>
      <c r="I4692" s="549"/>
      <c r="J4692" s="549"/>
      <c r="K4692" s="549"/>
      <c r="M4692" s="465"/>
      <c r="N4692" s="201"/>
    </row>
    <row r="4693" spans="2:14" hidden="1" outlineLevel="1" x14ac:dyDescent="0.35">
      <c r="B4693" s="200"/>
      <c r="C4693" s="201"/>
      <c r="D4693" s="201"/>
      <c r="E4693" s="201"/>
      <c r="F4693" s="202"/>
      <c r="G4693" s="549"/>
      <c r="H4693" s="549"/>
      <c r="I4693" s="549"/>
      <c r="J4693" s="549"/>
      <c r="K4693" s="549"/>
      <c r="M4693" s="465"/>
      <c r="N4693" s="201"/>
    </row>
    <row r="4694" spans="2:14" hidden="1" outlineLevel="1" x14ac:dyDescent="0.35">
      <c r="B4694" s="200"/>
      <c r="C4694" s="201"/>
      <c r="D4694" s="201"/>
      <c r="E4694" s="201"/>
      <c r="F4694" s="202"/>
      <c r="G4694" s="549"/>
      <c r="H4694" s="549"/>
      <c r="I4694" s="549"/>
      <c r="J4694" s="549"/>
      <c r="K4694" s="549"/>
      <c r="M4694" s="465"/>
      <c r="N4694" s="201"/>
    </row>
    <row r="4695" spans="2:14" hidden="1" outlineLevel="1" x14ac:dyDescent="0.35">
      <c r="B4695" s="200"/>
      <c r="C4695" s="201"/>
      <c r="D4695" s="201"/>
      <c r="E4695" s="201"/>
      <c r="F4695" s="202"/>
      <c r="G4695" s="549"/>
      <c r="H4695" s="549"/>
      <c r="I4695" s="549"/>
      <c r="J4695" s="549"/>
      <c r="K4695" s="549"/>
      <c r="M4695" s="465"/>
      <c r="N4695" s="201"/>
    </row>
    <row r="4696" spans="2:14" hidden="1" outlineLevel="1" x14ac:dyDescent="0.35">
      <c r="B4696" s="200"/>
      <c r="C4696" s="201"/>
      <c r="D4696" s="201"/>
      <c r="E4696" s="201"/>
      <c r="F4696" s="202"/>
      <c r="G4696" s="549"/>
      <c r="H4696" s="549"/>
      <c r="I4696" s="549"/>
      <c r="J4696" s="549"/>
      <c r="K4696" s="549"/>
      <c r="M4696" s="465"/>
      <c r="N4696" s="201"/>
    </row>
    <row r="4697" spans="2:14" hidden="1" outlineLevel="1" x14ac:dyDescent="0.35">
      <c r="B4697" s="200"/>
      <c r="C4697" s="201"/>
      <c r="D4697" s="201"/>
      <c r="E4697" s="201"/>
      <c r="F4697" s="202"/>
      <c r="G4697" s="549"/>
      <c r="H4697" s="549"/>
      <c r="I4697" s="549"/>
      <c r="J4697" s="549"/>
      <c r="K4697" s="549"/>
      <c r="M4697" s="465"/>
      <c r="N4697" s="201"/>
    </row>
    <row r="4698" spans="2:14" hidden="1" outlineLevel="1" x14ac:dyDescent="0.35">
      <c r="B4698" s="200"/>
      <c r="C4698" s="201"/>
      <c r="D4698" s="201"/>
      <c r="E4698" s="201"/>
      <c r="F4698" s="202"/>
      <c r="G4698" s="549"/>
      <c r="H4698" s="549"/>
      <c r="I4698" s="549"/>
      <c r="J4698" s="549"/>
      <c r="K4698" s="549"/>
      <c r="M4698" s="465"/>
      <c r="N4698" s="201"/>
    </row>
    <row r="4699" spans="2:14" hidden="1" outlineLevel="1" x14ac:dyDescent="0.35">
      <c r="B4699" s="200"/>
      <c r="C4699" s="201"/>
      <c r="D4699" s="201"/>
      <c r="E4699" s="201"/>
      <c r="F4699" s="202"/>
      <c r="G4699" s="549"/>
      <c r="H4699" s="549"/>
      <c r="I4699" s="549"/>
      <c r="J4699" s="549"/>
      <c r="K4699" s="549"/>
      <c r="M4699" s="465"/>
      <c r="N4699" s="201"/>
    </row>
    <row r="4700" spans="2:14" hidden="1" outlineLevel="1" x14ac:dyDescent="0.35">
      <c r="B4700" s="200"/>
      <c r="C4700" s="201"/>
      <c r="D4700" s="201"/>
      <c r="E4700" s="201"/>
      <c r="F4700" s="202"/>
      <c r="G4700" s="549"/>
      <c r="H4700" s="549"/>
      <c r="I4700" s="549"/>
      <c r="J4700" s="549"/>
      <c r="K4700" s="549"/>
      <c r="M4700" s="465"/>
      <c r="N4700" s="201"/>
    </row>
    <row r="4701" spans="2:14" hidden="1" outlineLevel="1" x14ac:dyDescent="0.35">
      <c r="B4701" s="200"/>
      <c r="C4701" s="201"/>
      <c r="D4701" s="201"/>
      <c r="E4701" s="201"/>
      <c r="F4701" s="202"/>
      <c r="G4701" s="549"/>
      <c r="H4701" s="549"/>
      <c r="I4701" s="549"/>
      <c r="J4701" s="549"/>
      <c r="K4701" s="549"/>
      <c r="M4701" s="465"/>
      <c r="N4701" s="201"/>
    </row>
    <row r="4702" spans="2:14" hidden="1" outlineLevel="1" x14ac:dyDescent="0.35">
      <c r="B4702" s="200"/>
      <c r="C4702" s="201"/>
      <c r="D4702" s="201"/>
      <c r="E4702" s="201"/>
      <c r="F4702" s="202"/>
      <c r="G4702" s="549"/>
      <c r="H4702" s="549"/>
      <c r="I4702" s="549"/>
      <c r="J4702" s="549"/>
      <c r="K4702" s="549"/>
      <c r="M4702" s="465"/>
      <c r="N4702" s="201"/>
    </row>
    <row r="4703" spans="2:14" hidden="1" outlineLevel="1" x14ac:dyDescent="0.35">
      <c r="B4703" s="200"/>
      <c r="C4703" s="201"/>
      <c r="D4703" s="201"/>
      <c r="E4703" s="201"/>
      <c r="F4703" s="202"/>
      <c r="G4703" s="549"/>
      <c r="H4703" s="549"/>
      <c r="I4703" s="549"/>
      <c r="J4703" s="549"/>
      <c r="K4703" s="549"/>
      <c r="M4703" s="465"/>
      <c r="N4703" s="201"/>
    </row>
    <row r="4704" spans="2:14" hidden="1" outlineLevel="1" x14ac:dyDescent="0.35">
      <c r="B4704" s="200"/>
      <c r="C4704" s="201"/>
      <c r="D4704" s="201"/>
      <c r="E4704" s="201"/>
      <c r="F4704" s="202"/>
      <c r="G4704" s="549"/>
      <c r="H4704" s="549"/>
      <c r="I4704" s="549"/>
      <c r="J4704" s="549"/>
      <c r="K4704" s="549"/>
      <c r="M4704" s="465"/>
      <c r="N4704" s="201"/>
    </row>
    <row r="4705" spans="2:14" hidden="1" outlineLevel="1" x14ac:dyDescent="0.35">
      <c r="B4705" s="200"/>
      <c r="C4705" s="201"/>
      <c r="D4705" s="201"/>
      <c r="E4705" s="201"/>
      <c r="F4705" s="202"/>
      <c r="G4705" s="549"/>
      <c r="H4705" s="549"/>
      <c r="I4705" s="549"/>
      <c r="J4705" s="549"/>
      <c r="K4705" s="549"/>
      <c r="M4705" s="465"/>
      <c r="N4705" s="201"/>
    </row>
    <row r="4706" spans="2:14" hidden="1" outlineLevel="1" x14ac:dyDescent="0.35">
      <c r="B4706" s="200"/>
      <c r="C4706" s="201"/>
      <c r="D4706" s="201"/>
      <c r="E4706" s="201"/>
      <c r="F4706" s="202"/>
      <c r="G4706" s="549"/>
      <c r="H4706" s="549"/>
      <c r="I4706" s="549"/>
      <c r="J4706" s="549"/>
      <c r="K4706" s="549"/>
      <c r="M4706" s="465"/>
      <c r="N4706" s="201"/>
    </row>
    <row r="4707" spans="2:14" hidden="1" outlineLevel="1" x14ac:dyDescent="0.35">
      <c r="B4707" s="200"/>
      <c r="C4707" s="201"/>
      <c r="D4707" s="201"/>
      <c r="E4707" s="201"/>
      <c r="F4707" s="202"/>
      <c r="G4707" s="549"/>
      <c r="H4707" s="549"/>
      <c r="I4707" s="549"/>
      <c r="J4707" s="549"/>
      <c r="K4707" s="549"/>
      <c r="M4707" s="465"/>
      <c r="N4707" s="201"/>
    </row>
    <row r="4708" spans="2:14" hidden="1" outlineLevel="1" x14ac:dyDescent="0.35">
      <c r="B4708" s="200"/>
      <c r="C4708" s="201"/>
      <c r="D4708" s="201"/>
      <c r="E4708" s="201"/>
      <c r="F4708" s="202"/>
      <c r="G4708" s="549"/>
      <c r="H4708" s="549"/>
      <c r="I4708" s="549"/>
      <c r="J4708" s="549"/>
      <c r="K4708" s="549"/>
      <c r="M4708" s="465"/>
      <c r="N4708" s="201"/>
    </row>
    <row r="4709" spans="2:14" hidden="1" outlineLevel="1" x14ac:dyDescent="0.35">
      <c r="B4709" s="200"/>
      <c r="C4709" s="201"/>
      <c r="D4709" s="201"/>
      <c r="E4709" s="201"/>
      <c r="F4709" s="202"/>
      <c r="G4709" s="549"/>
      <c r="H4709" s="549"/>
      <c r="I4709" s="549"/>
      <c r="J4709" s="549"/>
      <c r="K4709" s="549"/>
      <c r="M4709" s="465"/>
      <c r="N4709" s="201"/>
    </row>
    <row r="4710" spans="2:14" hidden="1" outlineLevel="1" x14ac:dyDescent="0.35">
      <c r="B4710" s="200"/>
      <c r="C4710" s="201"/>
      <c r="D4710" s="201"/>
      <c r="E4710" s="201"/>
      <c r="F4710" s="202"/>
      <c r="G4710" s="549"/>
      <c r="H4710" s="549"/>
      <c r="I4710" s="549"/>
      <c r="J4710" s="549"/>
      <c r="K4710" s="549"/>
      <c r="M4710" s="465"/>
      <c r="N4710" s="201"/>
    </row>
    <row r="4711" spans="2:14" hidden="1" outlineLevel="1" x14ac:dyDescent="0.35">
      <c r="B4711" s="200"/>
      <c r="C4711" s="201"/>
      <c r="D4711" s="201"/>
      <c r="E4711" s="201"/>
      <c r="F4711" s="202"/>
      <c r="G4711" s="549"/>
      <c r="H4711" s="549"/>
      <c r="I4711" s="549"/>
      <c r="J4711" s="549"/>
      <c r="K4711" s="549"/>
      <c r="M4711" s="465"/>
      <c r="N4711" s="201"/>
    </row>
    <row r="4712" spans="2:14" hidden="1" outlineLevel="1" x14ac:dyDescent="0.35">
      <c r="B4712" s="200"/>
      <c r="C4712" s="201"/>
      <c r="D4712" s="201"/>
      <c r="E4712" s="201"/>
      <c r="F4712" s="202"/>
      <c r="G4712" s="549"/>
      <c r="H4712" s="549"/>
      <c r="I4712" s="549"/>
      <c r="J4712" s="549"/>
      <c r="K4712" s="549"/>
      <c r="M4712" s="465"/>
      <c r="N4712" s="201"/>
    </row>
    <row r="4713" spans="2:14" hidden="1" outlineLevel="1" x14ac:dyDescent="0.35">
      <c r="B4713" s="200"/>
      <c r="C4713" s="201"/>
      <c r="D4713" s="201"/>
      <c r="E4713" s="201"/>
      <c r="F4713" s="202"/>
      <c r="G4713" s="549"/>
      <c r="H4713" s="549"/>
      <c r="I4713" s="549"/>
      <c r="J4713" s="549"/>
      <c r="K4713" s="549"/>
      <c r="M4713" s="465"/>
      <c r="N4713" s="201"/>
    </row>
    <row r="4714" spans="2:14" hidden="1" outlineLevel="1" x14ac:dyDescent="0.35">
      <c r="B4714" s="200"/>
      <c r="C4714" s="201"/>
      <c r="D4714" s="201"/>
      <c r="E4714" s="201"/>
      <c r="F4714" s="202"/>
      <c r="G4714" s="549"/>
      <c r="H4714" s="549"/>
      <c r="I4714" s="549"/>
      <c r="J4714" s="549"/>
      <c r="K4714" s="549"/>
      <c r="M4714" s="465"/>
      <c r="N4714" s="201"/>
    </row>
    <row r="4715" spans="2:14" hidden="1" outlineLevel="1" x14ac:dyDescent="0.35">
      <c r="B4715" s="200"/>
      <c r="C4715" s="201"/>
      <c r="D4715" s="201"/>
      <c r="E4715" s="201"/>
      <c r="F4715" s="202"/>
      <c r="G4715" s="549"/>
      <c r="H4715" s="549"/>
      <c r="I4715" s="549"/>
      <c r="J4715" s="549"/>
      <c r="K4715" s="549"/>
      <c r="M4715" s="465"/>
      <c r="N4715" s="201"/>
    </row>
    <row r="4716" spans="2:14" hidden="1" outlineLevel="1" x14ac:dyDescent="0.35">
      <c r="B4716" s="200"/>
      <c r="C4716" s="201"/>
      <c r="D4716" s="201"/>
      <c r="E4716" s="201"/>
      <c r="F4716" s="202"/>
      <c r="G4716" s="549"/>
      <c r="H4716" s="549"/>
      <c r="I4716" s="549"/>
      <c r="J4716" s="549"/>
      <c r="K4716" s="549"/>
      <c r="M4716" s="465"/>
      <c r="N4716" s="201"/>
    </row>
    <row r="4717" spans="2:14" hidden="1" outlineLevel="1" x14ac:dyDescent="0.35">
      <c r="B4717" s="200"/>
      <c r="C4717" s="201"/>
      <c r="D4717" s="201"/>
      <c r="E4717" s="201"/>
      <c r="F4717" s="202"/>
      <c r="G4717" s="549"/>
      <c r="H4717" s="549"/>
      <c r="I4717" s="549"/>
      <c r="J4717" s="549"/>
      <c r="K4717" s="549"/>
      <c r="M4717" s="465"/>
      <c r="N4717" s="201"/>
    </row>
    <row r="4718" spans="2:14" hidden="1" outlineLevel="1" x14ac:dyDescent="0.35">
      <c r="B4718" s="200"/>
      <c r="C4718" s="201"/>
      <c r="D4718" s="201"/>
      <c r="E4718" s="201"/>
      <c r="F4718" s="202"/>
      <c r="G4718" s="549"/>
      <c r="H4718" s="549"/>
      <c r="I4718" s="549"/>
      <c r="J4718" s="549"/>
      <c r="K4718" s="549"/>
      <c r="M4718" s="465"/>
      <c r="N4718" s="201"/>
    </row>
    <row r="4719" spans="2:14" hidden="1" outlineLevel="1" x14ac:dyDescent="0.35">
      <c r="B4719" s="200"/>
      <c r="C4719" s="201"/>
      <c r="D4719" s="201"/>
      <c r="E4719" s="201"/>
      <c r="F4719" s="202"/>
      <c r="G4719" s="549"/>
      <c r="H4719" s="549"/>
      <c r="I4719" s="549"/>
      <c r="J4719" s="549"/>
      <c r="K4719" s="549"/>
      <c r="M4719" s="465"/>
      <c r="N4719" s="201"/>
    </row>
    <row r="4720" spans="2:14" hidden="1" outlineLevel="1" x14ac:dyDescent="0.35">
      <c r="B4720" s="200"/>
      <c r="C4720" s="201"/>
      <c r="D4720" s="201"/>
      <c r="E4720" s="201"/>
      <c r="F4720" s="202"/>
      <c r="G4720" s="549"/>
      <c r="H4720" s="549"/>
      <c r="I4720" s="549"/>
      <c r="J4720" s="549"/>
      <c r="K4720" s="549"/>
      <c r="M4720" s="465"/>
      <c r="N4720" s="201"/>
    </row>
    <row r="4721" spans="2:14" hidden="1" outlineLevel="1" x14ac:dyDescent="0.35">
      <c r="B4721" s="200"/>
      <c r="C4721" s="201"/>
      <c r="D4721" s="201"/>
      <c r="E4721" s="201"/>
      <c r="F4721" s="202"/>
      <c r="G4721" s="549"/>
      <c r="H4721" s="549"/>
      <c r="I4721" s="549"/>
      <c r="J4721" s="549"/>
      <c r="K4721" s="549"/>
      <c r="M4721" s="465"/>
      <c r="N4721" s="201"/>
    </row>
    <row r="4722" spans="2:14" hidden="1" outlineLevel="1" x14ac:dyDescent="0.35">
      <c r="B4722" s="200"/>
      <c r="C4722" s="201"/>
      <c r="D4722" s="201"/>
      <c r="E4722" s="201"/>
      <c r="F4722" s="202"/>
      <c r="G4722" s="549"/>
      <c r="H4722" s="549"/>
      <c r="I4722" s="549"/>
      <c r="J4722" s="549"/>
      <c r="K4722" s="549"/>
      <c r="M4722" s="465"/>
      <c r="N4722" s="201"/>
    </row>
    <row r="4723" spans="2:14" hidden="1" outlineLevel="1" x14ac:dyDescent="0.35">
      <c r="B4723" s="200"/>
      <c r="C4723" s="201"/>
      <c r="D4723" s="201"/>
      <c r="E4723" s="201"/>
      <c r="F4723" s="202"/>
      <c r="G4723" s="549"/>
      <c r="H4723" s="549"/>
      <c r="I4723" s="549"/>
      <c r="J4723" s="549"/>
      <c r="K4723" s="549"/>
      <c r="M4723" s="465"/>
      <c r="N4723" s="201"/>
    </row>
    <row r="4724" spans="2:14" hidden="1" outlineLevel="1" x14ac:dyDescent="0.35">
      <c r="B4724" s="200"/>
      <c r="C4724" s="201"/>
      <c r="D4724" s="201"/>
      <c r="E4724" s="201"/>
      <c r="F4724" s="202"/>
      <c r="G4724" s="549"/>
      <c r="H4724" s="549"/>
      <c r="I4724" s="549"/>
      <c r="J4724" s="549"/>
      <c r="K4724" s="549"/>
      <c r="M4724" s="465"/>
      <c r="N4724" s="201"/>
    </row>
    <row r="4725" spans="2:14" hidden="1" outlineLevel="1" x14ac:dyDescent="0.35">
      <c r="B4725" s="200"/>
      <c r="C4725" s="201"/>
      <c r="D4725" s="201"/>
      <c r="E4725" s="201"/>
      <c r="F4725" s="202"/>
      <c r="G4725" s="549"/>
      <c r="H4725" s="549"/>
      <c r="I4725" s="549"/>
      <c r="J4725" s="549"/>
      <c r="K4725" s="549"/>
      <c r="M4725" s="465"/>
      <c r="N4725" s="201"/>
    </row>
    <row r="4726" spans="2:14" hidden="1" outlineLevel="1" x14ac:dyDescent="0.35">
      <c r="B4726" s="200"/>
      <c r="C4726" s="201"/>
      <c r="D4726" s="201"/>
      <c r="E4726" s="201"/>
      <c r="F4726" s="202"/>
      <c r="G4726" s="549"/>
      <c r="H4726" s="549"/>
      <c r="I4726" s="549"/>
      <c r="J4726" s="549"/>
      <c r="K4726" s="549"/>
      <c r="M4726" s="465"/>
      <c r="N4726" s="201"/>
    </row>
    <row r="4727" spans="2:14" hidden="1" outlineLevel="1" x14ac:dyDescent="0.35">
      <c r="B4727" s="200"/>
      <c r="C4727" s="201"/>
      <c r="D4727" s="201"/>
      <c r="E4727" s="201"/>
      <c r="F4727" s="202"/>
      <c r="G4727" s="549"/>
      <c r="H4727" s="549"/>
      <c r="I4727" s="549"/>
      <c r="J4727" s="549"/>
      <c r="K4727" s="549"/>
      <c r="M4727" s="465"/>
      <c r="N4727" s="201"/>
    </row>
    <row r="4728" spans="2:14" hidden="1" outlineLevel="1" x14ac:dyDescent="0.35">
      <c r="B4728" s="200"/>
      <c r="C4728" s="201"/>
      <c r="D4728" s="201"/>
      <c r="E4728" s="201"/>
      <c r="F4728" s="202"/>
      <c r="G4728" s="549"/>
      <c r="H4728" s="549"/>
      <c r="I4728" s="549"/>
      <c r="J4728" s="549"/>
      <c r="K4728" s="549"/>
      <c r="M4728" s="465"/>
      <c r="N4728" s="201"/>
    </row>
    <row r="4729" spans="2:14" hidden="1" outlineLevel="1" x14ac:dyDescent="0.35">
      <c r="B4729" s="200"/>
      <c r="C4729" s="201"/>
      <c r="D4729" s="201"/>
      <c r="E4729" s="201"/>
      <c r="F4729" s="202"/>
      <c r="G4729" s="549"/>
      <c r="H4729" s="549"/>
      <c r="I4729" s="549"/>
      <c r="J4729" s="549"/>
      <c r="K4729" s="549"/>
      <c r="M4729" s="465"/>
      <c r="N4729" s="201"/>
    </row>
    <row r="4730" spans="2:14" hidden="1" outlineLevel="1" x14ac:dyDescent="0.35">
      <c r="B4730" s="200"/>
      <c r="C4730" s="201"/>
      <c r="D4730" s="201"/>
      <c r="E4730" s="201"/>
      <c r="F4730" s="202"/>
      <c r="G4730" s="549"/>
      <c r="H4730" s="549"/>
      <c r="I4730" s="549"/>
      <c r="J4730" s="549"/>
      <c r="K4730" s="549"/>
      <c r="M4730" s="465"/>
      <c r="N4730" s="201"/>
    </row>
    <row r="4731" spans="2:14" hidden="1" outlineLevel="1" x14ac:dyDescent="0.35">
      <c r="B4731" s="200"/>
      <c r="C4731" s="201"/>
      <c r="D4731" s="201"/>
      <c r="E4731" s="201"/>
      <c r="F4731" s="202"/>
      <c r="G4731" s="549"/>
      <c r="H4731" s="549"/>
      <c r="I4731" s="549"/>
      <c r="J4731" s="549"/>
      <c r="K4731" s="549"/>
      <c r="M4731" s="465"/>
      <c r="N4731" s="201"/>
    </row>
    <row r="4732" spans="2:14" hidden="1" outlineLevel="1" x14ac:dyDescent="0.35">
      <c r="B4732" s="200"/>
      <c r="C4732" s="201"/>
      <c r="D4732" s="201"/>
      <c r="E4732" s="201"/>
      <c r="F4732" s="202"/>
      <c r="G4732" s="549"/>
      <c r="H4732" s="549"/>
      <c r="I4732" s="549"/>
      <c r="J4732" s="549"/>
      <c r="K4732" s="549"/>
      <c r="M4732" s="465"/>
      <c r="N4732" s="201"/>
    </row>
    <row r="4733" spans="2:14" hidden="1" outlineLevel="1" x14ac:dyDescent="0.35">
      <c r="B4733" s="200"/>
      <c r="C4733" s="201"/>
      <c r="D4733" s="201"/>
      <c r="E4733" s="201"/>
      <c r="F4733" s="202"/>
      <c r="G4733" s="549"/>
      <c r="H4733" s="549"/>
      <c r="I4733" s="549"/>
      <c r="J4733" s="549"/>
      <c r="K4733" s="549"/>
      <c r="M4733" s="465"/>
      <c r="N4733" s="201"/>
    </row>
    <row r="4734" spans="2:14" hidden="1" outlineLevel="1" x14ac:dyDescent="0.35">
      <c r="B4734" s="200"/>
      <c r="C4734" s="201"/>
      <c r="D4734" s="201"/>
      <c r="E4734" s="201"/>
      <c r="F4734" s="202"/>
      <c r="G4734" s="549"/>
      <c r="H4734" s="549"/>
      <c r="I4734" s="549"/>
      <c r="J4734" s="549"/>
      <c r="K4734" s="549"/>
      <c r="M4734" s="465"/>
      <c r="N4734" s="201"/>
    </row>
    <row r="4735" spans="2:14" hidden="1" outlineLevel="1" x14ac:dyDescent="0.35">
      <c r="B4735" s="200"/>
      <c r="C4735" s="201"/>
      <c r="D4735" s="201"/>
      <c r="E4735" s="201"/>
      <c r="F4735" s="202"/>
      <c r="G4735" s="549"/>
      <c r="H4735" s="549"/>
      <c r="I4735" s="549"/>
      <c r="J4735" s="549"/>
      <c r="K4735" s="549"/>
      <c r="M4735" s="465"/>
      <c r="N4735" s="201"/>
    </row>
    <row r="4736" spans="2:14" hidden="1" outlineLevel="1" x14ac:dyDescent="0.35">
      <c r="B4736" s="200"/>
      <c r="C4736" s="201"/>
      <c r="D4736" s="201"/>
      <c r="E4736" s="201"/>
      <c r="F4736" s="202"/>
      <c r="G4736" s="549"/>
      <c r="H4736" s="549"/>
      <c r="I4736" s="549"/>
      <c r="J4736" s="549"/>
      <c r="K4736" s="549"/>
      <c r="M4736" s="465"/>
      <c r="N4736" s="201"/>
    </row>
    <row r="4737" spans="2:14" hidden="1" outlineLevel="1" x14ac:dyDescent="0.35">
      <c r="B4737" s="200"/>
      <c r="C4737" s="201"/>
      <c r="D4737" s="201"/>
      <c r="E4737" s="201"/>
      <c r="F4737" s="202"/>
      <c r="G4737" s="549"/>
      <c r="H4737" s="549"/>
      <c r="I4737" s="549"/>
      <c r="J4737" s="549"/>
      <c r="K4737" s="549"/>
      <c r="M4737" s="465"/>
      <c r="N4737" s="201"/>
    </row>
    <row r="4738" spans="2:14" hidden="1" outlineLevel="1" x14ac:dyDescent="0.35">
      <c r="B4738" s="200"/>
      <c r="C4738" s="201"/>
      <c r="D4738" s="201"/>
      <c r="E4738" s="201"/>
      <c r="F4738" s="202"/>
      <c r="G4738" s="549"/>
      <c r="H4738" s="549"/>
      <c r="I4738" s="549"/>
      <c r="J4738" s="549"/>
      <c r="K4738" s="549"/>
      <c r="M4738" s="465"/>
      <c r="N4738" s="201"/>
    </row>
    <row r="4739" spans="2:14" hidden="1" outlineLevel="1" x14ac:dyDescent="0.35">
      <c r="B4739" s="200"/>
      <c r="C4739" s="201"/>
      <c r="D4739" s="201"/>
      <c r="E4739" s="201"/>
      <c r="F4739" s="202"/>
      <c r="G4739" s="549"/>
      <c r="H4739" s="549"/>
      <c r="I4739" s="549"/>
      <c r="J4739" s="549"/>
      <c r="K4739" s="549"/>
      <c r="M4739" s="465"/>
      <c r="N4739" s="201"/>
    </row>
    <row r="4740" spans="2:14" hidden="1" outlineLevel="1" x14ac:dyDescent="0.35">
      <c r="B4740" s="200"/>
      <c r="C4740" s="201"/>
      <c r="D4740" s="201"/>
      <c r="E4740" s="201"/>
      <c r="F4740" s="202"/>
      <c r="G4740" s="549"/>
      <c r="H4740" s="549"/>
      <c r="I4740" s="549"/>
      <c r="J4740" s="549"/>
      <c r="K4740" s="549"/>
      <c r="M4740" s="465"/>
      <c r="N4740" s="201"/>
    </row>
    <row r="4741" spans="2:14" hidden="1" outlineLevel="1" x14ac:dyDescent="0.35">
      <c r="B4741" s="200"/>
      <c r="C4741" s="201"/>
      <c r="D4741" s="201"/>
      <c r="E4741" s="201"/>
      <c r="F4741" s="202"/>
      <c r="G4741" s="549"/>
      <c r="H4741" s="549"/>
      <c r="I4741" s="549"/>
      <c r="J4741" s="549"/>
      <c r="K4741" s="549"/>
      <c r="M4741" s="465"/>
      <c r="N4741" s="201"/>
    </row>
    <row r="4742" spans="2:14" hidden="1" outlineLevel="1" x14ac:dyDescent="0.35">
      <c r="B4742" s="200"/>
      <c r="C4742" s="201"/>
      <c r="D4742" s="201"/>
      <c r="E4742" s="201"/>
      <c r="F4742" s="202"/>
      <c r="G4742" s="549"/>
      <c r="H4742" s="549"/>
      <c r="I4742" s="549"/>
      <c r="J4742" s="549"/>
      <c r="K4742" s="549"/>
      <c r="M4742" s="465"/>
      <c r="N4742" s="201"/>
    </row>
    <row r="4743" spans="2:14" hidden="1" outlineLevel="1" x14ac:dyDescent="0.35">
      <c r="B4743" s="200"/>
      <c r="C4743" s="201"/>
      <c r="D4743" s="201"/>
      <c r="E4743" s="201"/>
      <c r="F4743" s="202"/>
      <c r="G4743" s="549"/>
      <c r="H4743" s="549"/>
      <c r="I4743" s="549"/>
      <c r="J4743" s="549"/>
      <c r="K4743" s="549"/>
      <c r="M4743" s="465"/>
      <c r="N4743" s="201"/>
    </row>
    <row r="4744" spans="2:14" hidden="1" outlineLevel="1" x14ac:dyDescent="0.35">
      <c r="B4744" s="200"/>
      <c r="C4744" s="201"/>
      <c r="D4744" s="201"/>
      <c r="E4744" s="201"/>
      <c r="F4744" s="202"/>
      <c r="G4744" s="549"/>
      <c r="H4744" s="549"/>
      <c r="I4744" s="549"/>
      <c r="J4744" s="549"/>
      <c r="K4744" s="549"/>
      <c r="M4744" s="465"/>
      <c r="N4744" s="201"/>
    </row>
    <row r="4745" spans="2:14" hidden="1" outlineLevel="1" x14ac:dyDescent="0.35">
      <c r="B4745" s="200"/>
      <c r="C4745" s="201"/>
      <c r="D4745" s="201"/>
      <c r="E4745" s="201"/>
      <c r="F4745" s="202"/>
      <c r="G4745" s="549"/>
      <c r="H4745" s="549"/>
      <c r="I4745" s="549"/>
      <c r="J4745" s="549"/>
      <c r="K4745" s="549"/>
      <c r="M4745" s="465"/>
      <c r="N4745" s="201"/>
    </row>
    <row r="4746" spans="2:14" hidden="1" outlineLevel="1" x14ac:dyDescent="0.35">
      <c r="B4746" s="200"/>
      <c r="C4746" s="201"/>
      <c r="D4746" s="201"/>
      <c r="E4746" s="201"/>
      <c r="F4746" s="202"/>
      <c r="G4746" s="549"/>
      <c r="H4746" s="549"/>
      <c r="I4746" s="549"/>
      <c r="J4746" s="549"/>
      <c r="K4746" s="549"/>
      <c r="M4746" s="465"/>
      <c r="N4746" s="201"/>
    </row>
    <row r="4747" spans="2:14" hidden="1" outlineLevel="1" x14ac:dyDescent="0.35">
      <c r="B4747" s="200"/>
      <c r="C4747" s="201"/>
      <c r="D4747" s="201"/>
      <c r="E4747" s="201"/>
      <c r="F4747" s="202"/>
      <c r="G4747" s="549"/>
      <c r="H4747" s="549"/>
      <c r="I4747" s="549"/>
      <c r="J4747" s="549"/>
      <c r="K4747" s="549"/>
      <c r="M4747" s="465"/>
      <c r="N4747" s="201"/>
    </row>
    <row r="4748" spans="2:14" hidden="1" outlineLevel="1" x14ac:dyDescent="0.35">
      <c r="B4748" s="200"/>
      <c r="C4748" s="201"/>
      <c r="D4748" s="201"/>
      <c r="E4748" s="201"/>
      <c r="F4748" s="202"/>
      <c r="G4748" s="549"/>
      <c r="H4748" s="549"/>
      <c r="I4748" s="549"/>
      <c r="J4748" s="549"/>
      <c r="K4748" s="549"/>
      <c r="M4748" s="465"/>
      <c r="N4748" s="201"/>
    </row>
    <row r="4749" spans="2:14" hidden="1" outlineLevel="1" x14ac:dyDescent="0.35">
      <c r="B4749" s="200"/>
      <c r="C4749" s="201"/>
      <c r="D4749" s="201"/>
      <c r="E4749" s="201"/>
      <c r="F4749" s="202"/>
      <c r="G4749" s="549"/>
      <c r="H4749" s="549"/>
      <c r="I4749" s="549"/>
      <c r="J4749" s="549"/>
      <c r="K4749" s="549"/>
      <c r="M4749" s="465"/>
      <c r="N4749" s="201"/>
    </row>
    <row r="4750" spans="2:14" hidden="1" outlineLevel="1" x14ac:dyDescent="0.35">
      <c r="B4750" s="200"/>
      <c r="C4750" s="201"/>
      <c r="D4750" s="201"/>
      <c r="E4750" s="201"/>
      <c r="F4750" s="202"/>
      <c r="G4750" s="549"/>
      <c r="H4750" s="549"/>
      <c r="I4750" s="549"/>
      <c r="J4750" s="549"/>
      <c r="K4750" s="549"/>
      <c r="M4750" s="465"/>
      <c r="N4750" s="201"/>
    </row>
    <row r="4751" spans="2:14" hidden="1" outlineLevel="1" x14ac:dyDescent="0.35">
      <c r="B4751" s="200"/>
      <c r="C4751" s="201"/>
      <c r="D4751" s="201"/>
      <c r="E4751" s="201"/>
      <c r="F4751" s="202"/>
      <c r="G4751" s="549"/>
      <c r="H4751" s="549"/>
      <c r="I4751" s="549"/>
      <c r="J4751" s="549"/>
      <c r="K4751" s="549"/>
      <c r="M4751" s="465"/>
      <c r="N4751" s="201"/>
    </row>
    <row r="4752" spans="2:14" hidden="1" outlineLevel="1" x14ac:dyDescent="0.35">
      <c r="B4752" s="200"/>
      <c r="C4752" s="201"/>
      <c r="D4752" s="201"/>
      <c r="E4752" s="201"/>
      <c r="F4752" s="202"/>
      <c r="G4752" s="549"/>
      <c r="H4752" s="549"/>
      <c r="I4752" s="549"/>
      <c r="J4752" s="549"/>
      <c r="K4752" s="549"/>
      <c r="M4752" s="465"/>
      <c r="N4752" s="201"/>
    </row>
    <row r="4753" spans="2:14" hidden="1" outlineLevel="1" x14ac:dyDescent="0.35">
      <c r="B4753" s="200"/>
      <c r="C4753" s="201"/>
      <c r="D4753" s="201"/>
      <c r="E4753" s="201"/>
      <c r="F4753" s="202"/>
      <c r="G4753" s="549"/>
      <c r="H4753" s="549"/>
      <c r="I4753" s="549"/>
      <c r="J4753" s="549"/>
      <c r="K4753" s="549"/>
      <c r="M4753" s="465"/>
      <c r="N4753" s="201"/>
    </row>
    <row r="4754" spans="2:14" hidden="1" outlineLevel="1" x14ac:dyDescent="0.35">
      <c r="B4754" s="200"/>
      <c r="C4754" s="201"/>
      <c r="D4754" s="201"/>
      <c r="E4754" s="201"/>
      <c r="F4754" s="202"/>
      <c r="G4754" s="549"/>
      <c r="H4754" s="549"/>
      <c r="I4754" s="549"/>
      <c r="J4754" s="549"/>
      <c r="K4754" s="549"/>
      <c r="M4754" s="465"/>
      <c r="N4754" s="201"/>
    </row>
    <row r="4755" spans="2:14" hidden="1" outlineLevel="1" x14ac:dyDescent="0.35">
      <c r="B4755" s="200"/>
      <c r="C4755" s="201"/>
      <c r="D4755" s="201"/>
      <c r="E4755" s="201"/>
      <c r="F4755" s="202"/>
      <c r="G4755" s="549"/>
      <c r="H4755" s="549"/>
      <c r="I4755" s="549"/>
      <c r="J4755" s="549"/>
      <c r="K4755" s="549"/>
      <c r="M4755" s="465"/>
      <c r="N4755" s="201"/>
    </row>
    <row r="4756" spans="2:14" hidden="1" outlineLevel="1" x14ac:dyDescent="0.35">
      <c r="B4756" s="200"/>
      <c r="C4756" s="201"/>
      <c r="D4756" s="201"/>
      <c r="E4756" s="201"/>
      <c r="F4756" s="202"/>
      <c r="G4756" s="549"/>
      <c r="H4756" s="549"/>
      <c r="I4756" s="549"/>
      <c r="J4756" s="549"/>
      <c r="K4756" s="549"/>
      <c r="M4756" s="465"/>
      <c r="N4756" s="201"/>
    </row>
    <row r="4757" spans="2:14" hidden="1" outlineLevel="1" x14ac:dyDescent="0.35">
      <c r="B4757" s="200"/>
      <c r="C4757" s="201"/>
      <c r="D4757" s="201"/>
      <c r="E4757" s="201"/>
      <c r="F4757" s="202"/>
      <c r="G4757" s="549"/>
      <c r="H4757" s="549"/>
      <c r="I4757" s="549"/>
      <c r="J4757" s="549"/>
      <c r="K4757" s="549"/>
      <c r="M4757" s="465"/>
      <c r="N4757" s="201"/>
    </row>
    <row r="4758" spans="2:14" hidden="1" outlineLevel="1" x14ac:dyDescent="0.35">
      <c r="B4758" s="200"/>
      <c r="C4758" s="201"/>
      <c r="D4758" s="201"/>
      <c r="E4758" s="201"/>
      <c r="F4758" s="202"/>
      <c r="G4758" s="549"/>
      <c r="H4758" s="549"/>
      <c r="I4758" s="549"/>
      <c r="J4758" s="549"/>
      <c r="K4758" s="549"/>
      <c r="M4758" s="465"/>
      <c r="N4758" s="201"/>
    </row>
    <row r="4759" spans="2:14" hidden="1" outlineLevel="1" x14ac:dyDescent="0.35">
      <c r="B4759" s="200"/>
      <c r="C4759" s="201"/>
      <c r="D4759" s="201"/>
      <c r="E4759" s="201"/>
      <c r="F4759" s="202"/>
      <c r="G4759" s="549"/>
      <c r="H4759" s="549"/>
      <c r="I4759" s="549"/>
      <c r="J4759" s="549"/>
      <c r="K4759" s="549"/>
      <c r="M4759" s="465"/>
      <c r="N4759" s="201"/>
    </row>
    <row r="4760" spans="2:14" hidden="1" outlineLevel="1" x14ac:dyDescent="0.35">
      <c r="B4760" s="200"/>
      <c r="C4760" s="201"/>
      <c r="D4760" s="201"/>
      <c r="E4760" s="201"/>
      <c r="F4760" s="202"/>
      <c r="G4760" s="549"/>
      <c r="H4760" s="549"/>
      <c r="I4760" s="549"/>
      <c r="J4760" s="549"/>
      <c r="K4760" s="549"/>
      <c r="M4760" s="465"/>
      <c r="N4760" s="201"/>
    </row>
    <row r="4761" spans="2:14" hidden="1" outlineLevel="1" x14ac:dyDescent="0.35">
      <c r="B4761" s="200"/>
      <c r="C4761" s="201"/>
      <c r="D4761" s="201"/>
      <c r="E4761" s="201"/>
      <c r="F4761" s="202"/>
      <c r="G4761" s="549"/>
      <c r="H4761" s="549"/>
      <c r="I4761" s="549"/>
      <c r="J4761" s="549"/>
      <c r="K4761" s="549"/>
      <c r="M4761" s="465"/>
      <c r="N4761" s="201"/>
    </row>
    <row r="4762" spans="2:14" hidden="1" outlineLevel="1" x14ac:dyDescent="0.35">
      <c r="B4762" s="200"/>
      <c r="C4762" s="201"/>
      <c r="D4762" s="201"/>
      <c r="E4762" s="201"/>
      <c r="F4762" s="202"/>
      <c r="G4762" s="549"/>
      <c r="H4762" s="549"/>
      <c r="I4762" s="549"/>
      <c r="J4762" s="549"/>
      <c r="K4762" s="549"/>
      <c r="M4762" s="465"/>
      <c r="N4762" s="201"/>
    </row>
    <row r="4763" spans="2:14" hidden="1" outlineLevel="1" x14ac:dyDescent="0.35">
      <c r="B4763" s="200"/>
      <c r="C4763" s="201"/>
      <c r="D4763" s="201"/>
      <c r="E4763" s="201"/>
      <c r="F4763" s="202"/>
      <c r="G4763" s="549"/>
      <c r="H4763" s="549"/>
      <c r="I4763" s="549"/>
      <c r="J4763" s="549"/>
      <c r="K4763" s="549"/>
      <c r="M4763" s="465"/>
      <c r="N4763" s="201"/>
    </row>
    <row r="4764" spans="2:14" hidden="1" outlineLevel="1" x14ac:dyDescent="0.35">
      <c r="B4764" s="200"/>
      <c r="C4764" s="201"/>
      <c r="D4764" s="201"/>
      <c r="E4764" s="201"/>
      <c r="F4764" s="202"/>
      <c r="G4764" s="549"/>
      <c r="H4764" s="549"/>
      <c r="I4764" s="549"/>
      <c r="J4764" s="549"/>
      <c r="K4764" s="549"/>
      <c r="M4764" s="465"/>
      <c r="N4764" s="201"/>
    </row>
    <row r="4765" spans="2:14" hidden="1" outlineLevel="1" x14ac:dyDescent="0.35">
      <c r="B4765" s="200"/>
      <c r="C4765" s="201"/>
      <c r="D4765" s="201"/>
      <c r="E4765" s="201"/>
      <c r="F4765" s="202"/>
      <c r="G4765" s="549"/>
      <c r="H4765" s="549"/>
      <c r="I4765" s="549"/>
      <c r="J4765" s="549"/>
      <c r="K4765" s="549"/>
      <c r="M4765" s="465"/>
      <c r="N4765" s="201"/>
    </row>
    <row r="4766" spans="2:14" hidden="1" outlineLevel="1" x14ac:dyDescent="0.35">
      <c r="B4766" s="200"/>
      <c r="C4766" s="201"/>
      <c r="D4766" s="201"/>
      <c r="E4766" s="201"/>
      <c r="F4766" s="202"/>
      <c r="G4766" s="549"/>
      <c r="H4766" s="549"/>
      <c r="I4766" s="549"/>
      <c r="J4766" s="549"/>
      <c r="K4766" s="549"/>
      <c r="M4766" s="465"/>
      <c r="N4766" s="201"/>
    </row>
    <row r="4767" spans="2:14" hidden="1" outlineLevel="1" x14ac:dyDescent="0.35">
      <c r="B4767" s="200"/>
      <c r="C4767" s="201"/>
      <c r="D4767" s="201"/>
      <c r="E4767" s="201"/>
      <c r="F4767" s="202"/>
      <c r="G4767" s="549"/>
      <c r="H4767" s="549"/>
      <c r="I4767" s="549"/>
      <c r="J4767" s="549"/>
      <c r="K4767" s="549"/>
      <c r="M4767" s="465"/>
      <c r="N4767" s="201"/>
    </row>
    <row r="4768" spans="2:14" hidden="1" outlineLevel="1" x14ac:dyDescent="0.35">
      <c r="B4768" s="200"/>
      <c r="C4768" s="201"/>
      <c r="D4768" s="201"/>
      <c r="E4768" s="201"/>
      <c r="F4768" s="202"/>
      <c r="G4768" s="549"/>
      <c r="H4768" s="549"/>
      <c r="I4768" s="549"/>
      <c r="J4768" s="549"/>
      <c r="K4768" s="549"/>
      <c r="M4768" s="465"/>
      <c r="N4768" s="201"/>
    </row>
    <row r="4769" spans="2:14" hidden="1" outlineLevel="1" x14ac:dyDescent="0.35">
      <c r="B4769" s="200"/>
      <c r="C4769" s="201"/>
      <c r="D4769" s="201"/>
      <c r="E4769" s="201"/>
      <c r="F4769" s="202"/>
      <c r="G4769" s="549"/>
      <c r="H4769" s="549"/>
      <c r="I4769" s="549"/>
      <c r="J4769" s="549"/>
      <c r="K4769" s="549"/>
      <c r="M4769" s="465"/>
      <c r="N4769" s="201"/>
    </row>
    <row r="4770" spans="2:14" hidden="1" outlineLevel="1" x14ac:dyDescent="0.35">
      <c r="B4770" s="200"/>
      <c r="C4770" s="201"/>
      <c r="D4770" s="201"/>
      <c r="E4770" s="201"/>
      <c r="F4770" s="202"/>
      <c r="G4770" s="549"/>
      <c r="H4770" s="549"/>
      <c r="I4770" s="549"/>
      <c r="J4770" s="549"/>
      <c r="K4770" s="549"/>
      <c r="M4770" s="465"/>
      <c r="N4770" s="201"/>
    </row>
    <row r="4771" spans="2:14" hidden="1" outlineLevel="1" x14ac:dyDescent="0.35">
      <c r="B4771" s="200"/>
      <c r="C4771" s="201"/>
      <c r="D4771" s="201"/>
      <c r="E4771" s="201"/>
      <c r="F4771" s="202"/>
      <c r="G4771" s="549"/>
      <c r="H4771" s="549"/>
      <c r="I4771" s="549"/>
      <c r="J4771" s="549"/>
      <c r="K4771" s="549"/>
      <c r="M4771" s="465"/>
      <c r="N4771" s="201"/>
    </row>
    <row r="4772" spans="2:14" hidden="1" outlineLevel="1" x14ac:dyDescent="0.35">
      <c r="B4772" s="200"/>
      <c r="C4772" s="201"/>
      <c r="D4772" s="201"/>
      <c r="E4772" s="201"/>
      <c r="F4772" s="202"/>
      <c r="G4772" s="549"/>
      <c r="H4772" s="549"/>
      <c r="I4772" s="549"/>
      <c r="J4772" s="549"/>
      <c r="K4772" s="549"/>
      <c r="M4772" s="465"/>
      <c r="N4772" s="201"/>
    </row>
    <row r="4773" spans="2:14" hidden="1" outlineLevel="1" x14ac:dyDescent="0.35">
      <c r="B4773" s="200"/>
      <c r="C4773" s="201"/>
      <c r="D4773" s="201"/>
      <c r="E4773" s="201"/>
      <c r="F4773" s="202"/>
      <c r="G4773" s="549"/>
      <c r="H4773" s="549"/>
      <c r="I4773" s="549"/>
      <c r="J4773" s="549"/>
      <c r="K4773" s="549"/>
      <c r="M4773" s="465"/>
      <c r="N4773" s="201"/>
    </row>
    <row r="4774" spans="2:14" hidden="1" outlineLevel="1" x14ac:dyDescent="0.35">
      <c r="B4774" s="200"/>
      <c r="C4774" s="201"/>
      <c r="D4774" s="201"/>
      <c r="E4774" s="201"/>
      <c r="F4774" s="202"/>
      <c r="G4774" s="549"/>
      <c r="H4774" s="549"/>
      <c r="I4774" s="549"/>
      <c r="J4774" s="549"/>
      <c r="K4774" s="549"/>
      <c r="M4774" s="465"/>
      <c r="N4774" s="201"/>
    </row>
    <row r="4775" spans="2:14" hidden="1" outlineLevel="1" x14ac:dyDescent="0.35">
      <c r="B4775" s="200"/>
      <c r="C4775" s="201"/>
      <c r="D4775" s="201"/>
      <c r="E4775" s="201"/>
      <c r="F4775" s="202"/>
      <c r="G4775" s="549"/>
      <c r="H4775" s="549"/>
      <c r="I4775" s="549"/>
      <c r="J4775" s="549"/>
      <c r="K4775" s="549"/>
      <c r="M4775" s="465"/>
      <c r="N4775" s="201"/>
    </row>
    <row r="4776" spans="2:14" hidden="1" outlineLevel="1" x14ac:dyDescent="0.35">
      <c r="B4776" s="200"/>
      <c r="C4776" s="201"/>
      <c r="D4776" s="201"/>
      <c r="E4776" s="201"/>
      <c r="F4776" s="202"/>
      <c r="G4776" s="549"/>
      <c r="H4776" s="549"/>
      <c r="I4776" s="549"/>
      <c r="J4776" s="549"/>
      <c r="K4776" s="549"/>
      <c r="M4776" s="465"/>
      <c r="N4776" s="201"/>
    </row>
    <row r="4777" spans="2:14" hidden="1" outlineLevel="1" x14ac:dyDescent="0.35">
      <c r="B4777" s="200"/>
      <c r="C4777" s="201"/>
      <c r="D4777" s="201"/>
      <c r="E4777" s="201"/>
      <c r="F4777" s="202"/>
      <c r="G4777" s="549"/>
      <c r="H4777" s="549"/>
      <c r="I4777" s="549"/>
      <c r="J4777" s="549"/>
      <c r="K4777" s="549"/>
      <c r="M4777" s="465"/>
      <c r="N4777" s="201"/>
    </row>
    <row r="4778" spans="2:14" hidden="1" outlineLevel="1" x14ac:dyDescent="0.35">
      <c r="B4778" s="200"/>
      <c r="C4778" s="201"/>
      <c r="D4778" s="201"/>
      <c r="E4778" s="201"/>
      <c r="F4778" s="202"/>
      <c r="G4778" s="549"/>
      <c r="H4778" s="549"/>
      <c r="I4778" s="549"/>
      <c r="J4778" s="549"/>
      <c r="K4778" s="549"/>
      <c r="M4778" s="465"/>
      <c r="N4778" s="201"/>
    </row>
    <row r="4779" spans="2:14" hidden="1" outlineLevel="1" x14ac:dyDescent="0.35">
      <c r="B4779" s="200"/>
      <c r="C4779" s="201"/>
      <c r="D4779" s="201"/>
      <c r="E4779" s="201"/>
      <c r="F4779" s="202"/>
      <c r="G4779" s="549"/>
      <c r="H4779" s="549"/>
      <c r="I4779" s="549"/>
      <c r="J4779" s="549"/>
      <c r="K4779" s="549"/>
      <c r="M4779" s="465"/>
      <c r="N4779" s="201"/>
    </row>
    <row r="4780" spans="2:14" hidden="1" outlineLevel="1" x14ac:dyDescent="0.35">
      <c r="B4780" s="200"/>
      <c r="C4780" s="201"/>
      <c r="D4780" s="201"/>
      <c r="E4780" s="201"/>
      <c r="F4780" s="202"/>
      <c r="G4780" s="549"/>
      <c r="H4780" s="549"/>
      <c r="I4780" s="549"/>
      <c r="J4780" s="549"/>
      <c r="K4780" s="549"/>
      <c r="M4780" s="465"/>
      <c r="N4780" s="201"/>
    </row>
    <row r="4781" spans="2:14" hidden="1" outlineLevel="1" x14ac:dyDescent="0.35">
      <c r="B4781" s="200"/>
      <c r="C4781" s="201"/>
      <c r="D4781" s="201"/>
      <c r="E4781" s="201"/>
      <c r="F4781" s="202"/>
      <c r="G4781" s="549"/>
      <c r="H4781" s="549"/>
      <c r="I4781" s="549"/>
      <c r="J4781" s="549"/>
      <c r="K4781" s="549"/>
      <c r="M4781" s="465"/>
      <c r="N4781" s="201"/>
    </row>
    <row r="4782" spans="2:14" hidden="1" outlineLevel="1" x14ac:dyDescent="0.35">
      <c r="B4782" s="200"/>
      <c r="C4782" s="201"/>
      <c r="D4782" s="201"/>
      <c r="E4782" s="201"/>
      <c r="F4782" s="202"/>
      <c r="G4782" s="549"/>
      <c r="H4782" s="549"/>
      <c r="I4782" s="549"/>
      <c r="J4782" s="549"/>
      <c r="K4782" s="549"/>
      <c r="M4782" s="465"/>
      <c r="N4782" s="201"/>
    </row>
    <row r="4783" spans="2:14" hidden="1" outlineLevel="1" x14ac:dyDescent="0.35">
      <c r="B4783" s="200"/>
      <c r="C4783" s="201"/>
      <c r="D4783" s="201"/>
      <c r="E4783" s="201"/>
      <c r="F4783" s="202"/>
      <c r="G4783" s="549"/>
      <c r="H4783" s="549"/>
      <c r="I4783" s="549"/>
      <c r="J4783" s="549"/>
      <c r="K4783" s="549"/>
      <c r="M4783" s="465"/>
      <c r="N4783" s="201"/>
    </row>
    <row r="4784" spans="2:14" hidden="1" outlineLevel="1" x14ac:dyDescent="0.35">
      <c r="B4784" s="200"/>
      <c r="C4784" s="201"/>
      <c r="D4784" s="201"/>
      <c r="E4784" s="201"/>
      <c r="F4784" s="202"/>
      <c r="G4784" s="549"/>
      <c r="H4784" s="549"/>
      <c r="I4784" s="549"/>
      <c r="J4784" s="549"/>
      <c r="K4784" s="549"/>
      <c r="M4784" s="465"/>
      <c r="N4784" s="201"/>
    </row>
    <row r="4785" spans="2:14" hidden="1" outlineLevel="1" x14ac:dyDescent="0.35">
      <c r="B4785" s="200"/>
      <c r="C4785" s="201"/>
      <c r="D4785" s="201"/>
      <c r="E4785" s="201"/>
      <c r="F4785" s="202"/>
      <c r="G4785" s="549"/>
      <c r="H4785" s="549"/>
      <c r="I4785" s="549"/>
      <c r="J4785" s="549"/>
      <c r="K4785" s="549"/>
      <c r="M4785" s="465"/>
      <c r="N4785" s="201"/>
    </row>
    <row r="4786" spans="2:14" hidden="1" outlineLevel="1" x14ac:dyDescent="0.35">
      <c r="B4786" s="200"/>
      <c r="C4786" s="201"/>
      <c r="D4786" s="201"/>
      <c r="E4786" s="201"/>
      <c r="F4786" s="202"/>
      <c r="G4786" s="549"/>
      <c r="H4786" s="549"/>
      <c r="I4786" s="549"/>
      <c r="J4786" s="549"/>
      <c r="K4786" s="549"/>
      <c r="M4786" s="465"/>
      <c r="N4786" s="201"/>
    </row>
    <row r="4787" spans="2:14" hidden="1" outlineLevel="1" x14ac:dyDescent="0.35">
      <c r="B4787" s="200"/>
      <c r="C4787" s="201"/>
      <c r="D4787" s="201"/>
      <c r="E4787" s="201"/>
      <c r="F4787" s="202"/>
      <c r="G4787" s="549"/>
      <c r="H4787" s="549"/>
      <c r="I4787" s="549"/>
      <c r="J4787" s="549"/>
      <c r="K4787" s="549"/>
      <c r="M4787" s="465"/>
      <c r="N4787" s="201"/>
    </row>
    <row r="4788" spans="2:14" hidden="1" outlineLevel="1" x14ac:dyDescent="0.35">
      <c r="B4788" s="200"/>
      <c r="C4788" s="201"/>
      <c r="D4788" s="201"/>
      <c r="E4788" s="201"/>
      <c r="F4788" s="202"/>
      <c r="G4788" s="549"/>
      <c r="H4788" s="549"/>
      <c r="I4788" s="549"/>
      <c r="J4788" s="549"/>
      <c r="K4788" s="549"/>
      <c r="M4788" s="465"/>
      <c r="N4788" s="201"/>
    </row>
    <row r="4789" spans="2:14" hidden="1" outlineLevel="1" x14ac:dyDescent="0.35">
      <c r="B4789" s="200"/>
      <c r="C4789" s="201"/>
      <c r="D4789" s="201"/>
      <c r="E4789" s="201"/>
      <c r="F4789" s="202"/>
      <c r="G4789" s="549"/>
      <c r="H4789" s="549"/>
      <c r="I4789" s="549"/>
      <c r="J4789" s="549"/>
      <c r="K4789" s="549"/>
      <c r="M4789" s="465"/>
      <c r="N4789" s="201"/>
    </row>
    <row r="4790" spans="2:14" hidden="1" outlineLevel="1" x14ac:dyDescent="0.35">
      <c r="B4790" s="200"/>
      <c r="C4790" s="201"/>
      <c r="D4790" s="201"/>
      <c r="E4790" s="201"/>
      <c r="F4790" s="202"/>
      <c r="G4790" s="549"/>
      <c r="H4790" s="549"/>
      <c r="I4790" s="549"/>
      <c r="J4790" s="549"/>
      <c r="K4790" s="549"/>
      <c r="M4790" s="465"/>
      <c r="N4790" s="201"/>
    </row>
    <row r="4791" spans="2:14" hidden="1" outlineLevel="1" x14ac:dyDescent="0.35">
      <c r="B4791" s="200"/>
      <c r="C4791" s="201"/>
      <c r="D4791" s="201"/>
      <c r="E4791" s="201"/>
      <c r="F4791" s="202"/>
      <c r="G4791" s="549"/>
      <c r="H4791" s="549"/>
      <c r="I4791" s="549"/>
      <c r="J4791" s="549"/>
      <c r="K4791" s="549"/>
      <c r="M4791" s="465"/>
      <c r="N4791" s="201"/>
    </row>
    <row r="4792" spans="2:14" hidden="1" outlineLevel="1" x14ac:dyDescent="0.35">
      <c r="B4792" s="200"/>
      <c r="C4792" s="201"/>
      <c r="D4792" s="201"/>
      <c r="E4792" s="201"/>
      <c r="F4792" s="202"/>
      <c r="G4792" s="549"/>
      <c r="H4792" s="549"/>
      <c r="I4792" s="549"/>
      <c r="J4792" s="549"/>
      <c r="K4792" s="549"/>
      <c r="M4792" s="465"/>
      <c r="N4792" s="201"/>
    </row>
    <row r="4793" spans="2:14" hidden="1" outlineLevel="1" x14ac:dyDescent="0.35">
      <c r="B4793" s="200"/>
      <c r="C4793" s="201"/>
      <c r="D4793" s="201"/>
      <c r="E4793" s="201"/>
      <c r="F4793" s="202"/>
      <c r="G4793" s="549"/>
      <c r="H4793" s="549"/>
      <c r="I4793" s="549"/>
      <c r="J4793" s="549"/>
      <c r="K4793" s="549"/>
      <c r="M4793" s="465"/>
      <c r="N4793" s="201"/>
    </row>
    <row r="4794" spans="2:14" hidden="1" outlineLevel="1" x14ac:dyDescent="0.35">
      <c r="B4794" s="200"/>
      <c r="C4794" s="201"/>
      <c r="D4794" s="201"/>
      <c r="E4794" s="201"/>
      <c r="F4794" s="202"/>
      <c r="G4794" s="549"/>
      <c r="H4794" s="549"/>
      <c r="I4794" s="549"/>
      <c r="J4794" s="549"/>
      <c r="K4794" s="549"/>
      <c r="M4794" s="465"/>
      <c r="N4794" s="201"/>
    </row>
    <row r="4795" spans="2:14" hidden="1" outlineLevel="1" x14ac:dyDescent="0.35">
      <c r="B4795" s="200"/>
      <c r="C4795" s="201"/>
      <c r="D4795" s="201"/>
      <c r="E4795" s="201"/>
      <c r="F4795" s="202"/>
      <c r="G4795" s="549"/>
      <c r="H4795" s="549"/>
      <c r="I4795" s="549"/>
      <c r="J4795" s="549"/>
      <c r="K4795" s="549"/>
      <c r="M4795" s="465"/>
      <c r="N4795" s="201"/>
    </row>
    <row r="4796" spans="2:14" hidden="1" outlineLevel="1" x14ac:dyDescent="0.35">
      <c r="B4796" s="200"/>
      <c r="C4796" s="201"/>
      <c r="D4796" s="201"/>
      <c r="E4796" s="201"/>
      <c r="F4796" s="202"/>
      <c r="G4796" s="549"/>
      <c r="H4796" s="549"/>
      <c r="I4796" s="549"/>
      <c r="J4796" s="549"/>
      <c r="K4796" s="549"/>
      <c r="M4796" s="465"/>
      <c r="N4796" s="201"/>
    </row>
    <row r="4797" spans="2:14" hidden="1" outlineLevel="1" x14ac:dyDescent="0.35">
      <c r="B4797" s="200"/>
      <c r="C4797" s="201"/>
      <c r="D4797" s="201"/>
      <c r="E4797" s="201"/>
      <c r="F4797" s="202"/>
      <c r="G4797" s="549"/>
      <c r="H4797" s="549"/>
      <c r="I4797" s="549"/>
      <c r="J4797" s="549"/>
      <c r="K4797" s="549"/>
      <c r="M4797" s="465"/>
      <c r="N4797" s="201"/>
    </row>
    <row r="4798" spans="2:14" hidden="1" outlineLevel="1" x14ac:dyDescent="0.35">
      <c r="B4798" s="200"/>
      <c r="C4798" s="201"/>
      <c r="D4798" s="201"/>
      <c r="E4798" s="201"/>
      <c r="F4798" s="202"/>
      <c r="G4798" s="549"/>
      <c r="H4798" s="549"/>
      <c r="I4798" s="549"/>
      <c r="J4798" s="549"/>
      <c r="K4798" s="549"/>
      <c r="M4798" s="465"/>
      <c r="N4798" s="201"/>
    </row>
    <row r="4799" spans="2:14" hidden="1" outlineLevel="1" x14ac:dyDescent="0.35">
      <c r="B4799" s="200"/>
      <c r="C4799" s="201"/>
      <c r="D4799" s="201"/>
      <c r="E4799" s="201"/>
      <c r="F4799" s="202"/>
      <c r="G4799" s="549"/>
      <c r="H4799" s="549"/>
      <c r="I4799" s="549"/>
      <c r="J4799" s="549"/>
      <c r="K4799" s="549"/>
      <c r="M4799" s="465"/>
      <c r="N4799" s="201"/>
    </row>
    <row r="4800" spans="2:14" hidden="1" outlineLevel="1" x14ac:dyDescent="0.35">
      <c r="B4800" s="200"/>
      <c r="C4800" s="201"/>
      <c r="D4800" s="201"/>
      <c r="E4800" s="201"/>
      <c r="F4800" s="202"/>
      <c r="G4800" s="549"/>
      <c r="H4800" s="549"/>
      <c r="I4800" s="549"/>
      <c r="J4800" s="549"/>
      <c r="K4800" s="549"/>
      <c r="M4800" s="465"/>
      <c r="N4800" s="201"/>
    </row>
    <row r="4801" spans="2:14" hidden="1" outlineLevel="1" x14ac:dyDescent="0.35">
      <c r="B4801" s="200"/>
      <c r="C4801" s="201"/>
      <c r="D4801" s="201"/>
      <c r="E4801" s="201"/>
      <c r="F4801" s="202"/>
      <c r="G4801" s="549"/>
      <c r="H4801" s="549"/>
      <c r="I4801" s="549"/>
      <c r="J4801" s="549"/>
      <c r="K4801" s="549"/>
      <c r="M4801" s="465"/>
      <c r="N4801" s="201"/>
    </row>
    <row r="4802" spans="2:14" hidden="1" outlineLevel="1" x14ac:dyDescent="0.35">
      <c r="B4802" s="200"/>
      <c r="C4802" s="201"/>
      <c r="D4802" s="201"/>
      <c r="E4802" s="201"/>
      <c r="F4802" s="202"/>
      <c r="G4802" s="549"/>
      <c r="H4802" s="549"/>
      <c r="I4802" s="549"/>
      <c r="J4802" s="549"/>
      <c r="K4802" s="549"/>
      <c r="M4802" s="465"/>
      <c r="N4802" s="201"/>
    </row>
    <row r="4803" spans="2:14" hidden="1" outlineLevel="1" x14ac:dyDescent="0.35">
      <c r="B4803" s="200"/>
      <c r="C4803" s="201"/>
      <c r="D4803" s="201"/>
      <c r="E4803" s="201"/>
      <c r="F4803" s="202"/>
      <c r="G4803" s="549"/>
      <c r="H4803" s="549"/>
      <c r="I4803" s="549"/>
      <c r="J4803" s="549"/>
      <c r="K4803" s="549"/>
      <c r="M4803" s="465"/>
      <c r="N4803" s="201"/>
    </row>
    <row r="4804" spans="2:14" hidden="1" outlineLevel="1" x14ac:dyDescent="0.35">
      <c r="B4804" s="200"/>
      <c r="C4804" s="201"/>
      <c r="D4804" s="201"/>
      <c r="E4804" s="201"/>
      <c r="F4804" s="202"/>
      <c r="G4804" s="549"/>
      <c r="H4804" s="549"/>
      <c r="I4804" s="549"/>
      <c r="J4804" s="549"/>
      <c r="K4804" s="549"/>
      <c r="M4804" s="465"/>
      <c r="N4804" s="201"/>
    </row>
    <row r="4805" spans="2:14" hidden="1" outlineLevel="1" x14ac:dyDescent="0.35">
      <c r="B4805" s="200"/>
      <c r="C4805" s="201"/>
      <c r="D4805" s="201"/>
      <c r="E4805" s="201"/>
      <c r="F4805" s="202"/>
      <c r="G4805" s="549"/>
      <c r="H4805" s="549"/>
      <c r="I4805" s="549"/>
      <c r="J4805" s="549"/>
      <c r="K4805" s="549"/>
      <c r="M4805" s="465"/>
      <c r="N4805" s="201"/>
    </row>
    <row r="4806" spans="2:14" hidden="1" outlineLevel="1" x14ac:dyDescent="0.35">
      <c r="B4806" s="200"/>
      <c r="C4806" s="201"/>
      <c r="D4806" s="201"/>
      <c r="E4806" s="201"/>
      <c r="F4806" s="202"/>
      <c r="G4806" s="549"/>
      <c r="H4806" s="549"/>
      <c r="I4806" s="549"/>
      <c r="J4806" s="549"/>
      <c r="K4806" s="549"/>
      <c r="M4806" s="465"/>
      <c r="N4806" s="201"/>
    </row>
    <row r="4807" spans="2:14" hidden="1" outlineLevel="1" x14ac:dyDescent="0.35">
      <c r="B4807" s="200"/>
      <c r="C4807" s="201"/>
      <c r="D4807" s="201"/>
      <c r="E4807" s="201"/>
      <c r="F4807" s="202"/>
      <c r="G4807" s="549"/>
      <c r="H4807" s="549"/>
      <c r="I4807" s="549"/>
      <c r="J4807" s="549"/>
      <c r="K4807" s="549"/>
      <c r="M4807" s="465"/>
      <c r="N4807" s="201"/>
    </row>
    <row r="4808" spans="2:14" hidden="1" outlineLevel="1" x14ac:dyDescent="0.35">
      <c r="B4808" s="200"/>
      <c r="C4808" s="201"/>
      <c r="D4808" s="201"/>
      <c r="E4808" s="201"/>
      <c r="F4808" s="202"/>
      <c r="G4808" s="549"/>
      <c r="H4808" s="549"/>
      <c r="I4808" s="549"/>
      <c r="J4808" s="549"/>
      <c r="K4808" s="549"/>
      <c r="M4808" s="465"/>
      <c r="N4808" s="201"/>
    </row>
    <row r="4809" spans="2:14" hidden="1" outlineLevel="1" x14ac:dyDescent="0.35">
      <c r="B4809" s="200"/>
      <c r="C4809" s="201"/>
      <c r="D4809" s="201"/>
      <c r="E4809" s="201"/>
      <c r="F4809" s="202"/>
      <c r="G4809" s="549"/>
      <c r="H4809" s="549"/>
      <c r="I4809" s="549"/>
      <c r="J4809" s="549"/>
      <c r="K4809" s="549"/>
      <c r="M4809" s="465"/>
      <c r="N4809" s="201"/>
    </row>
    <row r="4810" spans="2:14" hidden="1" outlineLevel="1" x14ac:dyDescent="0.35">
      <c r="B4810" s="200"/>
      <c r="C4810" s="201"/>
      <c r="D4810" s="201"/>
      <c r="E4810" s="201"/>
      <c r="F4810" s="202"/>
      <c r="G4810" s="549"/>
      <c r="H4810" s="549"/>
      <c r="I4810" s="549"/>
      <c r="J4810" s="549"/>
      <c r="K4810" s="549"/>
      <c r="M4810" s="465"/>
      <c r="N4810" s="201"/>
    </row>
    <row r="4811" spans="2:14" hidden="1" outlineLevel="1" x14ac:dyDescent="0.35">
      <c r="B4811" s="200"/>
      <c r="C4811" s="201"/>
      <c r="D4811" s="201"/>
      <c r="E4811" s="201"/>
      <c r="F4811" s="202"/>
      <c r="G4811" s="549"/>
      <c r="H4811" s="549"/>
      <c r="I4811" s="549"/>
      <c r="J4811" s="549"/>
      <c r="K4811" s="549"/>
      <c r="M4811" s="465"/>
      <c r="N4811" s="201"/>
    </row>
    <row r="4812" spans="2:14" hidden="1" outlineLevel="1" x14ac:dyDescent="0.35">
      <c r="B4812" s="200"/>
      <c r="C4812" s="201"/>
      <c r="D4812" s="201"/>
      <c r="E4812" s="201"/>
      <c r="F4812" s="202"/>
      <c r="G4812" s="549"/>
      <c r="H4812" s="549"/>
      <c r="I4812" s="549"/>
      <c r="J4812" s="549"/>
      <c r="K4812" s="549"/>
      <c r="M4812" s="465"/>
      <c r="N4812" s="201"/>
    </row>
    <row r="4813" spans="2:14" hidden="1" outlineLevel="1" x14ac:dyDescent="0.35">
      <c r="B4813" s="200"/>
      <c r="C4813" s="201"/>
      <c r="D4813" s="201"/>
      <c r="E4813" s="201"/>
      <c r="F4813" s="202"/>
      <c r="G4813" s="549"/>
      <c r="H4813" s="549"/>
      <c r="I4813" s="549"/>
      <c r="J4813" s="549"/>
      <c r="K4813" s="549"/>
      <c r="M4813" s="465"/>
      <c r="N4813" s="201"/>
    </row>
    <row r="4814" spans="2:14" hidden="1" outlineLevel="1" x14ac:dyDescent="0.35">
      <c r="B4814" s="200"/>
      <c r="C4814" s="201"/>
      <c r="D4814" s="201"/>
      <c r="E4814" s="201"/>
      <c r="F4814" s="202"/>
      <c r="G4814" s="549"/>
      <c r="H4814" s="549"/>
      <c r="I4814" s="549"/>
      <c r="J4814" s="549"/>
      <c r="K4814" s="549"/>
      <c r="M4814" s="465"/>
      <c r="N4814" s="201"/>
    </row>
    <row r="4815" spans="2:14" hidden="1" outlineLevel="1" x14ac:dyDescent="0.35">
      <c r="B4815" s="200"/>
      <c r="C4815" s="201"/>
      <c r="D4815" s="201"/>
      <c r="E4815" s="201"/>
      <c r="F4815" s="202"/>
      <c r="G4815" s="549"/>
      <c r="H4815" s="549"/>
      <c r="I4815" s="549"/>
      <c r="J4815" s="549"/>
      <c r="K4815" s="549"/>
      <c r="M4815" s="465"/>
      <c r="N4815" s="201"/>
    </row>
    <row r="4816" spans="2:14" hidden="1" outlineLevel="1" x14ac:dyDescent="0.35">
      <c r="B4816" s="200"/>
      <c r="C4816" s="201"/>
      <c r="D4816" s="201"/>
      <c r="E4816" s="201"/>
      <c r="F4816" s="202"/>
      <c r="G4816" s="549"/>
      <c r="H4816" s="549"/>
      <c r="I4816" s="549"/>
      <c r="J4816" s="549"/>
      <c r="K4816" s="549"/>
      <c r="M4816" s="465"/>
      <c r="N4816" s="201"/>
    </row>
    <row r="4817" spans="2:14" hidden="1" outlineLevel="1" x14ac:dyDescent="0.35">
      <c r="B4817" s="200"/>
      <c r="C4817" s="201"/>
      <c r="D4817" s="201"/>
      <c r="E4817" s="201"/>
      <c r="F4817" s="202"/>
      <c r="G4817" s="549"/>
      <c r="H4817" s="549"/>
      <c r="I4817" s="549"/>
      <c r="J4817" s="549"/>
      <c r="K4817" s="549"/>
      <c r="M4817" s="465"/>
      <c r="N4817" s="201"/>
    </row>
    <row r="4818" spans="2:14" hidden="1" outlineLevel="1" x14ac:dyDescent="0.35">
      <c r="B4818" s="200"/>
      <c r="C4818" s="201"/>
      <c r="D4818" s="201"/>
      <c r="E4818" s="201"/>
      <c r="F4818" s="202"/>
      <c r="G4818" s="549"/>
      <c r="H4818" s="549"/>
      <c r="I4818" s="549"/>
      <c r="J4818" s="549"/>
      <c r="K4818" s="549"/>
      <c r="M4818" s="465"/>
      <c r="N4818" s="201"/>
    </row>
    <row r="4819" spans="2:14" hidden="1" outlineLevel="1" x14ac:dyDescent="0.35">
      <c r="B4819" s="200"/>
      <c r="C4819" s="201"/>
      <c r="D4819" s="201"/>
      <c r="E4819" s="201"/>
      <c r="F4819" s="202"/>
      <c r="G4819" s="549"/>
      <c r="H4819" s="549"/>
      <c r="I4819" s="549"/>
      <c r="J4819" s="549"/>
      <c r="K4819" s="549"/>
      <c r="M4819" s="465"/>
      <c r="N4819" s="201"/>
    </row>
    <row r="4820" spans="2:14" hidden="1" outlineLevel="1" x14ac:dyDescent="0.35">
      <c r="B4820" s="200"/>
      <c r="C4820" s="201"/>
      <c r="D4820" s="201"/>
      <c r="E4820" s="201"/>
      <c r="F4820" s="202"/>
      <c r="G4820" s="549"/>
      <c r="H4820" s="549"/>
      <c r="I4820" s="549"/>
      <c r="J4820" s="549"/>
      <c r="K4820" s="549"/>
      <c r="M4820" s="465"/>
      <c r="N4820" s="201"/>
    </row>
    <row r="4821" spans="2:14" hidden="1" outlineLevel="1" x14ac:dyDescent="0.35">
      <c r="B4821" s="200"/>
      <c r="C4821" s="201"/>
      <c r="D4821" s="201"/>
      <c r="E4821" s="201"/>
      <c r="F4821" s="202"/>
      <c r="G4821" s="549"/>
      <c r="H4821" s="549"/>
      <c r="I4821" s="549"/>
      <c r="J4821" s="549"/>
      <c r="K4821" s="549"/>
      <c r="M4821" s="465"/>
      <c r="N4821" s="201"/>
    </row>
    <row r="4822" spans="2:14" hidden="1" outlineLevel="1" x14ac:dyDescent="0.35">
      <c r="B4822" s="200"/>
      <c r="C4822" s="201"/>
      <c r="D4822" s="201"/>
      <c r="E4822" s="201"/>
      <c r="F4822" s="202"/>
      <c r="G4822" s="549"/>
      <c r="H4822" s="549"/>
      <c r="I4822" s="549"/>
      <c r="J4822" s="549"/>
      <c r="K4822" s="549"/>
      <c r="M4822" s="465"/>
      <c r="N4822" s="201"/>
    </row>
    <row r="4823" spans="2:14" hidden="1" outlineLevel="1" x14ac:dyDescent="0.35">
      <c r="B4823" s="200"/>
      <c r="C4823" s="201"/>
      <c r="D4823" s="201"/>
      <c r="E4823" s="201"/>
      <c r="F4823" s="202"/>
      <c r="G4823" s="549"/>
      <c r="H4823" s="549"/>
      <c r="I4823" s="549"/>
      <c r="J4823" s="549"/>
      <c r="K4823" s="549"/>
      <c r="M4823" s="465"/>
      <c r="N4823" s="201"/>
    </row>
    <row r="4824" spans="2:14" hidden="1" outlineLevel="1" x14ac:dyDescent="0.35">
      <c r="B4824" s="200"/>
      <c r="C4824" s="201"/>
      <c r="D4824" s="201"/>
      <c r="E4824" s="201"/>
      <c r="F4824" s="202"/>
      <c r="G4824" s="549"/>
      <c r="H4824" s="549"/>
      <c r="I4824" s="549"/>
      <c r="J4824" s="549"/>
      <c r="K4824" s="549"/>
      <c r="M4824" s="465"/>
      <c r="N4824" s="201"/>
    </row>
    <row r="4825" spans="2:14" hidden="1" outlineLevel="1" x14ac:dyDescent="0.35">
      <c r="B4825" s="200"/>
      <c r="C4825" s="201"/>
      <c r="D4825" s="201"/>
      <c r="E4825" s="201"/>
      <c r="F4825" s="202"/>
      <c r="G4825" s="549"/>
      <c r="H4825" s="549"/>
      <c r="I4825" s="549"/>
      <c r="J4825" s="549"/>
      <c r="K4825" s="549"/>
      <c r="M4825" s="465"/>
      <c r="N4825" s="201"/>
    </row>
    <row r="4826" spans="2:14" hidden="1" outlineLevel="1" x14ac:dyDescent="0.35">
      <c r="B4826" s="200"/>
      <c r="C4826" s="201"/>
      <c r="D4826" s="201"/>
      <c r="E4826" s="201"/>
      <c r="F4826" s="202"/>
      <c r="G4826" s="549"/>
      <c r="H4826" s="549"/>
      <c r="I4826" s="549"/>
      <c r="J4826" s="549"/>
      <c r="K4826" s="549"/>
      <c r="M4826" s="465"/>
      <c r="N4826" s="201"/>
    </row>
    <row r="4827" spans="2:14" hidden="1" outlineLevel="1" x14ac:dyDescent="0.35">
      <c r="B4827" s="200"/>
      <c r="C4827" s="201"/>
      <c r="D4827" s="201"/>
      <c r="E4827" s="201"/>
      <c r="F4827" s="202"/>
      <c r="G4827" s="549"/>
      <c r="H4827" s="549"/>
      <c r="I4827" s="549"/>
      <c r="J4827" s="549"/>
      <c r="K4827" s="549"/>
      <c r="M4827" s="465"/>
      <c r="N4827" s="201"/>
    </row>
    <row r="4828" spans="2:14" hidden="1" outlineLevel="1" x14ac:dyDescent="0.35">
      <c r="B4828" s="200"/>
      <c r="C4828" s="201"/>
      <c r="D4828" s="201"/>
      <c r="E4828" s="201"/>
      <c r="F4828" s="202"/>
      <c r="G4828" s="549"/>
      <c r="H4828" s="549"/>
      <c r="I4828" s="549"/>
      <c r="J4828" s="549"/>
      <c r="K4828" s="549"/>
      <c r="M4828" s="465"/>
      <c r="N4828" s="201"/>
    </row>
    <row r="4829" spans="2:14" hidden="1" outlineLevel="1" x14ac:dyDescent="0.35">
      <c r="B4829" s="200"/>
      <c r="C4829" s="201"/>
      <c r="D4829" s="201"/>
      <c r="E4829" s="201"/>
      <c r="F4829" s="202"/>
      <c r="G4829" s="549"/>
      <c r="H4829" s="549"/>
      <c r="I4829" s="549"/>
      <c r="J4829" s="549"/>
      <c r="K4829" s="549"/>
      <c r="M4829" s="465"/>
      <c r="N4829" s="201"/>
    </row>
    <row r="4830" spans="2:14" hidden="1" outlineLevel="1" x14ac:dyDescent="0.35">
      <c r="B4830" s="200"/>
      <c r="C4830" s="201"/>
      <c r="D4830" s="201"/>
      <c r="E4830" s="201"/>
      <c r="F4830" s="202"/>
      <c r="G4830" s="549"/>
      <c r="H4830" s="549"/>
      <c r="I4830" s="549"/>
      <c r="J4830" s="549"/>
      <c r="K4830" s="549"/>
      <c r="M4830" s="465"/>
      <c r="N4830" s="201"/>
    </row>
    <row r="4831" spans="2:14" hidden="1" outlineLevel="1" x14ac:dyDescent="0.35">
      <c r="B4831" s="200"/>
      <c r="C4831" s="201"/>
      <c r="D4831" s="201"/>
      <c r="E4831" s="201"/>
      <c r="F4831" s="202"/>
      <c r="G4831" s="549"/>
      <c r="H4831" s="549"/>
      <c r="I4831" s="549"/>
      <c r="J4831" s="549"/>
      <c r="K4831" s="549"/>
      <c r="M4831" s="465"/>
      <c r="N4831" s="201"/>
    </row>
    <row r="4832" spans="2:14" hidden="1" outlineLevel="1" x14ac:dyDescent="0.35">
      <c r="B4832" s="200"/>
      <c r="C4832" s="201"/>
      <c r="D4832" s="201"/>
      <c r="E4832" s="201"/>
      <c r="F4832" s="202"/>
      <c r="G4832" s="549"/>
      <c r="H4832" s="549"/>
      <c r="I4832" s="549"/>
      <c r="J4832" s="549"/>
      <c r="K4832" s="549"/>
      <c r="M4832" s="465"/>
      <c r="N4832" s="201"/>
    </row>
    <row r="4833" spans="2:14" hidden="1" outlineLevel="1" x14ac:dyDescent="0.35">
      <c r="B4833" s="200"/>
      <c r="C4833" s="201"/>
      <c r="D4833" s="201"/>
      <c r="E4833" s="201"/>
      <c r="F4833" s="202"/>
      <c r="G4833" s="549"/>
      <c r="H4833" s="549"/>
      <c r="I4833" s="549"/>
      <c r="J4833" s="549"/>
      <c r="K4833" s="549"/>
      <c r="M4833" s="465"/>
      <c r="N4833" s="201"/>
    </row>
    <row r="4834" spans="2:14" hidden="1" outlineLevel="1" x14ac:dyDescent="0.35">
      <c r="B4834" s="200"/>
      <c r="C4834" s="201"/>
      <c r="D4834" s="201"/>
      <c r="E4834" s="201"/>
      <c r="F4834" s="202"/>
      <c r="G4834" s="549"/>
      <c r="H4834" s="549"/>
      <c r="I4834" s="549"/>
      <c r="J4834" s="549"/>
      <c r="K4834" s="549"/>
      <c r="M4834" s="465"/>
      <c r="N4834" s="201"/>
    </row>
    <row r="4835" spans="2:14" hidden="1" outlineLevel="1" x14ac:dyDescent="0.35">
      <c r="B4835" s="200"/>
      <c r="C4835" s="201"/>
      <c r="D4835" s="201"/>
      <c r="E4835" s="201"/>
      <c r="F4835" s="202"/>
      <c r="G4835" s="549"/>
      <c r="H4835" s="549"/>
      <c r="I4835" s="549"/>
      <c r="J4835" s="549"/>
      <c r="K4835" s="549"/>
      <c r="M4835" s="465"/>
      <c r="N4835" s="201"/>
    </row>
    <row r="4836" spans="2:14" hidden="1" outlineLevel="1" x14ac:dyDescent="0.35">
      <c r="B4836" s="200"/>
      <c r="C4836" s="201"/>
      <c r="D4836" s="201"/>
      <c r="E4836" s="201"/>
      <c r="F4836" s="202"/>
      <c r="G4836" s="549"/>
      <c r="H4836" s="549"/>
      <c r="I4836" s="549"/>
      <c r="J4836" s="549"/>
      <c r="K4836" s="549"/>
      <c r="M4836" s="465"/>
      <c r="N4836" s="201"/>
    </row>
    <row r="4837" spans="2:14" hidden="1" outlineLevel="1" x14ac:dyDescent="0.35">
      <c r="B4837" s="200"/>
      <c r="C4837" s="201"/>
      <c r="D4837" s="201"/>
      <c r="E4837" s="201"/>
      <c r="F4837" s="202"/>
      <c r="G4837" s="549"/>
      <c r="H4837" s="549"/>
      <c r="I4837" s="549"/>
      <c r="J4837" s="549"/>
      <c r="K4837" s="549"/>
      <c r="M4837" s="465"/>
      <c r="N4837" s="201"/>
    </row>
    <row r="4838" spans="2:14" hidden="1" outlineLevel="1" x14ac:dyDescent="0.35">
      <c r="B4838" s="200"/>
      <c r="C4838" s="201"/>
      <c r="D4838" s="201"/>
      <c r="E4838" s="201"/>
      <c r="F4838" s="202"/>
      <c r="G4838" s="549"/>
      <c r="H4838" s="549"/>
      <c r="I4838" s="549"/>
      <c r="J4838" s="549"/>
      <c r="K4838" s="549"/>
      <c r="M4838" s="465"/>
      <c r="N4838" s="201"/>
    </row>
    <row r="4839" spans="2:14" hidden="1" outlineLevel="1" x14ac:dyDescent="0.35">
      <c r="B4839" s="200"/>
      <c r="C4839" s="201"/>
      <c r="D4839" s="201"/>
      <c r="E4839" s="201"/>
      <c r="F4839" s="202"/>
      <c r="G4839" s="549"/>
      <c r="H4839" s="549"/>
      <c r="I4839" s="549"/>
      <c r="J4839" s="549"/>
      <c r="K4839" s="549"/>
      <c r="M4839" s="465"/>
      <c r="N4839" s="201"/>
    </row>
    <row r="4840" spans="2:14" hidden="1" outlineLevel="1" x14ac:dyDescent="0.35">
      <c r="B4840" s="200"/>
      <c r="C4840" s="201"/>
      <c r="D4840" s="201"/>
      <c r="E4840" s="201"/>
      <c r="F4840" s="202"/>
      <c r="G4840" s="549"/>
      <c r="H4840" s="549"/>
      <c r="I4840" s="549"/>
      <c r="J4840" s="549"/>
      <c r="K4840" s="549"/>
      <c r="M4840" s="465"/>
      <c r="N4840" s="201"/>
    </row>
    <row r="4841" spans="2:14" hidden="1" outlineLevel="1" x14ac:dyDescent="0.35">
      <c r="B4841" s="200"/>
      <c r="C4841" s="201"/>
      <c r="D4841" s="201"/>
      <c r="E4841" s="201"/>
      <c r="F4841" s="202"/>
      <c r="G4841" s="549"/>
      <c r="H4841" s="549"/>
      <c r="I4841" s="549"/>
      <c r="J4841" s="549"/>
      <c r="K4841" s="549"/>
      <c r="M4841" s="465"/>
      <c r="N4841" s="201"/>
    </row>
    <row r="4842" spans="2:14" hidden="1" outlineLevel="1" x14ac:dyDescent="0.35">
      <c r="B4842" s="200"/>
      <c r="C4842" s="201"/>
      <c r="D4842" s="201"/>
      <c r="E4842" s="201"/>
      <c r="F4842" s="202"/>
      <c r="G4842" s="549"/>
      <c r="H4842" s="549"/>
      <c r="I4842" s="549"/>
      <c r="J4842" s="549"/>
      <c r="K4842" s="549"/>
      <c r="M4842" s="465"/>
      <c r="N4842" s="201"/>
    </row>
    <row r="4843" spans="2:14" hidden="1" outlineLevel="1" x14ac:dyDescent="0.35">
      <c r="B4843" s="200"/>
      <c r="C4843" s="201"/>
      <c r="D4843" s="201"/>
      <c r="E4843" s="201"/>
      <c r="F4843" s="202"/>
      <c r="G4843" s="549"/>
      <c r="H4843" s="549"/>
      <c r="I4843" s="549"/>
      <c r="J4843" s="549"/>
      <c r="K4843" s="549"/>
      <c r="M4843" s="465"/>
      <c r="N4843" s="201"/>
    </row>
    <row r="4844" spans="2:14" hidden="1" outlineLevel="1" x14ac:dyDescent="0.35">
      <c r="B4844" s="200"/>
      <c r="C4844" s="201"/>
      <c r="D4844" s="201"/>
      <c r="E4844" s="201"/>
      <c r="F4844" s="202"/>
      <c r="G4844" s="549"/>
      <c r="H4844" s="549"/>
      <c r="I4844" s="549"/>
      <c r="J4844" s="549"/>
      <c r="K4844" s="549"/>
      <c r="M4844" s="465"/>
      <c r="N4844" s="201"/>
    </row>
    <row r="4845" spans="2:14" hidden="1" outlineLevel="1" x14ac:dyDescent="0.35">
      <c r="B4845" s="200"/>
      <c r="C4845" s="201"/>
      <c r="D4845" s="201"/>
      <c r="E4845" s="201"/>
      <c r="F4845" s="202"/>
      <c r="G4845" s="549"/>
      <c r="H4845" s="549"/>
      <c r="I4845" s="549"/>
      <c r="J4845" s="549"/>
      <c r="K4845" s="549"/>
      <c r="M4845" s="465"/>
      <c r="N4845" s="201"/>
    </row>
    <row r="4846" spans="2:14" hidden="1" outlineLevel="1" x14ac:dyDescent="0.35">
      <c r="B4846" s="200"/>
      <c r="C4846" s="201"/>
      <c r="D4846" s="201"/>
      <c r="E4846" s="201"/>
      <c r="F4846" s="202"/>
      <c r="G4846" s="549"/>
      <c r="H4846" s="549"/>
      <c r="I4846" s="549"/>
      <c r="J4846" s="549"/>
      <c r="K4846" s="549"/>
      <c r="M4846" s="465"/>
      <c r="N4846" s="201"/>
    </row>
    <row r="4847" spans="2:14" hidden="1" outlineLevel="1" x14ac:dyDescent="0.35">
      <c r="B4847" s="200"/>
      <c r="C4847" s="201"/>
      <c r="D4847" s="201"/>
      <c r="E4847" s="201"/>
      <c r="F4847" s="202"/>
      <c r="G4847" s="549"/>
      <c r="H4847" s="549"/>
      <c r="I4847" s="549"/>
      <c r="J4847" s="549"/>
      <c r="K4847" s="549"/>
      <c r="M4847" s="465"/>
      <c r="N4847" s="201"/>
    </row>
    <row r="4848" spans="2:14" hidden="1" outlineLevel="1" x14ac:dyDescent="0.35">
      <c r="B4848" s="200"/>
      <c r="C4848" s="201"/>
      <c r="D4848" s="201"/>
      <c r="E4848" s="201"/>
      <c r="F4848" s="202"/>
      <c r="G4848" s="549"/>
      <c r="H4848" s="549"/>
      <c r="I4848" s="549"/>
      <c r="J4848" s="549"/>
      <c r="K4848" s="549"/>
      <c r="M4848" s="465"/>
      <c r="N4848" s="201"/>
    </row>
    <row r="4849" spans="2:14" hidden="1" outlineLevel="1" x14ac:dyDescent="0.35">
      <c r="B4849" s="200"/>
      <c r="C4849" s="201"/>
      <c r="D4849" s="201"/>
      <c r="E4849" s="201"/>
      <c r="F4849" s="202"/>
      <c r="G4849" s="549"/>
      <c r="H4849" s="549"/>
      <c r="I4849" s="549"/>
      <c r="J4849" s="549"/>
      <c r="K4849" s="549"/>
      <c r="M4849" s="465"/>
      <c r="N4849" s="201"/>
    </row>
    <row r="4850" spans="2:14" hidden="1" outlineLevel="1" x14ac:dyDescent="0.35">
      <c r="B4850" s="200"/>
      <c r="C4850" s="201"/>
      <c r="D4850" s="201"/>
      <c r="E4850" s="201"/>
      <c r="F4850" s="202"/>
      <c r="G4850" s="549"/>
      <c r="H4850" s="549"/>
      <c r="I4850" s="549"/>
      <c r="J4850" s="549"/>
      <c r="K4850" s="549"/>
      <c r="M4850" s="465"/>
      <c r="N4850" s="201"/>
    </row>
    <row r="4851" spans="2:14" hidden="1" outlineLevel="1" x14ac:dyDescent="0.35">
      <c r="B4851" s="200"/>
      <c r="C4851" s="201"/>
      <c r="D4851" s="201"/>
      <c r="E4851" s="201"/>
      <c r="F4851" s="202"/>
      <c r="G4851" s="549"/>
      <c r="H4851" s="549"/>
      <c r="I4851" s="549"/>
      <c r="J4851" s="549"/>
      <c r="K4851" s="549"/>
      <c r="M4851" s="465"/>
      <c r="N4851" s="201"/>
    </row>
    <row r="4852" spans="2:14" hidden="1" outlineLevel="1" x14ac:dyDescent="0.35">
      <c r="B4852" s="200"/>
      <c r="C4852" s="201"/>
      <c r="D4852" s="201"/>
      <c r="E4852" s="201"/>
      <c r="F4852" s="202"/>
      <c r="G4852" s="549"/>
      <c r="H4852" s="549"/>
      <c r="I4852" s="549"/>
      <c r="J4852" s="549"/>
      <c r="K4852" s="549"/>
      <c r="M4852" s="465"/>
      <c r="N4852" s="201"/>
    </row>
    <row r="4853" spans="2:14" hidden="1" outlineLevel="1" x14ac:dyDescent="0.35">
      <c r="B4853" s="200"/>
      <c r="C4853" s="201"/>
      <c r="D4853" s="201"/>
      <c r="E4853" s="201"/>
      <c r="F4853" s="202"/>
      <c r="G4853" s="549"/>
      <c r="H4853" s="549"/>
      <c r="I4853" s="549"/>
      <c r="J4853" s="549"/>
      <c r="K4853" s="549"/>
      <c r="M4853" s="465"/>
      <c r="N4853" s="201"/>
    </row>
    <row r="4854" spans="2:14" hidden="1" outlineLevel="1" x14ac:dyDescent="0.35">
      <c r="B4854" s="200"/>
      <c r="C4854" s="201"/>
      <c r="D4854" s="201"/>
      <c r="E4854" s="201"/>
      <c r="F4854" s="202"/>
      <c r="G4854" s="549"/>
      <c r="H4854" s="549"/>
      <c r="I4854" s="549"/>
      <c r="J4854" s="549"/>
      <c r="K4854" s="549"/>
      <c r="M4854" s="465"/>
      <c r="N4854" s="201"/>
    </row>
    <row r="4855" spans="2:14" hidden="1" outlineLevel="1" x14ac:dyDescent="0.35">
      <c r="B4855" s="200"/>
      <c r="C4855" s="201"/>
      <c r="D4855" s="201"/>
      <c r="E4855" s="201"/>
      <c r="F4855" s="202"/>
      <c r="G4855" s="549"/>
      <c r="H4855" s="549"/>
      <c r="I4855" s="549"/>
      <c r="J4855" s="549"/>
      <c r="K4855" s="549"/>
      <c r="M4855" s="465"/>
      <c r="N4855" s="201"/>
    </row>
    <row r="4856" spans="2:14" hidden="1" outlineLevel="1" x14ac:dyDescent="0.35">
      <c r="B4856" s="200"/>
      <c r="C4856" s="201"/>
      <c r="D4856" s="201"/>
      <c r="E4856" s="201"/>
      <c r="F4856" s="202"/>
      <c r="G4856" s="549"/>
      <c r="H4856" s="549"/>
      <c r="I4856" s="549"/>
      <c r="J4856" s="549"/>
      <c r="K4856" s="549"/>
      <c r="M4856" s="465"/>
      <c r="N4856" s="201"/>
    </row>
    <row r="4857" spans="2:14" hidden="1" outlineLevel="1" x14ac:dyDescent="0.35">
      <c r="B4857" s="200"/>
      <c r="C4857" s="201"/>
      <c r="D4857" s="201"/>
      <c r="E4857" s="201"/>
      <c r="F4857" s="202"/>
      <c r="G4857" s="549"/>
      <c r="H4857" s="549"/>
      <c r="I4857" s="549"/>
      <c r="J4857" s="549"/>
      <c r="K4857" s="549"/>
      <c r="M4857" s="465"/>
      <c r="N4857" s="201"/>
    </row>
    <row r="4858" spans="2:14" hidden="1" outlineLevel="1" x14ac:dyDescent="0.35">
      <c r="B4858" s="200"/>
      <c r="C4858" s="201"/>
      <c r="D4858" s="201"/>
      <c r="E4858" s="201"/>
      <c r="F4858" s="202"/>
      <c r="G4858" s="549"/>
      <c r="H4858" s="549"/>
      <c r="I4858" s="549"/>
      <c r="J4858" s="549"/>
      <c r="K4858" s="549"/>
      <c r="M4858" s="465"/>
      <c r="N4858" s="201"/>
    </row>
    <row r="4859" spans="2:14" hidden="1" outlineLevel="1" x14ac:dyDescent="0.35">
      <c r="B4859" s="200"/>
      <c r="C4859" s="201"/>
      <c r="D4859" s="201"/>
      <c r="E4859" s="201"/>
      <c r="F4859" s="202"/>
      <c r="G4859" s="549"/>
      <c r="H4859" s="549"/>
      <c r="I4859" s="549"/>
      <c r="J4859" s="549"/>
      <c r="K4859" s="549"/>
      <c r="M4859" s="465"/>
      <c r="N4859" s="201"/>
    </row>
    <row r="4860" spans="2:14" hidden="1" outlineLevel="1" x14ac:dyDescent="0.35">
      <c r="B4860" s="200"/>
      <c r="C4860" s="201"/>
      <c r="D4860" s="201"/>
      <c r="E4860" s="201"/>
      <c r="F4860" s="202"/>
      <c r="G4860" s="549"/>
      <c r="H4860" s="549"/>
      <c r="I4860" s="549"/>
      <c r="J4860" s="549"/>
      <c r="K4860" s="549"/>
      <c r="M4860" s="465"/>
      <c r="N4860" s="201"/>
    </row>
    <row r="4861" spans="2:14" hidden="1" outlineLevel="1" x14ac:dyDescent="0.35">
      <c r="B4861" s="200"/>
      <c r="C4861" s="201"/>
      <c r="D4861" s="201"/>
      <c r="E4861" s="201"/>
      <c r="F4861" s="202"/>
      <c r="G4861" s="549"/>
      <c r="H4861" s="549"/>
      <c r="I4861" s="549"/>
      <c r="J4861" s="549"/>
      <c r="K4861" s="549"/>
      <c r="M4861" s="465"/>
      <c r="N4861" s="201"/>
    </row>
    <row r="4862" spans="2:14" hidden="1" outlineLevel="1" x14ac:dyDescent="0.35">
      <c r="B4862" s="200"/>
      <c r="C4862" s="201"/>
      <c r="D4862" s="201"/>
      <c r="E4862" s="201"/>
      <c r="F4862" s="202"/>
      <c r="G4862" s="549"/>
      <c r="H4862" s="549"/>
      <c r="I4862" s="549"/>
      <c r="J4862" s="549"/>
      <c r="K4862" s="549"/>
      <c r="M4862" s="465"/>
      <c r="N4862" s="201"/>
    </row>
    <row r="4863" spans="2:14" hidden="1" outlineLevel="1" x14ac:dyDescent="0.35">
      <c r="B4863" s="200"/>
      <c r="C4863" s="201"/>
      <c r="D4863" s="201"/>
      <c r="E4863" s="201"/>
      <c r="F4863" s="202"/>
      <c r="G4863" s="549"/>
      <c r="H4863" s="549"/>
      <c r="I4863" s="549"/>
      <c r="J4863" s="549"/>
      <c r="K4863" s="549"/>
      <c r="M4863" s="465"/>
      <c r="N4863" s="201"/>
    </row>
    <row r="4864" spans="2:14" hidden="1" outlineLevel="1" x14ac:dyDescent="0.35">
      <c r="B4864" s="200"/>
      <c r="C4864" s="201"/>
      <c r="D4864" s="201"/>
      <c r="E4864" s="201"/>
      <c r="F4864" s="202"/>
      <c r="G4864" s="549"/>
      <c r="H4864" s="549"/>
      <c r="I4864" s="549"/>
      <c r="J4864" s="549"/>
      <c r="K4864" s="549"/>
      <c r="M4864" s="465"/>
      <c r="N4864" s="201"/>
    </row>
    <row r="4865" spans="2:14" hidden="1" outlineLevel="1" x14ac:dyDescent="0.35">
      <c r="B4865" s="200"/>
      <c r="C4865" s="201"/>
      <c r="D4865" s="201"/>
      <c r="E4865" s="201"/>
      <c r="F4865" s="202"/>
      <c r="G4865" s="549"/>
      <c r="H4865" s="549"/>
      <c r="I4865" s="549"/>
      <c r="J4865" s="549"/>
      <c r="K4865" s="549"/>
      <c r="M4865" s="465"/>
      <c r="N4865" s="201"/>
    </row>
    <row r="4866" spans="2:14" hidden="1" outlineLevel="1" x14ac:dyDescent="0.35">
      <c r="B4866" s="200"/>
      <c r="C4866" s="201"/>
      <c r="D4866" s="201"/>
      <c r="E4866" s="201"/>
      <c r="F4866" s="202"/>
      <c r="G4866" s="549"/>
      <c r="H4866" s="549"/>
      <c r="I4866" s="549"/>
      <c r="J4866" s="549"/>
      <c r="K4866" s="549"/>
      <c r="M4866" s="465"/>
      <c r="N4866" s="201"/>
    </row>
    <row r="4867" spans="2:14" hidden="1" outlineLevel="1" x14ac:dyDescent="0.35">
      <c r="B4867" s="200"/>
      <c r="C4867" s="201"/>
      <c r="D4867" s="201"/>
      <c r="E4867" s="201"/>
      <c r="F4867" s="202"/>
      <c r="G4867" s="549"/>
      <c r="H4867" s="549"/>
      <c r="I4867" s="549"/>
      <c r="J4867" s="549"/>
      <c r="K4867" s="549"/>
      <c r="M4867" s="465"/>
      <c r="N4867" s="201"/>
    </row>
    <row r="4868" spans="2:14" hidden="1" outlineLevel="1" x14ac:dyDescent="0.35">
      <c r="B4868" s="200"/>
      <c r="C4868" s="201"/>
      <c r="D4868" s="201"/>
      <c r="E4868" s="201"/>
      <c r="F4868" s="202"/>
      <c r="G4868" s="549"/>
      <c r="H4868" s="549"/>
      <c r="I4868" s="549"/>
      <c r="J4868" s="549"/>
      <c r="K4868" s="549"/>
      <c r="M4868" s="465"/>
      <c r="N4868" s="201"/>
    </row>
    <row r="4869" spans="2:14" hidden="1" outlineLevel="1" x14ac:dyDescent="0.35">
      <c r="B4869" s="200"/>
      <c r="C4869" s="201"/>
      <c r="D4869" s="201"/>
      <c r="E4869" s="201"/>
      <c r="F4869" s="202"/>
      <c r="G4869" s="549"/>
      <c r="H4869" s="549"/>
      <c r="I4869" s="549"/>
      <c r="J4869" s="549"/>
      <c r="K4869" s="549"/>
      <c r="M4869" s="465"/>
      <c r="N4869" s="201"/>
    </row>
    <row r="4870" spans="2:14" hidden="1" outlineLevel="1" x14ac:dyDescent="0.35">
      <c r="B4870" s="200"/>
      <c r="C4870" s="201"/>
      <c r="D4870" s="201"/>
      <c r="E4870" s="201"/>
      <c r="F4870" s="202"/>
      <c r="G4870" s="549"/>
      <c r="H4870" s="549"/>
      <c r="I4870" s="549"/>
      <c r="J4870" s="549"/>
      <c r="K4870" s="549"/>
      <c r="M4870" s="465"/>
      <c r="N4870" s="201"/>
    </row>
    <row r="4871" spans="2:14" hidden="1" outlineLevel="1" x14ac:dyDescent="0.35">
      <c r="B4871" s="200"/>
      <c r="C4871" s="201"/>
      <c r="D4871" s="201"/>
      <c r="E4871" s="201"/>
      <c r="F4871" s="202"/>
      <c r="G4871" s="549"/>
      <c r="H4871" s="549"/>
      <c r="I4871" s="549"/>
      <c r="J4871" s="549"/>
      <c r="K4871" s="549"/>
      <c r="M4871" s="465"/>
      <c r="N4871" s="201"/>
    </row>
    <row r="4872" spans="2:14" hidden="1" outlineLevel="1" x14ac:dyDescent="0.35">
      <c r="B4872" s="200"/>
      <c r="C4872" s="201"/>
      <c r="D4872" s="201"/>
      <c r="E4872" s="201"/>
      <c r="F4872" s="202"/>
      <c r="G4872" s="549"/>
      <c r="H4872" s="549"/>
      <c r="I4872" s="549"/>
      <c r="J4872" s="549"/>
      <c r="K4872" s="549"/>
      <c r="M4872" s="465"/>
      <c r="N4872" s="201"/>
    </row>
    <row r="4873" spans="2:14" hidden="1" outlineLevel="1" x14ac:dyDescent="0.35">
      <c r="B4873" s="200"/>
      <c r="C4873" s="201"/>
      <c r="D4873" s="201"/>
      <c r="E4873" s="201"/>
      <c r="F4873" s="202"/>
      <c r="G4873" s="549"/>
      <c r="H4873" s="549"/>
      <c r="I4873" s="549"/>
      <c r="J4873" s="549"/>
      <c r="K4873" s="549"/>
      <c r="M4873" s="465"/>
      <c r="N4873" s="201"/>
    </row>
    <row r="4874" spans="2:14" hidden="1" outlineLevel="1" x14ac:dyDescent="0.35">
      <c r="B4874" s="200"/>
      <c r="C4874" s="201"/>
      <c r="D4874" s="201"/>
      <c r="E4874" s="201"/>
      <c r="F4874" s="202"/>
      <c r="G4874" s="549"/>
      <c r="H4874" s="549"/>
      <c r="I4874" s="549"/>
      <c r="J4874" s="549"/>
      <c r="K4874" s="549"/>
      <c r="M4874" s="465"/>
      <c r="N4874" s="201"/>
    </row>
    <row r="4875" spans="2:14" hidden="1" outlineLevel="1" x14ac:dyDescent="0.35">
      <c r="B4875" s="200"/>
      <c r="C4875" s="201"/>
      <c r="D4875" s="201"/>
      <c r="E4875" s="201"/>
      <c r="F4875" s="202"/>
      <c r="G4875" s="549"/>
      <c r="H4875" s="549"/>
      <c r="I4875" s="549"/>
      <c r="J4875" s="549"/>
      <c r="K4875" s="549"/>
      <c r="M4875" s="465"/>
      <c r="N4875" s="201"/>
    </row>
    <row r="4876" spans="2:14" hidden="1" outlineLevel="1" x14ac:dyDescent="0.35">
      <c r="B4876" s="200"/>
      <c r="C4876" s="201"/>
      <c r="D4876" s="201"/>
      <c r="E4876" s="201"/>
      <c r="F4876" s="202"/>
      <c r="G4876" s="549"/>
      <c r="H4876" s="549"/>
      <c r="I4876" s="549"/>
      <c r="J4876" s="549"/>
      <c r="K4876" s="549"/>
      <c r="M4876" s="465"/>
      <c r="N4876" s="201"/>
    </row>
    <row r="4877" spans="2:14" hidden="1" outlineLevel="1" x14ac:dyDescent="0.35">
      <c r="B4877" s="200"/>
      <c r="C4877" s="201"/>
      <c r="D4877" s="201"/>
      <c r="E4877" s="201"/>
      <c r="F4877" s="202"/>
      <c r="G4877" s="549"/>
      <c r="H4877" s="549"/>
      <c r="I4877" s="549"/>
      <c r="J4877" s="549"/>
      <c r="K4877" s="549"/>
      <c r="M4877" s="465"/>
      <c r="N4877" s="201"/>
    </row>
    <row r="4878" spans="2:14" hidden="1" outlineLevel="1" x14ac:dyDescent="0.35">
      <c r="B4878" s="200"/>
      <c r="C4878" s="201"/>
      <c r="D4878" s="201"/>
      <c r="E4878" s="201"/>
      <c r="F4878" s="202"/>
      <c r="G4878" s="549"/>
      <c r="H4878" s="549"/>
      <c r="I4878" s="549"/>
      <c r="J4878" s="549"/>
      <c r="K4878" s="549"/>
      <c r="M4878" s="465"/>
      <c r="N4878" s="201"/>
    </row>
    <row r="4879" spans="2:14" hidden="1" outlineLevel="1" x14ac:dyDescent="0.35">
      <c r="B4879" s="200"/>
      <c r="C4879" s="201"/>
      <c r="D4879" s="201"/>
      <c r="E4879" s="201"/>
      <c r="F4879" s="202"/>
      <c r="G4879" s="549"/>
      <c r="H4879" s="549"/>
      <c r="I4879" s="549"/>
      <c r="J4879" s="549"/>
      <c r="K4879" s="549"/>
      <c r="M4879" s="465"/>
      <c r="N4879" s="201"/>
    </row>
    <row r="4880" spans="2:14" hidden="1" outlineLevel="1" x14ac:dyDescent="0.35">
      <c r="B4880" s="200"/>
      <c r="C4880" s="201"/>
      <c r="D4880" s="201"/>
      <c r="E4880" s="201"/>
      <c r="F4880" s="202"/>
      <c r="G4880" s="549"/>
      <c r="H4880" s="549"/>
      <c r="I4880" s="549"/>
      <c r="J4880" s="549"/>
      <c r="K4880" s="549"/>
      <c r="M4880" s="465"/>
      <c r="N4880" s="201"/>
    </row>
    <row r="4881" spans="2:14" hidden="1" outlineLevel="1" x14ac:dyDescent="0.35">
      <c r="B4881" s="200"/>
      <c r="C4881" s="201"/>
      <c r="D4881" s="201"/>
      <c r="E4881" s="201"/>
      <c r="F4881" s="202"/>
      <c r="G4881" s="549"/>
      <c r="H4881" s="549"/>
      <c r="I4881" s="549"/>
      <c r="J4881" s="549"/>
      <c r="K4881" s="549"/>
      <c r="M4881" s="465"/>
      <c r="N4881" s="201"/>
    </row>
    <row r="4882" spans="2:14" hidden="1" outlineLevel="1" x14ac:dyDescent="0.35">
      <c r="B4882" s="200"/>
      <c r="C4882" s="201"/>
      <c r="D4882" s="201"/>
      <c r="E4882" s="201"/>
      <c r="F4882" s="202"/>
      <c r="G4882" s="549"/>
      <c r="H4882" s="549"/>
      <c r="I4882" s="549"/>
      <c r="J4882" s="549"/>
      <c r="K4882" s="549"/>
      <c r="M4882" s="465"/>
      <c r="N4882" s="201"/>
    </row>
    <row r="4883" spans="2:14" hidden="1" outlineLevel="1" x14ac:dyDescent="0.35">
      <c r="B4883" s="200"/>
      <c r="C4883" s="201"/>
      <c r="D4883" s="201"/>
      <c r="E4883" s="201"/>
      <c r="F4883" s="202"/>
      <c r="G4883" s="549"/>
      <c r="H4883" s="549"/>
      <c r="I4883" s="549"/>
      <c r="J4883" s="549"/>
      <c r="K4883" s="549"/>
      <c r="M4883" s="465"/>
      <c r="N4883" s="201"/>
    </row>
    <row r="4884" spans="2:14" hidden="1" outlineLevel="1" x14ac:dyDescent="0.35">
      <c r="B4884" s="200"/>
      <c r="C4884" s="201"/>
      <c r="D4884" s="201"/>
      <c r="E4884" s="201"/>
      <c r="F4884" s="202"/>
      <c r="G4884" s="549"/>
      <c r="H4884" s="549"/>
      <c r="I4884" s="549"/>
      <c r="J4884" s="549"/>
      <c r="K4884" s="549"/>
      <c r="M4884" s="465"/>
      <c r="N4884" s="201"/>
    </row>
    <row r="4885" spans="2:14" hidden="1" outlineLevel="1" x14ac:dyDescent="0.35">
      <c r="B4885" s="200"/>
      <c r="C4885" s="201"/>
      <c r="D4885" s="201"/>
      <c r="E4885" s="201"/>
      <c r="F4885" s="202"/>
      <c r="G4885" s="549"/>
      <c r="H4885" s="549"/>
      <c r="I4885" s="549"/>
      <c r="J4885" s="549"/>
      <c r="K4885" s="549"/>
      <c r="M4885" s="465"/>
      <c r="N4885" s="201"/>
    </row>
    <row r="4886" spans="2:14" hidden="1" outlineLevel="1" x14ac:dyDescent="0.35">
      <c r="B4886" s="200"/>
      <c r="C4886" s="201"/>
      <c r="D4886" s="201"/>
      <c r="E4886" s="201"/>
      <c r="F4886" s="202"/>
      <c r="G4886" s="549"/>
      <c r="H4886" s="549"/>
      <c r="I4886" s="549"/>
      <c r="J4886" s="549"/>
      <c r="K4886" s="549"/>
      <c r="M4886" s="465"/>
      <c r="N4886" s="201"/>
    </row>
    <row r="4887" spans="2:14" hidden="1" outlineLevel="1" x14ac:dyDescent="0.35">
      <c r="B4887" s="200"/>
      <c r="C4887" s="201"/>
      <c r="D4887" s="201"/>
      <c r="E4887" s="201"/>
      <c r="F4887" s="202"/>
      <c r="G4887" s="549"/>
      <c r="H4887" s="549"/>
      <c r="I4887" s="549"/>
      <c r="J4887" s="549"/>
      <c r="K4887" s="549"/>
      <c r="M4887" s="465"/>
      <c r="N4887" s="201"/>
    </row>
    <row r="4888" spans="2:14" hidden="1" outlineLevel="1" x14ac:dyDescent="0.35">
      <c r="B4888" s="200"/>
      <c r="C4888" s="201"/>
      <c r="D4888" s="201"/>
      <c r="E4888" s="201"/>
      <c r="F4888" s="202"/>
      <c r="G4888" s="549"/>
      <c r="H4888" s="549"/>
      <c r="I4888" s="549"/>
      <c r="J4888" s="549"/>
      <c r="K4888" s="549"/>
      <c r="M4888" s="465"/>
      <c r="N4888" s="201"/>
    </row>
    <row r="4889" spans="2:14" hidden="1" outlineLevel="1" x14ac:dyDescent="0.35">
      <c r="B4889" s="200"/>
      <c r="C4889" s="201"/>
      <c r="D4889" s="201"/>
      <c r="E4889" s="201"/>
      <c r="F4889" s="202"/>
      <c r="G4889" s="549"/>
      <c r="H4889" s="549"/>
      <c r="I4889" s="549"/>
      <c r="J4889" s="549"/>
      <c r="K4889" s="549"/>
      <c r="M4889" s="465"/>
      <c r="N4889" s="201"/>
    </row>
    <row r="4890" spans="2:14" hidden="1" outlineLevel="1" x14ac:dyDescent="0.35">
      <c r="B4890" s="200"/>
      <c r="C4890" s="201"/>
      <c r="D4890" s="201"/>
      <c r="E4890" s="201"/>
      <c r="F4890" s="202"/>
      <c r="G4890" s="549"/>
      <c r="H4890" s="549"/>
      <c r="I4890" s="549"/>
      <c r="J4890" s="549"/>
      <c r="K4890" s="549"/>
      <c r="M4890" s="465"/>
      <c r="N4890" s="201"/>
    </row>
    <row r="4891" spans="2:14" hidden="1" outlineLevel="1" x14ac:dyDescent="0.35">
      <c r="B4891" s="200"/>
      <c r="C4891" s="201"/>
      <c r="D4891" s="201"/>
      <c r="E4891" s="201"/>
      <c r="F4891" s="202"/>
      <c r="G4891" s="549"/>
      <c r="H4891" s="549"/>
      <c r="I4891" s="549"/>
      <c r="J4891" s="549"/>
      <c r="K4891" s="549"/>
      <c r="M4891" s="465"/>
      <c r="N4891" s="201"/>
    </row>
    <row r="4892" spans="2:14" hidden="1" outlineLevel="1" x14ac:dyDescent="0.35">
      <c r="B4892" s="200"/>
      <c r="C4892" s="201"/>
      <c r="D4892" s="201"/>
      <c r="E4892" s="201"/>
      <c r="F4892" s="202"/>
      <c r="G4892" s="549"/>
      <c r="H4892" s="549"/>
      <c r="I4892" s="549"/>
      <c r="J4892" s="549"/>
      <c r="K4892" s="549"/>
      <c r="M4892" s="465"/>
      <c r="N4892" s="201"/>
    </row>
    <row r="4893" spans="2:14" hidden="1" outlineLevel="1" x14ac:dyDescent="0.35">
      <c r="B4893" s="200"/>
      <c r="C4893" s="201"/>
      <c r="D4893" s="201"/>
      <c r="E4893" s="201"/>
      <c r="F4893" s="202"/>
      <c r="G4893" s="549"/>
      <c r="H4893" s="549"/>
      <c r="I4893" s="549"/>
      <c r="J4893" s="549"/>
      <c r="K4893" s="549"/>
      <c r="M4893" s="465"/>
      <c r="N4893" s="201"/>
    </row>
    <row r="4894" spans="2:14" hidden="1" outlineLevel="1" x14ac:dyDescent="0.35">
      <c r="B4894" s="200"/>
      <c r="C4894" s="201"/>
      <c r="D4894" s="201"/>
      <c r="E4894" s="201"/>
      <c r="F4894" s="202"/>
      <c r="G4894" s="549"/>
      <c r="H4894" s="549"/>
      <c r="I4894" s="549"/>
      <c r="J4894" s="549"/>
      <c r="K4894" s="549"/>
      <c r="M4894" s="465"/>
      <c r="N4894" s="201"/>
    </row>
    <row r="4895" spans="2:14" hidden="1" outlineLevel="1" x14ac:dyDescent="0.35">
      <c r="B4895" s="200"/>
      <c r="C4895" s="201"/>
      <c r="D4895" s="201"/>
      <c r="E4895" s="201"/>
      <c r="F4895" s="202"/>
      <c r="G4895" s="549"/>
      <c r="H4895" s="549"/>
      <c r="I4895" s="549"/>
      <c r="J4895" s="549"/>
      <c r="K4895" s="549"/>
      <c r="M4895" s="465"/>
      <c r="N4895" s="201"/>
    </row>
    <row r="4896" spans="2:14" hidden="1" outlineLevel="1" x14ac:dyDescent="0.35">
      <c r="B4896" s="200"/>
      <c r="C4896" s="201"/>
      <c r="D4896" s="201"/>
      <c r="E4896" s="201"/>
      <c r="F4896" s="202"/>
      <c r="G4896" s="549"/>
      <c r="H4896" s="549"/>
      <c r="I4896" s="549"/>
      <c r="J4896" s="549"/>
      <c r="K4896" s="549"/>
      <c r="M4896" s="465"/>
      <c r="N4896" s="201"/>
    </row>
    <row r="4897" spans="2:14" hidden="1" outlineLevel="1" x14ac:dyDescent="0.35">
      <c r="B4897" s="200"/>
      <c r="C4897" s="201"/>
      <c r="D4897" s="201"/>
      <c r="E4897" s="201"/>
      <c r="F4897" s="202"/>
      <c r="G4897" s="549"/>
      <c r="H4897" s="549"/>
      <c r="I4897" s="549"/>
      <c r="J4897" s="549"/>
      <c r="K4897" s="549"/>
      <c r="M4897" s="465"/>
      <c r="N4897" s="201"/>
    </row>
    <row r="4898" spans="2:14" hidden="1" outlineLevel="1" x14ac:dyDescent="0.35">
      <c r="B4898" s="200"/>
      <c r="C4898" s="201"/>
      <c r="D4898" s="201"/>
      <c r="E4898" s="201"/>
      <c r="F4898" s="202"/>
      <c r="G4898" s="549"/>
      <c r="H4898" s="549"/>
      <c r="I4898" s="549"/>
      <c r="J4898" s="549"/>
      <c r="K4898" s="549"/>
      <c r="M4898" s="465"/>
      <c r="N4898" s="201"/>
    </row>
    <row r="4899" spans="2:14" hidden="1" outlineLevel="1" x14ac:dyDescent="0.35">
      <c r="B4899" s="200"/>
      <c r="C4899" s="201"/>
      <c r="D4899" s="201"/>
      <c r="E4899" s="201"/>
      <c r="F4899" s="202"/>
      <c r="G4899" s="549"/>
      <c r="H4899" s="549"/>
      <c r="I4899" s="549"/>
      <c r="J4899" s="549"/>
      <c r="K4899" s="549"/>
      <c r="M4899" s="465"/>
      <c r="N4899" s="201"/>
    </row>
    <row r="4900" spans="2:14" hidden="1" outlineLevel="1" x14ac:dyDescent="0.35">
      <c r="B4900" s="200"/>
      <c r="C4900" s="201"/>
      <c r="D4900" s="201"/>
      <c r="E4900" s="201"/>
      <c r="F4900" s="202"/>
      <c r="G4900" s="549"/>
      <c r="H4900" s="549"/>
      <c r="I4900" s="549"/>
      <c r="J4900" s="549"/>
      <c r="K4900" s="549"/>
      <c r="M4900" s="465"/>
      <c r="N4900" s="201"/>
    </row>
    <row r="4901" spans="2:14" hidden="1" outlineLevel="1" x14ac:dyDescent="0.35">
      <c r="B4901" s="200"/>
      <c r="C4901" s="201"/>
      <c r="D4901" s="201"/>
      <c r="E4901" s="201"/>
      <c r="F4901" s="202"/>
      <c r="G4901" s="549"/>
      <c r="H4901" s="549"/>
      <c r="I4901" s="549"/>
      <c r="J4901" s="549"/>
      <c r="K4901" s="549"/>
      <c r="M4901" s="465"/>
      <c r="N4901" s="201"/>
    </row>
    <row r="4902" spans="2:14" hidden="1" outlineLevel="1" x14ac:dyDescent="0.35">
      <c r="B4902" s="200"/>
      <c r="C4902" s="201"/>
      <c r="D4902" s="201"/>
      <c r="E4902" s="201"/>
      <c r="F4902" s="202"/>
      <c r="G4902" s="549"/>
      <c r="H4902" s="549"/>
      <c r="I4902" s="549"/>
      <c r="J4902" s="549"/>
      <c r="K4902" s="549"/>
      <c r="M4902" s="465"/>
      <c r="N4902" s="201"/>
    </row>
    <row r="4903" spans="2:14" hidden="1" outlineLevel="1" x14ac:dyDescent="0.35">
      <c r="B4903" s="200"/>
      <c r="C4903" s="201"/>
      <c r="D4903" s="201"/>
      <c r="E4903" s="201"/>
      <c r="F4903" s="202"/>
      <c r="G4903" s="549"/>
      <c r="H4903" s="549"/>
      <c r="I4903" s="549"/>
      <c r="J4903" s="549"/>
      <c r="K4903" s="549"/>
      <c r="M4903" s="465"/>
      <c r="N4903" s="201"/>
    </row>
    <row r="4904" spans="2:14" hidden="1" outlineLevel="1" x14ac:dyDescent="0.35">
      <c r="B4904" s="200"/>
      <c r="C4904" s="201"/>
      <c r="D4904" s="201"/>
      <c r="E4904" s="201"/>
      <c r="F4904" s="202"/>
      <c r="G4904" s="549"/>
      <c r="H4904" s="549"/>
      <c r="I4904" s="549"/>
      <c r="J4904" s="549"/>
      <c r="K4904" s="549"/>
      <c r="M4904" s="465"/>
      <c r="N4904" s="201"/>
    </row>
    <row r="4905" spans="2:14" hidden="1" outlineLevel="1" x14ac:dyDescent="0.35">
      <c r="B4905" s="200"/>
      <c r="C4905" s="201"/>
      <c r="D4905" s="201"/>
      <c r="E4905" s="201"/>
      <c r="F4905" s="202"/>
      <c r="G4905" s="549"/>
      <c r="H4905" s="549"/>
      <c r="I4905" s="549"/>
      <c r="J4905" s="549"/>
      <c r="K4905" s="549"/>
      <c r="M4905" s="465"/>
      <c r="N4905" s="201"/>
    </row>
    <row r="4906" spans="2:14" hidden="1" outlineLevel="1" x14ac:dyDescent="0.35">
      <c r="B4906" s="200"/>
      <c r="C4906" s="201"/>
      <c r="D4906" s="201"/>
      <c r="E4906" s="201"/>
      <c r="F4906" s="202"/>
      <c r="G4906" s="549"/>
      <c r="H4906" s="549"/>
      <c r="I4906" s="549"/>
      <c r="J4906" s="549"/>
      <c r="K4906" s="549"/>
      <c r="M4906" s="465"/>
      <c r="N4906" s="201"/>
    </row>
    <row r="4907" spans="2:14" hidden="1" outlineLevel="1" x14ac:dyDescent="0.35">
      <c r="B4907" s="200"/>
      <c r="C4907" s="201"/>
      <c r="D4907" s="201"/>
      <c r="E4907" s="201"/>
      <c r="F4907" s="202"/>
      <c r="G4907" s="549"/>
      <c r="H4907" s="549"/>
      <c r="I4907" s="549"/>
      <c r="J4907" s="549"/>
      <c r="K4907" s="549"/>
      <c r="M4907" s="465"/>
      <c r="N4907" s="201"/>
    </row>
    <row r="4908" spans="2:14" hidden="1" outlineLevel="1" x14ac:dyDescent="0.35">
      <c r="B4908" s="200"/>
      <c r="C4908" s="201"/>
      <c r="D4908" s="201"/>
      <c r="E4908" s="201"/>
      <c r="F4908" s="202"/>
      <c r="G4908" s="549"/>
      <c r="H4908" s="549"/>
      <c r="I4908" s="549"/>
      <c r="J4908" s="549"/>
      <c r="K4908" s="549"/>
      <c r="M4908" s="465"/>
      <c r="N4908" s="201"/>
    </row>
    <row r="4909" spans="2:14" hidden="1" outlineLevel="1" x14ac:dyDescent="0.35">
      <c r="B4909" s="200"/>
      <c r="C4909" s="201"/>
      <c r="D4909" s="201"/>
      <c r="E4909" s="201"/>
      <c r="F4909" s="202"/>
      <c r="G4909" s="549"/>
      <c r="H4909" s="549"/>
      <c r="I4909" s="549"/>
      <c r="J4909" s="549"/>
      <c r="K4909" s="549"/>
      <c r="M4909" s="465"/>
      <c r="N4909" s="201"/>
    </row>
    <row r="4910" spans="2:14" hidden="1" outlineLevel="1" x14ac:dyDescent="0.35">
      <c r="B4910" s="200"/>
      <c r="C4910" s="201"/>
      <c r="D4910" s="201"/>
      <c r="E4910" s="201"/>
      <c r="F4910" s="202"/>
      <c r="G4910" s="549"/>
      <c r="H4910" s="549"/>
      <c r="I4910" s="549"/>
      <c r="J4910" s="549"/>
      <c r="K4910" s="549"/>
      <c r="M4910" s="465"/>
      <c r="N4910" s="201"/>
    </row>
    <row r="4911" spans="2:14" hidden="1" outlineLevel="1" x14ac:dyDescent="0.35">
      <c r="B4911" s="200"/>
      <c r="C4911" s="201"/>
      <c r="D4911" s="201"/>
      <c r="E4911" s="201"/>
      <c r="F4911" s="202"/>
      <c r="G4911" s="549"/>
      <c r="H4911" s="549"/>
      <c r="I4911" s="549"/>
      <c r="J4911" s="549"/>
      <c r="K4911" s="549"/>
      <c r="M4911" s="465"/>
      <c r="N4911" s="201"/>
    </row>
    <row r="4912" spans="2:14" hidden="1" outlineLevel="1" x14ac:dyDescent="0.35">
      <c r="B4912" s="200"/>
      <c r="C4912" s="201"/>
      <c r="D4912" s="201"/>
      <c r="E4912" s="201"/>
      <c r="F4912" s="202"/>
      <c r="G4912" s="549"/>
      <c r="H4912" s="549"/>
      <c r="I4912" s="549"/>
      <c r="J4912" s="549"/>
      <c r="K4912" s="549"/>
      <c r="M4912" s="465"/>
      <c r="N4912" s="201"/>
    </row>
    <row r="4913" spans="2:14" hidden="1" outlineLevel="1" x14ac:dyDescent="0.35">
      <c r="B4913" s="200"/>
      <c r="C4913" s="201"/>
      <c r="D4913" s="201"/>
      <c r="E4913" s="201"/>
      <c r="F4913" s="202"/>
      <c r="G4913" s="549"/>
      <c r="H4913" s="549"/>
      <c r="I4913" s="549"/>
      <c r="J4913" s="549"/>
      <c r="K4913" s="549"/>
      <c r="M4913" s="465"/>
      <c r="N4913" s="201"/>
    </row>
    <row r="4914" spans="2:14" hidden="1" outlineLevel="1" x14ac:dyDescent="0.35">
      <c r="B4914" s="200"/>
      <c r="C4914" s="201"/>
      <c r="D4914" s="201"/>
      <c r="E4914" s="201"/>
      <c r="F4914" s="202"/>
      <c r="G4914" s="549"/>
      <c r="H4914" s="549"/>
      <c r="I4914" s="549"/>
      <c r="J4914" s="549"/>
      <c r="K4914" s="549"/>
      <c r="M4914" s="465"/>
      <c r="N4914" s="201"/>
    </row>
    <row r="4915" spans="2:14" hidden="1" outlineLevel="1" x14ac:dyDescent="0.35">
      <c r="B4915" s="200"/>
      <c r="C4915" s="201"/>
      <c r="D4915" s="201"/>
      <c r="E4915" s="201"/>
      <c r="F4915" s="202"/>
      <c r="G4915" s="549"/>
      <c r="H4915" s="549"/>
      <c r="I4915" s="549"/>
      <c r="J4915" s="549"/>
      <c r="K4915" s="549"/>
      <c r="M4915" s="465"/>
      <c r="N4915" s="201"/>
    </row>
    <row r="4916" spans="2:14" hidden="1" outlineLevel="1" x14ac:dyDescent="0.35">
      <c r="B4916" s="200"/>
      <c r="C4916" s="201"/>
      <c r="D4916" s="201"/>
      <c r="E4916" s="201"/>
      <c r="F4916" s="202"/>
      <c r="G4916" s="549"/>
      <c r="H4916" s="549"/>
      <c r="I4916" s="549"/>
      <c r="J4916" s="549"/>
      <c r="K4916" s="549"/>
      <c r="M4916" s="465"/>
      <c r="N4916" s="201"/>
    </row>
    <row r="4917" spans="2:14" hidden="1" outlineLevel="1" x14ac:dyDescent="0.35">
      <c r="B4917" s="200"/>
      <c r="C4917" s="201"/>
      <c r="D4917" s="201"/>
      <c r="E4917" s="201"/>
      <c r="F4917" s="202"/>
      <c r="G4917" s="549"/>
      <c r="H4917" s="549"/>
      <c r="I4917" s="549"/>
      <c r="J4917" s="549"/>
      <c r="K4917" s="549"/>
      <c r="M4917" s="465"/>
      <c r="N4917" s="201"/>
    </row>
    <row r="4918" spans="2:14" hidden="1" outlineLevel="1" x14ac:dyDescent="0.35">
      <c r="B4918" s="200"/>
      <c r="C4918" s="201"/>
      <c r="D4918" s="201"/>
      <c r="E4918" s="201"/>
      <c r="F4918" s="202"/>
      <c r="G4918" s="549"/>
      <c r="H4918" s="549"/>
      <c r="I4918" s="549"/>
      <c r="J4918" s="549"/>
      <c r="K4918" s="549"/>
      <c r="M4918" s="465"/>
      <c r="N4918" s="201"/>
    </row>
    <row r="4919" spans="2:14" hidden="1" outlineLevel="1" x14ac:dyDescent="0.35">
      <c r="B4919" s="200"/>
      <c r="C4919" s="201"/>
      <c r="D4919" s="201"/>
      <c r="E4919" s="201"/>
      <c r="F4919" s="202"/>
      <c r="G4919" s="549"/>
      <c r="H4919" s="549"/>
      <c r="I4919" s="549"/>
      <c r="J4919" s="549"/>
      <c r="K4919" s="549"/>
      <c r="M4919" s="465"/>
      <c r="N4919" s="201"/>
    </row>
    <row r="4920" spans="2:14" hidden="1" outlineLevel="1" x14ac:dyDescent="0.35">
      <c r="B4920" s="200"/>
      <c r="C4920" s="201"/>
      <c r="D4920" s="201"/>
      <c r="E4920" s="201"/>
      <c r="F4920" s="202"/>
      <c r="G4920" s="549"/>
      <c r="H4920" s="549"/>
      <c r="I4920" s="549"/>
      <c r="J4920" s="549"/>
      <c r="K4920" s="549"/>
      <c r="M4920" s="465"/>
      <c r="N4920" s="201"/>
    </row>
    <row r="4921" spans="2:14" hidden="1" outlineLevel="1" x14ac:dyDescent="0.35">
      <c r="B4921" s="200"/>
      <c r="C4921" s="201"/>
      <c r="D4921" s="201"/>
      <c r="E4921" s="201"/>
      <c r="F4921" s="202"/>
      <c r="G4921" s="549"/>
      <c r="H4921" s="549"/>
      <c r="I4921" s="549"/>
      <c r="J4921" s="549"/>
      <c r="K4921" s="549"/>
      <c r="M4921" s="465"/>
      <c r="N4921" s="201"/>
    </row>
    <row r="4922" spans="2:14" hidden="1" outlineLevel="1" x14ac:dyDescent="0.35">
      <c r="B4922" s="200"/>
      <c r="C4922" s="201"/>
      <c r="D4922" s="201"/>
      <c r="E4922" s="201"/>
      <c r="F4922" s="202"/>
      <c r="G4922" s="549"/>
      <c r="H4922" s="549"/>
      <c r="I4922" s="549"/>
      <c r="J4922" s="549"/>
      <c r="K4922" s="549"/>
      <c r="M4922" s="465"/>
      <c r="N4922" s="201"/>
    </row>
    <row r="4923" spans="2:14" hidden="1" outlineLevel="1" x14ac:dyDescent="0.35">
      <c r="B4923" s="200"/>
      <c r="C4923" s="201"/>
      <c r="D4923" s="201"/>
      <c r="E4923" s="201"/>
      <c r="F4923" s="202"/>
      <c r="G4923" s="549"/>
      <c r="H4923" s="549"/>
      <c r="I4923" s="549"/>
      <c r="J4923" s="549"/>
      <c r="K4923" s="549"/>
      <c r="M4923" s="465"/>
      <c r="N4923" s="201"/>
    </row>
    <row r="4924" spans="2:14" hidden="1" outlineLevel="1" x14ac:dyDescent="0.35">
      <c r="B4924" s="200"/>
      <c r="C4924" s="201"/>
      <c r="D4924" s="201"/>
      <c r="E4924" s="201"/>
      <c r="F4924" s="202"/>
      <c r="G4924" s="549"/>
      <c r="H4924" s="549"/>
      <c r="I4924" s="549"/>
      <c r="J4924" s="549"/>
      <c r="K4924" s="549"/>
      <c r="M4924" s="465"/>
      <c r="N4924" s="201"/>
    </row>
    <row r="4925" spans="2:14" hidden="1" outlineLevel="1" x14ac:dyDescent="0.35">
      <c r="B4925" s="200"/>
      <c r="C4925" s="201"/>
      <c r="D4925" s="201"/>
      <c r="E4925" s="201"/>
      <c r="F4925" s="202"/>
      <c r="G4925" s="549"/>
      <c r="H4925" s="549"/>
      <c r="I4925" s="549"/>
      <c r="J4925" s="549"/>
      <c r="K4925" s="549"/>
      <c r="M4925" s="465"/>
      <c r="N4925" s="201"/>
    </row>
    <row r="4926" spans="2:14" hidden="1" outlineLevel="1" x14ac:dyDescent="0.35">
      <c r="B4926" s="200"/>
      <c r="C4926" s="201"/>
      <c r="D4926" s="201"/>
      <c r="E4926" s="201"/>
      <c r="F4926" s="202"/>
      <c r="G4926" s="549"/>
      <c r="H4926" s="549"/>
      <c r="I4926" s="549"/>
      <c r="J4926" s="549"/>
      <c r="K4926" s="549"/>
      <c r="M4926" s="465"/>
      <c r="N4926" s="201"/>
    </row>
    <row r="4927" spans="2:14" hidden="1" outlineLevel="1" x14ac:dyDescent="0.35">
      <c r="B4927" s="200"/>
      <c r="C4927" s="201"/>
      <c r="D4927" s="201"/>
      <c r="E4927" s="201"/>
      <c r="F4927" s="202"/>
      <c r="G4927" s="549"/>
      <c r="H4927" s="549"/>
      <c r="I4927" s="549"/>
      <c r="J4927" s="549"/>
      <c r="K4927" s="549"/>
      <c r="M4927" s="465"/>
      <c r="N4927" s="201"/>
    </row>
    <row r="4928" spans="2:14" hidden="1" outlineLevel="1" x14ac:dyDescent="0.35">
      <c r="B4928" s="200"/>
      <c r="C4928" s="201"/>
      <c r="D4928" s="201"/>
      <c r="E4928" s="201"/>
      <c r="F4928" s="202"/>
      <c r="G4928" s="549"/>
      <c r="H4928" s="549"/>
      <c r="I4928" s="549"/>
      <c r="J4928" s="549"/>
      <c r="K4928" s="549"/>
      <c r="M4928" s="465"/>
      <c r="N4928" s="201"/>
    </row>
    <row r="4929" spans="2:14" hidden="1" outlineLevel="1" x14ac:dyDescent="0.35">
      <c r="B4929" s="200"/>
      <c r="C4929" s="201"/>
      <c r="D4929" s="201"/>
      <c r="E4929" s="201"/>
      <c r="F4929" s="202"/>
      <c r="G4929" s="549"/>
      <c r="H4929" s="549"/>
      <c r="I4929" s="549"/>
      <c r="J4929" s="549"/>
      <c r="K4929" s="549"/>
      <c r="M4929" s="465"/>
      <c r="N4929" s="201"/>
    </row>
    <row r="4930" spans="2:14" hidden="1" outlineLevel="1" x14ac:dyDescent="0.35">
      <c r="B4930" s="200"/>
      <c r="C4930" s="201"/>
      <c r="D4930" s="201"/>
      <c r="E4930" s="201"/>
      <c r="F4930" s="202"/>
      <c r="G4930" s="549"/>
      <c r="H4930" s="549"/>
      <c r="I4930" s="549"/>
      <c r="J4930" s="549"/>
      <c r="K4930" s="549"/>
      <c r="M4930" s="465"/>
      <c r="N4930" s="201"/>
    </row>
    <row r="4931" spans="2:14" hidden="1" outlineLevel="1" x14ac:dyDescent="0.35">
      <c r="B4931" s="200"/>
      <c r="C4931" s="201"/>
      <c r="D4931" s="201"/>
      <c r="E4931" s="201"/>
      <c r="F4931" s="202"/>
      <c r="G4931" s="549"/>
      <c r="H4931" s="549"/>
      <c r="I4931" s="549"/>
      <c r="J4931" s="549"/>
      <c r="K4931" s="549"/>
      <c r="M4931" s="465"/>
      <c r="N4931" s="201"/>
    </row>
    <row r="4932" spans="2:14" hidden="1" outlineLevel="1" x14ac:dyDescent="0.35">
      <c r="B4932" s="200"/>
      <c r="C4932" s="201"/>
      <c r="D4932" s="201"/>
      <c r="E4932" s="201"/>
      <c r="F4932" s="202"/>
      <c r="G4932" s="549"/>
      <c r="H4932" s="549"/>
      <c r="I4932" s="549"/>
      <c r="J4932" s="549"/>
      <c r="K4932" s="549"/>
      <c r="M4932" s="465"/>
      <c r="N4932" s="201"/>
    </row>
    <row r="4933" spans="2:14" hidden="1" outlineLevel="1" x14ac:dyDescent="0.35">
      <c r="B4933" s="200"/>
      <c r="C4933" s="201"/>
      <c r="D4933" s="201"/>
      <c r="E4933" s="201"/>
      <c r="F4933" s="202"/>
      <c r="G4933" s="549"/>
      <c r="H4933" s="549"/>
      <c r="I4933" s="549"/>
      <c r="J4933" s="549"/>
      <c r="K4933" s="549"/>
      <c r="M4933" s="465"/>
      <c r="N4933" s="201"/>
    </row>
    <row r="4934" spans="2:14" hidden="1" outlineLevel="1" x14ac:dyDescent="0.35">
      <c r="B4934" s="200"/>
      <c r="C4934" s="201"/>
      <c r="D4934" s="201"/>
      <c r="E4934" s="201"/>
      <c r="F4934" s="202"/>
      <c r="G4934" s="549"/>
      <c r="H4934" s="549"/>
      <c r="I4934" s="549"/>
      <c r="J4934" s="549"/>
      <c r="K4934" s="549"/>
      <c r="M4934" s="465"/>
      <c r="N4934" s="201"/>
    </row>
    <row r="4935" spans="2:14" hidden="1" outlineLevel="1" x14ac:dyDescent="0.35">
      <c r="B4935" s="200"/>
      <c r="C4935" s="201"/>
      <c r="D4935" s="201"/>
      <c r="E4935" s="201"/>
      <c r="F4935" s="202"/>
      <c r="G4935" s="549"/>
      <c r="H4935" s="549"/>
      <c r="I4935" s="549"/>
      <c r="J4935" s="549"/>
      <c r="K4935" s="549"/>
      <c r="M4935" s="465"/>
      <c r="N4935" s="201"/>
    </row>
    <row r="4936" spans="2:14" hidden="1" outlineLevel="1" x14ac:dyDescent="0.35">
      <c r="B4936" s="200"/>
      <c r="C4936" s="201"/>
      <c r="D4936" s="201"/>
      <c r="E4936" s="201"/>
      <c r="F4936" s="202"/>
      <c r="G4936" s="549"/>
      <c r="H4936" s="549"/>
      <c r="I4936" s="549"/>
      <c r="J4936" s="549"/>
      <c r="K4936" s="549"/>
      <c r="M4936" s="465"/>
      <c r="N4936" s="201"/>
    </row>
    <row r="4937" spans="2:14" hidden="1" outlineLevel="1" x14ac:dyDescent="0.35">
      <c r="B4937" s="200"/>
      <c r="C4937" s="201"/>
      <c r="D4937" s="201"/>
      <c r="E4937" s="201"/>
      <c r="F4937" s="202"/>
      <c r="G4937" s="549"/>
      <c r="H4937" s="549"/>
      <c r="I4937" s="549"/>
      <c r="J4937" s="549"/>
      <c r="K4937" s="549"/>
      <c r="M4937" s="465"/>
      <c r="N4937" s="201"/>
    </row>
    <row r="4938" spans="2:14" hidden="1" outlineLevel="1" x14ac:dyDescent="0.35">
      <c r="B4938" s="200"/>
      <c r="C4938" s="201"/>
      <c r="D4938" s="201"/>
      <c r="E4938" s="201"/>
      <c r="F4938" s="202"/>
      <c r="G4938" s="549"/>
      <c r="H4938" s="549"/>
      <c r="I4938" s="549"/>
      <c r="J4938" s="549"/>
      <c r="K4938" s="549"/>
      <c r="M4938" s="465"/>
      <c r="N4938" s="201"/>
    </row>
    <row r="4939" spans="2:14" hidden="1" outlineLevel="1" x14ac:dyDescent="0.35">
      <c r="B4939" s="200"/>
      <c r="C4939" s="201"/>
      <c r="D4939" s="201"/>
      <c r="E4939" s="201"/>
      <c r="F4939" s="202"/>
      <c r="G4939" s="549"/>
      <c r="H4939" s="549"/>
      <c r="I4939" s="549"/>
      <c r="J4939" s="549"/>
      <c r="K4939" s="549"/>
      <c r="M4939" s="465"/>
      <c r="N4939" s="201"/>
    </row>
    <row r="4940" spans="2:14" hidden="1" outlineLevel="1" x14ac:dyDescent="0.35">
      <c r="B4940" s="200"/>
      <c r="C4940" s="201"/>
      <c r="D4940" s="201"/>
      <c r="E4940" s="201"/>
      <c r="F4940" s="202"/>
      <c r="G4940" s="549"/>
      <c r="H4940" s="549"/>
      <c r="I4940" s="549"/>
      <c r="J4940" s="549"/>
      <c r="K4940" s="549"/>
      <c r="M4940" s="465"/>
      <c r="N4940" s="201"/>
    </row>
    <row r="4941" spans="2:14" hidden="1" outlineLevel="1" x14ac:dyDescent="0.35">
      <c r="B4941" s="200"/>
      <c r="C4941" s="201"/>
      <c r="D4941" s="201"/>
      <c r="E4941" s="201"/>
      <c r="F4941" s="202"/>
      <c r="G4941" s="549"/>
      <c r="H4941" s="549"/>
      <c r="I4941" s="549"/>
      <c r="J4941" s="549"/>
      <c r="K4941" s="549"/>
      <c r="M4941" s="465"/>
      <c r="N4941" s="201"/>
    </row>
    <row r="4942" spans="2:14" hidden="1" outlineLevel="1" x14ac:dyDescent="0.35">
      <c r="B4942" s="200"/>
      <c r="C4942" s="201"/>
      <c r="D4942" s="201"/>
      <c r="E4942" s="201"/>
      <c r="F4942" s="202"/>
      <c r="G4942" s="549"/>
      <c r="H4942" s="549"/>
      <c r="I4942" s="549"/>
      <c r="J4942" s="549"/>
      <c r="K4942" s="549"/>
      <c r="M4942" s="465"/>
      <c r="N4942" s="201"/>
    </row>
    <row r="4943" spans="2:14" hidden="1" outlineLevel="1" x14ac:dyDescent="0.35">
      <c r="B4943" s="200"/>
      <c r="C4943" s="201"/>
      <c r="D4943" s="201"/>
      <c r="E4943" s="201"/>
      <c r="F4943" s="202"/>
      <c r="G4943" s="549"/>
      <c r="H4943" s="549"/>
      <c r="I4943" s="549"/>
      <c r="J4943" s="549"/>
      <c r="K4943" s="549"/>
      <c r="M4943" s="465"/>
      <c r="N4943" s="201"/>
    </row>
    <row r="4944" spans="2:14" hidden="1" outlineLevel="1" x14ac:dyDescent="0.35">
      <c r="B4944" s="200"/>
      <c r="C4944" s="201"/>
      <c r="D4944" s="201"/>
      <c r="E4944" s="201"/>
      <c r="F4944" s="202"/>
      <c r="G4944" s="549"/>
      <c r="H4944" s="549"/>
      <c r="I4944" s="549"/>
      <c r="J4944" s="549"/>
      <c r="K4944" s="549"/>
      <c r="M4944" s="465"/>
      <c r="N4944" s="201"/>
    </row>
    <row r="4945" spans="2:14" hidden="1" outlineLevel="1" x14ac:dyDescent="0.35">
      <c r="B4945" s="200"/>
      <c r="C4945" s="201"/>
      <c r="D4945" s="201"/>
      <c r="E4945" s="201"/>
      <c r="F4945" s="202"/>
      <c r="G4945" s="549"/>
      <c r="H4945" s="549"/>
      <c r="I4945" s="549"/>
      <c r="J4945" s="549"/>
      <c r="K4945" s="549"/>
      <c r="M4945" s="465"/>
      <c r="N4945" s="201"/>
    </row>
    <row r="4946" spans="2:14" hidden="1" outlineLevel="1" x14ac:dyDescent="0.35">
      <c r="B4946" s="200"/>
      <c r="C4946" s="201"/>
      <c r="D4946" s="201"/>
      <c r="E4946" s="201"/>
      <c r="F4946" s="202"/>
      <c r="G4946" s="549"/>
      <c r="H4946" s="549"/>
      <c r="I4946" s="549"/>
      <c r="J4946" s="549"/>
      <c r="K4946" s="549"/>
      <c r="M4946" s="465"/>
      <c r="N4946" s="201"/>
    </row>
    <row r="4947" spans="2:14" hidden="1" outlineLevel="1" x14ac:dyDescent="0.35">
      <c r="B4947" s="200"/>
      <c r="C4947" s="201"/>
      <c r="D4947" s="201"/>
      <c r="E4947" s="201"/>
      <c r="F4947" s="202"/>
      <c r="G4947" s="549"/>
      <c r="H4947" s="549"/>
      <c r="I4947" s="549"/>
      <c r="J4947" s="549"/>
      <c r="K4947" s="549"/>
      <c r="M4947" s="465"/>
      <c r="N4947" s="201"/>
    </row>
    <row r="4948" spans="2:14" hidden="1" outlineLevel="1" x14ac:dyDescent="0.35">
      <c r="B4948" s="200"/>
      <c r="C4948" s="201"/>
      <c r="D4948" s="201"/>
      <c r="E4948" s="201"/>
      <c r="F4948" s="202"/>
      <c r="G4948" s="549"/>
      <c r="H4948" s="549"/>
      <c r="I4948" s="549"/>
      <c r="J4948" s="549"/>
      <c r="K4948" s="549"/>
      <c r="M4948" s="465"/>
      <c r="N4948" s="201"/>
    </row>
    <row r="4949" spans="2:14" hidden="1" outlineLevel="1" x14ac:dyDescent="0.35">
      <c r="B4949" s="200"/>
      <c r="C4949" s="201"/>
      <c r="D4949" s="201"/>
      <c r="E4949" s="201"/>
      <c r="F4949" s="202"/>
      <c r="G4949" s="549"/>
      <c r="H4949" s="549"/>
      <c r="I4949" s="549"/>
      <c r="J4949" s="549"/>
      <c r="K4949" s="549"/>
      <c r="M4949" s="465"/>
      <c r="N4949" s="201"/>
    </row>
    <row r="4950" spans="2:14" hidden="1" outlineLevel="1" x14ac:dyDescent="0.35">
      <c r="B4950" s="200"/>
      <c r="C4950" s="201"/>
      <c r="D4950" s="201"/>
      <c r="E4950" s="201"/>
      <c r="F4950" s="202"/>
      <c r="G4950" s="549"/>
      <c r="H4950" s="549"/>
      <c r="I4950" s="549"/>
      <c r="J4950" s="549"/>
      <c r="K4950" s="549"/>
      <c r="M4950" s="465"/>
      <c r="N4950" s="201"/>
    </row>
    <row r="4951" spans="2:14" hidden="1" outlineLevel="1" x14ac:dyDescent="0.35">
      <c r="B4951" s="200"/>
      <c r="C4951" s="201"/>
      <c r="D4951" s="201"/>
      <c r="E4951" s="201"/>
      <c r="F4951" s="202"/>
      <c r="G4951" s="549"/>
      <c r="H4951" s="549"/>
      <c r="I4951" s="549"/>
      <c r="J4951" s="549"/>
      <c r="K4951" s="549"/>
      <c r="M4951" s="465"/>
      <c r="N4951" s="201"/>
    </row>
    <row r="4952" spans="2:14" hidden="1" outlineLevel="1" x14ac:dyDescent="0.35">
      <c r="B4952" s="200"/>
      <c r="C4952" s="201"/>
      <c r="D4952" s="201"/>
      <c r="E4952" s="201"/>
      <c r="F4952" s="202"/>
      <c r="G4952" s="549"/>
      <c r="H4952" s="549"/>
      <c r="I4952" s="549"/>
      <c r="J4952" s="549"/>
      <c r="K4952" s="549"/>
      <c r="M4952" s="465"/>
      <c r="N4952" s="201"/>
    </row>
    <row r="4953" spans="2:14" hidden="1" outlineLevel="1" x14ac:dyDescent="0.35">
      <c r="B4953" s="200"/>
      <c r="C4953" s="201"/>
      <c r="D4953" s="201"/>
      <c r="E4953" s="201"/>
      <c r="F4953" s="202"/>
      <c r="G4953" s="549"/>
      <c r="H4953" s="549"/>
      <c r="I4953" s="549"/>
      <c r="J4953" s="549"/>
      <c r="K4953" s="549"/>
      <c r="M4953" s="465"/>
      <c r="N4953" s="201"/>
    </row>
    <row r="4954" spans="2:14" hidden="1" outlineLevel="1" x14ac:dyDescent="0.35">
      <c r="B4954" s="200"/>
      <c r="C4954" s="201"/>
      <c r="D4954" s="201"/>
      <c r="E4954" s="201"/>
      <c r="F4954" s="202"/>
      <c r="G4954" s="549"/>
      <c r="H4954" s="549"/>
      <c r="I4954" s="549"/>
      <c r="J4954" s="549"/>
      <c r="K4954" s="549"/>
      <c r="M4954" s="465"/>
      <c r="N4954" s="201"/>
    </row>
    <row r="4955" spans="2:14" hidden="1" outlineLevel="1" x14ac:dyDescent="0.35">
      <c r="B4955" s="200"/>
      <c r="C4955" s="201"/>
      <c r="D4955" s="201"/>
      <c r="E4955" s="201"/>
      <c r="F4955" s="202"/>
      <c r="G4955" s="549"/>
      <c r="H4955" s="549"/>
      <c r="I4955" s="549"/>
      <c r="J4955" s="549"/>
      <c r="K4955" s="549"/>
      <c r="M4955" s="465"/>
      <c r="N4955" s="201"/>
    </row>
    <row r="4956" spans="2:14" hidden="1" outlineLevel="1" x14ac:dyDescent="0.35">
      <c r="B4956" s="200"/>
      <c r="C4956" s="201"/>
      <c r="D4956" s="201"/>
      <c r="E4956" s="201"/>
      <c r="F4956" s="202"/>
      <c r="G4956" s="549"/>
      <c r="H4956" s="549"/>
      <c r="I4956" s="549"/>
      <c r="J4956" s="549"/>
      <c r="K4956" s="549"/>
      <c r="M4956" s="465"/>
      <c r="N4956" s="201"/>
    </row>
    <row r="4957" spans="2:14" hidden="1" outlineLevel="1" x14ac:dyDescent="0.35">
      <c r="B4957" s="200"/>
      <c r="C4957" s="201"/>
      <c r="D4957" s="201"/>
      <c r="E4957" s="201"/>
      <c r="F4957" s="202"/>
      <c r="G4957" s="549"/>
      <c r="H4957" s="549"/>
      <c r="I4957" s="549"/>
      <c r="J4957" s="549"/>
      <c r="K4957" s="549"/>
      <c r="M4957" s="465"/>
      <c r="N4957" s="201"/>
    </row>
    <row r="4958" spans="2:14" hidden="1" outlineLevel="1" x14ac:dyDescent="0.35">
      <c r="B4958" s="200"/>
      <c r="C4958" s="201"/>
      <c r="D4958" s="201"/>
      <c r="E4958" s="201"/>
      <c r="F4958" s="202"/>
      <c r="G4958" s="549"/>
      <c r="H4958" s="549"/>
      <c r="I4958" s="549"/>
      <c r="J4958" s="549"/>
      <c r="K4958" s="549"/>
      <c r="M4958" s="465"/>
      <c r="N4958" s="201"/>
    </row>
    <row r="4959" spans="2:14" hidden="1" outlineLevel="1" x14ac:dyDescent="0.35">
      <c r="B4959" s="200"/>
      <c r="C4959" s="201"/>
      <c r="D4959" s="201"/>
      <c r="E4959" s="201"/>
      <c r="F4959" s="202"/>
      <c r="G4959" s="549"/>
      <c r="H4959" s="549"/>
      <c r="I4959" s="549"/>
      <c r="J4959" s="549"/>
      <c r="K4959" s="549"/>
      <c r="M4959" s="465"/>
      <c r="N4959" s="201"/>
    </row>
    <row r="4960" spans="2:14" hidden="1" outlineLevel="1" x14ac:dyDescent="0.35">
      <c r="B4960" s="200"/>
      <c r="C4960" s="201"/>
      <c r="D4960" s="201"/>
      <c r="E4960" s="201"/>
      <c r="F4960" s="202"/>
      <c r="G4960" s="549"/>
      <c r="H4960" s="549"/>
      <c r="I4960" s="549"/>
      <c r="J4960" s="549"/>
      <c r="K4960" s="549"/>
      <c r="M4960" s="465"/>
      <c r="N4960" s="201"/>
    </row>
    <row r="4961" spans="2:14" hidden="1" outlineLevel="1" x14ac:dyDescent="0.35">
      <c r="B4961" s="200"/>
      <c r="C4961" s="201"/>
      <c r="D4961" s="201"/>
      <c r="E4961" s="201"/>
      <c r="F4961" s="202"/>
      <c r="G4961" s="549"/>
      <c r="H4961" s="549"/>
      <c r="I4961" s="549"/>
      <c r="J4961" s="549"/>
      <c r="K4961" s="549"/>
      <c r="M4961" s="465"/>
      <c r="N4961" s="201"/>
    </row>
    <row r="4962" spans="2:14" hidden="1" outlineLevel="1" x14ac:dyDescent="0.35">
      <c r="B4962" s="200"/>
      <c r="C4962" s="201"/>
      <c r="D4962" s="201"/>
      <c r="E4962" s="201"/>
      <c r="F4962" s="202"/>
      <c r="G4962" s="549"/>
      <c r="H4962" s="549"/>
      <c r="I4962" s="549"/>
      <c r="J4962" s="549"/>
      <c r="K4962" s="549"/>
      <c r="M4962" s="465"/>
      <c r="N4962" s="201"/>
    </row>
    <row r="4963" spans="2:14" hidden="1" outlineLevel="1" x14ac:dyDescent="0.35">
      <c r="B4963" s="200"/>
      <c r="C4963" s="201"/>
      <c r="D4963" s="201"/>
      <c r="E4963" s="201"/>
      <c r="F4963" s="202"/>
      <c r="G4963" s="549"/>
      <c r="H4963" s="549"/>
      <c r="I4963" s="549"/>
      <c r="J4963" s="549"/>
      <c r="K4963" s="549"/>
      <c r="M4963" s="465"/>
      <c r="N4963" s="201"/>
    </row>
    <row r="4964" spans="2:14" hidden="1" outlineLevel="1" x14ac:dyDescent="0.35">
      <c r="B4964" s="200"/>
      <c r="C4964" s="201"/>
      <c r="D4964" s="201"/>
      <c r="E4964" s="201"/>
      <c r="F4964" s="202"/>
      <c r="G4964" s="549"/>
      <c r="H4964" s="549"/>
      <c r="I4964" s="549"/>
      <c r="J4964" s="549"/>
      <c r="K4964" s="549"/>
      <c r="M4964" s="465"/>
      <c r="N4964" s="201"/>
    </row>
    <row r="4965" spans="2:14" hidden="1" outlineLevel="1" x14ac:dyDescent="0.35">
      <c r="B4965" s="200"/>
      <c r="C4965" s="201"/>
      <c r="D4965" s="201"/>
      <c r="E4965" s="201"/>
      <c r="F4965" s="202"/>
      <c r="G4965" s="549"/>
      <c r="H4965" s="549"/>
      <c r="I4965" s="549"/>
      <c r="J4965" s="549"/>
      <c r="K4965" s="549"/>
      <c r="M4965" s="465"/>
      <c r="N4965" s="201"/>
    </row>
    <row r="4966" spans="2:14" hidden="1" outlineLevel="1" x14ac:dyDescent="0.35">
      <c r="B4966" s="200"/>
      <c r="C4966" s="201"/>
      <c r="D4966" s="201"/>
      <c r="E4966" s="201"/>
      <c r="F4966" s="202"/>
      <c r="G4966" s="549"/>
      <c r="H4966" s="549"/>
      <c r="I4966" s="549"/>
      <c r="J4966" s="549"/>
      <c r="K4966" s="549"/>
      <c r="M4966" s="465"/>
      <c r="N4966" s="201"/>
    </row>
    <row r="4967" spans="2:14" hidden="1" outlineLevel="1" x14ac:dyDescent="0.35">
      <c r="B4967" s="200"/>
      <c r="C4967" s="201"/>
      <c r="D4967" s="201"/>
      <c r="E4967" s="201"/>
      <c r="F4967" s="202"/>
      <c r="G4967" s="549"/>
      <c r="H4967" s="549"/>
      <c r="I4967" s="549"/>
      <c r="J4967" s="549"/>
      <c r="K4967" s="549"/>
      <c r="M4967" s="465"/>
      <c r="N4967" s="201"/>
    </row>
    <row r="4968" spans="2:14" hidden="1" outlineLevel="1" x14ac:dyDescent="0.35">
      <c r="B4968" s="200"/>
      <c r="C4968" s="201"/>
      <c r="D4968" s="201"/>
      <c r="E4968" s="201"/>
      <c r="F4968" s="202"/>
      <c r="G4968" s="549"/>
      <c r="H4968" s="549"/>
      <c r="I4968" s="549"/>
      <c r="J4968" s="549"/>
      <c r="K4968" s="549"/>
      <c r="M4968" s="465"/>
      <c r="N4968" s="201"/>
    </row>
    <row r="4969" spans="2:14" hidden="1" outlineLevel="1" x14ac:dyDescent="0.35">
      <c r="B4969" s="200"/>
      <c r="C4969" s="201"/>
      <c r="D4969" s="201"/>
      <c r="E4969" s="201"/>
      <c r="F4969" s="202"/>
      <c r="G4969" s="549"/>
      <c r="H4969" s="549"/>
      <c r="I4969" s="549"/>
      <c r="J4969" s="549"/>
      <c r="K4969" s="549"/>
      <c r="M4969" s="465"/>
      <c r="N4969" s="201"/>
    </row>
    <row r="4970" spans="2:14" hidden="1" outlineLevel="1" x14ac:dyDescent="0.35">
      <c r="B4970" s="200"/>
      <c r="C4970" s="201"/>
      <c r="D4970" s="201"/>
      <c r="E4970" s="201"/>
      <c r="F4970" s="202"/>
      <c r="G4970" s="549"/>
      <c r="H4970" s="549"/>
      <c r="I4970" s="549"/>
      <c r="J4970" s="549"/>
      <c r="K4970" s="549"/>
      <c r="M4970" s="465"/>
      <c r="N4970" s="201"/>
    </row>
    <row r="4971" spans="2:14" hidden="1" outlineLevel="1" x14ac:dyDescent="0.35">
      <c r="B4971" s="200"/>
      <c r="C4971" s="201"/>
      <c r="D4971" s="201"/>
      <c r="E4971" s="201"/>
      <c r="F4971" s="202"/>
      <c r="G4971" s="549"/>
      <c r="H4971" s="549"/>
      <c r="I4971" s="549"/>
      <c r="J4971" s="549"/>
      <c r="K4971" s="549"/>
      <c r="M4971" s="465"/>
      <c r="N4971" s="201"/>
    </row>
    <row r="4972" spans="2:14" hidden="1" outlineLevel="1" x14ac:dyDescent="0.35">
      <c r="B4972" s="200"/>
      <c r="C4972" s="201"/>
      <c r="D4972" s="201"/>
      <c r="E4972" s="201"/>
      <c r="F4972" s="202"/>
      <c r="G4972" s="549"/>
      <c r="H4972" s="549"/>
      <c r="I4972" s="549"/>
      <c r="J4972" s="549"/>
      <c r="K4972" s="549"/>
      <c r="M4972" s="465"/>
      <c r="N4972" s="201"/>
    </row>
    <row r="4973" spans="2:14" hidden="1" outlineLevel="1" x14ac:dyDescent="0.35">
      <c r="B4973" s="200"/>
      <c r="C4973" s="201"/>
      <c r="D4973" s="201"/>
      <c r="E4973" s="201"/>
      <c r="F4973" s="202"/>
      <c r="G4973" s="549"/>
      <c r="H4973" s="549"/>
      <c r="I4973" s="549"/>
      <c r="J4973" s="549"/>
      <c r="K4973" s="549"/>
      <c r="M4973" s="465"/>
      <c r="N4973" s="201"/>
    </row>
    <row r="4974" spans="2:14" hidden="1" outlineLevel="1" x14ac:dyDescent="0.35">
      <c r="B4974" s="200"/>
      <c r="C4974" s="201"/>
      <c r="D4974" s="201"/>
      <c r="E4974" s="201"/>
      <c r="F4974" s="202"/>
      <c r="G4974" s="549"/>
      <c r="H4974" s="549"/>
      <c r="I4974" s="549"/>
      <c r="J4974" s="549"/>
      <c r="K4974" s="549"/>
      <c r="M4974" s="465"/>
      <c r="N4974" s="201"/>
    </row>
    <row r="4975" spans="2:14" hidden="1" outlineLevel="1" x14ac:dyDescent="0.35">
      <c r="B4975" s="200"/>
      <c r="C4975" s="201"/>
      <c r="D4975" s="201"/>
      <c r="E4975" s="201"/>
      <c r="F4975" s="202"/>
      <c r="G4975" s="549"/>
      <c r="H4975" s="549"/>
      <c r="I4975" s="549"/>
      <c r="J4975" s="549"/>
      <c r="K4975" s="549"/>
      <c r="M4975" s="465"/>
      <c r="N4975" s="201"/>
    </row>
    <row r="4976" spans="2:14" hidden="1" outlineLevel="1" x14ac:dyDescent="0.35">
      <c r="B4976" s="200"/>
      <c r="C4976" s="201"/>
      <c r="D4976" s="201"/>
      <c r="E4976" s="201"/>
      <c r="F4976" s="202"/>
      <c r="G4976" s="549"/>
      <c r="H4976" s="549"/>
      <c r="I4976" s="549"/>
      <c r="J4976" s="549"/>
      <c r="K4976" s="549"/>
      <c r="M4976" s="465"/>
      <c r="N4976" s="201"/>
    </row>
    <row r="4977" spans="2:14" hidden="1" outlineLevel="1" x14ac:dyDescent="0.35">
      <c r="B4977" s="200"/>
      <c r="C4977" s="201"/>
      <c r="D4977" s="201"/>
      <c r="E4977" s="201"/>
      <c r="F4977" s="202"/>
      <c r="G4977" s="549"/>
      <c r="H4977" s="549"/>
      <c r="I4977" s="549"/>
      <c r="J4977" s="549"/>
      <c r="K4977" s="549"/>
      <c r="M4977" s="465"/>
      <c r="N4977" s="201"/>
    </row>
    <row r="4978" spans="2:14" hidden="1" outlineLevel="1" x14ac:dyDescent="0.35">
      <c r="B4978" s="200"/>
      <c r="C4978" s="201"/>
      <c r="D4978" s="201"/>
      <c r="E4978" s="201"/>
      <c r="F4978" s="202"/>
      <c r="G4978" s="549"/>
      <c r="H4978" s="549"/>
      <c r="I4978" s="549"/>
      <c r="J4978" s="549"/>
      <c r="K4978" s="549"/>
      <c r="M4978" s="465"/>
      <c r="N4978" s="201"/>
    </row>
    <row r="4979" spans="2:14" hidden="1" outlineLevel="1" x14ac:dyDescent="0.35">
      <c r="B4979" s="200"/>
      <c r="C4979" s="201"/>
      <c r="D4979" s="201"/>
      <c r="E4979" s="201"/>
      <c r="F4979" s="202"/>
      <c r="G4979" s="549"/>
      <c r="H4979" s="549"/>
      <c r="I4979" s="549"/>
      <c r="J4979" s="549"/>
      <c r="K4979" s="549"/>
      <c r="M4979" s="465"/>
      <c r="N4979" s="201"/>
    </row>
    <row r="4980" spans="2:14" hidden="1" outlineLevel="1" x14ac:dyDescent="0.35">
      <c r="B4980" s="200"/>
      <c r="C4980" s="201"/>
      <c r="D4980" s="201"/>
      <c r="E4980" s="201"/>
      <c r="F4980" s="202"/>
      <c r="G4980" s="549"/>
      <c r="H4980" s="549"/>
      <c r="I4980" s="549"/>
      <c r="J4980" s="549"/>
      <c r="K4980" s="549"/>
      <c r="M4980" s="465"/>
      <c r="N4980" s="201"/>
    </row>
    <row r="4981" spans="2:14" hidden="1" outlineLevel="1" x14ac:dyDescent="0.35">
      <c r="B4981" s="200"/>
      <c r="C4981" s="201"/>
      <c r="D4981" s="201"/>
      <c r="E4981" s="201"/>
      <c r="F4981" s="202"/>
      <c r="G4981" s="549"/>
      <c r="H4981" s="549"/>
      <c r="I4981" s="549"/>
      <c r="J4981" s="549"/>
      <c r="K4981" s="549"/>
      <c r="M4981" s="465"/>
      <c r="N4981" s="201"/>
    </row>
    <row r="4982" spans="2:14" hidden="1" outlineLevel="1" x14ac:dyDescent="0.35">
      <c r="B4982" s="200"/>
      <c r="C4982" s="201"/>
      <c r="D4982" s="201"/>
      <c r="E4982" s="201"/>
      <c r="F4982" s="202"/>
      <c r="G4982" s="549"/>
      <c r="H4982" s="549"/>
      <c r="I4982" s="549"/>
      <c r="J4982" s="549"/>
      <c r="K4982" s="549"/>
      <c r="M4982" s="465"/>
      <c r="N4982" s="201"/>
    </row>
    <row r="4983" spans="2:14" hidden="1" outlineLevel="1" x14ac:dyDescent="0.35">
      <c r="B4983" s="200"/>
      <c r="C4983" s="201"/>
      <c r="D4983" s="201"/>
      <c r="E4983" s="201"/>
      <c r="F4983" s="202"/>
      <c r="G4983" s="549"/>
      <c r="H4983" s="549"/>
      <c r="I4983" s="549"/>
      <c r="J4983" s="549"/>
      <c r="K4983" s="549"/>
      <c r="M4983" s="465"/>
      <c r="N4983" s="201"/>
    </row>
    <row r="4984" spans="2:14" hidden="1" outlineLevel="1" x14ac:dyDescent="0.35">
      <c r="B4984" s="200"/>
      <c r="C4984" s="201"/>
      <c r="D4984" s="201"/>
      <c r="E4984" s="201"/>
      <c r="F4984" s="202"/>
      <c r="G4984" s="549"/>
      <c r="H4984" s="549"/>
      <c r="I4984" s="549"/>
      <c r="J4984" s="549"/>
      <c r="K4984" s="549"/>
      <c r="M4984" s="465"/>
      <c r="N4984" s="201"/>
    </row>
    <row r="4985" spans="2:14" hidden="1" outlineLevel="1" x14ac:dyDescent="0.35">
      <c r="B4985" s="200"/>
      <c r="C4985" s="201"/>
      <c r="D4985" s="201"/>
      <c r="E4985" s="201"/>
      <c r="F4985" s="202"/>
      <c r="G4985" s="549"/>
      <c r="H4985" s="549"/>
      <c r="I4985" s="549"/>
      <c r="J4985" s="549"/>
      <c r="K4985" s="549"/>
      <c r="M4985" s="465"/>
      <c r="N4985" s="201"/>
    </row>
    <row r="4986" spans="2:14" hidden="1" outlineLevel="1" x14ac:dyDescent="0.35">
      <c r="B4986" s="200"/>
      <c r="C4986" s="201"/>
      <c r="D4986" s="201"/>
      <c r="E4986" s="201"/>
      <c r="F4986" s="202"/>
      <c r="G4986" s="549"/>
      <c r="H4986" s="549"/>
      <c r="I4986" s="549"/>
      <c r="J4986" s="549"/>
      <c r="K4986" s="549"/>
      <c r="M4986" s="465"/>
      <c r="N4986" s="201"/>
    </row>
    <row r="4987" spans="2:14" hidden="1" outlineLevel="1" x14ac:dyDescent="0.35">
      <c r="B4987" s="200"/>
      <c r="C4987" s="201"/>
      <c r="D4987" s="201"/>
      <c r="E4987" s="201"/>
      <c r="F4987" s="202"/>
      <c r="G4987" s="549"/>
      <c r="H4987" s="549"/>
      <c r="I4987" s="549"/>
      <c r="J4987" s="549"/>
      <c r="K4987" s="549"/>
      <c r="M4987" s="465"/>
      <c r="N4987" s="201"/>
    </row>
    <row r="4988" spans="2:14" hidden="1" outlineLevel="1" x14ac:dyDescent="0.35">
      <c r="B4988" s="200"/>
      <c r="C4988" s="201"/>
      <c r="D4988" s="201"/>
      <c r="E4988" s="201"/>
      <c r="F4988" s="202"/>
      <c r="G4988" s="549"/>
      <c r="H4988" s="549"/>
      <c r="I4988" s="549"/>
      <c r="J4988" s="549"/>
      <c r="K4988" s="549"/>
      <c r="M4988" s="465"/>
      <c r="N4988" s="201"/>
    </row>
    <row r="4989" spans="2:14" hidden="1" outlineLevel="1" x14ac:dyDescent="0.35">
      <c r="B4989" s="200"/>
      <c r="C4989" s="201"/>
      <c r="D4989" s="201"/>
      <c r="E4989" s="201"/>
      <c r="F4989" s="202"/>
      <c r="G4989" s="549"/>
      <c r="H4989" s="549"/>
      <c r="I4989" s="549"/>
      <c r="J4989" s="549"/>
      <c r="K4989" s="549"/>
      <c r="M4989" s="465"/>
      <c r="N4989" s="201"/>
    </row>
    <row r="4990" spans="2:14" hidden="1" outlineLevel="1" x14ac:dyDescent="0.35">
      <c r="B4990" s="200"/>
      <c r="C4990" s="201"/>
      <c r="D4990" s="201"/>
      <c r="E4990" s="201"/>
      <c r="F4990" s="202"/>
      <c r="G4990" s="549"/>
      <c r="H4990" s="549"/>
      <c r="I4990" s="549"/>
      <c r="J4990" s="549"/>
      <c r="K4990" s="549"/>
      <c r="M4990" s="465"/>
      <c r="N4990" s="201"/>
    </row>
    <row r="4991" spans="2:14" hidden="1" outlineLevel="1" x14ac:dyDescent="0.35">
      <c r="B4991" s="200"/>
      <c r="C4991" s="201"/>
      <c r="D4991" s="201"/>
      <c r="E4991" s="201"/>
      <c r="F4991" s="202"/>
      <c r="G4991" s="549"/>
      <c r="H4991" s="549"/>
      <c r="I4991" s="549"/>
      <c r="J4991" s="549"/>
      <c r="K4991" s="549"/>
      <c r="M4991" s="465"/>
      <c r="N4991" s="201"/>
    </row>
    <row r="4992" spans="2:14" hidden="1" outlineLevel="1" x14ac:dyDescent="0.35">
      <c r="B4992" s="200"/>
      <c r="C4992" s="201"/>
      <c r="D4992" s="201"/>
      <c r="E4992" s="201"/>
      <c r="F4992" s="202"/>
      <c r="G4992" s="549"/>
      <c r="H4992" s="549"/>
      <c r="I4992" s="549"/>
      <c r="J4992" s="549"/>
      <c r="K4992" s="549"/>
      <c r="M4992" s="465"/>
      <c r="N4992" s="201"/>
    </row>
    <row r="4993" spans="2:14" hidden="1" outlineLevel="1" x14ac:dyDescent="0.35">
      <c r="B4993" s="200"/>
      <c r="C4993" s="201"/>
      <c r="D4993" s="201"/>
      <c r="E4993" s="201"/>
      <c r="F4993" s="202"/>
      <c r="G4993" s="549"/>
      <c r="H4993" s="549"/>
      <c r="I4993" s="549"/>
      <c r="J4993" s="549"/>
      <c r="K4993" s="549"/>
      <c r="M4993" s="465"/>
      <c r="N4993" s="201"/>
    </row>
    <row r="4994" spans="2:14" hidden="1" outlineLevel="1" x14ac:dyDescent="0.35">
      <c r="B4994" s="200"/>
      <c r="C4994" s="201"/>
      <c r="D4994" s="201"/>
      <c r="E4994" s="201"/>
      <c r="F4994" s="202"/>
      <c r="G4994" s="549"/>
      <c r="H4994" s="549"/>
      <c r="I4994" s="549"/>
      <c r="J4994" s="549"/>
      <c r="K4994" s="549"/>
      <c r="M4994" s="465"/>
      <c r="N4994" s="201"/>
    </row>
    <row r="4995" spans="2:14" hidden="1" outlineLevel="1" x14ac:dyDescent="0.35">
      <c r="B4995" s="200"/>
      <c r="C4995" s="201"/>
      <c r="D4995" s="201"/>
      <c r="E4995" s="201"/>
      <c r="F4995" s="202"/>
      <c r="G4995" s="549"/>
      <c r="H4995" s="549"/>
      <c r="I4995" s="549"/>
      <c r="J4995" s="549"/>
      <c r="K4995" s="549"/>
      <c r="M4995" s="465"/>
      <c r="N4995" s="201"/>
    </row>
    <row r="4996" spans="2:14" hidden="1" outlineLevel="1" x14ac:dyDescent="0.35">
      <c r="B4996" s="200"/>
      <c r="C4996" s="201"/>
      <c r="D4996" s="201"/>
      <c r="E4996" s="201"/>
      <c r="F4996" s="202"/>
      <c r="G4996" s="549"/>
      <c r="H4996" s="549"/>
      <c r="I4996" s="549"/>
      <c r="J4996" s="549"/>
      <c r="K4996" s="549"/>
      <c r="M4996" s="465"/>
      <c r="N4996" s="201"/>
    </row>
    <row r="4997" spans="2:14" hidden="1" outlineLevel="1" x14ac:dyDescent="0.35">
      <c r="B4997" s="200"/>
      <c r="C4997" s="201"/>
      <c r="D4997" s="201"/>
      <c r="E4997" s="201"/>
      <c r="F4997" s="202"/>
      <c r="G4997" s="549"/>
      <c r="H4997" s="549"/>
      <c r="I4997" s="549"/>
      <c r="J4997" s="549"/>
      <c r="K4997" s="549"/>
      <c r="M4997" s="465"/>
      <c r="N4997" s="201"/>
    </row>
    <row r="4998" spans="2:14" hidden="1" outlineLevel="1" x14ac:dyDescent="0.35">
      <c r="B4998" s="200"/>
      <c r="C4998" s="201"/>
      <c r="D4998" s="201"/>
      <c r="E4998" s="201"/>
      <c r="F4998" s="202"/>
      <c r="G4998" s="549"/>
      <c r="H4998" s="549"/>
      <c r="I4998" s="549"/>
      <c r="J4998" s="549"/>
      <c r="K4998" s="549"/>
      <c r="M4998" s="465"/>
      <c r="N4998" s="201"/>
    </row>
    <row r="4999" spans="2:14" hidden="1" outlineLevel="1" x14ac:dyDescent="0.35">
      <c r="B4999" s="200"/>
      <c r="C4999" s="201"/>
      <c r="D4999" s="201"/>
      <c r="E4999" s="201"/>
      <c r="F4999" s="202"/>
      <c r="G4999" s="549"/>
      <c r="H4999" s="549"/>
      <c r="I4999" s="549"/>
      <c r="J4999" s="549"/>
      <c r="K4999" s="549"/>
      <c r="M4999" s="465"/>
      <c r="N4999" s="201"/>
    </row>
    <row r="5000" spans="2:14" hidden="1" outlineLevel="1" x14ac:dyDescent="0.35">
      <c r="B5000" s="200"/>
      <c r="C5000" s="201"/>
      <c r="D5000" s="201"/>
      <c r="E5000" s="201"/>
      <c r="F5000" s="202"/>
      <c r="G5000" s="549"/>
      <c r="H5000" s="549"/>
      <c r="I5000" s="549"/>
      <c r="J5000" s="549"/>
      <c r="K5000" s="549"/>
      <c r="M5000" s="465"/>
      <c r="N5000" s="201"/>
    </row>
    <row r="5001" spans="2:14" hidden="1" outlineLevel="1" x14ac:dyDescent="0.35">
      <c r="B5001" s="200"/>
      <c r="C5001" s="201"/>
      <c r="D5001" s="201"/>
      <c r="E5001" s="201"/>
      <c r="F5001" s="202"/>
      <c r="G5001" s="549"/>
      <c r="H5001" s="549"/>
      <c r="I5001" s="549"/>
      <c r="J5001" s="549"/>
      <c r="K5001" s="549"/>
      <c r="M5001" s="465"/>
      <c r="N5001" s="201"/>
    </row>
    <row r="5002" spans="2:14" hidden="1" outlineLevel="1" x14ac:dyDescent="0.35">
      <c r="B5002" s="200"/>
      <c r="C5002" s="201"/>
      <c r="D5002" s="201"/>
      <c r="E5002" s="201"/>
      <c r="F5002" s="202"/>
      <c r="G5002" s="549"/>
      <c r="H5002" s="549"/>
      <c r="I5002" s="549"/>
      <c r="J5002" s="549"/>
      <c r="K5002" s="549"/>
      <c r="M5002" s="465"/>
      <c r="N5002" s="201"/>
    </row>
    <row r="5003" spans="2:14" hidden="1" outlineLevel="1" x14ac:dyDescent="0.35">
      <c r="B5003" s="200"/>
      <c r="C5003" s="201"/>
      <c r="D5003" s="201"/>
      <c r="E5003" s="201"/>
      <c r="F5003" s="202"/>
      <c r="G5003" s="549"/>
      <c r="H5003" s="549"/>
      <c r="I5003" s="549"/>
      <c r="J5003" s="549"/>
      <c r="K5003" s="549"/>
      <c r="M5003" s="465"/>
      <c r="N5003" s="201"/>
    </row>
    <row r="5004" spans="2:14" hidden="1" outlineLevel="1" x14ac:dyDescent="0.35">
      <c r="B5004" s="200"/>
      <c r="C5004" s="201"/>
      <c r="D5004" s="201"/>
      <c r="E5004" s="201"/>
      <c r="F5004" s="202"/>
      <c r="G5004" s="549"/>
      <c r="H5004" s="549"/>
      <c r="I5004" s="549"/>
      <c r="J5004" s="549"/>
      <c r="K5004" s="549"/>
      <c r="M5004" s="465"/>
      <c r="N5004" s="201"/>
    </row>
    <row r="5005" spans="2:14" hidden="1" outlineLevel="1" x14ac:dyDescent="0.35">
      <c r="B5005" s="200"/>
      <c r="C5005" s="201"/>
      <c r="D5005" s="201"/>
      <c r="E5005" s="201"/>
      <c r="F5005" s="202"/>
      <c r="G5005" s="549"/>
      <c r="H5005" s="549"/>
      <c r="I5005" s="549"/>
      <c r="J5005" s="549"/>
      <c r="K5005" s="549"/>
      <c r="M5005" s="465"/>
      <c r="N5005" s="201"/>
    </row>
    <row r="5006" spans="2:14" hidden="1" outlineLevel="1" x14ac:dyDescent="0.35">
      <c r="B5006" s="200"/>
      <c r="C5006" s="201"/>
      <c r="D5006" s="201"/>
      <c r="E5006" s="201"/>
      <c r="F5006" s="202"/>
      <c r="G5006" s="549"/>
      <c r="H5006" s="549"/>
      <c r="I5006" s="549"/>
      <c r="J5006" s="549"/>
      <c r="K5006" s="549"/>
      <c r="M5006" s="465"/>
      <c r="N5006" s="201"/>
    </row>
    <row r="5007" spans="2:14" hidden="1" outlineLevel="1" x14ac:dyDescent="0.35">
      <c r="B5007" s="200"/>
      <c r="C5007" s="201"/>
      <c r="D5007" s="201"/>
      <c r="E5007" s="201"/>
      <c r="F5007" s="202"/>
      <c r="G5007" s="549"/>
      <c r="H5007" s="549"/>
      <c r="I5007" s="549"/>
      <c r="J5007" s="549"/>
      <c r="K5007" s="549"/>
      <c r="M5007" s="465"/>
      <c r="N5007" s="201"/>
    </row>
    <row r="5008" spans="2:14" hidden="1" outlineLevel="1" x14ac:dyDescent="0.35">
      <c r="B5008" s="200"/>
      <c r="C5008" s="201"/>
      <c r="D5008" s="201"/>
      <c r="E5008" s="201"/>
      <c r="F5008" s="202"/>
      <c r="G5008" s="549"/>
      <c r="H5008" s="549"/>
      <c r="I5008" s="549"/>
      <c r="J5008" s="549"/>
      <c r="K5008" s="549"/>
      <c r="M5008" s="465"/>
      <c r="N5008" s="201"/>
    </row>
    <row r="5009" spans="2:14" hidden="1" outlineLevel="1" x14ac:dyDescent="0.35">
      <c r="B5009" s="200"/>
      <c r="C5009" s="201"/>
      <c r="D5009" s="201"/>
      <c r="E5009" s="201"/>
      <c r="F5009" s="202"/>
      <c r="G5009" s="549"/>
      <c r="H5009" s="549"/>
      <c r="I5009" s="549"/>
      <c r="J5009" s="549"/>
      <c r="K5009" s="549"/>
      <c r="M5009" s="465"/>
      <c r="N5009" s="201"/>
    </row>
    <row r="5010" spans="2:14" hidden="1" outlineLevel="1" x14ac:dyDescent="0.35">
      <c r="B5010" s="200"/>
      <c r="C5010" s="201"/>
      <c r="D5010" s="201"/>
      <c r="E5010" s="201"/>
      <c r="F5010" s="202"/>
      <c r="G5010" s="549"/>
      <c r="H5010" s="549"/>
      <c r="I5010" s="549"/>
      <c r="J5010" s="549"/>
      <c r="K5010" s="549"/>
      <c r="M5010" s="465"/>
      <c r="N5010" s="201"/>
    </row>
    <row r="5011" spans="2:14" hidden="1" outlineLevel="1" x14ac:dyDescent="0.35">
      <c r="B5011" s="200"/>
      <c r="C5011" s="201"/>
      <c r="D5011" s="201"/>
      <c r="E5011" s="201"/>
      <c r="F5011" s="202"/>
      <c r="G5011" s="549"/>
      <c r="H5011" s="549"/>
      <c r="I5011" s="549"/>
      <c r="J5011" s="549"/>
      <c r="K5011" s="549"/>
      <c r="M5011" s="465"/>
      <c r="N5011" s="201"/>
    </row>
    <row r="5012" spans="2:14" hidden="1" outlineLevel="1" x14ac:dyDescent="0.35">
      <c r="B5012" s="200"/>
      <c r="C5012" s="201"/>
      <c r="D5012" s="201"/>
      <c r="E5012" s="201"/>
      <c r="F5012" s="202"/>
      <c r="G5012" s="549"/>
      <c r="H5012" s="549"/>
      <c r="I5012" s="549"/>
      <c r="J5012" s="549"/>
      <c r="K5012" s="549"/>
      <c r="M5012" s="465"/>
      <c r="N5012" s="201"/>
    </row>
    <row r="5013" spans="2:14" hidden="1" outlineLevel="1" x14ac:dyDescent="0.35">
      <c r="B5013" s="200"/>
      <c r="C5013" s="201"/>
      <c r="D5013" s="201"/>
      <c r="E5013" s="201"/>
      <c r="F5013" s="202"/>
      <c r="G5013" s="549"/>
      <c r="H5013" s="549"/>
      <c r="I5013" s="549"/>
      <c r="J5013" s="549"/>
      <c r="K5013" s="549"/>
      <c r="M5013" s="465"/>
      <c r="N5013" s="201"/>
    </row>
    <row r="5014" spans="2:14" hidden="1" outlineLevel="1" x14ac:dyDescent="0.35">
      <c r="B5014" s="200"/>
      <c r="C5014" s="201"/>
      <c r="D5014" s="201"/>
      <c r="E5014" s="201"/>
      <c r="F5014" s="202"/>
      <c r="G5014" s="549"/>
      <c r="H5014" s="549"/>
      <c r="I5014" s="549"/>
      <c r="J5014" s="549"/>
      <c r="K5014" s="549"/>
      <c r="M5014" s="465"/>
      <c r="N5014" s="201"/>
    </row>
    <row r="5015" spans="2:14" hidden="1" outlineLevel="1" x14ac:dyDescent="0.35">
      <c r="B5015" s="200"/>
      <c r="C5015" s="201"/>
      <c r="D5015" s="201"/>
      <c r="E5015" s="201"/>
      <c r="F5015" s="202"/>
      <c r="G5015" s="549"/>
      <c r="H5015" s="549"/>
      <c r="I5015" s="549"/>
      <c r="J5015" s="549"/>
      <c r="K5015" s="549"/>
      <c r="M5015" s="465"/>
      <c r="N5015" s="201"/>
    </row>
    <row r="5016" spans="2:14" hidden="1" outlineLevel="1" x14ac:dyDescent="0.35">
      <c r="B5016" s="200"/>
      <c r="C5016" s="201"/>
      <c r="D5016" s="201"/>
      <c r="E5016" s="201"/>
      <c r="F5016" s="202"/>
      <c r="G5016" s="549"/>
      <c r="H5016" s="549"/>
      <c r="I5016" s="549"/>
      <c r="J5016" s="549"/>
      <c r="K5016" s="549"/>
      <c r="M5016" s="465"/>
      <c r="N5016" s="201"/>
    </row>
    <row r="5017" spans="2:14" hidden="1" outlineLevel="1" x14ac:dyDescent="0.35">
      <c r="B5017" s="200"/>
      <c r="C5017" s="201"/>
      <c r="D5017" s="201"/>
      <c r="E5017" s="201"/>
      <c r="F5017" s="202"/>
      <c r="G5017" s="549"/>
      <c r="H5017" s="549"/>
      <c r="I5017" s="549"/>
      <c r="J5017" s="549"/>
      <c r="K5017" s="549"/>
      <c r="M5017" s="465"/>
      <c r="N5017" s="201"/>
    </row>
    <row r="5018" spans="2:14" hidden="1" outlineLevel="1" x14ac:dyDescent="0.35">
      <c r="B5018" s="200"/>
      <c r="C5018" s="201"/>
      <c r="D5018" s="201"/>
      <c r="E5018" s="201"/>
      <c r="F5018" s="202"/>
      <c r="G5018" s="549"/>
      <c r="H5018" s="549"/>
      <c r="I5018" s="549"/>
      <c r="J5018" s="549"/>
      <c r="K5018" s="549"/>
      <c r="M5018" s="465"/>
      <c r="N5018" s="201"/>
    </row>
    <row r="5019" spans="2:14" hidden="1" outlineLevel="1" x14ac:dyDescent="0.35">
      <c r="B5019" s="200"/>
      <c r="C5019" s="201"/>
      <c r="D5019" s="201"/>
      <c r="E5019" s="201"/>
      <c r="F5019" s="202"/>
      <c r="G5019" s="549"/>
      <c r="H5019" s="549"/>
      <c r="I5019" s="549"/>
      <c r="J5019" s="549"/>
      <c r="K5019" s="549"/>
      <c r="M5019" s="465"/>
      <c r="N5019" s="201"/>
    </row>
    <row r="5020" spans="2:14" hidden="1" outlineLevel="1" x14ac:dyDescent="0.35">
      <c r="B5020" s="200"/>
      <c r="C5020" s="201"/>
      <c r="D5020" s="201"/>
      <c r="E5020" s="201"/>
      <c r="F5020" s="202"/>
      <c r="G5020" s="549"/>
      <c r="H5020" s="549"/>
      <c r="I5020" s="549"/>
      <c r="J5020" s="549"/>
      <c r="K5020" s="549"/>
      <c r="M5020" s="465"/>
      <c r="N5020" s="201"/>
    </row>
    <row r="5021" spans="2:14" hidden="1" outlineLevel="1" x14ac:dyDescent="0.35">
      <c r="B5021" s="200"/>
      <c r="C5021" s="201"/>
      <c r="D5021" s="201"/>
      <c r="E5021" s="201"/>
      <c r="F5021" s="202"/>
      <c r="G5021" s="549"/>
      <c r="H5021" s="549"/>
      <c r="I5021" s="549"/>
      <c r="J5021" s="549"/>
      <c r="K5021" s="549"/>
      <c r="M5021" s="465"/>
      <c r="N5021" s="201"/>
    </row>
    <row r="5022" spans="2:14" hidden="1" outlineLevel="1" x14ac:dyDescent="0.35">
      <c r="B5022" s="200"/>
      <c r="C5022" s="201"/>
      <c r="D5022" s="201"/>
      <c r="E5022" s="201"/>
      <c r="F5022" s="202"/>
      <c r="G5022" s="549"/>
      <c r="H5022" s="549"/>
      <c r="I5022" s="549"/>
      <c r="J5022" s="549"/>
      <c r="K5022" s="549"/>
      <c r="M5022" s="465"/>
      <c r="N5022" s="201"/>
    </row>
    <row r="5023" spans="2:14" hidden="1" outlineLevel="1" x14ac:dyDescent="0.35">
      <c r="B5023" s="200"/>
      <c r="C5023" s="201"/>
      <c r="D5023" s="201"/>
      <c r="E5023" s="201"/>
      <c r="F5023" s="202"/>
      <c r="G5023" s="549"/>
      <c r="H5023" s="549"/>
      <c r="I5023" s="549"/>
      <c r="J5023" s="549"/>
      <c r="K5023" s="549"/>
      <c r="M5023" s="465"/>
      <c r="N5023" s="201"/>
    </row>
    <row r="5024" spans="2:14" hidden="1" outlineLevel="1" x14ac:dyDescent="0.35">
      <c r="B5024" s="200"/>
      <c r="C5024" s="201"/>
      <c r="D5024" s="201"/>
      <c r="E5024" s="201"/>
      <c r="F5024" s="202"/>
      <c r="G5024" s="549"/>
      <c r="H5024" s="549"/>
      <c r="I5024" s="549"/>
      <c r="J5024" s="549"/>
      <c r="K5024" s="549"/>
      <c r="M5024" s="465"/>
      <c r="N5024" s="201"/>
    </row>
    <row r="5025" spans="2:14" hidden="1" outlineLevel="1" x14ac:dyDescent="0.35">
      <c r="B5025" s="200"/>
      <c r="C5025" s="201"/>
      <c r="D5025" s="201"/>
      <c r="E5025" s="201"/>
      <c r="F5025" s="202"/>
      <c r="G5025" s="549"/>
      <c r="H5025" s="549"/>
      <c r="I5025" s="549"/>
      <c r="J5025" s="549"/>
      <c r="K5025" s="549"/>
      <c r="M5025" s="465"/>
      <c r="N5025" s="201"/>
    </row>
    <row r="5026" spans="2:14" hidden="1" outlineLevel="1" x14ac:dyDescent="0.35">
      <c r="B5026" s="200"/>
      <c r="C5026" s="201"/>
      <c r="D5026" s="201"/>
      <c r="E5026" s="201"/>
      <c r="F5026" s="202"/>
      <c r="G5026" s="549"/>
      <c r="H5026" s="549"/>
      <c r="I5026" s="549"/>
      <c r="J5026" s="549"/>
      <c r="K5026" s="549"/>
      <c r="M5026" s="465"/>
      <c r="N5026" s="201"/>
    </row>
    <row r="5027" spans="2:14" hidden="1" outlineLevel="1" x14ac:dyDescent="0.35">
      <c r="B5027" s="200"/>
      <c r="C5027" s="201"/>
      <c r="D5027" s="201"/>
      <c r="E5027" s="201"/>
      <c r="F5027" s="202"/>
      <c r="G5027" s="549"/>
      <c r="H5027" s="549"/>
      <c r="I5027" s="549"/>
      <c r="J5027" s="549"/>
      <c r="K5027" s="549"/>
      <c r="M5027" s="465"/>
      <c r="N5027" s="201"/>
    </row>
    <row r="5028" spans="2:14" hidden="1" outlineLevel="1" x14ac:dyDescent="0.35">
      <c r="B5028" s="200"/>
      <c r="C5028" s="201"/>
      <c r="D5028" s="201"/>
      <c r="E5028" s="201"/>
      <c r="F5028" s="202"/>
      <c r="G5028" s="549"/>
      <c r="H5028" s="549"/>
      <c r="I5028" s="549"/>
      <c r="J5028" s="549"/>
      <c r="K5028" s="549"/>
      <c r="M5028" s="465"/>
      <c r="N5028" s="201"/>
    </row>
    <row r="5029" spans="2:14" hidden="1" outlineLevel="1" x14ac:dyDescent="0.35">
      <c r="B5029" s="200"/>
      <c r="C5029" s="201"/>
      <c r="D5029" s="201"/>
      <c r="E5029" s="201"/>
      <c r="F5029" s="202"/>
      <c r="G5029" s="549"/>
      <c r="H5029" s="549"/>
      <c r="I5029" s="549"/>
      <c r="J5029" s="549"/>
      <c r="K5029" s="549"/>
      <c r="M5029" s="465"/>
      <c r="N5029" s="201"/>
    </row>
    <row r="5030" spans="2:14" hidden="1" outlineLevel="1" x14ac:dyDescent="0.35">
      <c r="B5030" s="200"/>
      <c r="C5030" s="201"/>
      <c r="D5030" s="201"/>
      <c r="E5030" s="201"/>
      <c r="F5030" s="202"/>
      <c r="G5030" s="549"/>
      <c r="H5030" s="549"/>
      <c r="I5030" s="549"/>
      <c r="J5030" s="549"/>
      <c r="K5030" s="549"/>
      <c r="M5030" s="465"/>
      <c r="N5030" s="201"/>
    </row>
    <row r="5031" spans="2:14" hidden="1" outlineLevel="1" x14ac:dyDescent="0.35">
      <c r="B5031" s="200"/>
      <c r="C5031" s="201"/>
      <c r="D5031" s="201"/>
      <c r="E5031" s="201"/>
      <c r="F5031" s="202"/>
      <c r="G5031" s="549"/>
      <c r="H5031" s="549"/>
      <c r="I5031" s="549"/>
      <c r="J5031" s="549"/>
      <c r="K5031" s="549"/>
      <c r="M5031" s="465"/>
      <c r="N5031" s="201"/>
    </row>
    <row r="5032" spans="2:14" hidden="1" outlineLevel="1" x14ac:dyDescent="0.35">
      <c r="B5032" s="200"/>
      <c r="C5032" s="201"/>
      <c r="D5032" s="201"/>
      <c r="E5032" s="201"/>
      <c r="F5032" s="202"/>
      <c r="G5032" s="549"/>
      <c r="H5032" s="549"/>
      <c r="I5032" s="549"/>
      <c r="J5032" s="549"/>
      <c r="K5032" s="549"/>
      <c r="M5032" s="465"/>
      <c r="N5032" s="201"/>
    </row>
    <row r="5033" spans="2:14" hidden="1" outlineLevel="1" x14ac:dyDescent="0.35">
      <c r="B5033" s="200"/>
      <c r="C5033" s="201"/>
      <c r="D5033" s="201"/>
      <c r="E5033" s="201"/>
      <c r="F5033" s="202"/>
      <c r="G5033" s="549"/>
      <c r="H5033" s="549"/>
      <c r="I5033" s="549"/>
      <c r="J5033" s="549"/>
      <c r="K5033" s="549"/>
      <c r="M5033" s="465"/>
      <c r="N5033" s="201"/>
    </row>
    <row r="5034" spans="2:14" hidden="1" outlineLevel="1" x14ac:dyDescent="0.35">
      <c r="B5034" s="200"/>
      <c r="C5034" s="201"/>
      <c r="D5034" s="201"/>
      <c r="E5034" s="201"/>
      <c r="F5034" s="202"/>
      <c r="G5034" s="549"/>
      <c r="H5034" s="549"/>
      <c r="I5034" s="549"/>
      <c r="J5034" s="549"/>
      <c r="K5034" s="549"/>
      <c r="M5034" s="465"/>
      <c r="N5034" s="201"/>
    </row>
    <row r="5035" spans="2:14" hidden="1" outlineLevel="1" x14ac:dyDescent="0.35">
      <c r="B5035" s="200"/>
      <c r="C5035" s="201"/>
      <c r="D5035" s="201"/>
      <c r="E5035" s="201"/>
      <c r="F5035" s="202"/>
      <c r="G5035" s="549"/>
      <c r="H5035" s="549"/>
      <c r="I5035" s="549"/>
      <c r="J5035" s="549"/>
      <c r="K5035" s="549"/>
      <c r="M5035" s="465"/>
      <c r="N5035" s="201"/>
    </row>
    <row r="5036" spans="2:14" hidden="1" outlineLevel="1" x14ac:dyDescent="0.35">
      <c r="B5036" s="200"/>
      <c r="C5036" s="201"/>
      <c r="D5036" s="201"/>
      <c r="E5036" s="201"/>
      <c r="F5036" s="202"/>
      <c r="G5036" s="549"/>
      <c r="H5036" s="549"/>
      <c r="I5036" s="549"/>
      <c r="J5036" s="549"/>
      <c r="K5036" s="549"/>
      <c r="M5036" s="465"/>
      <c r="N5036" s="201"/>
    </row>
    <row r="5037" spans="2:14" hidden="1" outlineLevel="1" x14ac:dyDescent="0.35">
      <c r="B5037" s="200"/>
      <c r="C5037" s="201"/>
      <c r="D5037" s="201"/>
      <c r="E5037" s="201"/>
      <c r="F5037" s="202"/>
      <c r="G5037" s="549"/>
      <c r="H5037" s="549"/>
      <c r="I5037" s="549"/>
      <c r="J5037" s="549"/>
      <c r="K5037" s="549"/>
      <c r="M5037" s="465"/>
      <c r="N5037" s="201"/>
    </row>
    <row r="5038" spans="2:14" hidden="1" outlineLevel="1" x14ac:dyDescent="0.35">
      <c r="B5038" s="200"/>
      <c r="C5038" s="201"/>
      <c r="D5038" s="201"/>
      <c r="E5038" s="201"/>
      <c r="F5038" s="202"/>
      <c r="G5038" s="549"/>
      <c r="H5038" s="549"/>
      <c r="I5038" s="549"/>
      <c r="J5038" s="549"/>
      <c r="K5038" s="549"/>
      <c r="M5038" s="465"/>
      <c r="N5038" s="201"/>
    </row>
    <row r="5039" spans="2:14" hidden="1" outlineLevel="1" x14ac:dyDescent="0.35">
      <c r="B5039" s="200"/>
      <c r="C5039" s="201"/>
      <c r="D5039" s="201"/>
      <c r="E5039" s="201"/>
      <c r="F5039" s="202"/>
      <c r="G5039" s="549"/>
      <c r="H5039" s="549"/>
      <c r="I5039" s="549"/>
      <c r="J5039" s="549"/>
      <c r="K5039" s="549"/>
      <c r="M5039" s="465"/>
      <c r="N5039" s="201"/>
    </row>
    <row r="5040" spans="2:14" hidden="1" outlineLevel="1" x14ac:dyDescent="0.35">
      <c r="B5040" s="200"/>
      <c r="C5040" s="201"/>
      <c r="D5040" s="201"/>
      <c r="E5040" s="201"/>
      <c r="F5040" s="202"/>
      <c r="G5040" s="549"/>
      <c r="H5040" s="549"/>
      <c r="I5040" s="549"/>
      <c r="J5040" s="549"/>
      <c r="K5040" s="549"/>
      <c r="M5040" s="465"/>
      <c r="N5040" s="201"/>
    </row>
    <row r="5041" spans="2:14" hidden="1" outlineLevel="1" x14ac:dyDescent="0.35">
      <c r="B5041" s="200"/>
      <c r="C5041" s="201"/>
      <c r="D5041" s="201"/>
      <c r="E5041" s="201"/>
      <c r="F5041" s="202"/>
      <c r="G5041" s="549"/>
      <c r="H5041" s="549"/>
      <c r="I5041" s="549"/>
      <c r="J5041" s="549"/>
      <c r="K5041" s="549"/>
      <c r="M5041" s="465"/>
      <c r="N5041" s="201"/>
    </row>
    <row r="5042" spans="2:14" hidden="1" outlineLevel="1" x14ac:dyDescent="0.35">
      <c r="B5042" s="200"/>
      <c r="C5042" s="201"/>
      <c r="D5042" s="201"/>
      <c r="E5042" s="201"/>
      <c r="F5042" s="202"/>
      <c r="G5042" s="549"/>
      <c r="H5042" s="549"/>
      <c r="I5042" s="549"/>
      <c r="J5042" s="549"/>
      <c r="K5042" s="549"/>
      <c r="M5042" s="465"/>
      <c r="N5042" s="201"/>
    </row>
    <row r="5043" spans="2:14" hidden="1" outlineLevel="1" x14ac:dyDescent="0.35">
      <c r="B5043" s="200"/>
      <c r="C5043" s="201"/>
      <c r="D5043" s="201"/>
      <c r="E5043" s="201"/>
      <c r="F5043" s="202"/>
      <c r="G5043" s="549"/>
      <c r="H5043" s="549"/>
      <c r="I5043" s="549"/>
      <c r="J5043" s="549"/>
      <c r="K5043" s="549"/>
      <c r="M5043" s="465"/>
      <c r="N5043" s="201"/>
    </row>
    <row r="5044" spans="2:14" hidden="1" outlineLevel="1" x14ac:dyDescent="0.35">
      <c r="B5044" s="200"/>
      <c r="C5044" s="201"/>
      <c r="D5044" s="201"/>
      <c r="E5044" s="201"/>
      <c r="F5044" s="202"/>
      <c r="G5044" s="549"/>
      <c r="H5044" s="549"/>
      <c r="I5044" s="549"/>
      <c r="J5044" s="549"/>
      <c r="K5044" s="549"/>
      <c r="M5044" s="465"/>
      <c r="N5044" s="201"/>
    </row>
    <row r="5045" spans="2:14" hidden="1" outlineLevel="1" x14ac:dyDescent="0.35">
      <c r="B5045" s="200"/>
      <c r="C5045" s="201"/>
      <c r="D5045" s="201"/>
      <c r="E5045" s="201"/>
      <c r="F5045" s="202"/>
      <c r="G5045" s="549"/>
      <c r="H5045" s="549"/>
      <c r="I5045" s="549"/>
      <c r="J5045" s="549"/>
      <c r="K5045" s="549"/>
      <c r="M5045" s="465"/>
      <c r="N5045" s="201"/>
    </row>
    <row r="5046" spans="2:14" hidden="1" outlineLevel="1" x14ac:dyDescent="0.35">
      <c r="B5046" s="200"/>
      <c r="C5046" s="201"/>
      <c r="D5046" s="201"/>
      <c r="E5046" s="201"/>
      <c r="F5046" s="202"/>
      <c r="G5046" s="549"/>
      <c r="H5046" s="549"/>
      <c r="I5046" s="549"/>
      <c r="J5046" s="549"/>
      <c r="K5046" s="549"/>
      <c r="M5046" s="465"/>
      <c r="N5046" s="201"/>
    </row>
    <row r="5047" spans="2:14" hidden="1" outlineLevel="1" x14ac:dyDescent="0.35">
      <c r="B5047" s="200"/>
      <c r="C5047" s="201"/>
      <c r="D5047" s="201"/>
      <c r="E5047" s="201"/>
      <c r="F5047" s="202"/>
      <c r="G5047" s="549"/>
      <c r="H5047" s="549"/>
      <c r="I5047" s="549"/>
      <c r="J5047" s="549"/>
      <c r="K5047" s="549"/>
      <c r="M5047" s="465"/>
      <c r="N5047" s="201"/>
    </row>
    <row r="5048" spans="2:14" hidden="1" outlineLevel="1" x14ac:dyDescent="0.35">
      <c r="B5048" s="200"/>
      <c r="C5048" s="201"/>
      <c r="D5048" s="201"/>
      <c r="E5048" s="201"/>
      <c r="F5048" s="202"/>
      <c r="G5048" s="549"/>
      <c r="H5048" s="549"/>
      <c r="I5048" s="549"/>
      <c r="J5048" s="549"/>
      <c r="K5048" s="549"/>
      <c r="M5048" s="465"/>
      <c r="N5048" s="201"/>
    </row>
    <row r="5049" spans="2:14" hidden="1" outlineLevel="1" x14ac:dyDescent="0.35">
      <c r="B5049" s="200"/>
      <c r="C5049" s="201"/>
      <c r="D5049" s="201"/>
      <c r="E5049" s="201"/>
      <c r="F5049" s="202"/>
      <c r="G5049" s="549"/>
      <c r="H5049" s="549"/>
      <c r="I5049" s="549"/>
      <c r="J5049" s="549"/>
      <c r="K5049" s="549"/>
      <c r="M5049" s="465"/>
      <c r="N5049" s="201"/>
    </row>
    <row r="5050" spans="2:14" hidden="1" outlineLevel="1" x14ac:dyDescent="0.35">
      <c r="B5050" s="200"/>
      <c r="C5050" s="201"/>
      <c r="D5050" s="201"/>
      <c r="E5050" s="201"/>
      <c r="F5050" s="202"/>
      <c r="G5050" s="549"/>
      <c r="H5050" s="549"/>
      <c r="I5050" s="549"/>
      <c r="J5050" s="549"/>
      <c r="K5050" s="549"/>
      <c r="M5050" s="465"/>
      <c r="N5050" s="201"/>
    </row>
    <row r="5051" spans="2:14" hidden="1" outlineLevel="1" x14ac:dyDescent="0.35">
      <c r="B5051" s="200"/>
      <c r="C5051" s="201"/>
      <c r="D5051" s="201"/>
      <c r="E5051" s="201"/>
      <c r="F5051" s="202"/>
      <c r="G5051" s="549"/>
      <c r="H5051" s="549"/>
      <c r="I5051" s="549"/>
      <c r="J5051" s="549"/>
      <c r="K5051" s="549"/>
      <c r="M5051" s="465"/>
      <c r="N5051" s="201"/>
    </row>
    <row r="5052" spans="2:14" hidden="1" outlineLevel="1" x14ac:dyDescent="0.35">
      <c r="B5052" s="200"/>
      <c r="C5052" s="201"/>
      <c r="D5052" s="201"/>
      <c r="E5052" s="201"/>
      <c r="F5052" s="202"/>
      <c r="G5052" s="549"/>
      <c r="H5052" s="549"/>
      <c r="I5052" s="549"/>
      <c r="J5052" s="549"/>
      <c r="K5052" s="549"/>
      <c r="M5052" s="465"/>
      <c r="N5052" s="201"/>
    </row>
    <row r="5053" spans="2:14" hidden="1" outlineLevel="1" x14ac:dyDescent="0.35">
      <c r="B5053" s="200"/>
      <c r="C5053" s="201"/>
      <c r="D5053" s="201"/>
      <c r="E5053" s="201"/>
      <c r="F5053" s="202"/>
      <c r="G5053" s="549"/>
      <c r="H5053" s="549"/>
      <c r="I5053" s="549"/>
      <c r="J5053" s="549"/>
      <c r="K5053" s="549"/>
      <c r="M5053" s="465"/>
      <c r="N5053" s="201"/>
    </row>
    <row r="5054" spans="2:14" hidden="1" outlineLevel="1" x14ac:dyDescent="0.35">
      <c r="B5054" s="200"/>
      <c r="C5054" s="201"/>
      <c r="D5054" s="201"/>
      <c r="E5054" s="201"/>
      <c r="F5054" s="202"/>
      <c r="G5054" s="549"/>
      <c r="H5054" s="549"/>
      <c r="I5054" s="549"/>
      <c r="J5054" s="549"/>
      <c r="K5054" s="549"/>
      <c r="M5054" s="465"/>
      <c r="N5054" s="201"/>
    </row>
    <row r="5055" spans="2:14" hidden="1" outlineLevel="1" x14ac:dyDescent="0.35">
      <c r="B5055" s="200"/>
      <c r="C5055" s="201"/>
      <c r="D5055" s="201"/>
      <c r="E5055" s="201"/>
      <c r="F5055" s="202"/>
      <c r="G5055" s="549"/>
      <c r="H5055" s="549"/>
      <c r="I5055" s="549"/>
      <c r="J5055" s="549"/>
      <c r="K5055" s="549"/>
      <c r="M5055" s="465"/>
      <c r="N5055" s="201"/>
    </row>
    <row r="5056" spans="2:14" hidden="1" outlineLevel="1" x14ac:dyDescent="0.35">
      <c r="B5056" s="200"/>
      <c r="C5056" s="201"/>
      <c r="D5056" s="201"/>
      <c r="E5056" s="201"/>
      <c r="F5056" s="202"/>
      <c r="G5056" s="549"/>
      <c r="H5056" s="549"/>
      <c r="I5056" s="549"/>
      <c r="J5056" s="549"/>
      <c r="K5056" s="549"/>
      <c r="M5056" s="465"/>
      <c r="N5056" s="201"/>
    </row>
    <row r="5057" spans="2:14" hidden="1" outlineLevel="1" x14ac:dyDescent="0.35">
      <c r="B5057" s="200"/>
      <c r="C5057" s="201"/>
      <c r="D5057" s="201"/>
      <c r="E5057" s="201"/>
      <c r="F5057" s="202"/>
      <c r="G5057" s="549"/>
      <c r="H5057" s="549"/>
      <c r="I5057" s="549"/>
      <c r="J5057" s="549"/>
      <c r="K5057" s="549"/>
      <c r="M5057" s="465"/>
      <c r="N5057" s="201"/>
    </row>
    <row r="5058" spans="2:14" hidden="1" outlineLevel="1" x14ac:dyDescent="0.35">
      <c r="B5058" s="200"/>
      <c r="C5058" s="201"/>
      <c r="D5058" s="201"/>
      <c r="E5058" s="201"/>
      <c r="F5058" s="202"/>
      <c r="G5058" s="549"/>
      <c r="H5058" s="549"/>
      <c r="I5058" s="549"/>
      <c r="J5058" s="549"/>
      <c r="K5058" s="549"/>
      <c r="M5058" s="465"/>
      <c r="N5058" s="201"/>
    </row>
    <row r="5059" spans="2:14" hidden="1" outlineLevel="1" x14ac:dyDescent="0.35">
      <c r="B5059" s="200"/>
      <c r="C5059" s="201"/>
      <c r="D5059" s="201"/>
      <c r="E5059" s="201"/>
      <c r="F5059" s="202"/>
      <c r="G5059" s="549"/>
      <c r="H5059" s="549"/>
      <c r="I5059" s="549"/>
      <c r="J5059" s="549"/>
      <c r="K5059" s="549"/>
      <c r="M5059" s="465"/>
      <c r="N5059" s="201"/>
    </row>
    <row r="5060" spans="2:14" hidden="1" outlineLevel="1" x14ac:dyDescent="0.35">
      <c r="B5060" s="200"/>
      <c r="C5060" s="201"/>
      <c r="D5060" s="201"/>
      <c r="E5060" s="201"/>
      <c r="F5060" s="202"/>
      <c r="G5060" s="549"/>
      <c r="H5060" s="549"/>
      <c r="I5060" s="549"/>
      <c r="J5060" s="549"/>
      <c r="K5060" s="549"/>
      <c r="M5060" s="465"/>
      <c r="N5060" s="201"/>
    </row>
    <row r="5061" spans="2:14" hidden="1" outlineLevel="1" x14ac:dyDescent="0.35">
      <c r="B5061" s="200"/>
      <c r="C5061" s="201"/>
      <c r="D5061" s="201"/>
      <c r="E5061" s="201"/>
      <c r="F5061" s="202"/>
      <c r="G5061" s="549"/>
      <c r="H5061" s="549"/>
      <c r="I5061" s="549"/>
      <c r="J5061" s="549"/>
      <c r="K5061" s="549"/>
      <c r="M5061" s="465"/>
      <c r="N5061" s="201"/>
    </row>
    <row r="5062" spans="2:14" hidden="1" outlineLevel="1" x14ac:dyDescent="0.35">
      <c r="B5062" s="200"/>
      <c r="C5062" s="201"/>
      <c r="D5062" s="201"/>
      <c r="E5062" s="201"/>
      <c r="F5062" s="202"/>
      <c r="G5062" s="549"/>
      <c r="H5062" s="549"/>
      <c r="I5062" s="549"/>
      <c r="J5062" s="549"/>
      <c r="K5062" s="549"/>
      <c r="M5062" s="465"/>
      <c r="N5062" s="201"/>
    </row>
    <row r="5063" spans="2:14" hidden="1" outlineLevel="1" x14ac:dyDescent="0.35">
      <c r="B5063" s="200"/>
      <c r="C5063" s="201"/>
      <c r="D5063" s="201"/>
      <c r="E5063" s="201"/>
      <c r="F5063" s="202"/>
      <c r="G5063" s="549"/>
      <c r="H5063" s="549"/>
      <c r="I5063" s="549"/>
      <c r="J5063" s="549"/>
      <c r="K5063" s="549"/>
      <c r="M5063" s="465"/>
      <c r="N5063" s="201"/>
    </row>
    <row r="5064" spans="2:14" hidden="1" outlineLevel="1" x14ac:dyDescent="0.35">
      <c r="B5064" s="200"/>
      <c r="C5064" s="201"/>
      <c r="D5064" s="201"/>
      <c r="E5064" s="201"/>
      <c r="F5064" s="202"/>
      <c r="G5064" s="549"/>
      <c r="H5064" s="549"/>
      <c r="I5064" s="549"/>
      <c r="J5064" s="549"/>
      <c r="K5064" s="549"/>
      <c r="M5064" s="465"/>
      <c r="N5064" s="201"/>
    </row>
    <row r="5065" spans="2:14" hidden="1" outlineLevel="1" x14ac:dyDescent="0.35">
      <c r="B5065" s="200"/>
      <c r="C5065" s="201"/>
      <c r="D5065" s="201"/>
      <c r="E5065" s="201"/>
      <c r="F5065" s="202"/>
      <c r="G5065" s="549"/>
      <c r="H5065" s="549"/>
      <c r="I5065" s="549"/>
      <c r="J5065" s="549"/>
      <c r="K5065" s="549"/>
      <c r="M5065" s="465"/>
      <c r="N5065" s="201"/>
    </row>
    <row r="5066" spans="2:14" hidden="1" outlineLevel="1" x14ac:dyDescent="0.35">
      <c r="B5066" s="200"/>
      <c r="C5066" s="201"/>
      <c r="D5066" s="201"/>
      <c r="E5066" s="201"/>
      <c r="F5066" s="202"/>
      <c r="G5066" s="549"/>
      <c r="H5066" s="549"/>
      <c r="I5066" s="549"/>
      <c r="J5066" s="549"/>
      <c r="K5066" s="549"/>
      <c r="M5066" s="465"/>
      <c r="N5066" s="201"/>
    </row>
    <row r="5067" spans="2:14" hidden="1" outlineLevel="1" x14ac:dyDescent="0.35">
      <c r="B5067" s="200"/>
      <c r="C5067" s="201"/>
      <c r="D5067" s="201"/>
      <c r="E5067" s="201"/>
      <c r="F5067" s="202"/>
      <c r="G5067" s="549"/>
      <c r="H5067" s="549"/>
      <c r="I5067" s="549"/>
      <c r="J5067" s="549"/>
      <c r="K5067" s="549"/>
      <c r="M5067" s="465"/>
      <c r="N5067" s="201"/>
    </row>
    <row r="5068" spans="2:14" hidden="1" outlineLevel="1" x14ac:dyDescent="0.35">
      <c r="B5068" s="200"/>
      <c r="C5068" s="201"/>
      <c r="D5068" s="201"/>
      <c r="E5068" s="201"/>
      <c r="F5068" s="202"/>
      <c r="G5068" s="549"/>
      <c r="H5068" s="549"/>
      <c r="I5068" s="549"/>
      <c r="J5068" s="549"/>
      <c r="K5068" s="549"/>
      <c r="M5068" s="465"/>
      <c r="N5068" s="201"/>
    </row>
    <row r="5069" spans="2:14" hidden="1" outlineLevel="1" x14ac:dyDescent="0.35">
      <c r="B5069" s="200"/>
      <c r="C5069" s="201"/>
      <c r="D5069" s="201"/>
      <c r="E5069" s="201"/>
      <c r="F5069" s="202"/>
      <c r="G5069" s="549"/>
      <c r="H5069" s="549"/>
      <c r="I5069" s="549"/>
      <c r="J5069" s="549"/>
      <c r="K5069" s="549"/>
      <c r="M5069" s="465"/>
      <c r="N5069" s="201"/>
    </row>
    <row r="5070" spans="2:14" hidden="1" outlineLevel="1" x14ac:dyDescent="0.35">
      <c r="B5070" s="200"/>
      <c r="C5070" s="201"/>
      <c r="D5070" s="201"/>
      <c r="E5070" s="201"/>
      <c r="F5070" s="202"/>
      <c r="G5070" s="549"/>
      <c r="H5070" s="549"/>
      <c r="I5070" s="549"/>
      <c r="J5070" s="549"/>
      <c r="K5070" s="549"/>
      <c r="M5070" s="465"/>
      <c r="N5070" s="201"/>
    </row>
    <row r="5071" spans="2:14" hidden="1" outlineLevel="1" x14ac:dyDescent="0.35">
      <c r="B5071" s="200"/>
      <c r="C5071" s="201"/>
      <c r="D5071" s="201"/>
      <c r="E5071" s="201"/>
      <c r="F5071" s="202"/>
      <c r="G5071" s="549"/>
      <c r="H5071" s="549"/>
      <c r="I5071" s="549"/>
      <c r="J5071" s="549"/>
      <c r="K5071" s="549"/>
      <c r="M5071" s="465"/>
      <c r="N5071" s="201"/>
    </row>
    <row r="5072" spans="2:14" hidden="1" outlineLevel="1" x14ac:dyDescent="0.35">
      <c r="B5072" s="200"/>
      <c r="C5072" s="201"/>
      <c r="D5072" s="201"/>
      <c r="E5072" s="201"/>
      <c r="F5072" s="202"/>
      <c r="G5072" s="549"/>
      <c r="H5072" s="549"/>
      <c r="I5072" s="549"/>
      <c r="J5072" s="549"/>
      <c r="K5072" s="549"/>
      <c r="M5072" s="465"/>
      <c r="N5072" s="201"/>
    </row>
    <row r="5073" spans="2:14" hidden="1" outlineLevel="1" x14ac:dyDescent="0.35">
      <c r="B5073" s="200"/>
      <c r="C5073" s="201"/>
      <c r="D5073" s="201"/>
      <c r="E5073" s="201"/>
      <c r="F5073" s="202"/>
      <c r="G5073" s="549"/>
      <c r="H5073" s="549"/>
      <c r="I5073" s="549"/>
      <c r="J5073" s="549"/>
      <c r="K5073" s="549"/>
      <c r="M5073" s="465"/>
      <c r="N5073" s="201"/>
    </row>
    <row r="5074" spans="2:14" hidden="1" outlineLevel="1" x14ac:dyDescent="0.35">
      <c r="B5074" s="200"/>
      <c r="C5074" s="201"/>
      <c r="D5074" s="201"/>
      <c r="E5074" s="201"/>
      <c r="F5074" s="202"/>
      <c r="G5074" s="549"/>
      <c r="H5074" s="549"/>
      <c r="I5074" s="549"/>
      <c r="J5074" s="549"/>
      <c r="K5074" s="549"/>
      <c r="M5074" s="465"/>
      <c r="N5074" s="201"/>
    </row>
    <row r="5075" spans="2:14" hidden="1" outlineLevel="1" x14ac:dyDescent="0.35">
      <c r="B5075" s="200"/>
      <c r="C5075" s="201"/>
      <c r="D5075" s="201"/>
      <c r="E5075" s="201"/>
      <c r="F5075" s="202"/>
      <c r="G5075" s="549"/>
      <c r="H5075" s="549"/>
      <c r="I5075" s="549"/>
      <c r="J5075" s="549"/>
      <c r="K5075" s="549"/>
      <c r="M5075" s="465"/>
      <c r="N5075" s="201"/>
    </row>
    <row r="5076" spans="2:14" hidden="1" outlineLevel="1" x14ac:dyDescent="0.35">
      <c r="B5076" s="200"/>
      <c r="C5076" s="201"/>
      <c r="D5076" s="201"/>
      <c r="E5076" s="201"/>
      <c r="F5076" s="202"/>
      <c r="G5076" s="549"/>
      <c r="H5076" s="549"/>
      <c r="I5076" s="549"/>
      <c r="J5076" s="549"/>
      <c r="K5076" s="549"/>
      <c r="M5076" s="465"/>
      <c r="N5076" s="201"/>
    </row>
    <row r="5077" spans="2:14" hidden="1" outlineLevel="1" x14ac:dyDescent="0.35">
      <c r="B5077" s="200"/>
      <c r="C5077" s="201"/>
      <c r="D5077" s="201"/>
      <c r="E5077" s="201"/>
      <c r="F5077" s="202"/>
      <c r="G5077" s="549"/>
      <c r="H5077" s="549"/>
      <c r="I5077" s="549"/>
      <c r="J5077" s="549"/>
      <c r="K5077" s="549"/>
      <c r="M5077" s="465"/>
      <c r="N5077" s="201"/>
    </row>
    <row r="5078" spans="2:14" hidden="1" outlineLevel="1" x14ac:dyDescent="0.35">
      <c r="B5078" s="200"/>
      <c r="C5078" s="201"/>
      <c r="D5078" s="201"/>
      <c r="E5078" s="201"/>
      <c r="F5078" s="202"/>
      <c r="G5078" s="549"/>
      <c r="H5078" s="549"/>
      <c r="I5078" s="549"/>
      <c r="J5078" s="549"/>
      <c r="K5078" s="549"/>
      <c r="M5078" s="465"/>
      <c r="N5078" s="201"/>
    </row>
    <row r="5079" spans="2:14" hidden="1" outlineLevel="1" x14ac:dyDescent="0.35">
      <c r="B5079" s="200"/>
      <c r="C5079" s="201"/>
      <c r="D5079" s="201"/>
      <c r="E5079" s="201"/>
      <c r="F5079" s="202"/>
      <c r="G5079" s="549"/>
      <c r="H5079" s="549"/>
      <c r="I5079" s="549"/>
      <c r="J5079" s="549"/>
      <c r="K5079" s="549"/>
      <c r="M5079" s="465"/>
      <c r="N5079" s="201"/>
    </row>
    <row r="5080" spans="2:14" hidden="1" outlineLevel="1" x14ac:dyDescent="0.35">
      <c r="B5080" s="200"/>
      <c r="C5080" s="201"/>
      <c r="D5080" s="201"/>
      <c r="E5080" s="201"/>
      <c r="F5080" s="202"/>
      <c r="G5080" s="549"/>
      <c r="H5080" s="549"/>
      <c r="I5080" s="549"/>
      <c r="J5080" s="549"/>
      <c r="K5080" s="549"/>
      <c r="M5080" s="465"/>
      <c r="N5080" s="201"/>
    </row>
    <row r="5081" spans="2:14" hidden="1" outlineLevel="1" x14ac:dyDescent="0.35">
      <c r="B5081" s="200"/>
      <c r="C5081" s="201"/>
      <c r="D5081" s="201"/>
      <c r="E5081" s="201"/>
      <c r="F5081" s="202"/>
      <c r="G5081" s="549"/>
      <c r="H5081" s="549"/>
      <c r="I5081" s="549"/>
      <c r="J5081" s="549"/>
      <c r="K5081" s="549"/>
      <c r="M5081" s="465"/>
      <c r="N5081" s="201"/>
    </row>
    <row r="5082" spans="2:14" hidden="1" outlineLevel="1" x14ac:dyDescent="0.35">
      <c r="B5082" s="200"/>
      <c r="C5082" s="201"/>
      <c r="D5082" s="201"/>
      <c r="E5082" s="201"/>
      <c r="F5082" s="202"/>
      <c r="G5082" s="549"/>
      <c r="H5082" s="549"/>
      <c r="I5082" s="549"/>
      <c r="J5082" s="549"/>
      <c r="K5082" s="549"/>
      <c r="M5082" s="465"/>
      <c r="N5082" s="201"/>
    </row>
    <row r="5083" spans="2:14" hidden="1" outlineLevel="1" x14ac:dyDescent="0.35">
      <c r="B5083" s="200"/>
      <c r="C5083" s="201"/>
      <c r="D5083" s="201"/>
      <c r="E5083" s="201"/>
      <c r="F5083" s="202"/>
      <c r="G5083" s="549"/>
      <c r="H5083" s="549"/>
      <c r="I5083" s="549"/>
      <c r="J5083" s="549"/>
      <c r="K5083" s="549"/>
      <c r="M5083" s="465"/>
      <c r="N5083" s="201"/>
    </row>
    <row r="5084" spans="2:14" hidden="1" outlineLevel="1" x14ac:dyDescent="0.35">
      <c r="B5084" s="200"/>
      <c r="C5084" s="201"/>
      <c r="D5084" s="201"/>
      <c r="E5084" s="201"/>
      <c r="F5084" s="202"/>
      <c r="G5084" s="549"/>
      <c r="H5084" s="549"/>
      <c r="I5084" s="549"/>
      <c r="J5084" s="549"/>
      <c r="K5084" s="549"/>
      <c r="M5084" s="465"/>
      <c r="N5084" s="201"/>
    </row>
    <row r="5085" spans="2:14" hidden="1" outlineLevel="1" x14ac:dyDescent="0.35">
      <c r="B5085" s="200"/>
      <c r="C5085" s="201"/>
      <c r="D5085" s="201"/>
      <c r="E5085" s="201"/>
      <c r="F5085" s="202"/>
      <c r="G5085" s="549"/>
      <c r="H5085" s="549"/>
      <c r="I5085" s="549"/>
      <c r="J5085" s="549"/>
      <c r="K5085" s="549"/>
      <c r="M5085" s="465"/>
      <c r="N5085" s="201"/>
    </row>
    <row r="5086" spans="2:14" hidden="1" outlineLevel="1" x14ac:dyDescent="0.35">
      <c r="B5086" s="200"/>
      <c r="C5086" s="201"/>
      <c r="D5086" s="201"/>
      <c r="E5086" s="201"/>
      <c r="F5086" s="202"/>
      <c r="G5086" s="549"/>
      <c r="H5086" s="549"/>
      <c r="I5086" s="549"/>
      <c r="J5086" s="549"/>
      <c r="K5086" s="549"/>
      <c r="M5086" s="465"/>
      <c r="N5086" s="201"/>
    </row>
    <row r="5087" spans="2:14" hidden="1" outlineLevel="1" x14ac:dyDescent="0.35">
      <c r="B5087" s="200"/>
      <c r="C5087" s="201"/>
      <c r="D5087" s="201"/>
      <c r="E5087" s="201"/>
      <c r="F5087" s="202"/>
      <c r="G5087" s="549"/>
      <c r="H5087" s="549"/>
      <c r="I5087" s="549"/>
      <c r="J5087" s="549"/>
      <c r="K5087" s="549"/>
      <c r="M5087" s="465"/>
      <c r="N5087" s="201"/>
    </row>
    <row r="5088" spans="2:14" hidden="1" outlineLevel="1" x14ac:dyDescent="0.35">
      <c r="B5088" s="200"/>
      <c r="C5088" s="201"/>
      <c r="D5088" s="201"/>
      <c r="E5088" s="201"/>
      <c r="F5088" s="202"/>
      <c r="G5088" s="549"/>
      <c r="H5088" s="549"/>
      <c r="I5088" s="549"/>
      <c r="J5088" s="549"/>
      <c r="K5088" s="549"/>
      <c r="M5088" s="465"/>
      <c r="N5088" s="201"/>
    </row>
    <row r="5089" spans="2:14" hidden="1" outlineLevel="1" x14ac:dyDescent="0.35">
      <c r="B5089" s="200"/>
      <c r="C5089" s="201"/>
      <c r="D5089" s="201"/>
      <c r="E5089" s="201"/>
      <c r="F5089" s="202"/>
      <c r="G5089" s="549"/>
      <c r="H5089" s="549"/>
      <c r="I5089" s="549"/>
      <c r="J5089" s="549"/>
      <c r="K5089" s="549"/>
      <c r="M5089" s="465"/>
      <c r="N5089" s="201"/>
    </row>
    <row r="5090" spans="2:14" hidden="1" outlineLevel="1" x14ac:dyDescent="0.35">
      <c r="B5090" s="200"/>
      <c r="C5090" s="201"/>
      <c r="D5090" s="201"/>
      <c r="E5090" s="201"/>
      <c r="F5090" s="202"/>
      <c r="G5090" s="549"/>
      <c r="H5090" s="549"/>
      <c r="I5090" s="549"/>
      <c r="J5090" s="549"/>
      <c r="K5090" s="549"/>
      <c r="M5090" s="465"/>
      <c r="N5090" s="201"/>
    </row>
    <row r="5091" spans="2:14" hidden="1" outlineLevel="1" x14ac:dyDescent="0.35">
      <c r="B5091" s="200"/>
      <c r="C5091" s="201"/>
      <c r="D5091" s="201"/>
      <c r="E5091" s="201"/>
      <c r="F5091" s="202"/>
      <c r="G5091" s="549"/>
      <c r="H5091" s="549"/>
      <c r="I5091" s="549"/>
      <c r="J5091" s="549"/>
      <c r="K5091" s="549"/>
      <c r="M5091" s="465"/>
      <c r="N5091" s="201"/>
    </row>
    <row r="5092" spans="2:14" hidden="1" outlineLevel="1" x14ac:dyDescent="0.35">
      <c r="B5092" s="200"/>
      <c r="C5092" s="201"/>
      <c r="D5092" s="201"/>
      <c r="E5092" s="201"/>
      <c r="F5092" s="202"/>
      <c r="G5092" s="549"/>
      <c r="H5092" s="549"/>
      <c r="I5092" s="549"/>
      <c r="J5092" s="549"/>
      <c r="K5092" s="549"/>
      <c r="M5092" s="465"/>
      <c r="N5092" s="201"/>
    </row>
    <row r="5093" spans="2:14" hidden="1" outlineLevel="1" x14ac:dyDescent="0.35">
      <c r="B5093" s="200"/>
      <c r="C5093" s="201"/>
      <c r="D5093" s="201"/>
      <c r="E5093" s="201"/>
      <c r="F5093" s="202"/>
      <c r="G5093" s="549"/>
      <c r="H5093" s="549"/>
      <c r="I5093" s="549"/>
      <c r="J5093" s="549"/>
      <c r="K5093" s="549"/>
      <c r="M5093" s="465"/>
      <c r="N5093" s="201"/>
    </row>
    <row r="5094" spans="2:14" hidden="1" outlineLevel="1" x14ac:dyDescent="0.35">
      <c r="B5094" s="200"/>
      <c r="C5094" s="201"/>
      <c r="D5094" s="201"/>
      <c r="E5094" s="201"/>
      <c r="F5094" s="202"/>
      <c r="G5094" s="549"/>
      <c r="H5094" s="549"/>
      <c r="I5094" s="549"/>
      <c r="J5094" s="549"/>
      <c r="K5094" s="549"/>
      <c r="M5094" s="465"/>
      <c r="N5094" s="201"/>
    </row>
    <row r="5095" spans="2:14" hidden="1" outlineLevel="1" x14ac:dyDescent="0.35">
      <c r="B5095" s="200"/>
      <c r="C5095" s="201"/>
      <c r="D5095" s="201"/>
      <c r="E5095" s="201"/>
      <c r="F5095" s="202"/>
      <c r="G5095" s="549"/>
      <c r="H5095" s="549"/>
      <c r="I5095" s="549"/>
      <c r="J5095" s="549"/>
      <c r="K5095" s="549"/>
      <c r="M5095" s="465"/>
      <c r="N5095" s="201"/>
    </row>
    <row r="5096" spans="2:14" hidden="1" outlineLevel="1" x14ac:dyDescent="0.35">
      <c r="B5096" s="200"/>
      <c r="C5096" s="201"/>
      <c r="D5096" s="201"/>
      <c r="E5096" s="201"/>
      <c r="F5096" s="202"/>
      <c r="G5096" s="549"/>
      <c r="H5096" s="549"/>
      <c r="I5096" s="549"/>
      <c r="J5096" s="549"/>
      <c r="K5096" s="549"/>
      <c r="M5096" s="465"/>
      <c r="N5096" s="201"/>
    </row>
    <row r="5097" spans="2:14" hidden="1" outlineLevel="1" x14ac:dyDescent="0.35">
      <c r="B5097" s="200"/>
      <c r="C5097" s="201"/>
      <c r="D5097" s="201"/>
      <c r="E5097" s="201"/>
      <c r="F5097" s="202"/>
      <c r="G5097" s="549"/>
      <c r="H5097" s="549"/>
      <c r="I5097" s="549"/>
      <c r="J5097" s="549"/>
      <c r="K5097" s="549"/>
      <c r="M5097" s="465"/>
      <c r="N5097" s="201"/>
    </row>
    <row r="5098" spans="2:14" hidden="1" outlineLevel="1" x14ac:dyDescent="0.35">
      <c r="B5098" s="200"/>
      <c r="C5098" s="201"/>
      <c r="D5098" s="201"/>
      <c r="E5098" s="201"/>
      <c r="F5098" s="202"/>
      <c r="G5098" s="549"/>
      <c r="H5098" s="549"/>
      <c r="I5098" s="549"/>
      <c r="J5098" s="549"/>
      <c r="K5098" s="549"/>
      <c r="M5098" s="465"/>
      <c r="N5098" s="201"/>
    </row>
    <row r="5099" spans="2:14" hidden="1" outlineLevel="1" x14ac:dyDescent="0.35">
      <c r="B5099" s="200"/>
      <c r="C5099" s="201"/>
      <c r="D5099" s="201"/>
      <c r="E5099" s="201"/>
      <c r="F5099" s="202"/>
      <c r="G5099" s="549"/>
      <c r="H5099" s="549"/>
      <c r="I5099" s="549"/>
      <c r="J5099" s="549"/>
      <c r="K5099" s="549"/>
      <c r="M5099" s="465"/>
      <c r="N5099" s="201"/>
    </row>
    <row r="5100" spans="2:14" hidden="1" outlineLevel="1" x14ac:dyDescent="0.35">
      <c r="B5100" s="200"/>
      <c r="C5100" s="201"/>
      <c r="D5100" s="201"/>
      <c r="E5100" s="201"/>
      <c r="F5100" s="202"/>
      <c r="G5100" s="549"/>
      <c r="H5100" s="549"/>
      <c r="I5100" s="549"/>
      <c r="J5100" s="549"/>
      <c r="K5100" s="549"/>
      <c r="M5100" s="465"/>
      <c r="N5100" s="201"/>
    </row>
    <row r="5101" spans="2:14" hidden="1" outlineLevel="1" x14ac:dyDescent="0.35">
      <c r="B5101" s="200"/>
      <c r="C5101" s="201"/>
      <c r="D5101" s="201"/>
      <c r="E5101" s="201"/>
      <c r="F5101" s="202"/>
      <c r="G5101" s="549"/>
      <c r="H5101" s="549"/>
      <c r="I5101" s="549"/>
      <c r="J5101" s="549"/>
      <c r="K5101" s="549"/>
      <c r="M5101" s="465"/>
      <c r="N5101" s="201"/>
    </row>
    <row r="5102" spans="2:14" hidden="1" outlineLevel="1" x14ac:dyDescent="0.35">
      <c r="B5102" s="200"/>
      <c r="C5102" s="201"/>
      <c r="D5102" s="201"/>
      <c r="E5102" s="201"/>
      <c r="F5102" s="202"/>
      <c r="G5102" s="549"/>
      <c r="H5102" s="549"/>
      <c r="I5102" s="549"/>
      <c r="J5102" s="549"/>
      <c r="K5102" s="549"/>
      <c r="M5102" s="465"/>
      <c r="N5102" s="201"/>
    </row>
    <row r="5103" spans="2:14" hidden="1" outlineLevel="1" x14ac:dyDescent="0.35">
      <c r="B5103" s="200"/>
      <c r="C5103" s="201"/>
      <c r="D5103" s="201"/>
      <c r="E5103" s="201"/>
      <c r="F5103" s="202"/>
      <c r="G5103" s="549"/>
      <c r="H5103" s="549"/>
      <c r="I5103" s="549"/>
      <c r="J5103" s="549"/>
      <c r="K5103" s="549"/>
      <c r="M5103" s="465"/>
      <c r="N5103" s="201"/>
    </row>
    <row r="5104" spans="2:14" hidden="1" outlineLevel="1" x14ac:dyDescent="0.35">
      <c r="B5104" s="200"/>
      <c r="C5104" s="201"/>
      <c r="D5104" s="201"/>
      <c r="E5104" s="201"/>
      <c r="F5104" s="202"/>
      <c r="G5104" s="549"/>
      <c r="H5104" s="549"/>
      <c r="I5104" s="549"/>
      <c r="J5104" s="549"/>
      <c r="K5104" s="549"/>
      <c r="M5104" s="465"/>
      <c r="N5104" s="201"/>
    </row>
    <row r="5105" spans="2:14" hidden="1" outlineLevel="1" x14ac:dyDescent="0.35">
      <c r="B5105" s="200"/>
      <c r="C5105" s="201"/>
      <c r="D5105" s="201"/>
      <c r="E5105" s="201"/>
      <c r="F5105" s="202"/>
      <c r="G5105" s="549"/>
      <c r="H5105" s="549"/>
      <c r="I5105" s="549"/>
      <c r="J5105" s="549"/>
      <c r="K5105" s="549"/>
      <c r="M5105" s="465"/>
      <c r="N5105" s="201"/>
    </row>
    <row r="5106" spans="2:14" hidden="1" outlineLevel="1" x14ac:dyDescent="0.35">
      <c r="B5106" s="200"/>
      <c r="C5106" s="201"/>
      <c r="D5106" s="201"/>
      <c r="E5106" s="201"/>
      <c r="F5106" s="202"/>
      <c r="G5106" s="549"/>
      <c r="H5106" s="549"/>
      <c r="I5106" s="549"/>
      <c r="J5106" s="549"/>
      <c r="K5106" s="549"/>
      <c r="M5106" s="465"/>
      <c r="N5106" s="201"/>
    </row>
    <row r="5107" spans="2:14" hidden="1" outlineLevel="1" x14ac:dyDescent="0.35">
      <c r="B5107" s="200"/>
      <c r="C5107" s="201"/>
      <c r="D5107" s="201"/>
      <c r="E5107" s="201"/>
      <c r="F5107" s="202"/>
      <c r="G5107" s="549"/>
      <c r="H5107" s="549"/>
      <c r="I5107" s="549"/>
      <c r="J5107" s="549"/>
      <c r="K5107" s="549"/>
      <c r="M5107" s="465"/>
      <c r="N5107" s="201"/>
    </row>
    <row r="5108" spans="2:14" hidden="1" outlineLevel="1" x14ac:dyDescent="0.35">
      <c r="B5108" s="200"/>
      <c r="C5108" s="201"/>
      <c r="D5108" s="201"/>
      <c r="E5108" s="201"/>
      <c r="F5108" s="202"/>
      <c r="G5108" s="549"/>
      <c r="H5108" s="549"/>
      <c r="I5108" s="549"/>
      <c r="J5108" s="549"/>
      <c r="K5108" s="549"/>
      <c r="M5108" s="465"/>
      <c r="N5108" s="201"/>
    </row>
    <row r="5109" spans="2:14" hidden="1" outlineLevel="1" x14ac:dyDescent="0.35">
      <c r="B5109" s="200"/>
      <c r="C5109" s="201"/>
      <c r="D5109" s="201"/>
      <c r="E5109" s="201"/>
      <c r="F5109" s="202"/>
      <c r="G5109" s="549"/>
      <c r="H5109" s="549"/>
      <c r="I5109" s="549"/>
      <c r="J5109" s="549"/>
      <c r="K5109" s="549"/>
      <c r="M5109" s="465"/>
      <c r="N5109" s="201"/>
    </row>
    <row r="5110" spans="2:14" hidden="1" outlineLevel="1" x14ac:dyDescent="0.35">
      <c r="B5110" s="200"/>
      <c r="C5110" s="201"/>
      <c r="D5110" s="201"/>
      <c r="E5110" s="201"/>
      <c r="F5110" s="202"/>
      <c r="G5110" s="549"/>
      <c r="H5110" s="549"/>
      <c r="I5110" s="549"/>
      <c r="J5110" s="549"/>
      <c r="K5110" s="549"/>
      <c r="M5110" s="465"/>
      <c r="N5110" s="201"/>
    </row>
    <row r="5111" spans="2:14" hidden="1" outlineLevel="1" x14ac:dyDescent="0.35">
      <c r="B5111" s="200"/>
      <c r="C5111" s="201"/>
      <c r="D5111" s="201"/>
      <c r="E5111" s="201"/>
      <c r="F5111" s="202"/>
      <c r="G5111" s="549"/>
      <c r="H5111" s="549"/>
      <c r="I5111" s="549"/>
      <c r="J5111" s="549"/>
      <c r="K5111" s="549"/>
      <c r="M5111" s="465"/>
      <c r="N5111" s="201"/>
    </row>
    <row r="5112" spans="2:14" hidden="1" outlineLevel="1" x14ac:dyDescent="0.35">
      <c r="B5112" s="200"/>
      <c r="C5112" s="201"/>
      <c r="D5112" s="201"/>
      <c r="E5112" s="201"/>
      <c r="F5112" s="202"/>
      <c r="G5112" s="549"/>
      <c r="H5112" s="549"/>
      <c r="I5112" s="549"/>
      <c r="J5112" s="549"/>
      <c r="K5112" s="549"/>
      <c r="M5112" s="465"/>
      <c r="N5112" s="201"/>
    </row>
    <row r="5113" spans="2:14" hidden="1" outlineLevel="1" x14ac:dyDescent="0.35">
      <c r="B5113" s="200"/>
      <c r="C5113" s="201"/>
      <c r="D5113" s="201"/>
      <c r="E5113" s="201"/>
      <c r="F5113" s="202"/>
      <c r="G5113" s="549"/>
      <c r="H5113" s="549"/>
      <c r="I5113" s="549"/>
      <c r="J5113" s="549"/>
      <c r="K5113" s="549"/>
      <c r="M5113" s="465"/>
      <c r="N5113" s="201"/>
    </row>
    <row r="5114" spans="2:14" hidden="1" outlineLevel="1" x14ac:dyDescent="0.35">
      <c r="B5114" s="200"/>
      <c r="C5114" s="201"/>
      <c r="D5114" s="201"/>
      <c r="E5114" s="201"/>
      <c r="F5114" s="202"/>
      <c r="G5114" s="549"/>
      <c r="H5114" s="549"/>
      <c r="I5114" s="549"/>
      <c r="J5114" s="549"/>
      <c r="K5114" s="549"/>
      <c r="M5114" s="465"/>
      <c r="N5114" s="201"/>
    </row>
    <row r="5115" spans="2:14" hidden="1" outlineLevel="1" x14ac:dyDescent="0.35">
      <c r="B5115" s="200"/>
      <c r="C5115" s="201"/>
      <c r="D5115" s="201"/>
      <c r="E5115" s="201"/>
      <c r="F5115" s="202"/>
      <c r="G5115" s="549"/>
      <c r="H5115" s="549"/>
      <c r="I5115" s="549"/>
      <c r="J5115" s="549"/>
      <c r="K5115" s="549"/>
      <c r="M5115" s="465"/>
      <c r="N5115" s="201"/>
    </row>
    <row r="5116" spans="2:14" hidden="1" outlineLevel="1" x14ac:dyDescent="0.35">
      <c r="B5116" s="200"/>
      <c r="C5116" s="201"/>
      <c r="D5116" s="201"/>
      <c r="E5116" s="201"/>
      <c r="F5116" s="202"/>
      <c r="G5116" s="549"/>
      <c r="H5116" s="549"/>
      <c r="I5116" s="549"/>
      <c r="J5116" s="549"/>
      <c r="K5116" s="549"/>
      <c r="M5116" s="465"/>
      <c r="N5116" s="201"/>
    </row>
    <row r="5117" spans="2:14" hidden="1" outlineLevel="1" x14ac:dyDescent="0.35">
      <c r="B5117" s="200"/>
      <c r="C5117" s="201"/>
      <c r="D5117" s="201"/>
      <c r="E5117" s="201"/>
      <c r="F5117" s="202"/>
      <c r="G5117" s="549"/>
      <c r="H5117" s="549"/>
      <c r="I5117" s="549"/>
      <c r="J5117" s="549"/>
      <c r="K5117" s="549"/>
      <c r="M5117" s="465"/>
      <c r="N5117" s="201"/>
    </row>
    <row r="5118" spans="2:14" hidden="1" outlineLevel="1" x14ac:dyDescent="0.35">
      <c r="B5118" s="200"/>
      <c r="C5118" s="201"/>
      <c r="D5118" s="201"/>
      <c r="E5118" s="201"/>
      <c r="F5118" s="202"/>
      <c r="G5118" s="549"/>
      <c r="H5118" s="549"/>
      <c r="I5118" s="549"/>
      <c r="J5118" s="549"/>
      <c r="K5118" s="549"/>
      <c r="M5118" s="465"/>
      <c r="N5118" s="201"/>
    </row>
    <row r="5119" spans="2:14" hidden="1" outlineLevel="1" x14ac:dyDescent="0.35">
      <c r="B5119" s="200"/>
      <c r="C5119" s="201"/>
      <c r="D5119" s="201"/>
      <c r="E5119" s="201"/>
      <c r="F5119" s="202"/>
      <c r="G5119" s="549"/>
      <c r="H5119" s="549"/>
      <c r="I5119" s="549"/>
      <c r="J5119" s="549"/>
      <c r="K5119" s="549"/>
      <c r="M5119" s="465"/>
      <c r="N5119" s="201"/>
    </row>
    <row r="5120" spans="2:14" hidden="1" outlineLevel="1" x14ac:dyDescent="0.35">
      <c r="B5120" s="200"/>
      <c r="C5120" s="201"/>
      <c r="D5120" s="201"/>
      <c r="E5120" s="201"/>
      <c r="F5120" s="202"/>
      <c r="G5120" s="549"/>
      <c r="H5120" s="549"/>
      <c r="I5120" s="549"/>
      <c r="J5120" s="549"/>
      <c r="K5120" s="549"/>
      <c r="M5120" s="465"/>
      <c r="N5120" s="201"/>
    </row>
    <row r="5121" spans="2:14" hidden="1" outlineLevel="1" x14ac:dyDescent="0.35">
      <c r="B5121" s="200"/>
      <c r="C5121" s="201"/>
      <c r="D5121" s="201"/>
      <c r="E5121" s="201"/>
      <c r="F5121" s="202"/>
      <c r="G5121" s="549"/>
      <c r="H5121" s="549"/>
      <c r="I5121" s="549"/>
      <c r="J5121" s="549"/>
      <c r="K5121" s="549"/>
      <c r="M5121" s="465"/>
      <c r="N5121" s="201"/>
    </row>
    <row r="5122" spans="2:14" hidden="1" outlineLevel="1" x14ac:dyDescent="0.35">
      <c r="B5122" s="200"/>
      <c r="C5122" s="201"/>
      <c r="D5122" s="201"/>
      <c r="E5122" s="201"/>
      <c r="F5122" s="202"/>
      <c r="G5122" s="549"/>
      <c r="H5122" s="549"/>
      <c r="I5122" s="549"/>
      <c r="J5122" s="549"/>
      <c r="K5122" s="549"/>
      <c r="M5122" s="465"/>
      <c r="N5122" s="201"/>
    </row>
    <row r="5123" spans="2:14" hidden="1" outlineLevel="1" x14ac:dyDescent="0.35">
      <c r="B5123" s="200"/>
      <c r="C5123" s="201"/>
      <c r="D5123" s="201"/>
      <c r="E5123" s="201"/>
      <c r="F5123" s="202"/>
      <c r="G5123" s="549"/>
      <c r="H5123" s="549"/>
      <c r="I5123" s="549"/>
      <c r="J5123" s="549"/>
      <c r="K5123" s="549"/>
      <c r="M5123" s="465"/>
      <c r="N5123" s="201"/>
    </row>
    <row r="5124" spans="2:14" hidden="1" outlineLevel="1" x14ac:dyDescent="0.35">
      <c r="B5124" s="200"/>
      <c r="C5124" s="201"/>
      <c r="D5124" s="201"/>
      <c r="E5124" s="201"/>
      <c r="F5124" s="202"/>
      <c r="G5124" s="549"/>
      <c r="H5124" s="549"/>
      <c r="I5124" s="549"/>
      <c r="J5124" s="549"/>
      <c r="K5124" s="549"/>
      <c r="M5124" s="465"/>
      <c r="N5124" s="201"/>
    </row>
    <row r="5125" spans="2:14" hidden="1" outlineLevel="1" x14ac:dyDescent="0.35">
      <c r="B5125" s="200"/>
      <c r="C5125" s="201"/>
      <c r="D5125" s="201"/>
      <c r="E5125" s="201"/>
      <c r="F5125" s="202"/>
      <c r="G5125" s="549"/>
      <c r="H5125" s="549"/>
      <c r="I5125" s="549"/>
      <c r="J5125" s="549"/>
      <c r="K5125" s="549"/>
      <c r="M5125" s="465"/>
      <c r="N5125" s="201"/>
    </row>
    <row r="5126" spans="2:14" hidden="1" outlineLevel="1" x14ac:dyDescent="0.35">
      <c r="B5126" s="200"/>
      <c r="C5126" s="201"/>
      <c r="D5126" s="201"/>
      <c r="E5126" s="201"/>
      <c r="F5126" s="202"/>
      <c r="G5126" s="549"/>
      <c r="H5126" s="549"/>
      <c r="I5126" s="549"/>
      <c r="J5126" s="549"/>
      <c r="K5126" s="549"/>
      <c r="M5126" s="465"/>
      <c r="N5126" s="201"/>
    </row>
    <row r="5127" spans="2:14" hidden="1" outlineLevel="1" x14ac:dyDescent="0.35">
      <c r="B5127" s="200"/>
      <c r="C5127" s="201"/>
      <c r="D5127" s="201"/>
      <c r="E5127" s="201"/>
      <c r="F5127" s="202"/>
      <c r="G5127" s="549"/>
      <c r="H5127" s="549"/>
      <c r="I5127" s="549"/>
      <c r="J5127" s="549"/>
      <c r="K5127" s="549"/>
      <c r="M5127" s="465"/>
      <c r="N5127" s="201"/>
    </row>
    <row r="5128" spans="2:14" hidden="1" outlineLevel="1" x14ac:dyDescent="0.35">
      <c r="B5128" s="200"/>
      <c r="C5128" s="201"/>
      <c r="D5128" s="201"/>
      <c r="E5128" s="201"/>
      <c r="F5128" s="202"/>
      <c r="G5128" s="549"/>
      <c r="H5128" s="549"/>
      <c r="I5128" s="549"/>
      <c r="J5128" s="549"/>
      <c r="K5128" s="549"/>
      <c r="M5128" s="465"/>
      <c r="N5128" s="201"/>
    </row>
    <row r="5129" spans="2:14" hidden="1" outlineLevel="1" x14ac:dyDescent="0.35">
      <c r="B5129" s="200"/>
      <c r="C5129" s="201"/>
      <c r="D5129" s="201"/>
      <c r="E5129" s="201"/>
      <c r="F5129" s="202"/>
      <c r="G5129" s="549"/>
      <c r="H5129" s="549"/>
      <c r="I5129" s="549"/>
      <c r="J5129" s="549"/>
      <c r="K5129" s="549"/>
      <c r="M5129" s="465"/>
      <c r="N5129" s="201"/>
    </row>
    <row r="5130" spans="2:14" hidden="1" outlineLevel="1" x14ac:dyDescent="0.35">
      <c r="B5130" s="200"/>
      <c r="C5130" s="201"/>
      <c r="D5130" s="201"/>
      <c r="E5130" s="201"/>
      <c r="F5130" s="202"/>
      <c r="G5130" s="549"/>
      <c r="H5130" s="549"/>
      <c r="I5130" s="549"/>
      <c r="J5130" s="549"/>
      <c r="K5130" s="549"/>
      <c r="M5130" s="465"/>
      <c r="N5130" s="201"/>
    </row>
    <row r="5131" spans="2:14" hidden="1" outlineLevel="1" x14ac:dyDescent="0.35">
      <c r="B5131" s="200"/>
      <c r="C5131" s="201"/>
      <c r="D5131" s="201"/>
      <c r="E5131" s="201"/>
      <c r="F5131" s="202"/>
      <c r="G5131" s="549"/>
      <c r="H5131" s="549"/>
      <c r="I5131" s="549"/>
      <c r="J5131" s="549"/>
      <c r="K5131" s="549"/>
      <c r="M5131" s="465"/>
      <c r="N5131" s="201"/>
    </row>
    <row r="5132" spans="2:14" hidden="1" outlineLevel="1" x14ac:dyDescent="0.35">
      <c r="B5132" s="200"/>
      <c r="C5132" s="201"/>
      <c r="D5132" s="201"/>
      <c r="E5132" s="201"/>
      <c r="F5132" s="202"/>
      <c r="G5132" s="549"/>
      <c r="H5132" s="549"/>
      <c r="I5132" s="549"/>
      <c r="J5132" s="549"/>
      <c r="K5132" s="549"/>
      <c r="M5132" s="465"/>
      <c r="N5132" s="201"/>
    </row>
    <row r="5133" spans="2:14" hidden="1" outlineLevel="1" x14ac:dyDescent="0.35">
      <c r="B5133" s="200"/>
      <c r="C5133" s="201"/>
      <c r="D5133" s="201"/>
      <c r="E5133" s="201"/>
      <c r="F5133" s="202"/>
      <c r="G5133" s="549"/>
      <c r="H5133" s="549"/>
      <c r="I5133" s="549"/>
      <c r="J5133" s="549"/>
      <c r="K5133" s="549"/>
      <c r="M5133" s="465"/>
      <c r="N5133" s="201"/>
    </row>
    <row r="5134" spans="2:14" hidden="1" outlineLevel="1" x14ac:dyDescent="0.35">
      <c r="B5134" s="200"/>
      <c r="C5134" s="201"/>
      <c r="D5134" s="201"/>
      <c r="E5134" s="201"/>
      <c r="F5134" s="202"/>
      <c r="G5134" s="549"/>
      <c r="H5134" s="549"/>
      <c r="I5134" s="549"/>
      <c r="J5134" s="549"/>
      <c r="K5134" s="549"/>
      <c r="M5134" s="465"/>
      <c r="N5134" s="201"/>
    </row>
    <row r="5135" spans="2:14" hidden="1" outlineLevel="1" x14ac:dyDescent="0.35">
      <c r="B5135" s="200"/>
      <c r="C5135" s="201"/>
      <c r="D5135" s="201"/>
      <c r="E5135" s="201"/>
      <c r="F5135" s="202"/>
      <c r="G5135" s="549"/>
      <c r="H5135" s="549"/>
      <c r="I5135" s="549"/>
      <c r="J5135" s="549"/>
      <c r="K5135" s="549"/>
      <c r="M5135" s="465"/>
      <c r="N5135" s="201"/>
    </row>
    <row r="5136" spans="2:14" hidden="1" outlineLevel="1" x14ac:dyDescent="0.35">
      <c r="B5136" s="200"/>
      <c r="C5136" s="201"/>
      <c r="D5136" s="201"/>
      <c r="E5136" s="201"/>
      <c r="F5136" s="202"/>
      <c r="G5136" s="549"/>
      <c r="H5136" s="549"/>
      <c r="I5136" s="549"/>
      <c r="J5136" s="549"/>
      <c r="K5136" s="549"/>
      <c r="M5136" s="465"/>
      <c r="N5136" s="201"/>
    </row>
    <row r="5137" spans="2:14" hidden="1" outlineLevel="1" x14ac:dyDescent="0.35">
      <c r="B5137" s="200"/>
      <c r="C5137" s="201"/>
      <c r="D5137" s="201"/>
      <c r="E5137" s="201"/>
      <c r="F5137" s="202"/>
      <c r="G5137" s="549"/>
      <c r="H5137" s="549"/>
      <c r="I5137" s="549"/>
      <c r="J5137" s="549"/>
      <c r="K5137" s="549"/>
      <c r="M5137" s="465"/>
      <c r="N5137" s="201"/>
    </row>
    <row r="5138" spans="2:14" hidden="1" outlineLevel="1" x14ac:dyDescent="0.35">
      <c r="B5138" s="200"/>
      <c r="C5138" s="201"/>
      <c r="D5138" s="201"/>
      <c r="E5138" s="201"/>
      <c r="F5138" s="202"/>
      <c r="G5138" s="549"/>
      <c r="H5138" s="549"/>
      <c r="I5138" s="549"/>
      <c r="J5138" s="549"/>
      <c r="K5138" s="549"/>
      <c r="M5138" s="465"/>
      <c r="N5138" s="201"/>
    </row>
    <row r="5139" spans="2:14" hidden="1" outlineLevel="1" x14ac:dyDescent="0.35">
      <c r="B5139" s="200"/>
      <c r="C5139" s="201"/>
      <c r="D5139" s="201"/>
      <c r="E5139" s="201"/>
      <c r="F5139" s="202"/>
      <c r="G5139" s="549"/>
      <c r="H5139" s="549"/>
      <c r="I5139" s="549"/>
      <c r="J5139" s="549"/>
      <c r="K5139" s="549"/>
      <c r="M5139" s="465"/>
      <c r="N5139" s="201"/>
    </row>
    <row r="5140" spans="2:14" hidden="1" outlineLevel="1" x14ac:dyDescent="0.35">
      <c r="B5140" s="200"/>
      <c r="C5140" s="201"/>
      <c r="D5140" s="201"/>
      <c r="E5140" s="201"/>
      <c r="F5140" s="202"/>
      <c r="G5140" s="549"/>
      <c r="H5140" s="549"/>
      <c r="I5140" s="549"/>
      <c r="J5140" s="549"/>
      <c r="K5140" s="549"/>
      <c r="M5140" s="465"/>
      <c r="N5140" s="201"/>
    </row>
    <row r="5141" spans="2:14" hidden="1" outlineLevel="1" x14ac:dyDescent="0.35">
      <c r="B5141" s="200"/>
      <c r="C5141" s="201"/>
      <c r="D5141" s="201"/>
      <c r="E5141" s="201"/>
      <c r="F5141" s="202"/>
      <c r="G5141" s="549"/>
      <c r="H5141" s="549"/>
      <c r="I5141" s="549"/>
      <c r="J5141" s="549"/>
      <c r="K5141" s="549"/>
      <c r="M5141" s="465"/>
      <c r="N5141" s="201"/>
    </row>
    <row r="5142" spans="2:14" hidden="1" outlineLevel="1" x14ac:dyDescent="0.35">
      <c r="B5142" s="200"/>
      <c r="C5142" s="201"/>
      <c r="D5142" s="201"/>
      <c r="E5142" s="201"/>
      <c r="F5142" s="202"/>
      <c r="G5142" s="549"/>
      <c r="H5142" s="549"/>
      <c r="I5142" s="549"/>
      <c r="J5142" s="549"/>
      <c r="K5142" s="549"/>
      <c r="M5142" s="465"/>
      <c r="N5142" s="201"/>
    </row>
    <row r="5143" spans="2:14" hidden="1" outlineLevel="1" x14ac:dyDescent="0.35">
      <c r="B5143" s="200"/>
      <c r="C5143" s="201"/>
      <c r="D5143" s="201"/>
      <c r="E5143" s="201"/>
      <c r="F5143" s="202"/>
      <c r="G5143" s="549"/>
      <c r="H5143" s="549"/>
      <c r="I5143" s="549"/>
      <c r="J5143" s="549"/>
      <c r="K5143" s="549"/>
      <c r="M5143" s="465"/>
      <c r="N5143" s="201"/>
    </row>
    <row r="5144" spans="2:14" hidden="1" outlineLevel="1" x14ac:dyDescent="0.35">
      <c r="B5144" s="200"/>
      <c r="C5144" s="201"/>
      <c r="D5144" s="201"/>
      <c r="E5144" s="201"/>
      <c r="F5144" s="202"/>
      <c r="G5144" s="549"/>
      <c r="H5144" s="549"/>
      <c r="I5144" s="549"/>
      <c r="J5144" s="549"/>
      <c r="K5144" s="549"/>
      <c r="M5144" s="465"/>
      <c r="N5144" s="201"/>
    </row>
    <row r="5145" spans="2:14" hidden="1" outlineLevel="1" x14ac:dyDescent="0.35">
      <c r="B5145" s="200"/>
      <c r="C5145" s="201"/>
      <c r="D5145" s="201"/>
      <c r="E5145" s="201"/>
      <c r="F5145" s="202"/>
      <c r="G5145" s="549"/>
      <c r="H5145" s="549"/>
      <c r="I5145" s="549"/>
      <c r="J5145" s="549"/>
      <c r="K5145" s="549"/>
      <c r="M5145" s="465"/>
      <c r="N5145" s="201"/>
    </row>
    <row r="5146" spans="2:14" hidden="1" outlineLevel="1" x14ac:dyDescent="0.35">
      <c r="B5146" s="200"/>
      <c r="C5146" s="201"/>
      <c r="D5146" s="201"/>
      <c r="E5146" s="201"/>
      <c r="F5146" s="202"/>
      <c r="G5146" s="549"/>
      <c r="H5146" s="549"/>
      <c r="I5146" s="549"/>
      <c r="J5146" s="549"/>
      <c r="K5146" s="549"/>
      <c r="M5146" s="465"/>
      <c r="N5146" s="201"/>
    </row>
    <row r="5147" spans="2:14" hidden="1" outlineLevel="1" x14ac:dyDescent="0.35">
      <c r="B5147" s="200"/>
      <c r="C5147" s="201"/>
      <c r="D5147" s="201"/>
      <c r="E5147" s="201"/>
      <c r="F5147" s="202"/>
      <c r="G5147" s="549"/>
      <c r="H5147" s="549"/>
      <c r="I5147" s="549"/>
      <c r="J5147" s="549"/>
      <c r="K5147" s="549"/>
      <c r="M5147" s="465"/>
      <c r="N5147" s="201"/>
    </row>
    <row r="5148" spans="2:14" hidden="1" outlineLevel="1" x14ac:dyDescent="0.35">
      <c r="B5148" s="200"/>
      <c r="C5148" s="201"/>
      <c r="D5148" s="201"/>
      <c r="E5148" s="201"/>
      <c r="F5148" s="202"/>
      <c r="G5148" s="549"/>
      <c r="H5148" s="549"/>
      <c r="I5148" s="549"/>
      <c r="J5148" s="549"/>
      <c r="K5148" s="549"/>
      <c r="M5148" s="465"/>
      <c r="N5148" s="201"/>
    </row>
    <row r="5149" spans="2:14" hidden="1" outlineLevel="1" x14ac:dyDescent="0.35">
      <c r="B5149" s="200"/>
      <c r="C5149" s="201"/>
      <c r="D5149" s="201"/>
      <c r="E5149" s="201"/>
      <c r="F5149" s="202"/>
      <c r="G5149" s="549"/>
      <c r="H5149" s="549"/>
      <c r="I5149" s="549"/>
      <c r="J5149" s="549"/>
      <c r="K5149" s="549"/>
      <c r="M5149" s="465"/>
      <c r="N5149" s="201"/>
    </row>
    <row r="5150" spans="2:14" hidden="1" outlineLevel="1" x14ac:dyDescent="0.35">
      <c r="B5150" s="200"/>
      <c r="C5150" s="201"/>
      <c r="D5150" s="201"/>
      <c r="E5150" s="201"/>
      <c r="F5150" s="202"/>
      <c r="G5150" s="549"/>
      <c r="H5150" s="549"/>
      <c r="I5150" s="549"/>
      <c r="J5150" s="549"/>
      <c r="K5150" s="549"/>
      <c r="M5150" s="465"/>
      <c r="N5150" s="201"/>
    </row>
    <row r="5151" spans="2:14" hidden="1" outlineLevel="1" x14ac:dyDescent="0.35">
      <c r="B5151" s="200"/>
      <c r="C5151" s="201"/>
      <c r="D5151" s="201"/>
      <c r="E5151" s="201"/>
      <c r="F5151" s="202"/>
      <c r="G5151" s="549"/>
      <c r="H5151" s="549"/>
      <c r="I5151" s="549"/>
      <c r="J5151" s="549"/>
      <c r="K5151" s="549"/>
      <c r="M5151" s="465"/>
      <c r="N5151" s="201"/>
    </row>
    <row r="5152" spans="2:14" hidden="1" outlineLevel="1" x14ac:dyDescent="0.35">
      <c r="B5152" s="200"/>
      <c r="C5152" s="201"/>
      <c r="D5152" s="201"/>
      <c r="E5152" s="201"/>
      <c r="F5152" s="202"/>
      <c r="G5152" s="549"/>
      <c r="H5152" s="549"/>
      <c r="I5152" s="549"/>
      <c r="J5152" s="549"/>
      <c r="K5152" s="549"/>
      <c r="M5152" s="465"/>
      <c r="N5152" s="201"/>
    </row>
    <row r="5153" spans="2:14" hidden="1" outlineLevel="1" x14ac:dyDescent="0.35">
      <c r="B5153" s="200"/>
      <c r="C5153" s="201"/>
      <c r="D5153" s="201"/>
      <c r="E5153" s="201"/>
      <c r="F5153" s="202"/>
      <c r="G5153" s="549"/>
      <c r="H5153" s="549"/>
      <c r="I5153" s="549"/>
      <c r="J5153" s="549"/>
      <c r="K5153" s="549"/>
      <c r="M5153" s="465"/>
      <c r="N5153" s="201"/>
    </row>
    <row r="5154" spans="2:14" hidden="1" outlineLevel="1" x14ac:dyDescent="0.35">
      <c r="B5154" s="200"/>
      <c r="C5154" s="201"/>
      <c r="D5154" s="201"/>
      <c r="E5154" s="201"/>
      <c r="F5154" s="202"/>
      <c r="G5154" s="549"/>
      <c r="H5154" s="549"/>
      <c r="I5154" s="549"/>
      <c r="J5154" s="549"/>
      <c r="K5154" s="549"/>
      <c r="M5154" s="465"/>
      <c r="N5154" s="201"/>
    </row>
    <row r="5155" spans="2:14" hidden="1" outlineLevel="1" x14ac:dyDescent="0.35">
      <c r="B5155" s="200"/>
      <c r="C5155" s="201"/>
      <c r="D5155" s="201"/>
      <c r="E5155" s="201"/>
      <c r="F5155" s="202"/>
      <c r="G5155" s="549"/>
      <c r="H5155" s="549"/>
      <c r="I5155" s="549"/>
      <c r="J5155" s="549"/>
      <c r="K5155" s="549"/>
      <c r="M5155" s="465"/>
      <c r="N5155" s="201"/>
    </row>
    <row r="5156" spans="2:14" hidden="1" outlineLevel="1" x14ac:dyDescent="0.35">
      <c r="B5156" s="200"/>
      <c r="C5156" s="201"/>
      <c r="D5156" s="201"/>
      <c r="E5156" s="201"/>
      <c r="F5156" s="202"/>
      <c r="G5156" s="549"/>
      <c r="H5156" s="549"/>
      <c r="I5156" s="549"/>
      <c r="J5156" s="549"/>
      <c r="K5156" s="549"/>
      <c r="M5156" s="465"/>
      <c r="N5156" s="201"/>
    </row>
    <row r="5157" spans="2:14" hidden="1" outlineLevel="1" x14ac:dyDescent="0.35">
      <c r="B5157" s="200"/>
      <c r="C5157" s="201"/>
      <c r="D5157" s="201"/>
      <c r="E5157" s="201"/>
      <c r="F5157" s="202"/>
      <c r="G5157" s="549"/>
      <c r="H5157" s="549"/>
      <c r="I5157" s="549"/>
      <c r="J5157" s="549"/>
      <c r="K5157" s="549"/>
      <c r="M5157" s="465"/>
      <c r="N5157" s="201"/>
    </row>
    <row r="5158" spans="2:14" hidden="1" outlineLevel="1" x14ac:dyDescent="0.35">
      <c r="B5158" s="200"/>
      <c r="C5158" s="201"/>
      <c r="D5158" s="201"/>
      <c r="E5158" s="201"/>
      <c r="F5158" s="202"/>
      <c r="G5158" s="549"/>
      <c r="H5158" s="549"/>
      <c r="I5158" s="549"/>
      <c r="J5158" s="549"/>
      <c r="K5158" s="549"/>
      <c r="M5158" s="465"/>
      <c r="N5158" s="201"/>
    </row>
    <row r="5159" spans="2:14" hidden="1" outlineLevel="1" x14ac:dyDescent="0.35">
      <c r="B5159" s="200"/>
      <c r="C5159" s="201"/>
      <c r="D5159" s="201"/>
      <c r="E5159" s="201"/>
      <c r="F5159" s="202"/>
      <c r="G5159" s="549"/>
      <c r="H5159" s="549"/>
      <c r="I5159" s="549"/>
      <c r="J5159" s="549"/>
      <c r="K5159" s="549"/>
      <c r="M5159" s="465"/>
      <c r="N5159" s="201"/>
    </row>
    <row r="5160" spans="2:14" hidden="1" outlineLevel="1" x14ac:dyDescent="0.35">
      <c r="B5160" s="200"/>
      <c r="C5160" s="201"/>
      <c r="D5160" s="201"/>
      <c r="E5160" s="201"/>
      <c r="F5160" s="202"/>
      <c r="G5160" s="549"/>
      <c r="H5160" s="549"/>
      <c r="I5160" s="549"/>
      <c r="J5160" s="549"/>
      <c r="K5160" s="549"/>
      <c r="M5160" s="465"/>
      <c r="N5160" s="201"/>
    </row>
    <row r="5161" spans="2:14" hidden="1" outlineLevel="1" x14ac:dyDescent="0.35">
      <c r="B5161" s="200"/>
      <c r="C5161" s="201"/>
      <c r="D5161" s="201"/>
      <c r="E5161" s="201"/>
      <c r="F5161" s="202"/>
      <c r="G5161" s="549"/>
      <c r="H5161" s="549"/>
      <c r="I5161" s="549"/>
      <c r="J5161" s="549"/>
      <c r="K5161" s="549"/>
      <c r="M5161" s="465"/>
      <c r="N5161" s="201"/>
    </row>
    <row r="5162" spans="2:14" hidden="1" outlineLevel="1" x14ac:dyDescent="0.35">
      <c r="B5162" s="200"/>
      <c r="C5162" s="201"/>
      <c r="D5162" s="201"/>
      <c r="E5162" s="201"/>
      <c r="F5162" s="202"/>
      <c r="G5162" s="549"/>
      <c r="H5162" s="549"/>
      <c r="I5162" s="549"/>
      <c r="J5162" s="549"/>
      <c r="K5162" s="549"/>
      <c r="M5162" s="465"/>
      <c r="N5162" s="201"/>
    </row>
    <row r="5163" spans="2:14" hidden="1" outlineLevel="1" x14ac:dyDescent="0.35">
      <c r="B5163" s="200"/>
      <c r="C5163" s="201"/>
      <c r="D5163" s="201"/>
      <c r="E5163" s="201"/>
      <c r="F5163" s="202"/>
      <c r="G5163" s="549"/>
      <c r="H5163" s="549"/>
      <c r="I5163" s="549"/>
      <c r="J5163" s="549"/>
      <c r="K5163" s="549"/>
      <c r="M5163" s="465"/>
      <c r="N5163" s="201"/>
    </row>
    <row r="5164" spans="2:14" hidden="1" outlineLevel="1" x14ac:dyDescent="0.35">
      <c r="B5164" s="200"/>
      <c r="C5164" s="201"/>
      <c r="D5164" s="201"/>
      <c r="E5164" s="201"/>
      <c r="F5164" s="202"/>
      <c r="G5164" s="549"/>
      <c r="H5164" s="549"/>
      <c r="I5164" s="549"/>
      <c r="J5164" s="549"/>
      <c r="K5164" s="549"/>
      <c r="M5164" s="465"/>
      <c r="N5164" s="201"/>
    </row>
    <row r="5165" spans="2:14" hidden="1" outlineLevel="1" x14ac:dyDescent="0.35">
      <c r="B5165" s="200"/>
      <c r="C5165" s="201"/>
      <c r="D5165" s="201"/>
      <c r="E5165" s="201"/>
      <c r="F5165" s="202"/>
      <c r="G5165" s="549"/>
      <c r="H5165" s="549"/>
      <c r="I5165" s="549"/>
      <c r="J5165" s="549"/>
      <c r="K5165" s="549"/>
      <c r="M5165" s="465"/>
      <c r="N5165" s="201"/>
    </row>
    <row r="5166" spans="2:14" hidden="1" outlineLevel="1" x14ac:dyDescent="0.35">
      <c r="B5166" s="200"/>
      <c r="C5166" s="201"/>
      <c r="D5166" s="201"/>
      <c r="E5166" s="201"/>
      <c r="F5166" s="202"/>
      <c r="G5166" s="549"/>
      <c r="H5166" s="549"/>
      <c r="I5166" s="549"/>
      <c r="J5166" s="549"/>
      <c r="K5166" s="549"/>
      <c r="M5166" s="465"/>
      <c r="N5166" s="201"/>
    </row>
    <row r="5167" spans="2:14" hidden="1" outlineLevel="1" x14ac:dyDescent="0.35">
      <c r="B5167" s="200"/>
      <c r="C5167" s="201"/>
      <c r="D5167" s="201"/>
      <c r="E5167" s="201"/>
      <c r="F5167" s="202"/>
      <c r="G5167" s="549"/>
      <c r="H5167" s="549"/>
      <c r="I5167" s="549"/>
      <c r="J5167" s="549"/>
      <c r="K5167" s="549"/>
      <c r="M5167" s="465"/>
      <c r="N5167" s="201"/>
    </row>
    <row r="5168" spans="2:14" hidden="1" outlineLevel="1" x14ac:dyDescent="0.35">
      <c r="B5168" s="200"/>
      <c r="C5168" s="201"/>
      <c r="D5168" s="201"/>
      <c r="E5168" s="201"/>
      <c r="F5168" s="202"/>
      <c r="G5168" s="549"/>
      <c r="H5168" s="549"/>
      <c r="I5168" s="549"/>
      <c r="J5168" s="549"/>
      <c r="K5168" s="549"/>
      <c r="M5168" s="465"/>
      <c r="N5168" s="201"/>
    </row>
    <row r="5169" spans="2:14" hidden="1" outlineLevel="1" x14ac:dyDescent="0.35">
      <c r="B5169" s="200"/>
      <c r="C5169" s="201"/>
      <c r="D5169" s="201"/>
      <c r="E5169" s="201"/>
      <c r="F5169" s="202"/>
      <c r="G5169" s="549"/>
      <c r="H5169" s="549"/>
      <c r="I5169" s="549"/>
      <c r="J5169" s="549"/>
      <c r="K5169" s="549"/>
      <c r="M5169" s="465"/>
      <c r="N5169" s="201"/>
    </row>
    <row r="5170" spans="2:14" hidden="1" outlineLevel="1" x14ac:dyDescent="0.35">
      <c r="B5170" s="200"/>
      <c r="C5170" s="201"/>
      <c r="D5170" s="201"/>
      <c r="E5170" s="201"/>
      <c r="F5170" s="202"/>
      <c r="G5170" s="549"/>
      <c r="H5170" s="549"/>
      <c r="I5170" s="549"/>
      <c r="J5170" s="549"/>
      <c r="K5170" s="549"/>
      <c r="M5170" s="465"/>
      <c r="N5170" s="201"/>
    </row>
    <row r="5171" spans="2:14" hidden="1" outlineLevel="1" x14ac:dyDescent="0.35">
      <c r="B5171" s="200"/>
      <c r="C5171" s="201"/>
      <c r="D5171" s="201"/>
      <c r="E5171" s="201"/>
      <c r="F5171" s="202"/>
      <c r="G5171" s="549"/>
      <c r="H5171" s="549"/>
      <c r="I5171" s="549"/>
      <c r="J5171" s="549"/>
      <c r="K5171" s="549"/>
      <c r="M5171" s="465"/>
      <c r="N5171" s="201"/>
    </row>
    <row r="5172" spans="2:14" hidden="1" outlineLevel="1" x14ac:dyDescent="0.35">
      <c r="B5172" s="200"/>
      <c r="C5172" s="201"/>
      <c r="D5172" s="201"/>
      <c r="E5172" s="201"/>
      <c r="F5172" s="202"/>
      <c r="G5172" s="549"/>
      <c r="H5172" s="549"/>
      <c r="I5172" s="549"/>
      <c r="J5172" s="549"/>
      <c r="K5172" s="549"/>
      <c r="M5172" s="465"/>
      <c r="N5172" s="201"/>
    </row>
    <row r="5173" spans="2:14" hidden="1" outlineLevel="1" x14ac:dyDescent="0.35">
      <c r="B5173" s="200"/>
      <c r="C5173" s="201"/>
      <c r="D5173" s="201"/>
      <c r="E5173" s="201"/>
      <c r="F5173" s="202"/>
      <c r="G5173" s="549"/>
      <c r="H5173" s="549"/>
      <c r="I5173" s="549"/>
      <c r="J5173" s="549"/>
      <c r="K5173" s="549"/>
      <c r="M5173" s="465"/>
      <c r="N5173" s="201"/>
    </row>
    <row r="5174" spans="2:14" hidden="1" outlineLevel="1" x14ac:dyDescent="0.35">
      <c r="B5174" s="200"/>
      <c r="C5174" s="201"/>
      <c r="D5174" s="201"/>
      <c r="E5174" s="201"/>
      <c r="F5174" s="202"/>
      <c r="G5174" s="549"/>
      <c r="H5174" s="549"/>
      <c r="I5174" s="549"/>
      <c r="J5174" s="549"/>
      <c r="K5174" s="549"/>
      <c r="M5174" s="465"/>
      <c r="N5174" s="201"/>
    </row>
    <row r="5175" spans="2:14" hidden="1" outlineLevel="1" x14ac:dyDescent="0.35">
      <c r="B5175" s="200"/>
      <c r="C5175" s="201"/>
      <c r="D5175" s="201"/>
      <c r="E5175" s="201"/>
      <c r="F5175" s="202"/>
      <c r="G5175" s="549"/>
      <c r="H5175" s="549"/>
      <c r="I5175" s="549"/>
      <c r="J5175" s="549"/>
      <c r="K5175" s="549"/>
      <c r="M5175" s="465"/>
      <c r="N5175" s="201"/>
    </row>
    <row r="5176" spans="2:14" hidden="1" outlineLevel="1" x14ac:dyDescent="0.35">
      <c r="B5176" s="200"/>
      <c r="C5176" s="201"/>
      <c r="D5176" s="201"/>
      <c r="E5176" s="201"/>
      <c r="F5176" s="202"/>
      <c r="G5176" s="549"/>
      <c r="H5176" s="549"/>
      <c r="I5176" s="549"/>
      <c r="J5176" s="549"/>
      <c r="K5176" s="549"/>
      <c r="M5176" s="465"/>
      <c r="N5176" s="201"/>
    </row>
    <row r="5177" spans="2:14" hidden="1" outlineLevel="1" x14ac:dyDescent="0.35">
      <c r="B5177" s="200"/>
      <c r="C5177" s="201"/>
      <c r="D5177" s="201"/>
      <c r="E5177" s="201"/>
      <c r="F5177" s="202"/>
      <c r="G5177" s="549"/>
      <c r="H5177" s="549"/>
      <c r="I5177" s="549"/>
      <c r="J5177" s="549"/>
      <c r="K5177" s="549"/>
      <c r="M5177" s="465"/>
      <c r="N5177" s="201"/>
    </row>
    <row r="5178" spans="2:14" hidden="1" outlineLevel="1" x14ac:dyDescent="0.35">
      <c r="B5178" s="200"/>
      <c r="C5178" s="201"/>
      <c r="D5178" s="201"/>
      <c r="E5178" s="201"/>
      <c r="F5178" s="202"/>
      <c r="G5178" s="549"/>
      <c r="H5178" s="549"/>
      <c r="I5178" s="549"/>
      <c r="J5178" s="549"/>
      <c r="K5178" s="549"/>
      <c r="M5178" s="465"/>
      <c r="N5178" s="201"/>
    </row>
    <row r="5179" spans="2:14" hidden="1" outlineLevel="1" x14ac:dyDescent="0.35">
      <c r="B5179" s="200"/>
      <c r="C5179" s="201"/>
      <c r="D5179" s="201"/>
      <c r="E5179" s="201"/>
      <c r="F5179" s="202"/>
      <c r="G5179" s="549"/>
      <c r="H5179" s="549"/>
      <c r="I5179" s="549"/>
      <c r="J5179" s="549"/>
      <c r="K5179" s="549"/>
      <c r="M5179" s="465"/>
      <c r="N5179" s="201"/>
    </row>
    <row r="5180" spans="2:14" hidden="1" outlineLevel="1" x14ac:dyDescent="0.35">
      <c r="B5180" s="200"/>
      <c r="C5180" s="201"/>
      <c r="D5180" s="201"/>
      <c r="E5180" s="201"/>
      <c r="F5180" s="202"/>
      <c r="G5180" s="549"/>
      <c r="H5180" s="549"/>
      <c r="I5180" s="549"/>
      <c r="J5180" s="549"/>
      <c r="K5180" s="549"/>
      <c r="M5180" s="465"/>
      <c r="N5180" s="201"/>
    </row>
    <row r="5181" spans="2:14" hidden="1" outlineLevel="1" x14ac:dyDescent="0.35">
      <c r="B5181" s="200"/>
      <c r="C5181" s="201"/>
      <c r="D5181" s="201"/>
      <c r="E5181" s="201"/>
      <c r="F5181" s="202"/>
      <c r="G5181" s="549"/>
      <c r="H5181" s="549"/>
      <c r="I5181" s="549"/>
      <c r="J5181" s="549"/>
      <c r="K5181" s="549"/>
      <c r="M5181" s="465"/>
      <c r="N5181" s="201"/>
    </row>
    <row r="5182" spans="2:14" hidden="1" outlineLevel="1" x14ac:dyDescent="0.35">
      <c r="B5182" s="200"/>
      <c r="C5182" s="201"/>
      <c r="D5182" s="201"/>
      <c r="E5182" s="201"/>
      <c r="F5182" s="202"/>
      <c r="G5182" s="549"/>
      <c r="H5182" s="549"/>
      <c r="I5182" s="549"/>
      <c r="J5182" s="549"/>
      <c r="K5182" s="549"/>
      <c r="M5182" s="465"/>
      <c r="N5182" s="201"/>
    </row>
    <row r="5183" spans="2:14" hidden="1" outlineLevel="1" x14ac:dyDescent="0.35">
      <c r="B5183" s="200"/>
      <c r="C5183" s="201"/>
      <c r="D5183" s="201"/>
      <c r="E5183" s="201"/>
      <c r="F5183" s="202"/>
      <c r="G5183" s="549"/>
      <c r="H5183" s="549"/>
      <c r="I5183" s="549"/>
      <c r="J5183" s="549"/>
      <c r="K5183" s="549"/>
      <c r="M5183" s="465"/>
      <c r="N5183" s="201"/>
    </row>
    <row r="5184" spans="2:14" hidden="1" outlineLevel="1" x14ac:dyDescent="0.35">
      <c r="B5184" s="200"/>
      <c r="C5184" s="201"/>
      <c r="D5184" s="201"/>
      <c r="E5184" s="201"/>
      <c r="F5184" s="202"/>
      <c r="G5184" s="549"/>
      <c r="H5184" s="549"/>
      <c r="I5184" s="549"/>
      <c r="J5184" s="549"/>
      <c r="K5184" s="549"/>
      <c r="M5184" s="465"/>
      <c r="N5184" s="201"/>
    </row>
    <row r="5185" spans="2:14" hidden="1" outlineLevel="1" x14ac:dyDescent="0.35">
      <c r="B5185" s="200"/>
      <c r="C5185" s="201"/>
      <c r="D5185" s="201"/>
      <c r="E5185" s="201"/>
      <c r="F5185" s="202"/>
      <c r="G5185" s="549"/>
      <c r="H5185" s="549"/>
      <c r="I5185" s="549"/>
      <c r="J5185" s="549"/>
      <c r="K5185" s="549"/>
      <c r="M5185" s="465"/>
      <c r="N5185" s="201"/>
    </row>
    <row r="5186" spans="2:14" hidden="1" outlineLevel="1" x14ac:dyDescent="0.35">
      <c r="B5186" s="200"/>
      <c r="C5186" s="201"/>
      <c r="D5186" s="201"/>
      <c r="E5186" s="201"/>
      <c r="F5186" s="202"/>
      <c r="G5186" s="549"/>
      <c r="H5186" s="549"/>
      <c r="I5186" s="549"/>
      <c r="J5186" s="549"/>
      <c r="K5186" s="549"/>
      <c r="M5186" s="465"/>
      <c r="N5186" s="201"/>
    </row>
    <row r="5187" spans="2:14" hidden="1" outlineLevel="1" x14ac:dyDescent="0.35">
      <c r="B5187" s="200"/>
      <c r="C5187" s="201"/>
      <c r="D5187" s="201"/>
      <c r="E5187" s="201"/>
      <c r="F5187" s="202"/>
      <c r="G5187" s="549"/>
      <c r="H5187" s="549"/>
      <c r="I5187" s="549"/>
      <c r="J5187" s="549"/>
      <c r="K5187" s="549"/>
      <c r="M5187" s="465"/>
      <c r="N5187" s="201"/>
    </row>
    <row r="5188" spans="2:14" hidden="1" outlineLevel="1" x14ac:dyDescent="0.35">
      <c r="B5188" s="200"/>
      <c r="C5188" s="201"/>
      <c r="D5188" s="201"/>
      <c r="E5188" s="201"/>
      <c r="F5188" s="202"/>
      <c r="G5188" s="549"/>
      <c r="H5188" s="549"/>
      <c r="I5188" s="549"/>
      <c r="J5188" s="549"/>
      <c r="K5188" s="549"/>
      <c r="M5188" s="465"/>
      <c r="N5188" s="201"/>
    </row>
    <row r="5189" spans="2:14" hidden="1" outlineLevel="1" x14ac:dyDescent="0.35">
      <c r="B5189" s="200"/>
      <c r="C5189" s="201"/>
      <c r="D5189" s="201"/>
      <c r="E5189" s="201"/>
      <c r="F5189" s="202"/>
      <c r="G5189" s="549"/>
      <c r="H5189" s="549"/>
      <c r="I5189" s="549"/>
      <c r="J5189" s="549"/>
      <c r="K5189" s="549"/>
      <c r="M5189" s="465"/>
      <c r="N5189" s="201"/>
    </row>
    <row r="5190" spans="2:14" hidden="1" outlineLevel="1" x14ac:dyDescent="0.35">
      <c r="B5190" s="200"/>
      <c r="C5190" s="201"/>
      <c r="D5190" s="201"/>
      <c r="E5190" s="201"/>
      <c r="F5190" s="202"/>
      <c r="G5190" s="549"/>
      <c r="H5190" s="549"/>
      <c r="I5190" s="549"/>
      <c r="J5190" s="549"/>
      <c r="K5190" s="549"/>
      <c r="M5190" s="465"/>
      <c r="N5190" s="201"/>
    </row>
    <row r="5191" spans="2:14" hidden="1" outlineLevel="1" x14ac:dyDescent="0.35">
      <c r="B5191" s="200"/>
      <c r="C5191" s="201"/>
      <c r="D5191" s="201"/>
      <c r="E5191" s="201"/>
      <c r="F5191" s="202"/>
      <c r="G5191" s="549"/>
      <c r="H5191" s="549"/>
      <c r="I5191" s="549"/>
      <c r="J5191" s="549"/>
      <c r="K5191" s="549"/>
      <c r="M5191" s="465"/>
      <c r="N5191" s="201"/>
    </row>
    <row r="5192" spans="2:14" hidden="1" outlineLevel="1" x14ac:dyDescent="0.35">
      <c r="B5192" s="200"/>
      <c r="C5192" s="201"/>
      <c r="D5192" s="201"/>
      <c r="E5192" s="201"/>
      <c r="F5192" s="202"/>
      <c r="G5192" s="549"/>
      <c r="H5192" s="549"/>
      <c r="I5192" s="549"/>
      <c r="J5192" s="549"/>
      <c r="K5192" s="549"/>
      <c r="M5192" s="465"/>
      <c r="N5192" s="201"/>
    </row>
    <row r="5193" spans="2:14" hidden="1" outlineLevel="1" x14ac:dyDescent="0.35">
      <c r="B5193" s="200"/>
      <c r="C5193" s="201"/>
      <c r="D5193" s="201"/>
      <c r="E5193" s="201"/>
      <c r="F5193" s="202"/>
      <c r="G5193" s="549"/>
      <c r="H5193" s="549"/>
      <c r="I5193" s="549"/>
      <c r="J5193" s="549"/>
      <c r="K5193" s="549"/>
      <c r="M5193" s="465"/>
      <c r="N5193" s="201"/>
    </row>
    <row r="5194" spans="2:14" hidden="1" outlineLevel="1" x14ac:dyDescent="0.35">
      <c r="B5194" s="200"/>
      <c r="C5194" s="201"/>
      <c r="D5194" s="201"/>
      <c r="E5194" s="201"/>
      <c r="F5194" s="202"/>
      <c r="G5194" s="549"/>
      <c r="H5194" s="549"/>
      <c r="I5194" s="549"/>
      <c r="J5194" s="549"/>
      <c r="K5194" s="549"/>
      <c r="M5194" s="465"/>
      <c r="N5194" s="201"/>
    </row>
    <row r="5195" spans="2:14" hidden="1" outlineLevel="1" x14ac:dyDescent="0.35">
      <c r="B5195" s="200"/>
      <c r="C5195" s="201"/>
      <c r="D5195" s="201"/>
      <c r="E5195" s="201"/>
      <c r="F5195" s="202"/>
      <c r="G5195" s="549"/>
      <c r="H5195" s="549"/>
      <c r="I5195" s="549"/>
      <c r="J5195" s="549"/>
      <c r="K5195" s="549"/>
      <c r="M5195" s="465"/>
      <c r="N5195" s="201"/>
    </row>
    <row r="5196" spans="2:14" hidden="1" outlineLevel="1" x14ac:dyDescent="0.35">
      <c r="B5196" s="200"/>
      <c r="C5196" s="201"/>
      <c r="D5196" s="201"/>
      <c r="E5196" s="201"/>
      <c r="F5196" s="202"/>
      <c r="G5196" s="549"/>
      <c r="H5196" s="549"/>
      <c r="I5196" s="549"/>
      <c r="J5196" s="549"/>
      <c r="K5196" s="549"/>
      <c r="M5196" s="465"/>
      <c r="N5196" s="201"/>
    </row>
    <row r="5197" spans="2:14" hidden="1" outlineLevel="1" x14ac:dyDescent="0.35">
      <c r="B5197" s="200"/>
      <c r="C5197" s="201"/>
      <c r="D5197" s="201"/>
      <c r="E5197" s="201"/>
      <c r="F5197" s="202"/>
      <c r="G5197" s="549"/>
      <c r="H5197" s="549"/>
      <c r="I5197" s="549"/>
      <c r="J5197" s="549"/>
      <c r="K5197" s="549"/>
      <c r="M5197" s="465"/>
      <c r="N5197" s="201"/>
    </row>
    <row r="5198" spans="2:14" hidden="1" outlineLevel="1" x14ac:dyDescent="0.35">
      <c r="B5198" s="200"/>
      <c r="C5198" s="201"/>
      <c r="D5198" s="201"/>
      <c r="E5198" s="201"/>
      <c r="F5198" s="202"/>
      <c r="G5198" s="549"/>
      <c r="H5198" s="549"/>
      <c r="I5198" s="549"/>
      <c r="J5198" s="549"/>
      <c r="K5198" s="549"/>
      <c r="M5198" s="465"/>
      <c r="N5198" s="201"/>
    </row>
    <row r="5199" spans="2:14" hidden="1" outlineLevel="1" x14ac:dyDescent="0.35">
      <c r="B5199" s="200"/>
      <c r="C5199" s="201"/>
      <c r="D5199" s="201"/>
      <c r="E5199" s="201"/>
      <c r="F5199" s="202"/>
      <c r="G5199" s="549"/>
      <c r="H5199" s="549"/>
      <c r="I5199" s="549"/>
      <c r="J5199" s="549"/>
      <c r="K5199" s="549"/>
      <c r="M5199" s="465"/>
      <c r="N5199" s="201"/>
    </row>
    <row r="5200" spans="2:14" hidden="1" outlineLevel="1" x14ac:dyDescent="0.35">
      <c r="B5200" s="200"/>
      <c r="C5200" s="201"/>
      <c r="D5200" s="201"/>
      <c r="E5200" s="201"/>
      <c r="F5200" s="202"/>
      <c r="G5200" s="549"/>
      <c r="H5200" s="549"/>
      <c r="I5200" s="549"/>
      <c r="J5200" s="549"/>
      <c r="K5200" s="549"/>
      <c r="M5200" s="465"/>
      <c r="N5200" s="201"/>
    </row>
    <row r="5201" spans="2:14" hidden="1" outlineLevel="1" x14ac:dyDescent="0.35">
      <c r="B5201" s="200"/>
      <c r="C5201" s="201"/>
      <c r="D5201" s="201"/>
      <c r="E5201" s="201"/>
      <c r="F5201" s="202"/>
      <c r="G5201" s="549"/>
      <c r="H5201" s="549"/>
      <c r="I5201" s="549"/>
      <c r="J5201" s="549"/>
      <c r="K5201" s="549"/>
      <c r="M5201" s="465"/>
      <c r="N5201" s="201"/>
    </row>
    <row r="5202" spans="2:14" hidden="1" outlineLevel="1" x14ac:dyDescent="0.35">
      <c r="B5202" s="200"/>
      <c r="C5202" s="201"/>
      <c r="D5202" s="201"/>
      <c r="E5202" s="201"/>
      <c r="F5202" s="202"/>
      <c r="G5202" s="549"/>
      <c r="H5202" s="549"/>
      <c r="I5202" s="549"/>
      <c r="J5202" s="549"/>
      <c r="K5202" s="549"/>
      <c r="M5202" s="465"/>
      <c r="N5202" s="201"/>
    </row>
    <row r="5203" spans="2:14" hidden="1" outlineLevel="1" x14ac:dyDescent="0.35">
      <c r="B5203" s="200"/>
      <c r="C5203" s="201"/>
      <c r="D5203" s="201"/>
      <c r="E5203" s="201"/>
      <c r="F5203" s="202"/>
      <c r="G5203" s="549"/>
      <c r="H5203" s="549"/>
      <c r="I5203" s="549"/>
      <c r="J5203" s="549"/>
      <c r="K5203" s="549"/>
      <c r="M5203" s="465"/>
      <c r="N5203" s="201"/>
    </row>
    <row r="5204" spans="2:14" hidden="1" outlineLevel="1" x14ac:dyDescent="0.35">
      <c r="B5204" s="200"/>
      <c r="C5204" s="201"/>
      <c r="D5204" s="201"/>
      <c r="E5204" s="201"/>
      <c r="F5204" s="202"/>
      <c r="G5204" s="549"/>
      <c r="H5204" s="549"/>
      <c r="I5204" s="549"/>
      <c r="J5204" s="549"/>
      <c r="K5204" s="549"/>
      <c r="M5204" s="465"/>
      <c r="N5204" s="201"/>
    </row>
    <row r="5205" spans="2:14" hidden="1" outlineLevel="1" x14ac:dyDescent="0.35">
      <c r="B5205" s="200"/>
      <c r="C5205" s="201"/>
      <c r="D5205" s="201"/>
      <c r="E5205" s="201"/>
      <c r="F5205" s="202"/>
      <c r="G5205" s="549"/>
      <c r="H5205" s="549"/>
      <c r="I5205" s="549"/>
      <c r="J5205" s="549"/>
      <c r="K5205" s="549"/>
      <c r="M5205" s="465"/>
      <c r="N5205" s="201"/>
    </row>
    <row r="5206" spans="2:14" hidden="1" outlineLevel="1" x14ac:dyDescent="0.35">
      <c r="B5206" s="200"/>
      <c r="C5206" s="201"/>
      <c r="D5206" s="201"/>
      <c r="E5206" s="201"/>
      <c r="F5206" s="202"/>
      <c r="G5206" s="549"/>
      <c r="H5206" s="549"/>
      <c r="I5206" s="549"/>
      <c r="J5206" s="549"/>
      <c r="K5206" s="549"/>
      <c r="M5206" s="465"/>
      <c r="N5206" s="201"/>
    </row>
    <row r="5207" spans="2:14" hidden="1" outlineLevel="1" x14ac:dyDescent="0.35">
      <c r="B5207" s="200"/>
      <c r="C5207" s="201"/>
      <c r="D5207" s="201"/>
      <c r="E5207" s="201"/>
      <c r="F5207" s="202"/>
      <c r="G5207" s="549"/>
      <c r="H5207" s="549"/>
      <c r="I5207" s="549"/>
      <c r="J5207" s="549"/>
      <c r="K5207" s="549"/>
      <c r="M5207" s="465"/>
      <c r="N5207" s="201"/>
    </row>
    <row r="5208" spans="2:14" hidden="1" outlineLevel="1" x14ac:dyDescent="0.35">
      <c r="B5208" s="200"/>
      <c r="C5208" s="201"/>
      <c r="D5208" s="201"/>
      <c r="E5208" s="201"/>
      <c r="F5208" s="202"/>
      <c r="G5208" s="549"/>
      <c r="H5208" s="549"/>
      <c r="I5208" s="549"/>
      <c r="J5208" s="549"/>
      <c r="K5208" s="549"/>
      <c r="M5208" s="465"/>
      <c r="N5208" s="201"/>
    </row>
    <row r="5209" spans="2:14" hidden="1" outlineLevel="1" x14ac:dyDescent="0.35">
      <c r="B5209" s="200"/>
      <c r="C5209" s="201"/>
      <c r="D5209" s="201"/>
      <c r="E5209" s="201"/>
      <c r="F5209" s="202"/>
      <c r="G5209" s="549"/>
      <c r="H5209" s="549"/>
      <c r="I5209" s="549"/>
      <c r="J5209" s="549"/>
      <c r="K5209" s="549"/>
      <c r="M5209" s="465"/>
      <c r="N5209" s="201"/>
    </row>
    <row r="5210" spans="2:14" hidden="1" outlineLevel="1" x14ac:dyDescent="0.35">
      <c r="B5210" s="200"/>
      <c r="C5210" s="201"/>
      <c r="D5210" s="201"/>
      <c r="E5210" s="201"/>
      <c r="F5210" s="202"/>
      <c r="G5210" s="549"/>
      <c r="H5210" s="549"/>
      <c r="I5210" s="549"/>
      <c r="J5210" s="549"/>
      <c r="K5210" s="549"/>
      <c r="M5210" s="465"/>
      <c r="N5210" s="201"/>
    </row>
    <row r="5211" spans="2:14" hidden="1" outlineLevel="1" x14ac:dyDescent="0.35">
      <c r="B5211" s="200"/>
      <c r="C5211" s="201"/>
      <c r="D5211" s="201"/>
      <c r="E5211" s="201"/>
      <c r="F5211" s="202"/>
      <c r="G5211" s="549"/>
      <c r="H5211" s="549"/>
      <c r="I5211" s="549"/>
      <c r="J5211" s="549"/>
      <c r="K5211" s="549"/>
      <c r="M5211" s="465"/>
      <c r="N5211" s="201"/>
    </row>
    <row r="5212" spans="2:14" hidden="1" outlineLevel="1" x14ac:dyDescent="0.35">
      <c r="B5212" s="200"/>
      <c r="C5212" s="201"/>
      <c r="D5212" s="201"/>
      <c r="E5212" s="201"/>
      <c r="F5212" s="202"/>
      <c r="G5212" s="549"/>
      <c r="H5212" s="549"/>
      <c r="I5212" s="549"/>
      <c r="J5212" s="549"/>
      <c r="K5212" s="549"/>
      <c r="M5212" s="465"/>
      <c r="N5212" s="201"/>
    </row>
    <row r="5213" spans="2:14" hidden="1" outlineLevel="1" x14ac:dyDescent="0.35">
      <c r="B5213" s="200"/>
      <c r="C5213" s="201"/>
      <c r="D5213" s="201"/>
      <c r="E5213" s="201"/>
      <c r="F5213" s="202"/>
      <c r="G5213" s="549"/>
      <c r="H5213" s="549"/>
      <c r="I5213" s="549"/>
      <c r="J5213" s="549"/>
      <c r="K5213" s="549"/>
      <c r="M5213" s="465"/>
      <c r="N5213" s="201"/>
    </row>
    <row r="5214" spans="2:14" hidden="1" outlineLevel="1" x14ac:dyDescent="0.35">
      <c r="B5214" s="200"/>
      <c r="C5214" s="201"/>
      <c r="D5214" s="201"/>
      <c r="E5214" s="201"/>
      <c r="F5214" s="202"/>
      <c r="G5214" s="549"/>
      <c r="H5214" s="549"/>
      <c r="I5214" s="549"/>
      <c r="J5214" s="549"/>
      <c r="K5214" s="549"/>
      <c r="M5214" s="465"/>
      <c r="N5214" s="201"/>
    </row>
    <row r="5215" spans="2:14" hidden="1" outlineLevel="1" x14ac:dyDescent="0.35">
      <c r="B5215" s="200"/>
      <c r="C5215" s="201"/>
      <c r="D5215" s="201"/>
      <c r="E5215" s="201"/>
      <c r="F5215" s="202"/>
      <c r="G5215" s="549"/>
      <c r="H5215" s="549"/>
      <c r="I5215" s="549"/>
      <c r="J5215" s="549"/>
      <c r="K5215" s="549"/>
      <c r="M5215" s="465"/>
      <c r="N5215" s="201"/>
    </row>
    <row r="5216" spans="2:14" hidden="1" outlineLevel="1" x14ac:dyDescent="0.35">
      <c r="B5216" s="200"/>
      <c r="C5216" s="201"/>
      <c r="D5216" s="201"/>
      <c r="E5216" s="201"/>
      <c r="F5216" s="202"/>
      <c r="G5216" s="549"/>
      <c r="H5216" s="549"/>
      <c r="I5216" s="549"/>
      <c r="J5216" s="549"/>
      <c r="K5216" s="549"/>
      <c r="M5216" s="465"/>
      <c r="N5216" s="201"/>
    </row>
    <row r="5217" spans="2:14" hidden="1" outlineLevel="1" x14ac:dyDescent="0.35">
      <c r="B5217" s="200"/>
      <c r="C5217" s="201"/>
      <c r="D5217" s="201"/>
      <c r="E5217" s="201"/>
      <c r="F5217" s="202"/>
      <c r="G5217" s="549"/>
      <c r="H5217" s="549"/>
      <c r="I5217" s="549"/>
      <c r="J5217" s="549"/>
      <c r="K5217" s="549"/>
      <c r="M5217" s="465"/>
      <c r="N5217" s="201"/>
    </row>
    <row r="5218" spans="2:14" hidden="1" outlineLevel="1" x14ac:dyDescent="0.35">
      <c r="B5218" s="200"/>
      <c r="C5218" s="201"/>
      <c r="D5218" s="201"/>
      <c r="E5218" s="201"/>
      <c r="F5218" s="202"/>
      <c r="G5218" s="549"/>
      <c r="H5218" s="549"/>
      <c r="I5218" s="549"/>
      <c r="J5218" s="549"/>
      <c r="K5218" s="549"/>
      <c r="M5218" s="465"/>
      <c r="N5218" s="201"/>
    </row>
    <row r="5219" spans="2:14" hidden="1" outlineLevel="1" x14ac:dyDescent="0.35">
      <c r="B5219" s="200"/>
      <c r="C5219" s="201"/>
      <c r="D5219" s="201"/>
      <c r="E5219" s="201"/>
      <c r="F5219" s="202"/>
      <c r="G5219" s="549"/>
      <c r="H5219" s="549"/>
      <c r="I5219" s="549"/>
      <c r="J5219" s="549"/>
      <c r="K5219" s="549"/>
      <c r="M5219" s="465"/>
      <c r="N5219" s="201"/>
    </row>
    <row r="5220" spans="2:14" hidden="1" outlineLevel="1" x14ac:dyDescent="0.35">
      <c r="B5220" s="200"/>
      <c r="C5220" s="201"/>
      <c r="D5220" s="201"/>
      <c r="E5220" s="201"/>
      <c r="F5220" s="202"/>
      <c r="G5220" s="549"/>
      <c r="H5220" s="549"/>
      <c r="I5220" s="549"/>
      <c r="J5220" s="549"/>
      <c r="K5220" s="549"/>
      <c r="M5220" s="465"/>
      <c r="N5220" s="201"/>
    </row>
    <row r="5221" spans="2:14" hidden="1" outlineLevel="1" x14ac:dyDescent="0.35">
      <c r="B5221" s="200"/>
      <c r="C5221" s="201"/>
      <c r="D5221" s="201"/>
      <c r="E5221" s="201"/>
      <c r="F5221" s="202"/>
      <c r="G5221" s="549"/>
      <c r="H5221" s="549"/>
      <c r="I5221" s="549"/>
      <c r="J5221" s="549"/>
      <c r="K5221" s="549"/>
      <c r="M5221" s="465"/>
      <c r="N5221" s="201"/>
    </row>
    <row r="5222" spans="2:14" hidden="1" outlineLevel="1" x14ac:dyDescent="0.35">
      <c r="B5222" s="200"/>
      <c r="C5222" s="201"/>
      <c r="D5222" s="201"/>
      <c r="E5222" s="201"/>
      <c r="F5222" s="202"/>
      <c r="G5222" s="549"/>
      <c r="H5222" s="549"/>
      <c r="I5222" s="549"/>
      <c r="J5222" s="549"/>
      <c r="K5222" s="549"/>
      <c r="M5222" s="465"/>
      <c r="N5222" s="201"/>
    </row>
    <row r="5223" spans="2:14" hidden="1" outlineLevel="1" x14ac:dyDescent="0.35">
      <c r="B5223" s="200"/>
      <c r="C5223" s="201"/>
      <c r="D5223" s="201"/>
      <c r="E5223" s="201"/>
      <c r="F5223" s="202"/>
      <c r="G5223" s="549"/>
      <c r="H5223" s="549"/>
      <c r="I5223" s="549"/>
      <c r="J5223" s="549"/>
      <c r="K5223" s="549"/>
      <c r="M5223" s="465"/>
      <c r="N5223" s="201"/>
    </row>
    <row r="5224" spans="2:14" hidden="1" outlineLevel="1" x14ac:dyDescent="0.35">
      <c r="B5224" s="200"/>
      <c r="C5224" s="201"/>
      <c r="D5224" s="201"/>
      <c r="E5224" s="201"/>
      <c r="F5224" s="202"/>
      <c r="G5224" s="549"/>
      <c r="H5224" s="549"/>
      <c r="I5224" s="549"/>
      <c r="J5224" s="549"/>
      <c r="K5224" s="549"/>
      <c r="M5224" s="465"/>
      <c r="N5224" s="201"/>
    </row>
    <row r="5225" spans="2:14" hidden="1" outlineLevel="1" x14ac:dyDescent="0.35">
      <c r="B5225" s="200"/>
      <c r="C5225" s="201"/>
      <c r="D5225" s="201"/>
      <c r="E5225" s="201"/>
      <c r="F5225" s="202"/>
      <c r="G5225" s="549"/>
      <c r="H5225" s="549"/>
      <c r="I5225" s="549"/>
      <c r="J5225" s="549"/>
      <c r="K5225" s="549"/>
      <c r="M5225" s="465"/>
      <c r="N5225" s="201"/>
    </row>
    <row r="5226" spans="2:14" hidden="1" outlineLevel="1" x14ac:dyDescent="0.35">
      <c r="B5226" s="200"/>
      <c r="C5226" s="201"/>
      <c r="D5226" s="201"/>
      <c r="E5226" s="201"/>
      <c r="F5226" s="202"/>
      <c r="G5226" s="549"/>
      <c r="H5226" s="549"/>
      <c r="I5226" s="549"/>
      <c r="J5226" s="549"/>
      <c r="K5226" s="549"/>
      <c r="M5226" s="465"/>
      <c r="N5226" s="201"/>
    </row>
    <row r="5227" spans="2:14" hidden="1" outlineLevel="1" x14ac:dyDescent="0.35">
      <c r="B5227" s="200"/>
      <c r="C5227" s="201"/>
      <c r="D5227" s="201"/>
      <c r="E5227" s="201"/>
      <c r="F5227" s="202"/>
      <c r="G5227" s="549"/>
      <c r="H5227" s="549"/>
      <c r="I5227" s="549"/>
      <c r="J5227" s="549"/>
      <c r="K5227" s="549"/>
      <c r="M5227" s="465"/>
      <c r="N5227" s="201"/>
    </row>
    <row r="5228" spans="2:14" hidden="1" outlineLevel="1" x14ac:dyDescent="0.35">
      <c r="B5228" s="200"/>
      <c r="C5228" s="201"/>
      <c r="D5228" s="201"/>
      <c r="E5228" s="201"/>
      <c r="F5228" s="202"/>
      <c r="G5228" s="549"/>
      <c r="H5228" s="549"/>
      <c r="I5228" s="549"/>
      <c r="J5228" s="549"/>
      <c r="K5228" s="549"/>
      <c r="M5228" s="465"/>
      <c r="N5228" s="201"/>
    </row>
    <row r="5229" spans="2:14" hidden="1" outlineLevel="1" x14ac:dyDescent="0.35">
      <c r="B5229" s="200"/>
      <c r="C5229" s="201"/>
      <c r="D5229" s="201"/>
      <c r="E5229" s="201"/>
      <c r="F5229" s="202"/>
      <c r="G5229" s="549"/>
      <c r="H5229" s="549"/>
      <c r="I5229" s="549"/>
      <c r="J5229" s="549"/>
      <c r="K5229" s="549"/>
      <c r="M5229" s="465"/>
      <c r="N5229" s="201"/>
    </row>
    <row r="5230" spans="2:14" hidden="1" outlineLevel="1" x14ac:dyDescent="0.35">
      <c r="B5230" s="200"/>
      <c r="C5230" s="201"/>
      <c r="D5230" s="201"/>
      <c r="E5230" s="201"/>
      <c r="F5230" s="202"/>
      <c r="G5230" s="549"/>
      <c r="H5230" s="549"/>
      <c r="I5230" s="549"/>
      <c r="J5230" s="549"/>
      <c r="K5230" s="549"/>
      <c r="M5230" s="465"/>
      <c r="N5230" s="201"/>
    </row>
    <row r="5231" spans="2:14" hidden="1" outlineLevel="1" x14ac:dyDescent="0.35">
      <c r="B5231" s="200"/>
      <c r="C5231" s="201"/>
      <c r="D5231" s="201"/>
      <c r="E5231" s="201"/>
      <c r="F5231" s="202"/>
      <c r="G5231" s="549"/>
      <c r="H5231" s="549"/>
      <c r="I5231" s="549"/>
      <c r="J5231" s="549"/>
      <c r="K5231" s="549"/>
      <c r="M5231" s="465"/>
      <c r="N5231" s="201"/>
    </row>
    <row r="5232" spans="2:14" hidden="1" outlineLevel="1" x14ac:dyDescent="0.35">
      <c r="B5232" s="200"/>
      <c r="C5232" s="201"/>
      <c r="D5232" s="201"/>
      <c r="E5232" s="201"/>
      <c r="F5232" s="202"/>
      <c r="G5232" s="549"/>
      <c r="H5232" s="549"/>
      <c r="I5232" s="549"/>
      <c r="J5232" s="549"/>
      <c r="K5232" s="549"/>
      <c r="M5232" s="465"/>
      <c r="N5232" s="201"/>
    </row>
    <row r="5233" spans="2:14" hidden="1" outlineLevel="1" x14ac:dyDescent="0.35">
      <c r="B5233" s="200"/>
      <c r="C5233" s="201"/>
      <c r="D5233" s="201"/>
      <c r="E5233" s="201"/>
      <c r="F5233" s="202"/>
      <c r="G5233" s="549"/>
      <c r="H5233" s="549"/>
      <c r="I5233" s="549"/>
      <c r="J5233" s="549"/>
      <c r="K5233" s="549"/>
      <c r="M5233" s="465"/>
      <c r="N5233" s="201"/>
    </row>
    <row r="5234" spans="2:14" hidden="1" outlineLevel="1" x14ac:dyDescent="0.35">
      <c r="B5234" s="200"/>
      <c r="C5234" s="201"/>
      <c r="D5234" s="201"/>
      <c r="E5234" s="201"/>
      <c r="F5234" s="202"/>
      <c r="G5234" s="549"/>
      <c r="H5234" s="549"/>
      <c r="I5234" s="549"/>
      <c r="J5234" s="549"/>
      <c r="K5234" s="549"/>
      <c r="M5234" s="465"/>
      <c r="N5234" s="201"/>
    </row>
    <row r="5235" spans="2:14" hidden="1" outlineLevel="1" x14ac:dyDescent="0.35">
      <c r="B5235" s="200"/>
      <c r="C5235" s="201"/>
      <c r="D5235" s="201"/>
      <c r="E5235" s="201"/>
      <c r="F5235" s="202"/>
      <c r="G5235" s="549"/>
      <c r="H5235" s="549"/>
      <c r="I5235" s="549"/>
      <c r="J5235" s="549"/>
      <c r="K5235" s="549"/>
      <c r="M5235" s="465"/>
      <c r="N5235" s="201"/>
    </row>
    <row r="5236" spans="2:14" hidden="1" outlineLevel="1" x14ac:dyDescent="0.35">
      <c r="B5236" s="200"/>
      <c r="C5236" s="201"/>
      <c r="D5236" s="201"/>
      <c r="E5236" s="201"/>
      <c r="F5236" s="202"/>
      <c r="G5236" s="549"/>
      <c r="H5236" s="549"/>
      <c r="I5236" s="549"/>
      <c r="J5236" s="549"/>
      <c r="K5236" s="549"/>
      <c r="M5236" s="465"/>
      <c r="N5236" s="201"/>
    </row>
    <row r="5237" spans="2:14" hidden="1" outlineLevel="1" x14ac:dyDescent="0.35">
      <c r="B5237" s="200"/>
      <c r="C5237" s="201"/>
      <c r="D5237" s="201"/>
      <c r="E5237" s="201"/>
      <c r="F5237" s="202"/>
      <c r="G5237" s="549"/>
      <c r="H5237" s="549"/>
      <c r="I5237" s="549"/>
      <c r="J5237" s="549"/>
      <c r="K5237" s="549"/>
      <c r="M5237" s="465"/>
      <c r="N5237" s="201"/>
    </row>
    <row r="5238" spans="2:14" hidden="1" outlineLevel="1" x14ac:dyDescent="0.35">
      <c r="B5238" s="200"/>
      <c r="C5238" s="201"/>
      <c r="D5238" s="201"/>
      <c r="E5238" s="201"/>
      <c r="F5238" s="202"/>
      <c r="G5238" s="549"/>
      <c r="H5238" s="549"/>
      <c r="I5238" s="549"/>
      <c r="J5238" s="549"/>
      <c r="K5238" s="549"/>
      <c r="M5238" s="465"/>
      <c r="N5238" s="201"/>
    </row>
    <row r="5239" spans="2:14" hidden="1" outlineLevel="1" x14ac:dyDescent="0.35">
      <c r="B5239" s="200"/>
      <c r="C5239" s="201"/>
      <c r="D5239" s="201"/>
      <c r="E5239" s="201"/>
      <c r="F5239" s="202"/>
      <c r="G5239" s="549"/>
      <c r="H5239" s="549"/>
      <c r="I5239" s="549"/>
      <c r="J5239" s="549"/>
      <c r="K5239" s="549"/>
      <c r="M5239" s="465"/>
      <c r="N5239" s="201"/>
    </row>
    <row r="5240" spans="2:14" hidden="1" outlineLevel="1" x14ac:dyDescent="0.35">
      <c r="B5240" s="200"/>
      <c r="C5240" s="201"/>
      <c r="D5240" s="201"/>
      <c r="E5240" s="201"/>
      <c r="F5240" s="202"/>
      <c r="G5240" s="549"/>
      <c r="H5240" s="549"/>
      <c r="I5240" s="549"/>
      <c r="J5240" s="549"/>
      <c r="K5240" s="549"/>
      <c r="M5240" s="465"/>
      <c r="N5240" s="201"/>
    </row>
    <row r="5241" spans="2:14" hidden="1" outlineLevel="1" x14ac:dyDescent="0.35">
      <c r="B5241" s="200"/>
      <c r="C5241" s="201"/>
      <c r="D5241" s="201"/>
      <c r="E5241" s="201"/>
      <c r="F5241" s="202"/>
      <c r="G5241" s="549"/>
      <c r="H5241" s="549"/>
      <c r="I5241" s="549"/>
      <c r="J5241" s="549"/>
      <c r="K5241" s="549"/>
      <c r="M5241" s="465"/>
      <c r="N5241" s="201"/>
    </row>
    <row r="5242" spans="2:14" hidden="1" outlineLevel="1" x14ac:dyDescent="0.35">
      <c r="B5242" s="200"/>
      <c r="C5242" s="201"/>
      <c r="D5242" s="201"/>
      <c r="E5242" s="201"/>
      <c r="F5242" s="202"/>
      <c r="G5242" s="549"/>
      <c r="H5242" s="549"/>
      <c r="I5242" s="549"/>
      <c r="J5242" s="549"/>
      <c r="K5242" s="549"/>
      <c r="M5242" s="465"/>
      <c r="N5242" s="201"/>
    </row>
    <row r="5243" spans="2:14" hidden="1" outlineLevel="1" x14ac:dyDescent="0.35">
      <c r="B5243" s="200"/>
      <c r="C5243" s="201"/>
      <c r="D5243" s="201"/>
      <c r="E5243" s="201"/>
      <c r="F5243" s="202"/>
      <c r="G5243" s="549"/>
      <c r="H5243" s="549"/>
      <c r="I5243" s="549"/>
      <c r="J5243" s="549"/>
      <c r="K5243" s="549"/>
      <c r="M5243" s="465"/>
      <c r="N5243" s="201"/>
    </row>
    <row r="5244" spans="2:14" hidden="1" outlineLevel="1" x14ac:dyDescent="0.35">
      <c r="B5244" s="200"/>
      <c r="C5244" s="201"/>
      <c r="D5244" s="201"/>
      <c r="E5244" s="201"/>
      <c r="F5244" s="202"/>
      <c r="G5244" s="549"/>
      <c r="H5244" s="549"/>
      <c r="I5244" s="549"/>
      <c r="J5244" s="549"/>
      <c r="K5244" s="549"/>
      <c r="M5244" s="465"/>
      <c r="N5244" s="201"/>
    </row>
    <row r="5245" spans="2:14" hidden="1" outlineLevel="1" x14ac:dyDescent="0.35">
      <c r="B5245" s="200"/>
      <c r="C5245" s="201"/>
      <c r="D5245" s="201"/>
      <c r="E5245" s="201"/>
      <c r="F5245" s="202"/>
      <c r="G5245" s="549"/>
      <c r="H5245" s="549"/>
      <c r="I5245" s="549"/>
      <c r="J5245" s="549"/>
      <c r="K5245" s="549"/>
      <c r="M5245" s="465"/>
      <c r="N5245" s="201"/>
    </row>
    <row r="5246" spans="2:14" hidden="1" outlineLevel="1" x14ac:dyDescent="0.35">
      <c r="B5246" s="200"/>
      <c r="C5246" s="201"/>
      <c r="D5246" s="201"/>
      <c r="E5246" s="201"/>
      <c r="F5246" s="202"/>
      <c r="G5246" s="549"/>
      <c r="H5246" s="549"/>
      <c r="I5246" s="549"/>
      <c r="J5246" s="549"/>
      <c r="K5246" s="549"/>
      <c r="M5246" s="465"/>
      <c r="N5246" s="201"/>
    </row>
    <row r="5247" spans="2:14" hidden="1" outlineLevel="1" x14ac:dyDescent="0.35">
      <c r="B5247" s="200"/>
      <c r="C5247" s="201"/>
      <c r="D5247" s="201"/>
      <c r="E5247" s="201"/>
      <c r="F5247" s="202"/>
      <c r="G5247" s="549"/>
      <c r="H5247" s="549"/>
      <c r="I5247" s="549"/>
      <c r="J5247" s="549"/>
      <c r="K5247" s="549"/>
      <c r="M5247" s="465"/>
      <c r="N5247" s="201"/>
    </row>
    <row r="5248" spans="2:14" hidden="1" outlineLevel="1" x14ac:dyDescent="0.35">
      <c r="B5248" s="200"/>
      <c r="C5248" s="201"/>
      <c r="D5248" s="201"/>
      <c r="E5248" s="201"/>
      <c r="F5248" s="202"/>
      <c r="G5248" s="549"/>
      <c r="H5248" s="549"/>
      <c r="I5248" s="549"/>
      <c r="J5248" s="549"/>
      <c r="K5248" s="549"/>
      <c r="M5248" s="465"/>
      <c r="N5248" s="201"/>
    </row>
    <row r="5249" spans="2:14" hidden="1" outlineLevel="1" x14ac:dyDescent="0.35">
      <c r="B5249" s="200"/>
      <c r="C5249" s="201"/>
      <c r="D5249" s="201"/>
      <c r="E5249" s="201"/>
      <c r="F5249" s="202"/>
      <c r="G5249" s="549"/>
      <c r="H5249" s="549"/>
      <c r="I5249" s="549"/>
      <c r="J5249" s="549"/>
      <c r="K5249" s="549"/>
      <c r="M5249" s="465"/>
      <c r="N5249" s="201"/>
    </row>
    <row r="5250" spans="2:14" hidden="1" outlineLevel="1" x14ac:dyDescent="0.35">
      <c r="B5250" s="200"/>
      <c r="C5250" s="201"/>
      <c r="D5250" s="201"/>
      <c r="E5250" s="201"/>
      <c r="F5250" s="202"/>
      <c r="G5250" s="549"/>
      <c r="H5250" s="549"/>
      <c r="I5250" s="549"/>
      <c r="J5250" s="549"/>
      <c r="K5250" s="549"/>
      <c r="M5250" s="465"/>
      <c r="N5250" s="201"/>
    </row>
    <row r="5251" spans="2:14" hidden="1" outlineLevel="1" x14ac:dyDescent="0.35">
      <c r="B5251" s="200"/>
      <c r="C5251" s="201"/>
      <c r="D5251" s="201"/>
      <c r="E5251" s="201"/>
      <c r="F5251" s="202"/>
      <c r="G5251" s="549"/>
      <c r="H5251" s="549"/>
      <c r="I5251" s="549"/>
      <c r="J5251" s="549"/>
      <c r="K5251" s="549"/>
      <c r="M5251" s="465"/>
      <c r="N5251" s="201"/>
    </row>
    <row r="5252" spans="2:14" hidden="1" outlineLevel="1" x14ac:dyDescent="0.35">
      <c r="B5252" s="200"/>
      <c r="C5252" s="201"/>
      <c r="D5252" s="201"/>
      <c r="E5252" s="201"/>
      <c r="F5252" s="202"/>
      <c r="G5252" s="549"/>
      <c r="H5252" s="549"/>
      <c r="I5252" s="549"/>
      <c r="J5252" s="549"/>
      <c r="K5252" s="549"/>
      <c r="M5252" s="465"/>
      <c r="N5252" s="201"/>
    </row>
    <row r="5253" spans="2:14" hidden="1" outlineLevel="1" x14ac:dyDescent="0.35">
      <c r="B5253" s="200"/>
      <c r="C5253" s="201"/>
      <c r="D5253" s="201"/>
      <c r="E5253" s="201"/>
      <c r="F5253" s="202"/>
      <c r="G5253" s="549"/>
      <c r="H5253" s="549"/>
      <c r="I5253" s="549"/>
      <c r="J5253" s="549"/>
      <c r="K5253" s="549"/>
      <c r="M5253" s="465"/>
      <c r="N5253" s="201"/>
    </row>
    <row r="5254" spans="2:14" hidden="1" outlineLevel="1" x14ac:dyDescent="0.35">
      <c r="B5254" s="200"/>
      <c r="C5254" s="201"/>
      <c r="D5254" s="201"/>
      <c r="E5254" s="201"/>
      <c r="F5254" s="202"/>
      <c r="G5254" s="549"/>
      <c r="H5254" s="549"/>
      <c r="I5254" s="549"/>
      <c r="J5254" s="549"/>
      <c r="K5254" s="549"/>
      <c r="M5254" s="465"/>
      <c r="N5254" s="201"/>
    </row>
    <row r="5255" spans="2:14" hidden="1" outlineLevel="1" x14ac:dyDescent="0.35">
      <c r="B5255" s="200"/>
      <c r="C5255" s="201"/>
      <c r="D5255" s="201"/>
      <c r="E5255" s="201"/>
      <c r="F5255" s="202"/>
      <c r="G5255" s="549"/>
      <c r="H5255" s="549"/>
      <c r="I5255" s="549"/>
      <c r="J5255" s="549"/>
      <c r="K5255" s="549"/>
      <c r="M5255" s="465"/>
      <c r="N5255" s="201"/>
    </row>
    <row r="5256" spans="2:14" hidden="1" outlineLevel="1" x14ac:dyDescent="0.35">
      <c r="B5256" s="200"/>
      <c r="C5256" s="201"/>
      <c r="D5256" s="201"/>
      <c r="E5256" s="201"/>
      <c r="F5256" s="202"/>
      <c r="G5256" s="549"/>
      <c r="H5256" s="549"/>
      <c r="I5256" s="549"/>
      <c r="J5256" s="549"/>
      <c r="K5256" s="549"/>
      <c r="M5256" s="465"/>
      <c r="N5256" s="201"/>
    </row>
    <row r="5257" spans="2:14" hidden="1" outlineLevel="1" x14ac:dyDescent="0.35">
      <c r="B5257" s="200"/>
      <c r="C5257" s="201"/>
      <c r="D5257" s="201"/>
      <c r="E5257" s="201"/>
      <c r="F5257" s="202"/>
      <c r="G5257" s="549"/>
      <c r="H5257" s="549"/>
      <c r="I5257" s="549"/>
      <c r="J5257" s="549"/>
      <c r="K5257" s="549"/>
      <c r="M5257" s="465"/>
      <c r="N5257" s="201"/>
    </row>
    <row r="5258" spans="2:14" hidden="1" outlineLevel="1" x14ac:dyDescent="0.35">
      <c r="B5258" s="200"/>
      <c r="C5258" s="201"/>
      <c r="D5258" s="201"/>
      <c r="E5258" s="201"/>
      <c r="F5258" s="202"/>
      <c r="G5258" s="549"/>
      <c r="H5258" s="549"/>
      <c r="I5258" s="549"/>
      <c r="J5258" s="549"/>
      <c r="K5258" s="549"/>
      <c r="M5258" s="465"/>
      <c r="N5258" s="201"/>
    </row>
    <row r="5259" spans="2:14" hidden="1" outlineLevel="1" x14ac:dyDescent="0.35">
      <c r="B5259" s="200"/>
      <c r="C5259" s="201"/>
      <c r="D5259" s="201"/>
      <c r="E5259" s="201"/>
      <c r="F5259" s="202"/>
      <c r="G5259" s="549"/>
      <c r="H5259" s="549"/>
      <c r="I5259" s="549"/>
      <c r="J5259" s="549"/>
      <c r="K5259" s="549"/>
      <c r="M5259" s="465"/>
      <c r="N5259" s="201"/>
    </row>
    <row r="5260" spans="2:14" hidden="1" outlineLevel="1" x14ac:dyDescent="0.35">
      <c r="B5260" s="200"/>
      <c r="C5260" s="201"/>
      <c r="D5260" s="201"/>
      <c r="E5260" s="201"/>
      <c r="F5260" s="202"/>
      <c r="G5260" s="549"/>
      <c r="H5260" s="549"/>
      <c r="I5260" s="549"/>
      <c r="J5260" s="549"/>
      <c r="K5260" s="549"/>
      <c r="M5260" s="465"/>
      <c r="N5260" s="201"/>
    </row>
    <row r="5261" spans="2:14" hidden="1" outlineLevel="1" x14ac:dyDescent="0.35">
      <c r="B5261" s="200"/>
      <c r="C5261" s="201"/>
      <c r="D5261" s="201"/>
      <c r="E5261" s="201"/>
      <c r="F5261" s="202"/>
      <c r="G5261" s="549"/>
      <c r="H5261" s="549"/>
      <c r="I5261" s="549"/>
      <c r="J5261" s="549"/>
      <c r="K5261" s="549"/>
      <c r="M5261" s="465"/>
      <c r="N5261" s="201"/>
    </row>
    <row r="5262" spans="2:14" hidden="1" outlineLevel="1" x14ac:dyDescent="0.35">
      <c r="B5262" s="200"/>
      <c r="C5262" s="201"/>
      <c r="D5262" s="201"/>
      <c r="E5262" s="201"/>
      <c r="F5262" s="202"/>
      <c r="G5262" s="549"/>
      <c r="H5262" s="549"/>
      <c r="I5262" s="549"/>
      <c r="J5262" s="549"/>
      <c r="K5262" s="549"/>
      <c r="M5262" s="465"/>
      <c r="N5262" s="201"/>
    </row>
    <row r="5263" spans="2:14" hidden="1" outlineLevel="1" x14ac:dyDescent="0.35">
      <c r="B5263" s="200"/>
      <c r="C5263" s="201"/>
      <c r="D5263" s="201"/>
      <c r="E5263" s="201"/>
      <c r="F5263" s="202"/>
      <c r="G5263" s="549"/>
      <c r="H5263" s="549"/>
      <c r="I5263" s="549"/>
      <c r="J5263" s="549"/>
      <c r="K5263" s="549"/>
      <c r="M5263" s="465"/>
      <c r="N5263" s="201"/>
    </row>
    <row r="5264" spans="2:14" hidden="1" outlineLevel="1" x14ac:dyDescent="0.35">
      <c r="B5264" s="200"/>
      <c r="C5264" s="201"/>
      <c r="D5264" s="201"/>
      <c r="E5264" s="201"/>
      <c r="F5264" s="202"/>
      <c r="G5264" s="549"/>
      <c r="H5264" s="549"/>
      <c r="I5264" s="549"/>
      <c r="J5264" s="549"/>
      <c r="K5264" s="549"/>
      <c r="M5264" s="465"/>
      <c r="N5264" s="201"/>
    </row>
    <row r="5265" spans="2:14" hidden="1" outlineLevel="1" x14ac:dyDescent="0.35">
      <c r="B5265" s="200"/>
      <c r="C5265" s="201"/>
      <c r="D5265" s="201"/>
      <c r="E5265" s="201"/>
      <c r="F5265" s="202"/>
      <c r="G5265" s="549"/>
      <c r="H5265" s="549"/>
      <c r="I5265" s="549"/>
      <c r="J5265" s="549"/>
      <c r="K5265" s="549"/>
      <c r="M5265" s="465"/>
      <c r="N5265" s="201"/>
    </row>
    <row r="5266" spans="2:14" hidden="1" outlineLevel="1" x14ac:dyDescent="0.35">
      <c r="B5266" s="200"/>
      <c r="C5266" s="201"/>
      <c r="D5266" s="201"/>
      <c r="E5266" s="201"/>
      <c r="F5266" s="202"/>
      <c r="G5266" s="549"/>
      <c r="H5266" s="549"/>
      <c r="I5266" s="549"/>
      <c r="J5266" s="549"/>
      <c r="K5266" s="549"/>
      <c r="M5266" s="465"/>
      <c r="N5266" s="201"/>
    </row>
    <row r="5267" spans="2:14" hidden="1" outlineLevel="1" x14ac:dyDescent="0.35">
      <c r="B5267" s="200"/>
      <c r="C5267" s="201"/>
      <c r="D5267" s="201"/>
      <c r="E5267" s="201"/>
      <c r="F5267" s="202"/>
      <c r="G5267" s="549"/>
      <c r="H5267" s="549"/>
      <c r="I5267" s="549"/>
      <c r="J5267" s="549"/>
      <c r="K5267" s="549"/>
      <c r="M5267" s="465"/>
      <c r="N5267" s="201"/>
    </row>
    <row r="5268" spans="2:14" hidden="1" outlineLevel="1" x14ac:dyDescent="0.35">
      <c r="B5268" s="200"/>
      <c r="C5268" s="201"/>
      <c r="D5268" s="201"/>
      <c r="E5268" s="201"/>
      <c r="F5268" s="202"/>
      <c r="G5268" s="549"/>
      <c r="H5268" s="549"/>
      <c r="I5268" s="549"/>
      <c r="J5268" s="549"/>
      <c r="K5268" s="549"/>
      <c r="M5268" s="465"/>
      <c r="N5268" s="201"/>
    </row>
    <row r="5269" spans="2:14" hidden="1" outlineLevel="1" x14ac:dyDescent="0.35">
      <c r="B5269" s="200"/>
      <c r="C5269" s="201"/>
      <c r="D5269" s="201"/>
      <c r="E5269" s="201"/>
      <c r="F5269" s="202"/>
      <c r="G5269" s="549"/>
      <c r="H5269" s="549"/>
      <c r="I5269" s="549"/>
      <c r="J5269" s="549"/>
      <c r="K5269" s="549"/>
      <c r="M5269" s="465"/>
      <c r="N5269" s="201"/>
    </row>
    <row r="5270" spans="2:14" hidden="1" outlineLevel="1" x14ac:dyDescent="0.35">
      <c r="B5270" s="200"/>
      <c r="C5270" s="201"/>
      <c r="D5270" s="201"/>
      <c r="E5270" s="201"/>
      <c r="F5270" s="202"/>
      <c r="G5270" s="549"/>
      <c r="H5270" s="549"/>
      <c r="I5270" s="549"/>
      <c r="J5270" s="549"/>
      <c r="K5270" s="549"/>
      <c r="M5270" s="465"/>
      <c r="N5270" s="201"/>
    </row>
    <row r="5271" spans="2:14" hidden="1" outlineLevel="1" x14ac:dyDescent="0.35">
      <c r="B5271" s="200"/>
      <c r="C5271" s="201"/>
      <c r="D5271" s="201"/>
      <c r="E5271" s="201"/>
      <c r="F5271" s="202"/>
      <c r="G5271" s="549"/>
      <c r="H5271" s="549"/>
      <c r="I5271" s="549"/>
      <c r="J5271" s="549"/>
      <c r="K5271" s="549"/>
      <c r="M5271" s="465"/>
      <c r="N5271" s="201"/>
    </row>
    <row r="5272" spans="2:14" hidden="1" outlineLevel="1" x14ac:dyDescent="0.35">
      <c r="B5272" s="200"/>
      <c r="C5272" s="201"/>
      <c r="D5272" s="201"/>
      <c r="E5272" s="201"/>
      <c r="F5272" s="202"/>
      <c r="G5272" s="549"/>
      <c r="H5272" s="549"/>
      <c r="I5272" s="549"/>
      <c r="J5272" s="549"/>
      <c r="K5272" s="549"/>
      <c r="M5272" s="465"/>
      <c r="N5272" s="201"/>
    </row>
    <row r="5273" spans="2:14" hidden="1" outlineLevel="1" x14ac:dyDescent="0.35">
      <c r="B5273" s="200"/>
      <c r="C5273" s="201"/>
      <c r="D5273" s="201"/>
      <c r="E5273" s="201"/>
      <c r="F5273" s="202"/>
      <c r="G5273" s="549"/>
      <c r="H5273" s="549"/>
      <c r="I5273" s="549"/>
      <c r="J5273" s="549"/>
      <c r="K5273" s="549"/>
      <c r="M5273" s="465"/>
      <c r="N5273" s="201"/>
    </row>
    <row r="5274" spans="2:14" hidden="1" outlineLevel="1" x14ac:dyDescent="0.35">
      <c r="B5274" s="200"/>
      <c r="C5274" s="201"/>
      <c r="D5274" s="201"/>
      <c r="E5274" s="201"/>
      <c r="F5274" s="202"/>
      <c r="G5274" s="549"/>
      <c r="H5274" s="549"/>
      <c r="I5274" s="549"/>
      <c r="J5274" s="549"/>
      <c r="K5274" s="549"/>
      <c r="M5274" s="465"/>
      <c r="N5274" s="201"/>
    </row>
    <row r="5275" spans="2:14" hidden="1" outlineLevel="1" x14ac:dyDescent="0.35">
      <c r="B5275" s="200"/>
      <c r="C5275" s="201"/>
      <c r="D5275" s="201"/>
      <c r="E5275" s="201"/>
      <c r="F5275" s="202"/>
      <c r="G5275" s="549"/>
      <c r="H5275" s="549"/>
      <c r="I5275" s="549"/>
      <c r="J5275" s="549"/>
      <c r="K5275" s="549"/>
      <c r="M5275" s="465"/>
      <c r="N5275" s="201"/>
    </row>
    <row r="5276" spans="2:14" hidden="1" outlineLevel="1" x14ac:dyDescent="0.35">
      <c r="B5276" s="200"/>
      <c r="C5276" s="201"/>
      <c r="D5276" s="201"/>
      <c r="E5276" s="201"/>
      <c r="F5276" s="202"/>
      <c r="G5276" s="549"/>
      <c r="H5276" s="549"/>
      <c r="I5276" s="549"/>
      <c r="J5276" s="549"/>
      <c r="K5276" s="549"/>
      <c r="M5276" s="465"/>
      <c r="N5276" s="201"/>
    </row>
    <row r="5277" spans="2:14" hidden="1" outlineLevel="1" x14ac:dyDescent="0.35">
      <c r="B5277" s="200"/>
      <c r="C5277" s="201"/>
      <c r="D5277" s="201"/>
      <c r="E5277" s="201"/>
      <c r="F5277" s="202"/>
      <c r="G5277" s="549"/>
      <c r="H5277" s="549"/>
      <c r="I5277" s="549"/>
      <c r="J5277" s="549"/>
      <c r="K5277" s="549"/>
      <c r="M5277" s="465"/>
      <c r="N5277" s="201"/>
    </row>
    <row r="5278" spans="2:14" hidden="1" outlineLevel="1" x14ac:dyDescent="0.35">
      <c r="B5278" s="200"/>
      <c r="C5278" s="201"/>
      <c r="D5278" s="201"/>
      <c r="E5278" s="201"/>
      <c r="F5278" s="202"/>
      <c r="G5278" s="549"/>
      <c r="H5278" s="549"/>
      <c r="I5278" s="549"/>
      <c r="J5278" s="549"/>
      <c r="K5278" s="549"/>
      <c r="M5278" s="465"/>
      <c r="N5278" s="201"/>
    </row>
    <row r="5279" spans="2:14" hidden="1" outlineLevel="1" x14ac:dyDescent="0.35">
      <c r="B5279" s="200"/>
      <c r="C5279" s="201"/>
      <c r="D5279" s="201"/>
      <c r="E5279" s="201"/>
      <c r="F5279" s="202"/>
      <c r="G5279" s="549"/>
      <c r="H5279" s="549"/>
      <c r="I5279" s="549"/>
      <c r="J5279" s="549"/>
      <c r="K5279" s="549"/>
      <c r="M5279" s="465"/>
      <c r="N5279" s="201"/>
    </row>
    <row r="5280" spans="2:14" hidden="1" outlineLevel="1" x14ac:dyDescent="0.35">
      <c r="B5280" s="200"/>
      <c r="C5280" s="201"/>
      <c r="D5280" s="201"/>
      <c r="E5280" s="201"/>
      <c r="F5280" s="202"/>
      <c r="G5280" s="549"/>
      <c r="H5280" s="549"/>
      <c r="I5280" s="549"/>
      <c r="J5280" s="549"/>
      <c r="K5280" s="549"/>
      <c r="M5280" s="465"/>
      <c r="N5280" s="201"/>
    </row>
    <row r="5281" spans="2:14" hidden="1" outlineLevel="1" x14ac:dyDescent="0.35">
      <c r="B5281" s="200"/>
      <c r="C5281" s="201"/>
      <c r="D5281" s="201"/>
      <c r="E5281" s="201"/>
      <c r="F5281" s="202"/>
      <c r="G5281" s="549"/>
      <c r="H5281" s="549"/>
      <c r="I5281" s="549"/>
      <c r="J5281" s="549"/>
      <c r="K5281" s="549"/>
      <c r="M5281" s="465"/>
      <c r="N5281" s="201"/>
    </row>
    <row r="5282" spans="2:14" hidden="1" outlineLevel="1" x14ac:dyDescent="0.35">
      <c r="B5282" s="200"/>
      <c r="C5282" s="201"/>
      <c r="D5282" s="201"/>
      <c r="E5282" s="201"/>
      <c r="F5282" s="202"/>
      <c r="G5282" s="549"/>
      <c r="H5282" s="549"/>
      <c r="I5282" s="549"/>
      <c r="J5282" s="549"/>
      <c r="K5282" s="549"/>
      <c r="M5282" s="465"/>
      <c r="N5282" s="201"/>
    </row>
    <row r="5283" spans="2:14" hidden="1" outlineLevel="1" x14ac:dyDescent="0.35">
      <c r="B5283" s="200"/>
      <c r="C5283" s="201"/>
      <c r="D5283" s="201"/>
      <c r="E5283" s="201"/>
      <c r="F5283" s="202"/>
      <c r="G5283" s="549"/>
      <c r="H5283" s="549"/>
      <c r="I5283" s="549"/>
      <c r="J5283" s="549"/>
      <c r="K5283" s="549"/>
      <c r="M5283" s="465"/>
      <c r="N5283" s="201"/>
    </row>
    <row r="5284" spans="2:14" hidden="1" outlineLevel="1" x14ac:dyDescent="0.35">
      <c r="B5284" s="200"/>
      <c r="C5284" s="201"/>
      <c r="D5284" s="201"/>
      <c r="E5284" s="201"/>
      <c r="F5284" s="202"/>
      <c r="G5284" s="549"/>
      <c r="H5284" s="549"/>
      <c r="I5284" s="549"/>
      <c r="J5284" s="549"/>
      <c r="K5284" s="549"/>
      <c r="M5284" s="465"/>
      <c r="N5284" s="201"/>
    </row>
    <row r="5285" spans="2:14" hidden="1" outlineLevel="1" x14ac:dyDescent="0.35">
      <c r="B5285" s="200"/>
      <c r="C5285" s="201"/>
      <c r="D5285" s="201"/>
      <c r="E5285" s="201"/>
      <c r="F5285" s="202"/>
      <c r="G5285" s="549"/>
      <c r="H5285" s="549"/>
      <c r="I5285" s="549"/>
      <c r="J5285" s="549"/>
      <c r="K5285" s="549"/>
      <c r="M5285" s="465"/>
      <c r="N5285" s="201"/>
    </row>
    <row r="5286" spans="2:14" hidden="1" outlineLevel="1" x14ac:dyDescent="0.35">
      <c r="B5286" s="200"/>
      <c r="C5286" s="201"/>
      <c r="D5286" s="201"/>
      <c r="E5286" s="201"/>
      <c r="F5286" s="202"/>
      <c r="G5286" s="549"/>
      <c r="H5286" s="549"/>
      <c r="I5286" s="549"/>
      <c r="J5286" s="549"/>
      <c r="K5286" s="549"/>
      <c r="M5286" s="465"/>
      <c r="N5286" s="201"/>
    </row>
    <row r="5287" spans="2:14" hidden="1" outlineLevel="1" x14ac:dyDescent="0.35">
      <c r="B5287" s="200"/>
      <c r="C5287" s="201"/>
      <c r="D5287" s="201"/>
      <c r="E5287" s="201"/>
      <c r="F5287" s="202"/>
      <c r="G5287" s="549"/>
      <c r="H5287" s="549"/>
      <c r="I5287" s="549"/>
      <c r="J5287" s="549"/>
      <c r="K5287" s="549"/>
      <c r="M5287" s="465"/>
      <c r="N5287" s="201"/>
    </row>
    <row r="5288" spans="2:14" hidden="1" outlineLevel="1" x14ac:dyDescent="0.35">
      <c r="B5288" s="200"/>
      <c r="C5288" s="201"/>
      <c r="D5288" s="201"/>
      <c r="E5288" s="201"/>
      <c r="F5288" s="202"/>
      <c r="G5288" s="549"/>
      <c r="H5288" s="549"/>
      <c r="I5288" s="549"/>
      <c r="J5288" s="549"/>
      <c r="K5288" s="549"/>
      <c r="M5288" s="465"/>
      <c r="N5288" s="201"/>
    </row>
    <row r="5289" spans="2:14" hidden="1" outlineLevel="1" x14ac:dyDescent="0.35">
      <c r="B5289" s="200"/>
      <c r="C5289" s="201"/>
      <c r="D5289" s="201"/>
      <c r="E5289" s="201"/>
      <c r="F5289" s="202"/>
      <c r="G5289" s="549"/>
      <c r="H5289" s="549"/>
      <c r="I5289" s="549"/>
      <c r="J5289" s="549"/>
      <c r="K5289" s="549"/>
      <c r="M5289" s="465"/>
      <c r="N5289" s="201"/>
    </row>
    <row r="5290" spans="2:14" hidden="1" outlineLevel="1" x14ac:dyDescent="0.35">
      <c r="B5290" s="200"/>
      <c r="C5290" s="201"/>
      <c r="D5290" s="201"/>
      <c r="E5290" s="201"/>
      <c r="F5290" s="202"/>
      <c r="G5290" s="549"/>
      <c r="H5290" s="549"/>
      <c r="I5290" s="549"/>
      <c r="J5290" s="549"/>
      <c r="K5290" s="549"/>
      <c r="M5290" s="465"/>
      <c r="N5290" s="201"/>
    </row>
    <row r="5291" spans="2:14" hidden="1" outlineLevel="1" x14ac:dyDescent="0.35">
      <c r="B5291" s="200"/>
      <c r="C5291" s="201"/>
      <c r="D5291" s="201"/>
      <c r="E5291" s="201"/>
      <c r="F5291" s="202"/>
      <c r="G5291" s="549"/>
      <c r="H5291" s="549"/>
      <c r="I5291" s="549"/>
      <c r="J5291" s="549"/>
      <c r="K5291" s="549"/>
      <c r="M5291" s="465"/>
      <c r="N5291" s="201"/>
    </row>
    <row r="5292" spans="2:14" hidden="1" outlineLevel="1" x14ac:dyDescent="0.35">
      <c r="B5292" s="200"/>
      <c r="C5292" s="201"/>
      <c r="D5292" s="201"/>
      <c r="E5292" s="201"/>
      <c r="F5292" s="202"/>
      <c r="G5292" s="549"/>
      <c r="H5292" s="549"/>
      <c r="I5292" s="549"/>
      <c r="J5292" s="549"/>
      <c r="K5292" s="549"/>
      <c r="M5292" s="465"/>
      <c r="N5292" s="201"/>
    </row>
    <row r="5293" spans="2:14" hidden="1" outlineLevel="1" x14ac:dyDescent="0.35">
      <c r="B5293" s="200"/>
      <c r="C5293" s="201"/>
      <c r="D5293" s="201"/>
      <c r="E5293" s="201"/>
      <c r="F5293" s="202"/>
      <c r="G5293" s="549"/>
      <c r="H5293" s="549"/>
      <c r="I5293" s="549"/>
      <c r="J5293" s="549"/>
      <c r="K5293" s="549"/>
      <c r="M5293" s="465"/>
      <c r="N5293" s="201"/>
    </row>
    <row r="5294" spans="2:14" hidden="1" outlineLevel="1" x14ac:dyDescent="0.35">
      <c r="B5294" s="200"/>
      <c r="C5294" s="201"/>
      <c r="D5294" s="201"/>
      <c r="E5294" s="201"/>
      <c r="F5294" s="202"/>
      <c r="G5294" s="549"/>
      <c r="H5294" s="549"/>
      <c r="I5294" s="549"/>
      <c r="J5294" s="549"/>
      <c r="K5294" s="549"/>
      <c r="M5294" s="465"/>
      <c r="N5294" s="201"/>
    </row>
    <row r="5295" spans="2:14" hidden="1" outlineLevel="1" x14ac:dyDescent="0.35">
      <c r="B5295" s="200"/>
      <c r="C5295" s="201"/>
      <c r="D5295" s="201"/>
      <c r="E5295" s="201"/>
      <c r="F5295" s="202"/>
      <c r="G5295" s="549"/>
      <c r="H5295" s="549"/>
      <c r="I5295" s="549"/>
      <c r="J5295" s="549"/>
      <c r="K5295" s="549"/>
      <c r="M5295" s="465"/>
      <c r="N5295" s="201"/>
    </row>
    <row r="5296" spans="2:14" hidden="1" outlineLevel="1" x14ac:dyDescent="0.35">
      <c r="B5296" s="200"/>
      <c r="C5296" s="201"/>
      <c r="D5296" s="201"/>
      <c r="E5296" s="201"/>
      <c r="F5296" s="202"/>
      <c r="G5296" s="549"/>
      <c r="H5296" s="549"/>
      <c r="I5296" s="549"/>
      <c r="J5296" s="549"/>
      <c r="K5296" s="549"/>
      <c r="M5296" s="465"/>
      <c r="N5296" s="201"/>
    </row>
    <row r="5297" spans="2:14" hidden="1" outlineLevel="1" x14ac:dyDescent="0.35">
      <c r="B5297" s="200"/>
      <c r="C5297" s="201"/>
      <c r="D5297" s="201"/>
      <c r="E5297" s="201"/>
      <c r="F5297" s="202"/>
      <c r="G5297" s="549"/>
      <c r="H5297" s="549"/>
      <c r="I5297" s="549"/>
      <c r="J5297" s="549"/>
      <c r="K5297" s="549"/>
      <c r="M5297" s="465"/>
      <c r="N5297" s="201"/>
    </row>
    <row r="5298" spans="2:14" hidden="1" outlineLevel="1" x14ac:dyDescent="0.35">
      <c r="B5298" s="200"/>
      <c r="C5298" s="201"/>
      <c r="D5298" s="201"/>
      <c r="E5298" s="201"/>
      <c r="F5298" s="202"/>
      <c r="G5298" s="549"/>
      <c r="H5298" s="549"/>
      <c r="I5298" s="549"/>
      <c r="J5298" s="549"/>
      <c r="K5298" s="549"/>
      <c r="M5298" s="465"/>
      <c r="N5298" s="201"/>
    </row>
    <row r="5299" spans="2:14" hidden="1" outlineLevel="1" x14ac:dyDescent="0.35">
      <c r="B5299" s="200"/>
      <c r="C5299" s="201"/>
      <c r="D5299" s="201"/>
      <c r="E5299" s="201"/>
      <c r="F5299" s="202"/>
      <c r="G5299" s="549"/>
      <c r="H5299" s="549"/>
      <c r="I5299" s="549"/>
      <c r="J5299" s="549"/>
      <c r="K5299" s="549"/>
      <c r="M5299" s="465"/>
      <c r="N5299" s="201"/>
    </row>
    <row r="5300" spans="2:14" hidden="1" outlineLevel="1" x14ac:dyDescent="0.35">
      <c r="B5300" s="200"/>
      <c r="C5300" s="201"/>
      <c r="D5300" s="201"/>
      <c r="E5300" s="201"/>
      <c r="F5300" s="202"/>
      <c r="G5300" s="549"/>
      <c r="H5300" s="549"/>
      <c r="I5300" s="549"/>
      <c r="J5300" s="549"/>
      <c r="K5300" s="549"/>
      <c r="M5300" s="465"/>
      <c r="N5300" s="201"/>
    </row>
    <row r="5301" spans="2:14" hidden="1" outlineLevel="1" x14ac:dyDescent="0.35">
      <c r="B5301" s="200"/>
      <c r="C5301" s="201"/>
      <c r="D5301" s="201"/>
      <c r="E5301" s="201"/>
      <c r="F5301" s="202"/>
      <c r="G5301" s="549"/>
      <c r="H5301" s="549"/>
      <c r="I5301" s="549"/>
      <c r="J5301" s="549"/>
      <c r="K5301" s="549"/>
      <c r="M5301" s="465"/>
      <c r="N5301" s="201"/>
    </row>
    <row r="5302" spans="2:14" hidden="1" outlineLevel="1" x14ac:dyDescent="0.35">
      <c r="B5302" s="200"/>
      <c r="C5302" s="201"/>
      <c r="D5302" s="201"/>
      <c r="E5302" s="201"/>
      <c r="F5302" s="202"/>
      <c r="G5302" s="549"/>
      <c r="H5302" s="549"/>
      <c r="I5302" s="549"/>
      <c r="J5302" s="549"/>
      <c r="K5302" s="549"/>
      <c r="M5302" s="465"/>
      <c r="N5302" s="201"/>
    </row>
    <row r="5303" spans="2:14" hidden="1" outlineLevel="1" x14ac:dyDescent="0.35">
      <c r="B5303" s="200"/>
      <c r="C5303" s="201"/>
      <c r="D5303" s="201"/>
      <c r="E5303" s="201"/>
      <c r="F5303" s="202"/>
      <c r="G5303" s="549"/>
      <c r="H5303" s="549"/>
      <c r="I5303" s="549"/>
      <c r="J5303" s="549"/>
      <c r="K5303" s="549"/>
      <c r="M5303" s="465"/>
      <c r="N5303" s="201"/>
    </row>
    <row r="5304" spans="2:14" hidden="1" outlineLevel="1" x14ac:dyDescent="0.35">
      <c r="B5304" s="200"/>
      <c r="C5304" s="201"/>
      <c r="D5304" s="201"/>
      <c r="E5304" s="201"/>
      <c r="F5304" s="202"/>
      <c r="G5304" s="549"/>
      <c r="H5304" s="549"/>
      <c r="I5304" s="549"/>
      <c r="J5304" s="549"/>
      <c r="K5304" s="549"/>
      <c r="M5304" s="465"/>
      <c r="N5304" s="201"/>
    </row>
    <row r="5305" spans="2:14" hidden="1" outlineLevel="1" x14ac:dyDescent="0.35">
      <c r="B5305" s="200"/>
      <c r="C5305" s="201"/>
      <c r="D5305" s="201"/>
      <c r="E5305" s="201"/>
      <c r="F5305" s="202"/>
      <c r="G5305" s="549"/>
      <c r="H5305" s="549"/>
      <c r="I5305" s="549"/>
      <c r="J5305" s="549"/>
      <c r="K5305" s="549"/>
      <c r="M5305" s="465"/>
      <c r="N5305" s="201"/>
    </row>
    <row r="5306" spans="2:14" hidden="1" outlineLevel="1" x14ac:dyDescent="0.35">
      <c r="B5306" s="200"/>
      <c r="C5306" s="201"/>
      <c r="D5306" s="201"/>
      <c r="E5306" s="201"/>
      <c r="F5306" s="202"/>
      <c r="G5306" s="549"/>
      <c r="H5306" s="549"/>
      <c r="I5306" s="549"/>
      <c r="J5306" s="549"/>
      <c r="K5306" s="549"/>
      <c r="M5306" s="465"/>
      <c r="N5306" s="201"/>
    </row>
    <row r="5307" spans="2:14" hidden="1" outlineLevel="1" x14ac:dyDescent="0.35">
      <c r="B5307" s="200"/>
      <c r="C5307" s="201"/>
      <c r="D5307" s="201"/>
      <c r="E5307" s="201"/>
      <c r="F5307" s="202"/>
      <c r="G5307" s="549"/>
      <c r="H5307" s="549"/>
      <c r="I5307" s="549"/>
      <c r="J5307" s="549"/>
      <c r="K5307" s="549"/>
      <c r="M5307" s="465"/>
      <c r="N5307" s="201"/>
    </row>
    <row r="5308" spans="2:14" hidden="1" outlineLevel="1" x14ac:dyDescent="0.35">
      <c r="B5308" s="200"/>
      <c r="C5308" s="201"/>
      <c r="D5308" s="201"/>
      <c r="E5308" s="201"/>
      <c r="F5308" s="202"/>
      <c r="G5308" s="549"/>
      <c r="H5308" s="549"/>
      <c r="I5308" s="549"/>
      <c r="J5308" s="549"/>
      <c r="K5308" s="549"/>
      <c r="M5308" s="465"/>
      <c r="N5308" s="201"/>
    </row>
    <row r="5309" spans="2:14" hidden="1" outlineLevel="1" x14ac:dyDescent="0.35">
      <c r="B5309" s="200"/>
      <c r="C5309" s="201"/>
      <c r="D5309" s="201"/>
      <c r="E5309" s="201"/>
      <c r="F5309" s="202"/>
      <c r="G5309" s="549"/>
      <c r="H5309" s="549"/>
      <c r="I5309" s="549"/>
      <c r="J5309" s="549"/>
      <c r="K5309" s="549"/>
      <c r="M5309" s="465"/>
      <c r="N5309" s="201"/>
    </row>
    <row r="5310" spans="2:14" hidden="1" outlineLevel="1" x14ac:dyDescent="0.35">
      <c r="B5310" s="200"/>
      <c r="C5310" s="201"/>
      <c r="D5310" s="201"/>
      <c r="E5310" s="201"/>
      <c r="F5310" s="202"/>
      <c r="G5310" s="549"/>
      <c r="H5310" s="549"/>
      <c r="I5310" s="549"/>
      <c r="J5310" s="549"/>
      <c r="K5310" s="549"/>
      <c r="M5310" s="465"/>
      <c r="N5310" s="201"/>
    </row>
    <row r="5311" spans="2:14" hidden="1" outlineLevel="1" x14ac:dyDescent="0.35">
      <c r="B5311" s="200"/>
      <c r="C5311" s="201"/>
      <c r="D5311" s="201"/>
      <c r="E5311" s="201"/>
      <c r="F5311" s="202"/>
      <c r="G5311" s="549"/>
      <c r="H5311" s="549"/>
      <c r="I5311" s="549"/>
      <c r="J5311" s="549"/>
      <c r="K5311" s="549"/>
      <c r="M5311" s="465"/>
      <c r="N5311" s="201"/>
    </row>
    <row r="5312" spans="2:14" hidden="1" outlineLevel="1" x14ac:dyDescent="0.35">
      <c r="B5312" s="200"/>
      <c r="C5312" s="201"/>
      <c r="D5312" s="201"/>
      <c r="E5312" s="201"/>
      <c r="F5312" s="202"/>
      <c r="G5312" s="549"/>
      <c r="H5312" s="549"/>
      <c r="I5312" s="549"/>
      <c r="J5312" s="549"/>
      <c r="K5312" s="549"/>
      <c r="M5312" s="465"/>
      <c r="N5312" s="201"/>
    </row>
    <row r="5313" spans="2:14" hidden="1" outlineLevel="1" x14ac:dyDescent="0.35">
      <c r="B5313" s="200"/>
      <c r="C5313" s="201"/>
      <c r="D5313" s="201"/>
      <c r="E5313" s="201"/>
      <c r="F5313" s="202"/>
      <c r="G5313" s="549"/>
      <c r="H5313" s="549"/>
      <c r="I5313" s="549"/>
      <c r="J5313" s="549"/>
      <c r="K5313" s="549"/>
      <c r="M5313" s="465"/>
      <c r="N5313" s="201"/>
    </row>
    <row r="5314" spans="2:14" hidden="1" outlineLevel="1" x14ac:dyDescent="0.35">
      <c r="B5314" s="200"/>
      <c r="C5314" s="201"/>
      <c r="D5314" s="201"/>
      <c r="E5314" s="201"/>
      <c r="F5314" s="202"/>
      <c r="G5314" s="549"/>
      <c r="H5314" s="549"/>
      <c r="I5314" s="549"/>
      <c r="J5314" s="549"/>
      <c r="K5314" s="549"/>
      <c r="M5314" s="465"/>
      <c r="N5314" s="201"/>
    </row>
    <row r="5315" spans="2:14" hidden="1" outlineLevel="1" x14ac:dyDescent="0.35">
      <c r="B5315" s="200"/>
      <c r="C5315" s="201"/>
      <c r="D5315" s="201"/>
      <c r="E5315" s="201"/>
      <c r="F5315" s="202"/>
      <c r="G5315" s="549"/>
      <c r="H5315" s="549"/>
      <c r="I5315" s="549"/>
      <c r="J5315" s="549"/>
      <c r="K5315" s="549"/>
      <c r="M5315" s="465"/>
      <c r="N5315" s="201"/>
    </row>
    <row r="5316" spans="2:14" hidden="1" outlineLevel="1" x14ac:dyDescent="0.35">
      <c r="B5316" s="200"/>
      <c r="C5316" s="201"/>
      <c r="D5316" s="201"/>
      <c r="E5316" s="201"/>
      <c r="F5316" s="202"/>
      <c r="G5316" s="549"/>
      <c r="H5316" s="549"/>
      <c r="I5316" s="549"/>
      <c r="J5316" s="549"/>
      <c r="K5316" s="549"/>
      <c r="M5316" s="465"/>
      <c r="N5316" s="201"/>
    </row>
    <row r="5317" spans="2:14" hidden="1" outlineLevel="1" x14ac:dyDescent="0.35">
      <c r="B5317" s="200"/>
      <c r="C5317" s="201"/>
      <c r="D5317" s="201"/>
      <c r="E5317" s="201"/>
      <c r="F5317" s="202"/>
      <c r="G5317" s="549"/>
      <c r="H5317" s="549"/>
      <c r="I5317" s="549"/>
      <c r="J5317" s="549"/>
      <c r="K5317" s="549"/>
      <c r="M5317" s="465"/>
      <c r="N5317" s="201"/>
    </row>
    <row r="5318" spans="2:14" hidden="1" outlineLevel="1" x14ac:dyDescent="0.35">
      <c r="B5318" s="200"/>
      <c r="C5318" s="201"/>
      <c r="D5318" s="201"/>
      <c r="E5318" s="201"/>
      <c r="F5318" s="202"/>
      <c r="G5318" s="549"/>
      <c r="H5318" s="549"/>
      <c r="I5318" s="549"/>
      <c r="J5318" s="549"/>
      <c r="K5318" s="549"/>
      <c r="M5318" s="465"/>
      <c r="N5318" s="201"/>
    </row>
    <row r="5319" spans="2:14" hidden="1" outlineLevel="1" x14ac:dyDescent="0.35">
      <c r="B5319" s="200"/>
      <c r="C5319" s="201"/>
      <c r="D5319" s="201"/>
      <c r="E5319" s="201"/>
      <c r="F5319" s="202"/>
      <c r="G5319" s="549"/>
      <c r="H5319" s="549"/>
      <c r="I5319" s="549"/>
      <c r="J5319" s="549"/>
      <c r="K5319" s="549"/>
      <c r="M5319" s="465"/>
      <c r="N5319" s="201"/>
    </row>
    <row r="5320" spans="2:14" hidden="1" outlineLevel="1" x14ac:dyDescent="0.35">
      <c r="B5320" s="200"/>
      <c r="C5320" s="201"/>
      <c r="D5320" s="201"/>
      <c r="E5320" s="201"/>
      <c r="F5320" s="202"/>
      <c r="G5320" s="549"/>
      <c r="H5320" s="549"/>
      <c r="I5320" s="549"/>
      <c r="J5320" s="549"/>
      <c r="K5320" s="549"/>
      <c r="M5320" s="465"/>
      <c r="N5320" s="201"/>
    </row>
    <row r="5321" spans="2:14" hidden="1" outlineLevel="1" x14ac:dyDescent="0.35">
      <c r="B5321" s="200"/>
      <c r="C5321" s="201"/>
      <c r="D5321" s="201"/>
      <c r="E5321" s="201"/>
      <c r="F5321" s="202"/>
      <c r="G5321" s="549"/>
      <c r="H5321" s="549"/>
      <c r="I5321" s="549"/>
      <c r="J5321" s="549"/>
      <c r="K5321" s="549"/>
      <c r="M5321" s="465"/>
      <c r="N5321" s="201"/>
    </row>
    <row r="5322" spans="2:14" hidden="1" outlineLevel="1" x14ac:dyDescent="0.35">
      <c r="B5322" s="200"/>
      <c r="C5322" s="201"/>
      <c r="D5322" s="201"/>
      <c r="E5322" s="201"/>
      <c r="F5322" s="202"/>
      <c r="G5322" s="549"/>
      <c r="H5322" s="549"/>
      <c r="I5322" s="549"/>
      <c r="J5322" s="549"/>
      <c r="K5322" s="549"/>
      <c r="M5322" s="465"/>
      <c r="N5322" s="201"/>
    </row>
    <row r="5323" spans="2:14" hidden="1" outlineLevel="1" x14ac:dyDescent="0.35">
      <c r="B5323" s="200"/>
      <c r="C5323" s="201"/>
      <c r="D5323" s="201"/>
      <c r="E5323" s="201"/>
      <c r="F5323" s="202"/>
      <c r="G5323" s="549"/>
      <c r="H5323" s="549"/>
      <c r="I5323" s="549"/>
      <c r="J5323" s="549"/>
      <c r="K5323" s="549"/>
      <c r="M5323" s="465"/>
      <c r="N5323" s="201"/>
    </row>
    <row r="5324" spans="2:14" hidden="1" outlineLevel="1" x14ac:dyDescent="0.35">
      <c r="B5324" s="200"/>
      <c r="C5324" s="201"/>
      <c r="D5324" s="201"/>
      <c r="E5324" s="201"/>
      <c r="F5324" s="202"/>
      <c r="G5324" s="549"/>
      <c r="H5324" s="549"/>
      <c r="I5324" s="549"/>
      <c r="J5324" s="549"/>
      <c r="K5324" s="549"/>
      <c r="M5324" s="465"/>
      <c r="N5324" s="201"/>
    </row>
    <row r="5325" spans="2:14" hidden="1" outlineLevel="1" x14ac:dyDescent="0.35">
      <c r="B5325" s="200"/>
      <c r="C5325" s="201"/>
      <c r="D5325" s="201"/>
      <c r="E5325" s="201"/>
      <c r="F5325" s="202"/>
      <c r="G5325" s="549"/>
      <c r="H5325" s="549"/>
      <c r="I5325" s="549"/>
      <c r="J5325" s="549"/>
      <c r="K5325" s="549"/>
      <c r="M5325" s="465"/>
      <c r="N5325" s="201"/>
    </row>
    <row r="5326" spans="2:14" hidden="1" outlineLevel="1" x14ac:dyDescent="0.35">
      <c r="B5326" s="200"/>
      <c r="C5326" s="201"/>
      <c r="D5326" s="201"/>
      <c r="E5326" s="201"/>
      <c r="F5326" s="202"/>
      <c r="G5326" s="549"/>
      <c r="H5326" s="549"/>
      <c r="I5326" s="549"/>
      <c r="J5326" s="549"/>
      <c r="K5326" s="549"/>
      <c r="M5326" s="465"/>
      <c r="N5326" s="201"/>
    </row>
    <row r="5327" spans="2:14" hidden="1" outlineLevel="1" x14ac:dyDescent="0.35">
      <c r="B5327" s="200"/>
      <c r="C5327" s="201"/>
      <c r="D5327" s="201"/>
      <c r="E5327" s="201"/>
      <c r="F5327" s="202"/>
      <c r="G5327" s="549"/>
      <c r="H5327" s="549"/>
      <c r="I5327" s="549"/>
      <c r="J5327" s="549"/>
      <c r="K5327" s="549"/>
      <c r="M5327" s="465"/>
      <c r="N5327" s="201"/>
    </row>
    <row r="5328" spans="2:14" hidden="1" outlineLevel="1" x14ac:dyDescent="0.35">
      <c r="B5328" s="200"/>
      <c r="C5328" s="201"/>
      <c r="D5328" s="201"/>
      <c r="E5328" s="201"/>
      <c r="F5328" s="202"/>
      <c r="G5328" s="549"/>
      <c r="H5328" s="549"/>
      <c r="I5328" s="549"/>
      <c r="J5328" s="549"/>
      <c r="K5328" s="549"/>
      <c r="M5328" s="465"/>
      <c r="N5328" s="201"/>
    </row>
    <row r="5329" spans="2:14" hidden="1" outlineLevel="1" x14ac:dyDescent="0.35">
      <c r="B5329" s="200"/>
      <c r="C5329" s="201"/>
      <c r="D5329" s="201"/>
      <c r="E5329" s="201"/>
      <c r="F5329" s="202"/>
      <c r="G5329" s="549"/>
      <c r="H5329" s="549"/>
      <c r="I5329" s="549"/>
      <c r="J5329" s="549"/>
      <c r="K5329" s="549"/>
      <c r="M5329" s="465"/>
      <c r="N5329" s="201"/>
    </row>
    <row r="5330" spans="2:14" hidden="1" outlineLevel="1" x14ac:dyDescent="0.35">
      <c r="B5330" s="200"/>
      <c r="C5330" s="201"/>
      <c r="D5330" s="201"/>
      <c r="E5330" s="201"/>
      <c r="F5330" s="202"/>
      <c r="G5330" s="549"/>
      <c r="H5330" s="549"/>
      <c r="I5330" s="549"/>
      <c r="J5330" s="549"/>
      <c r="K5330" s="549"/>
      <c r="M5330" s="465"/>
      <c r="N5330" s="201"/>
    </row>
    <row r="5331" spans="2:14" hidden="1" outlineLevel="1" x14ac:dyDescent="0.35">
      <c r="B5331" s="200"/>
      <c r="C5331" s="201"/>
      <c r="D5331" s="201"/>
      <c r="E5331" s="201"/>
      <c r="F5331" s="202"/>
      <c r="G5331" s="549"/>
      <c r="H5331" s="549"/>
      <c r="I5331" s="549"/>
      <c r="J5331" s="549"/>
      <c r="K5331" s="549"/>
      <c r="M5331" s="465"/>
      <c r="N5331" s="201"/>
    </row>
    <row r="5332" spans="2:14" hidden="1" outlineLevel="1" x14ac:dyDescent="0.35">
      <c r="B5332" s="200"/>
      <c r="C5332" s="201"/>
      <c r="D5332" s="201"/>
      <c r="E5332" s="201"/>
      <c r="F5332" s="202"/>
      <c r="G5332" s="549"/>
      <c r="H5332" s="549"/>
      <c r="I5332" s="549"/>
      <c r="J5332" s="549"/>
      <c r="K5332" s="549"/>
      <c r="M5332" s="465"/>
      <c r="N5332" s="201"/>
    </row>
    <row r="5333" spans="2:14" hidden="1" outlineLevel="1" x14ac:dyDescent="0.35">
      <c r="B5333" s="200"/>
      <c r="C5333" s="201"/>
      <c r="D5333" s="201"/>
      <c r="E5333" s="201"/>
      <c r="F5333" s="202"/>
      <c r="G5333" s="549"/>
      <c r="H5333" s="549"/>
      <c r="I5333" s="549"/>
      <c r="J5333" s="549"/>
      <c r="K5333" s="549"/>
      <c r="M5333" s="465"/>
      <c r="N5333" s="201"/>
    </row>
    <row r="5334" spans="2:14" hidden="1" outlineLevel="1" x14ac:dyDescent="0.35">
      <c r="B5334" s="200"/>
      <c r="C5334" s="201"/>
      <c r="D5334" s="201"/>
      <c r="E5334" s="201"/>
      <c r="F5334" s="202"/>
      <c r="G5334" s="549"/>
      <c r="H5334" s="549"/>
      <c r="I5334" s="549"/>
      <c r="J5334" s="549"/>
      <c r="K5334" s="549"/>
      <c r="M5334" s="465"/>
      <c r="N5334" s="201"/>
    </row>
    <row r="5335" spans="2:14" hidden="1" outlineLevel="1" x14ac:dyDescent="0.35">
      <c r="B5335" s="200"/>
      <c r="C5335" s="201"/>
      <c r="D5335" s="201"/>
      <c r="E5335" s="201"/>
      <c r="F5335" s="202"/>
      <c r="G5335" s="549"/>
      <c r="H5335" s="549"/>
      <c r="I5335" s="549"/>
      <c r="J5335" s="549"/>
      <c r="K5335" s="549"/>
      <c r="M5335" s="465"/>
      <c r="N5335" s="201"/>
    </row>
    <row r="5336" spans="2:14" hidden="1" outlineLevel="1" x14ac:dyDescent="0.35">
      <c r="B5336" s="200"/>
      <c r="C5336" s="201"/>
      <c r="D5336" s="201"/>
      <c r="E5336" s="201"/>
      <c r="F5336" s="202"/>
      <c r="G5336" s="549"/>
      <c r="H5336" s="549"/>
      <c r="I5336" s="549"/>
      <c r="J5336" s="549"/>
      <c r="K5336" s="549"/>
      <c r="M5336" s="465"/>
      <c r="N5336" s="201"/>
    </row>
    <row r="5337" spans="2:14" hidden="1" outlineLevel="1" x14ac:dyDescent="0.35">
      <c r="B5337" s="200"/>
      <c r="C5337" s="201"/>
      <c r="D5337" s="201"/>
      <c r="E5337" s="201"/>
      <c r="F5337" s="202"/>
      <c r="G5337" s="549"/>
      <c r="H5337" s="549"/>
      <c r="I5337" s="549"/>
      <c r="J5337" s="549"/>
      <c r="K5337" s="549"/>
      <c r="M5337" s="465"/>
      <c r="N5337" s="201"/>
    </row>
    <row r="5338" spans="2:14" hidden="1" outlineLevel="1" x14ac:dyDescent="0.35">
      <c r="B5338" s="200"/>
      <c r="C5338" s="201"/>
      <c r="D5338" s="201"/>
      <c r="E5338" s="201"/>
      <c r="F5338" s="202"/>
      <c r="G5338" s="549"/>
      <c r="H5338" s="549"/>
      <c r="I5338" s="549"/>
      <c r="J5338" s="549"/>
      <c r="K5338" s="549"/>
      <c r="M5338" s="465"/>
      <c r="N5338" s="201"/>
    </row>
    <row r="5339" spans="2:14" hidden="1" outlineLevel="1" x14ac:dyDescent="0.35">
      <c r="B5339" s="200"/>
      <c r="C5339" s="201"/>
      <c r="D5339" s="201"/>
      <c r="E5339" s="201"/>
      <c r="F5339" s="202"/>
      <c r="G5339" s="549"/>
      <c r="H5339" s="549"/>
      <c r="I5339" s="549"/>
      <c r="J5339" s="549"/>
      <c r="K5339" s="549"/>
      <c r="M5339" s="465"/>
      <c r="N5339" s="201"/>
    </row>
    <row r="5340" spans="2:14" hidden="1" outlineLevel="1" x14ac:dyDescent="0.35">
      <c r="B5340" s="200"/>
      <c r="C5340" s="201"/>
      <c r="D5340" s="201"/>
      <c r="E5340" s="201"/>
      <c r="F5340" s="202"/>
      <c r="G5340" s="549"/>
      <c r="H5340" s="549"/>
      <c r="I5340" s="549"/>
      <c r="J5340" s="549"/>
      <c r="K5340" s="549"/>
      <c r="M5340" s="465"/>
      <c r="N5340" s="201"/>
    </row>
    <row r="5341" spans="2:14" hidden="1" outlineLevel="1" x14ac:dyDescent="0.35">
      <c r="B5341" s="200"/>
      <c r="C5341" s="201"/>
      <c r="D5341" s="201"/>
      <c r="E5341" s="201"/>
      <c r="F5341" s="202"/>
      <c r="G5341" s="549"/>
      <c r="H5341" s="549"/>
      <c r="I5341" s="549"/>
      <c r="J5341" s="549"/>
      <c r="K5341" s="549"/>
      <c r="M5341" s="465"/>
      <c r="N5341" s="201"/>
    </row>
    <row r="5342" spans="2:14" hidden="1" outlineLevel="1" x14ac:dyDescent="0.35">
      <c r="B5342" s="200"/>
      <c r="C5342" s="201"/>
      <c r="D5342" s="201"/>
      <c r="E5342" s="201"/>
      <c r="F5342" s="202"/>
      <c r="G5342" s="549"/>
      <c r="H5342" s="549"/>
      <c r="I5342" s="549"/>
      <c r="J5342" s="549"/>
      <c r="K5342" s="549"/>
      <c r="M5342" s="465"/>
      <c r="N5342" s="201"/>
    </row>
    <row r="5343" spans="2:14" hidden="1" outlineLevel="1" x14ac:dyDescent="0.35">
      <c r="B5343" s="200"/>
      <c r="C5343" s="201"/>
      <c r="D5343" s="201"/>
      <c r="E5343" s="201"/>
      <c r="F5343" s="202"/>
      <c r="G5343" s="549"/>
      <c r="H5343" s="549"/>
      <c r="I5343" s="549"/>
      <c r="J5343" s="549"/>
      <c r="K5343" s="549"/>
      <c r="M5343" s="465"/>
      <c r="N5343" s="201"/>
    </row>
    <row r="5344" spans="2:14" hidden="1" outlineLevel="1" x14ac:dyDescent="0.35">
      <c r="B5344" s="200"/>
      <c r="C5344" s="201"/>
      <c r="D5344" s="201"/>
      <c r="E5344" s="201"/>
      <c r="F5344" s="202"/>
      <c r="G5344" s="549"/>
      <c r="H5344" s="549"/>
      <c r="I5344" s="549"/>
      <c r="J5344" s="549"/>
      <c r="K5344" s="549"/>
      <c r="M5344" s="465"/>
      <c r="N5344" s="201"/>
    </row>
    <row r="5345" spans="2:14" hidden="1" outlineLevel="1" x14ac:dyDescent="0.35">
      <c r="B5345" s="200"/>
      <c r="C5345" s="201"/>
      <c r="D5345" s="201"/>
      <c r="E5345" s="201"/>
      <c r="F5345" s="202"/>
      <c r="G5345" s="549"/>
      <c r="H5345" s="549"/>
      <c r="I5345" s="549"/>
      <c r="J5345" s="549"/>
      <c r="K5345" s="549"/>
      <c r="M5345" s="465"/>
      <c r="N5345" s="201"/>
    </row>
    <row r="5346" spans="2:14" hidden="1" outlineLevel="1" x14ac:dyDescent="0.35">
      <c r="B5346" s="200"/>
      <c r="C5346" s="201"/>
      <c r="D5346" s="201"/>
      <c r="E5346" s="201"/>
      <c r="F5346" s="202"/>
      <c r="G5346" s="549"/>
      <c r="H5346" s="549"/>
      <c r="I5346" s="549"/>
      <c r="J5346" s="549"/>
      <c r="K5346" s="549"/>
      <c r="M5346" s="465"/>
      <c r="N5346" s="201"/>
    </row>
    <row r="5347" spans="2:14" hidden="1" outlineLevel="1" x14ac:dyDescent="0.35">
      <c r="B5347" s="200"/>
      <c r="C5347" s="201"/>
      <c r="D5347" s="201"/>
      <c r="E5347" s="201"/>
      <c r="F5347" s="202"/>
      <c r="G5347" s="549"/>
      <c r="H5347" s="549"/>
      <c r="I5347" s="549"/>
      <c r="J5347" s="549"/>
      <c r="K5347" s="549"/>
      <c r="M5347" s="465"/>
      <c r="N5347" s="201"/>
    </row>
    <row r="5348" spans="2:14" hidden="1" outlineLevel="1" x14ac:dyDescent="0.35">
      <c r="B5348" s="200"/>
      <c r="C5348" s="201"/>
      <c r="D5348" s="201"/>
      <c r="E5348" s="201"/>
      <c r="F5348" s="202"/>
      <c r="G5348" s="549"/>
      <c r="H5348" s="549"/>
      <c r="I5348" s="549"/>
      <c r="J5348" s="549"/>
      <c r="K5348" s="549"/>
      <c r="M5348" s="465"/>
      <c r="N5348" s="201"/>
    </row>
    <row r="5349" spans="2:14" hidden="1" outlineLevel="1" x14ac:dyDescent="0.35">
      <c r="B5349" s="200"/>
      <c r="C5349" s="201"/>
      <c r="D5349" s="201"/>
      <c r="E5349" s="201"/>
      <c r="F5349" s="202"/>
      <c r="G5349" s="549"/>
      <c r="H5349" s="549"/>
      <c r="I5349" s="549"/>
      <c r="J5349" s="549"/>
      <c r="K5349" s="549"/>
      <c r="M5349" s="465"/>
      <c r="N5349" s="201"/>
    </row>
    <row r="5350" spans="2:14" hidden="1" outlineLevel="1" x14ac:dyDescent="0.35">
      <c r="B5350" s="200"/>
      <c r="C5350" s="201"/>
      <c r="D5350" s="201"/>
      <c r="E5350" s="201"/>
      <c r="F5350" s="202"/>
      <c r="G5350" s="549"/>
      <c r="H5350" s="549"/>
      <c r="I5350" s="549"/>
      <c r="J5350" s="549"/>
      <c r="K5350" s="549"/>
      <c r="M5350" s="465"/>
      <c r="N5350" s="201"/>
    </row>
    <row r="5351" spans="2:14" hidden="1" outlineLevel="1" x14ac:dyDescent="0.35">
      <c r="B5351" s="200"/>
      <c r="C5351" s="201"/>
      <c r="D5351" s="201"/>
      <c r="E5351" s="201"/>
      <c r="F5351" s="202"/>
      <c r="G5351" s="549"/>
      <c r="H5351" s="549"/>
      <c r="I5351" s="549"/>
      <c r="J5351" s="549"/>
      <c r="K5351" s="549"/>
      <c r="M5351" s="465"/>
      <c r="N5351" s="201"/>
    </row>
    <row r="5352" spans="2:14" hidden="1" outlineLevel="1" x14ac:dyDescent="0.35">
      <c r="B5352" s="200"/>
      <c r="C5352" s="201"/>
      <c r="D5352" s="201"/>
      <c r="E5352" s="201"/>
      <c r="F5352" s="202"/>
      <c r="G5352" s="549"/>
      <c r="H5352" s="549"/>
      <c r="I5352" s="549"/>
      <c r="J5352" s="549"/>
      <c r="K5352" s="549"/>
      <c r="M5352" s="465"/>
      <c r="N5352" s="201"/>
    </row>
    <row r="5353" spans="2:14" hidden="1" outlineLevel="1" x14ac:dyDescent="0.35">
      <c r="B5353" s="200"/>
      <c r="C5353" s="201"/>
      <c r="D5353" s="201"/>
      <c r="E5353" s="201"/>
      <c r="F5353" s="202"/>
      <c r="G5353" s="549"/>
      <c r="H5353" s="549"/>
      <c r="I5353" s="549"/>
      <c r="J5353" s="549"/>
      <c r="K5353" s="549"/>
      <c r="M5353" s="465"/>
      <c r="N5353" s="201"/>
    </row>
    <row r="5354" spans="2:14" hidden="1" outlineLevel="1" x14ac:dyDescent="0.35">
      <c r="B5354" s="200"/>
      <c r="C5354" s="201"/>
      <c r="D5354" s="201"/>
      <c r="E5354" s="201"/>
      <c r="F5354" s="202"/>
      <c r="G5354" s="549"/>
      <c r="H5354" s="549"/>
      <c r="I5354" s="549"/>
      <c r="J5354" s="549"/>
      <c r="K5354" s="549"/>
      <c r="M5354" s="465"/>
      <c r="N5354" s="201"/>
    </row>
    <row r="5355" spans="2:14" hidden="1" outlineLevel="1" x14ac:dyDescent="0.35">
      <c r="B5355" s="200"/>
      <c r="C5355" s="201"/>
      <c r="D5355" s="201"/>
      <c r="E5355" s="201"/>
      <c r="F5355" s="202"/>
      <c r="G5355" s="549"/>
      <c r="H5355" s="549"/>
      <c r="I5355" s="549"/>
      <c r="J5355" s="549"/>
      <c r="K5355" s="549"/>
      <c r="M5355" s="465"/>
      <c r="N5355" s="201"/>
    </row>
    <row r="5356" spans="2:14" hidden="1" outlineLevel="1" x14ac:dyDescent="0.35">
      <c r="B5356" s="200"/>
      <c r="C5356" s="201"/>
      <c r="D5356" s="201"/>
      <c r="E5356" s="201"/>
      <c r="F5356" s="202"/>
      <c r="G5356" s="549"/>
      <c r="H5356" s="549"/>
      <c r="I5356" s="549"/>
      <c r="J5356" s="549"/>
      <c r="K5356" s="549"/>
      <c r="M5356" s="465"/>
      <c r="N5356" s="201"/>
    </row>
    <row r="5357" spans="2:14" hidden="1" outlineLevel="1" x14ac:dyDescent="0.35">
      <c r="B5357" s="200"/>
      <c r="C5357" s="201"/>
      <c r="D5357" s="201"/>
      <c r="E5357" s="201"/>
      <c r="F5357" s="202"/>
      <c r="G5357" s="549"/>
      <c r="H5357" s="549"/>
      <c r="I5357" s="549"/>
      <c r="J5357" s="549"/>
      <c r="K5357" s="549"/>
      <c r="M5357" s="465"/>
      <c r="N5357" s="201"/>
    </row>
    <row r="5358" spans="2:14" hidden="1" outlineLevel="1" x14ac:dyDescent="0.35">
      <c r="B5358" s="200"/>
      <c r="C5358" s="201"/>
      <c r="D5358" s="201"/>
      <c r="E5358" s="201"/>
      <c r="F5358" s="202"/>
      <c r="G5358" s="549"/>
      <c r="H5358" s="549"/>
      <c r="I5358" s="549"/>
      <c r="J5358" s="549"/>
      <c r="K5358" s="549"/>
      <c r="M5358" s="465"/>
      <c r="N5358" s="201"/>
    </row>
    <row r="5359" spans="2:14" hidden="1" outlineLevel="1" x14ac:dyDescent="0.35">
      <c r="B5359" s="200"/>
      <c r="C5359" s="201"/>
      <c r="D5359" s="201"/>
      <c r="E5359" s="201"/>
      <c r="F5359" s="202"/>
      <c r="G5359" s="549"/>
      <c r="H5359" s="549"/>
      <c r="I5359" s="549"/>
      <c r="J5359" s="549"/>
      <c r="K5359" s="549"/>
      <c r="M5359" s="465"/>
      <c r="N5359" s="201"/>
    </row>
    <row r="5360" spans="2:14" hidden="1" outlineLevel="1" x14ac:dyDescent="0.35">
      <c r="B5360" s="200"/>
      <c r="C5360" s="201"/>
      <c r="D5360" s="201"/>
      <c r="E5360" s="201"/>
      <c r="F5360" s="202"/>
      <c r="G5360" s="549"/>
      <c r="H5360" s="549"/>
      <c r="I5360" s="549"/>
      <c r="J5360" s="549"/>
      <c r="K5360" s="549"/>
      <c r="M5360" s="465"/>
      <c r="N5360" s="201"/>
    </row>
    <row r="5361" spans="2:14" hidden="1" outlineLevel="1" x14ac:dyDescent="0.35">
      <c r="B5361" s="200"/>
      <c r="C5361" s="201"/>
      <c r="D5361" s="201"/>
      <c r="E5361" s="201"/>
      <c r="F5361" s="202"/>
      <c r="G5361" s="549"/>
      <c r="H5361" s="549"/>
      <c r="I5361" s="549"/>
      <c r="J5361" s="549"/>
      <c r="K5361" s="549"/>
      <c r="M5361" s="465"/>
      <c r="N5361" s="201"/>
    </row>
    <row r="5362" spans="2:14" hidden="1" outlineLevel="1" x14ac:dyDescent="0.35">
      <c r="B5362" s="200"/>
      <c r="C5362" s="201"/>
      <c r="D5362" s="201"/>
      <c r="E5362" s="201"/>
      <c r="F5362" s="202"/>
      <c r="G5362" s="549"/>
      <c r="H5362" s="549"/>
      <c r="I5362" s="549"/>
      <c r="J5362" s="549"/>
      <c r="K5362" s="549"/>
      <c r="M5362" s="465"/>
      <c r="N5362" s="201"/>
    </row>
    <row r="5363" spans="2:14" hidden="1" outlineLevel="1" x14ac:dyDescent="0.35">
      <c r="B5363" s="200"/>
      <c r="C5363" s="201"/>
      <c r="D5363" s="201"/>
      <c r="E5363" s="201"/>
      <c r="F5363" s="202"/>
      <c r="G5363" s="549"/>
      <c r="H5363" s="549"/>
      <c r="I5363" s="549"/>
      <c r="J5363" s="549"/>
      <c r="K5363" s="549"/>
      <c r="M5363" s="465"/>
      <c r="N5363" s="201"/>
    </row>
    <row r="5364" spans="2:14" hidden="1" outlineLevel="1" x14ac:dyDescent="0.35">
      <c r="B5364" s="200"/>
      <c r="C5364" s="201"/>
      <c r="D5364" s="201"/>
      <c r="E5364" s="201"/>
      <c r="F5364" s="202"/>
      <c r="G5364" s="549"/>
      <c r="H5364" s="549"/>
      <c r="I5364" s="549"/>
      <c r="J5364" s="549"/>
      <c r="K5364" s="549"/>
      <c r="M5364" s="465"/>
      <c r="N5364" s="201"/>
    </row>
    <row r="5365" spans="2:14" hidden="1" outlineLevel="1" x14ac:dyDescent="0.35">
      <c r="B5365" s="200"/>
      <c r="C5365" s="201"/>
      <c r="D5365" s="201"/>
      <c r="E5365" s="201"/>
      <c r="F5365" s="202"/>
      <c r="G5365" s="549"/>
      <c r="H5365" s="549"/>
      <c r="I5365" s="549"/>
      <c r="J5365" s="549"/>
      <c r="K5365" s="549"/>
      <c r="M5365" s="465"/>
      <c r="N5365" s="201"/>
    </row>
    <row r="5366" spans="2:14" hidden="1" outlineLevel="1" x14ac:dyDescent="0.35">
      <c r="B5366" s="200"/>
      <c r="C5366" s="201"/>
      <c r="D5366" s="201"/>
      <c r="E5366" s="201"/>
      <c r="F5366" s="202"/>
      <c r="G5366" s="549"/>
      <c r="H5366" s="549"/>
      <c r="I5366" s="549"/>
      <c r="J5366" s="549"/>
      <c r="K5366" s="549"/>
      <c r="M5366" s="465"/>
      <c r="N5366" s="201"/>
    </row>
    <row r="5367" spans="2:14" hidden="1" outlineLevel="1" x14ac:dyDescent="0.35">
      <c r="B5367" s="200"/>
      <c r="C5367" s="201"/>
      <c r="D5367" s="201"/>
      <c r="E5367" s="201"/>
      <c r="F5367" s="202"/>
      <c r="G5367" s="549"/>
      <c r="H5367" s="549"/>
      <c r="I5367" s="549"/>
      <c r="J5367" s="549"/>
      <c r="K5367" s="549"/>
      <c r="M5367" s="465"/>
      <c r="N5367" s="201"/>
    </row>
    <row r="5368" spans="2:14" hidden="1" outlineLevel="1" x14ac:dyDescent="0.35">
      <c r="B5368" s="200"/>
      <c r="C5368" s="201"/>
      <c r="D5368" s="201"/>
      <c r="E5368" s="201"/>
      <c r="F5368" s="202"/>
      <c r="G5368" s="549"/>
      <c r="H5368" s="549"/>
      <c r="I5368" s="549"/>
      <c r="J5368" s="549"/>
      <c r="K5368" s="549"/>
      <c r="M5368" s="465"/>
      <c r="N5368" s="201"/>
    </row>
    <row r="5369" spans="2:14" hidden="1" outlineLevel="1" x14ac:dyDescent="0.35">
      <c r="B5369" s="200"/>
      <c r="C5369" s="201"/>
      <c r="D5369" s="201"/>
      <c r="E5369" s="201"/>
      <c r="F5369" s="202"/>
      <c r="G5369" s="549"/>
      <c r="H5369" s="549"/>
      <c r="I5369" s="549"/>
      <c r="J5369" s="549"/>
      <c r="K5369" s="549"/>
      <c r="M5369" s="465"/>
      <c r="N5369" s="201"/>
    </row>
    <row r="5370" spans="2:14" hidden="1" outlineLevel="1" x14ac:dyDescent="0.35">
      <c r="B5370" s="200"/>
      <c r="C5370" s="201"/>
      <c r="D5370" s="201"/>
      <c r="E5370" s="201"/>
      <c r="F5370" s="202"/>
      <c r="G5370" s="549"/>
      <c r="H5370" s="549"/>
      <c r="I5370" s="549"/>
      <c r="J5370" s="549"/>
      <c r="K5370" s="549"/>
      <c r="M5370" s="465"/>
      <c r="N5370" s="201"/>
    </row>
    <row r="5371" spans="2:14" hidden="1" outlineLevel="1" x14ac:dyDescent="0.35">
      <c r="B5371" s="200"/>
      <c r="C5371" s="201"/>
      <c r="D5371" s="201"/>
      <c r="E5371" s="201"/>
      <c r="F5371" s="202"/>
      <c r="G5371" s="549"/>
      <c r="H5371" s="549"/>
      <c r="I5371" s="549"/>
      <c r="J5371" s="549"/>
      <c r="K5371" s="549"/>
      <c r="M5371" s="465"/>
      <c r="N5371" s="201"/>
    </row>
    <row r="5372" spans="2:14" hidden="1" outlineLevel="1" x14ac:dyDescent="0.35">
      <c r="B5372" s="200"/>
      <c r="C5372" s="201"/>
      <c r="D5372" s="201"/>
      <c r="E5372" s="201"/>
      <c r="F5372" s="202"/>
      <c r="G5372" s="549"/>
      <c r="H5372" s="549"/>
      <c r="I5372" s="549"/>
      <c r="J5372" s="549"/>
      <c r="K5372" s="549"/>
      <c r="M5372" s="465"/>
      <c r="N5372" s="201"/>
    </row>
    <row r="5373" spans="2:14" hidden="1" outlineLevel="1" x14ac:dyDescent="0.35">
      <c r="B5373" s="200"/>
      <c r="C5373" s="201"/>
      <c r="D5373" s="201"/>
      <c r="E5373" s="201"/>
      <c r="F5373" s="202"/>
      <c r="G5373" s="549"/>
      <c r="H5373" s="549"/>
      <c r="I5373" s="549"/>
      <c r="J5373" s="549"/>
      <c r="K5373" s="549"/>
      <c r="M5373" s="465"/>
      <c r="N5373" s="201"/>
    </row>
    <row r="5374" spans="2:14" hidden="1" outlineLevel="1" x14ac:dyDescent="0.35">
      <c r="B5374" s="200"/>
      <c r="C5374" s="201"/>
      <c r="D5374" s="201"/>
      <c r="E5374" s="201"/>
      <c r="F5374" s="202"/>
      <c r="G5374" s="549"/>
      <c r="H5374" s="549"/>
      <c r="I5374" s="549"/>
      <c r="J5374" s="549"/>
      <c r="K5374" s="549"/>
      <c r="M5374" s="465"/>
      <c r="N5374" s="201"/>
    </row>
    <row r="5375" spans="2:14" hidden="1" outlineLevel="1" x14ac:dyDescent="0.35">
      <c r="B5375" s="200"/>
      <c r="C5375" s="201"/>
      <c r="D5375" s="201"/>
      <c r="E5375" s="201"/>
      <c r="F5375" s="202"/>
      <c r="G5375" s="549"/>
      <c r="H5375" s="549"/>
      <c r="I5375" s="549"/>
      <c r="J5375" s="549"/>
      <c r="K5375" s="549"/>
      <c r="M5375" s="465"/>
      <c r="N5375" s="201"/>
    </row>
    <row r="5376" spans="2:14" hidden="1" outlineLevel="1" x14ac:dyDescent="0.35">
      <c r="B5376" s="200"/>
      <c r="C5376" s="201"/>
      <c r="D5376" s="201"/>
      <c r="E5376" s="201"/>
      <c r="F5376" s="202"/>
      <c r="G5376" s="549"/>
      <c r="H5376" s="549"/>
      <c r="I5376" s="549"/>
      <c r="J5376" s="549"/>
      <c r="K5376" s="549"/>
      <c r="M5376" s="465"/>
      <c r="N5376" s="201"/>
    </row>
    <row r="5377" spans="2:14" hidden="1" outlineLevel="1" x14ac:dyDescent="0.35">
      <c r="B5377" s="200"/>
      <c r="C5377" s="201"/>
      <c r="D5377" s="201"/>
      <c r="E5377" s="201"/>
      <c r="F5377" s="202"/>
      <c r="G5377" s="549"/>
      <c r="H5377" s="549"/>
      <c r="I5377" s="549"/>
      <c r="J5377" s="549"/>
      <c r="K5377" s="549"/>
      <c r="M5377" s="465"/>
      <c r="N5377" s="201"/>
    </row>
    <row r="5378" spans="2:14" hidden="1" outlineLevel="1" x14ac:dyDescent="0.35">
      <c r="B5378" s="200"/>
      <c r="C5378" s="201"/>
      <c r="D5378" s="201"/>
      <c r="E5378" s="201"/>
      <c r="F5378" s="202"/>
      <c r="G5378" s="549"/>
      <c r="H5378" s="549"/>
      <c r="I5378" s="549"/>
      <c r="J5378" s="549"/>
      <c r="K5378" s="549"/>
      <c r="M5378" s="465"/>
      <c r="N5378" s="201"/>
    </row>
    <row r="5379" spans="2:14" hidden="1" outlineLevel="1" x14ac:dyDescent="0.35">
      <c r="B5379" s="200"/>
      <c r="C5379" s="201"/>
      <c r="D5379" s="201"/>
      <c r="E5379" s="201"/>
      <c r="F5379" s="202"/>
      <c r="G5379" s="549"/>
      <c r="H5379" s="549"/>
      <c r="I5379" s="549"/>
      <c r="J5379" s="549"/>
      <c r="K5379" s="549"/>
      <c r="M5379" s="465"/>
      <c r="N5379" s="201"/>
    </row>
    <row r="5380" spans="2:14" hidden="1" outlineLevel="1" x14ac:dyDescent="0.35">
      <c r="B5380" s="200"/>
      <c r="C5380" s="201"/>
      <c r="D5380" s="201"/>
      <c r="E5380" s="201"/>
      <c r="F5380" s="202"/>
      <c r="G5380" s="549"/>
      <c r="H5380" s="549"/>
      <c r="I5380" s="549"/>
      <c r="J5380" s="549"/>
      <c r="K5380" s="549"/>
      <c r="M5380" s="465"/>
      <c r="N5380" s="201"/>
    </row>
    <row r="5381" spans="2:14" hidden="1" outlineLevel="1" x14ac:dyDescent="0.35">
      <c r="B5381" s="200"/>
      <c r="C5381" s="201"/>
      <c r="D5381" s="201"/>
      <c r="E5381" s="201"/>
      <c r="F5381" s="202"/>
      <c r="G5381" s="549"/>
      <c r="H5381" s="549"/>
      <c r="I5381" s="549"/>
      <c r="J5381" s="549"/>
      <c r="K5381" s="549"/>
      <c r="M5381" s="465"/>
      <c r="N5381" s="201"/>
    </row>
    <row r="5382" spans="2:14" hidden="1" outlineLevel="1" x14ac:dyDescent="0.35">
      <c r="B5382" s="200"/>
      <c r="C5382" s="201"/>
      <c r="D5382" s="201"/>
      <c r="E5382" s="201"/>
      <c r="F5382" s="202"/>
      <c r="G5382" s="549"/>
      <c r="H5382" s="549"/>
      <c r="I5382" s="549"/>
      <c r="J5382" s="549"/>
      <c r="K5382" s="549"/>
      <c r="M5382" s="465"/>
      <c r="N5382" s="201"/>
    </row>
    <row r="5383" spans="2:14" hidden="1" outlineLevel="1" x14ac:dyDescent="0.35">
      <c r="B5383" s="200"/>
      <c r="C5383" s="201"/>
      <c r="D5383" s="201"/>
      <c r="E5383" s="201"/>
      <c r="F5383" s="202"/>
      <c r="G5383" s="549"/>
      <c r="H5383" s="549"/>
      <c r="I5383" s="549"/>
      <c r="J5383" s="549"/>
      <c r="K5383" s="549"/>
      <c r="M5383" s="465"/>
      <c r="N5383" s="201"/>
    </row>
    <row r="5384" spans="2:14" hidden="1" outlineLevel="1" x14ac:dyDescent="0.35">
      <c r="B5384" s="200"/>
      <c r="C5384" s="201"/>
      <c r="D5384" s="201"/>
      <c r="E5384" s="201"/>
      <c r="F5384" s="202"/>
      <c r="G5384" s="549"/>
      <c r="H5384" s="549"/>
      <c r="I5384" s="549"/>
      <c r="J5384" s="549"/>
      <c r="K5384" s="549"/>
      <c r="M5384" s="465"/>
      <c r="N5384" s="201"/>
    </row>
    <row r="5385" spans="2:14" hidden="1" outlineLevel="1" x14ac:dyDescent="0.35">
      <c r="B5385" s="200"/>
      <c r="C5385" s="201"/>
      <c r="D5385" s="201"/>
      <c r="E5385" s="201"/>
      <c r="F5385" s="202"/>
      <c r="G5385" s="549"/>
      <c r="H5385" s="549"/>
      <c r="I5385" s="549"/>
      <c r="J5385" s="549"/>
      <c r="K5385" s="549"/>
      <c r="M5385" s="465"/>
      <c r="N5385" s="201"/>
    </row>
    <row r="5386" spans="2:14" hidden="1" outlineLevel="1" x14ac:dyDescent="0.35">
      <c r="B5386" s="200"/>
      <c r="C5386" s="201"/>
      <c r="D5386" s="201"/>
      <c r="E5386" s="201"/>
      <c r="F5386" s="202"/>
      <c r="G5386" s="549"/>
      <c r="H5386" s="549"/>
      <c r="I5386" s="549"/>
      <c r="J5386" s="549"/>
      <c r="K5386" s="549"/>
      <c r="M5386" s="465"/>
      <c r="N5386" s="201"/>
    </row>
    <row r="5387" spans="2:14" hidden="1" outlineLevel="1" x14ac:dyDescent="0.35">
      <c r="B5387" s="200"/>
      <c r="C5387" s="201"/>
      <c r="D5387" s="201"/>
      <c r="E5387" s="201"/>
      <c r="F5387" s="202"/>
      <c r="G5387" s="549"/>
      <c r="H5387" s="549"/>
      <c r="I5387" s="549"/>
      <c r="J5387" s="549"/>
      <c r="K5387" s="549"/>
      <c r="M5387" s="465"/>
      <c r="N5387" s="201"/>
    </row>
    <row r="5388" spans="2:14" hidden="1" outlineLevel="1" x14ac:dyDescent="0.35">
      <c r="B5388" s="200"/>
      <c r="C5388" s="201"/>
      <c r="D5388" s="201"/>
      <c r="E5388" s="201"/>
      <c r="F5388" s="202"/>
      <c r="G5388" s="549"/>
      <c r="H5388" s="549"/>
      <c r="I5388" s="549"/>
      <c r="J5388" s="549"/>
      <c r="K5388" s="549"/>
      <c r="M5388" s="465"/>
      <c r="N5388" s="201"/>
    </row>
    <row r="5389" spans="2:14" hidden="1" outlineLevel="1" x14ac:dyDescent="0.35">
      <c r="B5389" s="200"/>
      <c r="C5389" s="201"/>
      <c r="D5389" s="201"/>
      <c r="E5389" s="201"/>
      <c r="F5389" s="202"/>
      <c r="G5389" s="549"/>
      <c r="H5389" s="549"/>
      <c r="I5389" s="549"/>
      <c r="J5389" s="549"/>
      <c r="K5389" s="549"/>
      <c r="M5389" s="465"/>
      <c r="N5389" s="201"/>
    </row>
    <row r="5390" spans="2:14" hidden="1" outlineLevel="1" x14ac:dyDescent="0.35">
      <c r="B5390" s="200"/>
      <c r="C5390" s="201"/>
      <c r="D5390" s="201"/>
      <c r="E5390" s="201"/>
      <c r="F5390" s="202"/>
      <c r="G5390" s="549"/>
      <c r="H5390" s="549"/>
      <c r="I5390" s="549"/>
      <c r="J5390" s="549"/>
      <c r="K5390" s="549"/>
      <c r="M5390" s="465"/>
      <c r="N5390" s="201"/>
    </row>
    <row r="5391" spans="2:14" hidden="1" outlineLevel="1" x14ac:dyDescent="0.35">
      <c r="B5391" s="200"/>
      <c r="C5391" s="201"/>
      <c r="D5391" s="201"/>
      <c r="E5391" s="201"/>
      <c r="F5391" s="202"/>
      <c r="G5391" s="549"/>
      <c r="H5391" s="549"/>
      <c r="I5391" s="549"/>
      <c r="J5391" s="549"/>
      <c r="K5391" s="549"/>
      <c r="M5391" s="465"/>
      <c r="N5391" s="201"/>
    </row>
    <row r="5392" spans="2:14" hidden="1" outlineLevel="1" x14ac:dyDescent="0.35">
      <c r="B5392" s="200"/>
      <c r="C5392" s="201"/>
      <c r="D5392" s="201"/>
      <c r="E5392" s="201"/>
      <c r="F5392" s="202"/>
      <c r="G5392" s="549"/>
      <c r="H5392" s="549"/>
      <c r="I5392" s="549"/>
      <c r="J5392" s="549"/>
      <c r="K5392" s="549"/>
      <c r="M5392" s="465"/>
      <c r="N5392" s="201"/>
    </row>
    <row r="5393" spans="2:14" hidden="1" outlineLevel="1" x14ac:dyDescent="0.35">
      <c r="B5393" s="200"/>
      <c r="C5393" s="201"/>
      <c r="D5393" s="201"/>
      <c r="E5393" s="201"/>
      <c r="F5393" s="202"/>
      <c r="G5393" s="549"/>
      <c r="H5393" s="549"/>
      <c r="I5393" s="549"/>
      <c r="J5393" s="549"/>
      <c r="K5393" s="549"/>
      <c r="M5393" s="465"/>
      <c r="N5393" s="201"/>
    </row>
    <row r="5394" spans="2:14" hidden="1" outlineLevel="1" x14ac:dyDescent="0.35">
      <c r="B5394" s="200"/>
      <c r="C5394" s="201"/>
      <c r="D5394" s="201"/>
      <c r="E5394" s="201"/>
      <c r="F5394" s="202"/>
      <c r="G5394" s="549"/>
      <c r="H5394" s="549"/>
      <c r="I5394" s="549"/>
      <c r="J5394" s="549"/>
      <c r="K5394" s="549"/>
      <c r="M5394" s="465"/>
      <c r="N5394" s="201"/>
    </row>
    <row r="5395" spans="2:14" hidden="1" outlineLevel="1" x14ac:dyDescent="0.35">
      <c r="B5395" s="200"/>
      <c r="C5395" s="201"/>
      <c r="D5395" s="201"/>
      <c r="E5395" s="201"/>
      <c r="F5395" s="202"/>
      <c r="G5395" s="549"/>
      <c r="H5395" s="549"/>
      <c r="I5395" s="549"/>
      <c r="J5395" s="549"/>
      <c r="K5395" s="549"/>
      <c r="M5395" s="465"/>
      <c r="N5395" s="201"/>
    </row>
    <row r="5396" spans="2:14" hidden="1" outlineLevel="1" x14ac:dyDescent="0.35">
      <c r="B5396" s="200"/>
      <c r="C5396" s="201"/>
      <c r="D5396" s="201"/>
      <c r="E5396" s="201"/>
      <c r="F5396" s="202"/>
      <c r="G5396" s="549"/>
      <c r="H5396" s="549"/>
      <c r="I5396" s="549"/>
      <c r="J5396" s="549"/>
      <c r="K5396" s="549"/>
      <c r="M5396" s="465"/>
      <c r="N5396" s="201"/>
    </row>
    <row r="5397" spans="2:14" hidden="1" outlineLevel="1" x14ac:dyDescent="0.35">
      <c r="B5397" s="200"/>
      <c r="C5397" s="201"/>
      <c r="D5397" s="201"/>
      <c r="E5397" s="201"/>
      <c r="F5397" s="202"/>
      <c r="G5397" s="549"/>
      <c r="H5397" s="549"/>
      <c r="I5397" s="549"/>
      <c r="J5397" s="549"/>
      <c r="K5397" s="549"/>
      <c r="M5397" s="465"/>
      <c r="N5397" s="201"/>
    </row>
    <row r="5398" spans="2:14" hidden="1" outlineLevel="1" x14ac:dyDescent="0.35">
      <c r="B5398" s="200"/>
      <c r="C5398" s="201"/>
      <c r="D5398" s="201"/>
      <c r="E5398" s="201"/>
      <c r="F5398" s="202"/>
      <c r="G5398" s="549"/>
      <c r="H5398" s="549"/>
      <c r="I5398" s="549"/>
      <c r="J5398" s="549"/>
      <c r="K5398" s="549"/>
      <c r="M5398" s="465"/>
      <c r="N5398" s="201"/>
    </row>
    <row r="5399" spans="2:14" hidden="1" outlineLevel="1" x14ac:dyDescent="0.35">
      <c r="B5399" s="200"/>
      <c r="C5399" s="201"/>
      <c r="D5399" s="201"/>
      <c r="E5399" s="201"/>
      <c r="F5399" s="202"/>
      <c r="G5399" s="549"/>
      <c r="H5399" s="549"/>
      <c r="I5399" s="549"/>
      <c r="J5399" s="549"/>
      <c r="K5399" s="549"/>
      <c r="M5399" s="465"/>
      <c r="N5399" s="201"/>
    </row>
    <row r="5400" spans="2:14" hidden="1" outlineLevel="1" x14ac:dyDescent="0.35">
      <c r="B5400" s="200"/>
      <c r="C5400" s="201"/>
      <c r="D5400" s="201"/>
      <c r="E5400" s="201"/>
      <c r="F5400" s="202"/>
      <c r="G5400" s="549"/>
      <c r="H5400" s="549"/>
      <c r="I5400" s="549"/>
      <c r="J5400" s="549"/>
      <c r="K5400" s="549"/>
      <c r="M5400" s="465"/>
      <c r="N5400" s="201"/>
    </row>
    <row r="5401" spans="2:14" hidden="1" outlineLevel="1" x14ac:dyDescent="0.35">
      <c r="B5401" s="200"/>
      <c r="C5401" s="201"/>
      <c r="D5401" s="201"/>
      <c r="E5401" s="201"/>
      <c r="F5401" s="202"/>
      <c r="G5401" s="549"/>
      <c r="H5401" s="549"/>
      <c r="I5401" s="549"/>
      <c r="J5401" s="549"/>
      <c r="K5401" s="549"/>
      <c r="M5401" s="465"/>
      <c r="N5401" s="201"/>
    </row>
    <row r="5402" spans="2:14" hidden="1" outlineLevel="1" x14ac:dyDescent="0.35">
      <c r="B5402" s="200"/>
      <c r="C5402" s="201"/>
      <c r="D5402" s="201"/>
      <c r="E5402" s="201"/>
      <c r="F5402" s="202"/>
      <c r="G5402" s="549"/>
      <c r="H5402" s="549"/>
      <c r="I5402" s="549"/>
      <c r="J5402" s="549"/>
      <c r="K5402" s="549"/>
      <c r="M5402" s="465"/>
      <c r="N5402" s="201"/>
    </row>
    <row r="5403" spans="2:14" hidden="1" outlineLevel="1" x14ac:dyDescent="0.35">
      <c r="B5403" s="200"/>
      <c r="C5403" s="201"/>
      <c r="D5403" s="201"/>
      <c r="E5403" s="201"/>
      <c r="F5403" s="202"/>
      <c r="G5403" s="549"/>
      <c r="H5403" s="549"/>
      <c r="I5403" s="549"/>
      <c r="J5403" s="549"/>
      <c r="K5403" s="549"/>
      <c r="M5403" s="465"/>
      <c r="N5403" s="201"/>
    </row>
    <row r="5404" spans="2:14" hidden="1" outlineLevel="1" x14ac:dyDescent="0.35">
      <c r="B5404" s="200"/>
      <c r="C5404" s="201"/>
      <c r="D5404" s="201"/>
      <c r="E5404" s="201"/>
      <c r="F5404" s="202"/>
      <c r="G5404" s="549"/>
      <c r="H5404" s="549"/>
      <c r="I5404" s="549"/>
      <c r="J5404" s="549"/>
      <c r="K5404" s="549"/>
      <c r="M5404" s="465"/>
      <c r="N5404" s="201"/>
    </row>
    <row r="5405" spans="2:14" hidden="1" outlineLevel="1" x14ac:dyDescent="0.35">
      <c r="B5405" s="200"/>
      <c r="C5405" s="201"/>
      <c r="D5405" s="201"/>
      <c r="E5405" s="201"/>
      <c r="F5405" s="202"/>
      <c r="G5405" s="549"/>
      <c r="H5405" s="549"/>
      <c r="I5405" s="549"/>
      <c r="J5405" s="549"/>
      <c r="K5405" s="549"/>
      <c r="M5405" s="465"/>
      <c r="N5405" s="201"/>
    </row>
    <row r="5406" spans="2:14" hidden="1" outlineLevel="1" x14ac:dyDescent="0.35">
      <c r="B5406" s="200"/>
      <c r="C5406" s="201"/>
      <c r="D5406" s="201"/>
      <c r="E5406" s="201"/>
      <c r="F5406" s="202"/>
      <c r="G5406" s="549"/>
      <c r="H5406" s="549"/>
      <c r="I5406" s="549"/>
      <c r="J5406" s="549"/>
      <c r="K5406" s="549"/>
      <c r="M5406" s="465"/>
      <c r="N5406" s="201"/>
    </row>
    <row r="5407" spans="2:14" hidden="1" outlineLevel="1" x14ac:dyDescent="0.35">
      <c r="B5407" s="200"/>
      <c r="C5407" s="201"/>
      <c r="D5407" s="201"/>
      <c r="E5407" s="201"/>
      <c r="F5407" s="202"/>
      <c r="G5407" s="549"/>
      <c r="H5407" s="549"/>
      <c r="I5407" s="549"/>
      <c r="J5407" s="549"/>
      <c r="K5407" s="549"/>
      <c r="M5407" s="465"/>
      <c r="N5407" s="201"/>
    </row>
    <row r="5408" spans="2:14" hidden="1" outlineLevel="1" x14ac:dyDescent="0.35">
      <c r="B5408" s="200"/>
      <c r="C5408" s="201"/>
      <c r="D5408" s="201"/>
      <c r="E5408" s="201"/>
      <c r="F5408" s="202"/>
      <c r="G5408" s="549"/>
      <c r="H5408" s="549"/>
      <c r="I5408" s="549"/>
      <c r="J5408" s="549"/>
      <c r="K5408" s="549"/>
      <c r="M5408" s="465"/>
      <c r="N5408" s="201"/>
    </row>
    <row r="5409" spans="2:14" hidden="1" outlineLevel="1" x14ac:dyDescent="0.35">
      <c r="B5409" s="200"/>
      <c r="C5409" s="201"/>
      <c r="D5409" s="201"/>
      <c r="E5409" s="201"/>
      <c r="F5409" s="202"/>
      <c r="G5409" s="549"/>
      <c r="H5409" s="549"/>
      <c r="I5409" s="549"/>
      <c r="J5409" s="549"/>
      <c r="K5409" s="549"/>
      <c r="M5409" s="465"/>
      <c r="N5409" s="201"/>
    </row>
    <row r="5410" spans="2:14" hidden="1" outlineLevel="1" x14ac:dyDescent="0.35">
      <c r="B5410" s="200"/>
      <c r="C5410" s="201"/>
      <c r="D5410" s="201"/>
      <c r="E5410" s="201"/>
      <c r="F5410" s="202"/>
      <c r="G5410" s="549"/>
      <c r="H5410" s="549"/>
      <c r="I5410" s="549"/>
      <c r="J5410" s="549"/>
      <c r="K5410" s="549"/>
      <c r="M5410" s="465"/>
      <c r="N5410" s="201"/>
    </row>
    <row r="5411" spans="2:14" hidden="1" outlineLevel="1" x14ac:dyDescent="0.35">
      <c r="B5411" s="200"/>
      <c r="C5411" s="201"/>
      <c r="D5411" s="201"/>
      <c r="E5411" s="201"/>
      <c r="F5411" s="202"/>
      <c r="G5411" s="549"/>
      <c r="H5411" s="549"/>
      <c r="I5411" s="549"/>
      <c r="J5411" s="549"/>
      <c r="K5411" s="549"/>
      <c r="M5411" s="465"/>
      <c r="N5411" s="201"/>
    </row>
    <row r="5412" spans="2:14" hidden="1" outlineLevel="1" x14ac:dyDescent="0.35">
      <c r="B5412" s="200"/>
      <c r="C5412" s="201"/>
      <c r="D5412" s="201"/>
      <c r="E5412" s="201"/>
      <c r="F5412" s="202"/>
      <c r="G5412" s="549"/>
      <c r="H5412" s="549"/>
      <c r="I5412" s="549"/>
      <c r="J5412" s="549"/>
      <c r="K5412" s="549"/>
      <c r="M5412" s="465"/>
      <c r="N5412" s="201"/>
    </row>
    <row r="5413" spans="2:14" hidden="1" outlineLevel="1" x14ac:dyDescent="0.35">
      <c r="B5413" s="200"/>
      <c r="C5413" s="201"/>
      <c r="D5413" s="201"/>
      <c r="E5413" s="201"/>
      <c r="F5413" s="202"/>
      <c r="G5413" s="549"/>
      <c r="H5413" s="549"/>
      <c r="I5413" s="549"/>
      <c r="J5413" s="549"/>
      <c r="K5413" s="549"/>
      <c r="M5413" s="465"/>
      <c r="N5413" s="201"/>
    </row>
    <row r="5414" spans="2:14" hidden="1" outlineLevel="1" x14ac:dyDescent="0.35">
      <c r="B5414" s="200"/>
      <c r="C5414" s="201"/>
      <c r="D5414" s="201"/>
      <c r="E5414" s="201"/>
      <c r="F5414" s="202"/>
      <c r="G5414" s="549"/>
      <c r="H5414" s="549"/>
      <c r="I5414" s="549"/>
      <c r="J5414" s="549"/>
      <c r="K5414" s="549"/>
      <c r="M5414" s="465"/>
      <c r="N5414" s="201"/>
    </row>
    <row r="5415" spans="2:14" hidden="1" outlineLevel="1" x14ac:dyDescent="0.35">
      <c r="B5415" s="200"/>
      <c r="C5415" s="201"/>
      <c r="D5415" s="201"/>
      <c r="E5415" s="201"/>
      <c r="F5415" s="202"/>
      <c r="G5415" s="549"/>
      <c r="H5415" s="549"/>
      <c r="I5415" s="549"/>
      <c r="J5415" s="549"/>
      <c r="K5415" s="549"/>
      <c r="M5415" s="465"/>
      <c r="N5415" s="201"/>
    </row>
    <row r="5416" spans="2:14" hidden="1" outlineLevel="1" x14ac:dyDescent="0.35">
      <c r="B5416" s="200"/>
      <c r="C5416" s="201"/>
      <c r="D5416" s="201"/>
      <c r="E5416" s="201"/>
      <c r="F5416" s="202"/>
      <c r="G5416" s="549"/>
      <c r="H5416" s="549"/>
      <c r="I5416" s="549"/>
      <c r="J5416" s="549"/>
      <c r="K5416" s="549"/>
      <c r="M5416" s="465"/>
      <c r="N5416" s="201"/>
    </row>
    <row r="5417" spans="2:14" hidden="1" outlineLevel="1" x14ac:dyDescent="0.35">
      <c r="B5417" s="200"/>
      <c r="C5417" s="201"/>
      <c r="D5417" s="201"/>
      <c r="E5417" s="201"/>
      <c r="F5417" s="202"/>
      <c r="G5417" s="549"/>
      <c r="H5417" s="549"/>
      <c r="I5417" s="549"/>
      <c r="J5417" s="549"/>
      <c r="K5417" s="549"/>
      <c r="M5417" s="465"/>
      <c r="N5417" s="201"/>
    </row>
    <row r="5418" spans="2:14" hidden="1" outlineLevel="1" x14ac:dyDescent="0.35">
      <c r="B5418" s="200"/>
      <c r="C5418" s="201"/>
      <c r="D5418" s="201"/>
      <c r="E5418" s="201"/>
      <c r="F5418" s="202"/>
      <c r="G5418" s="549"/>
      <c r="H5418" s="549"/>
      <c r="I5418" s="549"/>
      <c r="J5418" s="549"/>
      <c r="K5418" s="549"/>
      <c r="M5418" s="465"/>
      <c r="N5418" s="201"/>
    </row>
    <row r="5419" spans="2:14" hidden="1" outlineLevel="1" x14ac:dyDescent="0.35">
      <c r="B5419" s="200"/>
      <c r="C5419" s="201"/>
      <c r="D5419" s="201"/>
      <c r="E5419" s="201"/>
      <c r="F5419" s="202"/>
      <c r="G5419" s="549"/>
      <c r="H5419" s="549"/>
      <c r="I5419" s="549"/>
      <c r="J5419" s="549"/>
      <c r="K5419" s="549"/>
      <c r="M5419" s="465"/>
      <c r="N5419" s="201"/>
    </row>
    <row r="5420" spans="2:14" hidden="1" outlineLevel="1" x14ac:dyDescent="0.35">
      <c r="B5420" s="200"/>
      <c r="C5420" s="201"/>
      <c r="D5420" s="201"/>
      <c r="E5420" s="201"/>
      <c r="F5420" s="202"/>
      <c r="G5420" s="549"/>
      <c r="H5420" s="549"/>
      <c r="I5420" s="549"/>
      <c r="J5420" s="549"/>
      <c r="K5420" s="549"/>
      <c r="M5420" s="465"/>
      <c r="N5420" s="201"/>
    </row>
    <row r="5421" spans="2:14" hidden="1" outlineLevel="1" x14ac:dyDescent="0.35">
      <c r="B5421" s="200"/>
      <c r="C5421" s="201"/>
      <c r="D5421" s="201"/>
      <c r="E5421" s="201"/>
      <c r="F5421" s="202"/>
      <c r="G5421" s="549"/>
      <c r="H5421" s="549"/>
      <c r="I5421" s="549"/>
      <c r="J5421" s="549"/>
      <c r="K5421" s="549"/>
      <c r="M5421" s="465"/>
      <c r="N5421" s="201"/>
    </row>
    <row r="5422" spans="2:14" hidden="1" outlineLevel="1" x14ac:dyDescent="0.35">
      <c r="B5422" s="200"/>
      <c r="C5422" s="201"/>
      <c r="D5422" s="201"/>
      <c r="E5422" s="201"/>
      <c r="F5422" s="202"/>
      <c r="G5422" s="549"/>
      <c r="H5422" s="549"/>
      <c r="I5422" s="549"/>
      <c r="J5422" s="549"/>
      <c r="K5422" s="549"/>
      <c r="M5422" s="465"/>
      <c r="N5422" s="201"/>
    </row>
    <row r="5423" spans="2:14" hidden="1" outlineLevel="1" x14ac:dyDescent="0.35">
      <c r="B5423" s="200"/>
      <c r="C5423" s="201"/>
      <c r="D5423" s="201"/>
      <c r="E5423" s="201"/>
      <c r="F5423" s="202"/>
      <c r="G5423" s="549"/>
      <c r="H5423" s="549"/>
      <c r="I5423" s="549"/>
      <c r="J5423" s="549"/>
      <c r="K5423" s="549"/>
      <c r="M5423" s="465"/>
      <c r="N5423" s="201"/>
    </row>
    <row r="5424" spans="2:14" hidden="1" outlineLevel="1" x14ac:dyDescent="0.35">
      <c r="B5424" s="200"/>
      <c r="C5424" s="201"/>
      <c r="D5424" s="201"/>
      <c r="E5424" s="201"/>
      <c r="F5424" s="202"/>
      <c r="G5424" s="549"/>
      <c r="H5424" s="549"/>
      <c r="I5424" s="549"/>
      <c r="J5424" s="549"/>
      <c r="K5424" s="549"/>
      <c r="M5424" s="465"/>
      <c r="N5424" s="201"/>
    </row>
    <row r="5425" spans="2:14" hidden="1" outlineLevel="1" x14ac:dyDescent="0.35">
      <c r="B5425" s="200"/>
      <c r="C5425" s="201"/>
      <c r="D5425" s="201"/>
      <c r="E5425" s="201"/>
      <c r="F5425" s="202"/>
      <c r="G5425" s="549"/>
      <c r="H5425" s="549"/>
      <c r="I5425" s="549"/>
      <c r="J5425" s="549"/>
      <c r="K5425" s="549"/>
      <c r="M5425" s="465"/>
      <c r="N5425" s="201"/>
    </row>
    <row r="5426" spans="2:14" hidden="1" outlineLevel="1" x14ac:dyDescent="0.35">
      <c r="B5426" s="200"/>
      <c r="C5426" s="201"/>
      <c r="D5426" s="201"/>
      <c r="E5426" s="201"/>
      <c r="F5426" s="202"/>
      <c r="G5426" s="549"/>
      <c r="H5426" s="549"/>
      <c r="I5426" s="549"/>
      <c r="J5426" s="549"/>
      <c r="K5426" s="549"/>
      <c r="M5426" s="465"/>
      <c r="N5426" s="201"/>
    </row>
    <row r="5427" spans="2:14" hidden="1" outlineLevel="1" x14ac:dyDescent="0.35">
      <c r="B5427" s="200"/>
      <c r="C5427" s="201"/>
      <c r="D5427" s="201"/>
      <c r="E5427" s="201"/>
      <c r="F5427" s="202"/>
      <c r="G5427" s="549"/>
      <c r="H5427" s="549"/>
      <c r="I5427" s="549"/>
      <c r="J5427" s="549"/>
      <c r="K5427" s="549"/>
      <c r="M5427" s="465"/>
      <c r="N5427" s="201"/>
    </row>
    <row r="5428" spans="2:14" hidden="1" outlineLevel="1" x14ac:dyDescent="0.35">
      <c r="B5428" s="200"/>
      <c r="C5428" s="201"/>
      <c r="D5428" s="201"/>
      <c r="E5428" s="201"/>
      <c r="F5428" s="202"/>
      <c r="G5428" s="549"/>
      <c r="H5428" s="549"/>
      <c r="I5428" s="549"/>
      <c r="J5428" s="549"/>
      <c r="K5428" s="549"/>
      <c r="M5428" s="465"/>
      <c r="N5428" s="201"/>
    </row>
    <row r="5429" spans="2:14" hidden="1" outlineLevel="1" x14ac:dyDescent="0.35">
      <c r="B5429" s="200"/>
      <c r="C5429" s="201"/>
      <c r="D5429" s="201"/>
      <c r="E5429" s="201"/>
      <c r="F5429" s="202"/>
      <c r="G5429" s="549"/>
      <c r="H5429" s="549"/>
      <c r="I5429" s="549"/>
      <c r="J5429" s="549"/>
      <c r="K5429" s="549"/>
      <c r="M5429" s="465"/>
      <c r="N5429" s="201"/>
    </row>
    <row r="5430" spans="2:14" hidden="1" outlineLevel="1" x14ac:dyDescent="0.35">
      <c r="B5430" s="200"/>
      <c r="C5430" s="201"/>
      <c r="D5430" s="201"/>
      <c r="E5430" s="201"/>
      <c r="F5430" s="202"/>
      <c r="G5430" s="549"/>
      <c r="H5430" s="549"/>
      <c r="I5430" s="549"/>
      <c r="J5430" s="549"/>
      <c r="K5430" s="549"/>
      <c r="M5430" s="465"/>
      <c r="N5430" s="201"/>
    </row>
    <row r="5431" spans="2:14" hidden="1" outlineLevel="1" x14ac:dyDescent="0.35">
      <c r="B5431" s="200"/>
      <c r="C5431" s="201"/>
      <c r="D5431" s="201"/>
      <c r="E5431" s="201"/>
      <c r="F5431" s="202"/>
      <c r="G5431" s="549"/>
      <c r="H5431" s="549"/>
      <c r="I5431" s="549"/>
      <c r="J5431" s="549"/>
      <c r="K5431" s="549"/>
      <c r="M5431" s="465"/>
      <c r="N5431" s="201"/>
    </row>
    <row r="5432" spans="2:14" hidden="1" outlineLevel="1" x14ac:dyDescent="0.35">
      <c r="B5432" s="200"/>
      <c r="C5432" s="201"/>
      <c r="D5432" s="201"/>
      <c r="E5432" s="201"/>
      <c r="F5432" s="202"/>
      <c r="G5432" s="549"/>
      <c r="H5432" s="549"/>
      <c r="I5432" s="549"/>
      <c r="J5432" s="549"/>
      <c r="K5432" s="549"/>
      <c r="M5432" s="465"/>
      <c r="N5432" s="201"/>
    </row>
    <row r="5433" spans="2:14" hidden="1" outlineLevel="1" x14ac:dyDescent="0.35">
      <c r="B5433" s="200"/>
      <c r="C5433" s="201"/>
      <c r="D5433" s="201"/>
      <c r="E5433" s="201"/>
      <c r="F5433" s="202"/>
      <c r="G5433" s="549"/>
      <c r="H5433" s="549"/>
      <c r="I5433" s="549"/>
      <c r="J5433" s="549"/>
      <c r="K5433" s="549"/>
      <c r="M5433" s="465"/>
      <c r="N5433" s="201"/>
    </row>
    <row r="5434" spans="2:14" hidden="1" outlineLevel="1" x14ac:dyDescent="0.35">
      <c r="B5434" s="200"/>
      <c r="C5434" s="201"/>
      <c r="D5434" s="201"/>
      <c r="E5434" s="201"/>
      <c r="F5434" s="202"/>
      <c r="G5434" s="549"/>
      <c r="H5434" s="549"/>
      <c r="I5434" s="549"/>
      <c r="J5434" s="549"/>
      <c r="K5434" s="549"/>
      <c r="M5434" s="465"/>
      <c r="N5434" s="201"/>
    </row>
    <row r="5435" spans="2:14" hidden="1" outlineLevel="1" x14ac:dyDescent="0.35">
      <c r="B5435" s="200"/>
      <c r="C5435" s="201"/>
      <c r="D5435" s="201"/>
      <c r="E5435" s="201"/>
      <c r="F5435" s="202"/>
      <c r="G5435" s="549"/>
      <c r="H5435" s="549"/>
      <c r="I5435" s="549"/>
      <c r="J5435" s="549"/>
      <c r="K5435" s="549"/>
      <c r="M5435" s="465"/>
      <c r="N5435" s="201"/>
    </row>
    <row r="5436" spans="2:14" hidden="1" outlineLevel="1" x14ac:dyDescent="0.35">
      <c r="B5436" s="200"/>
      <c r="C5436" s="201"/>
      <c r="D5436" s="201"/>
      <c r="E5436" s="201"/>
      <c r="F5436" s="202"/>
      <c r="G5436" s="549"/>
      <c r="H5436" s="549"/>
      <c r="I5436" s="549"/>
      <c r="J5436" s="549"/>
      <c r="K5436" s="549"/>
      <c r="M5436" s="465"/>
      <c r="N5436" s="201"/>
    </row>
    <row r="5437" spans="2:14" hidden="1" outlineLevel="1" x14ac:dyDescent="0.35">
      <c r="B5437" s="200"/>
      <c r="C5437" s="201"/>
      <c r="D5437" s="201"/>
      <c r="E5437" s="201"/>
      <c r="F5437" s="202"/>
      <c r="G5437" s="549"/>
      <c r="H5437" s="549"/>
      <c r="I5437" s="549"/>
      <c r="J5437" s="549"/>
      <c r="K5437" s="549"/>
      <c r="M5437" s="465"/>
      <c r="N5437" s="201"/>
    </row>
    <row r="5438" spans="2:14" hidden="1" outlineLevel="1" x14ac:dyDescent="0.35">
      <c r="B5438" s="200"/>
      <c r="C5438" s="201"/>
      <c r="D5438" s="201"/>
      <c r="E5438" s="201"/>
      <c r="F5438" s="202"/>
      <c r="G5438" s="549"/>
      <c r="H5438" s="549"/>
      <c r="I5438" s="549"/>
      <c r="J5438" s="549"/>
      <c r="K5438" s="549"/>
      <c r="M5438" s="465"/>
      <c r="N5438" s="201"/>
    </row>
    <row r="5439" spans="2:14" hidden="1" outlineLevel="1" x14ac:dyDescent="0.35">
      <c r="B5439" s="200"/>
      <c r="C5439" s="201"/>
      <c r="D5439" s="201"/>
      <c r="E5439" s="201"/>
      <c r="F5439" s="202"/>
      <c r="G5439" s="549"/>
      <c r="H5439" s="549"/>
      <c r="I5439" s="549"/>
      <c r="J5439" s="549"/>
      <c r="K5439" s="549"/>
      <c r="M5439" s="465"/>
      <c r="N5439" s="201"/>
    </row>
    <row r="5440" spans="2:14" hidden="1" outlineLevel="1" x14ac:dyDescent="0.35">
      <c r="B5440" s="200"/>
      <c r="C5440" s="201"/>
      <c r="D5440" s="201"/>
      <c r="E5440" s="201"/>
      <c r="F5440" s="202"/>
      <c r="G5440" s="549"/>
      <c r="H5440" s="549"/>
      <c r="I5440" s="549"/>
      <c r="J5440" s="549"/>
      <c r="K5440" s="549"/>
      <c r="M5440" s="465"/>
      <c r="N5440" s="201"/>
    </row>
    <row r="5441" spans="2:14" hidden="1" outlineLevel="1" x14ac:dyDescent="0.35">
      <c r="B5441" s="200"/>
      <c r="C5441" s="201"/>
      <c r="D5441" s="201"/>
      <c r="E5441" s="201"/>
      <c r="F5441" s="202"/>
      <c r="G5441" s="549"/>
      <c r="H5441" s="549"/>
      <c r="I5441" s="549"/>
      <c r="J5441" s="549"/>
      <c r="K5441" s="549"/>
      <c r="M5441" s="465"/>
      <c r="N5441" s="201"/>
    </row>
    <row r="5442" spans="2:14" hidden="1" outlineLevel="1" x14ac:dyDescent="0.35">
      <c r="B5442" s="200"/>
      <c r="C5442" s="201"/>
      <c r="D5442" s="201"/>
      <c r="E5442" s="201"/>
      <c r="F5442" s="202"/>
      <c r="G5442" s="549"/>
      <c r="H5442" s="549"/>
      <c r="I5442" s="549"/>
      <c r="J5442" s="549"/>
      <c r="K5442" s="549"/>
      <c r="M5442" s="465"/>
      <c r="N5442" s="201"/>
    </row>
    <row r="5443" spans="2:14" hidden="1" outlineLevel="1" x14ac:dyDescent="0.35">
      <c r="B5443" s="200"/>
      <c r="C5443" s="201"/>
      <c r="D5443" s="201"/>
      <c r="E5443" s="201"/>
      <c r="F5443" s="202"/>
      <c r="G5443" s="549"/>
      <c r="H5443" s="549"/>
      <c r="I5443" s="549"/>
      <c r="J5443" s="549"/>
      <c r="K5443" s="549"/>
      <c r="M5443" s="465"/>
      <c r="N5443" s="201"/>
    </row>
    <row r="5444" spans="2:14" hidden="1" outlineLevel="1" x14ac:dyDescent="0.35">
      <c r="B5444" s="200"/>
      <c r="C5444" s="201"/>
      <c r="D5444" s="201"/>
      <c r="E5444" s="201"/>
      <c r="F5444" s="202"/>
      <c r="G5444" s="549"/>
      <c r="H5444" s="549"/>
      <c r="I5444" s="549"/>
      <c r="J5444" s="549"/>
      <c r="K5444" s="549"/>
      <c r="M5444" s="465"/>
      <c r="N5444" s="201"/>
    </row>
    <row r="5445" spans="2:14" hidden="1" outlineLevel="1" x14ac:dyDescent="0.35">
      <c r="B5445" s="200"/>
      <c r="C5445" s="201"/>
      <c r="D5445" s="201"/>
      <c r="E5445" s="201"/>
      <c r="F5445" s="202"/>
      <c r="G5445" s="549"/>
      <c r="H5445" s="549"/>
      <c r="I5445" s="549"/>
      <c r="J5445" s="549"/>
      <c r="K5445" s="549"/>
      <c r="M5445" s="465"/>
      <c r="N5445" s="201"/>
    </row>
    <row r="5446" spans="2:14" hidden="1" outlineLevel="1" x14ac:dyDescent="0.35">
      <c r="B5446" s="200"/>
      <c r="C5446" s="201"/>
      <c r="D5446" s="201"/>
      <c r="E5446" s="201"/>
      <c r="F5446" s="202"/>
      <c r="G5446" s="549"/>
      <c r="H5446" s="549"/>
      <c r="I5446" s="549"/>
      <c r="J5446" s="549"/>
      <c r="K5446" s="549"/>
      <c r="M5446" s="465"/>
      <c r="N5446" s="201"/>
    </row>
    <row r="5447" spans="2:14" hidden="1" outlineLevel="1" x14ac:dyDescent="0.35">
      <c r="B5447" s="200"/>
      <c r="C5447" s="201"/>
      <c r="D5447" s="201"/>
      <c r="E5447" s="201"/>
      <c r="F5447" s="202"/>
      <c r="G5447" s="549"/>
      <c r="H5447" s="549"/>
      <c r="I5447" s="549"/>
      <c r="J5447" s="549"/>
      <c r="K5447" s="549"/>
      <c r="M5447" s="465"/>
      <c r="N5447" s="201"/>
    </row>
    <row r="5448" spans="2:14" hidden="1" outlineLevel="1" x14ac:dyDescent="0.35">
      <c r="B5448" s="200"/>
      <c r="C5448" s="201"/>
      <c r="D5448" s="201"/>
      <c r="E5448" s="201"/>
      <c r="F5448" s="202"/>
      <c r="G5448" s="549"/>
      <c r="H5448" s="549"/>
      <c r="I5448" s="549"/>
      <c r="J5448" s="549"/>
      <c r="K5448" s="549"/>
      <c r="M5448" s="465"/>
      <c r="N5448" s="201"/>
    </row>
    <row r="5449" spans="2:14" hidden="1" outlineLevel="1" x14ac:dyDescent="0.35">
      <c r="B5449" s="200"/>
      <c r="C5449" s="201"/>
      <c r="D5449" s="201"/>
      <c r="E5449" s="201"/>
      <c r="F5449" s="202"/>
      <c r="G5449" s="549"/>
      <c r="H5449" s="549"/>
      <c r="I5449" s="549"/>
      <c r="J5449" s="549"/>
      <c r="K5449" s="549"/>
      <c r="M5449" s="465"/>
      <c r="N5449" s="201"/>
    </row>
    <row r="5450" spans="2:14" hidden="1" outlineLevel="1" x14ac:dyDescent="0.35">
      <c r="B5450" s="200"/>
      <c r="C5450" s="201"/>
      <c r="D5450" s="201"/>
      <c r="E5450" s="201"/>
      <c r="F5450" s="202"/>
      <c r="G5450" s="549"/>
      <c r="H5450" s="549"/>
      <c r="I5450" s="549"/>
      <c r="J5450" s="549"/>
      <c r="K5450" s="549"/>
      <c r="M5450" s="465"/>
      <c r="N5450" s="201"/>
    </row>
    <row r="5451" spans="2:14" hidden="1" outlineLevel="1" x14ac:dyDescent="0.35">
      <c r="B5451" s="200"/>
      <c r="C5451" s="201"/>
      <c r="D5451" s="201"/>
      <c r="E5451" s="201"/>
      <c r="F5451" s="202"/>
      <c r="G5451" s="549"/>
      <c r="H5451" s="549"/>
      <c r="I5451" s="549"/>
      <c r="J5451" s="549"/>
      <c r="K5451" s="549"/>
      <c r="M5451" s="465"/>
      <c r="N5451" s="201"/>
    </row>
    <row r="5452" spans="2:14" hidden="1" outlineLevel="1" x14ac:dyDescent="0.35">
      <c r="B5452" s="200"/>
      <c r="C5452" s="201"/>
      <c r="D5452" s="201"/>
      <c r="E5452" s="201"/>
      <c r="F5452" s="202"/>
      <c r="G5452" s="549"/>
      <c r="H5452" s="549"/>
      <c r="I5452" s="549"/>
      <c r="J5452" s="549"/>
      <c r="K5452" s="549"/>
      <c r="M5452" s="465"/>
      <c r="N5452" s="201"/>
    </row>
    <row r="5453" spans="2:14" hidden="1" outlineLevel="1" x14ac:dyDescent="0.35">
      <c r="B5453" s="200"/>
      <c r="C5453" s="201"/>
      <c r="D5453" s="201"/>
      <c r="E5453" s="201"/>
      <c r="F5453" s="202"/>
      <c r="G5453" s="549"/>
      <c r="H5453" s="549"/>
      <c r="I5453" s="549"/>
      <c r="J5453" s="549"/>
      <c r="K5453" s="549"/>
      <c r="M5453" s="465"/>
      <c r="N5453" s="201"/>
    </row>
    <row r="5454" spans="2:14" hidden="1" outlineLevel="1" x14ac:dyDescent="0.35">
      <c r="B5454" s="200"/>
      <c r="C5454" s="201"/>
      <c r="D5454" s="201"/>
      <c r="E5454" s="201"/>
      <c r="F5454" s="202"/>
      <c r="G5454" s="549"/>
      <c r="H5454" s="549"/>
      <c r="I5454" s="549"/>
      <c r="J5454" s="549"/>
      <c r="K5454" s="549"/>
      <c r="M5454" s="465"/>
      <c r="N5454" s="201"/>
    </row>
    <row r="5455" spans="2:14" hidden="1" outlineLevel="1" x14ac:dyDescent="0.35">
      <c r="B5455" s="200"/>
      <c r="C5455" s="201"/>
      <c r="D5455" s="201"/>
      <c r="E5455" s="201"/>
      <c r="F5455" s="202"/>
      <c r="G5455" s="549"/>
      <c r="H5455" s="549"/>
      <c r="I5455" s="549"/>
      <c r="J5455" s="549"/>
      <c r="K5455" s="549"/>
      <c r="M5455" s="465"/>
      <c r="N5455" s="201"/>
    </row>
    <row r="5456" spans="2:14" hidden="1" outlineLevel="1" x14ac:dyDescent="0.35">
      <c r="B5456" s="200"/>
      <c r="C5456" s="201"/>
      <c r="D5456" s="201"/>
      <c r="E5456" s="201"/>
      <c r="F5456" s="202"/>
      <c r="G5456" s="549"/>
      <c r="H5456" s="549"/>
      <c r="I5456" s="549"/>
      <c r="J5456" s="549"/>
      <c r="K5456" s="549"/>
      <c r="M5456" s="465"/>
      <c r="N5456" s="201"/>
    </row>
    <row r="5457" spans="2:14" hidden="1" outlineLevel="1" x14ac:dyDescent="0.35">
      <c r="B5457" s="200"/>
      <c r="C5457" s="201"/>
      <c r="D5457" s="201"/>
      <c r="E5457" s="201"/>
      <c r="F5457" s="202"/>
      <c r="G5457" s="549"/>
      <c r="H5457" s="549"/>
      <c r="I5457" s="549"/>
      <c r="J5457" s="549"/>
      <c r="K5457" s="549"/>
      <c r="M5457" s="465"/>
      <c r="N5457" s="201"/>
    </row>
    <row r="5458" spans="2:14" hidden="1" outlineLevel="1" x14ac:dyDescent="0.35">
      <c r="B5458" s="200"/>
      <c r="C5458" s="201"/>
      <c r="D5458" s="201"/>
      <c r="E5458" s="201"/>
      <c r="F5458" s="202"/>
      <c r="G5458" s="549"/>
      <c r="H5458" s="549"/>
      <c r="I5458" s="549"/>
      <c r="J5458" s="549"/>
      <c r="K5458" s="549"/>
      <c r="M5458" s="465"/>
      <c r="N5458" s="201"/>
    </row>
    <row r="5459" spans="2:14" hidden="1" outlineLevel="1" x14ac:dyDescent="0.35">
      <c r="B5459" s="200"/>
      <c r="C5459" s="201"/>
      <c r="D5459" s="201"/>
      <c r="E5459" s="201"/>
      <c r="F5459" s="202"/>
      <c r="G5459" s="549"/>
      <c r="H5459" s="549"/>
      <c r="I5459" s="549"/>
      <c r="J5459" s="549"/>
      <c r="K5459" s="549"/>
      <c r="M5459" s="465"/>
      <c r="N5459" s="201"/>
    </row>
    <row r="5460" spans="2:14" hidden="1" outlineLevel="1" x14ac:dyDescent="0.35">
      <c r="B5460" s="200"/>
      <c r="C5460" s="201"/>
      <c r="D5460" s="201"/>
      <c r="E5460" s="201"/>
      <c r="F5460" s="202"/>
      <c r="G5460" s="549"/>
      <c r="H5460" s="549"/>
      <c r="I5460" s="549"/>
      <c r="J5460" s="549"/>
      <c r="K5460" s="549"/>
      <c r="M5460" s="465"/>
      <c r="N5460" s="201"/>
    </row>
    <row r="5461" spans="2:14" hidden="1" outlineLevel="1" x14ac:dyDescent="0.35">
      <c r="B5461" s="200"/>
      <c r="C5461" s="201"/>
      <c r="D5461" s="201"/>
      <c r="E5461" s="201"/>
      <c r="F5461" s="202"/>
      <c r="G5461" s="549"/>
      <c r="H5461" s="549"/>
      <c r="I5461" s="549"/>
      <c r="J5461" s="549"/>
      <c r="K5461" s="549"/>
      <c r="M5461" s="465"/>
      <c r="N5461" s="201"/>
    </row>
    <row r="5462" spans="2:14" hidden="1" outlineLevel="1" x14ac:dyDescent="0.35">
      <c r="B5462" s="200"/>
      <c r="C5462" s="201"/>
      <c r="D5462" s="201"/>
      <c r="E5462" s="201"/>
      <c r="F5462" s="202"/>
      <c r="G5462" s="549"/>
      <c r="H5462" s="549"/>
      <c r="I5462" s="549"/>
      <c r="J5462" s="549"/>
      <c r="K5462" s="549"/>
      <c r="M5462" s="465"/>
      <c r="N5462" s="201"/>
    </row>
    <row r="5463" spans="2:14" hidden="1" outlineLevel="1" x14ac:dyDescent="0.35">
      <c r="B5463" s="200"/>
      <c r="C5463" s="201"/>
      <c r="D5463" s="201"/>
      <c r="E5463" s="201"/>
      <c r="F5463" s="202"/>
      <c r="G5463" s="549"/>
      <c r="H5463" s="549"/>
      <c r="I5463" s="549"/>
      <c r="J5463" s="549"/>
      <c r="K5463" s="549"/>
      <c r="M5463" s="465"/>
      <c r="N5463" s="201"/>
    </row>
    <row r="5464" spans="2:14" hidden="1" outlineLevel="1" x14ac:dyDescent="0.35">
      <c r="B5464" s="200"/>
      <c r="C5464" s="201"/>
      <c r="D5464" s="201"/>
      <c r="E5464" s="201"/>
      <c r="F5464" s="202"/>
      <c r="G5464" s="549"/>
      <c r="H5464" s="549"/>
      <c r="I5464" s="549"/>
      <c r="J5464" s="549"/>
      <c r="K5464" s="549"/>
      <c r="M5464" s="465"/>
      <c r="N5464" s="201"/>
    </row>
    <row r="5465" spans="2:14" hidden="1" outlineLevel="1" x14ac:dyDescent="0.35">
      <c r="B5465" s="200"/>
      <c r="C5465" s="201"/>
      <c r="D5465" s="201"/>
      <c r="E5465" s="201"/>
      <c r="F5465" s="202"/>
      <c r="G5465" s="549"/>
      <c r="H5465" s="549"/>
      <c r="I5465" s="549"/>
      <c r="J5465" s="549"/>
      <c r="K5465" s="549"/>
      <c r="M5465" s="465"/>
      <c r="N5465" s="201"/>
    </row>
    <row r="5466" spans="2:14" hidden="1" outlineLevel="1" x14ac:dyDescent="0.35">
      <c r="B5466" s="200"/>
      <c r="C5466" s="201"/>
      <c r="D5466" s="201"/>
      <c r="E5466" s="201"/>
      <c r="F5466" s="202"/>
      <c r="G5466" s="549"/>
      <c r="H5466" s="549"/>
      <c r="I5466" s="549"/>
      <c r="J5466" s="549"/>
      <c r="K5466" s="549"/>
      <c r="M5466" s="465"/>
      <c r="N5466" s="201"/>
    </row>
    <row r="5467" spans="2:14" hidden="1" outlineLevel="1" x14ac:dyDescent="0.35">
      <c r="B5467" s="200"/>
      <c r="C5467" s="201"/>
      <c r="D5467" s="201"/>
      <c r="E5467" s="201"/>
      <c r="F5467" s="202"/>
      <c r="G5467" s="549"/>
      <c r="H5467" s="549"/>
      <c r="I5467" s="549"/>
      <c r="J5467" s="549"/>
      <c r="K5467" s="549"/>
      <c r="M5467" s="465"/>
      <c r="N5467" s="201"/>
    </row>
    <row r="5468" spans="2:14" hidden="1" outlineLevel="1" x14ac:dyDescent="0.35">
      <c r="B5468" s="200"/>
      <c r="C5468" s="201"/>
      <c r="D5468" s="201"/>
      <c r="E5468" s="201"/>
      <c r="F5468" s="202"/>
      <c r="G5468" s="549"/>
      <c r="H5468" s="549"/>
      <c r="I5468" s="549"/>
      <c r="J5468" s="549"/>
      <c r="K5468" s="549"/>
      <c r="M5468" s="465"/>
      <c r="N5468" s="201"/>
    </row>
    <row r="5469" spans="2:14" hidden="1" outlineLevel="1" x14ac:dyDescent="0.35">
      <c r="B5469" s="200"/>
      <c r="C5469" s="201"/>
      <c r="D5469" s="201"/>
      <c r="E5469" s="201"/>
      <c r="F5469" s="202"/>
      <c r="G5469" s="549"/>
      <c r="H5469" s="549"/>
      <c r="I5469" s="549"/>
      <c r="J5469" s="549"/>
      <c r="K5469" s="549"/>
      <c r="M5469" s="465"/>
      <c r="N5469" s="201"/>
    </row>
    <row r="5470" spans="2:14" hidden="1" outlineLevel="1" x14ac:dyDescent="0.35">
      <c r="B5470" s="200"/>
      <c r="C5470" s="201"/>
      <c r="D5470" s="201"/>
      <c r="E5470" s="201"/>
      <c r="F5470" s="202"/>
      <c r="G5470" s="549"/>
      <c r="H5470" s="549"/>
      <c r="I5470" s="549"/>
      <c r="J5470" s="549"/>
      <c r="K5470" s="549"/>
      <c r="M5470" s="465"/>
      <c r="N5470" s="201"/>
    </row>
    <row r="5471" spans="2:14" hidden="1" outlineLevel="1" x14ac:dyDescent="0.35">
      <c r="B5471" s="200"/>
      <c r="C5471" s="201"/>
      <c r="D5471" s="201"/>
      <c r="E5471" s="201"/>
      <c r="F5471" s="202"/>
      <c r="G5471" s="549"/>
      <c r="H5471" s="549"/>
      <c r="I5471" s="549"/>
      <c r="J5471" s="549"/>
      <c r="K5471" s="549"/>
      <c r="M5471" s="465"/>
      <c r="N5471" s="201"/>
    </row>
    <row r="5472" spans="2:14" hidden="1" outlineLevel="1" x14ac:dyDescent="0.35">
      <c r="B5472" s="200"/>
      <c r="C5472" s="201"/>
      <c r="D5472" s="201"/>
      <c r="E5472" s="201"/>
      <c r="F5472" s="202"/>
      <c r="G5472" s="549"/>
      <c r="H5472" s="549"/>
      <c r="I5472" s="549"/>
      <c r="J5472" s="549"/>
      <c r="K5472" s="549"/>
      <c r="M5472" s="465"/>
      <c r="N5472" s="201"/>
    </row>
    <row r="5473" spans="2:14" hidden="1" outlineLevel="1" x14ac:dyDescent="0.35">
      <c r="B5473" s="200"/>
      <c r="C5473" s="201"/>
      <c r="D5473" s="201"/>
      <c r="E5473" s="201"/>
      <c r="F5473" s="202"/>
      <c r="G5473" s="549"/>
      <c r="H5473" s="549"/>
      <c r="I5473" s="549"/>
      <c r="J5473" s="549"/>
      <c r="K5473" s="549"/>
      <c r="M5473" s="465"/>
      <c r="N5473" s="201"/>
    </row>
    <row r="5474" spans="2:14" hidden="1" outlineLevel="1" x14ac:dyDescent="0.35">
      <c r="B5474" s="200"/>
      <c r="C5474" s="201"/>
      <c r="D5474" s="201"/>
      <c r="E5474" s="201"/>
      <c r="F5474" s="202"/>
      <c r="G5474" s="549"/>
      <c r="H5474" s="549"/>
      <c r="I5474" s="549"/>
      <c r="J5474" s="549"/>
      <c r="K5474" s="549"/>
      <c r="M5474" s="465"/>
      <c r="N5474" s="201"/>
    </row>
    <row r="5475" spans="2:14" hidden="1" outlineLevel="1" x14ac:dyDescent="0.35">
      <c r="B5475" s="200"/>
      <c r="C5475" s="201"/>
      <c r="D5475" s="201"/>
      <c r="E5475" s="201"/>
      <c r="F5475" s="202"/>
      <c r="G5475" s="549"/>
      <c r="H5475" s="549"/>
      <c r="I5475" s="549"/>
      <c r="J5475" s="549"/>
      <c r="K5475" s="549"/>
      <c r="M5475" s="465"/>
      <c r="N5475" s="201"/>
    </row>
    <row r="5476" spans="2:14" hidden="1" outlineLevel="1" x14ac:dyDescent="0.35">
      <c r="B5476" s="200"/>
      <c r="C5476" s="201"/>
      <c r="D5476" s="201"/>
      <c r="E5476" s="201"/>
      <c r="F5476" s="202"/>
      <c r="G5476" s="549"/>
      <c r="H5476" s="549"/>
      <c r="I5476" s="549"/>
      <c r="J5476" s="549"/>
      <c r="K5476" s="549"/>
      <c r="M5476" s="465"/>
      <c r="N5476" s="201"/>
    </row>
    <row r="5477" spans="2:14" hidden="1" outlineLevel="1" x14ac:dyDescent="0.35">
      <c r="B5477" s="200"/>
      <c r="C5477" s="201"/>
      <c r="D5477" s="201"/>
      <c r="E5477" s="201"/>
      <c r="F5477" s="202"/>
      <c r="G5477" s="549"/>
      <c r="H5477" s="549"/>
      <c r="I5477" s="549"/>
      <c r="J5477" s="549"/>
      <c r="K5477" s="549"/>
      <c r="M5477" s="465"/>
      <c r="N5477" s="201"/>
    </row>
    <row r="5478" spans="2:14" hidden="1" outlineLevel="1" x14ac:dyDescent="0.35">
      <c r="B5478" s="200"/>
      <c r="C5478" s="201"/>
      <c r="D5478" s="201"/>
      <c r="E5478" s="201"/>
      <c r="F5478" s="202"/>
      <c r="G5478" s="549"/>
      <c r="H5478" s="549"/>
      <c r="I5478" s="549"/>
      <c r="J5478" s="549"/>
      <c r="K5478" s="549"/>
      <c r="M5478" s="465"/>
      <c r="N5478" s="201"/>
    </row>
    <row r="5479" spans="2:14" hidden="1" outlineLevel="1" x14ac:dyDescent="0.35">
      <c r="B5479" s="200"/>
      <c r="C5479" s="201"/>
      <c r="D5479" s="201"/>
      <c r="E5479" s="201"/>
      <c r="F5479" s="202"/>
      <c r="G5479" s="549"/>
      <c r="H5479" s="549"/>
      <c r="I5479" s="549"/>
      <c r="J5479" s="549"/>
      <c r="K5479" s="549"/>
      <c r="M5479" s="465"/>
      <c r="N5479" s="201"/>
    </row>
    <row r="5480" spans="2:14" hidden="1" outlineLevel="1" x14ac:dyDescent="0.35">
      <c r="B5480" s="200"/>
      <c r="C5480" s="201"/>
      <c r="D5480" s="201"/>
      <c r="E5480" s="201"/>
      <c r="F5480" s="202"/>
      <c r="G5480" s="549"/>
      <c r="H5480" s="549"/>
      <c r="I5480" s="549"/>
      <c r="J5480" s="549"/>
      <c r="K5480" s="549"/>
      <c r="M5480" s="465"/>
      <c r="N5480" s="201"/>
    </row>
    <row r="5481" spans="2:14" hidden="1" outlineLevel="1" x14ac:dyDescent="0.35">
      <c r="B5481" s="200"/>
      <c r="C5481" s="201"/>
      <c r="D5481" s="201"/>
      <c r="E5481" s="201"/>
      <c r="F5481" s="202"/>
      <c r="G5481" s="549"/>
      <c r="H5481" s="549"/>
      <c r="I5481" s="549"/>
      <c r="J5481" s="549"/>
      <c r="K5481" s="549"/>
      <c r="M5481" s="465"/>
      <c r="N5481" s="201"/>
    </row>
    <row r="5482" spans="2:14" hidden="1" outlineLevel="1" x14ac:dyDescent="0.35">
      <c r="B5482" s="200"/>
      <c r="C5482" s="201"/>
      <c r="D5482" s="201"/>
      <c r="E5482" s="201"/>
      <c r="F5482" s="202"/>
      <c r="G5482" s="549"/>
      <c r="H5482" s="549"/>
      <c r="I5482" s="549"/>
      <c r="J5482" s="549"/>
      <c r="K5482" s="549"/>
      <c r="M5482" s="465"/>
      <c r="N5482" s="201"/>
    </row>
    <row r="5483" spans="2:14" hidden="1" outlineLevel="1" x14ac:dyDescent="0.35">
      <c r="B5483" s="200"/>
      <c r="C5483" s="201"/>
      <c r="D5483" s="201"/>
      <c r="E5483" s="201"/>
      <c r="F5483" s="202"/>
      <c r="G5483" s="549"/>
      <c r="H5483" s="549"/>
      <c r="I5483" s="549"/>
      <c r="J5483" s="549"/>
      <c r="K5483" s="549"/>
      <c r="M5483" s="465"/>
      <c r="N5483" s="201"/>
    </row>
    <row r="5484" spans="2:14" hidden="1" outlineLevel="1" x14ac:dyDescent="0.35">
      <c r="B5484" s="200"/>
      <c r="C5484" s="201"/>
      <c r="D5484" s="201"/>
      <c r="E5484" s="201"/>
      <c r="F5484" s="202"/>
      <c r="G5484" s="549"/>
      <c r="H5484" s="549"/>
      <c r="I5484" s="549"/>
      <c r="J5484" s="549"/>
      <c r="K5484" s="549"/>
      <c r="M5484" s="465"/>
      <c r="N5484" s="201"/>
    </row>
    <row r="5485" spans="2:14" hidden="1" outlineLevel="1" x14ac:dyDescent="0.35">
      <c r="B5485" s="200"/>
      <c r="C5485" s="201"/>
      <c r="D5485" s="201"/>
      <c r="E5485" s="201"/>
      <c r="F5485" s="202"/>
      <c r="G5485" s="549"/>
      <c r="H5485" s="549"/>
      <c r="I5485" s="549"/>
      <c r="J5485" s="549"/>
      <c r="K5485" s="549"/>
      <c r="M5485" s="465"/>
      <c r="N5485" s="201"/>
    </row>
    <row r="5486" spans="2:14" hidden="1" outlineLevel="1" x14ac:dyDescent="0.35">
      <c r="B5486" s="200"/>
      <c r="C5486" s="201"/>
      <c r="D5486" s="201"/>
      <c r="E5486" s="201"/>
      <c r="F5486" s="202"/>
      <c r="G5486" s="549"/>
      <c r="H5486" s="549"/>
      <c r="I5486" s="549"/>
      <c r="J5486" s="549"/>
      <c r="K5486" s="549"/>
      <c r="M5486" s="465"/>
      <c r="N5486" s="201"/>
    </row>
    <row r="5487" spans="2:14" hidden="1" outlineLevel="1" x14ac:dyDescent="0.35">
      <c r="B5487" s="200"/>
      <c r="C5487" s="201"/>
      <c r="D5487" s="201"/>
      <c r="E5487" s="201"/>
      <c r="F5487" s="202"/>
      <c r="G5487" s="549"/>
      <c r="H5487" s="549"/>
      <c r="I5487" s="549"/>
      <c r="J5487" s="549"/>
      <c r="K5487" s="549"/>
      <c r="M5487" s="465"/>
      <c r="N5487" s="201"/>
    </row>
    <row r="5488" spans="2:14" hidden="1" outlineLevel="1" x14ac:dyDescent="0.35">
      <c r="B5488" s="200"/>
      <c r="C5488" s="201"/>
      <c r="D5488" s="201"/>
      <c r="E5488" s="201"/>
      <c r="F5488" s="202"/>
      <c r="G5488" s="549"/>
      <c r="H5488" s="549"/>
      <c r="I5488" s="549"/>
      <c r="J5488" s="549"/>
      <c r="K5488" s="549"/>
      <c r="M5488" s="465"/>
      <c r="N5488" s="201"/>
    </row>
    <row r="5489" spans="2:14" hidden="1" outlineLevel="1" x14ac:dyDescent="0.35">
      <c r="B5489" s="200"/>
      <c r="C5489" s="201"/>
      <c r="D5489" s="201"/>
      <c r="E5489" s="201"/>
      <c r="F5489" s="202"/>
      <c r="G5489" s="549"/>
      <c r="H5489" s="549"/>
      <c r="I5489" s="549"/>
      <c r="J5489" s="549"/>
      <c r="K5489" s="549"/>
      <c r="M5489" s="465"/>
      <c r="N5489" s="201"/>
    </row>
    <row r="5490" spans="2:14" hidden="1" outlineLevel="1" x14ac:dyDescent="0.35">
      <c r="B5490" s="200"/>
      <c r="C5490" s="201"/>
      <c r="D5490" s="201"/>
      <c r="E5490" s="201"/>
      <c r="F5490" s="202"/>
      <c r="G5490" s="549"/>
      <c r="H5490" s="549"/>
      <c r="I5490" s="549"/>
      <c r="J5490" s="549"/>
      <c r="K5490" s="549"/>
      <c r="M5490" s="465"/>
      <c r="N5490" s="201"/>
    </row>
    <row r="5491" spans="2:14" hidden="1" outlineLevel="1" x14ac:dyDescent="0.35">
      <c r="B5491" s="200"/>
      <c r="C5491" s="201"/>
      <c r="D5491" s="201"/>
      <c r="E5491" s="201"/>
      <c r="F5491" s="202"/>
      <c r="G5491" s="549"/>
      <c r="H5491" s="549"/>
      <c r="I5491" s="549"/>
      <c r="J5491" s="549"/>
      <c r="K5491" s="549"/>
      <c r="M5491" s="465"/>
      <c r="N5491" s="201"/>
    </row>
    <row r="5492" spans="2:14" hidden="1" outlineLevel="1" x14ac:dyDescent="0.35">
      <c r="B5492" s="200"/>
      <c r="C5492" s="201"/>
      <c r="D5492" s="201"/>
      <c r="E5492" s="201"/>
      <c r="F5492" s="202"/>
      <c r="G5492" s="549"/>
      <c r="H5492" s="549"/>
      <c r="I5492" s="549"/>
      <c r="J5492" s="549"/>
      <c r="K5492" s="549"/>
      <c r="M5492" s="465"/>
      <c r="N5492" s="201"/>
    </row>
    <row r="5493" spans="2:14" hidden="1" outlineLevel="1" x14ac:dyDescent="0.35">
      <c r="B5493" s="200"/>
      <c r="C5493" s="201"/>
      <c r="D5493" s="201"/>
      <c r="E5493" s="201"/>
      <c r="F5493" s="202"/>
      <c r="G5493" s="549"/>
      <c r="H5493" s="549"/>
      <c r="I5493" s="549"/>
      <c r="J5493" s="549"/>
      <c r="K5493" s="549"/>
      <c r="M5493" s="465"/>
      <c r="N5493" s="201"/>
    </row>
    <row r="5494" spans="2:14" hidden="1" outlineLevel="1" x14ac:dyDescent="0.35">
      <c r="B5494" s="200"/>
      <c r="C5494" s="201"/>
      <c r="D5494" s="201"/>
      <c r="E5494" s="201"/>
      <c r="F5494" s="202"/>
      <c r="G5494" s="549"/>
      <c r="H5494" s="549"/>
      <c r="I5494" s="549"/>
      <c r="J5494" s="549"/>
      <c r="K5494" s="549"/>
      <c r="M5494" s="465"/>
      <c r="N5494" s="201"/>
    </row>
    <row r="5495" spans="2:14" hidden="1" outlineLevel="1" x14ac:dyDescent="0.35">
      <c r="B5495" s="200"/>
      <c r="C5495" s="201"/>
      <c r="D5495" s="201"/>
      <c r="E5495" s="201"/>
      <c r="F5495" s="202"/>
      <c r="G5495" s="549"/>
      <c r="H5495" s="549"/>
      <c r="I5495" s="549"/>
      <c r="J5495" s="549"/>
      <c r="K5495" s="549"/>
      <c r="M5495" s="465"/>
      <c r="N5495" s="201"/>
    </row>
    <row r="5496" spans="2:14" hidden="1" outlineLevel="1" x14ac:dyDescent="0.35">
      <c r="B5496" s="200"/>
      <c r="C5496" s="201"/>
      <c r="D5496" s="201"/>
      <c r="E5496" s="201"/>
      <c r="F5496" s="202"/>
      <c r="G5496" s="549"/>
      <c r="H5496" s="549"/>
      <c r="I5496" s="549"/>
      <c r="J5496" s="549"/>
      <c r="K5496" s="549"/>
      <c r="M5496" s="465"/>
      <c r="N5496" s="201"/>
    </row>
    <row r="5497" spans="2:14" hidden="1" outlineLevel="1" x14ac:dyDescent="0.35">
      <c r="B5497" s="200"/>
      <c r="C5497" s="201"/>
      <c r="D5497" s="201"/>
      <c r="E5497" s="201"/>
      <c r="F5497" s="202"/>
      <c r="G5497" s="549"/>
      <c r="H5497" s="549"/>
      <c r="I5497" s="549"/>
      <c r="J5497" s="549"/>
      <c r="K5497" s="549"/>
      <c r="M5497" s="465"/>
      <c r="N5497" s="201"/>
    </row>
    <row r="5498" spans="2:14" hidden="1" outlineLevel="1" x14ac:dyDescent="0.35">
      <c r="B5498" s="200"/>
      <c r="C5498" s="201"/>
      <c r="D5498" s="201"/>
      <c r="E5498" s="201"/>
      <c r="F5498" s="202"/>
      <c r="G5498" s="549"/>
      <c r="H5498" s="549"/>
      <c r="I5498" s="549"/>
      <c r="J5498" s="549"/>
      <c r="K5498" s="549"/>
      <c r="M5498" s="465"/>
      <c r="N5498" s="201"/>
    </row>
    <row r="5499" spans="2:14" hidden="1" outlineLevel="1" x14ac:dyDescent="0.35">
      <c r="B5499" s="200"/>
      <c r="C5499" s="201"/>
      <c r="D5499" s="201"/>
      <c r="E5499" s="201"/>
      <c r="F5499" s="202"/>
      <c r="G5499" s="549"/>
      <c r="H5499" s="549"/>
      <c r="I5499" s="549"/>
      <c r="J5499" s="549"/>
      <c r="K5499" s="549"/>
      <c r="M5499" s="465"/>
      <c r="N5499" s="201"/>
    </row>
    <row r="5500" spans="2:14" hidden="1" outlineLevel="1" x14ac:dyDescent="0.35">
      <c r="B5500" s="200"/>
      <c r="C5500" s="201"/>
      <c r="D5500" s="201"/>
      <c r="E5500" s="201"/>
      <c r="F5500" s="202"/>
      <c r="G5500" s="549"/>
      <c r="H5500" s="549"/>
      <c r="I5500" s="549"/>
      <c r="J5500" s="549"/>
      <c r="K5500" s="549"/>
      <c r="M5500" s="465"/>
      <c r="N5500" s="201"/>
    </row>
    <row r="5501" spans="2:14" hidden="1" outlineLevel="1" x14ac:dyDescent="0.35">
      <c r="B5501" s="200"/>
      <c r="C5501" s="201"/>
      <c r="D5501" s="201"/>
      <c r="E5501" s="201"/>
      <c r="F5501" s="202"/>
      <c r="G5501" s="549"/>
      <c r="H5501" s="549"/>
      <c r="I5501" s="549"/>
      <c r="J5501" s="549"/>
      <c r="K5501" s="549"/>
      <c r="M5501" s="465"/>
      <c r="N5501" s="201"/>
    </row>
    <row r="5502" spans="2:14" hidden="1" outlineLevel="1" x14ac:dyDescent="0.35">
      <c r="B5502" s="200"/>
      <c r="C5502" s="201"/>
      <c r="D5502" s="201"/>
      <c r="E5502" s="201"/>
      <c r="F5502" s="202"/>
      <c r="G5502" s="549"/>
      <c r="H5502" s="549"/>
      <c r="I5502" s="549"/>
      <c r="J5502" s="549"/>
      <c r="K5502" s="549"/>
      <c r="M5502" s="465"/>
      <c r="N5502" s="201"/>
    </row>
    <row r="5503" spans="2:14" hidden="1" outlineLevel="1" x14ac:dyDescent="0.35">
      <c r="B5503" s="200"/>
      <c r="C5503" s="201"/>
      <c r="D5503" s="201"/>
      <c r="E5503" s="201"/>
      <c r="F5503" s="202"/>
      <c r="G5503" s="549"/>
      <c r="H5503" s="549"/>
      <c r="I5503" s="549"/>
      <c r="J5503" s="549"/>
      <c r="K5503" s="549"/>
      <c r="M5503" s="465"/>
      <c r="N5503" s="201"/>
    </row>
    <row r="5504" spans="2:14" hidden="1" outlineLevel="1" x14ac:dyDescent="0.35">
      <c r="B5504" s="200"/>
      <c r="C5504" s="201"/>
      <c r="D5504" s="201"/>
      <c r="E5504" s="201"/>
      <c r="F5504" s="202"/>
      <c r="G5504" s="549"/>
      <c r="H5504" s="549"/>
      <c r="I5504" s="549"/>
      <c r="J5504" s="549"/>
      <c r="K5504" s="549"/>
      <c r="M5504" s="465"/>
      <c r="N5504" s="201"/>
    </row>
    <row r="5505" spans="2:14" hidden="1" outlineLevel="1" x14ac:dyDescent="0.35">
      <c r="B5505" s="200"/>
      <c r="C5505" s="201"/>
      <c r="D5505" s="201"/>
      <c r="E5505" s="201"/>
      <c r="F5505" s="202"/>
      <c r="G5505" s="549"/>
      <c r="H5505" s="549"/>
      <c r="I5505" s="549"/>
      <c r="J5505" s="549"/>
      <c r="K5505" s="549"/>
      <c r="M5505" s="465"/>
      <c r="N5505" s="201"/>
    </row>
    <row r="5506" spans="2:14" hidden="1" outlineLevel="1" x14ac:dyDescent="0.35">
      <c r="B5506" s="200"/>
      <c r="C5506" s="201"/>
      <c r="D5506" s="201"/>
      <c r="E5506" s="201"/>
      <c r="F5506" s="202"/>
      <c r="G5506" s="549"/>
      <c r="H5506" s="549"/>
      <c r="I5506" s="549"/>
      <c r="J5506" s="549"/>
      <c r="K5506" s="549"/>
      <c r="M5506" s="465"/>
      <c r="N5506" s="201"/>
    </row>
    <row r="5507" spans="2:14" hidden="1" outlineLevel="1" x14ac:dyDescent="0.35">
      <c r="B5507" s="200"/>
      <c r="C5507" s="201"/>
      <c r="D5507" s="201"/>
      <c r="E5507" s="201"/>
      <c r="F5507" s="202"/>
      <c r="G5507" s="549"/>
      <c r="H5507" s="549"/>
      <c r="I5507" s="549"/>
      <c r="J5507" s="549"/>
      <c r="K5507" s="549"/>
      <c r="M5507" s="465"/>
      <c r="N5507" s="201"/>
    </row>
    <row r="5508" spans="2:14" hidden="1" outlineLevel="1" x14ac:dyDescent="0.35">
      <c r="B5508" s="200"/>
      <c r="C5508" s="201"/>
      <c r="D5508" s="201"/>
      <c r="E5508" s="201"/>
      <c r="F5508" s="202"/>
      <c r="G5508" s="549"/>
      <c r="H5508" s="549"/>
      <c r="I5508" s="549"/>
      <c r="J5508" s="549"/>
      <c r="K5508" s="549"/>
      <c r="M5508" s="465"/>
      <c r="N5508" s="201"/>
    </row>
    <row r="5509" spans="2:14" hidden="1" outlineLevel="1" x14ac:dyDescent="0.35">
      <c r="B5509" s="200"/>
      <c r="C5509" s="201"/>
      <c r="D5509" s="201"/>
      <c r="E5509" s="201"/>
      <c r="F5509" s="202"/>
      <c r="G5509" s="549"/>
      <c r="H5509" s="549"/>
      <c r="I5509" s="549"/>
      <c r="J5509" s="549"/>
      <c r="K5509" s="549"/>
      <c r="M5509" s="465"/>
      <c r="N5509" s="201"/>
    </row>
    <row r="5510" spans="2:14" hidden="1" outlineLevel="1" x14ac:dyDescent="0.35">
      <c r="B5510" s="200"/>
      <c r="C5510" s="201"/>
      <c r="D5510" s="201"/>
      <c r="E5510" s="201"/>
      <c r="F5510" s="202"/>
      <c r="G5510" s="549"/>
      <c r="H5510" s="549"/>
      <c r="I5510" s="549"/>
      <c r="J5510" s="549"/>
      <c r="K5510" s="549"/>
      <c r="M5510" s="465"/>
      <c r="N5510" s="201"/>
    </row>
    <row r="5511" spans="2:14" hidden="1" outlineLevel="1" x14ac:dyDescent="0.35">
      <c r="B5511" s="200"/>
      <c r="C5511" s="201"/>
      <c r="D5511" s="201"/>
      <c r="E5511" s="201"/>
      <c r="F5511" s="202"/>
      <c r="G5511" s="549"/>
      <c r="H5511" s="549"/>
      <c r="I5511" s="549"/>
      <c r="J5511" s="549"/>
      <c r="K5511" s="549"/>
      <c r="M5511" s="465"/>
      <c r="N5511" s="201"/>
    </row>
    <row r="5512" spans="2:14" hidden="1" outlineLevel="1" x14ac:dyDescent="0.35">
      <c r="B5512" s="200"/>
      <c r="C5512" s="201"/>
      <c r="D5512" s="201"/>
      <c r="E5512" s="201"/>
      <c r="F5512" s="202"/>
      <c r="G5512" s="549"/>
      <c r="H5512" s="549"/>
      <c r="I5512" s="549"/>
      <c r="J5512" s="549"/>
      <c r="K5512" s="549"/>
      <c r="M5512" s="465"/>
      <c r="N5512" s="201"/>
    </row>
    <row r="5513" spans="2:14" hidden="1" outlineLevel="1" x14ac:dyDescent="0.35">
      <c r="B5513" s="200"/>
      <c r="C5513" s="201"/>
      <c r="D5513" s="201"/>
      <c r="E5513" s="201"/>
      <c r="F5513" s="202"/>
      <c r="G5513" s="549"/>
      <c r="H5513" s="549"/>
      <c r="I5513" s="549"/>
      <c r="J5513" s="549"/>
      <c r="K5513" s="549"/>
      <c r="M5513" s="465"/>
      <c r="N5513" s="201"/>
    </row>
    <row r="5514" spans="2:14" hidden="1" outlineLevel="1" x14ac:dyDescent="0.35">
      <c r="B5514" s="200"/>
      <c r="C5514" s="201"/>
      <c r="D5514" s="201"/>
      <c r="E5514" s="201"/>
      <c r="F5514" s="202"/>
      <c r="G5514" s="549"/>
      <c r="H5514" s="549"/>
      <c r="I5514" s="549"/>
      <c r="J5514" s="549"/>
      <c r="K5514" s="549"/>
      <c r="M5514" s="465"/>
      <c r="N5514" s="201"/>
    </row>
    <row r="5515" spans="2:14" hidden="1" outlineLevel="1" x14ac:dyDescent="0.35">
      <c r="B5515" s="200"/>
      <c r="C5515" s="201"/>
      <c r="D5515" s="201"/>
      <c r="E5515" s="201"/>
      <c r="F5515" s="202"/>
      <c r="G5515" s="549"/>
      <c r="H5515" s="549"/>
      <c r="I5515" s="549"/>
      <c r="J5515" s="549"/>
      <c r="K5515" s="549"/>
      <c r="M5515" s="465"/>
      <c r="N5515" s="201"/>
    </row>
    <row r="5516" spans="2:14" hidden="1" outlineLevel="1" x14ac:dyDescent="0.35">
      <c r="B5516" s="200"/>
      <c r="C5516" s="201"/>
      <c r="D5516" s="201"/>
      <c r="E5516" s="201"/>
      <c r="F5516" s="202"/>
      <c r="G5516" s="549"/>
      <c r="H5516" s="549"/>
      <c r="I5516" s="549"/>
      <c r="J5516" s="549"/>
      <c r="K5516" s="549"/>
      <c r="M5516" s="465"/>
      <c r="N5516" s="201"/>
    </row>
    <row r="5517" spans="2:14" hidden="1" outlineLevel="1" x14ac:dyDescent="0.35">
      <c r="B5517" s="200"/>
      <c r="C5517" s="201"/>
      <c r="D5517" s="201"/>
      <c r="E5517" s="201"/>
      <c r="F5517" s="202"/>
      <c r="G5517" s="549"/>
      <c r="H5517" s="549"/>
      <c r="I5517" s="549"/>
      <c r="J5517" s="549"/>
      <c r="K5517" s="549"/>
      <c r="M5517" s="465"/>
      <c r="N5517" s="201"/>
    </row>
    <row r="5518" spans="2:14" hidden="1" outlineLevel="1" x14ac:dyDescent="0.35">
      <c r="B5518" s="200"/>
      <c r="C5518" s="201"/>
      <c r="D5518" s="201"/>
      <c r="E5518" s="201"/>
      <c r="F5518" s="202"/>
      <c r="G5518" s="549"/>
      <c r="H5518" s="549"/>
      <c r="I5518" s="549"/>
      <c r="J5518" s="549"/>
      <c r="K5518" s="549"/>
      <c r="M5518" s="465"/>
      <c r="N5518" s="201"/>
    </row>
    <row r="5519" spans="2:14" hidden="1" outlineLevel="1" x14ac:dyDescent="0.35">
      <c r="B5519" s="200"/>
      <c r="C5519" s="201"/>
      <c r="D5519" s="201"/>
      <c r="E5519" s="201"/>
      <c r="F5519" s="202"/>
      <c r="G5519" s="549"/>
      <c r="H5519" s="549"/>
      <c r="I5519" s="549"/>
      <c r="J5519" s="549"/>
      <c r="K5519" s="549"/>
      <c r="M5519" s="465"/>
      <c r="N5519" s="201"/>
    </row>
    <row r="5520" spans="2:14" hidden="1" outlineLevel="1" x14ac:dyDescent="0.35">
      <c r="B5520" s="200"/>
      <c r="C5520" s="201"/>
      <c r="D5520" s="201"/>
      <c r="E5520" s="201"/>
      <c r="F5520" s="202"/>
      <c r="G5520" s="549"/>
      <c r="H5520" s="549"/>
      <c r="I5520" s="549"/>
      <c r="J5520" s="549"/>
      <c r="K5520" s="549"/>
      <c r="M5520" s="465"/>
      <c r="N5520" s="201"/>
    </row>
    <row r="5521" spans="2:14" hidden="1" outlineLevel="1" x14ac:dyDescent="0.35">
      <c r="B5521" s="200"/>
      <c r="C5521" s="201"/>
      <c r="D5521" s="201"/>
      <c r="E5521" s="201"/>
      <c r="F5521" s="202"/>
      <c r="G5521" s="549"/>
      <c r="H5521" s="549"/>
      <c r="I5521" s="549"/>
      <c r="J5521" s="549"/>
      <c r="K5521" s="549"/>
      <c r="M5521" s="465"/>
      <c r="N5521" s="201"/>
    </row>
    <row r="5522" spans="2:14" hidden="1" outlineLevel="1" x14ac:dyDescent="0.35">
      <c r="B5522" s="200"/>
      <c r="C5522" s="201"/>
      <c r="D5522" s="201"/>
      <c r="E5522" s="201"/>
      <c r="F5522" s="202"/>
      <c r="G5522" s="549"/>
      <c r="H5522" s="549"/>
      <c r="I5522" s="549"/>
      <c r="J5522" s="549"/>
      <c r="K5522" s="549"/>
      <c r="M5522" s="465"/>
      <c r="N5522" s="201"/>
    </row>
    <row r="5523" spans="2:14" hidden="1" outlineLevel="1" x14ac:dyDescent="0.35">
      <c r="B5523" s="200"/>
      <c r="C5523" s="201"/>
      <c r="D5523" s="201"/>
      <c r="E5523" s="201"/>
      <c r="F5523" s="202"/>
      <c r="G5523" s="549"/>
      <c r="H5523" s="549"/>
      <c r="I5523" s="549"/>
      <c r="J5523" s="549"/>
      <c r="K5523" s="549"/>
      <c r="M5523" s="465"/>
      <c r="N5523" s="201"/>
    </row>
    <row r="5524" spans="2:14" hidden="1" outlineLevel="1" x14ac:dyDescent="0.35">
      <c r="B5524" s="200"/>
      <c r="C5524" s="201"/>
      <c r="D5524" s="201"/>
      <c r="E5524" s="201"/>
      <c r="F5524" s="202"/>
      <c r="G5524" s="549"/>
      <c r="H5524" s="549"/>
      <c r="I5524" s="549"/>
      <c r="J5524" s="549"/>
      <c r="K5524" s="549"/>
      <c r="M5524" s="465"/>
      <c r="N5524" s="201"/>
    </row>
    <row r="5525" spans="2:14" hidden="1" outlineLevel="1" x14ac:dyDescent="0.35">
      <c r="B5525" s="200"/>
      <c r="C5525" s="201"/>
      <c r="D5525" s="201"/>
      <c r="E5525" s="201"/>
      <c r="F5525" s="202"/>
      <c r="G5525" s="549"/>
      <c r="H5525" s="549"/>
      <c r="I5525" s="549"/>
      <c r="J5525" s="549"/>
      <c r="K5525" s="549"/>
      <c r="M5525" s="465"/>
      <c r="N5525" s="201"/>
    </row>
    <row r="5526" spans="2:14" hidden="1" outlineLevel="1" x14ac:dyDescent="0.35">
      <c r="B5526" s="200"/>
      <c r="C5526" s="201"/>
      <c r="D5526" s="201"/>
      <c r="E5526" s="201"/>
      <c r="F5526" s="202"/>
      <c r="G5526" s="549"/>
      <c r="H5526" s="549"/>
      <c r="I5526" s="549"/>
      <c r="J5526" s="549"/>
      <c r="K5526" s="549"/>
      <c r="M5526" s="465"/>
      <c r="N5526" s="201"/>
    </row>
    <row r="5527" spans="2:14" hidden="1" outlineLevel="1" x14ac:dyDescent="0.35">
      <c r="B5527" s="200"/>
      <c r="C5527" s="201"/>
      <c r="D5527" s="201"/>
      <c r="E5527" s="201"/>
      <c r="F5527" s="202"/>
      <c r="G5527" s="549"/>
      <c r="H5527" s="549"/>
      <c r="I5527" s="549"/>
      <c r="J5527" s="549"/>
      <c r="K5527" s="549"/>
      <c r="M5527" s="465"/>
      <c r="N5527" s="201"/>
    </row>
    <row r="5528" spans="2:14" hidden="1" outlineLevel="1" x14ac:dyDescent="0.35">
      <c r="B5528" s="200"/>
      <c r="C5528" s="201"/>
      <c r="D5528" s="201"/>
      <c r="E5528" s="201"/>
      <c r="F5528" s="202"/>
      <c r="G5528" s="549"/>
      <c r="H5528" s="549"/>
      <c r="I5528" s="549"/>
      <c r="J5528" s="549"/>
      <c r="K5528" s="549"/>
      <c r="M5528" s="465"/>
      <c r="N5528" s="201"/>
    </row>
    <row r="5529" spans="2:14" hidden="1" outlineLevel="1" x14ac:dyDescent="0.35">
      <c r="B5529" s="200"/>
      <c r="C5529" s="201"/>
      <c r="D5529" s="201"/>
      <c r="E5529" s="201"/>
      <c r="F5529" s="202"/>
      <c r="G5529" s="549"/>
      <c r="H5529" s="549"/>
      <c r="I5529" s="549"/>
      <c r="J5529" s="549"/>
      <c r="K5529" s="549"/>
      <c r="M5529" s="465"/>
      <c r="N5529" s="201"/>
    </row>
    <row r="5530" spans="2:14" hidden="1" outlineLevel="1" x14ac:dyDescent="0.35">
      <c r="B5530" s="200"/>
      <c r="C5530" s="201"/>
      <c r="D5530" s="201"/>
      <c r="E5530" s="201"/>
      <c r="F5530" s="202"/>
      <c r="G5530" s="549"/>
      <c r="H5530" s="549"/>
      <c r="I5530" s="549"/>
      <c r="J5530" s="549"/>
      <c r="K5530" s="549"/>
      <c r="M5530" s="465"/>
      <c r="N5530" s="201"/>
    </row>
    <row r="5531" spans="2:14" hidden="1" outlineLevel="1" x14ac:dyDescent="0.35">
      <c r="B5531" s="200"/>
      <c r="C5531" s="201"/>
      <c r="D5531" s="201"/>
      <c r="E5531" s="201"/>
      <c r="F5531" s="202"/>
      <c r="G5531" s="549"/>
      <c r="H5531" s="549"/>
      <c r="I5531" s="549"/>
      <c r="J5531" s="549"/>
      <c r="K5531" s="549"/>
      <c r="M5531" s="465"/>
      <c r="N5531" s="201"/>
    </row>
    <row r="5532" spans="2:14" hidden="1" outlineLevel="1" x14ac:dyDescent="0.35">
      <c r="B5532" s="200"/>
      <c r="C5532" s="201"/>
      <c r="D5532" s="201"/>
      <c r="E5532" s="201"/>
      <c r="F5532" s="202"/>
      <c r="G5532" s="549"/>
      <c r="H5532" s="549"/>
      <c r="I5532" s="549"/>
      <c r="J5532" s="549"/>
      <c r="K5532" s="549"/>
      <c r="M5532" s="465"/>
      <c r="N5532" s="201"/>
    </row>
    <row r="5533" spans="2:14" hidden="1" outlineLevel="1" x14ac:dyDescent="0.35">
      <c r="B5533" s="200"/>
      <c r="C5533" s="201"/>
      <c r="D5533" s="201"/>
      <c r="E5533" s="201"/>
      <c r="F5533" s="202"/>
      <c r="G5533" s="549"/>
      <c r="H5533" s="549"/>
      <c r="I5533" s="549"/>
      <c r="J5533" s="549"/>
      <c r="K5533" s="549"/>
      <c r="M5533" s="465"/>
      <c r="N5533" s="201"/>
    </row>
    <row r="5534" spans="2:14" hidden="1" outlineLevel="1" x14ac:dyDescent="0.35">
      <c r="B5534" s="200"/>
      <c r="C5534" s="201"/>
      <c r="D5534" s="201"/>
      <c r="E5534" s="201"/>
      <c r="F5534" s="202"/>
      <c r="G5534" s="549"/>
      <c r="H5534" s="549"/>
      <c r="I5534" s="549"/>
      <c r="J5534" s="549"/>
      <c r="K5534" s="549"/>
      <c r="M5534" s="465"/>
      <c r="N5534" s="201"/>
    </row>
    <row r="5535" spans="2:14" hidden="1" outlineLevel="1" x14ac:dyDescent="0.35">
      <c r="B5535" s="200"/>
      <c r="C5535" s="201"/>
      <c r="D5535" s="201"/>
      <c r="E5535" s="201"/>
      <c r="F5535" s="202"/>
      <c r="G5535" s="549"/>
      <c r="H5535" s="549"/>
      <c r="I5535" s="549"/>
      <c r="J5535" s="549"/>
      <c r="K5535" s="549"/>
      <c r="M5535" s="465"/>
      <c r="N5535" s="201"/>
    </row>
    <row r="5536" spans="2:14" hidden="1" outlineLevel="1" x14ac:dyDescent="0.35">
      <c r="B5536" s="200"/>
      <c r="C5536" s="201"/>
      <c r="D5536" s="201"/>
      <c r="E5536" s="201"/>
      <c r="F5536" s="202"/>
      <c r="G5536" s="549"/>
      <c r="H5536" s="549"/>
      <c r="I5536" s="549"/>
      <c r="J5536" s="549"/>
      <c r="K5536" s="549"/>
      <c r="M5536" s="465"/>
      <c r="N5536" s="201"/>
    </row>
    <row r="5537" spans="2:14" hidden="1" outlineLevel="1" x14ac:dyDescent="0.35">
      <c r="B5537" s="200"/>
      <c r="C5537" s="201"/>
      <c r="D5537" s="201"/>
      <c r="E5537" s="201"/>
      <c r="F5537" s="202"/>
      <c r="G5537" s="549"/>
      <c r="H5537" s="549"/>
      <c r="I5537" s="549"/>
      <c r="J5537" s="549"/>
      <c r="K5537" s="549"/>
      <c r="M5537" s="465"/>
      <c r="N5537" s="201"/>
    </row>
    <row r="5538" spans="2:14" hidden="1" outlineLevel="1" x14ac:dyDescent="0.35">
      <c r="B5538" s="200"/>
      <c r="C5538" s="201"/>
      <c r="D5538" s="201"/>
      <c r="E5538" s="201"/>
      <c r="F5538" s="202"/>
      <c r="G5538" s="549"/>
      <c r="H5538" s="549"/>
      <c r="I5538" s="549"/>
      <c r="J5538" s="549"/>
      <c r="K5538" s="549"/>
      <c r="M5538" s="465"/>
      <c r="N5538" s="201"/>
    </row>
    <row r="5539" spans="2:14" hidden="1" outlineLevel="1" x14ac:dyDescent="0.35">
      <c r="B5539" s="200"/>
      <c r="C5539" s="201"/>
      <c r="D5539" s="201"/>
      <c r="E5539" s="201"/>
      <c r="F5539" s="202"/>
      <c r="G5539" s="549"/>
      <c r="H5539" s="549"/>
      <c r="I5539" s="549"/>
      <c r="J5539" s="549"/>
      <c r="K5539" s="549"/>
      <c r="M5539" s="465"/>
      <c r="N5539" s="201"/>
    </row>
    <row r="5540" spans="2:14" hidden="1" outlineLevel="1" x14ac:dyDescent="0.35">
      <c r="B5540" s="200"/>
      <c r="C5540" s="201"/>
      <c r="D5540" s="201"/>
      <c r="E5540" s="201"/>
      <c r="F5540" s="202"/>
      <c r="G5540" s="549"/>
      <c r="H5540" s="549"/>
      <c r="I5540" s="549"/>
      <c r="J5540" s="549"/>
      <c r="K5540" s="549"/>
      <c r="M5540" s="465"/>
      <c r="N5540" s="201"/>
    </row>
    <row r="5541" spans="2:14" hidden="1" outlineLevel="1" x14ac:dyDescent="0.35">
      <c r="B5541" s="200"/>
      <c r="C5541" s="201"/>
      <c r="D5541" s="201"/>
      <c r="E5541" s="201"/>
      <c r="F5541" s="202"/>
      <c r="G5541" s="549"/>
      <c r="H5541" s="549"/>
      <c r="I5541" s="549"/>
      <c r="J5541" s="549"/>
      <c r="K5541" s="549"/>
      <c r="M5541" s="465"/>
      <c r="N5541" s="201"/>
    </row>
    <row r="5542" spans="2:14" hidden="1" outlineLevel="1" x14ac:dyDescent="0.35">
      <c r="B5542" s="200"/>
      <c r="C5542" s="201"/>
      <c r="D5542" s="201"/>
      <c r="E5542" s="201"/>
      <c r="F5542" s="202"/>
      <c r="G5542" s="549"/>
      <c r="H5542" s="549"/>
      <c r="I5542" s="549"/>
      <c r="J5542" s="549"/>
      <c r="K5542" s="549"/>
      <c r="M5542" s="465"/>
      <c r="N5542" s="201"/>
    </row>
    <row r="5543" spans="2:14" hidden="1" outlineLevel="1" x14ac:dyDescent="0.35">
      <c r="B5543" s="200"/>
      <c r="C5543" s="201"/>
      <c r="D5543" s="201"/>
      <c r="E5543" s="201"/>
      <c r="F5543" s="202"/>
      <c r="G5543" s="549"/>
      <c r="H5543" s="549"/>
      <c r="I5543" s="549"/>
      <c r="J5543" s="549"/>
      <c r="K5543" s="549"/>
      <c r="M5543" s="465"/>
      <c r="N5543" s="201"/>
    </row>
    <row r="5544" spans="2:14" hidden="1" outlineLevel="1" x14ac:dyDescent="0.35">
      <c r="B5544" s="200"/>
      <c r="C5544" s="201"/>
      <c r="D5544" s="201"/>
      <c r="E5544" s="201"/>
      <c r="F5544" s="202"/>
      <c r="G5544" s="549"/>
      <c r="H5544" s="549"/>
      <c r="I5544" s="549"/>
      <c r="J5544" s="549"/>
      <c r="K5544" s="549"/>
      <c r="M5544" s="465"/>
      <c r="N5544" s="201"/>
    </row>
    <row r="5545" spans="2:14" hidden="1" outlineLevel="1" x14ac:dyDescent="0.35">
      <c r="B5545" s="200"/>
      <c r="C5545" s="201"/>
      <c r="D5545" s="201"/>
      <c r="E5545" s="201"/>
      <c r="F5545" s="202"/>
      <c r="G5545" s="549"/>
      <c r="H5545" s="549"/>
      <c r="I5545" s="549"/>
      <c r="J5545" s="549"/>
      <c r="K5545" s="549"/>
      <c r="M5545" s="465"/>
      <c r="N5545" s="201"/>
    </row>
    <row r="5546" spans="2:14" hidden="1" outlineLevel="1" x14ac:dyDescent="0.35">
      <c r="B5546" s="200"/>
      <c r="C5546" s="201"/>
      <c r="D5546" s="201"/>
      <c r="E5546" s="201"/>
      <c r="F5546" s="202"/>
      <c r="G5546" s="549"/>
      <c r="H5546" s="549"/>
      <c r="I5546" s="549"/>
      <c r="J5546" s="549"/>
      <c r="K5546" s="549"/>
      <c r="M5546" s="465"/>
      <c r="N5546" s="201"/>
    </row>
    <row r="5547" spans="2:14" hidden="1" outlineLevel="1" x14ac:dyDescent="0.35">
      <c r="B5547" s="200"/>
      <c r="C5547" s="201"/>
      <c r="D5547" s="201"/>
      <c r="E5547" s="201"/>
      <c r="F5547" s="202"/>
      <c r="G5547" s="549"/>
      <c r="H5547" s="549"/>
      <c r="I5547" s="549"/>
      <c r="J5547" s="549"/>
      <c r="K5547" s="549"/>
      <c r="M5547" s="465"/>
      <c r="N5547" s="201"/>
    </row>
    <row r="5548" spans="2:14" hidden="1" outlineLevel="1" x14ac:dyDescent="0.35">
      <c r="B5548" s="200"/>
      <c r="C5548" s="201"/>
      <c r="D5548" s="201"/>
      <c r="E5548" s="201"/>
      <c r="F5548" s="202"/>
      <c r="G5548" s="549"/>
      <c r="H5548" s="549"/>
      <c r="I5548" s="549"/>
      <c r="J5548" s="549"/>
      <c r="K5548" s="549"/>
      <c r="M5548" s="465"/>
      <c r="N5548" s="201"/>
    </row>
    <row r="5549" spans="2:14" hidden="1" outlineLevel="1" x14ac:dyDescent="0.35">
      <c r="B5549" s="200"/>
      <c r="C5549" s="201"/>
      <c r="D5549" s="201"/>
      <c r="E5549" s="201"/>
      <c r="F5549" s="202"/>
      <c r="G5549" s="549"/>
      <c r="H5549" s="549"/>
      <c r="I5549" s="549"/>
      <c r="J5549" s="549"/>
      <c r="K5549" s="549"/>
      <c r="M5549" s="465"/>
      <c r="N5549" s="201"/>
    </row>
    <row r="5550" spans="2:14" hidden="1" outlineLevel="1" x14ac:dyDescent="0.35">
      <c r="B5550" s="200"/>
      <c r="C5550" s="201"/>
      <c r="D5550" s="201"/>
      <c r="E5550" s="201"/>
      <c r="F5550" s="202"/>
      <c r="G5550" s="549"/>
      <c r="H5550" s="549"/>
      <c r="I5550" s="549"/>
      <c r="J5550" s="549"/>
      <c r="K5550" s="549"/>
      <c r="M5550" s="465"/>
      <c r="N5550" s="201"/>
    </row>
    <row r="5551" spans="2:14" hidden="1" outlineLevel="1" x14ac:dyDescent="0.35">
      <c r="B5551" s="200"/>
      <c r="C5551" s="201"/>
      <c r="D5551" s="201"/>
      <c r="E5551" s="201"/>
      <c r="F5551" s="202"/>
      <c r="G5551" s="549"/>
      <c r="H5551" s="549"/>
      <c r="I5551" s="549"/>
      <c r="J5551" s="549"/>
      <c r="K5551" s="549"/>
      <c r="M5551" s="465"/>
      <c r="N5551" s="201"/>
    </row>
    <row r="5552" spans="2:14" hidden="1" outlineLevel="1" x14ac:dyDescent="0.35">
      <c r="B5552" s="200"/>
      <c r="C5552" s="201"/>
      <c r="D5552" s="201"/>
      <c r="E5552" s="201"/>
      <c r="F5552" s="202"/>
      <c r="G5552" s="549"/>
      <c r="H5552" s="549"/>
      <c r="I5552" s="549"/>
      <c r="J5552" s="549"/>
      <c r="K5552" s="549"/>
      <c r="M5552" s="465"/>
      <c r="N5552" s="201"/>
    </row>
    <row r="5553" spans="2:14" hidden="1" outlineLevel="1" x14ac:dyDescent="0.35">
      <c r="B5553" s="200"/>
      <c r="C5553" s="201"/>
      <c r="D5553" s="201"/>
      <c r="E5553" s="201"/>
      <c r="F5553" s="202"/>
      <c r="G5553" s="549"/>
      <c r="H5553" s="549"/>
      <c r="I5553" s="549"/>
      <c r="J5553" s="549"/>
      <c r="K5553" s="549"/>
      <c r="M5553" s="465"/>
      <c r="N5553" s="201"/>
    </row>
    <row r="5554" spans="2:14" hidden="1" outlineLevel="1" x14ac:dyDescent="0.35">
      <c r="B5554" s="200"/>
      <c r="C5554" s="201"/>
      <c r="D5554" s="201"/>
      <c r="E5554" s="201"/>
      <c r="F5554" s="202"/>
      <c r="G5554" s="549"/>
      <c r="H5554" s="549"/>
      <c r="I5554" s="549"/>
      <c r="J5554" s="549"/>
      <c r="K5554" s="549"/>
      <c r="M5554" s="465"/>
      <c r="N5554" s="201"/>
    </row>
    <row r="5555" spans="2:14" hidden="1" outlineLevel="1" x14ac:dyDescent="0.35">
      <c r="B5555" s="200"/>
      <c r="C5555" s="201"/>
      <c r="D5555" s="201"/>
      <c r="E5555" s="201"/>
      <c r="F5555" s="202"/>
      <c r="G5555" s="549"/>
      <c r="H5555" s="549"/>
      <c r="I5555" s="549"/>
      <c r="J5555" s="549"/>
      <c r="K5555" s="549"/>
      <c r="M5555" s="465"/>
      <c r="N5555" s="201"/>
    </row>
    <row r="5556" spans="2:14" hidden="1" outlineLevel="1" x14ac:dyDescent="0.35">
      <c r="B5556" s="200"/>
      <c r="C5556" s="201"/>
      <c r="D5556" s="201"/>
      <c r="E5556" s="201"/>
      <c r="F5556" s="202"/>
      <c r="G5556" s="549"/>
      <c r="H5556" s="549"/>
      <c r="I5556" s="549"/>
      <c r="J5556" s="549"/>
      <c r="K5556" s="549"/>
      <c r="M5556" s="465"/>
      <c r="N5556" s="201"/>
    </row>
    <row r="5557" spans="2:14" hidden="1" outlineLevel="1" x14ac:dyDescent="0.35">
      <c r="B5557" s="200"/>
      <c r="C5557" s="201"/>
      <c r="D5557" s="201"/>
      <c r="E5557" s="201"/>
      <c r="F5557" s="202"/>
      <c r="G5557" s="549"/>
      <c r="H5557" s="549"/>
      <c r="I5557" s="549"/>
      <c r="J5557" s="549"/>
      <c r="K5557" s="549"/>
      <c r="M5557" s="465"/>
      <c r="N5557" s="201"/>
    </row>
    <row r="5558" spans="2:14" hidden="1" outlineLevel="1" x14ac:dyDescent="0.35">
      <c r="B5558" s="200"/>
      <c r="C5558" s="201"/>
      <c r="D5558" s="201"/>
      <c r="E5558" s="201"/>
      <c r="F5558" s="202"/>
      <c r="G5558" s="549"/>
      <c r="H5558" s="549"/>
      <c r="I5558" s="549"/>
      <c r="J5558" s="549"/>
      <c r="K5558" s="549"/>
      <c r="M5558" s="465"/>
      <c r="N5558" s="201"/>
    </row>
    <row r="5559" spans="2:14" hidden="1" outlineLevel="1" x14ac:dyDescent="0.35">
      <c r="B5559" s="200"/>
      <c r="C5559" s="201"/>
      <c r="D5559" s="201"/>
      <c r="E5559" s="201"/>
      <c r="F5559" s="202"/>
      <c r="G5559" s="549"/>
      <c r="H5559" s="549"/>
      <c r="I5559" s="549"/>
      <c r="J5559" s="549"/>
      <c r="K5559" s="549"/>
      <c r="M5559" s="465"/>
      <c r="N5559" s="201"/>
    </row>
    <row r="5560" spans="2:14" hidden="1" outlineLevel="1" x14ac:dyDescent="0.35">
      <c r="B5560" s="200"/>
      <c r="C5560" s="201"/>
      <c r="D5560" s="201"/>
      <c r="E5560" s="201"/>
      <c r="F5560" s="202"/>
      <c r="G5560" s="549"/>
      <c r="H5560" s="549"/>
      <c r="I5560" s="549"/>
      <c r="J5560" s="549"/>
      <c r="K5560" s="549"/>
      <c r="M5560" s="465"/>
      <c r="N5560" s="201"/>
    </row>
    <row r="5561" spans="2:14" hidden="1" outlineLevel="1" x14ac:dyDescent="0.35">
      <c r="B5561" s="200"/>
      <c r="C5561" s="201"/>
      <c r="D5561" s="201"/>
      <c r="E5561" s="201"/>
      <c r="F5561" s="202"/>
      <c r="G5561" s="549"/>
      <c r="H5561" s="549"/>
      <c r="I5561" s="549"/>
      <c r="J5561" s="549"/>
      <c r="K5561" s="549"/>
      <c r="M5561" s="465"/>
      <c r="N5561" s="201"/>
    </row>
    <row r="5562" spans="2:14" hidden="1" outlineLevel="1" x14ac:dyDescent="0.35">
      <c r="B5562" s="200"/>
      <c r="C5562" s="201"/>
      <c r="D5562" s="201"/>
      <c r="E5562" s="201"/>
      <c r="F5562" s="202"/>
      <c r="G5562" s="549"/>
      <c r="H5562" s="549"/>
      <c r="I5562" s="549"/>
      <c r="J5562" s="549"/>
      <c r="K5562" s="549"/>
      <c r="M5562" s="465"/>
      <c r="N5562" s="201"/>
    </row>
    <row r="5563" spans="2:14" hidden="1" outlineLevel="1" x14ac:dyDescent="0.35">
      <c r="B5563" s="200"/>
      <c r="C5563" s="201"/>
      <c r="D5563" s="201"/>
      <c r="E5563" s="201"/>
      <c r="F5563" s="202"/>
      <c r="G5563" s="549"/>
      <c r="H5563" s="549"/>
      <c r="I5563" s="549"/>
      <c r="J5563" s="549"/>
      <c r="K5563" s="549"/>
      <c r="M5563" s="465"/>
      <c r="N5563" s="201"/>
    </row>
    <row r="5564" spans="2:14" hidden="1" outlineLevel="1" x14ac:dyDescent="0.35">
      <c r="B5564" s="200"/>
      <c r="C5564" s="201"/>
      <c r="D5564" s="201"/>
      <c r="E5564" s="201"/>
      <c r="F5564" s="202"/>
      <c r="G5564" s="549"/>
      <c r="H5564" s="549"/>
      <c r="I5564" s="549"/>
      <c r="J5564" s="549"/>
      <c r="K5564" s="549"/>
      <c r="M5564" s="465"/>
      <c r="N5564" s="201"/>
    </row>
    <row r="5565" spans="2:14" hidden="1" outlineLevel="1" x14ac:dyDescent="0.35">
      <c r="B5565" s="200"/>
      <c r="C5565" s="201"/>
      <c r="D5565" s="201"/>
      <c r="E5565" s="201"/>
      <c r="F5565" s="202"/>
      <c r="G5565" s="549"/>
      <c r="H5565" s="549"/>
      <c r="I5565" s="549"/>
      <c r="J5565" s="549"/>
      <c r="K5565" s="549"/>
      <c r="M5565" s="465"/>
      <c r="N5565" s="201"/>
    </row>
    <row r="5566" spans="2:14" hidden="1" outlineLevel="1" x14ac:dyDescent="0.35">
      <c r="B5566" s="200"/>
      <c r="C5566" s="201"/>
      <c r="D5566" s="201"/>
      <c r="E5566" s="201"/>
      <c r="F5566" s="202"/>
      <c r="G5566" s="549"/>
      <c r="H5566" s="549"/>
      <c r="I5566" s="549"/>
      <c r="J5566" s="549"/>
      <c r="K5566" s="549"/>
      <c r="M5566" s="465"/>
      <c r="N5566" s="201"/>
    </row>
    <row r="5567" spans="2:14" hidden="1" outlineLevel="1" x14ac:dyDescent="0.35">
      <c r="B5567" s="200"/>
      <c r="C5567" s="201"/>
      <c r="D5567" s="201"/>
      <c r="E5567" s="201"/>
      <c r="F5567" s="202"/>
      <c r="G5567" s="549"/>
      <c r="H5567" s="549"/>
      <c r="I5567" s="549"/>
      <c r="J5567" s="549"/>
      <c r="K5567" s="549"/>
      <c r="M5567" s="465"/>
      <c r="N5567" s="201"/>
    </row>
    <row r="5568" spans="2:14" hidden="1" outlineLevel="1" x14ac:dyDescent="0.35">
      <c r="B5568" s="200"/>
      <c r="C5568" s="201"/>
      <c r="D5568" s="201"/>
      <c r="E5568" s="201"/>
      <c r="F5568" s="202"/>
      <c r="G5568" s="549"/>
      <c r="H5568" s="549"/>
      <c r="I5568" s="549"/>
      <c r="J5568" s="549"/>
      <c r="K5568" s="549"/>
      <c r="M5568" s="465"/>
      <c r="N5568" s="201"/>
    </row>
    <row r="5569" spans="2:14" hidden="1" outlineLevel="1" x14ac:dyDescent="0.35">
      <c r="B5569" s="200"/>
      <c r="C5569" s="201"/>
      <c r="D5569" s="201"/>
      <c r="E5569" s="201"/>
      <c r="F5569" s="202"/>
      <c r="G5569" s="549"/>
      <c r="H5569" s="549"/>
      <c r="I5569" s="549"/>
      <c r="J5569" s="549"/>
      <c r="K5569" s="549"/>
      <c r="M5569" s="465"/>
      <c r="N5569" s="201"/>
    </row>
    <row r="5570" spans="2:14" hidden="1" outlineLevel="1" x14ac:dyDescent="0.35">
      <c r="B5570" s="200"/>
      <c r="C5570" s="201"/>
      <c r="D5570" s="201"/>
      <c r="E5570" s="201"/>
      <c r="F5570" s="202"/>
      <c r="G5570" s="549"/>
      <c r="H5570" s="549"/>
      <c r="I5570" s="549"/>
      <c r="J5570" s="549"/>
      <c r="K5570" s="549"/>
      <c r="M5570" s="465"/>
      <c r="N5570" s="201"/>
    </row>
    <row r="5571" spans="2:14" hidden="1" outlineLevel="1" x14ac:dyDescent="0.35">
      <c r="B5571" s="200"/>
      <c r="C5571" s="201"/>
      <c r="D5571" s="201"/>
      <c r="E5571" s="201"/>
      <c r="F5571" s="202"/>
      <c r="G5571" s="549"/>
      <c r="H5571" s="549"/>
      <c r="I5571" s="549"/>
      <c r="J5571" s="549"/>
      <c r="K5571" s="549"/>
      <c r="M5571" s="465"/>
      <c r="N5571" s="201"/>
    </row>
    <row r="5572" spans="2:14" hidden="1" outlineLevel="1" x14ac:dyDescent="0.35">
      <c r="B5572" s="200"/>
      <c r="C5572" s="201"/>
      <c r="D5572" s="201"/>
      <c r="E5572" s="201"/>
      <c r="F5572" s="202"/>
      <c r="G5572" s="549"/>
      <c r="H5572" s="549"/>
      <c r="I5572" s="549"/>
      <c r="J5572" s="549"/>
      <c r="K5572" s="549"/>
      <c r="M5572" s="465"/>
      <c r="N5572" s="201"/>
    </row>
    <row r="5573" spans="2:14" hidden="1" outlineLevel="1" x14ac:dyDescent="0.35">
      <c r="B5573" s="200"/>
      <c r="C5573" s="201"/>
      <c r="D5573" s="201"/>
      <c r="E5573" s="201"/>
      <c r="F5573" s="202"/>
      <c r="G5573" s="549"/>
      <c r="H5573" s="549"/>
      <c r="I5573" s="549"/>
      <c r="J5573" s="549"/>
      <c r="K5573" s="549"/>
      <c r="M5573" s="465"/>
      <c r="N5573" s="201"/>
    </row>
    <row r="5574" spans="2:14" hidden="1" outlineLevel="1" x14ac:dyDescent="0.35">
      <c r="B5574" s="200"/>
      <c r="C5574" s="201"/>
      <c r="D5574" s="201"/>
      <c r="E5574" s="201"/>
      <c r="F5574" s="202"/>
      <c r="G5574" s="549"/>
      <c r="H5574" s="549"/>
      <c r="I5574" s="549"/>
      <c r="J5574" s="549"/>
      <c r="K5574" s="549"/>
      <c r="M5574" s="465"/>
      <c r="N5574" s="201"/>
    </row>
    <row r="5575" spans="2:14" hidden="1" outlineLevel="1" x14ac:dyDescent="0.35">
      <c r="B5575" s="200"/>
      <c r="C5575" s="201"/>
      <c r="D5575" s="201"/>
      <c r="E5575" s="201"/>
      <c r="F5575" s="202"/>
      <c r="G5575" s="549"/>
      <c r="H5575" s="549"/>
      <c r="I5575" s="549"/>
      <c r="J5575" s="549"/>
      <c r="K5575" s="549"/>
      <c r="M5575" s="465"/>
      <c r="N5575" s="201"/>
    </row>
    <row r="5576" spans="2:14" hidden="1" outlineLevel="1" x14ac:dyDescent="0.35">
      <c r="B5576" s="200"/>
      <c r="C5576" s="201"/>
      <c r="D5576" s="201"/>
      <c r="E5576" s="201"/>
      <c r="F5576" s="202"/>
      <c r="G5576" s="549"/>
      <c r="H5576" s="549"/>
      <c r="I5576" s="549"/>
      <c r="J5576" s="549"/>
      <c r="K5576" s="549"/>
      <c r="M5576" s="465"/>
      <c r="N5576" s="201"/>
    </row>
    <row r="5577" spans="2:14" hidden="1" outlineLevel="1" x14ac:dyDescent="0.35">
      <c r="B5577" s="200"/>
      <c r="C5577" s="201"/>
      <c r="D5577" s="201"/>
      <c r="E5577" s="201"/>
      <c r="F5577" s="202"/>
      <c r="G5577" s="549"/>
      <c r="H5577" s="549"/>
      <c r="I5577" s="549"/>
      <c r="J5577" s="549"/>
      <c r="K5577" s="549"/>
      <c r="M5577" s="465"/>
      <c r="N5577" s="201"/>
    </row>
    <row r="5578" spans="2:14" hidden="1" outlineLevel="1" x14ac:dyDescent="0.35">
      <c r="B5578" s="200"/>
      <c r="C5578" s="201"/>
      <c r="D5578" s="201"/>
      <c r="E5578" s="201"/>
      <c r="F5578" s="202"/>
      <c r="G5578" s="549"/>
      <c r="H5578" s="549"/>
      <c r="I5578" s="549"/>
      <c r="J5578" s="549"/>
      <c r="K5578" s="549"/>
      <c r="M5578" s="465"/>
      <c r="N5578" s="201"/>
    </row>
    <row r="5579" spans="2:14" hidden="1" outlineLevel="1" x14ac:dyDescent="0.35">
      <c r="B5579" s="200"/>
      <c r="C5579" s="201"/>
      <c r="D5579" s="201"/>
      <c r="E5579" s="201"/>
      <c r="F5579" s="202"/>
      <c r="G5579" s="549"/>
      <c r="H5579" s="549"/>
      <c r="I5579" s="549"/>
      <c r="J5579" s="549"/>
      <c r="K5579" s="549"/>
      <c r="M5579" s="465"/>
      <c r="N5579" s="201"/>
    </row>
    <row r="5580" spans="2:14" hidden="1" outlineLevel="1" x14ac:dyDescent="0.35">
      <c r="B5580" s="200"/>
      <c r="C5580" s="201"/>
      <c r="D5580" s="201"/>
      <c r="E5580" s="201"/>
      <c r="F5580" s="202"/>
      <c r="G5580" s="549"/>
      <c r="H5580" s="549"/>
      <c r="I5580" s="549"/>
      <c r="J5580" s="549"/>
      <c r="K5580" s="549"/>
      <c r="M5580" s="465"/>
      <c r="N5580" s="201"/>
    </row>
    <row r="5581" spans="2:14" hidden="1" outlineLevel="1" x14ac:dyDescent="0.35">
      <c r="B5581" s="200"/>
      <c r="C5581" s="201"/>
      <c r="D5581" s="201"/>
      <c r="E5581" s="201"/>
      <c r="F5581" s="202"/>
      <c r="G5581" s="549"/>
      <c r="H5581" s="549"/>
      <c r="I5581" s="549"/>
      <c r="J5581" s="549"/>
      <c r="K5581" s="549"/>
      <c r="M5581" s="465"/>
      <c r="N5581" s="201"/>
    </row>
    <row r="5582" spans="2:14" hidden="1" outlineLevel="1" x14ac:dyDescent="0.35">
      <c r="B5582" s="200"/>
      <c r="C5582" s="201"/>
      <c r="D5582" s="201"/>
      <c r="E5582" s="201"/>
      <c r="F5582" s="202"/>
      <c r="G5582" s="549"/>
      <c r="H5582" s="549"/>
      <c r="I5582" s="549"/>
      <c r="J5582" s="549"/>
      <c r="K5582" s="549"/>
      <c r="M5582" s="465"/>
      <c r="N5582" s="201"/>
    </row>
    <row r="5583" spans="2:14" hidden="1" outlineLevel="1" x14ac:dyDescent="0.35">
      <c r="B5583" s="200"/>
      <c r="C5583" s="201"/>
      <c r="D5583" s="201"/>
      <c r="E5583" s="201"/>
      <c r="F5583" s="202"/>
      <c r="G5583" s="549"/>
      <c r="H5583" s="549"/>
      <c r="I5583" s="549"/>
      <c r="J5583" s="549"/>
      <c r="K5583" s="549"/>
      <c r="M5583" s="465"/>
      <c r="N5583" s="201"/>
    </row>
    <row r="5584" spans="2:14" hidden="1" outlineLevel="1" x14ac:dyDescent="0.35">
      <c r="B5584" s="200"/>
      <c r="C5584" s="201"/>
      <c r="D5584" s="201"/>
      <c r="E5584" s="201"/>
      <c r="F5584" s="202"/>
      <c r="G5584" s="549"/>
      <c r="H5584" s="549"/>
      <c r="I5584" s="549"/>
      <c r="J5584" s="549"/>
      <c r="K5584" s="549"/>
      <c r="M5584" s="465"/>
      <c r="N5584" s="201"/>
    </row>
    <row r="5585" spans="2:14" hidden="1" outlineLevel="1" x14ac:dyDescent="0.35">
      <c r="B5585" s="200"/>
      <c r="C5585" s="201"/>
      <c r="D5585" s="201"/>
      <c r="E5585" s="201"/>
      <c r="F5585" s="202"/>
      <c r="G5585" s="549"/>
      <c r="H5585" s="549"/>
      <c r="I5585" s="549"/>
      <c r="J5585" s="549"/>
      <c r="K5585" s="549"/>
      <c r="M5585" s="465"/>
      <c r="N5585" s="201"/>
    </row>
    <row r="5586" spans="2:14" hidden="1" outlineLevel="1" x14ac:dyDescent="0.35">
      <c r="B5586" s="200"/>
      <c r="C5586" s="201"/>
      <c r="D5586" s="201"/>
      <c r="E5586" s="201"/>
      <c r="F5586" s="202"/>
      <c r="G5586" s="549"/>
      <c r="H5586" s="549"/>
      <c r="I5586" s="549"/>
      <c r="J5586" s="549"/>
      <c r="K5586" s="549"/>
      <c r="M5586" s="465"/>
      <c r="N5586" s="201"/>
    </row>
    <row r="5587" spans="2:14" hidden="1" outlineLevel="1" x14ac:dyDescent="0.35">
      <c r="B5587" s="200"/>
      <c r="C5587" s="201"/>
      <c r="D5587" s="201"/>
      <c r="E5587" s="201"/>
      <c r="F5587" s="202"/>
      <c r="G5587" s="549"/>
      <c r="H5587" s="549"/>
      <c r="I5587" s="549"/>
      <c r="J5587" s="549"/>
      <c r="K5587" s="549"/>
      <c r="M5587" s="465"/>
      <c r="N5587" s="201"/>
    </row>
    <row r="5588" spans="2:14" hidden="1" outlineLevel="1" x14ac:dyDescent="0.35">
      <c r="B5588" s="200"/>
      <c r="C5588" s="201"/>
      <c r="D5588" s="201"/>
      <c r="E5588" s="201"/>
      <c r="F5588" s="202"/>
      <c r="G5588" s="549"/>
      <c r="H5588" s="549"/>
      <c r="I5588" s="549"/>
      <c r="J5588" s="549"/>
      <c r="K5588" s="549"/>
      <c r="M5588" s="465"/>
      <c r="N5588" s="201"/>
    </row>
    <row r="5589" spans="2:14" hidden="1" outlineLevel="1" x14ac:dyDescent="0.35">
      <c r="B5589" s="200"/>
      <c r="C5589" s="201"/>
      <c r="D5589" s="201"/>
      <c r="E5589" s="201"/>
      <c r="F5589" s="202"/>
      <c r="G5589" s="549"/>
      <c r="H5589" s="549"/>
      <c r="I5589" s="549"/>
      <c r="J5589" s="549"/>
      <c r="K5589" s="549"/>
      <c r="M5589" s="465"/>
      <c r="N5589" s="201"/>
    </row>
    <row r="5590" spans="2:14" hidden="1" outlineLevel="1" x14ac:dyDescent="0.35">
      <c r="B5590" s="200"/>
      <c r="C5590" s="201"/>
      <c r="D5590" s="201"/>
      <c r="E5590" s="201"/>
      <c r="F5590" s="202"/>
      <c r="G5590" s="549"/>
      <c r="H5590" s="549"/>
      <c r="I5590" s="549"/>
      <c r="J5590" s="549"/>
      <c r="K5590" s="549"/>
      <c r="M5590" s="465"/>
      <c r="N5590" s="201"/>
    </row>
    <row r="5591" spans="2:14" hidden="1" outlineLevel="1" x14ac:dyDescent="0.35">
      <c r="B5591" s="200"/>
      <c r="C5591" s="201"/>
      <c r="D5591" s="201"/>
      <c r="E5591" s="201"/>
      <c r="F5591" s="202"/>
      <c r="G5591" s="549"/>
      <c r="H5591" s="549"/>
      <c r="I5591" s="549"/>
      <c r="J5591" s="549"/>
      <c r="K5591" s="549"/>
      <c r="M5591" s="465"/>
      <c r="N5591" s="201"/>
    </row>
    <row r="5592" spans="2:14" hidden="1" outlineLevel="1" x14ac:dyDescent="0.35">
      <c r="B5592" s="200"/>
      <c r="C5592" s="201"/>
      <c r="D5592" s="201"/>
      <c r="E5592" s="201"/>
      <c r="F5592" s="202"/>
      <c r="G5592" s="549"/>
      <c r="H5592" s="549"/>
      <c r="I5592" s="549"/>
      <c r="J5592" s="549"/>
      <c r="K5592" s="549"/>
      <c r="M5592" s="465"/>
      <c r="N5592" s="201"/>
    </row>
    <row r="5593" spans="2:14" hidden="1" outlineLevel="1" x14ac:dyDescent="0.35">
      <c r="B5593" s="200"/>
      <c r="C5593" s="201"/>
      <c r="D5593" s="201"/>
      <c r="E5593" s="201"/>
      <c r="F5593" s="202"/>
      <c r="G5593" s="549"/>
      <c r="H5593" s="549"/>
      <c r="I5593" s="549"/>
      <c r="J5593" s="549"/>
      <c r="K5593" s="549"/>
      <c r="M5593" s="465"/>
      <c r="N5593" s="201"/>
    </row>
    <row r="5594" spans="2:14" hidden="1" outlineLevel="1" x14ac:dyDescent="0.35">
      <c r="B5594" s="200"/>
      <c r="C5594" s="201"/>
      <c r="D5594" s="201"/>
      <c r="E5594" s="201"/>
      <c r="F5594" s="202"/>
      <c r="G5594" s="549"/>
      <c r="H5594" s="549"/>
      <c r="I5594" s="549"/>
      <c r="J5594" s="549"/>
      <c r="K5594" s="549"/>
      <c r="M5594" s="465"/>
      <c r="N5594" s="201"/>
    </row>
    <row r="5595" spans="2:14" hidden="1" outlineLevel="1" x14ac:dyDescent="0.35">
      <c r="B5595" s="200"/>
      <c r="C5595" s="201"/>
      <c r="D5595" s="201"/>
      <c r="E5595" s="201"/>
      <c r="F5595" s="202"/>
      <c r="G5595" s="549"/>
      <c r="H5595" s="549"/>
      <c r="I5595" s="549"/>
      <c r="J5595" s="549"/>
      <c r="K5595" s="549"/>
      <c r="M5595" s="465"/>
      <c r="N5595" s="201"/>
    </row>
    <row r="5596" spans="2:14" hidden="1" outlineLevel="1" x14ac:dyDescent="0.35">
      <c r="B5596" s="200"/>
      <c r="C5596" s="201"/>
      <c r="D5596" s="201"/>
      <c r="E5596" s="201"/>
      <c r="F5596" s="202"/>
      <c r="G5596" s="549"/>
      <c r="H5596" s="549"/>
      <c r="I5596" s="549"/>
      <c r="J5596" s="549"/>
      <c r="K5596" s="549"/>
      <c r="M5596" s="465"/>
      <c r="N5596" s="201"/>
    </row>
    <row r="5597" spans="2:14" hidden="1" outlineLevel="1" x14ac:dyDescent="0.35">
      <c r="B5597" s="200"/>
      <c r="C5597" s="201"/>
      <c r="D5597" s="201"/>
      <c r="E5597" s="201"/>
      <c r="F5597" s="202"/>
      <c r="G5597" s="549"/>
      <c r="H5597" s="549"/>
      <c r="I5597" s="549"/>
      <c r="J5597" s="549"/>
      <c r="K5597" s="549"/>
      <c r="M5597" s="465"/>
      <c r="N5597" s="201"/>
    </row>
    <row r="5598" spans="2:14" hidden="1" outlineLevel="1" x14ac:dyDescent="0.35">
      <c r="B5598" s="200"/>
      <c r="C5598" s="201"/>
      <c r="D5598" s="201"/>
      <c r="E5598" s="201"/>
      <c r="F5598" s="202"/>
      <c r="G5598" s="549"/>
      <c r="H5598" s="549"/>
      <c r="I5598" s="549"/>
      <c r="J5598" s="549"/>
      <c r="K5598" s="549"/>
      <c r="M5598" s="465"/>
      <c r="N5598" s="201"/>
    </row>
    <row r="5599" spans="2:14" hidden="1" outlineLevel="1" x14ac:dyDescent="0.35">
      <c r="B5599" s="200"/>
      <c r="C5599" s="201"/>
      <c r="D5599" s="201"/>
      <c r="E5599" s="201"/>
      <c r="F5599" s="202"/>
      <c r="G5599" s="549"/>
      <c r="H5599" s="549"/>
      <c r="I5599" s="549"/>
      <c r="J5599" s="549"/>
      <c r="K5599" s="549"/>
      <c r="M5599" s="465"/>
      <c r="N5599" s="201"/>
    </row>
    <row r="5600" spans="2:14" hidden="1" outlineLevel="1" x14ac:dyDescent="0.35">
      <c r="B5600" s="200"/>
      <c r="C5600" s="201"/>
      <c r="D5600" s="201"/>
      <c r="E5600" s="201"/>
      <c r="F5600" s="202"/>
      <c r="G5600" s="549"/>
      <c r="H5600" s="549"/>
      <c r="I5600" s="549"/>
      <c r="J5600" s="549"/>
      <c r="K5600" s="549"/>
      <c r="M5600" s="465"/>
      <c r="N5600" s="201"/>
    </row>
    <row r="5601" spans="2:14" hidden="1" outlineLevel="1" x14ac:dyDescent="0.35">
      <c r="B5601" s="200"/>
      <c r="C5601" s="201"/>
      <c r="D5601" s="201"/>
      <c r="E5601" s="201"/>
      <c r="F5601" s="202"/>
      <c r="G5601" s="549"/>
      <c r="H5601" s="549"/>
      <c r="I5601" s="549"/>
      <c r="J5601" s="549"/>
      <c r="K5601" s="549"/>
      <c r="M5601" s="465"/>
      <c r="N5601" s="201"/>
    </row>
    <row r="5602" spans="2:14" hidden="1" outlineLevel="1" x14ac:dyDescent="0.35">
      <c r="B5602" s="200"/>
      <c r="C5602" s="201"/>
      <c r="D5602" s="201"/>
      <c r="E5602" s="201"/>
      <c r="F5602" s="202"/>
      <c r="G5602" s="549"/>
      <c r="H5602" s="549"/>
      <c r="I5602" s="549"/>
      <c r="J5602" s="549"/>
      <c r="K5602" s="549"/>
      <c r="M5602" s="465"/>
      <c r="N5602" s="201"/>
    </row>
    <row r="5603" spans="2:14" hidden="1" outlineLevel="1" x14ac:dyDescent="0.35">
      <c r="B5603" s="200"/>
      <c r="C5603" s="201"/>
      <c r="D5603" s="201"/>
      <c r="E5603" s="201"/>
      <c r="F5603" s="202"/>
      <c r="G5603" s="549"/>
      <c r="H5603" s="549"/>
      <c r="I5603" s="549"/>
      <c r="J5603" s="549"/>
      <c r="K5603" s="549"/>
      <c r="M5603" s="465"/>
      <c r="N5603" s="201"/>
    </row>
    <row r="5604" spans="2:14" hidden="1" outlineLevel="1" x14ac:dyDescent="0.35">
      <c r="B5604" s="200"/>
      <c r="C5604" s="201"/>
      <c r="D5604" s="201"/>
      <c r="E5604" s="201"/>
      <c r="F5604" s="202"/>
      <c r="G5604" s="549"/>
      <c r="H5604" s="549"/>
      <c r="I5604" s="549"/>
      <c r="J5604" s="549"/>
      <c r="K5604" s="549"/>
      <c r="M5604" s="465"/>
      <c r="N5604" s="201"/>
    </row>
    <row r="5605" spans="2:14" hidden="1" outlineLevel="1" x14ac:dyDescent="0.35">
      <c r="B5605" s="200"/>
      <c r="C5605" s="201"/>
      <c r="D5605" s="201"/>
      <c r="E5605" s="201"/>
      <c r="F5605" s="202"/>
      <c r="G5605" s="549"/>
      <c r="H5605" s="549"/>
      <c r="I5605" s="549"/>
      <c r="J5605" s="549"/>
      <c r="K5605" s="549"/>
      <c r="M5605" s="465"/>
      <c r="N5605" s="201"/>
    </row>
    <row r="5606" spans="2:14" hidden="1" outlineLevel="1" x14ac:dyDescent="0.35">
      <c r="B5606" s="200"/>
      <c r="C5606" s="201"/>
      <c r="D5606" s="201"/>
      <c r="E5606" s="201"/>
      <c r="F5606" s="202"/>
      <c r="G5606" s="549"/>
      <c r="H5606" s="549"/>
      <c r="I5606" s="549"/>
      <c r="J5606" s="549"/>
      <c r="K5606" s="549"/>
      <c r="M5606" s="465"/>
      <c r="N5606" s="201"/>
    </row>
    <row r="5607" spans="2:14" hidden="1" outlineLevel="1" x14ac:dyDescent="0.35">
      <c r="B5607" s="200"/>
      <c r="C5607" s="201"/>
      <c r="D5607" s="201"/>
      <c r="E5607" s="201"/>
      <c r="F5607" s="202"/>
      <c r="G5607" s="549"/>
      <c r="H5607" s="549"/>
      <c r="I5607" s="549"/>
      <c r="J5607" s="549"/>
      <c r="K5607" s="549"/>
      <c r="M5607" s="465"/>
      <c r="N5607" s="201"/>
    </row>
    <row r="5608" spans="2:14" hidden="1" outlineLevel="1" x14ac:dyDescent="0.35">
      <c r="B5608" s="200"/>
      <c r="C5608" s="201"/>
      <c r="D5608" s="201"/>
      <c r="E5608" s="201"/>
      <c r="F5608" s="202"/>
      <c r="G5608" s="549"/>
      <c r="H5608" s="549"/>
      <c r="I5608" s="549"/>
      <c r="J5608" s="549"/>
      <c r="K5608" s="549"/>
      <c r="M5608" s="465"/>
      <c r="N5608" s="201"/>
    </row>
    <row r="5609" spans="2:14" hidden="1" outlineLevel="1" x14ac:dyDescent="0.35">
      <c r="B5609" s="200"/>
      <c r="C5609" s="201"/>
      <c r="D5609" s="201"/>
      <c r="E5609" s="201"/>
      <c r="F5609" s="202"/>
      <c r="G5609" s="549"/>
      <c r="H5609" s="549"/>
      <c r="I5609" s="549"/>
      <c r="J5609" s="549"/>
      <c r="K5609" s="549"/>
      <c r="M5609" s="465"/>
      <c r="N5609" s="201"/>
    </row>
    <row r="5610" spans="2:14" hidden="1" outlineLevel="1" x14ac:dyDescent="0.35">
      <c r="B5610" s="200"/>
      <c r="C5610" s="201"/>
      <c r="D5610" s="201"/>
      <c r="E5610" s="201"/>
      <c r="F5610" s="202"/>
      <c r="G5610" s="549"/>
      <c r="H5610" s="549"/>
      <c r="I5610" s="549"/>
      <c r="J5610" s="549"/>
      <c r="K5610" s="549"/>
      <c r="M5610" s="465"/>
      <c r="N5610" s="201"/>
    </row>
    <row r="5611" spans="2:14" hidden="1" outlineLevel="1" x14ac:dyDescent="0.35">
      <c r="B5611" s="200"/>
      <c r="C5611" s="201"/>
      <c r="D5611" s="201"/>
      <c r="E5611" s="201"/>
      <c r="F5611" s="202"/>
      <c r="G5611" s="549"/>
      <c r="H5611" s="549"/>
      <c r="I5611" s="549"/>
      <c r="J5611" s="549"/>
      <c r="K5611" s="549"/>
      <c r="M5611" s="465"/>
      <c r="N5611" s="201"/>
    </row>
    <row r="5612" spans="2:14" hidden="1" outlineLevel="1" x14ac:dyDescent="0.35">
      <c r="B5612" s="200"/>
      <c r="C5612" s="201"/>
      <c r="D5612" s="201"/>
      <c r="E5612" s="201"/>
      <c r="F5612" s="202"/>
      <c r="G5612" s="549"/>
      <c r="H5612" s="549"/>
      <c r="I5612" s="549"/>
      <c r="J5612" s="549"/>
      <c r="K5612" s="549"/>
      <c r="M5612" s="465"/>
      <c r="N5612" s="201"/>
    </row>
    <row r="5613" spans="2:14" hidden="1" outlineLevel="1" x14ac:dyDescent="0.35">
      <c r="B5613" s="200"/>
      <c r="C5613" s="201"/>
      <c r="D5613" s="201"/>
      <c r="E5613" s="201"/>
      <c r="F5613" s="202"/>
      <c r="G5613" s="549"/>
      <c r="H5613" s="549"/>
      <c r="I5613" s="549"/>
      <c r="J5613" s="549"/>
      <c r="K5613" s="549"/>
      <c r="M5613" s="465"/>
      <c r="N5613" s="201"/>
    </row>
    <row r="5614" spans="2:14" hidden="1" outlineLevel="1" x14ac:dyDescent="0.35">
      <c r="B5614" s="200"/>
      <c r="C5614" s="201"/>
      <c r="D5614" s="201"/>
      <c r="E5614" s="201"/>
      <c r="F5614" s="202"/>
      <c r="G5614" s="549"/>
      <c r="H5614" s="549"/>
      <c r="I5614" s="549"/>
      <c r="J5614" s="549"/>
      <c r="K5614" s="549"/>
      <c r="M5614" s="465"/>
      <c r="N5614" s="201"/>
    </row>
    <row r="5615" spans="2:14" hidden="1" outlineLevel="1" x14ac:dyDescent="0.35">
      <c r="B5615" s="200"/>
      <c r="C5615" s="201"/>
      <c r="D5615" s="201"/>
      <c r="E5615" s="201"/>
      <c r="F5615" s="202"/>
      <c r="G5615" s="549"/>
      <c r="H5615" s="549"/>
      <c r="I5615" s="549"/>
      <c r="J5615" s="549"/>
      <c r="K5615" s="549"/>
      <c r="M5615" s="465"/>
      <c r="N5615" s="201"/>
    </row>
    <row r="5616" spans="2:14" hidden="1" outlineLevel="1" x14ac:dyDescent="0.35">
      <c r="B5616" s="200"/>
      <c r="C5616" s="201"/>
      <c r="D5616" s="201"/>
      <c r="E5616" s="201"/>
      <c r="F5616" s="202"/>
      <c r="G5616" s="549"/>
      <c r="H5616" s="549"/>
      <c r="I5616" s="549"/>
      <c r="J5616" s="549"/>
      <c r="K5616" s="549"/>
      <c r="M5616" s="465"/>
      <c r="N5616" s="201"/>
    </row>
    <row r="5617" spans="2:14" hidden="1" outlineLevel="1" x14ac:dyDescent="0.35">
      <c r="B5617" s="200"/>
      <c r="C5617" s="201"/>
      <c r="D5617" s="201"/>
      <c r="E5617" s="201"/>
      <c r="F5617" s="202"/>
      <c r="G5617" s="549"/>
      <c r="H5617" s="549"/>
      <c r="I5617" s="549"/>
      <c r="J5617" s="549"/>
      <c r="K5617" s="549"/>
      <c r="M5617" s="465"/>
      <c r="N5617" s="201"/>
    </row>
    <row r="5618" spans="2:14" hidden="1" outlineLevel="1" x14ac:dyDescent="0.35">
      <c r="B5618" s="200"/>
      <c r="C5618" s="201"/>
      <c r="D5618" s="201"/>
      <c r="E5618" s="201"/>
      <c r="F5618" s="202"/>
      <c r="G5618" s="549"/>
      <c r="H5618" s="549"/>
      <c r="I5618" s="549"/>
      <c r="J5618" s="549"/>
      <c r="K5618" s="549"/>
      <c r="M5618" s="465"/>
      <c r="N5618" s="201"/>
    </row>
    <row r="5619" spans="2:14" hidden="1" outlineLevel="1" x14ac:dyDescent="0.35">
      <c r="B5619" s="200"/>
      <c r="C5619" s="201"/>
      <c r="D5619" s="201"/>
      <c r="E5619" s="201"/>
      <c r="F5619" s="202"/>
      <c r="G5619" s="549"/>
      <c r="H5619" s="549"/>
      <c r="I5619" s="549"/>
      <c r="J5619" s="549"/>
      <c r="K5619" s="549"/>
      <c r="M5619" s="465"/>
      <c r="N5619" s="201"/>
    </row>
    <row r="5620" spans="2:14" hidden="1" outlineLevel="1" x14ac:dyDescent="0.35">
      <c r="B5620" s="200"/>
      <c r="C5620" s="201"/>
      <c r="D5620" s="201"/>
      <c r="E5620" s="201"/>
      <c r="F5620" s="202"/>
      <c r="G5620" s="549"/>
      <c r="H5620" s="549"/>
      <c r="I5620" s="549"/>
      <c r="J5620" s="549"/>
      <c r="K5620" s="549"/>
      <c r="M5620" s="465"/>
      <c r="N5620" s="201"/>
    </row>
    <row r="5621" spans="2:14" hidden="1" outlineLevel="1" x14ac:dyDescent="0.35">
      <c r="B5621" s="200"/>
      <c r="C5621" s="201"/>
      <c r="D5621" s="201"/>
      <c r="E5621" s="201"/>
      <c r="F5621" s="202"/>
      <c r="G5621" s="549"/>
      <c r="H5621" s="549"/>
      <c r="I5621" s="549"/>
      <c r="J5621" s="549"/>
      <c r="K5621" s="549"/>
      <c r="M5621" s="465"/>
      <c r="N5621" s="201"/>
    </row>
    <row r="5622" spans="2:14" hidden="1" outlineLevel="1" x14ac:dyDescent="0.35">
      <c r="B5622" s="200"/>
      <c r="C5622" s="201"/>
      <c r="D5622" s="201"/>
      <c r="E5622" s="201"/>
      <c r="F5622" s="202"/>
      <c r="G5622" s="549"/>
      <c r="H5622" s="549"/>
      <c r="I5622" s="549"/>
      <c r="J5622" s="549"/>
      <c r="K5622" s="549"/>
      <c r="M5622" s="465"/>
      <c r="N5622" s="201"/>
    </row>
    <row r="5623" spans="2:14" hidden="1" outlineLevel="1" x14ac:dyDescent="0.35">
      <c r="B5623" s="200"/>
      <c r="C5623" s="201"/>
      <c r="D5623" s="201"/>
      <c r="E5623" s="201"/>
      <c r="F5623" s="202"/>
      <c r="G5623" s="549"/>
      <c r="H5623" s="549"/>
      <c r="I5623" s="549"/>
      <c r="J5623" s="549"/>
      <c r="K5623" s="549"/>
      <c r="M5623" s="465"/>
      <c r="N5623" s="201"/>
    </row>
    <row r="5624" spans="2:14" hidden="1" outlineLevel="1" x14ac:dyDescent="0.35">
      <c r="B5624" s="200"/>
      <c r="C5624" s="201"/>
      <c r="D5624" s="201"/>
      <c r="E5624" s="201"/>
      <c r="F5624" s="202"/>
      <c r="G5624" s="549"/>
      <c r="H5624" s="549"/>
      <c r="I5624" s="549"/>
      <c r="J5624" s="549"/>
      <c r="K5624" s="549"/>
      <c r="M5624" s="465"/>
      <c r="N5624" s="201"/>
    </row>
    <row r="5625" spans="2:14" hidden="1" outlineLevel="1" x14ac:dyDescent="0.35">
      <c r="B5625" s="200"/>
      <c r="C5625" s="201"/>
      <c r="D5625" s="201"/>
      <c r="E5625" s="201"/>
      <c r="F5625" s="202"/>
      <c r="G5625" s="549"/>
      <c r="H5625" s="549"/>
      <c r="I5625" s="549"/>
      <c r="J5625" s="549"/>
      <c r="K5625" s="549"/>
      <c r="M5625" s="465"/>
      <c r="N5625" s="201"/>
    </row>
    <row r="5626" spans="2:14" hidden="1" outlineLevel="1" x14ac:dyDescent="0.35">
      <c r="B5626" s="200"/>
      <c r="C5626" s="201"/>
      <c r="D5626" s="201"/>
      <c r="E5626" s="201"/>
      <c r="F5626" s="202"/>
      <c r="G5626" s="549"/>
      <c r="H5626" s="549"/>
      <c r="I5626" s="549"/>
      <c r="J5626" s="549"/>
      <c r="K5626" s="549"/>
      <c r="M5626" s="465"/>
      <c r="N5626" s="201"/>
    </row>
    <row r="5627" spans="2:14" hidden="1" outlineLevel="1" x14ac:dyDescent="0.35">
      <c r="B5627" s="200"/>
      <c r="C5627" s="201"/>
      <c r="D5627" s="201"/>
      <c r="E5627" s="201"/>
      <c r="F5627" s="202"/>
      <c r="G5627" s="549"/>
      <c r="H5627" s="549"/>
      <c r="I5627" s="549"/>
      <c r="J5627" s="549"/>
      <c r="K5627" s="549"/>
      <c r="M5627" s="465"/>
      <c r="N5627" s="201"/>
    </row>
    <row r="5628" spans="2:14" hidden="1" outlineLevel="1" x14ac:dyDescent="0.35">
      <c r="B5628" s="200"/>
      <c r="C5628" s="201"/>
      <c r="D5628" s="201"/>
      <c r="E5628" s="201"/>
      <c r="F5628" s="202"/>
      <c r="G5628" s="549"/>
      <c r="H5628" s="549"/>
      <c r="I5628" s="549"/>
      <c r="J5628" s="549"/>
      <c r="K5628" s="549"/>
      <c r="M5628" s="465"/>
      <c r="N5628" s="201"/>
    </row>
    <row r="5629" spans="2:14" hidden="1" outlineLevel="1" x14ac:dyDescent="0.35">
      <c r="B5629" s="200"/>
      <c r="C5629" s="201"/>
      <c r="D5629" s="201"/>
      <c r="E5629" s="201"/>
      <c r="F5629" s="202"/>
      <c r="G5629" s="549"/>
      <c r="H5629" s="549"/>
      <c r="I5629" s="549"/>
      <c r="J5629" s="549"/>
      <c r="K5629" s="549"/>
      <c r="M5629" s="465"/>
      <c r="N5629" s="201"/>
    </row>
    <row r="5630" spans="2:14" hidden="1" outlineLevel="1" x14ac:dyDescent="0.35">
      <c r="B5630" s="200"/>
      <c r="C5630" s="201"/>
      <c r="D5630" s="201"/>
      <c r="E5630" s="201"/>
      <c r="F5630" s="202"/>
      <c r="G5630" s="549"/>
      <c r="H5630" s="549"/>
      <c r="I5630" s="549"/>
      <c r="J5630" s="549"/>
      <c r="K5630" s="549"/>
      <c r="M5630" s="465"/>
      <c r="N5630" s="201"/>
    </row>
    <row r="5631" spans="2:14" hidden="1" outlineLevel="1" x14ac:dyDescent="0.35">
      <c r="B5631" s="200"/>
      <c r="C5631" s="201"/>
      <c r="D5631" s="201"/>
      <c r="E5631" s="201"/>
      <c r="F5631" s="202"/>
      <c r="G5631" s="549"/>
      <c r="H5631" s="549"/>
      <c r="I5631" s="549"/>
      <c r="J5631" s="549"/>
      <c r="K5631" s="549"/>
      <c r="M5631" s="465"/>
      <c r="N5631" s="201"/>
    </row>
    <row r="5632" spans="2:14" hidden="1" outlineLevel="1" x14ac:dyDescent="0.35">
      <c r="B5632" s="200"/>
      <c r="C5632" s="201"/>
      <c r="D5632" s="201"/>
      <c r="E5632" s="201"/>
      <c r="F5632" s="202"/>
      <c r="G5632" s="549"/>
      <c r="H5632" s="549"/>
      <c r="I5632" s="549"/>
      <c r="J5632" s="549"/>
      <c r="K5632" s="549"/>
      <c r="M5632" s="465"/>
      <c r="N5632" s="201"/>
    </row>
    <row r="5633" spans="2:14" hidden="1" outlineLevel="1" x14ac:dyDescent="0.35">
      <c r="B5633" s="200"/>
      <c r="C5633" s="201"/>
      <c r="D5633" s="201"/>
      <c r="E5633" s="201"/>
      <c r="F5633" s="202"/>
      <c r="G5633" s="549"/>
      <c r="H5633" s="549"/>
      <c r="I5633" s="549"/>
      <c r="J5633" s="549"/>
      <c r="K5633" s="549"/>
      <c r="M5633" s="465"/>
      <c r="N5633" s="201"/>
    </row>
    <row r="5634" spans="2:14" hidden="1" outlineLevel="1" x14ac:dyDescent="0.35">
      <c r="B5634" s="200"/>
      <c r="C5634" s="201"/>
      <c r="D5634" s="201"/>
      <c r="E5634" s="201"/>
      <c r="F5634" s="202"/>
      <c r="G5634" s="549"/>
      <c r="H5634" s="549"/>
      <c r="I5634" s="549"/>
      <c r="J5634" s="549"/>
      <c r="K5634" s="549"/>
      <c r="M5634" s="465"/>
      <c r="N5634" s="201"/>
    </row>
    <row r="5635" spans="2:14" hidden="1" outlineLevel="1" x14ac:dyDescent="0.35">
      <c r="B5635" s="200"/>
      <c r="C5635" s="201"/>
      <c r="D5635" s="201"/>
      <c r="E5635" s="201"/>
      <c r="F5635" s="202"/>
      <c r="G5635" s="549"/>
      <c r="H5635" s="549"/>
      <c r="I5635" s="549"/>
      <c r="J5635" s="549"/>
      <c r="K5635" s="549"/>
      <c r="M5635" s="465"/>
      <c r="N5635" s="201"/>
    </row>
    <row r="5636" spans="2:14" hidden="1" outlineLevel="1" x14ac:dyDescent="0.35">
      <c r="B5636" s="200"/>
      <c r="C5636" s="201"/>
      <c r="D5636" s="201"/>
      <c r="E5636" s="201"/>
      <c r="F5636" s="202"/>
      <c r="G5636" s="549"/>
      <c r="H5636" s="549"/>
      <c r="I5636" s="549"/>
      <c r="J5636" s="549"/>
      <c r="K5636" s="549"/>
      <c r="M5636" s="465"/>
      <c r="N5636" s="201"/>
    </row>
    <row r="5637" spans="2:14" hidden="1" outlineLevel="1" x14ac:dyDescent="0.35">
      <c r="B5637" s="200"/>
      <c r="C5637" s="201"/>
      <c r="D5637" s="201"/>
      <c r="E5637" s="201"/>
      <c r="F5637" s="202"/>
      <c r="G5637" s="549"/>
      <c r="H5637" s="549"/>
      <c r="I5637" s="549"/>
      <c r="J5637" s="549"/>
      <c r="K5637" s="549"/>
      <c r="M5637" s="465"/>
      <c r="N5637" s="201"/>
    </row>
    <row r="5638" spans="2:14" hidden="1" outlineLevel="1" x14ac:dyDescent="0.35">
      <c r="B5638" s="200"/>
      <c r="C5638" s="201"/>
      <c r="D5638" s="201"/>
      <c r="E5638" s="201"/>
      <c r="F5638" s="202"/>
      <c r="G5638" s="549"/>
      <c r="H5638" s="549"/>
      <c r="I5638" s="549"/>
      <c r="J5638" s="549"/>
      <c r="K5638" s="549"/>
      <c r="M5638" s="465"/>
      <c r="N5638" s="201"/>
    </row>
    <row r="5639" spans="2:14" hidden="1" outlineLevel="1" x14ac:dyDescent="0.35">
      <c r="B5639" s="200"/>
      <c r="C5639" s="201"/>
      <c r="D5639" s="201"/>
      <c r="E5639" s="201"/>
      <c r="F5639" s="202"/>
      <c r="G5639" s="549"/>
      <c r="H5639" s="549"/>
      <c r="I5639" s="549"/>
      <c r="J5639" s="549"/>
      <c r="K5639" s="549"/>
      <c r="M5639" s="465"/>
      <c r="N5639" s="201"/>
    </row>
    <row r="5640" spans="2:14" hidden="1" outlineLevel="1" x14ac:dyDescent="0.35">
      <c r="B5640" s="200"/>
      <c r="C5640" s="201"/>
      <c r="D5640" s="201"/>
      <c r="E5640" s="201"/>
      <c r="F5640" s="202"/>
      <c r="G5640" s="549"/>
      <c r="H5640" s="549"/>
      <c r="I5640" s="549"/>
      <c r="J5640" s="549"/>
      <c r="K5640" s="549"/>
      <c r="M5640" s="465"/>
      <c r="N5640" s="201"/>
    </row>
    <row r="5641" spans="2:14" hidden="1" outlineLevel="1" x14ac:dyDescent="0.35">
      <c r="B5641" s="200"/>
      <c r="C5641" s="201"/>
      <c r="D5641" s="201"/>
      <c r="E5641" s="201"/>
      <c r="F5641" s="202"/>
      <c r="G5641" s="549"/>
      <c r="H5641" s="549"/>
      <c r="I5641" s="549"/>
      <c r="J5641" s="549"/>
      <c r="K5641" s="549"/>
      <c r="M5641" s="465"/>
      <c r="N5641" s="201"/>
    </row>
    <row r="5642" spans="2:14" hidden="1" outlineLevel="1" x14ac:dyDescent="0.35">
      <c r="B5642" s="200"/>
      <c r="C5642" s="201"/>
      <c r="D5642" s="201"/>
      <c r="E5642" s="201"/>
      <c r="F5642" s="202"/>
      <c r="G5642" s="549"/>
      <c r="H5642" s="549"/>
      <c r="I5642" s="549"/>
      <c r="J5642" s="549"/>
      <c r="K5642" s="549"/>
      <c r="M5642" s="465"/>
      <c r="N5642" s="201"/>
    </row>
    <row r="5643" spans="2:14" hidden="1" outlineLevel="1" x14ac:dyDescent="0.35">
      <c r="B5643" s="200"/>
      <c r="C5643" s="201"/>
      <c r="D5643" s="201"/>
      <c r="E5643" s="201"/>
      <c r="F5643" s="202"/>
      <c r="G5643" s="549"/>
      <c r="H5643" s="549"/>
      <c r="I5643" s="549"/>
      <c r="J5643" s="549"/>
      <c r="K5643" s="549"/>
      <c r="M5643" s="465"/>
      <c r="N5643" s="201"/>
    </row>
    <row r="5644" spans="2:14" hidden="1" outlineLevel="1" x14ac:dyDescent="0.35">
      <c r="B5644" s="200"/>
      <c r="C5644" s="201"/>
      <c r="D5644" s="201"/>
      <c r="E5644" s="201"/>
      <c r="F5644" s="202"/>
      <c r="G5644" s="549"/>
      <c r="H5644" s="549"/>
      <c r="I5644" s="549"/>
      <c r="J5644" s="549"/>
      <c r="K5644" s="549"/>
      <c r="M5644" s="465"/>
      <c r="N5644" s="201"/>
    </row>
    <row r="5645" spans="2:14" hidden="1" outlineLevel="1" x14ac:dyDescent="0.35">
      <c r="B5645" s="200"/>
      <c r="C5645" s="201"/>
      <c r="D5645" s="201"/>
      <c r="E5645" s="201"/>
      <c r="F5645" s="202"/>
      <c r="G5645" s="549"/>
      <c r="H5645" s="549"/>
      <c r="I5645" s="549"/>
      <c r="J5645" s="549"/>
      <c r="K5645" s="549"/>
      <c r="M5645" s="465"/>
      <c r="N5645" s="201"/>
    </row>
    <row r="5646" spans="2:14" hidden="1" outlineLevel="1" x14ac:dyDescent="0.35">
      <c r="B5646" s="200"/>
      <c r="C5646" s="201"/>
      <c r="D5646" s="201"/>
      <c r="E5646" s="201"/>
      <c r="F5646" s="202"/>
      <c r="G5646" s="549"/>
      <c r="H5646" s="549"/>
      <c r="I5646" s="549"/>
      <c r="J5646" s="549"/>
      <c r="K5646" s="549"/>
      <c r="M5646" s="465"/>
      <c r="N5646" s="201"/>
    </row>
    <row r="5647" spans="2:14" hidden="1" outlineLevel="1" x14ac:dyDescent="0.35">
      <c r="B5647" s="200"/>
      <c r="C5647" s="201"/>
      <c r="D5647" s="201"/>
      <c r="E5647" s="201"/>
      <c r="F5647" s="202"/>
      <c r="G5647" s="549"/>
      <c r="H5647" s="549"/>
      <c r="I5647" s="549"/>
      <c r="J5647" s="549"/>
      <c r="K5647" s="549"/>
      <c r="M5647" s="465"/>
      <c r="N5647" s="201"/>
    </row>
    <row r="5648" spans="2:14" hidden="1" outlineLevel="1" x14ac:dyDescent="0.35">
      <c r="B5648" s="200"/>
      <c r="C5648" s="201"/>
      <c r="D5648" s="201"/>
      <c r="E5648" s="201"/>
      <c r="F5648" s="202"/>
      <c r="G5648" s="549"/>
      <c r="H5648" s="549"/>
      <c r="I5648" s="549"/>
      <c r="J5648" s="549"/>
      <c r="K5648" s="549"/>
      <c r="M5648" s="465"/>
      <c r="N5648" s="201"/>
    </row>
    <row r="5649" spans="2:14" hidden="1" outlineLevel="1" x14ac:dyDescent="0.35">
      <c r="B5649" s="200"/>
      <c r="C5649" s="201"/>
      <c r="D5649" s="201"/>
      <c r="E5649" s="201"/>
      <c r="F5649" s="202"/>
      <c r="G5649" s="549"/>
      <c r="H5649" s="549"/>
      <c r="I5649" s="549"/>
      <c r="J5649" s="549"/>
      <c r="K5649" s="549"/>
      <c r="M5649" s="465"/>
      <c r="N5649" s="201"/>
    </row>
    <row r="5650" spans="2:14" hidden="1" outlineLevel="1" x14ac:dyDescent="0.35">
      <c r="B5650" s="200"/>
      <c r="C5650" s="201"/>
      <c r="D5650" s="201"/>
      <c r="E5650" s="201"/>
      <c r="F5650" s="202"/>
      <c r="G5650" s="549"/>
      <c r="H5650" s="549"/>
      <c r="I5650" s="549"/>
      <c r="J5650" s="549"/>
      <c r="K5650" s="549"/>
      <c r="M5650" s="465"/>
      <c r="N5650" s="201"/>
    </row>
    <row r="5651" spans="2:14" hidden="1" outlineLevel="1" x14ac:dyDescent="0.35">
      <c r="B5651" s="200"/>
      <c r="C5651" s="201"/>
      <c r="D5651" s="201"/>
      <c r="E5651" s="201"/>
      <c r="F5651" s="202"/>
      <c r="G5651" s="549"/>
      <c r="H5651" s="549"/>
      <c r="I5651" s="549"/>
      <c r="J5651" s="549"/>
      <c r="K5651" s="549"/>
      <c r="M5651" s="465"/>
      <c r="N5651" s="201"/>
    </row>
    <row r="5652" spans="2:14" hidden="1" outlineLevel="1" x14ac:dyDescent="0.35">
      <c r="B5652" s="200"/>
      <c r="C5652" s="201"/>
      <c r="D5652" s="201"/>
      <c r="E5652" s="201"/>
      <c r="F5652" s="202"/>
      <c r="G5652" s="549"/>
      <c r="H5652" s="549"/>
      <c r="I5652" s="549"/>
      <c r="J5652" s="549"/>
      <c r="K5652" s="549"/>
      <c r="M5652" s="465"/>
      <c r="N5652" s="201"/>
    </row>
    <row r="5653" spans="2:14" hidden="1" outlineLevel="1" x14ac:dyDescent="0.35">
      <c r="B5653" s="200"/>
      <c r="C5653" s="201"/>
      <c r="D5653" s="201"/>
      <c r="E5653" s="201"/>
      <c r="F5653" s="202"/>
      <c r="G5653" s="549"/>
      <c r="H5653" s="549"/>
      <c r="I5653" s="549"/>
      <c r="J5653" s="549"/>
      <c r="K5653" s="549"/>
      <c r="M5653" s="465"/>
      <c r="N5653" s="201"/>
    </row>
    <row r="5654" spans="2:14" hidden="1" outlineLevel="1" x14ac:dyDescent="0.35">
      <c r="B5654" s="200"/>
      <c r="C5654" s="201"/>
      <c r="D5654" s="201"/>
      <c r="E5654" s="201"/>
      <c r="F5654" s="202"/>
      <c r="G5654" s="549"/>
      <c r="H5654" s="549"/>
      <c r="I5654" s="549"/>
      <c r="J5654" s="549"/>
      <c r="K5654" s="549"/>
      <c r="M5654" s="465"/>
      <c r="N5654" s="201"/>
    </row>
    <row r="5655" spans="2:14" hidden="1" outlineLevel="1" x14ac:dyDescent="0.35">
      <c r="B5655" s="200"/>
      <c r="C5655" s="201"/>
      <c r="D5655" s="201"/>
      <c r="E5655" s="201"/>
      <c r="F5655" s="202"/>
      <c r="G5655" s="549"/>
      <c r="H5655" s="549"/>
      <c r="I5655" s="549"/>
      <c r="J5655" s="549"/>
      <c r="K5655" s="549"/>
      <c r="M5655" s="465"/>
      <c r="N5655" s="201"/>
    </row>
    <row r="5656" spans="2:14" hidden="1" outlineLevel="1" x14ac:dyDescent="0.35">
      <c r="B5656" s="200"/>
      <c r="C5656" s="201"/>
      <c r="D5656" s="201"/>
      <c r="E5656" s="201"/>
      <c r="F5656" s="202"/>
      <c r="G5656" s="549"/>
      <c r="H5656" s="549"/>
      <c r="I5656" s="549"/>
      <c r="J5656" s="549"/>
      <c r="K5656" s="549"/>
      <c r="M5656" s="465"/>
      <c r="N5656" s="201"/>
    </row>
    <row r="5657" spans="2:14" hidden="1" outlineLevel="1" x14ac:dyDescent="0.35">
      <c r="B5657" s="200"/>
      <c r="C5657" s="201"/>
      <c r="D5657" s="201"/>
      <c r="E5657" s="201"/>
      <c r="F5657" s="202"/>
      <c r="G5657" s="549"/>
      <c r="H5657" s="549"/>
      <c r="I5657" s="549"/>
      <c r="J5657" s="549"/>
      <c r="K5657" s="549"/>
      <c r="M5657" s="465"/>
      <c r="N5657" s="201"/>
    </row>
    <row r="5658" spans="2:14" hidden="1" outlineLevel="1" x14ac:dyDescent="0.35">
      <c r="B5658" s="200"/>
      <c r="C5658" s="201"/>
      <c r="D5658" s="201"/>
      <c r="E5658" s="201"/>
      <c r="F5658" s="202"/>
      <c r="G5658" s="549"/>
      <c r="H5658" s="549"/>
      <c r="I5658" s="549"/>
      <c r="J5658" s="549"/>
      <c r="K5658" s="549"/>
      <c r="M5658" s="465"/>
      <c r="N5658" s="201"/>
    </row>
    <row r="5659" spans="2:14" hidden="1" outlineLevel="1" x14ac:dyDescent="0.35">
      <c r="B5659" s="200"/>
      <c r="C5659" s="201"/>
      <c r="D5659" s="201"/>
      <c r="E5659" s="201"/>
      <c r="F5659" s="202"/>
      <c r="G5659" s="549"/>
      <c r="H5659" s="549"/>
      <c r="I5659" s="549"/>
      <c r="J5659" s="549"/>
      <c r="K5659" s="549"/>
      <c r="M5659" s="465"/>
      <c r="N5659" s="201"/>
    </row>
    <row r="5660" spans="2:14" hidden="1" outlineLevel="1" x14ac:dyDescent="0.35">
      <c r="B5660" s="200"/>
      <c r="C5660" s="201"/>
      <c r="D5660" s="201"/>
      <c r="E5660" s="201"/>
      <c r="F5660" s="202"/>
      <c r="G5660" s="549"/>
      <c r="H5660" s="549"/>
      <c r="I5660" s="549"/>
      <c r="J5660" s="549"/>
      <c r="K5660" s="549"/>
      <c r="M5660" s="465"/>
      <c r="N5660" s="201"/>
    </row>
    <row r="5661" spans="2:14" hidden="1" outlineLevel="1" x14ac:dyDescent="0.35">
      <c r="B5661" s="200"/>
      <c r="C5661" s="201"/>
      <c r="D5661" s="201"/>
      <c r="E5661" s="201"/>
      <c r="F5661" s="202"/>
      <c r="G5661" s="549"/>
      <c r="H5661" s="549"/>
      <c r="I5661" s="549"/>
      <c r="J5661" s="549"/>
      <c r="K5661" s="549"/>
      <c r="M5661" s="465"/>
      <c r="N5661" s="201"/>
    </row>
    <row r="5662" spans="2:14" hidden="1" outlineLevel="1" x14ac:dyDescent="0.35">
      <c r="B5662" s="200"/>
      <c r="C5662" s="201"/>
      <c r="D5662" s="201"/>
      <c r="E5662" s="201"/>
      <c r="F5662" s="202"/>
      <c r="G5662" s="549"/>
      <c r="H5662" s="549"/>
      <c r="I5662" s="549"/>
      <c r="J5662" s="549"/>
      <c r="K5662" s="549"/>
      <c r="M5662" s="465"/>
      <c r="N5662" s="201"/>
    </row>
    <row r="5663" spans="2:14" hidden="1" outlineLevel="1" x14ac:dyDescent="0.35">
      <c r="B5663" s="200"/>
      <c r="C5663" s="201"/>
      <c r="D5663" s="201"/>
      <c r="E5663" s="201"/>
      <c r="F5663" s="202"/>
      <c r="G5663" s="549"/>
      <c r="H5663" s="549"/>
      <c r="I5663" s="549"/>
      <c r="J5663" s="549"/>
      <c r="K5663" s="549"/>
      <c r="M5663" s="465"/>
      <c r="N5663" s="201"/>
    </row>
    <row r="5664" spans="2:14" hidden="1" outlineLevel="1" x14ac:dyDescent="0.35">
      <c r="B5664" s="200"/>
      <c r="C5664" s="201"/>
      <c r="D5664" s="201"/>
      <c r="E5664" s="201"/>
      <c r="F5664" s="202"/>
      <c r="G5664" s="549"/>
      <c r="H5664" s="549"/>
      <c r="I5664" s="549"/>
      <c r="J5664" s="549"/>
      <c r="K5664" s="549"/>
      <c r="M5664" s="465"/>
      <c r="N5664" s="201"/>
    </row>
    <row r="5665" spans="2:14" hidden="1" outlineLevel="1" x14ac:dyDescent="0.35">
      <c r="B5665" s="200"/>
      <c r="C5665" s="201"/>
      <c r="D5665" s="201"/>
      <c r="E5665" s="201"/>
      <c r="F5665" s="202"/>
      <c r="G5665" s="549"/>
      <c r="H5665" s="549"/>
      <c r="I5665" s="549"/>
      <c r="J5665" s="549"/>
      <c r="K5665" s="549"/>
      <c r="M5665" s="465"/>
      <c r="N5665" s="201"/>
    </row>
    <row r="5666" spans="2:14" hidden="1" outlineLevel="1" x14ac:dyDescent="0.35">
      <c r="B5666" s="200"/>
      <c r="C5666" s="201"/>
      <c r="D5666" s="201"/>
      <c r="E5666" s="201"/>
      <c r="F5666" s="202"/>
      <c r="G5666" s="549"/>
      <c r="H5666" s="549"/>
      <c r="I5666" s="549"/>
      <c r="J5666" s="549"/>
      <c r="K5666" s="549"/>
      <c r="M5666" s="465"/>
      <c r="N5666" s="201"/>
    </row>
    <row r="5667" spans="2:14" hidden="1" outlineLevel="1" x14ac:dyDescent="0.35">
      <c r="B5667" s="200"/>
      <c r="C5667" s="201"/>
      <c r="D5667" s="201"/>
      <c r="E5667" s="201"/>
      <c r="F5667" s="202"/>
      <c r="G5667" s="549"/>
      <c r="H5667" s="549"/>
      <c r="I5667" s="549"/>
      <c r="J5667" s="549"/>
      <c r="K5667" s="549"/>
      <c r="M5667" s="465"/>
      <c r="N5667" s="201"/>
    </row>
    <row r="5668" spans="2:14" hidden="1" outlineLevel="1" x14ac:dyDescent="0.35">
      <c r="B5668" s="200"/>
      <c r="C5668" s="201"/>
      <c r="D5668" s="201"/>
      <c r="E5668" s="201"/>
      <c r="F5668" s="202"/>
      <c r="G5668" s="549"/>
      <c r="H5668" s="549"/>
      <c r="I5668" s="549"/>
      <c r="J5668" s="549"/>
      <c r="K5668" s="549"/>
      <c r="M5668" s="465"/>
      <c r="N5668" s="201"/>
    </row>
    <row r="5669" spans="2:14" hidden="1" outlineLevel="1" x14ac:dyDescent="0.35">
      <c r="B5669" s="200"/>
      <c r="C5669" s="201"/>
      <c r="D5669" s="201"/>
      <c r="E5669" s="201"/>
      <c r="F5669" s="202"/>
      <c r="G5669" s="549"/>
      <c r="H5669" s="549"/>
      <c r="I5669" s="549"/>
      <c r="J5669" s="549"/>
      <c r="K5669" s="549"/>
      <c r="M5669" s="465"/>
      <c r="N5669" s="201"/>
    </row>
    <row r="5670" spans="2:14" hidden="1" outlineLevel="1" x14ac:dyDescent="0.35">
      <c r="B5670" s="200"/>
      <c r="C5670" s="201"/>
      <c r="D5670" s="201"/>
      <c r="E5670" s="201"/>
      <c r="F5670" s="202"/>
      <c r="G5670" s="549"/>
      <c r="H5670" s="549"/>
      <c r="I5670" s="549"/>
      <c r="J5670" s="549"/>
      <c r="K5670" s="549"/>
      <c r="M5670" s="465"/>
      <c r="N5670" s="201"/>
    </row>
    <row r="5671" spans="2:14" hidden="1" outlineLevel="1" x14ac:dyDescent="0.35">
      <c r="B5671" s="200"/>
      <c r="C5671" s="201"/>
      <c r="D5671" s="201"/>
      <c r="E5671" s="201"/>
      <c r="F5671" s="202"/>
      <c r="G5671" s="549"/>
      <c r="H5671" s="549"/>
      <c r="I5671" s="549"/>
      <c r="J5671" s="549"/>
      <c r="K5671" s="549"/>
      <c r="M5671" s="465"/>
      <c r="N5671" s="201"/>
    </row>
    <row r="5672" spans="2:14" hidden="1" outlineLevel="1" x14ac:dyDescent="0.35">
      <c r="B5672" s="200"/>
      <c r="C5672" s="201"/>
      <c r="D5672" s="201"/>
      <c r="E5672" s="201"/>
      <c r="F5672" s="202"/>
      <c r="G5672" s="549"/>
      <c r="H5672" s="549"/>
      <c r="I5672" s="549"/>
      <c r="J5672" s="549"/>
      <c r="K5672" s="549"/>
      <c r="M5672" s="465"/>
      <c r="N5672" s="201"/>
    </row>
    <row r="5673" spans="2:14" hidden="1" outlineLevel="1" x14ac:dyDescent="0.35">
      <c r="B5673" s="200"/>
      <c r="C5673" s="201"/>
      <c r="D5673" s="201"/>
      <c r="E5673" s="201"/>
      <c r="F5673" s="202"/>
      <c r="G5673" s="549"/>
      <c r="H5673" s="549"/>
      <c r="I5673" s="549"/>
      <c r="J5673" s="549"/>
      <c r="K5673" s="549"/>
      <c r="M5673" s="465"/>
      <c r="N5673" s="201"/>
    </row>
    <row r="5674" spans="2:14" hidden="1" outlineLevel="1" x14ac:dyDescent="0.35">
      <c r="B5674" s="200"/>
      <c r="C5674" s="201"/>
      <c r="D5674" s="201"/>
      <c r="E5674" s="201"/>
      <c r="F5674" s="202"/>
      <c r="G5674" s="549"/>
      <c r="H5674" s="549"/>
      <c r="I5674" s="549"/>
      <c r="J5674" s="549"/>
      <c r="K5674" s="549"/>
      <c r="M5674" s="465"/>
      <c r="N5674" s="201"/>
    </row>
    <row r="5675" spans="2:14" hidden="1" outlineLevel="1" x14ac:dyDescent="0.35">
      <c r="B5675" s="200"/>
      <c r="C5675" s="201"/>
      <c r="D5675" s="201"/>
      <c r="E5675" s="201"/>
      <c r="F5675" s="202"/>
      <c r="G5675" s="549"/>
      <c r="H5675" s="549"/>
      <c r="I5675" s="549"/>
      <c r="J5675" s="549"/>
      <c r="K5675" s="549"/>
      <c r="M5675" s="465"/>
      <c r="N5675" s="201"/>
    </row>
    <row r="5676" spans="2:14" hidden="1" outlineLevel="1" x14ac:dyDescent="0.35">
      <c r="B5676" s="200"/>
      <c r="C5676" s="201"/>
      <c r="D5676" s="201"/>
      <c r="E5676" s="201"/>
      <c r="F5676" s="202"/>
      <c r="G5676" s="549"/>
      <c r="H5676" s="549"/>
      <c r="I5676" s="549"/>
      <c r="J5676" s="549"/>
      <c r="K5676" s="549"/>
      <c r="M5676" s="465"/>
      <c r="N5676" s="201"/>
    </row>
    <row r="5677" spans="2:14" hidden="1" outlineLevel="1" x14ac:dyDescent="0.35">
      <c r="B5677" s="200"/>
      <c r="C5677" s="201"/>
      <c r="D5677" s="201"/>
      <c r="E5677" s="201"/>
      <c r="F5677" s="202"/>
      <c r="G5677" s="549"/>
      <c r="H5677" s="549"/>
      <c r="I5677" s="549"/>
      <c r="J5677" s="549"/>
      <c r="K5677" s="549"/>
      <c r="M5677" s="465"/>
      <c r="N5677" s="201"/>
    </row>
    <row r="5678" spans="2:14" hidden="1" outlineLevel="1" x14ac:dyDescent="0.35">
      <c r="B5678" s="200"/>
      <c r="C5678" s="201"/>
      <c r="D5678" s="201"/>
      <c r="E5678" s="201"/>
      <c r="F5678" s="202"/>
      <c r="G5678" s="549"/>
      <c r="H5678" s="549"/>
      <c r="I5678" s="549"/>
      <c r="J5678" s="549"/>
      <c r="K5678" s="549"/>
      <c r="M5678" s="465"/>
      <c r="N5678" s="201"/>
    </row>
    <row r="5679" spans="2:14" hidden="1" outlineLevel="1" x14ac:dyDescent="0.35">
      <c r="B5679" s="200"/>
      <c r="C5679" s="201"/>
      <c r="D5679" s="201"/>
      <c r="E5679" s="201"/>
      <c r="F5679" s="202"/>
      <c r="G5679" s="549"/>
      <c r="H5679" s="549"/>
      <c r="I5679" s="549"/>
      <c r="J5679" s="549"/>
      <c r="K5679" s="549"/>
      <c r="M5679" s="465"/>
      <c r="N5679" s="201"/>
    </row>
    <row r="5680" spans="2:14" hidden="1" outlineLevel="1" x14ac:dyDescent="0.35">
      <c r="B5680" s="200"/>
      <c r="C5680" s="201"/>
      <c r="D5680" s="201"/>
      <c r="E5680" s="201"/>
      <c r="F5680" s="202"/>
      <c r="G5680" s="549"/>
      <c r="H5680" s="549"/>
      <c r="I5680" s="549"/>
      <c r="J5680" s="549"/>
      <c r="K5680" s="549"/>
      <c r="M5680" s="465"/>
      <c r="N5680" s="201"/>
    </row>
    <row r="5681" spans="2:14" hidden="1" outlineLevel="1" x14ac:dyDescent="0.35">
      <c r="B5681" s="200"/>
      <c r="C5681" s="201"/>
      <c r="D5681" s="201"/>
      <c r="E5681" s="201"/>
      <c r="F5681" s="202"/>
      <c r="G5681" s="549"/>
      <c r="H5681" s="549"/>
      <c r="I5681" s="549"/>
      <c r="J5681" s="549"/>
      <c r="K5681" s="549"/>
      <c r="M5681" s="465"/>
      <c r="N5681" s="201"/>
    </row>
    <row r="5682" spans="2:14" hidden="1" outlineLevel="1" x14ac:dyDescent="0.35">
      <c r="B5682" s="200"/>
      <c r="C5682" s="201"/>
      <c r="D5682" s="201"/>
      <c r="E5682" s="201"/>
      <c r="F5682" s="202"/>
      <c r="G5682" s="549"/>
      <c r="H5682" s="549"/>
      <c r="I5682" s="549"/>
      <c r="J5682" s="549"/>
      <c r="K5682" s="549"/>
      <c r="M5682" s="465"/>
      <c r="N5682" s="201"/>
    </row>
    <row r="5683" spans="2:14" hidden="1" outlineLevel="1" x14ac:dyDescent="0.35">
      <c r="B5683" s="200"/>
      <c r="C5683" s="201"/>
      <c r="D5683" s="201"/>
      <c r="E5683" s="201"/>
      <c r="F5683" s="202"/>
      <c r="G5683" s="549"/>
      <c r="H5683" s="549"/>
      <c r="I5683" s="549"/>
      <c r="J5683" s="549"/>
      <c r="K5683" s="549"/>
      <c r="M5683" s="465"/>
      <c r="N5683" s="201"/>
    </row>
    <row r="5684" spans="2:14" hidden="1" outlineLevel="1" x14ac:dyDescent="0.35">
      <c r="B5684" s="200"/>
      <c r="C5684" s="201"/>
      <c r="D5684" s="201"/>
      <c r="E5684" s="201"/>
      <c r="F5684" s="202"/>
      <c r="G5684" s="549"/>
      <c r="H5684" s="549"/>
      <c r="I5684" s="549"/>
      <c r="J5684" s="549"/>
      <c r="K5684" s="549"/>
      <c r="M5684" s="465"/>
      <c r="N5684" s="201"/>
    </row>
    <row r="5685" spans="2:14" hidden="1" outlineLevel="1" x14ac:dyDescent="0.35">
      <c r="B5685" s="200"/>
      <c r="C5685" s="201"/>
      <c r="D5685" s="201"/>
      <c r="E5685" s="201"/>
      <c r="F5685" s="202"/>
      <c r="G5685" s="549"/>
      <c r="H5685" s="549"/>
      <c r="I5685" s="549"/>
      <c r="J5685" s="549"/>
      <c r="K5685" s="549"/>
      <c r="M5685" s="465"/>
      <c r="N5685" s="201"/>
    </row>
    <row r="5686" spans="2:14" hidden="1" outlineLevel="1" x14ac:dyDescent="0.35">
      <c r="B5686" s="200"/>
      <c r="C5686" s="201"/>
      <c r="D5686" s="201"/>
      <c r="E5686" s="201"/>
      <c r="F5686" s="202"/>
      <c r="G5686" s="549"/>
      <c r="H5686" s="549"/>
      <c r="I5686" s="549"/>
      <c r="J5686" s="549"/>
      <c r="K5686" s="549"/>
      <c r="M5686" s="465"/>
      <c r="N5686" s="201"/>
    </row>
    <row r="5687" spans="2:14" hidden="1" outlineLevel="1" x14ac:dyDescent="0.35">
      <c r="B5687" s="200"/>
      <c r="C5687" s="201"/>
      <c r="D5687" s="201"/>
      <c r="E5687" s="201"/>
      <c r="F5687" s="202"/>
      <c r="G5687" s="549"/>
      <c r="H5687" s="549"/>
      <c r="I5687" s="549"/>
      <c r="J5687" s="549"/>
      <c r="K5687" s="549"/>
      <c r="M5687" s="465"/>
      <c r="N5687" s="201"/>
    </row>
    <row r="5688" spans="2:14" hidden="1" outlineLevel="1" x14ac:dyDescent="0.35">
      <c r="B5688" s="200"/>
      <c r="C5688" s="201"/>
      <c r="D5688" s="201"/>
      <c r="E5688" s="201"/>
      <c r="F5688" s="202"/>
      <c r="G5688" s="549"/>
      <c r="H5688" s="549"/>
      <c r="I5688" s="549"/>
      <c r="J5688" s="549"/>
      <c r="K5688" s="549"/>
      <c r="M5688" s="465"/>
      <c r="N5688" s="201"/>
    </row>
    <row r="5689" spans="2:14" hidden="1" outlineLevel="1" x14ac:dyDescent="0.35">
      <c r="B5689" s="200"/>
      <c r="C5689" s="201"/>
      <c r="D5689" s="201"/>
      <c r="E5689" s="201"/>
      <c r="F5689" s="202"/>
      <c r="G5689" s="549"/>
      <c r="H5689" s="549"/>
      <c r="I5689" s="549"/>
      <c r="J5689" s="549"/>
      <c r="K5689" s="549"/>
      <c r="M5689" s="465"/>
      <c r="N5689" s="201"/>
    </row>
    <row r="5690" spans="2:14" hidden="1" outlineLevel="1" x14ac:dyDescent="0.35">
      <c r="B5690" s="200"/>
      <c r="C5690" s="201"/>
      <c r="D5690" s="201"/>
      <c r="E5690" s="201"/>
      <c r="F5690" s="202"/>
      <c r="G5690" s="549"/>
      <c r="H5690" s="549"/>
      <c r="I5690" s="549"/>
      <c r="J5690" s="549"/>
      <c r="K5690" s="549"/>
      <c r="M5690" s="465"/>
      <c r="N5690" s="201"/>
    </row>
    <row r="5691" spans="2:14" hidden="1" outlineLevel="1" x14ac:dyDescent="0.35">
      <c r="B5691" s="200"/>
      <c r="C5691" s="201"/>
      <c r="D5691" s="201"/>
      <c r="E5691" s="201"/>
      <c r="F5691" s="202"/>
      <c r="G5691" s="549"/>
      <c r="H5691" s="549"/>
      <c r="I5691" s="549"/>
      <c r="J5691" s="549"/>
      <c r="K5691" s="549"/>
      <c r="M5691" s="465"/>
      <c r="N5691" s="201"/>
    </row>
    <row r="5692" spans="2:14" hidden="1" outlineLevel="1" x14ac:dyDescent="0.35">
      <c r="B5692" s="200"/>
      <c r="C5692" s="201"/>
      <c r="D5692" s="201"/>
      <c r="E5692" s="201"/>
      <c r="F5692" s="202"/>
      <c r="G5692" s="549"/>
      <c r="H5692" s="549"/>
      <c r="I5692" s="549"/>
      <c r="J5692" s="549"/>
      <c r="K5692" s="549"/>
      <c r="M5692" s="465"/>
      <c r="N5692" s="201"/>
    </row>
    <row r="5693" spans="2:14" hidden="1" outlineLevel="1" x14ac:dyDescent="0.35">
      <c r="B5693" s="200"/>
      <c r="C5693" s="201"/>
      <c r="D5693" s="201"/>
      <c r="E5693" s="201"/>
      <c r="F5693" s="202"/>
      <c r="G5693" s="549"/>
      <c r="H5693" s="549"/>
      <c r="I5693" s="549"/>
      <c r="J5693" s="549"/>
      <c r="K5693" s="549"/>
      <c r="M5693" s="465"/>
      <c r="N5693" s="201"/>
    </row>
    <row r="5694" spans="2:14" hidden="1" outlineLevel="1" x14ac:dyDescent="0.35">
      <c r="B5694" s="200"/>
      <c r="C5694" s="201"/>
      <c r="D5694" s="201"/>
      <c r="E5694" s="201"/>
      <c r="F5694" s="202"/>
      <c r="G5694" s="549"/>
      <c r="H5694" s="549"/>
      <c r="I5694" s="549"/>
      <c r="J5694" s="549"/>
      <c r="K5694" s="549"/>
      <c r="M5694" s="465"/>
      <c r="N5694" s="201"/>
    </row>
    <row r="5695" spans="2:14" hidden="1" outlineLevel="1" x14ac:dyDescent="0.35">
      <c r="B5695" s="200"/>
      <c r="C5695" s="201"/>
      <c r="D5695" s="201"/>
      <c r="E5695" s="201"/>
      <c r="F5695" s="202"/>
      <c r="G5695" s="549"/>
      <c r="H5695" s="549"/>
      <c r="I5695" s="549"/>
      <c r="J5695" s="549"/>
      <c r="K5695" s="549"/>
      <c r="M5695" s="465"/>
      <c r="N5695" s="201"/>
    </row>
    <row r="5696" spans="2:14" hidden="1" outlineLevel="1" x14ac:dyDescent="0.35">
      <c r="B5696" s="200"/>
      <c r="C5696" s="201"/>
      <c r="D5696" s="201"/>
      <c r="E5696" s="201"/>
      <c r="F5696" s="202"/>
      <c r="G5696" s="549"/>
      <c r="H5696" s="549"/>
      <c r="I5696" s="549"/>
      <c r="J5696" s="549"/>
      <c r="K5696" s="549"/>
      <c r="M5696" s="465"/>
      <c r="N5696" s="201"/>
    </row>
    <row r="5697" spans="2:14" hidden="1" outlineLevel="1" x14ac:dyDescent="0.35">
      <c r="B5697" s="200"/>
      <c r="C5697" s="201"/>
      <c r="D5697" s="201"/>
      <c r="E5697" s="201"/>
      <c r="F5697" s="202"/>
      <c r="G5697" s="549"/>
      <c r="H5697" s="549"/>
      <c r="I5697" s="549"/>
      <c r="J5697" s="549"/>
      <c r="K5697" s="549"/>
      <c r="M5697" s="465"/>
      <c r="N5697" s="201"/>
    </row>
    <row r="5698" spans="2:14" hidden="1" outlineLevel="1" x14ac:dyDescent="0.35">
      <c r="B5698" s="200"/>
      <c r="C5698" s="201"/>
      <c r="D5698" s="201"/>
      <c r="E5698" s="201"/>
      <c r="F5698" s="202"/>
      <c r="G5698" s="549"/>
      <c r="H5698" s="549"/>
      <c r="I5698" s="549"/>
      <c r="J5698" s="549"/>
      <c r="K5698" s="549"/>
      <c r="M5698" s="465"/>
      <c r="N5698" s="201"/>
    </row>
    <row r="5699" spans="2:14" hidden="1" outlineLevel="1" x14ac:dyDescent="0.35">
      <c r="B5699" s="200"/>
      <c r="C5699" s="201"/>
      <c r="D5699" s="201"/>
      <c r="E5699" s="201"/>
      <c r="F5699" s="202"/>
      <c r="G5699" s="549"/>
      <c r="H5699" s="549"/>
      <c r="I5699" s="549"/>
      <c r="J5699" s="549"/>
      <c r="K5699" s="549"/>
      <c r="M5699" s="465"/>
      <c r="N5699" s="201"/>
    </row>
    <row r="5700" spans="2:14" hidden="1" outlineLevel="1" x14ac:dyDescent="0.35">
      <c r="B5700" s="200"/>
      <c r="C5700" s="201"/>
      <c r="D5700" s="201"/>
      <c r="E5700" s="201"/>
      <c r="F5700" s="202"/>
      <c r="G5700" s="549"/>
      <c r="H5700" s="549"/>
      <c r="I5700" s="549"/>
      <c r="J5700" s="549"/>
      <c r="K5700" s="549"/>
      <c r="M5700" s="465"/>
      <c r="N5700" s="201"/>
    </row>
    <row r="5701" spans="2:14" hidden="1" outlineLevel="1" x14ac:dyDescent="0.35">
      <c r="B5701" s="200"/>
      <c r="C5701" s="201"/>
      <c r="D5701" s="201"/>
      <c r="E5701" s="201"/>
      <c r="F5701" s="202"/>
      <c r="G5701" s="549"/>
      <c r="H5701" s="549"/>
      <c r="I5701" s="549"/>
      <c r="J5701" s="549"/>
      <c r="K5701" s="549"/>
      <c r="M5701" s="465"/>
      <c r="N5701" s="201"/>
    </row>
    <row r="5702" spans="2:14" hidden="1" outlineLevel="1" x14ac:dyDescent="0.35">
      <c r="B5702" s="200"/>
      <c r="C5702" s="201"/>
      <c r="D5702" s="201"/>
      <c r="E5702" s="201"/>
      <c r="F5702" s="202"/>
      <c r="G5702" s="549"/>
      <c r="H5702" s="549"/>
      <c r="I5702" s="549"/>
      <c r="J5702" s="549"/>
      <c r="K5702" s="549"/>
      <c r="M5702" s="465"/>
      <c r="N5702" s="201"/>
    </row>
    <row r="5703" spans="2:14" hidden="1" outlineLevel="1" x14ac:dyDescent="0.35">
      <c r="B5703" s="200"/>
      <c r="C5703" s="201"/>
      <c r="D5703" s="201"/>
      <c r="E5703" s="201"/>
      <c r="F5703" s="202"/>
      <c r="G5703" s="549"/>
      <c r="H5703" s="549"/>
      <c r="I5703" s="549"/>
      <c r="J5703" s="549"/>
      <c r="K5703" s="549"/>
      <c r="M5703" s="465"/>
      <c r="N5703" s="201"/>
    </row>
    <row r="5704" spans="2:14" hidden="1" outlineLevel="1" x14ac:dyDescent="0.35">
      <c r="B5704" s="200"/>
      <c r="C5704" s="201"/>
      <c r="D5704" s="201"/>
      <c r="E5704" s="201"/>
      <c r="F5704" s="202"/>
      <c r="G5704" s="549"/>
      <c r="H5704" s="549"/>
      <c r="I5704" s="549"/>
      <c r="J5704" s="549"/>
      <c r="K5704" s="549"/>
      <c r="M5704" s="465"/>
      <c r="N5704" s="201"/>
    </row>
    <row r="5705" spans="2:14" hidden="1" outlineLevel="1" x14ac:dyDescent="0.35">
      <c r="B5705" s="200"/>
      <c r="C5705" s="201"/>
      <c r="D5705" s="201"/>
      <c r="E5705" s="201"/>
      <c r="F5705" s="202"/>
      <c r="G5705" s="549"/>
      <c r="H5705" s="549"/>
      <c r="I5705" s="549"/>
      <c r="J5705" s="549"/>
      <c r="K5705" s="549"/>
      <c r="M5705" s="465"/>
      <c r="N5705" s="201"/>
    </row>
    <row r="5706" spans="2:14" hidden="1" outlineLevel="1" x14ac:dyDescent="0.35">
      <c r="B5706" s="200"/>
      <c r="C5706" s="201"/>
      <c r="D5706" s="201"/>
      <c r="E5706" s="201"/>
      <c r="F5706" s="202"/>
      <c r="G5706" s="549"/>
      <c r="H5706" s="549"/>
      <c r="I5706" s="549"/>
      <c r="J5706" s="549"/>
      <c r="K5706" s="549"/>
      <c r="M5706" s="465"/>
      <c r="N5706" s="201"/>
    </row>
    <row r="5707" spans="2:14" hidden="1" outlineLevel="1" x14ac:dyDescent="0.35">
      <c r="B5707" s="200"/>
      <c r="C5707" s="201"/>
      <c r="D5707" s="201"/>
      <c r="E5707" s="201"/>
      <c r="F5707" s="202"/>
      <c r="G5707" s="549"/>
      <c r="H5707" s="549"/>
      <c r="I5707" s="549"/>
      <c r="J5707" s="549"/>
      <c r="K5707" s="549"/>
      <c r="M5707" s="465"/>
      <c r="N5707" s="201"/>
    </row>
    <row r="5708" spans="2:14" hidden="1" outlineLevel="1" x14ac:dyDescent="0.35">
      <c r="B5708" s="200"/>
      <c r="C5708" s="201"/>
      <c r="D5708" s="201"/>
      <c r="E5708" s="201"/>
      <c r="F5708" s="202"/>
      <c r="G5708" s="549"/>
      <c r="H5708" s="549"/>
      <c r="I5708" s="549"/>
      <c r="J5708" s="549"/>
      <c r="K5708" s="549"/>
      <c r="M5708" s="465"/>
      <c r="N5708" s="201"/>
    </row>
    <row r="5709" spans="2:14" hidden="1" outlineLevel="1" x14ac:dyDescent="0.35">
      <c r="B5709" s="200"/>
      <c r="C5709" s="201"/>
      <c r="D5709" s="201"/>
      <c r="E5709" s="201"/>
      <c r="F5709" s="202"/>
      <c r="G5709" s="549"/>
      <c r="H5709" s="549"/>
      <c r="I5709" s="549"/>
      <c r="J5709" s="549"/>
      <c r="K5709" s="549"/>
      <c r="M5709" s="465"/>
      <c r="N5709" s="201"/>
    </row>
    <row r="5710" spans="2:14" hidden="1" outlineLevel="1" x14ac:dyDescent="0.35">
      <c r="B5710" s="200"/>
      <c r="C5710" s="201"/>
      <c r="D5710" s="201"/>
      <c r="E5710" s="201"/>
      <c r="F5710" s="202"/>
      <c r="G5710" s="549"/>
      <c r="H5710" s="549"/>
      <c r="I5710" s="549"/>
      <c r="J5710" s="549"/>
      <c r="K5710" s="549"/>
      <c r="M5710" s="465"/>
      <c r="N5710" s="201"/>
    </row>
    <row r="5711" spans="2:14" hidden="1" outlineLevel="1" x14ac:dyDescent="0.35">
      <c r="B5711" s="200"/>
      <c r="C5711" s="201"/>
      <c r="D5711" s="201"/>
      <c r="E5711" s="201"/>
      <c r="F5711" s="202"/>
      <c r="G5711" s="549"/>
      <c r="H5711" s="549"/>
      <c r="I5711" s="549"/>
      <c r="J5711" s="549"/>
      <c r="K5711" s="549"/>
      <c r="M5711" s="465"/>
      <c r="N5711" s="201"/>
    </row>
    <row r="5712" spans="2:14" hidden="1" outlineLevel="1" x14ac:dyDescent="0.35">
      <c r="B5712" s="200"/>
      <c r="C5712" s="201"/>
      <c r="D5712" s="201"/>
      <c r="E5712" s="201"/>
      <c r="F5712" s="202"/>
      <c r="G5712" s="549"/>
      <c r="H5712" s="549"/>
      <c r="I5712" s="549"/>
      <c r="J5712" s="549"/>
      <c r="K5712" s="549"/>
      <c r="M5712" s="465"/>
      <c r="N5712" s="201"/>
    </row>
    <row r="5713" spans="2:14" hidden="1" outlineLevel="1" x14ac:dyDescent="0.35">
      <c r="B5713" s="200"/>
      <c r="C5713" s="201"/>
      <c r="D5713" s="201"/>
      <c r="E5713" s="201"/>
      <c r="F5713" s="202"/>
      <c r="G5713" s="549"/>
      <c r="H5713" s="549"/>
      <c r="I5713" s="549"/>
      <c r="J5713" s="549"/>
      <c r="K5713" s="549"/>
      <c r="M5713" s="465"/>
      <c r="N5713" s="201"/>
    </row>
    <row r="5714" spans="2:14" hidden="1" outlineLevel="1" x14ac:dyDescent="0.35">
      <c r="B5714" s="200"/>
      <c r="C5714" s="201"/>
      <c r="D5714" s="201"/>
      <c r="E5714" s="201"/>
      <c r="F5714" s="202"/>
      <c r="G5714" s="549"/>
      <c r="H5714" s="549"/>
      <c r="I5714" s="549"/>
      <c r="J5714" s="549"/>
      <c r="K5714" s="549"/>
      <c r="M5714" s="465"/>
      <c r="N5714" s="201"/>
    </row>
    <row r="5715" spans="2:14" hidden="1" outlineLevel="1" x14ac:dyDescent="0.35">
      <c r="B5715" s="200"/>
      <c r="C5715" s="201"/>
      <c r="D5715" s="201"/>
      <c r="E5715" s="201"/>
      <c r="F5715" s="202"/>
      <c r="G5715" s="549"/>
      <c r="H5715" s="549"/>
      <c r="I5715" s="549"/>
      <c r="J5715" s="549"/>
      <c r="K5715" s="549"/>
      <c r="M5715" s="465"/>
      <c r="N5715" s="201"/>
    </row>
    <row r="5716" spans="2:14" hidden="1" outlineLevel="1" x14ac:dyDescent="0.35">
      <c r="B5716" s="200"/>
      <c r="C5716" s="201"/>
      <c r="D5716" s="201"/>
      <c r="E5716" s="201"/>
      <c r="F5716" s="202"/>
      <c r="G5716" s="549"/>
      <c r="H5716" s="549"/>
      <c r="I5716" s="549"/>
      <c r="J5716" s="549"/>
      <c r="K5716" s="549"/>
      <c r="M5716" s="465"/>
      <c r="N5716" s="201"/>
    </row>
    <row r="5717" spans="2:14" hidden="1" outlineLevel="1" x14ac:dyDescent="0.35">
      <c r="B5717" s="200"/>
      <c r="C5717" s="201"/>
      <c r="D5717" s="201"/>
      <c r="E5717" s="201"/>
      <c r="F5717" s="202"/>
      <c r="G5717" s="549"/>
      <c r="H5717" s="549"/>
      <c r="I5717" s="549"/>
      <c r="J5717" s="549"/>
      <c r="K5717" s="549"/>
      <c r="M5717" s="465"/>
      <c r="N5717" s="201"/>
    </row>
    <row r="5718" spans="2:14" hidden="1" outlineLevel="1" x14ac:dyDescent="0.35">
      <c r="B5718" s="200"/>
      <c r="C5718" s="201"/>
      <c r="D5718" s="201"/>
      <c r="E5718" s="201"/>
      <c r="F5718" s="202"/>
      <c r="G5718" s="549"/>
      <c r="H5718" s="549"/>
      <c r="I5718" s="549"/>
      <c r="J5718" s="549"/>
      <c r="K5718" s="549"/>
      <c r="M5718" s="465"/>
      <c r="N5718" s="201"/>
    </row>
    <row r="5719" spans="2:14" hidden="1" outlineLevel="1" x14ac:dyDescent="0.35">
      <c r="B5719" s="200"/>
      <c r="C5719" s="201"/>
      <c r="D5719" s="201"/>
      <c r="E5719" s="201"/>
      <c r="F5719" s="202"/>
      <c r="G5719" s="549"/>
      <c r="H5719" s="549"/>
      <c r="I5719" s="549"/>
      <c r="J5719" s="549"/>
      <c r="K5719" s="549"/>
      <c r="M5719" s="465"/>
      <c r="N5719" s="201"/>
    </row>
    <row r="5720" spans="2:14" hidden="1" outlineLevel="1" x14ac:dyDescent="0.35">
      <c r="B5720" s="200"/>
      <c r="C5720" s="201"/>
      <c r="D5720" s="201"/>
      <c r="E5720" s="201"/>
      <c r="F5720" s="202"/>
      <c r="G5720" s="549"/>
      <c r="H5720" s="549"/>
      <c r="I5720" s="549"/>
      <c r="J5720" s="549"/>
      <c r="K5720" s="549"/>
      <c r="M5720" s="465"/>
      <c r="N5720" s="201"/>
    </row>
    <row r="5721" spans="2:14" hidden="1" outlineLevel="1" x14ac:dyDescent="0.35">
      <c r="B5721" s="200"/>
      <c r="C5721" s="201"/>
      <c r="D5721" s="201"/>
      <c r="E5721" s="201"/>
      <c r="F5721" s="202"/>
      <c r="G5721" s="549"/>
      <c r="H5721" s="549"/>
      <c r="I5721" s="549"/>
      <c r="J5721" s="549"/>
      <c r="K5721" s="549"/>
      <c r="M5721" s="465"/>
      <c r="N5721" s="201"/>
    </row>
    <row r="5722" spans="2:14" hidden="1" outlineLevel="1" x14ac:dyDescent="0.35">
      <c r="B5722" s="200"/>
      <c r="C5722" s="201"/>
      <c r="D5722" s="201"/>
      <c r="E5722" s="201"/>
      <c r="F5722" s="202"/>
      <c r="G5722" s="549"/>
      <c r="H5722" s="549"/>
      <c r="I5722" s="549"/>
      <c r="J5722" s="549"/>
      <c r="K5722" s="549"/>
      <c r="M5722" s="465"/>
      <c r="N5722" s="201"/>
    </row>
    <row r="5723" spans="2:14" hidden="1" outlineLevel="1" x14ac:dyDescent="0.35">
      <c r="B5723" s="200"/>
      <c r="C5723" s="201"/>
      <c r="D5723" s="201"/>
      <c r="E5723" s="201"/>
      <c r="F5723" s="202"/>
      <c r="G5723" s="549"/>
      <c r="H5723" s="549"/>
      <c r="I5723" s="549"/>
      <c r="J5723" s="549"/>
      <c r="K5723" s="549"/>
      <c r="M5723" s="465"/>
      <c r="N5723" s="201"/>
    </row>
    <row r="5724" spans="2:14" hidden="1" outlineLevel="1" x14ac:dyDescent="0.35">
      <c r="B5724" s="200"/>
      <c r="C5724" s="201"/>
      <c r="D5724" s="201"/>
      <c r="E5724" s="201"/>
      <c r="F5724" s="202"/>
      <c r="G5724" s="549"/>
      <c r="H5724" s="549"/>
      <c r="I5724" s="549"/>
      <c r="J5724" s="549"/>
      <c r="K5724" s="549"/>
      <c r="M5724" s="465"/>
      <c r="N5724" s="201"/>
    </row>
    <row r="5725" spans="2:14" hidden="1" outlineLevel="1" x14ac:dyDescent="0.35">
      <c r="B5725" s="200"/>
      <c r="C5725" s="201"/>
      <c r="D5725" s="201"/>
      <c r="E5725" s="201"/>
      <c r="F5725" s="202"/>
      <c r="G5725" s="549"/>
      <c r="H5725" s="549"/>
      <c r="I5725" s="549"/>
      <c r="J5725" s="549"/>
      <c r="K5725" s="549"/>
      <c r="M5725" s="465"/>
      <c r="N5725" s="201"/>
    </row>
    <row r="5726" spans="2:14" hidden="1" outlineLevel="1" x14ac:dyDescent="0.35">
      <c r="B5726" s="200"/>
      <c r="C5726" s="201"/>
      <c r="D5726" s="201"/>
      <c r="E5726" s="201"/>
      <c r="F5726" s="202"/>
      <c r="G5726" s="549"/>
      <c r="H5726" s="549"/>
      <c r="I5726" s="549"/>
      <c r="J5726" s="549"/>
      <c r="K5726" s="549"/>
      <c r="M5726" s="465"/>
      <c r="N5726" s="201"/>
    </row>
    <row r="5727" spans="2:14" hidden="1" outlineLevel="1" x14ac:dyDescent="0.35">
      <c r="B5727" s="200"/>
      <c r="C5727" s="201"/>
      <c r="D5727" s="201"/>
      <c r="E5727" s="201"/>
      <c r="F5727" s="202"/>
      <c r="G5727" s="549"/>
      <c r="H5727" s="549"/>
      <c r="I5727" s="549"/>
      <c r="J5727" s="549"/>
      <c r="K5727" s="549"/>
      <c r="M5727" s="465"/>
      <c r="N5727" s="201"/>
    </row>
    <row r="5728" spans="2:14" hidden="1" outlineLevel="1" x14ac:dyDescent="0.35">
      <c r="B5728" s="200"/>
      <c r="C5728" s="201"/>
      <c r="D5728" s="201"/>
      <c r="E5728" s="201"/>
      <c r="F5728" s="202"/>
      <c r="G5728" s="549"/>
      <c r="H5728" s="549"/>
      <c r="I5728" s="549"/>
      <c r="J5728" s="549"/>
      <c r="K5728" s="549"/>
      <c r="M5728" s="465"/>
      <c r="N5728" s="201"/>
    </row>
    <row r="5729" spans="2:14" hidden="1" outlineLevel="1" x14ac:dyDescent="0.35">
      <c r="B5729" s="200"/>
      <c r="C5729" s="201"/>
      <c r="D5729" s="201"/>
      <c r="E5729" s="201"/>
      <c r="F5729" s="202"/>
      <c r="G5729" s="549"/>
      <c r="H5729" s="549"/>
      <c r="I5729" s="549"/>
      <c r="J5729" s="549"/>
      <c r="K5729" s="549"/>
      <c r="M5729" s="465"/>
      <c r="N5729" s="201"/>
    </row>
    <row r="5730" spans="2:14" hidden="1" outlineLevel="1" x14ac:dyDescent="0.35">
      <c r="B5730" s="200"/>
      <c r="C5730" s="201"/>
      <c r="D5730" s="201"/>
      <c r="E5730" s="201"/>
      <c r="F5730" s="202"/>
      <c r="G5730" s="549"/>
      <c r="H5730" s="549"/>
      <c r="I5730" s="549"/>
      <c r="J5730" s="549"/>
      <c r="K5730" s="549"/>
      <c r="M5730" s="465"/>
      <c r="N5730" s="201"/>
    </row>
    <row r="5731" spans="2:14" hidden="1" outlineLevel="1" x14ac:dyDescent="0.35">
      <c r="B5731" s="200"/>
      <c r="C5731" s="201"/>
      <c r="D5731" s="201"/>
      <c r="E5731" s="201"/>
      <c r="F5731" s="202"/>
      <c r="G5731" s="549"/>
      <c r="H5731" s="549"/>
      <c r="I5731" s="549"/>
      <c r="J5731" s="549"/>
      <c r="K5731" s="549"/>
      <c r="M5731" s="465"/>
      <c r="N5731" s="201"/>
    </row>
    <row r="5732" spans="2:14" hidden="1" outlineLevel="1" x14ac:dyDescent="0.35">
      <c r="B5732" s="200"/>
      <c r="C5732" s="201"/>
      <c r="D5732" s="201"/>
      <c r="E5732" s="201"/>
      <c r="F5732" s="202"/>
      <c r="G5732" s="549"/>
      <c r="H5732" s="549"/>
      <c r="I5732" s="549"/>
      <c r="J5732" s="549"/>
      <c r="K5732" s="549"/>
      <c r="M5732" s="465"/>
      <c r="N5732" s="201"/>
    </row>
    <row r="5733" spans="2:14" hidden="1" outlineLevel="1" x14ac:dyDescent="0.35">
      <c r="B5733" s="200"/>
      <c r="C5733" s="201"/>
      <c r="D5733" s="201"/>
      <c r="E5733" s="201"/>
      <c r="F5733" s="202"/>
      <c r="G5733" s="549"/>
      <c r="H5733" s="549"/>
      <c r="I5733" s="549"/>
      <c r="J5733" s="549"/>
      <c r="K5733" s="549"/>
      <c r="M5733" s="465"/>
      <c r="N5733" s="201"/>
    </row>
    <row r="5734" spans="2:14" hidden="1" outlineLevel="1" x14ac:dyDescent="0.35">
      <c r="B5734" s="200"/>
      <c r="C5734" s="201"/>
      <c r="D5734" s="201"/>
      <c r="E5734" s="201"/>
      <c r="F5734" s="202"/>
      <c r="G5734" s="549"/>
      <c r="H5734" s="549"/>
      <c r="I5734" s="549"/>
      <c r="J5734" s="549"/>
      <c r="K5734" s="549"/>
      <c r="M5734" s="465"/>
      <c r="N5734" s="201"/>
    </row>
    <row r="5735" spans="2:14" hidden="1" outlineLevel="1" x14ac:dyDescent="0.35">
      <c r="B5735" s="200"/>
      <c r="C5735" s="201"/>
      <c r="D5735" s="201"/>
      <c r="E5735" s="201"/>
      <c r="F5735" s="202"/>
      <c r="G5735" s="549"/>
      <c r="H5735" s="549"/>
      <c r="I5735" s="549"/>
      <c r="J5735" s="549"/>
      <c r="K5735" s="549"/>
      <c r="M5735" s="465"/>
      <c r="N5735" s="201"/>
    </row>
    <row r="5736" spans="2:14" hidden="1" outlineLevel="1" x14ac:dyDescent="0.35">
      <c r="B5736" s="200"/>
      <c r="C5736" s="201"/>
      <c r="D5736" s="201"/>
      <c r="E5736" s="201"/>
      <c r="F5736" s="202"/>
      <c r="G5736" s="549"/>
      <c r="H5736" s="549"/>
      <c r="I5736" s="549"/>
      <c r="J5736" s="549"/>
      <c r="K5736" s="549"/>
      <c r="M5736" s="465"/>
      <c r="N5736" s="201"/>
    </row>
    <row r="5737" spans="2:14" hidden="1" outlineLevel="1" x14ac:dyDescent="0.35">
      <c r="B5737" s="200"/>
      <c r="C5737" s="201"/>
      <c r="D5737" s="201"/>
      <c r="E5737" s="201"/>
      <c r="F5737" s="202"/>
      <c r="G5737" s="549"/>
      <c r="H5737" s="549"/>
      <c r="I5737" s="549"/>
      <c r="J5737" s="549"/>
      <c r="K5737" s="549"/>
      <c r="M5737" s="465"/>
      <c r="N5737" s="201"/>
    </row>
    <row r="5738" spans="2:14" hidden="1" outlineLevel="1" x14ac:dyDescent="0.35">
      <c r="B5738" s="200"/>
      <c r="C5738" s="201"/>
      <c r="D5738" s="201"/>
      <c r="E5738" s="201"/>
      <c r="F5738" s="202"/>
      <c r="G5738" s="549"/>
      <c r="H5738" s="549"/>
      <c r="I5738" s="549"/>
      <c r="J5738" s="549"/>
      <c r="K5738" s="549"/>
      <c r="M5738" s="465"/>
      <c r="N5738" s="201"/>
    </row>
    <row r="5739" spans="2:14" hidden="1" outlineLevel="1" x14ac:dyDescent="0.35">
      <c r="B5739" s="200"/>
      <c r="C5739" s="201"/>
      <c r="D5739" s="201"/>
      <c r="E5739" s="201"/>
      <c r="F5739" s="202"/>
      <c r="G5739" s="549"/>
      <c r="H5739" s="549"/>
      <c r="I5739" s="549"/>
      <c r="J5739" s="549"/>
      <c r="K5739" s="549"/>
      <c r="M5739" s="465"/>
      <c r="N5739" s="201"/>
    </row>
    <row r="5740" spans="2:14" hidden="1" outlineLevel="1" x14ac:dyDescent="0.35">
      <c r="B5740" s="200"/>
      <c r="C5740" s="201"/>
      <c r="D5740" s="201"/>
      <c r="E5740" s="201"/>
      <c r="F5740" s="202"/>
      <c r="G5740" s="549"/>
      <c r="H5740" s="549"/>
      <c r="I5740" s="549"/>
      <c r="J5740" s="549"/>
      <c r="K5740" s="549"/>
      <c r="M5740" s="465"/>
      <c r="N5740" s="201"/>
    </row>
    <row r="5741" spans="2:14" hidden="1" outlineLevel="1" x14ac:dyDescent="0.35">
      <c r="B5741" s="200"/>
      <c r="C5741" s="201"/>
      <c r="D5741" s="201"/>
      <c r="E5741" s="201"/>
      <c r="F5741" s="202"/>
      <c r="G5741" s="549"/>
      <c r="H5741" s="549"/>
      <c r="I5741" s="549"/>
      <c r="J5741" s="549"/>
      <c r="K5741" s="549"/>
      <c r="M5741" s="465"/>
      <c r="N5741" s="201"/>
    </row>
    <row r="5742" spans="2:14" hidden="1" outlineLevel="1" x14ac:dyDescent="0.35">
      <c r="B5742" s="200"/>
      <c r="C5742" s="201"/>
      <c r="D5742" s="201"/>
      <c r="E5742" s="201"/>
      <c r="F5742" s="202"/>
      <c r="G5742" s="549"/>
      <c r="H5742" s="549"/>
      <c r="I5742" s="549"/>
      <c r="J5742" s="549"/>
      <c r="K5742" s="549"/>
      <c r="M5742" s="465"/>
      <c r="N5742" s="201"/>
    </row>
    <row r="5743" spans="2:14" hidden="1" outlineLevel="1" x14ac:dyDescent="0.35">
      <c r="B5743" s="200"/>
      <c r="C5743" s="201"/>
      <c r="D5743" s="201"/>
      <c r="E5743" s="201"/>
      <c r="F5743" s="202"/>
      <c r="G5743" s="549"/>
      <c r="H5743" s="549"/>
      <c r="I5743" s="549"/>
      <c r="J5743" s="549"/>
      <c r="K5743" s="549"/>
      <c r="M5743" s="465"/>
      <c r="N5743" s="201"/>
    </row>
    <row r="5744" spans="2:14" hidden="1" outlineLevel="1" x14ac:dyDescent="0.35">
      <c r="B5744" s="200"/>
      <c r="C5744" s="201"/>
      <c r="D5744" s="201"/>
      <c r="E5744" s="201"/>
      <c r="F5744" s="202"/>
      <c r="G5744" s="549"/>
      <c r="H5744" s="549"/>
      <c r="I5744" s="549"/>
      <c r="J5744" s="549"/>
      <c r="K5744" s="549"/>
      <c r="M5744" s="465"/>
      <c r="N5744" s="201"/>
    </row>
    <row r="5745" spans="2:14" hidden="1" outlineLevel="1" x14ac:dyDescent="0.35">
      <c r="B5745" s="200"/>
      <c r="C5745" s="201"/>
      <c r="D5745" s="201"/>
      <c r="E5745" s="201"/>
      <c r="F5745" s="202"/>
      <c r="G5745" s="549"/>
      <c r="H5745" s="549"/>
      <c r="I5745" s="549"/>
      <c r="J5745" s="549"/>
      <c r="K5745" s="549"/>
      <c r="M5745" s="465"/>
      <c r="N5745" s="201"/>
    </row>
    <row r="5746" spans="2:14" hidden="1" outlineLevel="1" x14ac:dyDescent="0.35">
      <c r="B5746" s="200"/>
      <c r="C5746" s="201"/>
      <c r="D5746" s="201"/>
      <c r="E5746" s="201"/>
      <c r="F5746" s="202"/>
      <c r="G5746" s="549"/>
      <c r="H5746" s="549"/>
      <c r="I5746" s="549"/>
      <c r="J5746" s="549"/>
      <c r="K5746" s="549"/>
      <c r="M5746" s="465"/>
      <c r="N5746" s="201"/>
    </row>
    <row r="5747" spans="2:14" hidden="1" outlineLevel="1" x14ac:dyDescent="0.35">
      <c r="B5747" s="200"/>
      <c r="C5747" s="201"/>
      <c r="D5747" s="201"/>
      <c r="E5747" s="201"/>
      <c r="F5747" s="202"/>
      <c r="G5747" s="549"/>
      <c r="H5747" s="549"/>
      <c r="I5747" s="549"/>
      <c r="J5747" s="549"/>
      <c r="K5747" s="549"/>
      <c r="M5747" s="465"/>
      <c r="N5747" s="201"/>
    </row>
    <row r="5748" spans="2:14" hidden="1" outlineLevel="1" x14ac:dyDescent="0.35">
      <c r="B5748" s="200"/>
      <c r="C5748" s="201"/>
      <c r="D5748" s="201"/>
      <c r="E5748" s="201"/>
      <c r="F5748" s="202"/>
      <c r="G5748" s="549"/>
      <c r="H5748" s="549"/>
      <c r="I5748" s="549"/>
      <c r="J5748" s="549"/>
      <c r="K5748" s="549"/>
      <c r="M5748" s="465"/>
      <c r="N5748" s="201"/>
    </row>
    <row r="5749" spans="2:14" hidden="1" outlineLevel="1" x14ac:dyDescent="0.35">
      <c r="B5749" s="200"/>
      <c r="C5749" s="201"/>
      <c r="D5749" s="201"/>
      <c r="E5749" s="201"/>
      <c r="F5749" s="202"/>
      <c r="G5749" s="549"/>
      <c r="H5749" s="549"/>
      <c r="I5749" s="549"/>
      <c r="J5749" s="549"/>
      <c r="K5749" s="549"/>
      <c r="M5749" s="465"/>
      <c r="N5749" s="201"/>
    </row>
    <row r="5750" spans="2:14" hidden="1" outlineLevel="1" x14ac:dyDescent="0.35">
      <c r="B5750" s="200"/>
      <c r="C5750" s="201"/>
      <c r="D5750" s="201"/>
      <c r="E5750" s="201"/>
      <c r="F5750" s="202"/>
      <c r="G5750" s="549"/>
      <c r="H5750" s="549"/>
      <c r="I5750" s="549"/>
      <c r="J5750" s="549"/>
      <c r="K5750" s="549"/>
      <c r="M5750" s="465"/>
      <c r="N5750" s="201"/>
    </row>
    <row r="5751" spans="2:14" hidden="1" outlineLevel="1" x14ac:dyDescent="0.35">
      <c r="B5751" s="200"/>
      <c r="C5751" s="201"/>
      <c r="D5751" s="201"/>
      <c r="E5751" s="201"/>
      <c r="F5751" s="202"/>
      <c r="G5751" s="549"/>
      <c r="H5751" s="549"/>
      <c r="I5751" s="549"/>
      <c r="J5751" s="549"/>
      <c r="K5751" s="549"/>
      <c r="M5751" s="465"/>
      <c r="N5751" s="201"/>
    </row>
    <row r="5752" spans="2:14" hidden="1" outlineLevel="1" x14ac:dyDescent="0.35">
      <c r="B5752" s="200"/>
      <c r="C5752" s="201"/>
      <c r="D5752" s="201"/>
      <c r="E5752" s="201"/>
      <c r="F5752" s="202"/>
      <c r="G5752" s="549"/>
      <c r="H5752" s="549"/>
      <c r="I5752" s="549"/>
      <c r="J5752" s="549"/>
      <c r="K5752" s="549"/>
      <c r="M5752" s="465"/>
      <c r="N5752" s="201"/>
    </row>
    <row r="5753" spans="2:14" hidden="1" outlineLevel="1" x14ac:dyDescent="0.35">
      <c r="B5753" s="200"/>
      <c r="C5753" s="201"/>
      <c r="D5753" s="201"/>
      <c r="E5753" s="201"/>
      <c r="F5753" s="202"/>
      <c r="G5753" s="549"/>
      <c r="H5753" s="549"/>
      <c r="I5753" s="549"/>
      <c r="J5753" s="549"/>
      <c r="K5753" s="549"/>
      <c r="M5753" s="465"/>
      <c r="N5753" s="201"/>
    </row>
    <row r="5754" spans="2:14" hidden="1" outlineLevel="1" x14ac:dyDescent="0.35">
      <c r="B5754" s="200"/>
      <c r="C5754" s="201"/>
      <c r="D5754" s="201"/>
      <c r="E5754" s="201"/>
      <c r="F5754" s="202"/>
      <c r="G5754" s="549"/>
      <c r="H5754" s="549"/>
      <c r="I5754" s="549"/>
      <c r="J5754" s="549"/>
      <c r="K5754" s="549"/>
      <c r="M5754" s="465"/>
      <c r="N5754" s="201"/>
    </row>
    <row r="5755" spans="2:14" hidden="1" outlineLevel="1" x14ac:dyDescent="0.35">
      <c r="B5755" s="200"/>
      <c r="C5755" s="201"/>
      <c r="D5755" s="201"/>
      <c r="E5755" s="201"/>
      <c r="F5755" s="202"/>
      <c r="G5755" s="549"/>
      <c r="H5755" s="549"/>
      <c r="I5755" s="549"/>
      <c r="J5755" s="549"/>
      <c r="K5755" s="549"/>
      <c r="M5755" s="465"/>
      <c r="N5755" s="201"/>
    </row>
    <row r="5756" spans="2:14" hidden="1" outlineLevel="1" x14ac:dyDescent="0.35">
      <c r="B5756" s="200"/>
      <c r="C5756" s="201"/>
      <c r="D5756" s="201"/>
      <c r="E5756" s="201"/>
      <c r="F5756" s="202"/>
      <c r="G5756" s="549"/>
      <c r="H5756" s="549"/>
      <c r="I5756" s="549"/>
      <c r="J5756" s="549"/>
      <c r="K5756" s="549"/>
      <c r="M5756" s="465"/>
      <c r="N5756" s="201"/>
    </row>
    <row r="5757" spans="2:14" hidden="1" outlineLevel="1" x14ac:dyDescent="0.35">
      <c r="B5757" s="200"/>
      <c r="C5757" s="201"/>
      <c r="D5757" s="201"/>
      <c r="E5757" s="201"/>
      <c r="F5757" s="202"/>
      <c r="G5757" s="549"/>
      <c r="H5757" s="549"/>
      <c r="I5757" s="549"/>
      <c r="J5757" s="549"/>
      <c r="K5757" s="549"/>
      <c r="M5757" s="465"/>
      <c r="N5757" s="201"/>
    </row>
    <row r="5758" spans="2:14" hidden="1" outlineLevel="1" x14ac:dyDescent="0.35">
      <c r="B5758" s="200"/>
      <c r="C5758" s="201"/>
      <c r="D5758" s="201"/>
      <c r="E5758" s="201"/>
      <c r="F5758" s="202"/>
      <c r="G5758" s="549"/>
      <c r="H5758" s="549"/>
      <c r="I5758" s="549"/>
      <c r="J5758" s="549"/>
      <c r="K5758" s="549"/>
      <c r="M5758" s="465"/>
      <c r="N5758" s="201"/>
    </row>
    <row r="5759" spans="2:14" hidden="1" outlineLevel="1" x14ac:dyDescent="0.35">
      <c r="B5759" s="200"/>
      <c r="C5759" s="201"/>
      <c r="D5759" s="201"/>
      <c r="E5759" s="201"/>
      <c r="F5759" s="202"/>
      <c r="G5759" s="549"/>
      <c r="H5759" s="549"/>
      <c r="I5759" s="549"/>
      <c r="J5759" s="549"/>
      <c r="K5759" s="549"/>
      <c r="M5759" s="465"/>
      <c r="N5759" s="201"/>
    </row>
    <row r="5760" spans="2:14" hidden="1" outlineLevel="1" x14ac:dyDescent="0.35">
      <c r="B5760" s="200"/>
      <c r="C5760" s="201"/>
      <c r="D5760" s="201"/>
      <c r="E5760" s="201"/>
      <c r="F5760" s="202"/>
      <c r="G5760" s="549"/>
      <c r="H5760" s="549"/>
      <c r="I5760" s="549"/>
      <c r="J5760" s="549"/>
      <c r="K5760" s="549"/>
      <c r="M5760" s="465"/>
      <c r="N5760" s="201"/>
    </row>
    <row r="5761" spans="2:14" hidden="1" outlineLevel="1" x14ac:dyDescent="0.35">
      <c r="B5761" s="200"/>
      <c r="C5761" s="201"/>
      <c r="D5761" s="201"/>
      <c r="E5761" s="201"/>
      <c r="F5761" s="202"/>
      <c r="G5761" s="549"/>
      <c r="H5761" s="549"/>
      <c r="I5761" s="549"/>
      <c r="J5761" s="549"/>
      <c r="K5761" s="549"/>
      <c r="M5761" s="465"/>
      <c r="N5761" s="201"/>
    </row>
    <row r="5762" spans="2:14" hidden="1" outlineLevel="1" x14ac:dyDescent="0.35">
      <c r="B5762" s="200"/>
      <c r="C5762" s="201"/>
      <c r="D5762" s="201"/>
      <c r="E5762" s="201"/>
      <c r="F5762" s="202"/>
      <c r="G5762" s="549"/>
      <c r="H5762" s="549"/>
      <c r="I5762" s="549"/>
      <c r="J5762" s="549"/>
      <c r="K5762" s="549"/>
      <c r="M5762" s="465"/>
      <c r="N5762" s="201"/>
    </row>
    <row r="5763" spans="2:14" hidden="1" outlineLevel="1" x14ac:dyDescent="0.35">
      <c r="B5763" s="200"/>
      <c r="C5763" s="201"/>
      <c r="D5763" s="201"/>
      <c r="E5763" s="201"/>
      <c r="F5763" s="202"/>
      <c r="G5763" s="549"/>
      <c r="H5763" s="549"/>
      <c r="I5763" s="549"/>
      <c r="J5763" s="549"/>
      <c r="K5763" s="549"/>
      <c r="M5763" s="465"/>
      <c r="N5763" s="201"/>
    </row>
    <row r="5764" spans="2:14" hidden="1" outlineLevel="1" x14ac:dyDescent="0.35">
      <c r="B5764" s="200"/>
      <c r="C5764" s="201"/>
      <c r="D5764" s="201"/>
      <c r="E5764" s="201"/>
      <c r="F5764" s="202"/>
      <c r="G5764" s="549"/>
      <c r="H5764" s="549"/>
      <c r="I5764" s="549"/>
      <c r="J5764" s="549"/>
      <c r="K5764" s="549"/>
      <c r="M5764" s="465"/>
      <c r="N5764" s="201"/>
    </row>
    <row r="5765" spans="2:14" hidden="1" outlineLevel="1" x14ac:dyDescent="0.35">
      <c r="B5765" s="200"/>
      <c r="C5765" s="201"/>
      <c r="D5765" s="201"/>
      <c r="E5765" s="201"/>
      <c r="F5765" s="202"/>
      <c r="G5765" s="549"/>
      <c r="H5765" s="549"/>
      <c r="I5765" s="549"/>
      <c r="J5765" s="549"/>
      <c r="K5765" s="549"/>
      <c r="M5765" s="465"/>
      <c r="N5765" s="201"/>
    </row>
    <row r="5766" spans="2:14" hidden="1" outlineLevel="1" x14ac:dyDescent="0.35">
      <c r="B5766" s="200"/>
      <c r="C5766" s="201"/>
      <c r="D5766" s="201"/>
      <c r="E5766" s="201"/>
      <c r="F5766" s="202"/>
      <c r="G5766" s="549"/>
      <c r="H5766" s="549"/>
      <c r="I5766" s="549"/>
      <c r="J5766" s="549"/>
      <c r="K5766" s="549"/>
      <c r="M5766" s="465"/>
      <c r="N5766" s="201"/>
    </row>
    <row r="5767" spans="2:14" hidden="1" outlineLevel="1" x14ac:dyDescent="0.35">
      <c r="B5767" s="200"/>
      <c r="C5767" s="201"/>
      <c r="D5767" s="201"/>
      <c r="E5767" s="201"/>
      <c r="F5767" s="202"/>
      <c r="G5767" s="549"/>
      <c r="H5767" s="549"/>
      <c r="I5767" s="549"/>
      <c r="J5767" s="549"/>
      <c r="K5767" s="549"/>
      <c r="M5767" s="465"/>
      <c r="N5767" s="201"/>
    </row>
    <row r="5768" spans="2:14" hidden="1" outlineLevel="1" x14ac:dyDescent="0.35">
      <c r="B5768" s="200"/>
      <c r="C5768" s="201"/>
      <c r="D5768" s="201"/>
      <c r="E5768" s="201"/>
      <c r="F5768" s="202"/>
      <c r="G5768" s="549"/>
      <c r="H5768" s="549"/>
      <c r="I5768" s="549"/>
      <c r="J5768" s="549"/>
      <c r="K5768" s="549"/>
      <c r="M5768" s="465"/>
      <c r="N5768" s="201"/>
    </row>
    <row r="5769" spans="2:14" hidden="1" outlineLevel="1" x14ac:dyDescent="0.35">
      <c r="B5769" s="200"/>
      <c r="C5769" s="201"/>
      <c r="D5769" s="201"/>
      <c r="E5769" s="201"/>
      <c r="F5769" s="202"/>
      <c r="G5769" s="549"/>
      <c r="H5769" s="549"/>
      <c r="I5769" s="549"/>
      <c r="J5769" s="549"/>
      <c r="K5769" s="549"/>
      <c r="M5769" s="465"/>
      <c r="N5769" s="201"/>
    </row>
    <row r="5770" spans="2:14" hidden="1" outlineLevel="1" x14ac:dyDescent="0.35">
      <c r="B5770" s="200"/>
      <c r="C5770" s="201"/>
      <c r="D5770" s="201"/>
      <c r="E5770" s="201"/>
      <c r="F5770" s="202"/>
      <c r="G5770" s="549"/>
      <c r="H5770" s="549"/>
      <c r="I5770" s="549"/>
      <c r="J5770" s="549"/>
      <c r="K5770" s="549"/>
      <c r="M5770" s="465"/>
      <c r="N5770" s="201"/>
    </row>
    <row r="5771" spans="2:14" hidden="1" outlineLevel="1" x14ac:dyDescent="0.35">
      <c r="B5771" s="200"/>
      <c r="C5771" s="201"/>
      <c r="D5771" s="201"/>
      <c r="E5771" s="201"/>
      <c r="F5771" s="202"/>
      <c r="G5771" s="549"/>
      <c r="H5771" s="549"/>
      <c r="I5771" s="549"/>
      <c r="J5771" s="549"/>
      <c r="K5771" s="549"/>
      <c r="M5771" s="465"/>
      <c r="N5771" s="201"/>
    </row>
    <row r="5772" spans="2:14" hidden="1" outlineLevel="1" x14ac:dyDescent="0.35">
      <c r="B5772" s="200"/>
      <c r="C5772" s="201"/>
      <c r="D5772" s="201"/>
      <c r="E5772" s="201"/>
      <c r="F5772" s="202"/>
      <c r="G5772" s="549"/>
      <c r="H5772" s="549"/>
      <c r="I5772" s="549"/>
      <c r="J5772" s="549"/>
      <c r="K5772" s="549"/>
      <c r="M5772" s="465"/>
      <c r="N5772" s="201"/>
    </row>
    <row r="5773" spans="2:14" hidden="1" outlineLevel="1" x14ac:dyDescent="0.35">
      <c r="B5773" s="200"/>
      <c r="C5773" s="201"/>
      <c r="D5773" s="201"/>
      <c r="E5773" s="201"/>
      <c r="F5773" s="202"/>
      <c r="G5773" s="549"/>
      <c r="H5773" s="549"/>
      <c r="I5773" s="549"/>
      <c r="J5773" s="549"/>
      <c r="K5773" s="549"/>
      <c r="M5773" s="465"/>
      <c r="N5773" s="201"/>
    </row>
    <row r="5774" spans="2:14" hidden="1" outlineLevel="1" x14ac:dyDescent="0.35">
      <c r="B5774" s="200"/>
      <c r="C5774" s="201"/>
      <c r="D5774" s="201"/>
      <c r="E5774" s="201"/>
      <c r="F5774" s="202"/>
      <c r="G5774" s="549"/>
      <c r="H5774" s="549"/>
      <c r="I5774" s="549"/>
      <c r="J5774" s="549"/>
      <c r="K5774" s="549"/>
      <c r="M5774" s="465"/>
      <c r="N5774" s="201"/>
    </row>
    <row r="5775" spans="2:14" hidden="1" outlineLevel="1" x14ac:dyDescent="0.35">
      <c r="B5775" s="200"/>
      <c r="C5775" s="201"/>
      <c r="D5775" s="201"/>
      <c r="E5775" s="201"/>
      <c r="F5775" s="202"/>
      <c r="G5775" s="549"/>
      <c r="H5775" s="549"/>
      <c r="I5775" s="549"/>
      <c r="J5775" s="549"/>
      <c r="K5775" s="549"/>
      <c r="M5775" s="465"/>
      <c r="N5775" s="201"/>
    </row>
    <row r="5776" spans="2:14" hidden="1" outlineLevel="1" x14ac:dyDescent="0.35">
      <c r="B5776" s="200"/>
      <c r="C5776" s="201"/>
      <c r="D5776" s="201"/>
      <c r="E5776" s="201"/>
      <c r="F5776" s="202"/>
      <c r="G5776" s="549"/>
      <c r="H5776" s="549"/>
      <c r="I5776" s="549"/>
      <c r="J5776" s="549"/>
      <c r="K5776" s="549"/>
      <c r="M5776" s="465"/>
      <c r="N5776" s="201"/>
    </row>
    <row r="5777" spans="2:14" hidden="1" outlineLevel="1" x14ac:dyDescent="0.35">
      <c r="B5777" s="200"/>
      <c r="C5777" s="201"/>
      <c r="D5777" s="201"/>
      <c r="E5777" s="201"/>
      <c r="F5777" s="202"/>
      <c r="G5777" s="549"/>
      <c r="H5777" s="549"/>
      <c r="I5777" s="549"/>
      <c r="J5777" s="549"/>
      <c r="K5777" s="549"/>
      <c r="M5777" s="465"/>
      <c r="N5777" s="201"/>
    </row>
    <row r="5778" spans="2:14" hidden="1" outlineLevel="1" x14ac:dyDescent="0.35">
      <c r="B5778" s="200"/>
      <c r="C5778" s="201"/>
      <c r="D5778" s="201"/>
      <c r="E5778" s="201"/>
      <c r="F5778" s="202"/>
      <c r="G5778" s="549"/>
      <c r="H5778" s="549"/>
      <c r="I5778" s="549"/>
      <c r="J5778" s="549"/>
      <c r="K5778" s="549"/>
      <c r="M5778" s="465"/>
      <c r="N5778" s="201"/>
    </row>
    <row r="5779" spans="2:14" hidden="1" outlineLevel="1" x14ac:dyDescent="0.35">
      <c r="B5779" s="200"/>
      <c r="C5779" s="201"/>
      <c r="D5779" s="201"/>
      <c r="E5779" s="201"/>
      <c r="F5779" s="202"/>
      <c r="G5779" s="549"/>
      <c r="H5779" s="549"/>
      <c r="I5779" s="549"/>
      <c r="J5779" s="549"/>
      <c r="K5779" s="549"/>
      <c r="M5779" s="465"/>
      <c r="N5779" s="201"/>
    </row>
    <row r="5780" spans="2:14" hidden="1" outlineLevel="1" x14ac:dyDescent="0.35">
      <c r="B5780" s="200"/>
      <c r="C5780" s="201"/>
      <c r="D5780" s="201"/>
      <c r="E5780" s="201"/>
      <c r="F5780" s="202"/>
      <c r="G5780" s="549"/>
      <c r="H5780" s="549"/>
      <c r="I5780" s="549"/>
      <c r="J5780" s="549"/>
      <c r="K5780" s="549"/>
      <c r="M5780" s="465"/>
      <c r="N5780" s="201"/>
    </row>
    <row r="5781" spans="2:14" hidden="1" outlineLevel="1" x14ac:dyDescent="0.35">
      <c r="B5781" s="200"/>
      <c r="C5781" s="201"/>
      <c r="D5781" s="201"/>
      <c r="E5781" s="201"/>
      <c r="F5781" s="202"/>
      <c r="G5781" s="549"/>
      <c r="H5781" s="549"/>
      <c r="I5781" s="549"/>
      <c r="J5781" s="549"/>
      <c r="K5781" s="549"/>
      <c r="M5781" s="465"/>
      <c r="N5781" s="201"/>
    </row>
    <row r="5782" spans="2:14" hidden="1" outlineLevel="1" x14ac:dyDescent="0.35">
      <c r="B5782" s="200"/>
      <c r="C5782" s="201"/>
      <c r="D5782" s="201"/>
      <c r="E5782" s="201"/>
      <c r="F5782" s="202"/>
      <c r="G5782" s="549"/>
      <c r="H5782" s="549"/>
      <c r="I5782" s="549"/>
      <c r="J5782" s="549"/>
      <c r="K5782" s="549"/>
      <c r="M5782" s="465"/>
      <c r="N5782" s="201"/>
    </row>
    <row r="5783" spans="2:14" hidden="1" outlineLevel="1" x14ac:dyDescent="0.35">
      <c r="B5783" s="200"/>
      <c r="C5783" s="201"/>
      <c r="D5783" s="201"/>
      <c r="E5783" s="201"/>
      <c r="F5783" s="202"/>
      <c r="G5783" s="549"/>
      <c r="H5783" s="549"/>
      <c r="I5783" s="549"/>
      <c r="J5783" s="549"/>
      <c r="K5783" s="549"/>
      <c r="M5783" s="465"/>
      <c r="N5783" s="201"/>
    </row>
    <row r="5784" spans="2:14" hidden="1" outlineLevel="1" x14ac:dyDescent="0.35">
      <c r="B5784" s="200"/>
      <c r="C5784" s="201"/>
      <c r="D5784" s="201"/>
      <c r="E5784" s="201"/>
      <c r="F5784" s="202"/>
      <c r="G5784" s="549"/>
      <c r="H5784" s="549"/>
      <c r="I5784" s="549"/>
      <c r="J5784" s="549"/>
      <c r="K5784" s="549"/>
      <c r="M5784" s="465"/>
      <c r="N5784" s="201"/>
    </row>
    <row r="5785" spans="2:14" hidden="1" outlineLevel="1" x14ac:dyDescent="0.35">
      <c r="B5785" s="200"/>
      <c r="C5785" s="201"/>
      <c r="D5785" s="201"/>
      <c r="E5785" s="201"/>
      <c r="F5785" s="202"/>
      <c r="G5785" s="549"/>
      <c r="H5785" s="549"/>
      <c r="I5785" s="549"/>
      <c r="J5785" s="549"/>
      <c r="K5785" s="549"/>
      <c r="M5785" s="465"/>
      <c r="N5785" s="201"/>
    </row>
    <row r="5786" spans="2:14" hidden="1" outlineLevel="1" x14ac:dyDescent="0.35">
      <c r="B5786" s="200"/>
      <c r="C5786" s="201"/>
      <c r="D5786" s="201"/>
      <c r="E5786" s="201"/>
      <c r="F5786" s="202"/>
      <c r="G5786" s="549"/>
      <c r="H5786" s="549"/>
      <c r="I5786" s="549"/>
      <c r="J5786" s="549"/>
      <c r="K5786" s="549"/>
      <c r="M5786" s="465"/>
      <c r="N5786" s="201"/>
    </row>
    <row r="5787" spans="2:14" hidden="1" outlineLevel="1" x14ac:dyDescent="0.35">
      <c r="B5787" s="200"/>
      <c r="C5787" s="201"/>
      <c r="D5787" s="201"/>
      <c r="E5787" s="201"/>
      <c r="F5787" s="202"/>
      <c r="G5787" s="549"/>
      <c r="H5787" s="549"/>
      <c r="I5787" s="549"/>
      <c r="J5787" s="549"/>
      <c r="K5787" s="549"/>
      <c r="M5787" s="465"/>
      <c r="N5787" s="201"/>
    </row>
    <row r="5788" spans="2:14" hidden="1" outlineLevel="1" x14ac:dyDescent="0.35">
      <c r="B5788" s="200"/>
      <c r="C5788" s="201"/>
      <c r="D5788" s="201"/>
      <c r="E5788" s="201"/>
      <c r="F5788" s="202"/>
      <c r="G5788" s="549"/>
      <c r="H5788" s="549"/>
      <c r="I5788" s="549"/>
      <c r="J5788" s="549"/>
      <c r="K5788" s="549"/>
      <c r="M5788" s="465"/>
      <c r="N5788" s="201"/>
    </row>
    <row r="5789" spans="2:14" hidden="1" outlineLevel="1" x14ac:dyDescent="0.35">
      <c r="B5789" s="200"/>
      <c r="C5789" s="201"/>
      <c r="D5789" s="201"/>
      <c r="E5789" s="201"/>
      <c r="F5789" s="202"/>
      <c r="G5789" s="549"/>
      <c r="H5789" s="549"/>
      <c r="I5789" s="549"/>
      <c r="J5789" s="549"/>
      <c r="K5789" s="549"/>
      <c r="M5789" s="465"/>
      <c r="N5789" s="201"/>
    </row>
    <row r="5790" spans="2:14" hidden="1" outlineLevel="1" x14ac:dyDescent="0.35">
      <c r="B5790" s="200"/>
      <c r="C5790" s="201"/>
      <c r="D5790" s="201"/>
      <c r="E5790" s="201"/>
      <c r="F5790" s="202"/>
      <c r="G5790" s="549"/>
      <c r="H5790" s="549"/>
      <c r="I5790" s="549"/>
      <c r="J5790" s="549"/>
      <c r="K5790" s="549"/>
      <c r="M5790" s="465"/>
      <c r="N5790" s="201"/>
    </row>
    <row r="5791" spans="2:14" hidden="1" outlineLevel="1" x14ac:dyDescent="0.35">
      <c r="B5791" s="200"/>
      <c r="C5791" s="201"/>
      <c r="D5791" s="201"/>
      <c r="E5791" s="201"/>
      <c r="F5791" s="202"/>
      <c r="G5791" s="549"/>
      <c r="H5791" s="549"/>
      <c r="I5791" s="549"/>
      <c r="J5791" s="549"/>
      <c r="K5791" s="549"/>
      <c r="M5791" s="465"/>
      <c r="N5791" s="201"/>
    </row>
    <row r="5792" spans="2:14" hidden="1" outlineLevel="1" x14ac:dyDescent="0.35">
      <c r="B5792" s="200"/>
      <c r="C5792" s="201"/>
      <c r="D5792" s="201"/>
      <c r="E5792" s="201"/>
      <c r="F5792" s="202"/>
      <c r="G5792" s="549"/>
      <c r="H5792" s="549"/>
      <c r="I5792" s="549"/>
      <c r="J5792" s="549"/>
      <c r="K5792" s="549"/>
      <c r="M5792" s="465"/>
      <c r="N5792" s="201"/>
    </row>
    <row r="5793" spans="2:14" hidden="1" outlineLevel="1" x14ac:dyDescent="0.35">
      <c r="B5793" s="200"/>
      <c r="C5793" s="201"/>
      <c r="D5793" s="201"/>
      <c r="E5793" s="201"/>
      <c r="F5793" s="202"/>
      <c r="G5793" s="549"/>
      <c r="H5793" s="549"/>
      <c r="I5793" s="549"/>
      <c r="J5793" s="549"/>
      <c r="K5793" s="549"/>
      <c r="M5793" s="465"/>
      <c r="N5793" s="201"/>
    </row>
    <row r="5794" spans="2:14" hidden="1" outlineLevel="1" x14ac:dyDescent="0.35">
      <c r="B5794" s="200"/>
      <c r="C5794" s="201"/>
      <c r="D5794" s="201"/>
      <c r="E5794" s="201"/>
      <c r="F5794" s="202"/>
      <c r="G5794" s="549"/>
      <c r="H5794" s="549"/>
      <c r="I5794" s="549"/>
      <c r="J5794" s="549"/>
      <c r="K5794" s="549"/>
      <c r="M5794" s="465"/>
      <c r="N5794" s="201"/>
    </row>
    <row r="5795" spans="2:14" hidden="1" outlineLevel="1" x14ac:dyDescent="0.35">
      <c r="B5795" s="200"/>
      <c r="C5795" s="201"/>
      <c r="D5795" s="201"/>
      <c r="E5795" s="201"/>
      <c r="F5795" s="202"/>
      <c r="G5795" s="549"/>
      <c r="H5795" s="549"/>
      <c r="I5795" s="549"/>
      <c r="J5795" s="549"/>
      <c r="K5795" s="549"/>
      <c r="M5795" s="465"/>
      <c r="N5795" s="201"/>
    </row>
    <row r="5796" spans="2:14" hidden="1" outlineLevel="1" x14ac:dyDescent="0.35">
      <c r="B5796" s="200"/>
      <c r="C5796" s="201"/>
      <c r="D5796" s="201"/>
      <c r="E5796" s="201"/>
      <c r="F5796" s="202"/>
      <c r="G5796" s="549"/>
      <c r="H5796" s="549"/>
      <c r="I5796" s="549"/>
      <c r="J5796" s="549"/>
      <c r="K5796" s="549"/>
      <c r="M5796" s="465"/>
      <c r="N5796" s="201"/>
    </row>
    <row r="5797" spans="2:14" hidden="1" outlineLevel="1" x14ac:dyDescent="0.35">
      <c r="B5797" s="200"/>
      <c r="C5797" s="201"/>
      <c r="D5797" s="201"/>
      <c r="E5797" s="201"/>
      <c r="F5797" s="202"/>
      <c r="G5797" s="549"/>
      <c r="H5797" s="549"/>
      <c r="I5797" s="549"/>
      <c r="J5797" s="549"/>
      <c r="K5797" s="549"/>
      <c r="M5797" s="465"/>
      <c r="N5797" s="201"/>
    </row>
    <row r="5798" spans="2:14" hidden="1" outlineLevel="1" x14ac:dyDescent="0.35">
      <c r="B5798" s="200"/>
      <c r="C5798" s="201"/>
      <c r="D5798" s="201"/>
      <c r="E5798" s="201"/>
      <c r="F5798" s="202"/>
      <c r="G5798" s="549"/>
      <c r="H5798" s="549"/>
      <c r="I5798" s="549"/>
      <c r="J5798" s="549"/>
      <c r="K5798" s="549"/>
      <c r="M5798" s="465"/>
      <c r="N5798" s="201"/>
    </row>
    <row r="5799" spans="2:14" hidden="1" outlineLevel="1" x14ac:dyDescent="0.35">
      <c r="B5799" s="200"/>
      <c r="C5799" s="201"/>
      <c r="D5799" s="201"/>
      <c r="E5799" s="201"/>
      <c r="F5799" s="202"/>
      <c r="G5799" s="549"/>
      <c r="H5799" s="549"/>
      <c r="I5799" s="549"/>
      <c r="J5799" s="549"/>
      <c r="K5799" s="549"/>
      <c r="M5799" s="465"/>
      <c r="N5799" s="201"/>
    </row>
    <row r="5800" spans="2:14" hidden="1" outlineLevel="1" x14ac:dyDescent="0.35">
      <c r="B5800" s="200"/>
      <c r="C5800" s="201"/>
      <c r="D5800" s="201"/>
      <c r="E5800" s="201"/>
      <c r="F5800" s="202"/>
      <c r="G5800" s="549"/>
      <c r="H5800" s="549"/>
      <c r="I5800" s="549"/>
      <c r="J5800" s="549"/>
      <c r="K5800" s="549"/>
      <c r="M5800" s="465"/>
      <c r="N5800" s="201"/>
    </row>
    <row r="5801" spans="2:14" hidden="1" outlineLevel="1" x14ac:dyDescent="0.35">
      <c r="B5801" s="200"/>
      <c r="C5801" s="201"/>
      <c r="D5801" s="201"/>
      <c r="E5801" s="201"/>
      <c r="F5801" s="202"/>
      <c r="G5801" s="549"/>
      <c r="H5801" s="549"/>
      <c r="I5801" s="549"/>
      <c r="J5801" s="549"/>
      <c r="K5801" s="549"/>
      <c r="M5801" s="465"/>
      <c r="N5801" s="201"/>
    </row>
    <row r="5802" spans="2:14" hidden="1" outlineLevel="1" x14ac:dyDescent="0.35">
      <c r="B5802" s="200"/>
      <c r="C5802" s="201"/>
      <c r="D5802" s="201"/>
      <c r="E5802" s="201"/>
      <c r="F5802" s="202"/>
      <c r="G5802" s="549"/>
      <c r="H5802" s="549"/>
      <c r="I5802" s="549"/>
      <c r="J5802" s="549"/>
      <c r="K5802" s="549"/>
      <c r="M5802" s="465"/>
      <c r="N5802" s="201"/>
    </row>
    <row r="5803" spans="2:14" hidden="1" outlineLevel="1" x14ac:dyDescent="0.35">
      <c r="B5803" s="200"/>
      <c r="C5803" s="201"/>
      <c r="D5803" s="201"/>
      <c r="E5803" s="201"/>
      <c r="F5803" s="202"/>
      <c r="G5803" s="549"/>
      <c r="H5803" s="549"/>
      <c r="I5803" s="549"/>
      <c r="J5803" s="549"/>
      <c r="K5803" s="549"/>
      <c r="M5803" s="465"/>
      <c r="N5803" s="201"/>
    </row>
    <row r="5804" spans="2:14" hidden="1" outlineLevel="1" x14ac:dyDescent="0.35">
      <c r="B5804" s="200"/>
      <c r="C5804" s="201"/>
      <c r="D5804" s="201"/>
      <c r="E5804" s="201"/>
      <c r="F5804" s="202"/>
      <c r="G5804" s="549"/>
      <c r="H5804" s="549"/>
      <c r="I5804" s="549"/>
      <c r="J5804" s="549"/>
      <c r="K5804" s="549"/>
      <c r="M5804" s="465"/>
      <c r="N5804" s="201"/>
    </row>
    <row r="5805" spans="2:14" hidden="1" outlineLevel="1" x14ac:dyDescent="0.35">
      <c r="B5805" s="200"/>
      <c r="C5805" s="201"/>
      <c r="D5805" s="201"/>
      <c r="E5805" s="201"/>
      <c r="F5805" s="202"/>
      <c r="G5805" s="549"/>
      <c r="H5805" s="549"/>
      <c r="I5805" s="549"/>
      <c r="J5805" s="549"/>
      <c r="K5805" s="549"/>
      <c r="M5805" s="465"/>
      <c r="N5805" s="201"/>
    </row>
    <row r="5806" spans="2:14" hidden="1" outlineLevel="1" x14ac:dyDescent="0.35">
      <c r="B5806" s="200"/>
      <c r="C5806" s="201"/>
      <c r="D5806" s="201"/>
      <c r="E5806" s="201"/>
      <c r="F5806" s="202"/>
      <c r="G5806" s="549"/>
      <c r="H5806" s="549"/>
      <c r="I5806" s="549"/>
      <c r="J5806" s="549"/>
      <c r="K5806" s="549"/>
      <c r="M5806" s="465"/>
      <c r="N5806" s="201"/>
    </row>
    <row r="5807" spans="2:14" hidden="1" outlineLevel="1" x14ac:dyDescent="0.35">
      <c r="B5807" s="200"/>
      <c r="C5807" s="201"/>
      <c r="D5807" s="201"/>
      <c r="E5807" s="201"/>
      <c r="F5807" s="202"/>
      <c r="G5807" s="549"/>
      <c r="H5807" s="549"/>
      <c r="I5807" s="549"/>
      <c r="J5807" s="549"/>
      <c r="K5807" s="549"/>
      <c r="M5807" s="465"/>
      <c r="N5807" s="201"/>
    </row>
    <row r="5808" spans="2:14" hidden="1" outlineLevel="1" x14ac:dyDescent="0.35">
      <c r="B5808" s="200"/>
      <c r="C5808" s="201"/>
      <c r="D5808" s="201"/>
      <c r="E5808" s="201"/>
      <c r="F5808" s="202"/>
      <c r="G5808" s="549"/>
      <c r="H5808" s="549"/>
      <c r="I5808" s="549"/>
      <c r="J5808" s="549"/>
      <c r="K5808" s="549"/>
      <c r="M5808" s="465"/>
      <c r="N5808" s="201"/>
    </row>
    <row r="5809" spans="2:14" hidden="1" outlineLevel="1" x14ac:dyDescent="0.35">
      <c r="B5809" s="200"/>
      <c r="C5809" s="201"/>
      <c r="D5809" s="201"/>
      <c r="E5809" s="201"/>
      <c r="F5809" s="202"/>
      <c r="G5809" s="549"/>
      <c r="H5809" s="549"/>
      <c r="I5809" s="549"/>
      <c r="J5809" s="549"/>
      <c r="K5809" s="549"/>
      <c r="M5809" s="465"/>
      <c r="N5809" s="201"/>
    </row>
    <row r="5810" spans="2:14" hidden="1" outlineLevel="1" x14ac:dyDescent="0.35">
      <c r="B5810" s="200"/>
      <c r="C5810" s="201"/>
      <c r="D5810" s="201"/>
      <c r="E5810" s="201"/>
      <c r="F5810" s="202"/>
      <c r="G5810" s="549"/>
      <c r="H5810" s="549"/>
      <c r="I5810" s="549"/>
      <c r="J5810" s="549"/>
      <c r="K5810" s="549"/>
      <c r="M5810" s="465"/>
      <c r="N5810" s="201"/>
    </row>
    <row r="5811" spans="2:14" hidden="1" outlineLevel="1" x14ac:dyDescent="0.35">
      <c r="B5811" s="200"/>
      <c r="C5811" s="201"/>
      <c r="D5811" s="201"/>
      <c r="E5811" s="201"/>
      <c r="F5811" s="202"/>
      <c r="G5811" s="549"/>
      <c r="H5811" s="549"/>
      <c r="I5811" s="549"/>
      <c r="J5811" s="549"/>
      <c r="K5811" s="549"/>
      <c r="M5811" s="465"/>
      <c r="N5811" s="201"/>
    </row>
    <row r="5812" spans="2:14" hidden="1" outlineLevel="1" x14ac:dyDescent="0.35">
      <c r="B5812" s="200"/>
      <c r="C5812" s="201"/>
      <c r="D5812" s="201"/>
      <c r="E5812" s="201"/>
      <c r="F5812" s="202"/>
      <c r="G5812" s="549"/>
      <c r="H5812" s="549"/>
      <c r="I5812" s="549"/>
      <c r="J5812" s="549"/>
      <c r="K5812" s="549"/>
      <c r="M5812" s="465"/>
      <c r="N5812" s="201"/>
    </row>
    <row r="5813" spans="2:14" hidden="1" outlineLevel="1" x14ac:dyDescent="0.35">
      <c r="B5813" s="200"/>
      <c r="C5813" s="201"/>
      <c r="D5813" s="201"/>
      <c r="E5813" s="201"/>
      <c r="F5813" s="202"/>
      <c r="G5813" s="549"/>
      <c r="H5813" s="549"/>
      <c r="I5813" s="549"/>
      <c r="J5813" s="549"/>
      <c r="K5813" s="549"/>
      <c r="M5813" s="465"/>
      <c r="N5813" s="201"/>
    </row>
    <row r="5814" spans="2:14" hidden="1" outlineLevel="1" x14ac:dyDescent="0.35">
      <c r="B5814" s="200"/>
      <c r="C5814" s="201"/>
      <c r="D5814" s="201"/>
      <c r="E5814" s="201"/>
      <c r="F5814" s="202"/>
      <c r="G5814" s="549"/>
      <c r="H5814" s="549"/>
      <c r="I5814" s="549"/>
      <c r="J5814" s="549"/>
      <c r="K5814" s="549"/>
      <c r="M5814" s="465"/>
      <c r="N5814" s="201"/>
    </row>
    <row r="5815" spans="2:14" hidden="1" outlineLevel="1" x14ac:dyDescent="0.35">
      <c r="B5815" s="200"/>
      <c r="C5815" s="201"/>
      <c r="D5815" s="201"/>
      <c r="E5815" s="201"/>
      <c r="F5815" s="202"/>
      <c r="G5815" s="549"/>
      <c r="H5815" s="549"/>
      <c r="I5815" s="549"/>
      <c r="J5815" s="549"/>
      <c r="K5815" s="549"/>
      <c r="M5815" s="465"/>
      <c r="N5815" s="201"/>
    </row>
    <row r="5816" spans="2:14" hidden="1" outlineLevel="1" x14ac:dyDescent="0.35">
      <c r="B5816" s="200"/>
      <c r="C5816" s="201"/>
      <c r="D5816" s="201"/>
      <c r="E5816" s="201"/>
      <c r="F5816" s="202"/>
      <c r="G5816" s="549"/>
      <c r="H5816" s="549"/>
      <c r="I5816" s="549"/>
      <c r="J5816" s="549"/>
      <c r="K5816" s="549"/>
      <c r="M5816" s="465"/>
      <c r="N5816" s="201"/>
    </row>
    <row r="5817" spans="2:14" hidden="1" outlineLevel="1" x14ac:dyDescent="0.35">
      <c r="B5817" s="200"/>
      <c r="C5817" s="201"/>
      <c r="D5817" s="201"/>
      <c r="E5817" s="201"/>
      <c r="F5817" s="202"/>
      <c r="G5817" s="549"/>
      <c r="H5817" s="549"/>
      <c r="I5817" s="549"/>
      <c r="J5817" s="549"/>
      <c r="K5817" s="549"/>
      <c r="M5817" s="465"/>
      <c r="N5817" s="201"/>
    </row>
    <row r="5818" spans="2:14" hidden="1" outlineLevel="1" x14ac:dyDescent="0.35">
      <c r="B5818" s="200"/>
      <c r="C5818" s="201"/>
      <c r="D5818" s="201"/>
      <c r="E5818" s="201"/>
      <c r="F5818" s="202"/>
      <c r="G5818" s="549"/>
      <c r="H5818" s="549"/>
      <c r="I5818" s="549"/>
      <c r="J5818" s="549"/>
      <c r="K5818" s="549"/>
      <c r="M5818" s="465"/>
      <c r="N5818" s="201"/>
    </row>
    <row r="5819" spans="2:14" hidden="1" outlineLevel="1" x14ac:dyDescent="0.35">
      <c r="B5819" s="200"/>
      <c r="C5819" s="201"/>
      <c r="D5819" s="201"/>
      <c r="E5819" s="201"/>
      <c r="F5819" s="202"/>
      <c r="G5819" s="549"/>
      <c r="H5819" s="549"/>
      <c r="I5819" s="549"/>
      <c r="J5819" s="549"/>
      <c r="K5819" s="549"/>
      <c r="M5819" s="465"/>
      <c r="N5819" s="201"/>
    </row>
    <row r="5820" spans="2:14" hidden="1" outlineLevel="1" x14ac:dyDescent="0.35">
      <c r="B5820" s="200"/>
      <c r="C5820" s="201"/>
      <c r="D5820" s="201"/>
      <c r="E5820" s="201"/>
      <c r="F5820" s="202"/>
      <c r="G5820" s="549"/>
      <c r="H5820" s="549"/>
      <c r="I5820" s="549"/>
      <c r="J5820" s="549"/>
      <c r="K5820" s="549"/>
      <c r="M5820" s="465"/>
      <c r="N5820" s="201"/>
    </row>
    <row r="5821" spans="2:14" hidden="1" outlineLevel="1" x14ac:dyDescent="0.35">
      <c r="B5821" s="200"/>
      <c r="C5821" s="201"/>
      <c r="D5821" s="201"/>
      <c r="E5821" s="201"/>
      <c r="F5821" s="202"/>
      <c r="G5821" s="549"/>
      <c r="H5821" s="549"/>
      <c r="I5821" s="549"/>
      <c r="J5821" s="549"/>
      <c r="K5821" s="549"/>
      <c r="M5821" s="465"/>
      <c r="N5821" s="201"/>
    </row>
    <row r="5822" spans="2:14" hidden="1" outlineLevel="1" x14ac:dyDescent="0.35">
      <c r="B5822" s="200"/>
      <c r="C5822" s="201"/>
      <c r="D5822" s="201"/>
      <c r="E5822" s="201"/>
      <c r="F5822" s="202"/>
      <c r="G5822" s="549"/>
      <c r="H5822" s="549"/>
      <c r="I5822" s="549"/>
      <c r="J5822" s="549"/>
      <c r="K5822" s="549"/>
      <c r="M5822" s="465"/>
      <c r="N5822" s="201"/>
    </row>
    <row r="5823" spans="2:14" hidden="1" outlineLevel="1" x14ac:dyDescent="0.35">
      <c r="B5823" s="200"/>
      <c r="C5823" s="201"/>
      <c r="D5823" s="201"/>
      <c r="E5823" s="201"/>
      <c r="F5823" s="202"/>
      <c r="G5823" s="549"/>
      <c r="H5823" s="549"/>
      <c r="I5823" s="549"/>
      <c r="J5823" s="549"/>
      <c r="K5823" s="549"/>
      <c r="M5823" s="465"/>
      <c r="N5823" s="201"/>
    </row>
    <row r="5824" spans="2:14" hidden="1" outlineLevel="1" x14ac:dyDescent="0.35">
      <c r="B5824" s="200"/>
      <c r="C5824" s="201"/>
      <c r="D5824" s="201"/>
      <c r="E5824" s="201"/>
      <c r="F5824" s="202"/>
      <c r="G5824" s="549"/>
      <c r="H5824" s="549"/>
      <c r="I5824" s="549"/>
      <c r="J5824" s="549"/>
      <c r="K5824" s="549"/>
      <c r="M5824" s="465"/>
      <c r="N5824" s="201"/>
    </row>
    <row r="5825" spans="2:14" hidden="1" outlineLevel="1" x14ac:dyDescent="0.35">
      <c r="B5825" s="200"/>
      <c r="C5825" s="201"/>
      <c r="D5825" s="201"/>
      <c r="E5825" s="201"/>
      <c r="F5825" s="202"/>
      <c r="G5825" s="549"/>
      <c r="H5825" s="549"/>
      <c r="I5825" s="549"/>
      <c r="J5825" s="549"/>
      <c r="K5825" s="549"/>
      <c r="M5825" s="465"/>
      <c r="N5825" s="201"/>
    </row>
    <row r="5826" spans="2:14" hidden="1" outlineLevel="1" x14ac:dyDescent="0.35">
      <c r="B5826" s="200"/>
      <c r="C5826" s="201"/>
      <c r="D5826" s="201"/>
      <c r="E5826" s="201"/>
      <c r="F5826" s="202"/>
      <c r="G5826" s="549"/>
      <c r="H5826" s="549"/>
      <c r="I5826" s="549"/>
      <c r="J5826" s="549"/>
      <c r="K5826" s="549"/>
      <c r="M5826" s="465"/>
      <c r="N5826" s="201"/>
    </row>
    <row r="5827" spans="2:14" hidden="1" outlineLevel="1" x14ac:dyDescent="0.35">
      <c r="B5827" s="200"/>
      <c r="C5827" s="201"/>
      <c r="D5827" s="201"/>
      <c r="E5827" s="201"/>
      <c r="F5827" s="202"/>
      <c r="G5827" s="549"/>
      <c r="H5827" s="549"/>
      <c r="I5827" s="549"/>
      <c r="J5827" s="549"/>
      <c r="K5827" s="549"/>
      <c r="M5827" s="465"/>
      <c r="N5827" s="201"/>
    </row>
    <row r="5828" spans="2:14" hidden="1" outlineLevel="1" x14ac:dyDescent="0.35">
      <c r="B5828" s="200"/>
      <c r="C5828" s="201"/>
      <c r="D5828" s="201"/>
      <c r="E5828" s="201"/>
      <c r="F5828" s="202"/>
      <c r="G5828" s="549"/>
      <c r="H5828" s="549"/>
      <c r="I5828" s="549"/>
      <c r="J5828" s="549"/>
      <c r="K5828" s="549"/>
      <c r="M5828" s="465"/>
      <c r="N5828" s="201"/>
    </row>
    <row r="5829" spans="2:14" hidden="1" outlineLevel="1" x14ac:dyDescent="0.35">
      <c r="B5829" s="200"/>
      <c r="C5829" s="201"/>
      <c r="D5829" s="201"/>
      <c r="E5829" s="201"/>
      <c r="F5829" s="202"/>
      <c r="G5829" s="549"/>
      <c r="H5829" s="549"/>
      <c r="I5829" s="549"/>
      <c r="J5829" s="549"/>
      <c r="K5829" s="549"/>
      <c r="M5829" s="465"/>
      <c r="N5829" s="201"/>
    </row>
    <row r="5830" spans="2:14" hidden="1" outlineLevel="1" x14ac:dyDescent="0.35">
      <c r="B5830" s="200"/>
      <c r="C5830" s="201"/>
      <c r="D5830" s="201"/>
      <c r="E5830" s="201"/>
      <c r="F5830" s="202"/>
      <c r="G5830" s="549"/>
      <c r="H5830" s="549"/>
      <c r="I5830" s="549"/>
      <c r="J5830" s="549"/>
      <c r="K5830" s="549"/>
      <c r="M5830" s="465"/>
      <c r="N5830" s="201"/>
    </row>
    <row r="5831" spans="2:14" hidden="1" outlineLevel="1" x14ac:dyDescent="0.35">
      <c r="B5831" s="200"/>
      <c r="C5831" s="201"/>
      <c r="D5831" s="201"/>
      <c r="E5831" s="201"/>
      <c r="F5831" s="202"/>
      <c r="G5831" s="549"/>
      <c r="H5831" s="549"/>
      <c r="I5831" s="549"/>
      <c r="J5831" s="549"/>
      <c r="K5831" s="549"/>
      <c r="M5831" s="465"/>
      <c r="N5831" s="201"/>
    </row>
    <row r="5832" spans="2:14" hidden="1" outlineLevel="1" x14ac:dyDescent="0.35">
      <c r="B5832" s="200"/>
      <c r="C5832" s="201"/>
      <c r="D5832" s="201"/>
      <c r="E5832" s="201"/>
      <c r="F5832" s="202"/>
      <c r="G5832" s="549"/>
      <c r="H5832" s="549"/>
      <c r="I5832" s="549"/>
      <c r="J5832" s="549"/>
      <c r="K5832" s="549"/>
      <c r="M5832" s="465"/>
      <c r="N5832" s="201"/>
    </row>
    <row r="5833" spans="2:14" hidden="1" outlineLevel="1" x14ac:dyDescent="0.35">
      <c r="B5833" s="200"/>
      <c r="C5833" s="201"/>
      <c r="D5833" s="201"/>
      <c r="E5833" s="201"/>
      <c r="F5833" s="202"/>
      <c r="G5833" s="549"/>
      <c r="H5833" s="549"/>
      <c r="I5833" s="549"/>
      <c r="J5833" s="549"/>
      <c r="K5833" s="549"/>
      <c r="M5833" s="465"/>
      <c r="N5833" s="201"/>
    </row>
    <row r="5834" spans="2:14" hidden="1" outlineLevel="1" x14ac:dyDescent="0.35">
      <c r="B5834" s="200"/>
      <c r="C5834" s="201"/>
      <c r="D5834" s="201"/>
      <c r="E5834" s="201"/>
      <c r="F5834" s="202"/>
      <c r="G5834" s="549"/>
      <c r="H5834" s="549"/>
      <c r="I5834" s="549"/>
      <c r="J5834" s="549"/>
      <c r="K5834" s="549"/>
      <c r="M5834" s="465"/>
      <c r="N5834" s="201"/>
    </row>
    <row r="5835" spans="2:14" hidden="1" outlineLevel="1" x14ac:dyDescent="0.35">
      <c r="B5835" s="200"/>
      <c r="C5835" s="201"/>
      <c r="D5835" s="201"/>
      <c r="E5835" s="201"/>
      <c r="F5835" s="202"/>
      <c r="G5835" s="549"/>
      <c r="H5835" s="549"/>
      <c r="I5835" s="549"/>
      <c r="J5835" s="549"/>
      <c r="K5835" s="549"/>
      <c r="M5835" s="465"/>
      <c r="N5835" s="201"/>
    </row>
    <row r="5836" spans="2:14" hidden="1" outlineLevel="1" x14ac:dyDescent="0.35">
      <c r="B5836" s="200"/>
      <c r="C5836" s="201"/>
      <c r="D5836" s="201"/>
      <c r="E5836" s="201"/>
      <c r="F5836" s="202"/>
      <c r="G5836" s="549"/>
      <c r="H5836" s="549"/>
      <c r="I5836" s="549"/>
      <c r="J5836" s="549"/>
      <c r="K5836" s="549"/>
      <c r="M5836" s="465"/>
      <c r="N5836" s="201"/>
    </row>
    <row r="5837" spans="2:14" hidden="1" outlineLevel="1" x14ac:dyDescent="0.35">
      <c r="B5837" s="200"/>
      <c r="C5837" s="201"/>
      <c r="D5837" s="201"/>
      <c r="E5837" s="201"/>
      <c r="F5837" s="202"/>
      <c r="G5837" s="549"/>
      <c r="H5837" s="549"/>
      <c r="I5837" s="549"/>
      <c r="J5837" s="549"/>
      <c r="K5837" s="549"/>
      <c r="M5837" s="465"/>
      <c r="N5837" s="201"/>
    </row>
    <row r="5838" spans="2:14" hidden="1" outlineLevel="1" x14ac:dyDescent="0.35">
      <c r="B5838" s="200"/>
      <c r="C5838" s="201"/>
      <c r="D5838" s="201"/>
      <c r="E5838" s="201"/>
      <c r="F5838" s="202"/>
      <c r="G5838" s="549"/>
      <c r="H5838" s="549"/>
      <c r="I5838" s="549"/>
      <c r="J5838" s="549"/>
      <c r="K5838" s="549"/>
      <c r="M5838" s="465"/>
      <c r="N5838" s="201"/>
    </row>
    <row r="5839" spans="2:14" hidden="1" outlineLevel="1" x14ac:dyDescent="0.35">
      <c r="B5839" s="200"/>
      <c r="C5839" s="201"/>
      <c r="D5839" s="201"/>
      <c r="E5839" s="201"/>
      <c r="F5839" s="202"/>
      <c r="G5839" s="549"/>
      <c r="H5839" s="549"/>
      <c r="I5839" s="549"/>
      <c r="J5839" s="549"/>
      <c r="K5839" s="549"/>
      <c r="M5839" s="465"/>
      <c r="N5839" s="201"/>
    </row>
    <row r="5840" spans="2:14" hidden="1" outlineLevel="1" x14ac:dyDescent="0.35">
      <c r="B5840" s="200"/>
      <c r="C5840" s="201"/>
      <c r="D5840" s="201"/>
      <c r="E5840" s="201"/>
      <c r="F5840" s="202"/>
      <c r="G5840" s="549"/>
      <c r="H5840" s="549"/>
      <c r="I5840" s="549"/>
      <c r="J5840" s="549"/>
      <c r="K5840" s="549"/>
      <c r="M5840" s="465"/>
      <c r="N5840" s="201"/>
    </row>
    <row r="5841" spans="2:14" hidden="1" outlineLevel="1" x14ac:dyDescent="0.35">
      <c r="B5841" s="200"/>
      <c r="C5841" s="201"/>
      <c r="D5841" s="201"/>
      <c r="E5841" s="201"/>
      <c r="F5841" s="202"/>
      <c r="G5841" s="549"/>
      <c r="H5841" s="549"/>
      <c r="I5841" s="549"/>
      <c r="J5841" s="549"/>
      <c r="K5841" s="549"/>
      <c r="M5841" s="465"/>
      <c r="N5841" s="201"/>
    </row>
    <row r="5842" spans="2:14" hidden="1" outlineLevel="1" x14ac:dyDescent="0.35">
      <c r="B5842" s="200"/>
      <c r="C5842" s="201"/>
      <c r="D5842" s="201"/>
      <c r="E5842" s="201"/>
      <c r="F5842" s="202"/>
      <c r="G5842" s="549"/>
      <c r="H5842" s="549"/>
      <c r="I5842" s="549"/>
      <c r="J5842" s="549"/>
      <c r="K5842" s="549"/>
      <c r="M5842" s="465"/>
      <c r="N5842" s="201"/>
    </row>
    <row r="5843" spans="2:14" hidden="1" outlineLevel="1" x14ac:dyDescent="0.35">
      <c r="B5843" s="200"/>
      <c r="C5843" s="201"/>
      <c r="D5843" s="201"/>
      <c r="E5843" s="201"/>
      <c r="F5843" s="202"/>
      <c r="G5843" s="549"/>
      <c r="H5843" s="549"/>
      <c r="I5843" s="549"/>
      <c r="J5843" s="549"/>
      <c r="K5843" s="549"/>
      <c r="M5843" s="465"/>
      <c r="N5843" s="201"/>
    </row>
    <row r="5844" spans="2:14" hidden="1" outlineLevel="1" x14ac:dyDescent="0.35">
      <c r="B5844" s="200"/>
      <c r="C5844" s="201"/>
      <c r="D5844" s="201"/>
      <c r="E5844" s="201"/>
      <c r="F5844" s="202"/>
      <c r="G5844" s="549"/>
      <c r="H5844" s="549"/>
      <c r="I5844" s="549"/>
      <c r="J5844" s="549"/>
      <c r="K5844" s="549"/>
      <c r="M5844" s="465"/>
      <c r="N5844" s="201"/>
    </row>
    <row r="5845" spans="2:14" hidden="1" outlineLevel="1" x14ac:dyDescent="0.35">
      <c r="B5845" s="200"/>
      <c r="C5845" s="201"/>
      <c r="D5845" s="201"/>
      <c r="E5845" s="201"/>
      <c r="F5845" s="202"/>
      <c r="G5845" s="549"/>
      <c r="H5845" s="549"/>
      <c r="I5845" s="549"/>
      <c r="J5845" s="549"/>
      <c r="K5845" s="549"/>
      <c r="M5845" s="465"/>
      <c r="N5845" s="201"/>
    </row>
    <row r="5846" spans="2:14" hidden="1" outlineLevel="1" x14ac:dyDescent="0.35">
      <c r="B5846" s="200"/>
      <c r="C5846" s="201"/>
      <c r="D5846" s="201"/>
      <c r="E5846" s="201"/>
      <c r="F5846" s="202"/>
      <c r="G5846" s="549"/>
      <c r="H5846" s="549"/>
      <c r="I5846" s="549"/>
      <c r="J5846" s="549"/>
      <c r="K5846" s="549"/>
      <c r="M5846" s="465"/>
      <c r="N5846" s="201"/>
    </row>
    <row r="5847" spans="2:14" hidden="1" outlineLevel="1" x14ac:dyDescent="0.35">
      <c r="B5847" s="200"/>
      <c r="C5847" s="201"/>
      <c r="D5847" s="201"/>
      <c r="E5847" s="201"/>
      <c r="F5847" s="202"/>
      <c r="G5847" s="549"/>
      <c r="H5847" s="549"/>
      <c r="I5847" s="549"/>
      <c r="J5847" s="549"/>
      <c r="K5847" s="549"/>
      <c r="M5847" s="465"/>
      <c r="N5847" s="201"/>
    </row>
    <row r="5848" spans="2:14" hidden="1" outlineLevel="1" x14ac:dyDescent="0.35">
      <c r="B5848" s="200"/>
      <c r="C5848" s="201"/>
      <c r="D5848" s="201"/>
      <c r="E5848" s="201"/>
      <c r="F5848" s="202"/>
      <c r="G5848" s="549"/>
      <c r="H5848" s="549"/>
      <c r="I5848" s="549"/>
      <c r="J5848" s="549"/>
      <c r="K5848" s="549"/>
      <c r="M5848" s="465"/>
      <c r="N5848" s="201"/>
    </row>
    <row r="5849" spans="2:14" hidden="1" outlineLevel="1" x14ac:dyDescent="0.35">
      <c r="B5849" s="200"/>
      <c r="C5849" s="201"/>
      <c r="D5849" s="201"/>
      <c r="E5849" s="201"/>
      <c r="F5849" s="202"/>
      <c r="G5849" s="549"/>
      <c r="H5849" s="549"/>
      <c r="I5849" s="549"/>
      <c r="J5849" s="549"/>
      <c r="K5849" s="549"/>
      <c r="M5849" s="465"/>
      <c r="N5849" s="201"/>
    </row>
    <row r="5850" spans="2:14" hidden="1" outlineLevel="1" x14ac:dyDescent="0.35">
      <c r="B5850" s="200"/>
      <c r="C5850" s="201"/>
      <c r="D5850" s="201"/>
      <c r="E5850" s="201"/>
      <c r="F5850" s="202"/>
      <c r="G5850" s="549"/>
      <c r="H5850" s="549"/>
      <c r="I5850" s="549"/>
      <c r="J5850" s="549"/>
      <c r="K5850" s="549"/>
      <c r="M5850" s="465"/>
      <c r="N5850" s="201"/>
    </row>
    <row r="5851" spans="2:14" hidden="1" outlineLevel="1" x14ac:dyDescent="0.35">
      <c r="B5851" s="200"/>
      <c r="C5851" s="201"/>
      <c r="D5851" s="201"/>
      <c r="E5851" s="201"/>
      <c r="F5851" s="202"/>
      <c r="G5851" s="549"/>
      <c r="H5851" s="549"/>
      <c r="I5851" s="549"/>
      <c r="J5851" s="549"/>
      <c r="K5851" s="549"/>
      <c r="M5851" s="465"/>
      <c r="N5851" s="201"/>
    </row>
    <row r="5852" spans="2:14" hidden="1" outlineLevel="1" x14ac:dyDescent="0.35">
      <c r="B5852" s="200"/>
      <c r="C5852" s="201"/>
      <c r="D5852" s="201"/>
      <c r="E5852" s="201"/>
      <c r="F5852" s="202"/>
      <c r="G5852" s="549"/>
      <c r="H5852" s="549"/>
      <c r="I5852" s="549"/>
      <c r="J5852" s="549"/>
      <c r="K5852" s="549"/>
      <c r="M5852" s="465"/>
      <c r="N5852" s="201"/>
    </row>
    <row r="5853" spans="2:14" hidden="1" outlineLevel="1" x14ac:dyDescent="0.35">
      <c r="B5853" s="200"/>
      <c r="C5853" s="201"/>
      <c r="D5853" s="201"/>
      <c r="E5853" s="201"/>
      <c r="F5853" s="202"/>
      <c r="G5853" s="549"/>
      <c r="H5853" s="549"/>
      <c r="I5853" s="549"/>
      <c r="J5853" s="549"/>
      <c r="K5853" s="549"/>
      <c r="M5853" s="465"/>
      <c r="N5853" s="201"/>
    </row>
    <row r="5854" spans="2:14" hidden="1" outlineLevel="1" x14ac:dyDescent="0.35">
      <c r="B5854" s="200"/>
      <c r="C5854" s="201"/>
      <c r="D5854" s="201"/>
      <c r="E5854" s="201"/>
      <c r="F5854" s="202"/>
      <c r="G5854" s="549"/>
      <c r="H5854" s="549"/>
      <c r="I5854" s="549"/>
      <c r="J5854" s="549"/>
      <c r="K5854" s="549"/>
      <c r="M5854" s="465"/>
      <c r="N5854" s="201"/>
    </row>
    <row r="5855" spans="2:14" hidden="1" outlineLevel="1" x14ac:dyDescent="0.35">
      <c r="B5855" s="200"/>
      <c r="C5855" s="201"/>
      <c r="D5855" s="201"/>
      <c r="E5855" s="201"/>
      <c r="F5855" s="202"/>
      <c r="G5855" s="549"/>
      <c r="H5855" s="549"/>
      <c r="I5855" s="549"/>
      <c r="J5855" s="549"/>
      <c r="K5855" s="549"/>
      <c r="M5855" s="465"/>
      <c r="N5855" s="201"/>
    </row>
    <row r="5856" spans="2:14" hidden="1" outlineLevel="1" x14ac:dyDescent="0.35">
      <c r="B5856" s="200"/>
      <c r="C5856" s="201"/>
      <c r="D5856" s="201"/>
      <c r="E5856" s="201"/>
      <c r="F5856" s="202"/>
      <c r="G5856" s="549"/>
      <c r="H5856" s="549"/>
      <c r="I5856" s="549"/>
      <c r="J5856" s="549"/>
      <c r="K5856" s="549"/>
      <c r="M5856" s="465"/>
      <c r="N5856" s="201"/>
    </row>
    <row r="5857" spans="2:14" hidden="1" outlineLevel="1" x14ac:dyDescent="0.35">
      <c r="B5857" s="200"/>
      <c r="C5857" s="201"/>
      <c r="D5857" s="201"/>
      <c r="E5857" s="201"/>
      <c r="F5857" s="202"/>
      <c r="G5857" s="549"/>
      <c r="H5857" s="549"/>
      <c r="I5857" s="549"/>
      <c r="J5857" s="549"/>
      <c r="K5857" s="549"/>
      <c r="M5857" s="465"/>
      <c r="N5857" s="201"/>
    </row>
    <row r="5858" spans="2:14" hidden="1" outlineLevel="1" x14ac:dyDescent="0.35">
      <c r="B5858" s="200"/>
      <c r="C5858" s="201"/>
      <c r="D5858" s="201"/>
      <c r="E5858" s="201"/>
      <c r="F5858" s="202"/>
      <c r="G5858" s="549"/>
      <c r="H5858" s="549"/>
      <c r="I5858" s="549"/>
      <c r="J5858" s="549"/>
      <c r="K5858" s="549"/>
      <c r="M5858" s="465"/>
      <c r="N5858" s="201"/>
    </row>
    <row r="5859" spans="2:14" hidden="1" outlineLevel="1" x14ac:dyDescent="0.35">
      <c r="B5859" s="200"/>
      <c r="C5859" s="201"/>
      <c r="D5859" s="201"/>
      <c r="E5859" s="201"/>
      <c r="F5859" s="202"/>
      <c r="G5859" s="549"/>
      <c r="H5859" s="549"/>
      <c r="I5859" s="549"/>
      <c r="J5859" s="549"/>
      <c r="K5859" s="549"/>
      <c r="M5859" s="465"/>
      <c r="N5859" s="201"/>
    </row>
    <row r="5860" spans="2:14" hidden="1" outlineLevel="1" x14ac:dyDescent="0.35">
      <c r="B5860" s="200"/>
      <c r="C5860" s="201"/>
      <c r="D5860" s="201"/>
      <c r="E5860" s="201"/>
      <c r="F5860" s="202"/>
      <c r="G5860" s="549"/>
      <c r="H5860" s="549"/>
      <c r="I5860" s="549"/>
      <c r="J5860" s="549"/>
      <c r="K5860" s="549"/>
      <c r="M5860" s="465"/>
      <c r="N5860" s="201"/>
    </row>
    <row r="5861" spans="2:14" hidden="1" outlineLevel="1" x14ac:dyDescent="0.35">
      <c r="B5861" s="200"/>
      <c r="C5861" s="201"/>
      <c r="D5861" s="201"/>
      <c r="E5861" s="201"/>
      <c r="F5861" s="202"/>
      <c r="G5861" s="549"/>
      <c r="H5861" s="549"/>
      <c r="I5861" s="549"/>
      <c r="J5861" s="549"/>
      <c r="K5861" s="549"/>
      <c r="M5861" s="465"/>
      <c r="N5861" s="201"/>
    </row>
    <row r="5862" spans="2:14" hidden="1" outlineLevel="1" x14ac:dyDescent="0.35">
      <c r="B5862" s="200"/>
      <c r="C5862" s="201"/>
      <c r="D5862" s="201"/>
      <c r="E5862" s="201"/>
      <c r="F5862" s="202"/>
      <c r="G5862" s="549"/>
      <c r="H5862" s="549"/>
      <c r="I5862" s="549"/>
      <c r="J5862" s="549"/>
      <c r="K5862" s="549"/>
      <c r="M5862" s="465"/>
      <c r="N5862" s="201"/>
    </row>
    <row r="5863" spans="2:14" hidden="1" outlineLevel="1" x14ac:dyDescent="0.35">
      <c r="B5863" s="200"/>
      <c r="C5863" s="201"/>
      <c r="D5863" s="201"/>
      <c r="E5863" s="201"/>
      <c r="F5863" s="202"/>
      <c r="G5863" s="549"/>
      <c r="H5863" s="549"/>
      <c r="I5863" s="549"/>
      <c r="J5863" s="549"/>
      <c r="K5863" s="549"/>
      <c r="M5863" s="465"/>
      <c r="N5863" s="201"/>
    </row>
    <row r="5864" spans="2:14" hidden="1" outlineLevel="1" x14ac:dyDescent="0.35">
      <c r="B5864" s="200"/>
      <c r="C5864" s="201"/>
      <c r="D5864" s="201"/>
      <c r="E5864" s="201"/>
      <c r="F5864" s="202"/>
      <c r="G5864" s="549"/>
      <c r="H5864" s="549"/>
      <c r="I5864" s="549"/>
      <c r="J5864" s="549"/>
      <c r="K5864" s="549"/>
      <c r="M5864" s="465"/>
      <c r="N5864" s="201"/>
    </row>
    <row r="5865" spans="2:14" hidden="1" outlineLevel="1" x14ac:dyDescent="0.35">
      <c r="B5865" s="200"/>
      <c r="C5865" s="201"/>
      <c r="D5865" s="201"/>
      <c r="E5865" s="201"/>
      <c r="F5865" s="202"/>
      <c r="G5865" s="549"/>
      <c r="H5865" s="549"/>
      <c r="I5865" s="549"/>
      <c r="J5865" s="549"/>
      <c r="K5865" s="549"/>
      <c r="M5865" s="465"/>
      <c r="N5865" s="201"/>
    </row>
    <row r="5866" spans="2:14" hidden="1" outlineLevel="1" x14ac:dyDescent="0.35">
      <c r="B5866" s="200"/>
      <c r="C5866" s="201"/>
      <c r="D5866" s="201"/>
      <c r="E5866" s="201"/>
      <c r="F5866" s="202"/>
      <c r="G5866" s="549"/>
      <c r="H5866" s="549"/>
      <c r="I5866" s="549"/>
      <c r="J5866" s="549"/>
      <c r="K5866" s="549"/>
      <c r="M5866" s="465"/>
      <c r="N5866" s="201"/>
    </row>
    <row r="5867" spans="2:14" hidden="1" outlineLevel="1" x14ac:dyDescent="0.35">
      <c r="B5867" s="200"/>
      <c r="C5867" s="201"/>
      <c r="D5867" s="201"/>
      <c r="E5867" s="201"/>
      <c r="F5867" s="202"/>
      <c r="G5867" s="549"/>
      <c r="H5867" s="549"/>
      <c r="I5867" s="549"/>
      <c r="J5867" s="549"/>
      <c r="K5867" s="549"/>
      <c r="M5867" s="465"/>
      <c r="N5867" s="201"/>
    </row>
    <row r="5868" spans="2:14" hidden="1" outlineLevel="1" x14ac:dyDescent="0.35">
      <c r="B5868" s="200"/>
      <c r="C5868" s="201"/>
      <c r="D5868" s="201"/>
      <c r="E5868" s="201"/>
      <c r="F5868" s="202"/>
      <c r="G5868" s="549"/>
      <c r="H5868" s="549"/>
      <c r="I5868" s="549"/>
      <c r="J5868" s="549"/>
      <c r="K5868" s="549"/>
      <c r="M5868" s="465"/>
      <c r="N5868" s="201"/>
    </row>
    <row r="5869" spans="2:14" hidden="1" outlineLevel="1" x14ac:dyDescent="0.35">
      <c r="B5869" s="200"/>
      <c r="C5869" s="201"/>
      <c r="D5869" s="201"/>
      <c r="E5869" s="201"/>
      <c r="F5869" s="202"/>
      <c r="G5869" s="549"/>
      <c r="H5869" s="549"/>
      <c r="I5869" s="549"/>
      <c r="J5869" s="549"/>
      <c r="K5869" s="549"/>
      <c r="M5869" s="465"/>
      <c r="N5869" s="201"/>
    </row>
    <row r="5870" spans="2:14" hidden="1" outlineLevel="1" x14ac:dyDescent="0.35">
      <c r="B5870" s="200"/>
      <c r="C5870" s="201"/>
      <c r="D5870" s="201"/>
      <c r="E5870" s="201"/>
      <c r="F5870" s="202"/>
      <c r="G5870" s="549"/>
      <c r="H5870" s="549"/>
      <c r="I5870" s="549"/>
      <c r="J5870" s="549"/>
      <c r="K5870" s="549"/>
      <c r="M5870" s="465"/>
      <c r="N5870" s="201"/>
    </row>
    <row r="5871" spans="2:14" hidden="1" outlineLevel="1" x14ac:dyDescent="0.35">
      <c r="B5871" s="200"/>
      <c r="C5871" s="201"/>
      <c r="D5871" s="201"/>
      <c r="E5871" s="201"/>
      <c r="F5871" s="202"/>
      <c r="G5871" s="549"/>
      <c r="H5871" s="549"/>
      <c r="I5871" s="549"/>
      <c r="J5871" s="549"/>
      <c r="K5871" s="549"/>
      <c r="M5871" s="465"/>
      <c r="N5871" s="201"/>
    </row>
    <row r="5872" spans="2:14" hidden="1" outlineLevel="1" x14ac:dyDescent="0.35">
      <c r="B5872" s="200"/>
      <c r="C5872" s="201"/>
      <c r="D5872" s="201"/>
      <c r="E5872" s="201"/>
      <c r="F5872" s="202"/>
      <c r="G5872" s="549"/>
      <c r="H5872" s="549"/>
      <c r="I5872" s="549"/>
      <c r="J5872" s="549"/>
      <c r="K5872" s="549"/>
      <c r="M5872" s="465"/>
      <c r="N5872" s="201"/>
    </row>
    <row r="5873" spans="2:14" hidden="1" outlineLevel="1" x14ac:dyDescent="0.35">
      <c r="B5873" s="200"/>
      <c r="C5873" s="201"/>
      <c r="D5873" s="201"/>
      <c r="E5873" s="201"/>
      <c r="F5873" s="202"/>
      <c r="G5873" s="549"/>
      <c r="H5873" s="549"/>
      <c r="I5873" s="549"/>
      <c r="J5873" s="549"/>
      <c r="K5873" s="549"/>
      <c r="M5873" s="465"/>
      <c r="N5873" s="201"/>
    </row>
    <row r="5874" spans="2:14" hidden="1" outlineLevel="1" x14ac:dyDescent="0.35">
      <c r="B5874" s="200"/>
      <c r="C5874" s="201"/>
      <c r="D5874" s="201"/>
      <c r="E5874" s="201"/>
      <c r="F5874" s="202"/>
      <c r="G5874" s="549"/>
      <c r="H5874" s="549"/>
      <c r="I5874" s="549"/>
      <c r="J5874" s="549"/>
      <c r="K5874" s="549"/>
      <c r="M5874" s="465"/>
      <c r="N5874" s="201"/>
    </row>
    <row r="5875" spans="2:14" hidden="1" outlineLevel="1" x14ac:dyDescent="0.35">
      <c r="B5875" s="200"/>
      <c r="C5875" s="201"/>
      <c r="D5875" s="201"/>
      <c r="E5875" s="201"/>
      <c r="F5875" s="202"/>
      <c r="G5875" s="549"/>
      <c r="H5875" s="549"/>
      <c r="I5875" s="549"/>
      <c r="J5875" s="549"/>
      <c r="K5875" s="549"/>
      <c r="M5875" s="465"/>
      <c r="N5875" s="201"/>
    </row>
    <row r="5876" spans="2:14" hidden="1" outlineLevel="1" x14ac:dyDescent="0.35">
      <c r="B5876" s="200"/>
      <c r="C5876" s="201"/>
      <c r="D5876" s="201"/>
      <c r="E5876" s="201"/>
      <c r="F5876" s="202"/>
      <c r="G5876" s="549"/>
      <c r="H5876" s="549"/>
      <c r="I5876" s="549"/>
      <c r="J5876" s="549"/>
      <c r="K5876" s="549"/>
      <c r="M5876" s="465"/>
      <c r="N5876" s="201"/>
    </row>
    <row r="5877" spans="2:14" hidden="1" outlineLevel="1" x14ac:dyDescent="0.35">
      <c r="B5877" s="200"/>
      <c r="C5877" s="201"/>
      <c r="D5877" s="201"/>
      <c r="E5877" s="201"/>
      <c r="F5877" s="202"/>
      <c r="G5877" s="549"/>
      <c r="H5877" s="549"/>
      <c r="I5877" s="549"/>
      <c r="J5877" s="549"/>
      <c r="K5877" s="549"/>
      <c r="M5877" s="465"/>
      <c r="N5877" s="201"/>
    </row>
    <row r="5878" spans="2:14" hidden="1" outlineLevel="1" x14ac:dyDescent="0.35">
      <c r="B5878" s="200"/>
      <c r="C5878" s="201"/>
      <c r="D5878" s="201"/>
      <c r="E5878" s="201"/>
      <c r="F5878" s="202"/>
      <c r="G5878" s="549"/>
      <c r="H5878" s="549"/>
      <c r="I5878" s="549"/>
      <c r="J5878" s="549"/>
      <c r="K5878" s="549"/>
      <c r="M5878" s="465"/>
      <c r="N5878" s="201"/>
    </row>
    <row r="5879" spans="2:14" hidden="1" outlineLevel="1" x14ac:dyDescent="0.35">
      <c r="B5879" s="200"/>
      <c r="C5879" s="201"/>
      <c r="D5879" s="201"/>
      <c r="E5879" s="201"/>
      <c r="F5879" s="202"/>
      <c r="G5879" s="549"/>
      <c r="H5879" s="549"/>
      <c r="I5879" s="549"/>
      <c r="J5879" s="549"/>
      <c r="K5879" s="549"/>
      <c r="M5879" s="465"/>
      <c r="N5879" s="201"/>
    </row>
    <row r="5880" spans="2:14" hidden="1" outlineLevel="1" x14ac:dyDescent="0.35">
      <c r="B5880" s="200"/>
      <c r="C5880" s="201"/>
      <c r="D5880" s="201"/>
      <c r="E5880" s="201"/>
      <c r="F5880" s="202"/>
      <c r="G5880" s="549"/>
      <c r="H5880" s="549"/>
      <c r="I5880" s="549"/>
      <c r="J5880" s="549"/>
      <c r="K5880" s="549"/>
      <c r="M5880" s="465"/>
      <c r="N5880" s="201"/>
    </row>
    <row r="5881" spans="2:14" hidden="1" outlineLevel="1" x14ac:dyDescent="0.35">
      <c r="B5881" s="200"/>
      <c r="C5881" s="201"/>
      <c r="D5881" s="201"/>
      <c r="E5881" s="201"/>
      <c r="F5881" s="202"/>
      <c r="G5881" s="549"/>
      <c r="H5881" s="549"/>
      <c r="I5881" s="549"/>
      <c r="J5881" s="549"/>
      <c r="K5881" s="549"/>
      <c r="M5881" s="465"/>
      <c r="N5881" s="201"/>
    </row>
    <row r="5882" spans="2:14" hidden="1" outlineLevel="1" x14ac:dyDescent="0.35">
      <c r="B5882" s="200"/>
      <c r="C5882" s="201"/>
      <c r="D5882" s="201"/>
      <c r="E5882" s="201"/>
      <c r="F5882" s="202"/>
      <c r="G5882" s="549"/>
      <c r="H5882" s="549"/>
      <c r="I5882" s="549"/>
      <c r="J5882" s="549"/>
      <c r="K5882" s="549"/>
      <c r="M5882" s="465"/>
      <c r="N5882" s="201"/>
    </row>
    <row r="5883" spans="2:14" hidden="1" outlineLevel="1" x14ac:dyDescent="0.35">
      <c r="B5883" s="200"/>
      <c r="C5883" s="201"/>
      <c r="D5883" s="201"/>
      <c r="E5883" s="201"/>
      <c r="F5883" s="202"/>
      <c r="G5883" s="549"/>
      <c r="H5883" s="549"/>
      <c r="I5883" s="549"/>
      <c r="J5883" s="549"/>
      <c r="K5883" s="549"/>
      <c r="M5883" s="465"/>
      <c r="N5883" s="201"/>
    </row>
    <row r="5884" spans="2:14" hidden="1" outlineLevel="1" x14ac:dyDescent="0.35">
      <c r="B5884" s="200"/>
      <c r="C5884" s="201"/>
      <c r="D5884" s="201"/>
      <c r="E5884" s="201"/>
      <c r="F5884" s="202"/>
      <c r="G5884" s="549"/>
      <c r="H5884" s="549"/>
      <c r="I5884" s="549"/>
      <c r="J5884" s="549"/>
      <c r="K5884" s="549"/>
      <c r="M5884" s="465"/>
      <c r="N5884" s="201"/>
    </row>
    <row r="5885" spans="2:14" hidden="1" outlineLevel="1" x14ac:dyDescent="0.35">
      <c r="B5885" s="200"/>
      <c r="C5885" s="201"/>
      <c r="D5885" s="201"/>
      <c r="E5885" s="201"/>
      <c r="F5885" s="202"/>
      <c r="G5885" s="549"/>
      <c r="H5885" s="549"/>
      <c r="I5885" s="549"/>
      <c r="J5885" s="549"/>
      <c r="K5885" s="549"/>
      <c r="M5885" s="465"/>
      <c r="N5885" s="201"/>
    </row>
    <row r="5886" spans="2:14" hidden="1" outlineLevel="1" x14ac:dyDescent="0.35">
      <c r="B5886" s="200"/>
      <c r="C5886" s="201"/>
      <c r="D5886" s="201"/>
      <c r="E5886" s="201"/>
      <c r="F5886" s="202"/>
      <c r="G5886" s="549"/>
      <c r="H5886" s="549"/>
      <c r="I5886" s="549"/>
      <c r="J5886" s="549"/>
      <c r="K5886" s="549"/>
      <c r="M5886" s="465"/>
      <c r="N5886" s="201"/>
    </row>
    <row r="5887" spans="2:14" hidden="1" outlineLevel="1" x14ac:dyDescent="0.35">
      <c r="B5887" s="200"/>
      <c r="C5887" s="201"/>
      <c r="D5887" s="201"/>
      <c r="E5887" s="201"/>
      <c r="F5887" s="202"/>
      <c r="G5887" s="549"/>
      <c r="H5887" s="549"/>
      <c r="I5887" s="549"/>
      <c r="J5887" s="549"/>
      <c r="K5887" s="549"/>
      <c r="M5887" s="465"/>
      <c r="N5887" s="201"/>
    </row>
    <row r="5888" spans="2:14" hidden="1" outlineLevel="1" x14ac:dyDescent="0.35">
      <c r="B5888" s="200"/>
      <c r="C5888" s="201"/>
      <c r="D5888" s="201"/>
      <c r="E5888" s="201"/>
      <c r="F5888" s="202"/>
      <c r="G5888" s="549"/>
      <c r="H5888" s="549"/>
      <c r="I5888" s="549"/>
      <c r="J5888" s="549"/>
      <c r="K5888" s="549"/>
      <c r="M5888" s="465"/>
      <c r="N5888" s="201"/>
    </row>
    <row r="5889" spans="2:14" hidden="1" outlineLevel="1" x14ac:dyDescent="0.35">
      <c r="B5889" s="200"/>
      <c r="C5889" s="201"/>
      <c r="D5889" s="201"/>
      <c r="E5889" s="201"/>
      <c r="F5889" s="202"/>
      <c r="G5889" s="549"/>
      <c r="H5889" s="549"/>
      <c r="I5889" s="549"/>
      <c r="J5889" s="549"/>
      <c r="K5889" s="549"/>
      <c r="M5889" s="465"/>
      <c r="N5889" s="201"/>
    </row>
    <row r="5890" spans="2:14" hidden="1" outlineLevel="1" x14ac:dyDescent="0.35">
      <c r="B5890" s="200"/>
      <c r="C5890" s="201"/>
      <c r="D5890" s="201"/>
      <c r="E5890" s="201"/>
      <c r="F5890" s="202"/>
      <c r="G5890" s="549"/>
      <c r="H5890" s="549"/>
      <c r="I5890" s="549"/>
      <c r="J5890" s="549"/>
      <c r="K5890" s="549"/>
      <c r="M5890" s="465"/>
      <c r="N5890" s="201"/>
    </row>
    <row r="5891" spans="2:14" hidden="1" outlineLevel="1" x14ac:dyDescent="0.35">
      <c r="B5891" s="200"/>
      <c r="C5891" s="201"/>
      <c r="D5891" s="201"/>
      <c r="E5891" s="201"/>
      <c r="F5891" s="202"/>
      <c r="G5891" s="549"/>
      <c r="H5891" s="549"/>
      <c r="I5891" s="549"/>
      <c r="J5891" s="549"/>
      <c r="K5891" s="549"/>
      <c r="M5891" s="465"/>
      <c r="N5891" s="201"/>
    </row>
    <row r="5892" spans="2:14" hidden="1" outlineLevel="1" x14ac:dyDescent="0.35">
      <c r="B5892" s="200"/>
      <c r="C5892" s="201"/>
      <c r="D5892" s="201"/>
      <c r="E5892" s="201"/>
      <c r="F5892" s="202"/>
      <c r="G5892" s="549"/>
      <c r="H5892" s="549"/>
      <c r="I5892" s="549"/>
      <c r="J5892" s="549"/>
      <c r="K5892" s="549"/>
      <c r="M5892" s="465"/>
      <c r="N5892" s="201"/>
    </row>
    <row r="5893" spans="2:14" hidden="1" outlineLevel="1" x14ac:dyDescent="0.35">
      <c r="B5893" s="200"/>
      <c r="C5893" s="201"/>
      <c r="D5893" s="201"/>
      <c r="E5893" s="201"/>
      <c r="F5893" s="202"/>
      <c r="G5893" s="549"/>
      <c r="H5893" s="549"/>
      <c r="I5893" s="549"/>
      <c r="J5893" s="549"/>
      <c r="K5893" s="549"/>
      <c r="M5893" s="465"/>
      <c r="N5893" s="201"/>
    </row>
    <row r="5894" spans="2:14" hidden="1" outlineLevel="1" x14ac:dyDescent="0.35">
      <c r="B5894" s="200"/>
      <c r="C5894" s="201"/>
      <c r="D5894" s="201"/>
      <c r="E5894" s="201"/>
      <c r="F5894" s="202"/>
      <c r="G5894" s="549"/>
      <c r="H5894" s="549"/>
      <c r="I5894" s="549"/>
      <c r="J5894" s="549"/>
      <c r="K5894" s="549"/>
      <c r="M5894" s="465"/>
      <c r="N5894" s="201"/>
    </row>
    <row r="5895" spans="2:14" hidden="1" outlineLevel="1" x14ac:dyDescent="0.35">
      <c r="B5895" s="200"/>
      <c r="C5895" s="201"/>
      <c r="D5895" s="201"/>
      <c r="E5895" s="201"/>
      <c r="F5895" s="202"/>
      <c r="G5895" s="549"/>
      <c r="H5895" s="549"/>
      <c r="I5895" s="549"/>
      <c r="J5895" s="549"/>
      <c r="K5895" s="549"/>
      <c r="M5895" s="465"/>
      <c r="N5895" s="201"/>
    </row>
    <row r="5896" spans="2:14" hidden="1" outlineLevel="1" x14ac:dyDescent="0.35">
      <c r="B5896" s="200"/>
      <c r="C5896" s="201"/>
      <c r="D5896" s="201"/>
      <c r="E5896" s="201"/>
      <c r="F5896" s="202"/>
      <c r="G5896" s="549"/>
      <c r="H5896" s="549"/>
      <c r="I5896" s="549"/>
      <c r="J5896" s="549"/>
      <c r="K5896" s="549"/>
      <c r="M5896" s="465"/>
      <c r="N5896" s="201"/>
    </row>
    <row r="5897" spans="2:14" hidden="1" outlineLevel="1" x14ac:dyDescent="0.35">
      <c r="B5897" s="200"/>
      <c r="C5897" s="201"/>
      <c r="D5897" s="201"/>
      <c r="E5897" s="201"/>
      <c r="F5897" s="202"/>
      <c r="G5897" s="549"/>
      <c r="H5897" s="549"/>
      <c r="I5897" s="549"/>
      <c r="J5897" s="549"/>
      <c r="K5897" s="549"/>
      <c r="M5897" s="465"/>
      <c r="N5897" s="201"/>
    </row>
    <row r="5898" spans="2:14" hidden="1" outlineLevel="1" x14ac:dyDescent="0.35">
      <c r="B5898" s="200"/>
      <c r="C5898" s="201"/>
      <c r="D5898" s="201"/>
      <c r="E5898" s="201"/>
      <c r="F5898" s="202"/>
      <c r="G5898" s="549"/>
      <c r="H5898" s="549"/>
      <c r="I5898" s="549"/>
      <c r="J5898" s="549"/>
      <c r="K5898" s="549"/>
      <c r="M5898" s="465"/>
      <c r="N5898" s="201"/>
    </row>
    <row r="5899" spans="2:14" hidden="1" outlineLevel="1" x14ac:dyDescent="0.35">
      <c r="B5899" s="200"/>
      <c r="C5899" s="201"/>
      <c r="D5899" s="201"/>
      <c r="E5899" s="201"/>
      <c r="F5899" s="202"/>
      <c r="G5899" s="549"/>
      <c r="H5899" s="549"/>
      <c r="I5899" s="549"/>
      <c r="J5899" s="549"/>
      <c r="K5899" s="549"/>
      <c r="M5899" s="465"/>
      <c r="N5899" s="201"/>
    </row>
    <row r="5900" spans="2:14" hidden="1" outlineLevel="1" x14ac:dyDescent="0.35">
      <c r="B5900" s="200"/>
      <c r="C5900" s="201"/>
      <c r="D5900" s="201"/>
      <c r="E5900" s="201"/>
      <c r="F5900" s="202"/>
      <c r="G5900" s="549"/>
      <c r="H5900" s="549"/>
      <c r="I5900" s="549"/>
      <c r="J5900" s="549"/>
      <c r="K5900" s="549"/>
      <c r="M5900" s="465"/>
      <c r="N5900" s="201"/>
    </row>
    <row r="5901" spans="2:14" hidden="1" outlineLevel="1" x14ac:dyDescent="0.35">
      <c r="B5901" s="200"/>
      <c r="C5901" s="201"/>
      <c r="D5901" s="201"/>
      <c r="E5901" s="201"/>
      <c r="F5901" s="202"/>
      <c r="G5901" s="549"/>
      <c r="H5901" s="549"/>
      <c r="I5901" s="549"/>
      <c r="J5901" s="549"/>
      <c r="K5901" s="549"/>
      <c r="M5901" s="465"/>
      <c r="N5901" s="201"/>
    </row>
    <row r="5902" spans="2:14" hidden="1" outlineLevel="1" x14ac:dyDescent="0.35">
      <c r="B5902" s="200"/>
      <c r="C5902" s="201"/>
      <c r="D5902" s="201"/>
      <c r="E5902" s="201"/>
      <c r="F5902" s="202"/>
      <c r="G5902" s="549"/>
      <c r="H5902" s="549"/>
      <c r="I5902" s="549"/>
      <c r="J5902" s="549"/>
      <c r="K5902" s="549"/>
      <c r="M5902" s="465"/>
      <c r="N5902" s="201"/>
    </row>
    <row r="5903" spans="2:14" hidden="1" outlineLevel="1" x14ac:dyDescent="0.35">
      <c r="B5903" s="200"/>
      <c r="C5903" s="201"/>
      <c r="D5903" s="201"/>
      <c r="E5903" s="201"/>
      <c r="F5903" s="202"/>
      <c r="G5903" s="549"/>
      <c r="H5903" s="549"/>
      <c r="I5903" s="549"/>
      <c r="J5903" s="549"/>
      <c r="K5903" s="549"/>
      <c r="M5903" s="465"/>
      <c r="N5903" s="201"/>
    </row>
    <row r="5904" spans="2:14" hidden="1" outlineLevel="1" x14ac:dyDescent="0.35">
      <c r="B5904" s="200"/>
      <c r="C5904" s="201"/>
      <c r="D5904" s="201"/>
      <c r="E5904" s="201"/>
      <c r="F5904" s="202"/>
      <c r="G5904" s="549"/>
      <c r="H5904" s="549"/>
      <c r="I5904" s="549"/>
      <c r="J5904" s="549"/>
      <c r="K5904" s="549"/>
      <c r="M5904" s="465"/>
      <c r="N5904" s="201"/>
    </row>
    <row r="5905" spans="2:14" hidden="1" outlineLevel="1" x14ac:dyDescent="0.35">
      <c r="B5905" s="200"/>
      <c r="C5905" s="201"/>
      <c r="D5905" s="201"/>
      <c r="E5905" s="201"/>
      <c r="F5905" s="202"/>
      <c r="G5905" s="549"/>
      <c r="H5905" s="549"/>
      <c r="I5905" s="549"/>
      <c r="J5905" s="549"/>
      <c r="K5905" s="549"/>
      <c r="M5905" s="465"/>
      <c r="N5905" s="201"/>
    </row>
    <row r="5906" spans="2:14" hidden="1" outlineLevel="1" x14ac:dyDescent="0.35">
      <c r="B5906" s="200"/>
      <c r="C5906" s="201"/>
      <c r="D5906" s="201"/>
      <c r="E5906" s="201"/>
      <c r="F5906" s="202"/>
      <c r="G5906" s="549"/>
      <c r="H5906" s="549"/>
      <c r="I5906" s="549"/>
      <c r="J5906" s="549"/>
      <c r="K5906" s="549"/>
      <c r="M5906" s="465"/>
      <c r="N5906" s="201"/>
    </row>
    <row r="5907" spans="2:14" hidden="1" outlineLevel="1" x14ac:dyDescent="0.35">
      <c r="B5907" s="200"/>
      <c r="C5907" s="201"/>
      <c r="D5907" s="201"/>
      <c r="E5907" s="201"/>
      <c r="F5907" s="202"/>
      <c r="G5907" s="549"/>
      <c r="H5907" s="549"/>
      <c r="I5907" s="549"/>
      <c r="J5907" s="549"/>
      <c r="K5907" s="549"/>
      <c r="M5907" s="465"/>
      <c r="N5907" s="201"/>
    </row>
    <row r="5908" spans="2:14" hidden="1" outlineLevel="1" x14ac:dyDescent="0.35">
      <c r="B5908" s="200"/>
      <c r="C5908" s="201"/>
      <c r="D5908" s="201"/>
      <c r="E5908" s="201"/>
      <c r="F5908" s="202"/>
      <c r="G5908" s="549"/>
      <c r="H5908" s="549"/>
      <c r="I5908" s="549"/>
      <c r="J5908" s="549"/>
      <c r="K5908" s="549"/>
      <c r="M5908" s="465"/>
      <c r="N5908" s="201"/>
    </row>
    <row r="5909" spans="2:14" hidden="1" outlineLevel="1" x14ac:dyDescent="0.35">
      <c r="B5909" s="200"/>
      <c r="C5909" s="201"/>
      <c r="D5909" s="201"/>
      <c r="E5909" s="201"/>
      <c r="F5909" s="202"/>
      <c r="G5909" s="549"/>
      <c r="H5909" s="549"/>
      <c r="I5909" s="549"/>
      <c r="J5909" s="549"/>
      <c r="K5909" s="549"/>
      <c r="M5909" s="465"/>
      <c r="N5909" s="201"/>
    </row>
    <row r="5910" spans="2:14" hidden="1" outlineLevel="1" x14ac:dyDescent="0.35">
      <c r="B5910" s="200"/>
      <c r="C5910" s="201"/>
      <c r="D5910" s="201"/>
      <c r="E5910" s="201"/>
      <c r="F5910" s="202"/>
      <c r="G5910" s="549"/>
      <c r="H5910" s="549"/>
      <c r="I5910" s="549"/>
      <c r="J5910" s="549"/>
      <c r="K5910" s="549"/>
      <c r="M5910" s="465"/>
      <c r="N5910" s="201"/>
    </row>
    <row r="5911" spans="2:14" hidden="1" outlineLevel="1" x14ac:dyDescent="0.35">
      <c r="B5911" s="200"/>
      <c r="C5911" s="201"/>
      <c r="D5911" s="201"/>
      <c r="E5911" s="201"/>
      <c r="F5911" s="202"/>
      <c r="G5911" s="549"/>
      <c r="H5911" s="549"/>
      <c r="I5911" s="549"/>
      <c r="J5911" s="549"/>
      <c r="K5911" s="549"/>
      <c r="M5911" s="465"/>
      <c r="N5911" s="201"/>
    </row>
    <row r="5912" spans="2:14" hidden="1" outlineLevel="1" x14ac:dyDescent="0.35">
      <c r="B5912" s="200"/>
      <c r="C5912" s="201"/>
      <c r="D5912" s="201"/>
      <c r="E5912" s="201"/>
      <c r="F5912" s="202"/>
      <c r="G5912" s="549"/>
      <c r="H5912" s="549"/>
      <c r="I5912" s="549"/>
      <c r="J5912" s="549"/>
      <c r="K5912" s="549"/>
      <c r="M5912" s="465"/>
      <c r="N5912" s="201"/>
    </row>
    <row r="5913" spans="2:14" hidden="1" outlineLevel="1" x14ac:dyDescent="0.35">
      <c r="B5913" s="200"/>
      <c r="C5913" s="201"/>
      <c r="D5913" s="201"/>
      <c r="E5913" s="201"/>
      <c r="F5913" s="202"/>
      <c r="G5913" s="549"/>
      <c r="H5913" s="549"/>
      <c r="I5913" s="549"/>
      <c r="J5913" s="549"/>
      <c r="K5913" s="549"/>
      <c r="M5913" s="465"/>
      <c r="N5913" s="201"/>
    </row>
    <row r="5914" spans="2:14" hidden="1" outlineLevel="1" x14ac:dyDescent="0.35">
      <c r="B5914" s="200"/>
      <c r="C5914" s="201"/>
      <c r="D5914" s="201"/>
      <c r="E5914" s="201"/>
      <c r="F5914" s="202"/>
      <c r="G5914" s="549"/>
      <c r="H5914" s="549"/>
      <c r="I5914" s="549"/>
      <c r="J5914" s="549"/>
      <c r="K5914" s="549"/>
      <c r="M5914" s="465"/>
      <c r="N5914" s="201"/>
    </row>
    <row r="5915" spans="2:14" hidden="1" outlineLevel="1" x14ac:dyDescent="0.35">
      <c r="B5915" s="200"/>
      <c r="C5915" s="201"/>
      <c r="D5915" s="201"/>
      <c r="E5915" s="201"/>
      <c r="F5915" s="202"/>
      <c r="G5915" s="549"/>
      <c r="H5915" s="549"/>
      <c r="I5915" s="549"/>
      <c r="J5915" s="549"/>
      <c r="K5915" s="549"/>
      <c r="M5915" s="465"/>
      <c r="N5915" s="201"/>
    </row>
    <row r="5916" spans="2:14" hidden="1" outlineLevel="1" x14ac:dyDescent="0.35">
      <c r="B5916" s="200"/>
      <c r="C5916" s="201"/>
      <c r="D5916" s="201"/>
      <c r="E5916" s="201"/>
      <c r="F5916" s="202"/>
      <c r="G5916" s="549"/>
      <c r="H5916" s="549"/>
      <c r="I5916" s="549"/>
      <c r="J5916" s="549"/>
      <c r="K5916" s="549"/>
      <c r="M5916" s="465"/>
      <c r="N5916" s="201"/>
    </row>
    <row r="5917" spans="2:14" hidden="1" outlineLevel="1" x14ac:dyDescent="0.35">
      <c r="B5917" s="200"/>
      <c r="C5917" s="201"/>
      <c r="D5917" s="201"/>
      <c r="E5917" s="201"/>
      <c r="F5917" s="202"/>
      <c r="G5917" s="549"/>
      <c r="H5917" s="549"/>
      <c r="I5917" s="549"/>
      <c r="J5917" s="549"/>
      <c r="K5917" s="549"/>
      <c r="M5917" s="465"/>
      <c r="N5917" s="201"/>
    </row>
    <row r="5918" spans="2:14" hidden="1" outlineLevel="1" x14ac:dyDescent="0.35">
      <c r="B5918" s="200"/>
      <c r="C5918" s="201"/>
      <c r="D5918" s="201"/>
      <c r="E5918" s="201"/>
      <c r="F5918" s="202"/>
      <c r="G5918" s="549"/>
      <c r="H5918" s="549"/>
      <c r="I5918" s="549"/>
      <c r="J5918" s="549"/>
      <c r="K5918" s="549"/>
      <c r="M5918" s="465"/>
      <c r="N5918" s="201"/>
    </row>
    <row r="5919" spans="2:14" hidden="1" outlineLevel="1" x14ac:dyDescent="0.35">
      <c r="B5919" s="200"/>
      <c r="C5919" s="201"/>
      <c r="D5919" s="201"/>
      <c r="E5919" s="201"/>
      <c r="F5919" s="202"/>
      <c r="G5919" s="549"/>
      <c r="H5919" s="549"/>
      <c r="I5919" s="549"/>
      <c r="J5919" s="549"/>
      <c r="K5919" s="549"/>
      <c r="M5919" s="465"/>
      <c r="N5919" s="201"/>
    </row>
    <row r="5920" spans="2:14" hidden="1" outlineLevel="1" x14ac:dyDescent="0.35">
      <c r="B5920" s="200"/>
      <c r="C5920" s="201"/>
      <c r="D5920" s="201"/>
      <c r="E5920" s="201"/>
      <c r="F5920" s="202"/>
      <c r="G5920" s="549"/>
      <c r="H5920" s="549"/>
      <c r="I5920" s="549"/>
      <c r="J5920" s="549"/>
      <c r="K5920" s="549"/>
      <c r="M5920" s="465"/>
      <c r="N5920" s="201"/>
    </row>
    <row r="5921" spans="2:14" hidden="1" outlineLevel="1" x14ac:dyDescent="0.35">
      <c r="B5921" s="200"/>
      <c r="C5921" s="201"/>
      <c r="D5921" s="201"/>
      <c r="E5921" s="201"/>
      <c r="F5921" s="202"/>
      <c r="G5921" s="549"/>
      <c r="H5921" s="549"/>
      <c r="I5921" s="549"/>
      <c r="J5921" s="549"/>
      <c r="K5921" s="549"/>
      <c r="M5921" s="465"/>
      <c r="N5921" s="201"/>
    </row>
    <row r="5922" spans="2:14" hidden="1" outlineLevel="1" x14ac:dyDescent="0.35">
      <c r="B5922" s="200"/>
      <c r="C5922" s="201"/>
      <c r="D5922" s="201"/>
      <c r="E5922" s="201"/>
      <c r="F5922" s="202"/>
      <c r="G5922" s="549"/>
      <c r="H5922" s="549"/>
      <c r="I5922" s="549"/>
      <c r="J5922" s="549"/>
      <c r="K5922" s="549"/>
      <c r="M5922" s="465"/>
      <c r="N5922" s="201"/>
    </row>
    <row r="5923" spans="2:14" hidden="1" outlineLevel="1" x14ac:dyDescent="0.35">
      <c r="B5923" s="200"/>
      <c r="C5923" s="201"/>
      <c r="D5923" s="201"/>
      <c r="E5923" s="201"/>
      <c r="F5923" s="202"/>
      <c r="G5923" s="549"/>
      <c r="H5923" s="549"/>
      <c r="I5923" s="549"/>
      <c r="J5923" s="549"/>
      <c r="K5923" s="549"/>
      <c r="M5923" s="465"/>
      <c r="N5923" s="201"/>
    </row>
    <row r="5924" spans="2:14" hidden="1" outlineLevel="1" x14ac:dyDescent="0.35">
      <c r="B5924" s="200"/>
      <c r="C5924" s="201"/>
      <c r="D5924" s="201"/>
      <c r="E5924" s="201"/>
      <c r="F5924" s="202"/>
      <c r="G5924" s="549"/>
      <c r="H5924" s="549"/>
      <c r="I5924" s="549"/>
      <c r="J5924" s="549"/>
      <c r="K5924" s="549"/>
      <c r="M5924" s="465"/>
      <c r="N5924" s="201"/>
    </row>
    <row r="5925" spans="2:14" hidden="1" outlineLevel="1" x14ac:dyDescent="0.35">
      <c r="B5925" s="200"/>
      <c r="C5925" s="201"/>
      <c r="D5925" s="201"/>
      <c r="E5925" s="201"/>
      <c r="F5925" s="202"/>
      <c r="G5925" s="549"/>
      <c r="H5925" s="549"/>
      <c r="I5925" s="549"/>
      <c r="J5925" s="549"/>
      <c r="K5925" s="549"/>
      <c r="M5925" s="465"/>
      <c r="N5925" s="201"/>
    </row>
    <row r="5926" spans="2:14" hidden="1" outlineLevel="1" x14ac:dyDescent="0.35">
      <c r="B5926" s="200"/>
      <c r="C5926" s="201"/>
      <c r="D5926" s="201"/>
      <c r="E5926" s="201"/>
      <c r="F5926" s="202"/>
      <c r="G5926" s="549"/>
      <c r="H5926" s="549"/>
      <c r="I5926" s="549"/>
      <c r="J5926" s="549"/>
      <c r="K5926" s="549"/>
      <c r="M5926" s="465"/>
      <c r="N5926" s="201"/>
    </row>
    <row r="5927" spans="2:14" hidden="1" outlineLevel="1" x14ac:dyDescent="0.35">
      <c r="B5927" s="200"/>
      <c r="C5927" s="201"/>
      <c r="D5927" s="201"/>
      <c r="E5927" s="201"/>
      <c r="F5927" s="202"/>
      <c r="G5927" s="549"/>
      <c r="H5927" s="549"/>
      <c r="I5927" s="549"/>
      <c r="J5927" s="549"/>
      <c r="K5927" s="549"/>
      <c r="M5927" s="465"/>
      <c r="N5927" s="201"/>
    </row>
    <row r="5928" spans="2:14" hidden="1" outlineLevel="1" x14ac:dyDescent="0.35">
      <c r="B5928" s="200"/>
      <c r="C5928" s="201"/>
      <c r="D5928" s="201"/>
      <c r="E5928" s="201"/>
      <c r="F5928" s="202"/>
      <c r="G5928" s="549"/>
      <c r="H5928" s="549"/>
      <c r="I5928" s="549"/>
      <c r="J5928" s="549"/>
      <c r="K5928" s="549"/>
      <c r="M5928" s="465"/>
      <c r="N5928" s="201"/>
    </row>
    <row r="5929" spans="2:14" hidden="1" outlineLevel="1" x14ac:dyDescent="0.35">
      <c r="B5929" s="200"/>
      <c r="C5929" s="201"/>
      <c r="D5929" s="201"/>
      <c r="E5929" s="201"/>
      <c r="F5929" s="202"/>
      <c r="G5929" s="549"/>
      <c r="H5929" s="549"/>
      <c r="I5929" s="549"/>
      <c r="J5929" s="549"/>
      <c r="K5929" s="549"/>
      <c r="M5929" s="465"/>
      <c r="N5929" s="201"/>
    </row>
    <row r="5930" spans="2:14" hidden="1" outlineLevel="1" x14ac:dyDescent="0.35">
      <c r="B5930" s="200"/>
      <c r="C5930" s="201"/>
      <c r="D5930" s="201"/>
      <c r="E5930" s="201"/>
      <c r="F5930" s="202"/>
      <c r="G5930" s="549"/>
      <c r="H5930" s="549"/>
      <c r="I5930" s="549"/>
      <c r="J5930" s="549"/>
      <c r="K5930" s="549"/>
      <c r="M5930" s="465"/>
      <c r="N5930" s="201"/>
    </row>
    <row r="5931" spans="2:14" hidden="1" outlineLevel="1" x14ac:dyDescent="0.35">
      <c r="B5931" s="200"/>
      <c r="C5931" s="201"/>
      <c r="D5931" s="201"/>
      <c r="E5931" s="201"/>
      <c r="F5931" s="202"/>
      <c r="G5931" s="549"/>
      <c r="H5931" s="549"/>
      <c r="I5931" s="549"/>
      <c r="J5931" s="549"/>
      <c r="K5931" s="549"/>
      <c r="M5931" s="465"/>
      <c r="N5931" s="201"/>
    </row>
    <row r="5932" spans="2:14" hidden="1" outlineLevel="1" x14ac:dyDescent="0.35">
      <c r="B5932" s="200"/>
      <c r="C5932" s="201"/>
      <c r="D5932" s="201"/>
      <c r="E5932" s="201"/>
      <c r="F5932" s="202"/>
      <c r="G5932" s="549"/>
      <c r="H5932" s="549"/>
      <c r="I5932" s="549"/>
      <c r="J5932" s="549"/>
      <c r="K5932" s="549"/>
      <c r="M5932" s="465"/>
      <c r="N5932" s="201"/>
    </row>
    <row r="5933" spans="2:14" hidden="1" outlineLevel="1" x14ac:dyDescent="0.35">
      <c r="B5933" s="200"/>
      <c r="C5933" s="201"/>
      <c r="D5933" s="201"/>
      <c r="E5933" s="201"/>
      <c r="F5933" s="202"/>
      <c r="G5933" s="549"/>
      <c r="H5933" s="549"/>
      <c r="I5933" s="549"/>
      <c r="J5933" s="549"/>
      <c r="K5933" s="549"/>
      <c r="M5933" s="465"/>
      <c r="N5933" s="201"/>
    </row>
    <row r="5934" spans="2:14" hidden="1" outlineLevel="1" x14ac:dyDescent="0.35">
      <c r="B5934" s="200"/>
      <c r="C5934" s="201"/>
      <c r="D5934" s="201"/>
      <c r="E5934" s="201"/>
      <c r="F5934" s="202"/>
      <c r="G5934" s="549"/>
      <c r="H5934" s="549"/>
      <c r="I5934" s="549"/>
      <c r="J5934" s="549"/>
      <c r="K5934" s="549"/>
      <c r="M5934" s="465"/>
      <c r="N5934" s="201"/>
    </row>
    <row r="5935" spans="2:14" hidden="1" outlineLevel="1" x14ac:dyDescent="0.35">
      <c r="B5935" s="200"/>
      <c r="C5935" s="201"/>
      <c r="D5935" s="201"/>
      <c r="E5935" s="201"/>
      <c r="F5935" s="202"/>
      <c r="G5935" s="549"/>
      <c r="H5935" s="549"/>
      <c r="I5935" s="549"/>
      <c r="J5935" s="549"/>
      <c r="K5935" s="549"/>
      <c r="M5935" s="465"/>
      <c r="N5935" s="201"/>
    </row>
    <row r="5936" spans="2:14" hidden="1" outlineLevel="1" x14ac:dyDescent="0.35">
      <c r="B5936" s="200"/>
      <c r="C5936" s="201"/>
      <c r="D5936" s="201"/>
      <c r="E5936" s="201"/>
      <c r="F5936" s="202"/>
      <c r="G5936" s="549"/>
      <c r="H5936" s="549"/>
      <c r="I5936" s="549"/>
      <c r="J5936" s="549"/>
      <c r="K5936" s="549"/>
      <c r="M5936" s="465"/>
      <c r="N5936" s="201"/>
    </row>
    <row r="5937" spans="2:14" hidden="1" outlineLevel="1" x14ac:dyDescent="0.35">
      <c r="B5937" s="200"/>
      <c r="C5937" s="201"/>
      <c r="D5937" s="201"/>
      <c r="E5937" s="201"/>
      <c r="F5937" s="202"/>
      <c r="G5937" s="549"/>
      <c r="H5937" s="549"/>
      <c r="I5937" s="549"/>
      <c r="J5937" s="549"/>
      <c r="K5937" s="549"/>
      <c r="M5937" s="465"/>
      <c r="N5937" s="201"/>
    </row>
    <row r="5938" spans="2:14" hidden="1" outlineLevel="1" x14ac:dyDescent="0.35">
      <c r="B5938" s="200"/>
      <c r="C5938" s="201"/>
      <c r="D5938" s="201"/>
      <c r="E5938" s="201"/>
      <c r="F5938" s="202"/>
      <c r="G5938" s="549"/>
      <c r="H5938" s="549"/>
      <c r="I5938" s="549"/>
      <c r="J5938" s="549"/>
      <c r="K5938" s="549"/>
      <c r="M5938" s="465"/>
      <c r="N5938" s="201"/>
    </row>
    <row r="5939" spans="2:14" hidden="1" outlineLevel="1" x14ac:dyDescent="0.35">
      <c r="B5939" s="200"/>
      <c r="C5939" s="201"/>
      <c r="D5939" s="201"/>
      <c r="E5939" s="201"/>
      <c r="F5939" s="202"/>
      <c r="G5939" s="549"/>
      <c r="H5939" s="549"/>
      <c r="I5939" s="549"/>
      <c r="J5939" s="549"/>
      <c r="K5939" s="549"/>
      <c r="M5939" s="465"/>
      <c r="N5939" s="201"/>
    </row>
    <row r="5940" spans="2:14" hidden="1" outlineLevel="1" x14ac:dyDescent="0.35">
      <c r="B5940" s="200"/>
      <c r="C5940" s="201"/>
      <c r="D5940" s="201"/>
      <c r="E5940" s="201"/>
      <c r="F5940" s="202"/>
      <c r="G5940" s="549"/>
      <c r="H5940" s="549"/>
      <c r="I5940" s="549"/>
      <c r="J5940" s="549"/>
      <c r="K5940" s="549"/>
      <c r="M5940" s="465"/>
      <c r="N5940" s="201"/>
    </row>
    <row r="5941" spans="2:14" hidden="1" outlineLevel="1" x14ac:dyDescent="0.35">
      <c r="B5941" s="200"/>
      <c r="C5941" s="201"/>
      <c r="D5941" s="201"/>
      <c r="E5941" s="201"/>
      <c r="F5941" s="202"/>
      <c r="G5941" s="549"/>
      <c r="H5941" s="549"/>
      <c r="I5941" s="549"/>
      <c r="J5941" s="549"/>
      <c r="K5941" s="549"/>
      <c r="M5941" s="465"/>
      <c r="N5941" s="201"/>
    </row>
    <row r="5942" spans="2:14" hidden="1" outlineLevel="1" x14ac:dyDescent="0.35">
      <c r="B5942" s="200"/>
      <c r="C5942" s="201"/>
      <c r="D5942" s="201"/>
      <c r="E5942" s="201"/>
      <c r="F5942" s="202"/>
      <c r="G5942" s="549"/>
      <c r="H5942" s="549"/>
      <c r="I5942" s="549"/>
      <c r="J5942" s="549"/>
      <c r="K5942" s="549"/>
      <c r="M5942" s="465"/>
      <c r="N5942" s="201"/>
    </row>
    <row r="5943" spans="2:14" hidden="1" outlineLevel="1" x14ac:dyDescent="0.35">
      <c r="B5943" s="200"/>
      <c r="C5943" s="201"/>
      <c r="D5943" s="201"/>
      <c r="E5943" s="201"/>
      <c r="F5943" s="202"/>
      <c r="G5943" s="549"/>
      <c r="H5943" s="549"/>
      <c r="I5943" s="549"/>
      <c r="J5943" s="549"/>
      <c r="K5943" s="549"/>
      <c r="M5943" s="465"/>
      <c r="N5943" s="201"/>
    </row>
    <row r="5944" spans="2:14" hidden="1" outlineLevel="1" x14ac:dyDescent="0.35">
      <c r="B5944" s="200"/>
      <c r="C5944" s="201"/>
      <c r="D5944" s="201"/>
      <c r="E5944" s="201"/>
      <c r="F5944" s="202"/>
      <c r="G5944" s="549"/>
      <c r="H5944" s="549"/>
      <c r="I5944" s="549"/>
      <c r="J5944" s="549"/>
      <c r="K5944" s="549"/>
      <c r="M5944" s="465"/>
      <c r="N5944" s="201"/>
    </row>
    <row r="5945" spans="2:14" hidden="1" outlineLevel="1" x14ac:dyDescent="0.35">
      <c r="B5945" s="200"/>
      <c r="C5945" s="201"/>
      <c r="D5945" s="201"/>
      <c r="E5945" s="201"/>
      <c r="F5945" s="202"/>
      <c r="G5945" s="549"/>
      <c r="H5945" s="549"/>
      <c r="I5945" s="549"/>
      <c r="J5945" s="549"/>
      <c r="K5945" s="549"/>
      <c r="M5945" s="465"/>
      <c r="N5945" s="201"/>
    </row>
    <row r="5946" spans="2:14" hidden="1" outlineLevel="1" x14ac:dyDescent="0.35">
      <c r="B5946" s="200"/>
      <c r="C5946" s="201"/>
      <c r="D5946" s="201"/>
      <c r="E5946" s="201"/>
      <c r="F5946" s="202"/>
      <c r="G5946" s="549"/>
      <c r="H5946" s="549"/>
      <c r="I5946" s="549"/>
      <c r="J5946" s="549"/>
      <c r="K5946" s="549"/>
      <c r="M5946" s="465"/>
      <c r="N5946" s="201"/>
    </row>
    <row r="5947" spans="2:14" hidden="1" outlineLevel="1" x14ac:dyDescent="0.35">
      <c r="B5947" s="200"/>
      <c r="C5947" s="201"/>
      <c r="D5947" s="201"/>
      <c r="E5947" s="201"/>
      <c r="F5947" s="202"/>
      <c r="G5947" s="549"/>
      <c r="H5947" s="549"/>
      <c r="I5947" s="549"/>
      <c r="J5947" s="549"/>
      <c r="K5947" s="549"/>
      <c r="M5947" s="465"/>
      <c r="N5947" s="201"/>
    </row>
    <row r="5948" spans="2:14" hidden="1" outlineLevel="1" x14ac:dyDescent="0.35">
      <c r="B5948" s="200"/>
      <c r="C5948" s="201"/>
      <c r="D5948" s="201"/>
      <c r="E5948" s="201"/>
      <c r="F5948" s="202"/>
      <c r="G5948" s="549"/>
      <c r="H5948" s="549"/>
      <c r="I5948" s="549"/>
      <c r="J5948" s="549"/>
      <c r="K5948" s="549"/>
      <c r="M5948" s="465"/>
      <c r="N5948" s="201"/>
    </row>
    <row r="5949" spans="2:14" hidden="1" outlineLevel="1" x14ac:dyDescent="0.35">
      <c r="B5949" s="200"/>
      <c r="C5949" s="201"/>
      <c r="D5949" s="201"/>
      <c r="E5949" s="201"/>
      <c r="F5949" s="202"/>
      <c r="G5949" s="549"/>
      <c r="H5949" s="549"/>
      <c r="I5949" s="549"/>
      <c r="J5949" s="549"/>
      <c r="K5949" s="549"/>
      <c r="M5949" s="465"/>
      <c r="N5949" s="201"/>
    </row>
    <row r="5950" spans="2:14" hidden="1" outlineLevel="1" x14ac:dyDescent="0.35">
      <c r="B5950" s="200"/>
      <c r="C5950" s="201"/>
      <c r="D5950" s="201"/>
      <c r="E5950" s="201"/>
      <c r="F5950" s="202"/>
      <c r="G5950" s="549"/>
      <c r="H5950" s="549"/>
      <c r="I5950" s="549"/>
      <c r="J5950" s="549"/>
      <c r="K5950" s="549"/>
      <c r="M5950" s="465"/>
      <c r="N5950" s="201"/>
    </row>
    <row r="5951" spans="2:14" hidden="1" outlineLevel="1" x14ac:dyDescent="0.35">
      <c r="B5951" s="200"/>
      <c r="C5951" s="201"/>
      <c r="D5951" s="201"/>
      <c r="E5951" s="201"/>
      <c r="F5951" s="202"/>
      <c r="G5951" s="549"/>
      <c r="H5951" s="549"/>
      <c r="I5951" s="549"/>
      <c r="J5951" s="549"/>
      <c r="K5951" s="549"/>
      <c r="M5951" s="465"/>
      <c r="N5951" s="201"/>
    </row>
    <row r="5952" spans="2:14" hidden="1" outlineLevel="1" x14ac:dyDescent="0.35">
      <c r="B5952" s="200"/>
      <c r="C5952" s="201"/>
      <c r="D5952" s="201"/>
      <c r="E5952" s="201"/>
      <c r="F5952" s="202"/>
      <c r="G5952" s="549"/>
      <c r="H5952" s="549"/>
      <c r="I5952" s="549"/>
      <c r="J5952" s="549"/>
      <c r="K5952" s="549"/>
      <c r="M5952" s="465"/>
      <c r="N5952" s="201"/>
    </row>
    <row r="5953" spans="2:14" hidden="1" outlineLevel="1" x14ac:dyDescent="0.35">
      <c r="B5953" s="200"/>
      <c r="C5953" s="201"/>
      <c r="D5953" s="201"/>
      <c r="E5953" s="201"/>
      <c r="F5953" s="202"/>
      <c r="G5953" s="549"/>
      <c r="H5953" s="549"/>
      <c r="I5953" s="549"/>
      <c r="J5953" s="549"/>
      <c r="K5953" s="549"/>
      <c r="M5953" s="465"/>
      <c r="N5953" s="201"/>
    </row>
    <row r="5954" spans="2:14" hidden="1" outlineLevel="1" x14ac:dyDescent="0.35">
      <c r="B5954" s="200"/>
      <c r="C5954" s="201"/>
      <c r="D5954" s="201"/>
      <c r="E5954" s="201"/>
      <c r="F5954" s="202"/>
      <c r="G5954" s="549"/>
      <c r="H5954" s="549"/>
      <c r="I5954" s="549"/>
      <c r="J5954" s="549"/>
      <c r="K5954" s="549"/>
      <c r="M5954" s="465"/>
      <c r="N5954" s="201"/>
    </row>
    <row r="5955" spans="2:14" hidden="1" outlineLevel="1" x14ac:dyDescent="0.35">
      <c r="B5955" s="200"/>
      <c r="C5955" s="201"/>
      <c r="D5955" s="201"/>
      <c r="E5955" s="201"/>
      <c r="F5955" s="202"/>
      <c r="G5955" s="549"/>
      <c r="H5955" s="549"/>
      <c r="I5955" s="549"/>
      <c r="J5955" s="549"/>
      <c r="K5955" s="549"/>
      <c r="M5955" s="465"/>
      <c r="N5955" s="201"/>
    </row>
    <row r="5956" spans="2:14" hidden="1" outlineLevel="1" x14ac:dyDescent="0.35">
      <c r="B5956" s="200"/>
      <c r="C5956" s="201"/>
      <c r="D5956" s="201"/>
      <c r="E5956" s="201"/>
      <c r="F5956" s="202"/>
      <c r="G5956" s="549"/>
      <c r="H5956" s="549"/>
      <c r="I5956" s="549"/>
      <c r="J5956" s="549"/>
      <c r="K5956" s="549"/>
      <c r="M5956" s="465"/>
      <c r="N5956" s="201"/>
    </row>
    <row r="5957" spans="2:14" hidden="1" outlineLevel="1" x14ac:dyDescent="0.35">
      <c r="B5957" s="200"/>
      <c r="C5957" s="201"/>
      <c r="D5957" s="201"/>
      <c r="E5957" s="201"/>
      <c r="F5957" s="202"/>
      <c r="G5957" s="549"/>
      <c r="H5957" s="549"/>
      <c r="I5957" s="549"/>
      <c r="J5957" s="549"/>
      <c r="K5957" s="549"/>
      <c r="M5957" s="465"/>
      <c r="N5957" s="201"/>
    </row>
    <row r="5958" spans="2:14" hidden="1" outlineLevel="1" x14ac:dyDescent="0.35">
      <c r="B5958" s="200"/>
      <c r="C5958" s="201"/>
      <c r="D5958" s="201"/>
      <c r="E5958" s="201"/>
      <c r="F5958" s="202"/>
      <c r="G5958" s="549"/>
      <c r="H5958" s="549"/>
      <c r="I5958" s="549"/>
      <c r="J5958" s="549"/>
      <c r="K5958" s="549"/>
      <c r="M5958" s="465"/>
      <c r="N5958" s="201"/>
    </row>
    <row r="5959" spans="2:14" hidden="1" outlineLevel="1" x14ac:dyDescent="0.35">
      <c r="B5959" s="200"/>
      <c r="C5959" s="201"/>
      <c r="D5959" s="201"/>
      <c r="E5959" s="201"/>
      <c r="F5959" s="202"/>
      <c r="G5959" s="549"/>
      <c r="H5959" s="549"/>
      <c r="I5959" s="549"/>
      <c r="J5959" s="549"/>
      <c r="K5959" s="549"/>
      <c r="M5959" s="465"/>
      <c r="N5959" s="201"/>
    </row>
    <row r="5960" spans="2:14" hidden="1" outlineLevel="1" x14ac:dyDescent="0.35">
      <c r="B5960" s="200"/>
      <c r="C5960" s="201"/>
      <c r="D5960" s="201"/>
      <c r="E5960" s="201"/>
      <c r="F5960" s="202"/>
      <c r="G5960" s="549"/>
      <c r="H5960" s="549"/>
      <c r="I5960" s="549"/>
      <c r="J5960" s="549"/>
      <c r="K5960" s="549"/>
      <c r="M5960" s="465"/>
      <c r="N5960" s="201"/>
    </row>
    <row r="5961" spans="2:14" hidden="1" outlineLevel="1" x14ac:dyDescent="0.35">
      <c r="B5961" s="200"/>
      <c r="C5961" s="201"/>
      <c r="D5961" s="201"/>
      <c r="E5961" s="201"/>
      <c r="F5961" s="202"/>
      <c r="G5961" s="549"/>
      <c r="H5961" s="549"/>
      <c r="I5961" s="549"/>
      <c r="J5961" s="549"/>
      <c r="K5961" s="549"/>
      <c r="M5961" s="465"/>
      <c r="N5961" s="201"/>
    </row>
    <row r="5962" spans="2:14" hidden="1" outlineLevel="1" x14ac:dyDescent="0.35">
      <c r="B5962" s="200"/>
      <c r="C5962" s="201"/>
      <c r="D5962" s="201"/>
      <c r="E5962" s="201"/>
      <c r="F5962" s="202"/>
      <c r="G5962" s="549"/>
      <c r="H5962" s="549"/>
      <c r="I5962" s="549"/>
      <c r="J5962" s="549"/>
      <c r="K5962" s="549"/>
      <c r="M5962" s="465"/>
      <c r="N5962" s="201"/>
    </row>
    <row r="5963" spans="2:14" hidden="1" outlineLevel="1" x14ac:dyDescent="0.35">
      <c r="B5963" s="200"/>
      <c r="C5963" s="201"/>
      <c r="D5963" s="201"/>
      <c r="E5963" s="201"/>
      <c r="F5963" s="202"/>
      <c r="G5963" s="549"/>
      <c r="H5963" s="549"/>
      <c r="I5963" s="549"/>
      <c r="J5963" s="549"/>
      <c r="K5963" s="549"/>
      <c r="M5963" s="465"/>
      <c r="N5963" s="201"/>
    </row>
    <row r="5964" spans="2:14" hidden="1" outlineLevel="1" x14ac:dyDescent="0.35">
      <c r="B5964" s="200"/>
      <c r="C5964" s="201"/>
      <c r="D5964" s="201"/>
      <c r="E5964" s="201"/>
      <c r="F5964" s="202"/>
      <c r="G5964" s="549"/>
      <c r="H5964" s="549"/>
      <c r="I5964" s="549"/>
      <c r="J5964" s="549"/>
      <c r="K5964" s="549"/>
      <c r="M5964" s="465"/>
      <c r="N5964" s="201"/>
    </row>
    <row r="5965" spans="2:14" hidden="1" outlineLevel="1" x14ac:dyDescent="0.35">
      <c r="B5965" s="200"/>
      <c r="C5965" s="201"/>
      <c r="D5965" s="201"/>
      <c r="E5965" s="201"/>
      <c r="F5965" s="202"/>
      <c r="G5965" s="549"/>
      <c r="H5965" s="549"/>
      <c r="I5965" s="549"/>
      <c r="J5965" s="549"/>
      <c r="K5965" s="549"/>
      <c r="M5965" s="465"/>
      <c r="N5965" s="201"/>
    </row>
    <row r="5966" spans="2:14" hidden="1" outlineLevel="1" x14ac:dyDescent="0.35">
      <c r="B5966" s="200"/>
      <c r="C5966" s="201"/>
      <c r="D5966" s="201"/>
      <c r="E5966" s="201"/>
      <c r="F5966" s="202"/>
      <c r="G5966" s="549"/>
      <c r="H5966" s="549"/>
      <c r="I5966" s="549"/>
      <c r="J5966" s="549"/>
      <c r="K5966" s="549"/>
      <c r="M5966" s="465"/>
      <c r="N5966" s="201"/>
    </row>
    <row r="5967" spans="2:14" hidden="1" outlineLevel="1" x14ac:dyDescent="0.35">
      <c r="B5967" s="200"/>
      <c r="C5967" s="201"/>
      <c r="D5967" s="201"/>
      <c r="E5967" s="201"/>
      <c r="F5967" s="202"/>
      <c r="G5967" s="549"/>
      <c r="H5967" s="549"/>
      <c r="I5967" s="549"/>
      <c r="J5967" s="549"/>
      <c r="K5967" s="549"/>
      <c r="M5967" s="465"/>
      <c r="N5967" s="201"/>
    </row>
    <row r="5968" spans="2:14" hidden="1" outlineLevel="1" x14ac:dyDescent="0.35">
      <c r="B5968" s="200"/>
      <c r="C5968" s="201"/>
      <c r="D5968" s="201"/>
      <c r="E5968" s="201"/>
      <c r="F5968" s="202"/>
      <c r="G5968" s="549"/>
      <c r="H5968" s="549"/>
      <c r="I5968" s="549"/>
      <c r="J5968" s="549"/>
      <c r="K5968" s="549"/>
      <c r="M5968" s="465"/>
      <c r="N5968" s="201"/>
    </row>
    <row r="5969" spans="2:14" hidden="1" outlineLevel="1" x14ac:dyDescent="0.35">
      <c r="B5969" s="200"/>
      <c r="C5969" s="201"/>
      <c r="D5969" s="201"/>
      <c r="E5969" s="201"/>
      <c r="F5969" s="202"/>
      <c r="G5969" s="549"/>
      <c r="H5969" s="549"/>
      <c r="I5969" s="549"/>
      <c r="J5969" s="549"/>
      <c r="K5969" s="549"/>
      <c r="M5969" s="465"/>
      <c r="N5969" s="201"/>
    </row>
    <row r="5970" spans="2:14" hidden="1" outlineLevel="1" x14ac:dyDescent="0.35">
      <c r="B5970" s="200"/>
      <c r="C5970" s="201"/>
      <c r="D5970" s="201"/>
      <c r="E5970" s="201"/>
      <c r="F5970" s="202"/>
      <c r="G5970" s="549"/>
      <c r="H5970" s="549"/>
      <c r="I5970" s="549"/>
      <c r="J5970" s="549"/>
      <c r="K5970" s="549"/>
      <c r="M5970" s="465"/>
      <c r="N5970" s="201"/>
    </row>
    <row r="5971" spans="2:14" hidden="1" outlineLevel="1" x14ac:dyDescent="0.35">
      <c r="B5971" s="200"/>
      <c r="C5971" s="201"/>
      <c r="D5971" s="201"/>
      <c r="E5971" s="201"/>
      <c r="F5971" s="202"/>
      <c r="G5971" s="549"/>
      <c r="H5971" s="549"/>
      <c r="I5971" s="549"/>
      <c r="J5971" s="549"/>
      <c r="K5971" s="549"/>
      <c r="M5971" s="465"/>
      <c r="N5971" s="201"/>
    </row>
    <row r="5972" spans="2:14" hidden="1" outlineLevel="1" x14ac:dyDescent="0.35">
      <c r="B5972" s="200"/>
      <c r="C5972" s="201"/>
      <c r="D5972" s="201"/>
      <c r="E5972" s="201"/>
      <c r="F5972" s="202"/>
      <c r="G5972" s="549"/>
      <c r="H5972" s="549"/>
      <c r="I5972" s="549"/>
      <c r="J5972" s="549"/>
      <c r="K5972" s="549"/>
      <c r="M5972" s="465"/>
      <c r="N5972" s="201"/>
    </row>
    <row r="5973" spans="2:14" hidden="1" outlineLevel="1" x14ac:dyDescent="0.35">
      <c r="B5973" s="200"/>
      <c r="C5973" s="201"/>
      <c r="D5973" s="201"/>
      <c r="E5973" s="201"/>
      <c r="F5973" s="202"/>
      <c r="G5973" s="549"/>
      <c r="H5973" s="549"/>
      <c r="I5973" s="549"/>
      <c r="J5973" s="549"/>
      <c r="K5973" s="549"/>
      <c r="M5973" s="465"/>
      <c r="N5973" s="201"/>
    </row>
    <row r="5974" spans="2:14" hidden="1" outlineLevel="1" x14ac:dyDescent="0.35">
      <c r="B5974" s="200"/>
      <c r="C5974" s="201"/>
      <c r="D5974" s="201"/>
      <c r="E5974" s="201"/>
      <c r="F5974" s="202"/>
      <c r="G5974" s="549"/>
      <c r="H5974" s="549"/>
      <c r="I5974" s="549"/>
      <c r="J5974" s="549"/>
      <c r="K5974" s="549"/>
      <c r="M5974" s="465"/>
      <c r="N5974" s="201"/>
    </row>
    <row r="5975" spans="2:14" hidden="1" outlineLevel="1" x14ac:dyDescent="0.35">
      <c r="B5975" s="200"/>
      <c r="C5975" s="201"/>
      <c r="D5975" s="201"/>
      <c r="E5975" s="201"/>
      <c r="F5975" s="202"/>
      <c r="G5975" s="549"/>
      <c r="H5975" s="549"/>
      <c r="I5975" s="549"/>
      <c r="J5975" s="549"/>
      <c r="K5975" s="549"/>
      <c r="M5975" s="465"/>
      <c r="N5975" s="201"/>
    </row>
    <row r="5976" spans="2:14" hidden="1" outlineLevel="1" x14ac:dyDescent="0.35">
      <c r="B5976" s="200"/>
      <c r="C5976" s="201"/>
      <c r="D5976" s="201"/>
      <c r="E5976" s="201"/>
      <c r="F5976" s="202"/>
      <c r="G5976" s="549"/>
      <c r="H5976" s="549"/>
      <c r="I5976" s="549"/>
      <c r="J5976" s="549"/>
      <c r="K5976" s="549"/>
      <c r="M5976" s="465"/>
      <c r="N5976" s="201"/>
    </row>
    <row r="5977" spans="2:14" hidden="1" outlineLevel="1" x14ac:dyDescent="0.35">
      <c r="B5977" s="200"/>
      <c r="C5977" s="201"/>
      <c r="D5977" s="201"/>
      <c r="E5977" s="201"/>
      <c r="F5977" s="202"/>
      <c r="G5977" s="549"/>
      <c r="H5977" s="549"/>
      <c r="I5977" s="549"/>
      <c r="J5977" s="549"/>
      <c r="K5977" s="549"/>
      <c r="M5977" s="465"/>
      <c r="N5977" s="201"/>
    </row>
    <row r="5978" spans="2:14" hidden="1" outlineLevel="1" x14ac:dyDescent="0.35">
      <c r="B5978" s="200"/>
      <c r="C5978" s="201"/>
      <c r="D5978" s="201"/>
      <c r="E5978" s="201"/>
      <c r="F5978" s="202"/>
      <c r="G5978" s="549"/>
      <c r="H5978" s="549"/>
      <c r="I5978" s="549"/>
      <c r="J5978" s="549"/>
      <c r="K5978" s="549"/>
      <c r="M5978" s="465"/>
      <c r="N5978" s="201"/>
    </row>
    <row r="5979" spans="2:14" hidden="1" outlineLevel="1" x14ac:dyDescent="0.35">
      <c r="B5979" s="200"/>
      <c r="C5979" s="201"/>
      <c r="D5979" s="201"/>
      <c r="E5979" s="201"/>
      <c r="F5979" s="202"/>
      <c r="G5979" s="549"/>
      <c r="H5979" s="549"/>
      <c r="I5979" s="549"/>
      <c r="J5979" s="549"/>
      <c r="K5979" s="549"/>
      <c r="M5979" s="465"/>
      <c r="N5979" s="201"/>
    </row>
    <row r="5980" spans="2:14" hidden="1" outlineLevel="1" x14ac:dyDescent="0.35">
      <c r="B5980" s="200"/>
      <c r="C5980" s="201"/>
      <c r="D5980" s="201"/>
      <c r="E5980" s="201"/>
      <c r="F5980" s="202"/>
      <c r="G5980" s="549"/>
      <c r="H5980" s="549"/>
      <c r="I5980" s="549"/>
      <c r="J5980" s="549"/>
      <c r="K5980" s="549"/>
      <c r="M5980" s="465"/>
      <c r="N5980" s="201"/>
    </row>
    <row r="5981" spans="2:14" hidden="1" outlineLevel="1" x14ac:dyDescent="0.35">
      <c r="B5981" s="200"/>
      <c r="C5981" s="201"/>
      <c r="D5981" s="201"/>
      <c r="E5981" s="201"/>
      <c r="F5981" s="202"/>
      <c r="G5981" s="549"/>
      <c r="H5981" s="549"/>
      <c r="I5981" s="549"/>
      <c r="J5981" s="549"/>
      <c r="K5981" s="549"/>
      <c r="M5981" s="465"/>
      <c r="N5981" s="201"/>
    </row>
    <row r="5982" spans="2:14" hidden="1" outlineLevel="1" x14ac:dyDescent="0.35">
      <c r="B5982" s="200"/>
      <c r="C5982" s="201"/>
      <c r="D5982" s="201"/>
      <c r="E5982" s="201"/>
      <c r="F5982" s="202"/>
      <c r="G5982" s="549"/>
      <c r="H5982" s="549"/>
      <c r="I5982" s="549"/>
      <c r="J5982" s="549"/>
      <c r="K5982" s="549"/>
      <c r="M5982" s="465"/>
      <c r="N5982" s="201"/>
    </row>
    <row r="5983" spans="2:14" hidden="1" outlineLevel="1" x14ac:dyDescent="0.35">
      <c r="B5983" s="200"/>
      <c r="C5983" s="201"/>
      <c r="D5983" s="201"/>
      <c r="E5983" s="201"/>
      <c r="F5983" s="202"/>
      <c r="G5983" s="549"/>
      <c r="H5983" s="549"/>
      <c r="I5983" s="549"/>
      <c r="J5983" s="549"/>
      <c r="K5983" s="549"/>
      <c r="M5983" s="465"/>
      <c r="N5983" s="201"/>
    </row>
    <row r="5984" spans="2:14" hidden="1" outlineLevel="1" x14ac:dyDescent="0.35">
      <c r="B5984" s="200"/>
      <c r="C5984" s="201"/>
      <c r="D5984" s="201"/>
      <c r="E5984" s="201"/>
      <c r="F5984" s="202"/>
      <c r="G5984" s="549"/>
      <c r="H5984" s="549"/>
      <c r="I5984" s="549"/>
      <c r="J5984" s="549"/>
      <c r="K5984" s="549"/>
      <c r="M5984" s="465"/>
      <c r="N5984" s="201"/>
    </row>
    <row r="5985" spans="2:14" hidden="1" outlineLevel="1" x14ac:dyDescent="0.35">
      <c r="B5985" s="200"/>
      <c r="C5985" s="201"/>
      <c r="D5985" s="201"/>
      <c r="E5985" s="201"/>
      <c r="F5985" s="202"/>
      <c r="G5985" s="549"/>
      <c r="H5985" s="549"/>
      <c r="I5985" s="549"/>
      <c r="J5985" s="549"/>
      <c r="K5985" s="549"/>
      <c r="M5985" s="465"/>
      <c r="N5985" s="201"/>
    </row>
    <row r="5986" spans="2:14" hidden="1" outlineLevel="1" x14ac:dyDescent="0.35">
      <c r="B5986" s="200"/>
      <c r="C5986" s="201"/>
      <c r="D5986" s="201"/>
      <c r="E5986" s="201"/>
      <c r="F5986" s="202"/>
      <c r="G5986" s="549"/>
      <c r="H5986" s="549"/>
      <c r="I5986" s="549"/>
      <c r="J5986" s="549"/>
      <c r="K5986" s="549"/>
      <c r="M5986" s="465"/>
      <c r="N5986" s="201"/>
    </row>
    <row r="5987" spans="2:14" hidden="1" outlineLevel="1" x14ac:dyDescent="0.35">
      <c r="B5987" s="200"/>
      <c r="C5987" s="201"/>
      <c r="D5987" s="201"/>
      <c r="E5987" s="201"/>
      <c r="F5987" s="202"/>
      <c r="G5987" s="549"/>
      <c r="H5987" s="549"/>
      <c r="I5987" s="549"/>
      <c r="J5987" s="549"/>
      <c r="K5987" s="549"/>
      <c r="M5987" s="465"/>
      <c r="N5987" s="201"/>
    </row>
    <row r="5988" spans="2:14" hidden="1" outlineLevel="1" x14ac:dyDescent="0.35">
      <c r="B5988" s="200"/>
      <c r="C5988" s="201"/>
      <c r="D5988" s="201"/>
      <c r="E5988" s="201"/>
      <c r="F5988" s="202"/>
      <c r="G5988" s="549"/>
      <c r="H5988" s="549"/>
      <c r="I5988" s="549"/>
      <c r="J5988" s="549"/>
      <c r="K5988" s="549"/>
      <c r="M5988" s="465"/>
      <c r="N5988" s="201"/>
    </row>
    <row r="5989" spans="2:14" hidden="1" outlineLevel="1" x14ac:dyDescent="0.35">
      <c r="B5989" s="200"/>
      <c r="C5989" s="201"/>
      <c r="D5989" s="201"/>
      <c r="E5989" s="201"/>
      <c r="F5989" s="202"/>
      <c r="G5989" s="549"/>
      <c r="H5989" s="549"/>
      <c r="I5989" s="549"/>
      <c r="J5989" s="549"/>
      <c r="K5989" s="549"/>
      <c r="M5989" s="465"/>
      <c r="N5989" s="201"/>
    </row>
    <row r="5990" spans="2:14" hidden="1" outlineLevel="1" x14ac:dyDescent="0.35">
      <c r="B5990" s="200"/>
      <c r="C5990" s="201"/>
      <c r="D5990" s="201"/>
      <c r="E5990" s="201"/>
      <c r="F5990" s="202"/>
      <c r="G5990" s="549"/>
      <c r="H5990" s="549"/>
      <c r="I5990" s="549"/>
      <c r="J5990" s="549"/>
      <c r="K5990" s="549"/>
      <c r="M5990" s="465"/>
      <c r="N5990" s="201"/>
    </row>
    <row r="5991" spans="2:14" hidden="1" outlineLevel="1" x14ac:dyDescent="0.35">
      <c r="B5991" s="200"/>
      <c r="C5991" s="201"/>
      <c r="D5991" s="201"/>
      <c r="E5991" s="201"/>
      <c r="F5991" s="202"/>
      <c r="G5991" s="549"/>
      <c r="H5991" s="549"/>
      <c r="I5991" s="549"/>
      <c r="J5991" s="549"/>
      <c r="K5991" s="549"/>
      <c r="M5991" s="465"/>
      <c r="N5991" s="201"/>
    </row>
    <row r="5992" spans="2:14" hidden="1" outlineLevel="1" x14ac:dyDescent="0.35">
      <c r="B5992" s="200"/>
      <c r="C5992" s="201"/>
      <c r="D5992" s="201"/>
      <c r="E5992" s="201"/>
      <c r="F5992" s="202"/>
      <c r="G5992" s="549"/>
      <c r="H5992" s="549"/>
      <c r="I5992" s="549"/>
      <c r="J5992" s="549"/>
      <c r="K5992" s="549"/>
      <c r="M5992" s="465"/>
      <c r="N5992" s="201"/>
    </row>
    <row r="5993" spans="2:14" hidden="1" outlineLevel="1" x14ac:dyDescent="0.35">
      <c r="B5993" s="200"/>
      <c r="C5993" s="201"/>
      <c r="D5993" s="201"/>
      <c r="E5993" s="201"/>
      <c r="F5993" s="202"/>
      <c r="G5993" s="549"/>
      <c r="H5993" s="549"/>
      <c r="I5993" s="549"/>
      <c r="J5993" s="549"/>
      <c r="K5993" s="549"/>
      <c r="M5993" s="465"/>
      <c r="N5993" s="201"/>
    </row>
    <row r="5994" spans="2:14" hidden="1" outlineLevel="1" x14ac:dyDescent="0.35">
      <c r="B5994" s="200"/>
      <c r="C5994" s="201"/>
      <c r="D5994" s="201"/>
      <c r="E5994" s="201"/>
      <c r="F5994" s="202"/>
      <c r="G5994" s="549"/>
      <c r="H5994" s="549"/>
      <c r="I5994" s="549"/>
      <c r="J5994" s="549"/>
      <c r="K5994" s="549"/>
      <c r="M5994" s="465"/>
      <c r="N5994" s="201"/>
    </row>
    <row r="5995" spans="2:14" hidden="1" outlineLevel="1" x14ac:dyDescent="0.35">
      <c r="B5995" s="200"/>
      <c r="C5995" s="201"/>
      <c r="D5995" s="201"/>
      <c r="E5995" s="201"/>
      <c r="F5995" s="202"/>
      <c r="G5995" s="549"/>
      <c r="H5995" s="549"/>
      <c r="I5995" s="549"/>
      <c r="J5995" s="549"/>
      <c r="K5995" s="549"/>
      <c r="M5995" s="465"/>
      <c r="N5995" s="201"/>
    </row>
    <row r="5996" spans="2:14" hidden="1" outlineLevel="1" x14ac:dyDescent="0.35">
      <c r="B5996" s="200"/>
      <c r="C5996" s="201"/>
      <c r="D5996" s="201"/>
      <c r="E5996" s="201"/>
      <c r="F5996" s="202"/>
      <c r="G5996" s="549"/>
      <c r="H5996" s="549"/>
      <c r="I5996" s="549"/>
      <c r="J5996" s="549"/>
      <c r="K5996" s="549"/>
      <c r="M5996" s="465"/>
      <c r="N5996" s="201"/>
    </row>
    <row r="5997" spans="2:14" hidden="1" outlineLevel="1" x14ac:dyDescent="0.35">
      <c r="B5997" s="200"/>
      <c r="C5997" s="201"/>
      <c r="D5997" s="201"/>
      <c r="E5997" s="201"/>
      <c r="F5997" s="202"/>
      <c r="G5997" s="549"/>
      <c r="H5997" s="549"/>
      <c r="I5997" s="549"/>
      <c r="J5997" s="549"/>
      <c r="K5997" s="549"/>
      <c r="M5997" s="465"/>
      <c r="N5997" s="201"/>
    </row>
    <row r="5998" spans="2:14" hidden="1" outlineLevel="1" x14ac:dyDescent="0.35">
      <c r="B5998" s="200"/>
      <c r="C5998" s="201"/>
      <c r="D5998" s="201"/>
      <c r="E5998" s="201"/>
      <c r="F5998" s="202"/>
      <c r="G5998" s="549"/>
      <c r="H5998" s="549"/>
      <c r="I5998" s="549"/>
      <c r="J5998" s="549"/>
      <c r="K5998" s="549"/>
      <c r="M5998" s="465"/>
      <c r="N5998" s="201"/>
    </row>
    <row r="5999" spans="2:14" hidden="1" outlineLevel="1" x14ac:dyDescent="0.35">
      <c r="B5999" s="200"/>
      <c r="C5999" s="201"/>
      <c r="D5999" s="201"/>
      <c r="E5999" s="201"/>
      <c r="F5999" s="202"/>
      <c r="G5999" s="549"/>
      <c r="H5999" s="549"/>
      <c r="I5999" s="549"/>
      <c r="J5999" s="549"/>
      <c r="K5999" s="549"/>
      <c r="M5999" s="465"/>
      <c r="N5999" s="201"/>
    </row>
    <row r="6000" spans="2:14" hidden="1" outlineLevel="1" x14ac:dyDescent="0.35">
      <c r="B6000" s="200"/>
      <c r="C6000" s="201"/>
      <c r="D6000" s="201"/>
      <c r="E6000" s="201"/>
      <c r="F6000" s="202"/>
      <c r="G6000" s="549"/>
      <c r="H6000" s="549"/>
      <c r="I6000" s="549"/>
      <c r="J6000" s="549"/>
      <c r="K6000" s="549"/>
      <c r="M6000" s="465"/>
      <c r="N6000" s="201"/>
    </row>
    <row r="6001" spans="2:14" hidden="1" outlineLevel="1" x14ac:dyDescent="0.35">
      <c r="B6001" s="200"/>
      <c r="C6001" s="201"/>
      <c r="D6001" s="201"/>
      <c r="E6001" s="201"/>
      <c r="F6001" s="202"/>
      <c r="G6001" s="549"/>
      <c r="H6001" s="549"/>
      <c r="I6001" s="549"/>
      <c r="J6001" s="549"/>
      <c r="K6001" s="549"/>
      <c r="M6001" s="465"/>
      <c r="N6001" s="201"/>
    </row>
    <row r="6002" spans="2:14" hidden="1" outlineLevel="1" x14ac:dyDescent="0.35">
      <c r="B6002" s="200"/>
      <c r="C6002" s="201"/>
      <c r="D6002" s="201"/>
      <c r="E6002" s="201"/>
      <c r="F6002" s="202"/>
      <c r="G6002" s="549"/>
      <c r="H6002" s="549"/>
      <c r="I6002" s="549"/>
      <c r="J6002" s="549"/>
      <c r="K6002" s="549"/>
      <c r="M6002" s="465"/>
      <c r="N6002" s="201"/>
    </row>
    <row r="6003" spans="2:14" hidden="1" outlineLevel="1" x14ac:dyDescent="0.35">
      <c r="B6003" s="200"/>
      <c r="C6003" s="201"/>
      <c r="D6003" s="201"/>
      <c r="E6003" s="201"/>
      <c r="F6003" s="202"/>
      <c r="G6003" s="549"/>
      <c r="H6003" s="549"/>
      <c r="I6003" s="549"/>
      <c r="J6003" s="549"/>
      <c r="K6003" s="549"/>
      <c r="M6003" s="465"/>
      <c r="N6003" s="201"/>
    </row>
    <row r="6004" spans="2:14" hidden="1" outlineLevel="1" x14ac:dyDescent="0.35">
      <c r="B6004" s="200"/>
      <c r="C6004" s="201"/>
      <c r="D6004" s="201"/>
      <c r="E6004" s="201"/>
      <c r="F6004" s="202"/>
      <c r="G6004" s="549"/>
      <c r="H6004" s="549"/>
      <c r="I6004" s="549"/>
      <c r="J6004" s="549"/>
      <c r="K6004" s="549"/>
      <c r="M6004" s="465"/>
      <c r="N6004" s="201"/>
    </row>
    <row r="6005" spans="2:14" hidden="1" outlineLevel="1" x14ac:dyDescent="0.35">
      <c r="B6005" s="200"/>
      <c r="C6005" s="201"/>
      <c r="D6005" s="201"/>
      <c r="E6005" s="201"/>
      <c r="F6005" s="202"/>
      <c r="G6005" s="549"/>
      <c r="H6005" s="549"/>
      <c r="I6005" s="549"/>
      <c r="J6005" s="549"/>
      <c r="K6005" s="549"/>
      <c r="M6005" s="465"/>
      <c r="N6005" s="201"/>
    </row>
    <row r="6006" spans="2:14" hidden="1" outlineLevel="1" x14ac:dyDescent="0.35">
      <c r="B6006" s="200"/>
      <c r="C6006" s="201"/>
      <c r="D6006" s="201"/>
      <c r="E6006" s="201"/>
      <c r="F6006" s="202"/>
      <c r="G6006" s="549"/>
      <c r="H6006" s="549"/>
      <c r="I6006" s="549"/>
      <c r="J6006" s="549"/>
      <c r="K6006" s="549"/>
      <c r="M6006" s="465"/>
      <c r="N6006" s="201"/>
    </row>
    <row r="6007" spans="2:14" hidden="1" outlineLevel="1" x14ac:dyDescent="0.35">
      <c r="B6007" s="200"/>
      <c r="C6007" s="201"/>
      <c r="D6007" s="201"/>
      <c r="E6007" s="201"/>
      <c r="F6007" s="202"/>
      <c r="G6007" s="549"/>
      <c r="H6007" s="549"/>
      <c r="I6007" s="549"/>
      <c r="J6007" s="549"/>
      <c r="K6007" s="549"/>
      <c r="M6007" s="465"/>
      <c r="N6007" s="201"/>
    </row>
    <row r="6008" spans="2:14" hidden="1" outlineLevel="1" x14ac:dyDescent="0.35">
      <c r="B6008" s="200"/>
      <c r="C6008" s="201"/>
      <c r="D6008" s="201"/>
      <c r="E6008" s="201"/>
      <c r="F6008" s="202"/>
      <c r="G6008" s="549"/>
      <c r="H6008" s="549"/>
      <c r="I6008" s="549"/>
      <c r="J6008" s="549"/>
      <c r="K6008" s="549"/>
      <c r="M6008" s="465"/>
      <c r="N6008" s="201"/>
    </row>
    <row r="6009" spans="2:14" hidden="1" outlineLevel="1" x14ac:dyDescent="0.35">
      <c r="B6009" s="200"/>
      <c r="C6009" s="201"/>
      <c r="D6009" s="201"/>
      <c r="E6009" s="201"/>
      <c r="F6009" s="202"/>
      <c r="G6009" s="549"/>
      <c r="H6009" s="549"/>
      <c r="I6009" s="549"/>
      <c r="J6009" s="549"/>
      <c r="K6009" s="549"/>
      <c r="M6009" s="465"/>
      <c r="N6009" s="201"/>
    </row>
    <row r="6010" spans="2:14" hidden="1" outlineLevel="1" x14ac:dyDescent="0.35">
      <c r="B6010" s="200"/>
      <c r="C6010" s="201"/>
      <c r="D6010" s="201"/>
      <c r="E6010" s="201"/>
      <c r="F6010" s="202"/>
      <c r="G6010" s="549"/>
      <c r="H6010" s="549"/>
      <c r="I6010" s="549"/>
      <c r="J6010" s="549"/>
      <c r="K6010" s="549"/>
      <c r="M6010" s="465"/>
      <c r="N6010" s="201"/>
    </row>
    <row r="6011" spans="2:14" hidden="1" outlineLevel="1" x14ac:dyDescent="0.35">
      <c r="B6011" s="200"/>
      <c r="C6011" s="201"/>
      <c r="D6011" s="201"/>
      <c r="E6011" s="201"/>
      <c r="F6011" s="202"/>
      <c r="G6011" s="549"/>
      <c r="H6011" s="549"/>
      <c r="I6011" s="549"/>
      <c r="J6011" s="549"/>
      <c r="K6011" s="549"/>
      <c r="M6011" s="465"/>
      <c r="N6011" s="201"/>
    </row>
    <row r="6012" spans="2:14" hidden="1" outlineLevel="1" x14ac:dyDescent="0.35">
      <c r="B6012" s="200"/>
      <c r="C6012" s="201"/>
      <c r="D6012" s="201"/>
      <c r="E6012" s="201"/>
      <c r="F6012" s="202"/>
      <c r="G6012" s="549"/>
      <c r="H6012" s="549"/>
      <c r="I6012" s="549"/>
      <c r="J6012" s="549"/>
      <c r="K6012" s="549"/>
      <c r="M6012" s="465"/>
      <c r="N6012" s="201"/>
    </row>
    <row r="6013" spans="2:14" hidden="1" outlineLevel="1" x14ac:dyDescent="0.35">
      <c r="B6013" s="200"/>
      <c r="C6013" s="201"/>
      <c r="D6013" s="201"/>
      <c r="E6013" s="201"/>
      <c r="F6013" s="202"/>
      <c r="G6013" s="549"/>
      <c r="H6013" s="549"/>
      <c r="I6013" s="549"/>
      <c r="J6013" s="549"/>
      <c r="K6013" s="549"/>
      <c r="M6013" s="465"/>
      <c r="N6013" s="201"/>
    </row>
    <row r="6014" spans="2:14" hidden="1" outlineLevel="1" x14ac:dyDescent="0.35">
      <c r="B6014" s="200"/>
      <c r="C6014" s="201"/>
      <c r="D6014" s="201"/>
      <c r="E6014" s="201"/>
      <c r="F6014" s="202"/>
      <c r="G6014" s="549"/>
      <c r="H6014" s="549"/>
      <c r="I6014" s="549"/>
      <c r="J6014" s="549"/>
      <c r="K6014" s="549"/>
      <c r="M6014" s="465"/>
      <c r="N6014" s="201"/>
    </row>
    <row r="6015" spans="2:14" hidden="1" outlineLevel="1" x14ac:dyDescent="0.35">
      <c r="B6015" s="200"/>
      <c r="C6015" s="201"/>
      <c r="D6015" s="201"/>
      <c r="E6015" s="201"/>
      <c r="F6015" s="202"/>
      <c r="G6015" s="549"/>
      <c r="H6015" s="549"/>
      <c r="I6015" s="549"/>
      <c r="J6015" s="549"/>
      <c r="K6015" s="549"/>
      <c r="M6015" s="465"/>
      <c r="N6015" s="201"/>
    </row>
    <row r="6016" spans="2:14" hidden="1" outlineLevel="1" x14ac:dyDescent="0.35">
      <c r="B6016" s="200"/>
      <c r="C6016" s="201"/>
      <c r="D6016" s="201"/>
      <c r="E6016" s="201"/>
      <c r="F6016" s="202"/>
      <c r="G6016" s="549"/>
      <c r="H6016" s="549"/>
      <c r="I6016" s="549"/>
      <c r="J6016" s="549"/>
      <c r="K6016" s="549"/>
      <c r="M6016" s="465"/>
      <c r="N6016" s="201"/>
    </row>
    <row r="6017" spans="2:14" hidden="1" outlineLevel="1" x14ac:dyDescent="0.35">
      <c r="B6017" s="200"/>
      <c r="C6017" s="201"/>
      <c r="D6017" s="201"/>
      <c r="E6017" s="201"/>
      <c r="F6017" s="202"/>
      <c r="G6017" s="549"/>
      <c r="H6017" s="549"/>
      <c r="I6017" s="549"/>
      <c r="J6017" s="549"/>
      <c r="K6017" s="549"/>
      <c r="M6017" s="465"/>
      <c r="N6017" s="201"/>
    </row>
    <row r="6018" spans="2:14" hidden="1" outlineLevel="1" x14ac:dyDescent="0.35">
      <c r="B6018" s="200"/>
      <c r="C6018" s="201"/>
      <c r="D6018" s="201"/>
      <c r="E6018" s="201"/>
      <c r="F6018" s="202"/>
      <c r="G6018" s="549"/>
      <c r="H6018" s="549"/>
      <c r="I6018" s="549"/>
      <c r="J6018" s="549"/>
      <c r="K6018" s="549"/>
      <c r="M6018" s="465"/>
      <c r="N6018" s="201"/>
    </row>
    <row r="6019" spans="2:14" hidden="1" outlineLevel="1" x14ac:dyDescent="0.35">
      <c r="B6019" s="200"/>
      <c r="C6019" s="201"/>
      <c r="D6019" s="201"/>
      <c r="E6019" s="201"/>
      <c r="F6019" s="202"/>
      <c r="G6019" s="549"/>
      <c r="H6019" s="549"/>
      <c r="I6019" s="549"/>
      <c r="J6019" s="549"/>
      <c r="K6019" s="549"/>
      <c r="M6019" s="465"/>
      <c r="N6019" s="201"/>
    </row>
    <row r="6020" spans="2:14" hidden="1" outlineLevel="1" x14ac:dyDescent="0.35">
      <c r="B6020" s="200"/>
      <c r="C6020" s="201"/>
      <c r="D6020" s="201"/>
      <c r="E6020" s="201"/>
      <c r="F6020" s="202"/>
      <c r="G6020" s="549"/>
      <c r="H6020" s="549"/>
      <c r="I6020" s="549"/>
      <c r="J6020" s="549"/>
      <c r="K6020" s="549"/>
      <c r="M6020" s="465"/>
      <c r="N6020" s="201"/>
    </row>
    <row r="6021" spans="2:14" hidden="1" outlineLevel="1" x14ac:dyDescent="0.35">
      <c r="B6021" s="200"/>
      <c r="C6021" s="201"/>
      <c r="D6021" s="201"/>
      <c r="E6021" s="201"/>
      <c r="F6021" s="202"/>
      <c r="G6021" s="549"/>
      <c r="H6021" s="549"/>
      <c r="I6021" s="549"/>
      <c r="J6021" s="549"/>
      <c r="K6021" s="549"/>
      <c r="M6021" s="465"/>
      <c r="N6021" s="201"/>
    </row>
    <row r="6022" spans="2:14" hidden="1" outlineLevel="1" x14ac:dyDescent="0.35">
      <c r="B6022" s="200"/>
      <c r="C6022" s="201"/>
      <c r="D6022" s="201"/>
      <c r="E6022" s="201"/>
      <c r="F6022" s="202"/>
      <c r="G6022" s="549"/>
      <c r="H6022" s="549"/>
      <c r="I6022" s="549"/>
      <c r="J6022" s="549"/>
      <c r="K6022" s="549"/>
      <c r="M6022" s="465"/>
      <c r="N6022" s="201"/>
    </row>
    <row r="6023" spans="2:14" hidden="1" outlineLevel="1" x14ac:dyDescent="0.35">
      <c r="B6023" s="200"/>
      <c r="C6023" s="201"/>
      <c r="D6023" s="201"/>
      <c r="E6023" s="201"/>
      <c r="F6023" s="202"/>
      <c r="G6023" s="549"/>
      <c r="H6023" s="549"/>
      <c r="I6023" s="549"/>
      <c r="J6023" s="549"/>
      <c r="K6023" s="549"/>
      <c r="M6023" s="465"/>
      <c r="N6023" s="201"/>
    </row>
    <row r="6024" spans="2:14" hidden="1" outlineLevel="1" x14ac:dyDescent="0.35">
      <c r="B6024" s="200"/>
      <c r="C6024" s="201"/>
      <c r="D6024" s="201"/>
      <c r="E6024" s="201"/>
      <c r="F6024" s="202"/>
      <c r="G6024" s="549"/>
      <c r="H6024" s="549"/>
      <c r="I6024" s="549"/>
      <c r="J6024" s="549"/>
      <c r="K6024" s="549"/>
      <c r="M6024" s="465"/>
      <c r="N6024" s="201"/>
    </row>
    <row r="6025" spans="2:14" hidden="1" outlineLevel="1" x14ac:dyDescent="0.35">
      <c r="B6025" s="200"/>
      <c r="C6025" s="201"/>
      <c r="D6025" s="201"/>
      <c r="E6025" s="201"/>
      <c r="F6025" s="202"/>
      <c r="G6025" s="549"/>
      <c r="H6025" s="549"/>
      <c r="I6025" s="549"/>
      <c r="J6025" s="549"/>
      <c r="K6025" s="549"/>
      <c r="M6025" s="465"/>
      <c r="N6025" s="201"/>
    </row>
    <row r="6026" spans="2:14" hidden="1" outlineLevel="1" x14ac:dyDescent="0.35">
      <c r="B6026" s="200"/>
      <c r="C6026" s="201"/>
      <c r="D6026" s="201"/>
      <c r="E6026" s="201"/>
      <c r="F6026" s="202"/>
      <c r="G6026" s="549"/>
      <c r="H6026" s="549"/>
      <c r="I6026" s="549"/>
      <c r="J6026" s="549"/>
      <c r="K6026" s="549"/>
      <c r="M6026" s="465"/>
      <c r="N6026" s="201"/>
    </row>
    <row r="6027" spans="2:14" hidden="1" outlineLevel="1" x14ac:dyDescent="0.35">
      <c r="B6027" s="200"/>
      <c r="C6027" s="201"/>
      <c r="D6027" s="201"/>
      <c r="E6027" s="201"/>
      <c r="F6027" s="202"/>
      <c r="G6027" s="549"/>
      <c r="H6027" s="549"/>
      <c r="I6027" s="549"/>
      <c r="J6027" s="549"/>
      <c r="K6027" s="549"/>
      <c r="M6027" s="465"/>
      <c r="N6027" s="201"/>
    </row>
    <row r="6028" spans="2:14" hidden="1" outlineLevel="1" x14ac:dyDescent="0.35">
      <c r="B6028" s="200"/>
      <c r="C6028" s="201"/>
      <c r="D6028" s="201"/>
      <c r="E6028" s="201"/>
      <c r="F6028" s="202"/>
      <c r="G6028" s="549"/>
      <c r="H6028" s="549"/>
      <c r="I6028" s="549"/>
      <c r="J6028" s="549"/>
      <c r="K6028" s="549"/>
      <c r="M6028" s="465"/>
      <c r="N6028" s="201"/>
    </row>
    <row r="6029" spans="2:14" hidden="1" outlineLevel="1" x14ac:dyDescent="0.35">
      <c r="B6029" s="200"/>
      <c r="C6029" s="201"/>
      <c r="D6029" s="201"/>
      <c r="E6029" s="201"/>
      <c r="F6029" s="202"/>
      <c r="G6029" s="549"/>
      <c r="H6029" s="549"/>
      <c r="I6029" s="549"/>
      <c r="J6029" s="549"/>
      <c r="K6029" s="549"/>
      <c r="M6029" s="465"/>
      <c r="N6029" s="201"/>
    </row>
    <row r="6030" spans="2:14" hidden="1" outlineLevel="1" x14ac:dyDescent="0.35">
      <c r="B6030" s="200"/>
      <c r="C6030" s="201"/>
      <c r="D6030" s="201"/>
      <c r="E6030" s="201"/>
      <c r="F6030" s="202"/>
      <c r="G6030" s="549"/>
      <c r="H6030" s="549"/>
      <c r="I6030" s="549"/>
      <c r="J6030" s="549"/>
      <c r="K6030" s="549"/>
      <c r="M6030" s="465"/>
      <c r="N6030" s="201"/>
    </row>
    <row r="6031" spans="2:14" hidden="1" outlineLevel="1" x14ac:dyDescent="0.35">
      <c r="B6031" s="200"/>
      <c r="C6031" s="201"/>
      <c r="D6031" s="201"/>
      <c r="E6031" s="201"/>
      <c r="F6031" s="202"/>
      <c r="G6031" s="549"/>
      <c r="H6031" s="549"/>
      <c r="I6031" s="549"/>
      <c r="J6031" s="549"/>
      <c r="K6031" s="549"/>
      <c r="M6031" s="465"/>
      <c r="N6031" s="201"/>
    </row>
    <row r="6032" spans="2:14" hidden="1" outlineLevel="1" x14ac:dyDescent="0.35">
      <c r="B6032" s="200"/>
      <c r="C6032" s="201"/>
      <c r="D6032" s="201"/>
      <c r="E6032" s="201"/>
      <c r="F6032" s="202"/>
      <c r="G6032" s="549"/>
      <c r="H6032" s="549"/>
      <c r="I6032" s="549"/>
      <c r="J6032" s="549"/>
      <c r="K6032" s="549"/>
      <c r="M6032" s="465"/>
      <c r="N6032" s="201"/>
    </row>
    <row r="6033" spans="2:14" hidden="1" outlineLevel="1" x14ac:dyDescent="0.35">
      <c r="B6033" s="200"/>
      <c r="C6033" s="201"/>
      <c r="D6033" s="201"/>
      <c r="E6033" s="201"/>
      <c r="F6033" s="202"/>
      <c r="G6033" s="549"/>
      <c r="H6033" s="549"/>
      <c r="I6033" s="549"/>
      <c r="J6033" s="549"/>
      <c r="K6033" s="549"/>
      <c r="M6033" s="465"/>
      <c r="N6033" s="201"/>
    </row>
    <row r="6034" spans="2:14" hidden="1" outlineLevel="1" x14ac:dyDescent="0.35">
      <c r="B6034" s="200"/>
      <c r="C6034" s="201"/>
      <c r="D6034" s="201"/>
      <c r="E6034" s="201"/>
      <c r="F6034" s="202"/>
      <c r="G6034" s="549"/>
      <c r="H6034" s="549"/>
      <c r="I6034" s="549"/>
      <c r="J6034" s="549"/>
      <c r="K6034" s="549"/>
      <c r="M6034" s="465"/>
      <c r="N6034" s="201"/>
    </row>
    <row r="6035" spans="2:14" hidden="1" outlineLevel="1" x14ac:dyDescent="0.35">
      <c r="B6035" s="200"/>
      <c r="C6035" s="201"/>
      <c r="D6035" s="201"/>
      <c r="E6035" s="201"/>
      <c r="F6035" s="202"/>
      <c r="G6035" s="549"/>
      <c r="H6035" s="549"/>
      <c r="I6035" s="549"/>
      <c r="J6035" s="549"/>
      <c r="K6035" s="549"/>
      <c r="M6035" s="465"/>
      <c r="N6035" s="201"/>
    </row>
    <row r="6036" spans="2:14" hidden="1" outlineLevel="1" x14ac:dyDescent="0.35">
      <c r="B6036" s="200"/>
      <c r="C6036" s="201"/>
      <c r="D6036" s="201"/>
      <c r="E6036" s="201"/>
      <c r="F6036" s="202"/>
      <c r="G6036" s="549"/>
      <c r="H6036" s="549"/>
      <c r="I6036" s="549"/>
      <c r="J6036" s="549"/>
      <c r="K6036" s="549"/>
      <c r="M6036" s="465"/>
      <c r="N6036" s="201"/>
    </row>
    <row r="6037" spans="2:14" hidden="1" outlineLevel="1" x14ac:dyDescent="0.35">
      <c r="B6037" s="200"/>
      <c r="C6037" s="201"/>
      <c r="D6037" s="201"/>
      <c r="E6037" s="201"/>
      <c r="F6037" s="202"/>
      <c r="G6037" s="549"/>
      <c r="H6037" s="549"/>
      <c r="I6037" s="549"/>
      <c r="J6037" s="549"/>
      <c r="K6037" s="549"/>
      <c r="M6037" s="465"/>
      <c r="N6037" s="201"/>
    </row>
    <row r="6038" spans="2:14" hidden="1" outlineLevel="1" x14ac:dyDescent="0.35">
      <c r="B6038" s="200"/>
      <c r="C6038" s="201"/>
      <c r="D6038" s="201"/>
      <c r="E6038" s="201"/>
      <c r="F6038" s="202"/>
      <c r="G6038" s="549"/>
      <c r="H6038" s="549"/>
      <c r="I6038" s="549"/>
      <c r="J6038" s="549"/>
      <c r="K6038" s="549"/>
      <c r="M6038" s="465"/>
      <c r="N6038" s="201"/>
    </row>
    <row r="6039" spans="2:14" hidden="1" outlineLevel="1" x14ac:dyDescent="0.35">
      <c r="B6039" s="200"/>
      <c r="C6039" s="201"/>
      <c r="D6039" s="201"/>
      <c r="E6039" s="201"/>
      <c r="F6039" s="202"/>
      <c r="G6039" s="549"/>
      <c r="H6039" s="549"/>
      <c r="I6039" s="549"/>
      <c r="J6039" s="549"/>
      <c r="K6039" s="549"/>
      <c r="M6039" s="465"/>
      <c r="N6039" s="201"/>
    </row>
    <row r="6040" spans="2:14" hidden="1" outlineLevel="1" x14ac:dyDescent="0.35">
      <c r="B6040" s="200"/>
      <c r="C6040" s="201"/>
      <c r="D6040" s="201"/>
      <c r="E6040" s="201"/>
      <c r="F6040" s="202"/>
      <c r="G6040" s="549"/>
      <c r="H6040" s="549"/>
      <c r="I6040" s="549"/>
      <c r="J6040" s="549"/>
      <c r="K6040" s="549"/>
      <c r="M6040" s="465"/>
      <c r="N6040" s="201"/>
    </row>
    <row r="6041" spans="2:14" hidden="1" outlineLevel="1" x14ac:dyDescent="0.35">
      <c r="B6041" s="200"/>
      <c r="C6041" s="201"/>
      <c r="D6041" s="201"/>
      <c r="E6041" s="201"/>
      <c r="F6041" s="202"/>
      <c r="G6041" s="549"/>
      <c r="H6041" s="549"/>
      <c r="I6041" s="549"/>
      <c r="J6041" s="549"/>
      <c r="K6041" s="549"/>
      <c r="M6041" s="465"/>
      <c r="N6041" s="201"/>
    </row>
    <row r="6042" spans="2:14" hidden="1" outlineLevel="1" x14ac:dyDescent="0.35">
      <c r="B6042" s="200"/>
      <c r="C6042" s="201"/>
      <c r="D6042" s="201"/>
      <c r="E6042" s="201"/>
      <c r="F6042" s="202"/>
      <c r="G6042" s="549"/>
      <c r="H6042" s="549"/>
      <c r="I6042" s="549"/>
      <c r="J6042" s="549"/>
      <c r="K6042" s="549"/>
      <c r="M6042" s="465"/>
      <c r="N6042" s="201"/>
    </row>
    <row r="6043" spans="2:14" hidden="1" outlineLevel="1" x14ac:dyDescent="0.35">
      <c r="B6043" s="200"/>
      <c r="C6043" s="201"/>
      <c r="D6043" s="201"/>
      <c r="E6043" s="201"/>
      <c r="F6043" s="202"/>
      <c r="G6043" s="549"/>
      <c r="H6043" s="549"/>
      <c r="I6043" s="549"/>
      <c r="J6043" s="549"/>
      <c r="K6043" s="549"/>
      <c r="M6043" s="465"/>
      <c r="N6043" s="201"/>
    </row>
    <row r="6044" spans="2:14" hidden="1" outlineLevel="1" x14ac:dyDescent="0.35">
      <c r="B6044" s="200"/>
      <c r="C6044" s="201"/>
      <c r="D6044" s="201"/>
      <c r="E6044" s="201"/>
      <c r="F6044" s="202"/>
      <c r="G6044" s="549"/>
      <c r="H6044" s="549"/>
      <c r="I6044" s="549"/>
      <c r="J6044" s="549"/>
      <c r="K6044" s="549"/>
      <c r="M6044" s="465"/>
      <c r="N6044" s="201"/>
    </row>
    <row r="6045" spans="2:14" hidden="1" outlineLevel="1" x14ac:dyDescent="0.35">
      <c r="B6045" s="200"/>
      <c r="C6045" s="201"/>
      <c r="D6045" s="201"/>
      <c r="E6045" s="201"/>
      <c r="F6045" s="202"/>
      <c r="G6045" s="549"/>
      <c r="H6045" s="549"/>
      <c r="I6045" s="549"/>
      <c r="J6045" s="549"/>
      <c r="K6045" s="549"/>
      <c r="M6045" s="465"/>
      <c r="N6045" s="201"/>
    </row>
    <row r="6046" spans="2:14" hidden="1" outlineLevel="1" x14ac:dyDescent="0.35">
      <c r="B6046" s="200"/>
      <c r="C6046" s="201"/>
      <c r="D6046" s="201"/>
      <c r="E6046" s="201"/>
      <c r="F6046" s="202"/>
      <c r="G6046" s="549"/>
      <c r="H6046" s="549"/>
      <c r="I6046" s="549"/>
      <c r="J6046" s="549"/>
      <c r="K6046" s="549"/>
      <c r="M6046" s="465"/>
      <c r="N6046" s="201"/>
    </row>
    <row r="6047" spans="2:14" hidden="1" outlineLevel="1" x14ac:dyDescent="0.35">
      <c r="B6047" s="200"/>
      <c r="C6047" s="201"/>
      <c r="D6047" s="201"/>
      <c r="E6047" s="201"/>
      <c r="F6047" s="202"/>
      <c r="G6047" s="549"/>
      <c r="H6047" s="549"/>
      <c r="I6047" s="549"/>
      <c r="J6047" s="549"/>
      <c r="K6047" s="549"/>
      <c r="M6047" s="465"/>
      <c r="N6047" s="201"/>
    </row>
    <row r="6048" spans="2:14" hidden="1" outlineLevel="1" x14ac:dyDescent="0.35">
      <c r="B6048" s="200"/>
      <c r="C6048" s="201"/>
      <c r="D6048" s="201"/>
      <c r="E6048" s="201"/>
      <c r="F6048" s="202"/>
      <c r="G6048" s="549"/>
      <c r="H6048" s="549"/>
      <c r="I6048" s="549"/>
      <c r="J6048" s="549"/>
      <c r="K6048" s="549"/>
      <c r="M6048" s="465"/>
      <c r="N6048" s="201"/>
    </row>
    <row r="6049" spans="2:14" hidden="1" outlineLevel="1" x14ac:dyDescent="0.35">
      <c r="B6049" s="200"/>
      <c r="C6049" s="201"/>
      <c r="D6049" s="201"/>
      <c r="E6049" s="201"/>
      <c r="F6049" s="202"/>
      <c r="G6049" s="549"/>
      <c r="H6049" s="549"/>
      <c r="I6049" s="549"/>
      <c r="J6049" s="549"/>
      <c r="K6049" s="549"/>
      <c r="M6049" s="465"/>
      <c r="N6049" s="201"/>
    </row>
    <row r="6050" spans="2:14" hidden="1" outlineLevel="1" x14ac:dyDescent="0.35">
      <c r="B6050" s="200"/>
      <c r="C6050" s="201"/>
      <c r="D6050" s="201"/>
      <c r="E6050" s="201"/>
      <c r="F6050" s="202"/>
      <c r="G6050" s="549"/>
      <c r="H6050" s="549"/>
      <c r="I6050" s="549"/>
      <c r="J6050" s="549"/>
      <c r="K6050" s="549"/>
      <c r="M6050" s="465"/>
      <c r="N6050" s="201"/>
    </row>
    <row r="6051" spans="2:14" hidden="1" outlineLevel="1" x14ac:dyDescent="0.35">
      <c r="B6051" s="200"/>
      <c r="C6051" s="201"/>
      <c r="D6051" s="201"/>
      <c r="E6051" s="201"/>
      <c r="F6051" s="202"/>
      <c r="G6051" s="549"/>
      <c r="H6051" s="549"/>
      <c r="I6051" s="549"/>
      <c r="J6051" s="549"/>
      <c r="K6051" s="549"/>
      <c r="M6051" s="465"/>
      <c r="N6051" s="201"/>
    </row>
    <row r="6052" spans="2:14" hidden="1" outlineLevel="1" x14ac:dyDescent="0.35">
      <c r="B6052" s="200"/>
      <c r="C6052" s="201"/>
      <c r="D6052" s="201"/>
      <c r="E6052" s="201"/>
      <c r="F6052" s="202"/>
      <c r="G6052" s="549"/>
      <c r="H6052" s="549"/>
      <c r="I6052" s="549"/>
      <c r="J6052" s="549"/>
      <c r="K6052" s="549"/>
      <c r="M6052" s="465"/>
      <c r="N6052" s="201"/>
    </row>
    <row r="6053" spans="2:14" hidden="1" outlineLevel="1" x14ac:dyDescent="0.35">
      <c r="B6053" s="200"/>
      <c r="C6053" s="201"/>
      <c r="D6053" s="201"/>
      <c r="E6053" s="201"/>
      <c r="F6053" s="202"/>
      <c r="G6053" s="549"/>
      <c r="H6053" s="549"/>
      <c r="I6053" s="549"/>
      <c r="J6053" s="549"/>
      <c r="K6053" s="549"/>
      <c r="M6053" s="465"/>
      <c r="N6053" s="201"/>
    </row>
    <row r="6054" spans="2:14" hidden="1" outlineLevel="1" x14ac:dyDescent="0.35">
      <c r="B6054" s="200"/>
      <c r="C6054" s="201"/>
      <c r="D6054" s="201"/>
      <c r="E6054" s="201"/>
      <c r="F6054" s="202"/>
      <c r="G6054" s="549"/>
      <c r="H6054" s="549"/>
      <c r="I6054" s="549"/>
      <c r="J6054" s="549"/>
      <c r="K6054" s="549"/>
      <c r="M6054" s="465"/>
      <c r="N6054" s="201"/>
    </row>
    <row r="6055" spans="2:14" hidden="1" outlineLevel="1" x14ac:dyDescent="0.35">
      <c r="B6055" s="200"/>
      <c r="C6055" s="201"/>
      <c r="D6055" s="201"/>
      <c r="E6055" s="201"/>
      <c r="F6055" s="202"/>
      <c r="G6055" s="549"/>
      <c r="H6055" s="549"/>
      <c r="I6055" s="549"/>
      <c r="J6055" s="549"/>
      <c r="K6055" s="549"/>
      <c r="M6055" s="465"/>
      <c r="N6055" s="201"/>
    </row>
    <row r="6056" spans="2:14" hidden="1" outlineLevel="1" x14ac:dyDescent="0.35">
      <c r="B6056" s="200"/>
      <c r="C6056" s="201"/>
      <c r="D6056" s="201"/>
      <c r="E6056" s="201"/>
      <c r="F6056" s="202"/>
      <c r="G6056" s="549"/>
      <c r="H6056" s="549"/>
      <c r="I6056" s="549"/>
      <c r="J6056" s="549"/>
      <c r="K6056" s="549"/>
      <c r="M6056" s="465"/>
      <c r="N6056" s="201"/>
    </row>
    <row r="6057" spans="2:14" hidden="1" outlineLevel="1" x14ac:dyDescent="0.35">
      <c r="B6057" s="200"/>
      <c r="C6057" s="201"/>
      <c r="D6057" s="201"/>
      <c r="E6057" s="201"/>
      <c r="F6057" s="202"/>
      <c r="G6057" s="549"/>
      <c r="H6057" s="549"/>
      <c r="I6057" s="549"/>
      <c r="J6057" s="549"/>
      <c r="K6057" s="549"/>
      <c r="M6057" s="465"/>
      <c r="N6057" s="201"/>
    </row>
    <row r="6058" spans="2:14" hidden="1" outlineLevel="1" x14ac:dyDescent="0.35">
      <c r="B6058" s="200"/>
      <c r="C6058" s="201"/>
      <c r="D6058" s="201"/>
      <c r="E6058" s="201"/>
      <c r="F6058" s="202"/>
      <c r="G6058" s="549"/>
      <c r="H6058" s="549"/>
      <c r="I6058" s="549"/>
      <c r="J6058" s="549"/>
      <c r="K6058" s="549"/>
      <c r="M6058" s="465"/>
      <c r="N6058" s="201"/>
    </row>
    <row r="6059" spans="2:14" hidden="1" outlineLevel="1" x14ac:dyDescent="0.35">
      <c r="B6059" s="200"/>
      <c r="C6059" s="201"/>
      <c r="D6059" s="201"/>
      <c r="E6059" s="201"/>
      <c r="F6059" s="202"/>
      <c r="G6059" s="549"/>
      <c r="H6059" s="549"/>
      <c r="I6059" s="549"/>
      <c r="J6059" s="549"/>
      <c r="K6059" s="549"/>
      <c r="M6059" s="465"/>
      <c r="N6059" s="201"/>
    </row>
    <row r="6060" spans="2:14" hidden="1" outlineLevel="1" x14ac:dyDescent="0.35">
      <c r="B6060" s="200"/>
      <c r="C6060" s="201"/>
      <c r="D6060" s="201"/>
      <c r="E6060" s="201"/>
      <c r="F6060" s="202"/>
      <c r="G6060" s="549"/>
      <c r="H6060" s="549"/>
      <c r="I6060" s="549"/>
      <c r="J6060" s="549"/>
      <c r="K6060" s="549"/>
      <c r="M6060" s="465"/>
      <c r="N6060" s="201"/>
    </row>
    <row r="6061" spans="2:14" hidden="1" outlineLevel="1" x14ac:dyDescent="0.35">
      <c r="B6061" s="200"/>
      <c r="C6061" s="201"/>
      <c r="D6061" s="201"/>
      <c r="E6061" s="201"/>
      <c r="F6061" s="202"/>
      <c r="G6061" s="549"/>
      <c r="H6061" s="549"/>
      <c r="I6061" s="549"/>
      <c r="J6061" s="549"/>
      <c r="K6061" s="549"/>
      <c r="M6061" s="465"/>
      <c r="N6061" s="201"/>
    </row>
    <row r="6062" spans="2:14" hidden="1" outlineLevel="1" x14ac:dyDescent="0.35">
      <c r="B6062" s="200"/>
      <c r="C6062" s="201"/>
      <c r="D6062" s="201"/>
      <c r="E6062" s="201"/>
      <c r="F6062" s="202"/>
      <c r="G6062" s="549"/>
      <c r="H6062" s="549"/>
      <c r="I6062" s="549"/>
      <c r="J6062" s="549"/>
      <c r="K6062" s="549"/>
      <c r="M6062" s="465"/>
      <c r="N6062" s="201"/>
    </row>
    <row r="6063" spans="2:14" hidden="1" outlineLevel="1" x14ac:dyDescent="0.35">
      <c r="B6063" s="200"/>
      <c r="C6063" s="201"/>
      <c r="D6063" s="201"/>
      <c r="E6063" s="201"/>
      <c r="F6063" s="202"/>
      <c r="G6063" s="549"/>
      <c r="H6063" s="549"/>
      <c r="I6063" s="549"/>
      <c r="J6063" s="549"/>
      <c r="K6063" s="549"/>
      <c r="M6063" s="465"/>
      <c r="N6063" s="201"/>
    </row>
    <row r="6064" spans="2:14" hidden="1" outlineLevel="1" x14ac:dyDescent="0.35">
      <c r="B6064" s="200"/>
      <c r="C6064" s="201"/>
      <c r="D6064" s="201"/>
      <c r="E6064" s="201"/>
      <c r="F6064" s="202"/>
      <c r="G6064" s="549"/>
      <c r="H6064" s="549"/>
      <c r="I6064" s="549"/>
      <c r="J6064" s="549"/>
      <c r="K6064" s="549"/>
      <c r="M6064" s="465"/>
      <c r="N6064" s="201"/>
    </row>
    <row r="6065" spans="2:14" hidden="1" outlineLevel="1" x14ac:dyDescent="0.35">
      <c r="B6065" s="200"/>
      <c r="C6065" s="201"/>
      <c r="D6065" s="201"/>
      <c r="E6065" s="201"/>
      <c r="F6065" s="202"/>
      <c r="G6065" s="549"/>
      <c r="H6065" s="549"/>
      <c r="I6065" s="549"/>
      <c r="J6065" s="549"/>
      <c r="K6065" s="549"/>
      <c r="M6065" s="465"/>
      <c r="N6065" s="201"/>
    </row>
    <row r="6066" spans="2:14" hidden="1" outlineLevel="1" x14ac:dyDescent="0.35">
      <c r="B6066" s="200"/>
      <c r="C6066" s="201"/>
      <c r="D6066" s="201"/>
      <c r="E6066" s="201"/>
      <c r="F6066" s="202"/>
      <c r="G6066" s="549"/>
      <c r="H6066" s="549"/>
      <c r="I6066" s="549"/>
      <c r="J6066" s="549"/>
      <c r="K6066" s="549"/>
      <c r="M6066" s="465"/>
      <c r="N6066" s="201"/>
    </row>
    <row r="6067" spans="2:14" hidden="1" outlineLevel="1" x14ac:dyDescent="0.35">
      <c r="B6067" s="200"/>
      <c r="C6067" s="201"/>
      <c r="D6067" s="201"/>
      <c r="E6067" s="201"/>
      <c r="F6067" s="202"/>
      <c r="G6067" s="549"/>
      <c r="H6067" s="549"/>
      <c r="I6067" s="549"/>
      <c r="J6067" s="549"/>
      <c r="K6067" s="549"/>
      <c r="M6067" s="465"/>
      <c r="N6067" s="201"/>
    </row>
    <row r="6068" spans="2:14" hidden="1" outlineLevel="1" x14ac:dyDescent="0.35">
      <c r="B6068" s="200"/>
      <c r="C6068" s="201"/>
      <c r="D6068" s="201"/>
      <c r="E6068" s="201"/>
      <c r="F6068" s="202"/>
      <c r="G6068" s="549"/>
      <c r="H6068" s="549"/>
      <c r="I6068" s="549"/>
      <c r="J6068" s="549"/>
      <c r="K6068" s="549"/>
      <c r="M6068" s="465"/>
      <c r="N6068" s="201"/>
    </row>
    <row r="6069" spans="2:14" hidden="1" outlineLevel="1" x14ac:dyDescent="0.35">
      <c r="B6069" s="200"/>
      <c r="C6069" s="201"/>
      <c r="D6069" s="201"/>
      <c r="E6069" s="201"/>
      <c r="F6069" s="202"/>
      <c r="G6069" s="549"/>
      <c r="H6069" s="549"/>
      <c r="I6069" s="549"/>
      <c r="J6069" s="549"/>
      <c r="K6069" s="549"/>
      <c r="M6069" s="465"/>
      <c r="N6069" s="201"/>
    </row>
    <row r="6070" spans="2:14" hidden="1" outlineLevel="1" x14ac:dyDescent="0.35">
      <c r="B6070" s="200"/>
      <c r="C6070" s="201"/>
      <c r="D6070" s="201"/>
      <c r="E6070" s="201"/>
      <c r="F6070" s="202"/>
      <c r="G6070" s="549"/>
      <c r="H6070" s="549"/>
      <c r="I6070" s="549"/>
      <c r="J6070" s="549"/>
      <c r="K6070" s="549"/>
      <c r="M6070" s="465"/>
      <c r="N6070" s="201"/>
    </row>
    <row r="6071" spans="2:14" hidden="1" outlineLevel="1" x14ac:dyDescent="0.35">
      <c r="B6071" s="200"/>
      <c r="C6071" s="201"/>
      <c r="D6071" s="201"/>
      <c r="E6071" s="201"/>
      <c r="F6071" s="202"/>
      <c r="G6071" s="549"/>
      <c r="H6071" s="549"/>
      <c r="I6071" s="549"/>
      <c r="J6071" s="549"/>
      <c r="K6071" s="549"/>
      <c r="M6071" s="465"/>
      <c r="N6071" s="201"/>
    </row>
    <row r="6072" spans="2:14" hidden="1" outlineLevel="1" x14ac:dyDescent="0.35">
      <c r="B6072" s="200"/>
      <c r="C6072" s="201"/>
      <c r="D6072" s="201"/>
      <c r="E6072" s="201"/>
      <c r="F6072" s="202"/>
      <c r="G6072" s="549"/>
      <c r="H6072" s="549"/>
      <c r="I6072" s="549"/>
      <c r="J6072" s="549"/>
      <c r="K6072" s="549"/>
      <c r="M6072" s="465"/>
      <c r="N6072" s="201"/>
    </row>
    <row r="6073" spans="2:14" hidden="1" outlineLevel="1" x14ac:dyDescent="0.35">
      <c r="B6073" s="200"/>
      <c r="C6073" s="201"/>
      <c r="D6073" s="201"/>
      <c r="E6073" s="201"/>
      <c r="F6073" s="202"/>
      <c r="G6073" s="549"/>
      <c r="H6073" s="549"/>
      <c r="I6073" s="549"/>
      <c r="J6073" s="549"/>
      <c r="K6073" s="549"/>
      <c r="M6073" s="465"/>
      <c r="N6073" s="201"/>
    </row>
    <row r="6074" spans="2:14" hidden="1" outlineLevel="1" x14ac:dyDescent="0.35">
      <c r="B6074" s="200"/>
      <c r="C6074" s="201"/>
      <c r="D6074" s="201"/>
      <c r="E6074" s="201"/>
      <c r="F6074" s="202"/>
      <c r="G6074" s="549"/>
      <c r="H6074" s="549"/>
      <c r="I6074" s="549"/>
      <c r="J6074" s="549"/>
      <c r="K6074" s="549"/>
      <c r="M6074" s="465"/>
      <c r="N6074" s="201"/>
    </row>
    <row r="6075" spans="2:14" hidden="1" outlineLevel="1" x14ac:dyDescent="0.35">
      <c r="B6075" s="200"/>
      <c r="C6075" s="201"/>
      <c r="D6075" s="201"/>
      <c r="E6075" s="201"/>
      <c r="F6075" s="202"/>
      <c r="G6075" s="549"/>
      <c r="H6075" s="549"/>
      <c r="I6075" s="549"/>
      <c r="J6075" s="549"/>
      <c r="K6075" s="549"/>
      <c r="M6075" s="465"/>
      <c r="N6075" s="201"/>
    </row>
    <row r="6076" spans="2:14" hidden="1" outlineLevel="1" x14ac:dyDescent="0.35">
      <c r="B6076" s="200"/>
      <c r="C6076" s="201"/>
      <c r="D6076" s="201"/>
      <c r="E6076" s="201"/>
      <c r="F6076" s="202"/>
      <c r="G6076" s="549"/>
      <c r="H6076" s="549"/>
      <c r="I6076" s="549"/>
      <c r="J6076" s="549"/>
      <c r="K6076" s="549"/>
      <c r="M6076" s="465"/>
      <c r="N6076" s="201"/>
    </row>
    <row r="6077" spans="2:14" hidden="1" outlineLevel="1" x14ac:dyDescent="0.35">
      <c r="B6077" s="200"/>
      <c r="C6077" s="201"/>
      <c r="D6077" s="201"/>
      <c r="E6077" s="201"/>
      <c r="F6077" s="202"/>
      <c r="G6077" s="549"/>
      <c r="H6077" s="549"/>
      <c r="I6077" s="549"/>
      <c r="J6077" s="549"/>
      <c r="K6077" s="549"/>
      <c r="M6077" s="465"/>
      <c r="N6077" s="201"/>
    </row>
    <row r="6078" spans="2:14" hidden="1" outlineLevel="1" x14ac:dyDescent="0.35">
      <c r="B6078" s="200"/>
      <c r="C6078" s="201"/>
      <c r="D6078" s="201"/>
      <c r="E6078" s="201"/>
      <c r="F6078" s="202"/>
      <c r="G6078" s="549"/>
      <c r="H6078" s="549"/>
      <c r="I6078" s="549"/>
      <c r="J6078" s="549"/>
      <c r="K6078" s="549"/>
      <c r="M6078" s="465"/>
      <c r="N6078" s="201"/>
    </row>
    <row r="6079" spans="2:14" hidden="1" outlineLevel="1" x14ac:dyDescent="0.35">
      <c r="B6079" s="200"/>
      <c r="C6079" s="201"/>
      <c r="D6079" s="201"/>
      <c r="E6079" s="201"/>
      <c r="F6079" s="202"/>
      <c r="G6079" s="549"/>
      <c r="H6079" s="549"/>
      <c r="I6079" s="549"/>
      <c r="J6079" s="549"/>
      <c r="K6079" s="549"/>
      <c r="M6079" s="465"/>
      <c r="N6079" s="201"/>
    </row>
    <row r="6080" spans="2:14" hidden="1" outlineLevel="1" x14ac:dyDescent="0.35">
      <c r="B6080" s="200"/>
      <c r="C6080" s="201"/>
      <c r="D6080" s="201"/>
      <c r="E6080" s="201"/>
      <c r="F6080" s="202"/>
      <c r="G6080" s="549"/>
      <c r="H6080" s="549"/>
      <c r="I6080" s="549"/>
      <c r="J6080" s="549"/>
      <c r="K6080" s="549"/>
      <c r="M6080" s="465"/>
      <c r="N6080" s="201"/>
    </row>
    <row r="6081" spans="2:14" hidden="1" outlineLevel="1" x14ac:dyDescent="0.35">
      <c r="B6081" s="200"/>
      <c r="C6081" s="201"/>
      <c r="D6081" s="201"/>
      <c r="E6081" s="201"/>
      <c r="F6081" s="202"/>
      <c r="G6081" s="549"/>
      <c r="H6081" s="549"/>
      <c r="I6081" s="549"/>
      <c r="J6081" s="549"/>
      <c r="K6081" s="549"/>
      <c r="M6081" s="465"/>
      <c r="N6081" s="201"/>
    </row>
    <row r="6082" spans="2:14" hidden="1" outlineLevel="1" x14ac:dyDescent="0.35">
      <c r="B6082" s="200"/>
      <c r="C6082" s="201"/>
      <c r="D6082" s="201"/>
      <c r="E6082" s="201"/>
      <c r="F6082" s="202"/>
      <c r="G6082" s="549"/>
      <c r="H6082" s="549"/>
      <c r="I6082" s="549"/>
      <c r="J6082" s="549"/>
      <c r="K6082" s="549"/>
      <c r="M6082" s="465"/>
      <c r="N6082" s="201"/>
    </row>
    <row r="6083" spans="2:14" hidden="1" outlineLevel="1" x14ac:dyDescent="0.35">
      <c r="B6083" s="200"/>
      <c r="C6083" s="201"/>
      <c r="D6083" s="201"/>
      <c r="E6083" s="201"/>
      <c r="F6083" s="202"/>
      <c r="G6083" s="549"/>
      <c r="H6083" s="549"/>
      <c r="I6083" s="549"/>
      <c r="J6083" s="549"/>
      <c r="K6083" s="549"/>
      <c r="M6083" s="465"/>
      <c r="N6083" s="201"/>
    </row>
    <row r="6084" spans="2:14" hidden="1" outlineLevel="1" x14ac:dyDescent="0.35">
      <c r="B6084" s="200"/>
      <c r="C6084" s="201"/>
      <c r="D6084" s="201"/>
      <c r="E6084" s="201"/>
      <c r="F6084" s="202"/>
      <c r="G6084" s="549"/>
      <c r="H6084" s="549"/>
      <c r="I6084" s="549"/>
      <c r="J6084" s="549"/>
      <c r="K6084" s="549"/>
      <c r="M6084" s="465"/>
      <c r="N6084" s="201"/>
    </row>
    <row r="6085" spans="2:14" hidden="1" outlineLevel="1" x14ac:dyDescent="0.35">
      <c r="B6085" s="200"/>
      <c r="C6085" s="201"/>
      <c r="D6085" s="201"/>
      <c r="E6085" s="201"/>
      <c r="F6085" s="202"/>
      <c r="G6085" s="549"/>
      <c r="H6085" s="549"/>
      <c r="I6085" s="549"/>
      <c r="J6085" s="549"/>
      <c r="K6085" s="549"/>
      <c r="M6085" s="465"/>
      <c r="N6085" s="201"/>
    </row>
    <row r="6086" spans="2:14" hidden="1" outlineLevel="1" x14ac:dyDescent="0.35">
      <c r="B6086" s="200"/>
      <c r="C6086" s="201"/>
      <c r="D6086" s="201"/>
      <c r="E6086" s="201"/>
      <c r="F6086" s="202"/>
      <c r="G6086" s="549"/>
      <c r="H6086" s="549"/>
      <c r="I6086" s="549"/>
      <c r="J6086" s="549"/>
      <c r="K6086" s="549"/>
      <c r="M6086" s="465"/>
      <c r="N6086" s="201"/>
    </row>
    <row r="6087" spans="2:14" hidden="1" outlineLevel="1" x14ac:dyDescent="0.35">
      <c r="B6087" s="200"/>
      <c r="C6087" s="201"/>
      <c r="D6087" s="201"/>
      <c r="E6087" s="201"/>
      <c r="F6087" s="202"/>
      <c r="G6087" s="549"/>
      <c r="H6087" s="549"/>
      <c r="I6087" s="549"/>
      <c r="J6087" s="549"/>
      <c r="K6087" s="549"/>
      <c r="M6087" s="465"/>
      <c r="N6087" s="201"/>
    </row>
    <row r="6088" spans="2:14" hidden="1" outlineLevel="1" x14ac:dyDescent="0.35">
      <c r="B6088" s="200"/>
      <c r="C6088" s="201"/>
      <c r="D6088" s="201"/>
      <c r="E6088" s="201"/>
      <c r="F6088" s="202"/>
      <c r="G6088" s="549"/>
      <c r="H6088" s="549"/>
      <c r="I6088" s="549"/>
      <c r="J6088" s="549"/>
      <c r="K6088" s="549"/>
      <c r="M6088" s="465"/>
      <c r="N6088" s="201"/>
    </row>
    <row r="6089" spans="2:14" hidden="1" outlineLevel="1" x14ac:dyDescent="0.35">
      <c r="B6089" s="200"/>
      <c r="C6089" s="201"/>
      <c r="D6089" s="201"/>
      <c r="E6089" s="201"/>
      <c r="F6089" s="202"/>
      <c r="G6089" s="549"/>
      <c r="H6089" s="549"/>
      <c r="I6089" s="549"/>
      <c r="J6089" s="549"/>
      <c r="K6089" s="549"/>
      <c r="M6089" s="465"/>
      <c r="N6089" s="201"/>
    </row>
    <row r="6090" spans="2:14" hidden="1" outlineLevel="1" x14ac:dyDescent="0.35">
      <c r="B6090" s="200"/>
      <c r="C6090" s="201"/>
      <c r="D6090" s="201"/>
      <c r="E6090" s="201"/>
      <c r="F6090" s="202"/>
      <c r="G6090" s="549"/>
      <c r="H6090" s="549"/>
      <c r="I6090" s="549"/>
      <c r="J6090" s="549"/>
      <c r="K6090" s="549"/>
      <c r="M6090" s="465"/>
      <c r="N6090" s="201"/>
    </row>
    <row r="6091" spans="2:14" hidden="1" outlineLevel="1" x14ac:dyDescent="0.35">
      <c r="B6091" s="200"/>
      <c r="C6091" s="201"/>
      <c r="D6091" s="201"/>
      <c r="E6091" s="201"/>
      <c r="F6091" s="202"/>
      <c r="G6091" s="549"/>
      <c r="H6091" s="549"/>
      <c r="I6091" s="549"/>
      <c r="J6091" s="549"/>
      <c r="K6091" s="549"/>
      <c r="M6091" s="465"/>
      <c r="N6091" s="201"/>
    </row>
    <row r="6092" spans="2:14" hidden="1" outlineLevel="1" x14ac:dyDescent="0.35">
      <c r="B6092" s="200"/>
      <c r="C6092" s="201"/>
      <c r="D6092" s="201"/>
      <c r="E6092" s="201"/>
      <c r="F6092" s="202"/>
      <c r="G6092" s="549"/>
      <c r="H6092" s="549"/>
      <c r="I6092" s="549"/>
      <c r="J6092" s="549"/>
      <c r="K6092" s="549"/>
      <c r="M6092" s="465"/>
      <c r="N6092" s="201"/>
    </row>
    <row r="6093" spans="2:14" hidden="1" outlineLevel="1" x14ac:dyDescent="0.35">
      <c r="B6093" s="200"/>
      <c r="C6093" s="201"/>
      <c r="D6093" s="201"/>
      <c r="E6093" s="201"/>
      <c r="F6093" s="202"/>
      <c r="G6093" s="549"/>
      <c r="H6093" s="549"/>
      <c r="I6093" s="549"/>
      <c r="J6093" s="549"/>
      <c r="K6093" s="549"/>
      <c r="M6093" s="465"/>
      <c r="N6093" s="201"/>
    </row>
    <row r="6094" spans="2:14" hidden="1" outlineLevel="1" x14ac:dyDescent="0.35">
      <c r="B6094" s="200"/>
      <c r="C6094" s="201"/>
      <c r="D6094" s="201"/>
      <c r="E6094" s="201"/>
      <c r="F6094" s="202"/>
      <c r="G6094" s="549"/>
      <c r="H6094" s="549"/>
      <c r="I6094" s="549"/>
      <c r="J6094" s="549"/>
      <c r="K6094" s="549"/>
      <c r="M6094" s="465"/>
      <c r="N6094" s="201"/>
    </row>
    <row r="6095" spans="2:14" hidden="1" outlineLevel="1" x14ac:dyDescent="0.35">
      <c r="B6095" s="200"/>
      <c r="C6095" s="201"/>
      <c r="D6095" s="201"/>
      <c r="E6095" s="201"/>
      <c r="F6095" s="202"/>
      <c r="G6095" s="549"/>
      <c r="H6095" s="549"/>
      <c r="I6095" s="549"/>
      <c r="J6095" s="549"/>
      <c r="K6095" s="549"/>
      <c r="M6095" s="465"/>
      <c r="N6095" s="201"/>
    </row>
    <row r="6096" spans="2:14" hidden="1" outlineLevel="1" x14ac:dyDescent="0.35">
      <c r="B6096" s="200"/>
      <c r="C6096" s="201"/>
      <c r="D6096" s="201"/>
      <c r="E6096" s="201"/>
      <c r="F6096" s="202"/>
      <c r="G6096" s="549"/>
      <c r="H6096" s="549"/>
      <c r="I6096" s="549"/>
      <c r="J6096" s="549"/>
      <c r="K6096" s="549"/>
      <c r="M6096" s="465"/>
      <c r="N6096" s="201"/>
    </row>
    <row r="6097" spans="2:14" hidden="1" outlineLevel="1" x14ac:dyDescent="0.35">
      <c r="B6097" s="200"/>
      <c r="C6097" s="201"/>
      <c r="D6097" s="201"/>
      <c r="E6097" s="201"/>
      <c r="F6097" s="202"/>
      <c r="G6097" s="549"/>
      <c r="H6097" s="549"/>
      <c r="I6097" s="549"/>
      <c r="J6097" s="549"/>
      <c r="K6097" s="549"/>
      <c r="M6097" s="465"/>
      <c r="N6097" s="201"/>
    </row>
    <row r="6098" spans="2:14" hidden="1" outlineLevel="1" x14ac:dyDescent="0.35">
      <c r="B6098" s="200"/>
      <c r="C6098" s="201"/>
      <c r="D6098" s="201"/>
      <c r="E6098" s="201"/>
      <c r="F6098" s="202"/>
      <c r="G6098" s="549"/>
      <c r="H6098" s="549"/>
      <c r="I6098" s="549"/>
      <c r="J6098" s="549"/>
      <c r="K6098" s="549"/>
      <c r="M6098" s="465"/>
      <c r="N6098" s="201"/>
    </row>
    <row r="6099" spans="2:14" hidden="1" outlineLevel="1" x14ac:dyDescent="0.35">
      <c r="B6099" s="200"/>
      <c r="C6099" s="201"/>
      <c r="D6099" s="201"/>
      <c r="E6099" s="201"/>
      <c r="F6099" s="202"/>
      <c r="G6099" s="549"/>
      <c r="H6099" s="549"/>
      <c r="I6099" s="549"/>
      <c r="J6099" s="549"/>
      <c r="K6099" s="549"/>
      <c r="M6099" s="465"/>
      <c r="N6099" s="201"/>
    </row>
    <row r="6100" spans="2:14" hidden="1" outlineLevel="1" x14ac:dyDescent="0.35">
      <c r="B6100" s="200"/>
      <c r="C6100" s="201"/>
      <c r="D6100" s="201"/>
      <c r="E6100" s="201"/>
      <c r="F6100" s="202"/>
      <c r="G6100" s="549"/>
      <c r="H6100" s="549"/>
      <c r="I6100" s="549"/>
      <c r="J6100" s="549"/>
      <c r="K6100" s="549"/>
      <c r="M6100" s="465"/>
      <c r="N6100" s="201"/>
    </row>
    <row r="6101" spans="2:14" hidden="1" outlineLevel="1" x14ac:dyDescent="0.35">
      <c r="B6101" s="200"/>
      <c r="C6101" s="201"/>
      <c r="D6101" s="201"/>
      <c r="E6101" s="201"/>
      <c r="F6101" s="202"/>
      <c r="G6101" s="549"/>
      <c r="H6101" s="549"/>
      <c r="I6101" s="549"/>
      <c r="J6101" s="549"/>
      <c r="K6101" s="549"/>
      <c r="M6101" s="465"/>
      <c r="N6101" s="201"/>
    </row>
    <row r="6102" spans="2:14" hidden="1" outlineLevel="1" x14ac:dyDescent="0.35">
      <c r="B6102" s="200"/>
      <c r="C6102" s="201"/>
      <c r="D6102" s="201"/>
      <c r="E6102" s="201"/>
      <c r="F6102" s="202"/>
      <c r="G6102" s="549"/>
      <c r="H6102" s="549"/>
      <c r="I6102" s="549"/>
      <c r="J6102" s="549"/>
      <c r="K6102" s="549"/>
      <c r="M6102" s="465"/>
      <c r="N6102" s="201"/>
    </row>
    <row r="6103" spans="2:14" hidden="1" outlineLevel="1" x14ac:dyDescent="0.35">
      <c r="B6103" s="200"/>
      <c r="C6103" s="201"/>
      <c r="D6103" s="201"/>
      <c r="E6103" s="201"/>
      <c r="F6103" s="202"/>
      <c r="G6103" s="549"/>
      <c r="H6103" s="549"/>
      <c r="I6103" s="549"/>
      <c r="J6103" s="549"/>
      <c r="K6103" s="549"/>
      <c r="M6103" s="465"/>
      <c r="N6103" s="201"/>
    </row>
    <row r="6104" spans="2:14" hidden="1" outlineLevel="1" x14ac:dyDescent="0.35">
      <c r="B6104" s="200"/>
      <c r="C6104" s="201"/>
      <c r="D6104" s="201"/>
      <c r="E6104" s="201"/>
      <c r="F6104" s="202"/>
      <c r="G6104" s="549"/>
      <c r="H6104" s="549"/>
      <c r="I6104" s="549"/>
      <c r="J6104" s="549"/>
      <c r="K6104" s="549"/>
      <c r="M6104" s="465"/>
      <c r="N6104" s="201"/>
    </row>
    <row r="6105" spans="2:14" hidden="1" outlineLevel="1" x14ac:dyDescent="0.35">
      <c r="B6105" s="200"/>
      <c r="C6105" s="201"/>
      <c r="D6105" s="201"/>
      <c r="E6105" s="201"/>
      <c r="F6105" s="202"/>
      <c r="G6105" s="549"/>
      <c r="H6105" s="549"/>
      <c r="I6105" s="549"/>
      <c r="J6105" s="549"/>
      <c r="K6105" s="549"/>
      <c r="M6105" s="465"/>
      <c r="N6105" s="201"/>
    </row>
    <row r="6106" spans="2:14" hidden="1" outlineLevel="1" x14ac:dyDescent="0.35">
      <c r="B6106" s="200"/>
      <c r="C6106" s="201"/>
      <c r="D6106" s="201"/>
      <c r="E6106" s="201"/>
      <c r="F6106" s="202"/>
      <c r="G6106" s="549"/>
      <c r="H6106" s="549"/>
      <c r="I6106" s="549"/>
      <c r="J6106" s="549"/>
      <c r="K6106" s="549"/>
      <c r="M6106" s="465"/>
      <c r="N6106" s="201"/>
    </row>
    <row r="6107" spans="2:14" hidden="1" outlineLevel="1" x14ac:dyDescent="0.35">
      <c r="B6107" s="200"/>
      <c r="C6107" s="201"/>
      <c r="D6107" s="201"/>
      <c r="E6107" s="201"/>
      <c r="F6107" s="202"/>
      <c r="G6107" s="549"/>
      <c r="H6107" s="549"/>
      <c r="I6107" s="549"/>
      <c r="J6107" s="549"/>
      <c r="K6107" s="549"/>
      <c r="M6107" s="465"/>
      <c r="N6107" s="201"/>
    </row>
    <row r="6108" spans="2:14" hidden="1" outlineLevel="1" x14ac:dyDescent="0.35">
      <c r="B6108" s="200"/>
      <c r="C6108" s="201"/>
      <c r="D6108" s="201"/>
      <c r="E6108" s="201"/>
      <c r="F6108" s="202"/>
      <c r="G6108" s="549"/>
      <c r="H6108" s="549"/>
      <c r="I6108" s="549"/>
      <c r="J6108" s="549"/>
      <c r="K6108" s="549"/>
      <c r="M6108" s="465"/>
      <c r="N6108" s="201"/>
    </row>
    <row r="6109" spans="2:14" hidden="1" outlineLevel="1" x14ac:dyDescent="0.35">
      <c r="B6109" s="200"/>
      <c r="C6109" s="201"/>
      <c r="D6109" s="201"/>
      <c r="E6109" s="201"/>
      <c r="F6109" s="202"/>
      <c r="G6109" s="549"/>
      <c r="H6109" s="549"/>
      <c r="I6109" s="549"/>
      <c r="J6109" s="549"/>
      <c r="K6109" s="549"/>
      <c r="M6109" s="465"/>
      <c r="N6109" s="201"/>
    </row>
    <row r="6110" spans="2:14" hidden="1" outlineLevel="1" x14ac:dyDescent="0.35">
      <c r="B6110" s="200"/>
      <c r="C6110" s="201"/>
      <c r="D6110" s="201"/>
      <c r="E6110" s="201"/>
      <c r="F6110" s="202"/>
      <c r="G6110" s="549"/>
      <c r="H6110" s="549"/>
      <c r="I6110" s="549"/>
      <c r="J6110" s="549"/>
      <c r="K6110" s="549"/>
      <c r="M6110" s="465"/>
      <c r="N6110" s="201"/>
    </row>
    <row r="6111" spans="2:14" hidden="1" outlineLevel="1" x14ac:dyDescent="0.35">
      <c r="B6111" s="200"/>
      <c r="C6111" s="201"/>
      <c r="D6111" s="201"/>
      <c r="E6111" s="201"/>
      <c r="F6111" s="202"/>
      <c r="G6111" s="549"/>
      <c r="H6111" s="549"/>
      <c r="I6111" s="549"/>
      <c r="J6111" s="549"/>
      <c r="K6111" s="549"/>
      <c r="M6111" s="465"/>
      <c r="N6111" s="201"/>
    </row>
    <row r="6112" spans="2:14" hidden="1" outlineLevel="1" x14ac:dyDescent="0.35">
      <c r="B6112" s="200"/>
      <c r="C6112" s="201"/>
      <c r="D6112" s="201"/>
      <c r="E6112" s="201"/>
      <c r="F6112" s="202"/>
      <c r="G6112" s="549"/>
      <c r="H6112" s="549"/>
      <c r="I6112" s="549"/>
      <c r="J6112" s="549"/>
      <c r="K6112" s="549"/>
      <c r="M6112" s="465"/>
      <c r="N6112" s="201"/>
    </row>
    <row r="6113" spans="2:14" hidden="1" outlineLevel="1" x14ac:dyDescent="0.35">
      <c r="B6113" s="200"/>
      <c r="C6113" s="201"/>
      <c r="D6113" s="201"/>
      <c r="E6113" s="201"/>
      <c r="F6113" s="202"/>
      <c r="G6113" s="549"/>
      <c r="H6113" s="549"/>
      <c r="I6113" s="549"/>
      <c r="J6113" s="549"/>
      <c r="K6113" s="549"/>
      <c r="M6113" s="465"/>
      <c r="N6113" s="201"/>
    </row>
    <row r="6114" spans="2:14" hidden="1" outlineLevel="1" x14ac:dyDescent="0.35">
      <c r="B6114" s="200"/>
      <c r="C6114" s="201"/>
      <c r="D6114" s="201"/>
      <c r="E6114" s="201"/>
      <c r="F6114" s="202"/>
      <c r="G6114" s="549"/>
      <c r="H6114" s="549"/>
      <c r="I6114" s="549"/>
      <c r="J6114" s="549"/>
      <c r="K6114" s="549"/>
      <c r="M6114" s="465"/>
      <c r="N6114" s="201"/>
    </row>
    <row r="6115" spans="2:14" hidden="1" outlineLevel="1" x14ac:dyDescent="0.35">
      <c r="B6115" s="200"/>
      <c r="C6115" s="201"/>
      <c r="D6115" s="201"/>
      <c r="E6115" s="201"/>
      <c r="F6115" s="202"/>
      <c r="G6115" s="549"/>
      <c r="H6115" s="549"/>
      <c r="I6115" s="549"/>
      <c r="J6115" s="549"/>
      <c r="K6115" s="549"/>
      <c r="M6115" s="465"/>
      <c r="N6115" s="201"/>
    </row>
    <row r="6116" spans="2:14" hidden="1" outlineLevel="1" x14ac:dyDescent="0.35">
      <c r="B6116" s="200"/>
      <c r="C6116" s="201"/>
      <c r="D6116" s="201"/>
      <c r="E6116" s="201"/>
      <c r="F6116" s="202"/>
      <c r="G6116" s="549"/>
      <c r="H6116" s="549"/>
      <c r="I6116" s="549"/>
      <c r="J6116" s="549"/>
      <c r="K6116" s="549"/>
      <c r="M6116" s="465"/>
      <c r="N6116" s="201"/>
    </row>
    <row r="6117" spans="2:14" hidden="1" outlineLevel="1" x14ac:dyDescent="0.35">
      <c r="B6117" s="200"/>
      <c r="C6117" s="201"/>
      <c r="D6117" s="201"/>
      <c r="E6117" s="201"/>
      <c r="F6117" s="202"/>
      <c r="G6117" s="549"/>
      <c r="H6117" s="549"/>
      <c r="I6117" s="549"/>
      <c r="J6117" s="549"/>
      <c r="K6117" s="549"/>
      <c r="M6117" s="465"/>
      <c r="N6117" s="201"/>
    </row>
    <row r="6118" spans="2:14" hidden="1" outlineLevel="1" x14ac:dyDescent="0.35">
      <c r="B6118" s="200"/>
      <c r="C6118" s="201"/>
      <c r="D6118" s="201"/>
      <c r="E6118" s="201"/>
      <c r="F6118" s="202"/>
      <c r="G6118" s="549"/>
      <c r="H6118" s="549"/>
      <c r="I6118" s="549"/>
      <c r="J6118" s="549"/>
      <c r="K6118" s="549"/>
      <c r="M6118" s="465"/>
      <c r="N6118" s="201"/>
    </row>
    <row r="6119" spans="2:14" hidden="1" outlineLevel="1" x14ac:dyDescent="0.35">
      <c r="B6119" s="200"/>
      <c r="C6119" s="201"/>
      <c r="D6119" s="201"/>
      <c r="E6119" s="201"/>
      <c r="F6119" s="202"/>
      <c r="G6119" s="549"/>
      <c r="H6119" s="549"/>
      <c r="I6119" s="549"/>
      <c r="J6119" s="549"/>
      <c r="K6119" s="549"/>
      <c r="M6119" s="465"/>
      <c r="N6119" s="201"/>
    </row>
    <row r="6120" spans="2:14" hidden="1" outlineLevel="1" x14ac:dyDescent="0.35">
      <c r="B6120" s="200"/>
      <c r="C6120" s="201"/>
      <c r="D6120" s="201"/>
      <c r="E6120" s="201"/>
      <c r="F6120" s="202"/>
      <c r="G6120" s="549"/>
      <c r="H6120" s="549"/>
      <c r="I6120" s="549"/>
      <c r="J6120" s="549"/>
      <c r="K6120" s="549"/>
      <c r="M6120" s="465"/>
      <c r="N6120" s="201"/>
    </row>
    <row r="6121" spans="2:14" hidden="1" outlineLevel="1" x14ac:dyDescent="0.35">
      <c r="B6121" s="200"/>
      <c r="C6121" s="201"/>
      <c r="D6121" s="201"/>
      <c r="E6121" s="201"/>
      <c r="F6121" s="202"/>
      <c r="G6121" s="549"/>
      <c r="H6121" s="549"/>
      <c r="I6121" s="549"/>
      <c r="J6121" s="549"/>
      <c r="K6121" s="549"/>
      <c r="M6121" s="465"/>
      <c r="N6121" s="201"/>
    </row>
    <row r="6122" spans="2:14" hidden="1" outlineLevel="1" x14ac:dyDescent="0.35">
      <c r="B6122" s="200"/>
      <c r="C6122" s="201"/>
      <c r="D6122" s="201"/>
      <c r="E6122" s="201"/>
      <c r="F6122" s="202"/>
      <c r="G6122" s="549"/>
      <c r="H6122" s="549"/>
      <c r="I6122" s="549"/>
      <c r="J6122" s="549"/>
      <c r="K6122" s="549"/>
      <c r="M6122" s="465"/>
      <c r="N6122" s="201"/>
    </row>
    <row r="6123" spans="2:14" hidden="1" outlineLevel="1" x14ac:dyDescent="0.35">
      <c r="B6123" s="200"/>
      <c r="C6123" s="201"/>
      <c r="D6123" s="201"/>
      <c r="E6123" s="201"/>
      <c r="F6123" s="202"/>
      <c r="G6123" s="549"/>
      <c r="H6123" s="549"/>
      <c r="I6123" s="549"/>
      <c r="J6123" s="549"/>
      <c r="K6123" s="549"/>
      <c r="M6123" s="465"/>
      <c r="N6123" s="201"/>
    </row>
    <row r="6124" spans="2:14" hidden="1" outlineLevel="1" x14ac:dyDescent="0.35">
      <c r="B6124" s="200"/>
      <c r="C6124" s="201"/>
      <c r="D6124" s="201"/>
      <c r="E6124" s="201"/>
      <c r="F6124" s="202"/>
      <c r="G6124" s="549"/>
      <c r="H6124" s="549"/>
      <c r="I6124" s="549"/>
      <c r="J6124" s="549"/>
      <c r="K6124" s="549"/>
      <c r="M6124" s="465"/>
      <c r="N6124" s="201"/>
    </row>
    <row r="6125" spans="2:14" hidden="1" outlineLevel="1" x14ac:dyDescent="0.35">
      <c r="B6125" s="200"/>
      <c r="C6125" s="201"/>
      <c r="D6125" s="201"/>
      <c r="E6125" s="201"/>
      <c r="F6125" s="202"/>
      <c r="G6125" s="549"/>
      <c r="H6125" s="549"/>
      <c r="I6125" s="549"/>
      <c r="J6125" s="549"/>
      <c r="K6125" s="549"/>
      <c r="M6125" s="465"/>
      <c r="N6125" s="201"/>
    </row>
    <row r="6126" spans="2:14" hidden="1" outlineLevel="1" x14ac:dyDescent="0.35">
      <c r="B6126" s="200"/>
      <c r="C6126" s="201"/>
      <c r="D6126" s="201"/>
      <c r="E6126" s="201"/>
      <c r="F6126" s="202"/>
      <c r="G6126" s="549"/>
      <c r="H6126" s="549"/>
      <c r="I6126" s="549"/>
      <c r="J6126" s="549"/>
      <c r="K6126" s="549"/>
      <c r="M6126" s="465"/>
      <c r="N6126" s="201"/>
    </row>
    <row r="6127" spans="2:14" hidden="1" outlineLevel="1" x14ac:dyDescent="0.35">
      <c r="B6127" s="200"/>
      <c r="C6127" s="201"/>
      <c r="D6127" s="201"/>
      <c r="E6127" s="201"/>
      <c r="F6127" s="202"/>
      <c r="G6127" s="549"/>
      <c r="H6127" s="549"/>
      <c r="I6127" s="549"/>
      <c r="J6127" s="549"/>
      <c r="K6127" s="549"/>
      <c r="M6127" s="465"/>
      <c r="N6127" s="201"/>
    </row>
    <row r="6128" spans="2:14" hidden="1" outlineLevel="1" x14ac:dyDescent="0.35">
      <c r="B6128" s="200"/>
      <c r="C6128" s="201"/>
      <c r="D6128" s="201"/>
      <c r="E6128" s="201"/>
      <c r="F6128" s="202"/>
      <c r="G6128" s="549"/>
      <c r="H6128" s="549"/>
      <c r="I6128" s="549"/>
      <c r="J6128" s="549"/>
      <c r="K6128" s="549"/>
      <c r="M6128" s="465"/>
      <c r="N6128" s="201"/>
    </row>
    <row r="6129" spans="2:14" hidden="1" outlineLevel="1" x14ac:dyDescent="0.35">
      <c r="B6129" s="200"/>
      <c r="C6129" s="201"/>
      <c r="D6129" s="201"/>
      <c r="E6129" s="201"/>
      <c r="F6129" s="202"/>
      <c r="G6129" s="549"/>
      <c r="H6129" s="549"/>
      <c r="I6129" s="549"/>
      <c r="J6129" s="549"/>
      <c r="K6129" s="549"/>
      <c r="M6129" s="465"/>
      <c r="N6129" s="201"/>
    </row>
    <row r="6130" spans="2:14" hidden="1" outlineLevel="1" x14ac:dyDescent="0.35">
      <c r="B6130" s="200"/>
      <c r="C6130" s="201"/>
      <c r="D6130" s="201"/>
      <c r="E6130" s="201"/>
      <c r="F6130" s="202"/>
      <c r="G6130" s="549"/>
      <c r="H6130" s="549"/>
      <c r="I6130" s="549"/>
      <c r="J6130" s="549"/>
      <c r="K6130" s="549"/>
      <c r="M6130" s="465"/>
      <c r="N6130" s="201"/>
    </row>
    <row r="6131" spans="2:14" hidden="1" outlineLevel="1" x14ac:dyDescent="0.35">
      <c r="B6131" s="200"/>
      <c r="C6131" s="201"/>
      <c r="D6131" s="201"/>
      <c r="E6131" s="201"/>
      <c r="F6131" s="202"/>
      <c r="G6131" s="549"/>
      <c r="H6131" s="549"/>
      <c r="I6131" s="549"/>
      <c r="J6131" s="549"/>
      <c r="K6131" s="549"/>
      <c r="M6131" s="465"/>
      <c r="N6131" s="201"/>
    </row>
    <row r="6132" spans="2:14" hidden="1" outlineLevel="1" x14ac:dyDescent="0.35">
      <c r="B6132" s="200"/>
      <c r="C6132" s="201"/>
      <c r="D6132" s="201"/>
      <c r="E6132" s="201"/>
      <c r="F6132" s="202"/>
      <c r="G6132" s="549"/>
      <c r="H6132" s="549"/>
      <c r="I6132" s="549"/>
      <c r="J6132" s="549"/>
      <c r="K6132" s="549"/>
      <c r="M6132" s="465"/>
      <c r="N6132" s="201"/>
    </row>
    <row r="6133" spans="2:14" hidden="1" outlineLevel="1" x14ac:dyDescent="0.35">
      <c r="B6133" s="200"/>
      <c r="C6133" s="201"/>
      <c r="D6133" s="201"/>
      <c r="E6133" s="201"/>
      <c r="F6133" s="202"/>
      <c r="G6133" s="549"/>
      <c r="H6133" s="549"/>
      <c r="I6133" s="549"/>
      <c r="J6133" s="549"/>
      <c r="K6133" s="549"/>
      <c r="M6133" s="465"/>
      <c r="N6133" s="201"/>
    </row>
    <row r="6134" spans="2:14" hidden="1" outlineLevel="1" x14ac:dyDescent="0.35">
      <c r="B6134" s="200"/>
      <c r="C6134" s="201"/>
      <c r="D6134" s="201"/>
      <c r="E6134" s="201"/>
      <c r="F6134" s="202"/>
      <c r="G6134" s="549"/>
      <c r="H6134" s="549"/>
      <c r="I6134" s="549"/>
      <c r="J6134" s="549"/>
      <c r="K6134" s="549"/>
      <c r="M6134" s="465"/>
      <c r="N6134" s="201"/>
    </row>
    <row r="6135" spans="2:14" hidden="1" outlineLevel="1" x14ac:dyDescent="0.35">
      <c r="B6135" s="200"/>
      <c r="C6135" s="201"/>
      <c r="D6135" s="201"/>
      <c r="E6135" s="201"/>
      <c r="F6135" s="202"/>
      <c r="G6135" s="549"/>
      <c r="H6135" s="549"/>
      <c r="I6135" s="549"/>
      <c r="J6135" s="549"/>
      <c r="K6135" s="549"/>
      <c r="M6135" s="465"/>
      <c r="N6135" s="201"/>
    </row>
    <row r="6136" spans="2:14" hidden="1" outlineLevel="1" x14ac:dyDescent="0.35">
      <c r="B6136" s="200"/>
      <c r="C6136" s="201"/>
      <c r="D6136" s="201"/>
      <c r="E6136" s="201"/>
      <c r="F6136" s="202"/>
      <c r="G6136" s="549"/>
      <c r="H6136" s="549"/>
      <c r="I6136" s="549"/>
      <c r="J6136" s="549"/>
      <c r="K6136" s="549"/>
      <c r="M6136" s="465"/>
      <c r="N6136" s="201"/>
    </row>
    <row r="6137" spans="2:14" hidden="1" outlineLevel="1" x14ac:dyDescent="0.35">
      <c r="B6137" s="200"/>
      <c r="C6137" s="201"/>
      <c r="D6137" s="201"/>
      <c r="E6137" s="201"/>
      <c r="F6137" s="202"/>
      <c r="G6137" s="549"/>
      <c r="H6137" s="549"/>
      <c r="I6137" s="549"/>
      <c r="J6137" s="549"/>
      <c r="K6137" s="549"/>
      <c r="M6137" s="465"/>
      <c r="N6137" s="201"/>
    </row>
    <row r="6138" spans="2:14" hidden="1" outlineLevel="1" x14ac:dyDescent="0.35">
      <c r="B6138" s="200"/>
      <c r="C6138" s="201"/>
      <c r="D6138" s="201"/>
      <c r="E6138" s="201"/>
      <c r="F6138" s="202"/>
      <c r="G6138" s="549"/>
      <c r="H6138" s="549"/>
      <c r="I6138" s="549"/>
      <c r="J6138" s="549"/>
      <c r="K6138" s="549"/>
      <c r="M6138" s="465"/>
      <c r="N6138" s="201"/>
    </row>
    <row r="6139" spans="2:14" hidden="1" outlineLevel="1" x14ac:dyDescent="0.35">
      <c r="B6139" s="200"/>
      <c r="C6139" s="201"/>
      <c r="D6139" s="201"/>
      <c r="E6139" s="201"/>
      <c r="F6139" s="202"/>
      <c r="G6139" s="549"/>
      <c r="H6139" s="549"/>
      <c r="I6139" s="549"/>
      <c r="J6139" s="549"/>
      <c r="K6139" s="549"/>
      <c r="M6139" s="465"/>
      <c r="N6139" s="201"/>
    </row>
    <row r="6140" spans="2:14" hidden="1" outlineLevel="1" x14ac:dyDescent="0.35">
      <c r="B6140" s="200"/>
      <c r="C6140" s="201"/>
      <c r="D6140" s="201"/>
      <c r="E6140" s="201"/>
      <c r="F6140" s="202"/>
      <c r="G6140" s="549"/>
      <c r="H6140" s="549"/>
      <c r="I6140" s="549"/>
      <c r="J6140" s="549"/>
      <c r="K6140" s="549"/>
      <c r="M6140" s="465"/>
      <c r="N6140" s="201"/>
    </row>
    <row r="6141" spans="2:14" hidden="1" outlineLevel="1" x14ac:dyDescent="0.35">
      <c r="B6141" s="200"/>
      <c r="C6141" s="201"/>
      <c r="D6141" s="201"/>
      <c r="E6141" s="201"/>
      <c r="F6141" s="202"/>
      <c r="G6141" s="549"/>
      <c r="H6141" s="549"/>
      <c r="I6141" s="549"/>
      <c r="J6141" s="549"/>
      <c r="K6141" s="549"/>
      <c r="M6141" s="465"/>
      <c r="N6141" s="201"/>
    </row>
    <row r="6142" spans="2:14" hidden="1" outlineLevel="1" x14ac:dyDescent="0.35">
      <c r="B6142" s="200"/>
      <c r="C6142" s="201"/>
      <c r="D6142" s="201"/>
      <c r="E6142" s="201"/>
      <c r="F6142" s="202"/>
      <c r="G6142" s="549"/>
      <c r="H6142" s="549"/>
      <c r="I6142" s="549"/>
      <c r="J6142" s="549"/>
      <c r="K6142" s="549"/>
      <c r="M6142" s="465"/>
      <c r="N6142" s="201"/>
    </row>
    <row r="6143" spans="2:14" hidden="1" outlineLevel="1" x14ac:dyDescent="0.35">
      <c r="B6143" s="200"/>
      <c r="C6143" s="201"/>
      <c r="D6143" s="201"/>
      <c r="E6143" s="201"/>
      <c r="F6143" s="202"/>
      <c r="G6143" s="549"/>
      <c r="H6143" s="549"/>
      <c r="I6143" s="549"/>
      <c r="J6143" s="549"/>
      <c r="K6143" s="549"/>
      <c r="M6143" s="465"/>
      <c r="N6143" s="201"/>
    </row>
    <row r="6144" spans="2:14" hidden="1" outlineLevel="1" x14ac:dyDescent="0.35">
      <c r="B6144" s="200"/>
      <c r="C6144" s="201"/>
      <c r="D6144" s="201"/>
      <c r="E6144" s="201"/>
      <c r="F6144" s="202"/>
      <c r="G6144" s="549"/>
      <c r="H6144" s="549"/>
      <c r="I6144" s="549"/>
      <c r="J6144" s="549"/>
      <c r="K6144" s="549"/>
      <c r="M6144" s="465"/>
      <c r="N6144" s="201"/>
    </row>
    <row r="6145" spans="2:14" hidden="1" outlineLevel="1" x14ac:dyDescent="0.35">
      <c r="B6145" s="200"/>
      <c r="C6145" s="201"/>
      <c r="D6145" s="201"/>
      <c r="E6145" s="201"/>
      <c r="F6145" s="202"/>
      <c r="G6145" s="549"/>
      <c r="H6145" s="549"/>
      <c r="I6145" s="549"/>
      <c r="J6145" s="549"/>
      <c r="K6145" s="549"/>
      <c r="M6145" s="465"/>
      <c r="N6145" s="201"/>
    </row>
    <row r="6146" spans="2:14" hidden="1" outlineLevel="1" x14ac:dyDescent="0.35">
      <c r="B6146" s="200"/>
      <c r="C6146" s="201"/>
      <c r="D6146" s="201"/>
      <c r="E6146" s="201"/>
      <c r="F6146" s="202"/>
      <c r="G6146" s="549"/>
      <c r="H6146" s="549"/>
      <c r="I6146" s="549"/>
      <c r="J6146" s="549"/>
      <c r="K6146" s="549"/>
      <c r="M6146" s="465"/>
      <c r="N6146" s="201"/>
    </row>
    <row r="6147" spans="2:14" hidden="1" outlineLevel="1" x14ac:dyDescent="0.35">
      <c r="B6147" s="200"/>
      <c r="C6147" s="201"/>
      <c r="D6147" s="201"/>
      <c r="E6147" s="201"/>
      <c r="F6147" s="202"/>
      <c r="G6147" s="549"/>
      <c r="H6147" s="549"/>
      <c r="I6147" s="549"/>
      <c r="J6147" s="549"/>
      <c r="K6147" s="549"/>
      <c r="M6147" s="465"/>
      <c r="N6147" s="201"/>
    </row>
    <row r="6148" spans="2:14" hidden="1" outlineLevel="1" x14ac:dyDescent="0.35">
      <c r="B6148" s="200"/>
      <c r="C6148" s="201"/>
      <c r="D6148" s="201"/>
      <c r="E6148" s="201"/>
      <c r="F6148" s="202"/>
      <c r="G6148" s="549"/>
      <c r="H6148" s="549"/>
      <c r="I6148" s="549"/>
      <c r="J6148" s="549"/>
      <c r="K6148" s="549"/>
      <c r="M6148" s="465"/>
      <c r="N6148" s="201"/>
    </row>
    <row r="6149" spans="2:14" hidden="1" outlineLevel="1" x14ac:dyDescent="0.35">
      <c r="B6149" s="200"/>
      <c r="C6149" s="201"/>
      <c r="D6149" s="201"/>
      <c r="E6149" s="201"/>
      <c r="F6149" s="202"/>
      <c r="G6149" s="549"/>
      <c r="H6149" s="549"/>
      <c r="I6149" s="549"/>
      <c r="J6149" s="549"/>
      <c r="K6149" s="549"/>
      <c r="M6149" s="465"/>
      <c r="N6149" s="201"/>
    </row>
    <row r="6150" spans="2:14" hidden="1" outlineLevel="1" x14ac:dyDescent="0.35">
      <c r="B6150" s="200"/>
      <c r="C6150" s="201"/>
      <c r="D6150" s="201"/>
      <c r="E6150" s="201"/>
      <c r="F6150" s="202"/>
      <c r="G6150" s="549"/>
      <c r="H6150" s="549"/>
      <c r="I6150" s="549"/>
      <c r="J6150" s="549"/>
      <c r="K6150" s="549"/>
      <c r="M6150" s="465"/>
      <c r="N6150" s="201"/>
    </row>
    <row r="6151" spans="2:14" hidden="1" outlineLevel="1" x14ac:dyDescent="0.35">
      <c r="B6151" s="200"/>
      <c r="C6151" s="201"/>
      <c r="D6151" s="201"/>
      <c r="E6151" s="201"/>
      <c r="F6151" s="202"/>
      <c r="G6151" s="549"/>
      <c r="H6151" s="549"/>
      <c r="I6151" s="549"/>
      <c r="J6151" s="549"/>
      <c r="K6151" s="549"/>
      <c r="M6151" s="465"/>
      <c r="N6151" s="201"/>
    </row>
    <row r="6152" spans="2:14" hidden="1" outlineLevel="1" x14ac:dyDescent="0.35">
      <c r="B6152" s="200"/>
      <c r="C6152" s="201"/>
      <c r="D6152" s="201"/>
      <c r="E6152" s="201"/>
      <c r="F6152" s="202"/>
      <c r="G6152" s="549"/>
      <c r="H6152" s="549"/>
      <c r="I6152" s="549"/>
      <c r="J6152" s="549"/>
      <c r="K6152" s="549"/>
      <c r="M6152" s="465"/>
      <c r="N6152" s="201"/>
    </row>
    <row r="6153" spans="2:14" hidden="1" outlineLevel="1" x14ac:dyDescent="0.35">
      <c r="B6153" s="200"/>
      <c r="C6153" s="201"/>
      <c r="D6153" s="201"/>
      <c r="E6153" s="201"/>
      <c r="F6153" s="202"/>
      <c r="G6153" s="549"/>
      <c r="H6153" s="549"/>
      <c r="I6153" s="549"/>
      <c r="J6153" s="549"/>
      <c r="K6153" s="549"/>
      <c r="M6153" s="465"/>
      <c r="N6153" s="201"/>
    </row>
    <row r="6154" spans="2:14" hidden="1" outlineLevel="1" x14ac:dyDescent="0.35">
      <c r="B6154" s="200"/>
      <c r="C6154" s="201"/>
      <c r="D6154" s="201"/>
      <c r="E6154" s="201"/>
      <c r="F6154" s="202"/>
      <c r="G6154" s="549"/>
      <c r="H6154" s="549"/>
      <c r="I6154" s="549"/>
      <c r="J6154" s="549"/>
      <c r="K6154" s="549"/>
      <c r="M6154" s="465"/>
      <c r="N6154" s="201"/>
    </row>
    <row r="6155" spans="2:14" hidden="1" outlineLevel="1" x14ac:dyDescent="0.35">
      <c r="B6155" s="200"/>
      <c r="C6155" s="201"/>
      <c r="D6155" s="201"/>
      <c r="E6155" s="201"/>
      <c r="F6155" s="202"/>
      <c r="G6155" s="549"/>
      <c r="H6155" s="549"/>
      <c r="I6155" s="549"/>
      <c r="J6155" s="549"/>
      <c r="K6155" s="549"/>
      <c r="M6155" s="465"/>
      <c r="N6155" s="201"/>
    </row>
    <row r="6156" spans="2:14" hidden="1" outlineLevel="1" x14ac:dyDescent="0.35">
      <c r="B6156" s="200"/>
      <c r="C6156" s="201"/>
      <c r="D6156" s="201"/>
      <c r="E6156" s="201"/>
      <c r="F6156" s="202"/>
      <c r="G6156" s="549"/>
      <c r="H6156" s="549"/>
      <c r="I6156" s="549"/>
      <c r="J6156" s="549"/>
      <c r="K6156" s="549"/>
      <c r="M6156" s="465"/>
      <c r="N6156" s="201"/>
    </row>
    <row r="6157" spans="2:14" hidden="1" outlineLevel="1" x14ac:dyDescent="0.35">
      <c r="B6157" s="200"/>
      <c r="C6157" s="201"/>
      <c r="D6157" s="201"/>
      <c r="E6157" s="201"/>
      <c r="F6157" s="202"/>
      <c r="G6157" s="549"/>
      <c r="H6157" s="549"/>
      <c r="I6157" s="549"/>
      <c r="J6157" s="549"/>
      <c r="K6157" s="549"/>
      <c r="M6157" s="465"/>
      <c r="N6157" s="201"/>
    </row>
    <row r="6158" spans="2:14" hidden="1" outlineLevel="1" x14ac:dyDescent="0.35">
      <c r="B6158" s="200"/>
      <c r="C6158" s="201"/>
      <c r="D6158" s="201"/>
      <c r="E6158" s="201"/>
      <c r="F6158" s="202"/>
      <c r="G6158" s="549"/>
      <c r="H6158" s="549"/>
      <c r="I6158" s="549"/>
      <c r="J6158" s="549"/>
      <c r="K6158" s="549"/>
      <c r="M6158" s="465"/>
      <c r="N6158" s="201"/>
    </row>
    <row r="6159" spans="2:14" hidden="1" outlineLevel="1" x14ac:dyDescent="0.35">
      <c r="B6159" s="200"/>
      <c r="C6159" s="201"/>
      <c r="D6159" s="201"/>
      <c r="E6159" s="201"/>
      <c r="F6159" s="202"/>
      <c r="G6159" s="549"/>
      <c r="H6159" s="549"/>
      <c r="I6159" s="549"/>
      <c r="J6159" s="549"/>
      <c r="K6159" s="549"/>
      <c r="M6159" s="465"/>
      <c r="N6159" s="201"/>
    </row>
    <row r="6160" spans="2:14" hidden="1" outlineLevel="1" x14ac:dyDescent="0.35">
      <c r="B6160" s="200"/>
      <c r="C6160" s="201"/>
      <c r="D6160" s="201"/>
      <c r="E6160" s="201"/>
      <c r="F6160" s="202"/>
      <c r="G6160" s="549"/>
      <c r="H6160" s="549"/>
      <c r="I6160" s="549"/>
      <c r="J6160" s="549"/>
      <c r="K6160" s="549"/>
      <c r="M6160" s="465"/>
      <c r="N6160" s="201"/>
    </row>
    <row r="6161" spans="2:14" hidden="1" outlineLevel="1" x14ac:dyDescent="0.35">
      <c r="B6161" s="200"/>
      <c r="C6161" s="201"/>
      <c r="D6161" s="201"/>
      <c r="E6161" s="201"/>
      <c r="F6161" s="202"/>
      <c r="G6161" s="549"/>
      <c r="H6161" s="549"/>
      <c r="I6161" s="549"/>
      <c r="J6161" s="549"/>
      <c r="K6161" s="549"/>
      <c r="M6161" s="465"/>
      <c r="N6161" s="201"/>
    </row>
    <row r="6162" spans="2:14" hidden="1" outlineLevel="1" x14ac:dyDescent="0.35">
      <c r="B6162" s="200"/>
      <c r="C6162" s="201"/>
      <c r="D6162" s="201"/>
      <c r="E6162" s="201"/>
      <c r="F6162" s="202"/>
      <c r="G6162" s="549"/>
      <c r="H6162" s="549"/>
      <c r="I6162" s="549"/>
      <c r="J6162" s="549"/>
      <c r="K6162" s="549"/>
      <c r="M6162" s="465"/>
      <c r="N6162" s="201"/>
    </row>
    <row r="6163" spans="2:14" hidden="1" outlineLevel="1" x14ac:dyDescent="0.35">
      <c r="B6163" s="200"/>
      <c r="C6163" s="201"/>
      <c r="D6163" s="201"/>
      <c r="E6163" s="201"/>
      <c r="F6163" s="202"/>
      <c r="G6163" s="549"/>
      <c r="H6163" s="549"/>
      <c r="I6163" s="549"/>
      <c r="J6163" s="549"/>
      <c r="K6163" s="549"/>
      <c r="M6163" s="465"/>
      <c r="N6163" s="201"/>
    </row>
    <row r="6164" spans="2:14" hidden="1" outlineLevel="1" x14ac:dyDescent="0.35">
      <c r="B6164" s="200"/>
      <c r="C6164" s="201"/>
      <c r="D6164" s="201"/>
      <c r="E6164" s="201"/>
      <c r="F6164" s="202"/>
      <c r="G6164" s="549"/>
      <c r="H6164" s="549"/>
      <c r="I6164" s="549"/>
      <c r="J6164" s="549"/>
      <c r="K6164" s="549"/>
      <c r="M6164" s="465"/>
      <c r="N6164" s="201"/>
    </row>
    <row r="6165" spans="2:14" hidden="1" outlineLevel="1" x14ac:dyDescent="0.35">
      <c r="B6165" s="200"/>
      <c r="C6165" s="201"/>
      <c r="D6165" s="201"/>
      <c r="E6165" s="201"/>
      <c r="F6165" s="202"/>
      <c r="G6165" s="549"/>
      <c r="H6165" s="549"/>
      <c r="I6165" s="549"/>
      <c r="J6165" s="549"/>
      <c r="K6165" s="549"/>
      <c r="M6165" s="465"/>
      <c r="N6165" s="201"/>
    </row>
    <row r="6166" spans="2:14" hidden="1" outlineLevel="1" x14ac:dyDescent="0.35">
      <c r="B6166" s="200"/>
      <c r="C6166" s="201"/>
      <c r="D6166" s="201"/>
      <c r="E6166" s="201"/>
      <c r="F6166" s="202"/>
      <c r="G6166" s="549"/>
      <c r="H6166" s="549"/>
      <c r="I6166" s="549"/>
      <c r="J6166" s="549"/>
      <c r="K6166" s="549"/>
      <c r="M6166" s="465"/>
      <c r="N6166" s="201"/>
    </row>
    <row r="6167" spans="2:14" hidden="1" outlineLevel="1" x14ac:dyDescent="0.35">
      <c r="B6167" s="200"/>
      <c r="C6167" s="201"/>
      <c r="D6167" s="201"/>
      <c r="E6167" s="201"/>
      <c r="F6167" s="202"/>
      <c r="G6167" s="549"/>
      <c r="H6167" s="549"/>
      <c r="I6167" s="549"/>
      <c r="J6167" s="549"/>
      <c r="K6167" s="549"/>
      <c r="M6167" s="465"/>
      <c r="N6167" s="201"/>
    </row>
    <row r="6168" spans="2:14" hidden="1" outlineLevel="1" x14ac:dyDescent="0.35">
      <c r="B6168" s="200"/>
      <c r="C6168" s="201"/>
      <c r="D6168" s="201"/>
      <c r="E6168" s="201"/>
      <c r="F6168" s="202"/>
      <c r="G6168" s="549"/>
      <c r="H6168" s="549"/>
      <c r="I6168" s="549"/>
      <c r="J6168" s="549"/>
      <c r="K6168" s="549"/>
      <c r="M6168" s="465"/>
      <c r="N6168" s="201"/>
    </row>
    <row r="6169" spans="2:14" hidden="1" outlineLevel="1" x14ac:dyDescent="0.35">
      <c r="B6169" s="200"/>
      <c r="C6169" s="201"/>
      <c r="D6169" s="201"/>
      <c r="E6169" s="201"/>
      <c r="F6169" s="202"/>
      <c r="G6169" s="549"/>
      <c r="H6169" s="549"/>
      <c r="I6169" s="549"/>
      <c r="J6169" s="549"/>
      <c r="K6169" s="549"/>
      <c r="M6169" s="465"/>
      <c r="N6169" s="201"/>
    </row>
    <row r="6170" spans="2:14" hidden="1" outlineLevel="1" x14ac:dyDescent="0.35">
      <c r="B6170" s="200"/>
      <c r="C6170" s="201"/>
      <c r="D6170" s="201"/>
      <c r="E6170" s="201"/>
      <c r="F6170" s="202"/>
      <c r="G6170" s="549"/>
      <c r="H6170" s="549"/>
      <c r="I6170" s="549"/>
      <c r="J6170" s="549"/>
      <c r="K6170" s="549"/>
      <c r="M6170" s="465"/>
      <c r="N6170" s="201"/>
    </row>
    <row r="6171" spans="2:14" hidden="1" outlineLevel="1" x14ac:dyDescent="0.35">
      <c r="B6171" s="200"/>
      <c r="C6171" s="201"/>
      <c r="D6171" s="201"/>
      <c r="E6171" s="201"/>
      <c r="F6171" s="202"/>
      <c r="G6171" s="549"/>
      <c r="H6171" s="549"/>
      <c r="I6171" s="549"/>
      <c r="J6171" s="549"/>
      <c r="K6171" s="549"/>
      <c r="M6171" s="465"/>
      <c r="N6171" s="201"/>
    </row>
    <row r="6172" spans="2:14" hidden="1" outlineLevel="1" x14ac:dyDescent="0.35">
      <c r="B6172" s="200"/>
      <c r="C6172" s="201"/>
      <c r="D6172" s="201"/>
      <c r="E6172" s="201"/>
      <c r="F6172" s="202"/>
      <c r="G6172" s="549"/>
      <c r="H6172" s="549"/>
      <c r="I6172" s="549"/>
      <c r="J6172" s="549"/>
      <c r="K6172" s="549"/>
      <c r="M6172" s="465"/>
      <c r="N6172" s="201"/>
    </row>
    <row r="6173" spans="2:14" hidden="1" outlineLevel="1" x14ac:dyDescent="0.35">
      <c r="B6173" s="200"/>
      <c r="C6173" s="201"/>
      <c r="D6173" s="201"/>
      <c r="E6173" s="201"/>
      <c r="F6173" s="202"/>
      <c r="G6173" s="549"/>
      <c r="H6173" s="549"/>
      <c r="I6173" s="549"/>
      <c r="J6173" s="549"/>
      <c r="K6173" s="549"/>
      <c r="M6173" s="465"/>
      <c r="N6173" s="201"/>
    </row>
    <row r="6174" spans="2:14" hidden="1" outlineLevel="1" x14ac:dyDescent="0.35">
      <c r="B6174" s="200"/>
      <c r="C6174" s="201"/>
      <c r="D6174" s="201"/>
      <c r="E6174" s="201"/>
      <c r="F6174" s="202"/>
      <c r="G6174" s="549"/>
      <c r="H6174" s="549"/>
      <c r="I6174" s="549"/>
      <c r="J6174" s="549"/>
      <c r="K6174" s="549"/>
      <c r="M6174" s="465"/>
      <c r="N6174" s="201"/>
    </row>
    <row r="6175" spans="2:14" hidden="1" outlineLevel="1" x14ac:dyDescent="0.35">
      <c r="B6175" s="200"/>
      <c r="C6175" s="201"/>
      <c r="D6175" s="201"/>
      <c r="E6175" s="201"/>
      <c r="F6175" s="202"/>
      <c r="G6175" s="549"/>
      <c r="H6175" s="549"/>
      <c r="I6175" s="549"/>
      <c r="J6175" s="549"/>
      <c r="K6175" s="549"/>
      <c r="M6175" s="465"/>
      <c r="N6175" s="201"/>
    </row>
    <row r="6176" spans="2:14" hidden="1" outlineLevel="1" x14ac:dyDescent="0.35">
      <c r="B6176" s="200"/>
      <c r="C6176" s="201"/>
      <c r="D6176" s="201"/>
      <c r="E6176" s="201"/>
      <c r="F6176" s="202"/>
      <c r="G6176" s="549"/>
      <c r="H6176" s="549"/>
      <c r="I6176" s="549"/>
      <c r="J6176" s="549"/>
      <c r="K6176" s="549"/>
      <c r="M6176" s="465"/>
      <c r="N6176" s="201"/>
    </row>
    <row r="6177" spans="2:14" hidden="1" outlineLevel="1" x14ac:dyDescent="0.35">
      <c r="B6177" s="200"/>
      <c r="C6177" s="201"/>
      <c r="D6177" s="201"/>
      <c r="E6177" s="201"/>
      <c r="F6177" s="202"/>
      <c r="G6177" s="549"/>
      <c r="H6177" s="549"/>
      <c r="I6177" s="549"/>
      <c r="J6177" s="549"/>
      <c r="K6177" s="549"/>
      <c r="M6177" s="465"/>
      <c r="N6177" s="201"/>
    </row>
    <row r="6178" spans="2:14" hidden="1" outlineLevel="1" x14ac:dyDescent="0.35">
      <c r="B6178" s="200"/>
      <c r="C6178" s="201"/>
      <c r="D6178" s="201"/>
      <c r="E6178" s="201"/>
      <c r="F6178" s="202"/>
      <c r="G6178" s="549"/>
      <c r="H6178" s="549"/>
      <c r="I6178" s="549"/>
      <c r="J6178" s="549"/>
      <c r="K6178" s="549"/>
      <c r="M6178" s="465"/>
      <c r="N6178" s="201"/>
    </row>
    <row r="6179" spans="2:14" hidden="1" outlineLevel="1" x14ac:dyDescent="0.35">
      <c r="B6179" s="200"/>
      <c r="C6179" s="201"/>
      <c r="D6179" s="201"/>
      <c r="E6179" s="201"/>
      <c r="F6179" s="202"/>
      <c r="G6179" s="549"/>
      <c r="H6179" s="549"/>
      <c r="I6179" s="549"/>
      <c r="J6179" s="549"/>
      <c r="K6179" s="549"/>
      <c r="M6179" s="465"/>
      <c r="N6179" s="201"/>
    </row>
    <row r="6180" spans="2:14" hidden="1" outlineLevel="1" x14ac:dyDescent="0.35">
      <c r="B6180" s="200"/>
      <c r="C6180" s="201"/>
      <c r="D6180" s="201"/>
      <c r="E6180" s="201"/>
      <c r="F6180" s="202"/>
      <c r="G6180" s="549"/>
      <c r="H6180" s="549"/>
      <c r="I6180" s="549"/>
      <c r="J6180" s="549"/>
      <c r="K6180" s="549"/>
      <c r="M6180" s="465"/>
      <c r="N6180" s="201"/>
    </row>
    <row r="6181" spans="2:14" hidden="1" outlineLevel="1" x14ac:dyDescent="0.35">
      <c r="B6181" s="200"/>
      <c r="C6181" s="201"/>
      <c r="D6181" s="201"/>
      <c r="E6181" s="201"/>
      <c r="F6181" s="202"/>
      <c r="G6181" s="549"/>
      <c r="H6181" s="549"/>
      <c r="I6181" s="549"/>
      <c r="J6181" s="549"/>
      <c r="K6181" s="549"/>
      <c r="M6181" s="465"/>
      <c r="N6181" s="201"/>
    </row>
    <row r="6182" spans="2:14" hidden="1" outlineLevel="1" x14ac:dyDescent="0.35">
      <c r="B6182" s="200"/>
      <c r="C6182" s="201"/>
      <c r="D6182" s="201"/>
      <c r="E6182" s="201"/>
      <c r="F6182" s="202"/>
      <c r="G6182" s="549"/>
      <c r="H6182" s="549"/>
      <c r="I6182" s="549"/>
      <c r="J6182" s="549"/>
      <c r="K6182" s="549"/>
      <c r="M6182" s="465"/>
      <c r="N6182" s="201"/>
    </row>
    <row r="6183" spans="2:14" hidden="1" outlineLevel="1" x14ac:dyDescent="0.35">
      <c r="B6183" s="200"/>
      <c r="C6183" s="201"/>
      <c r="D6183" s="201"/>
      <c r="E6183" s="201"/>
      <c r="F6183" s="202"/>
      <c r="G6183" s="549"/>
      <c r="H6183" s="549"/>
      <c r="I6183" s="549"/>
      <c r="J6183" s="549"/>
      <c r="K6183" s="549"/>
      <c r="M6183" s="465"/>
      <c r="N6183" s="201"/>
    </row>
    <row r="6184" spans="2:14" hidden="1" outlineLevel="1" x14ac:dyDescent="0.35">
      <c r="B6184" s="200"/>
      <c r="C6184" s="201"/>
      <c r="D6184" s="201"/>
      <c r="E6184" s="201"/>
      <c r="F6184" s="202"/>
      <c r="G6184" s="549"/>
      <c r="H6184" s="549"/>
      <c r="I6184" s="549"/>
      <c r="J6184" s="549"/>
      <c r="K6184" s="549"/>
      <c r="M6184" s="465"/>
      <c r="N6184" s="201"/>
    </row>
    <row r="6185" spans="2:14" hidden="1" outlineLevel="1" x14ac:dyDescent="0.35">
      <c r="B6185" s="200"/>
      <c r="C6185" s="201"/>
      <c r="D6185" s="201"/>
      <c r="E6185" s="201"/>
      <c r="F6185" s="202"/>
      <c r="G6185" s="549"/>
      <c r="H6185" s="549"/>
      <c r="I6185" s="549"/>
      <c r="J6185" s="549"/>
      <c r="K6185" s="549"/>
      <c r="M6185" s="465"/>
      <c r="N6185" s="201"/>
    </row>
    <row r="6186" spans="2:14" hidden="1" outlineLevel="1" x14ac:dyDescent="0.35">
      <c r="B6186" s="200"/>
      <c r="C6186" s="201"/>
      <c r="D6186" s="201"/>
      <c r="E6186" s="201"/>
      <c r="F6186" s="202"/>
      <c r="G6186" s="549"/>
      <c r="H6186" s="549"/>
      <c r="I6186" s="549"/>
      <c r="J6186" s="549"/>
      <c r="K6186" s="549"/>
      <c r="M6186" s="465"/>
      <c r="N6186" s="201"/>
    </row>
    <row r="6187" spans="2:14" hidden="1" outlineLevel="1" x14ac:dyDescent="0.35">
      <c r="B6187" s="200"/>
      <c r="C6187" s="201"/>
      <c r="D6187" s="201"/>
      <c r="E6187" s="201"/>
      <c r="F6187" s="202"/>
      <c r="G6187" s="549"/>
      <c r="H6187" s="549"/>
      <c r="I6187" s="549"/>
      <c r="J6187" s="549"/>
      <c r="K6187" s="549"/>
      <c r="M6187" s="465"/>
      <c r="N6187" s="201"/>
    </row>
    <row r="6188" spans="2:14" hidden="1" outlineLevel="1" x14ac:dyDescent="0.35">
      <c r="B6188" s="200"/>
      <c r="C6188" s="201"/>
      <c r="D6188" s="201"/>
      <c r="E6188" s="201"/>
      <c r="F6188" s="202"/>
      <c r="G6188" s="549"/>
      <c r="H6188" s="549"/>
      <c r="I6188" s="549"/>
      <c r="J6188" s="549"/>
      <c r="K6188" s="549"/>
      <c r="M6188" s="465"/>
      <c r="N6188" s="201"/>
    </row>
    <row r="6189" spans="2:14" hidden="1" outlineLevel="1" x14ac:dyDescent="0.35">
      <c r="B6189" s="200"/>
      <c r="C6189" s="201"/>
      <c r="D6189" s="201"/>
      <c r="E6189" s="201"/>
      <c r="F6189" s="202"/>
      <c r="G6189" s="549"/>
      <c r="H6189" s="549"/>
      <c r="I6189" s="549"/>
      <c r="J6189" s="549"/>
      <c r="K6189" s="549"/>
      <c r="M6189" s="465"/>
      <c r="N6189" s="201"/>
    </row>
    <row r="6190" spans="2:14" hidden="1" outlineLevel="1" x14ac:dyDescent="0.35">
      <c r="B6190" s="200"/>
      <c r="C6190" s="201"/>
      <c r="D6190" s="201"/>
      <c r="E6190" s="201"/>
      <c r="F6190" s="202"/>
      <c r="G6190" s="549"/>
      <c r="H6190" s="549"/>
      <c r="I6190" s="549"/>
      <c r="J6190" s="549"/>
      <c r="K6190" s="549"/>
      <c r="M6190" s="465"/>
      <c r="N6190" s="201"/>
    </row>
    <row r="6191" spans="2:14" hidden="1" outlineLevel="1" x14ac:dyDescent="0.35">
      <c r="B6191" s="200"/>
      <c r="C6191" s="201"/>
      <c r="D6191" s="201"/>
      <c r="E6191" s="201"/>
      <c r="F6191" s="202"/>
      <c r="G6191" s="549"/>
      <c r="H6191" s="549"/>
      <c r="I6191" s="549"/>
      <c r="J6191" s="549"/>
      <c r="K6191" s="549"/>
      <c r="M6191" s="465"/>
      <c r="N6191" s="201"/>
    </row>
    <row r="6192" spans="2:14" hidden="1" outlineLevel="1" x14ac:dyDescent="0.35">
      <c r="B6192" s="200"/>
      <c r="C6192" s="201"/>
      <c r="D6192" s="201"/>
      <c r="E6192" s="201"/>
      <c r="F6192" s="202"/>
      <c r="G6192" s="549"/>
      <c r="H6192" s="549"/>
      <c r="I6192" s="549"/>
      <c r="J6192" s="549"/>
      <c r="K6192" s="549"/>
      <c r="M6192" s="465"/>
      <c r="N6192" s="201"/>
    </row>
    <row r="6193" spans="2:14" hidden="1" outlineLevel="1" x14ac:dyDescent="0.35">
      <c r="B6193" s="200"/>
      <c r="C6193" s="201"/>
      <c r="D6193" s="201"/>
      <c r="E6193" s="201"/>
      <c r="F6193" s="202"/>
      <c r="G6193" s="549"/>
      <c r="H6193" s="549"/>
      <c r="I6193" s="549"/>
      <c r="J6193" s="549"/>
      <c r="K6193" s="549"/>
      <c r="M6193" s="465"/>
      <c r="N6193" s="201"/>
    </row>
    <row r="6194" spans="2:14" hidden="1" outlineLevel="1" x14ac:dyDescent="0.35">
      <c r="B6194" s="200"/>
      <c r="C6194" s="201"/>
      <c r="D6194" s="201"/>
      <c r="E6194" s="201"/>
      <c r="F6194" s="202"/>
      <c r="G6194" s="549"/>
      <c r="H6194" s="549"/>
      <c r="I6194" s="549"/>
      <c r="J6194" s="549"/>
      <c r="K6194" s="549"/>
      <c r="M6194" s="465"/>
      <c r="N6194" s="201"/>
    </row>
    <row r="6195" spans="2:14" hidden="1" outlineLevel="1" x14ac:dyDescent="0.35">
      <c r="B6195" s="200"/>
      <c r="C6195" s="201"/>
      <c r="D6195" s="201"/>
      <c r="E6195" s="201"/>
      <c r="F6195" s="202"/>
      <c r="G6195" s="549"/>
      <c r="H6195" s="549"/>
      <c r="I6195" s="549"/>
      <c r="J6195" s="549"/>
      <c r="K6195" s="549"/>
      <c r="M6195" s="465"/>
      <c r="N6195" s="201"/>
    </row>
    <row r="6196" spans="2:14" hidden="1" outlineLevel="1" x14ac:dyDescent="0.35">
      <c r="B6196" s="200"/>
      <c r="C6196" s="201"/>
      <c r="D6196" s="201"/>
      <c r="E6196" s="201"/>
      <c r="F6196" s="202"/>
      <c r="G6196" s="549"/>
      <c r="H6196" s="549"/>
      <c r="I6196" s="549"/>
      <c r="J6196" s="549"/>
      <c r="K6196" s="549"/>
      <c r="M6196" s="465"/>
      <c r="N6196" s="201"/>
    </row>
    <row r="6197" spans="2:14" hidden="1" outlineLevel="1" x14ac:dyDescent="0.35">
      <c r="B6197" s="200"/>
      <c r="C6197" s="201"/>
      <c r="D6197" s="201"/>
      <c r="E6197" s="201"/>
      <c r="F6197" s="202"/>
      <c r="G6197" s="549"/>
      <c r="H6197" s="549"/>
      <c r="I6197" s="549"/>
      <c r="J6197" s="549"/>
      <c r="K6197" s="549"/>
      <c r="M6197" s="465"/>
      <c r="N6197" s="201"/>
    </row>
    <row r="6198" spans="2:14" hidden="1" outlineLevel="1" x14ac:dyDescent="0.35">
      <c r="B6198" s="200"/>
      <c r="C6198" s="201"/>
      <c r="D6198" s="201"/>
      <c r="E6198" s="201"/>
      <c r="F6198" s="202"/>
      <c r="G6198" s="549"/>
      <c r="H6198" s="549"/>
      <c r="I6198" s="549"/>
      <c r="J6198" s="549"/>
      <c r="K6198" s="549"/>
      <c r="M6198" s="465"/>
      <c r="N6198" s="201"/>
    </row>
    <row r="6199" spans="2:14" hidden="1" outlineLevel="1" x14ac:dyDescent="0.35">
      <c r="B6199" s="200"/>
      <c r="C6199" s="201"/>
      <c r="D6199" s="201"/>
      <c r="E6199" s="201"/>
      <c r="F6199" s="202"/>
      <c r="G6199" s="549"/>
      <c r="H6199" s="549"/>
      <c r="I6199" s="549"/>
      <c r="J6199" s="549"/>
      <c r="K6199" s="549"/>
      <c r="M6199" s="465"/>
      <c r="N6199" s="201"/>
    </row>
    <row r="6200" spans="2:14" hidden="1" outlineLevel="1" x14ac:dyDescent="0.35">
      <c r="B6200" s="200"/>
      <c r="C6200" s="201"/>
      <c r="D6200" s="201"/>
      <c r="E6200" s="201"/>
      <c r="F6200" s="202"/>
      <c r="G6200" s="549"/>
      <c r="H6200" s="549"/>
      <c r="I6200" s="549"/>
      <c r="J6200" s="549"/>
      <c r="K6200" s="549"/>
      <c r="M6200" s="465"/>
      <c r="N6200" s="201"/>
    </row>
    <row r="6201" spans="2:14" hidden="1" outlineLevel="1" x14ac:dyDescent="0.35">
      <c r="B6201" s="200"/>
      <c r="C6201" s="201"/>
      <c r="D6201" s="201"/>
      <c r="E6201" s="201"/>
      <c r="F6201" s="202"/>
      <c r="G6201" s="549"/>
      <c r="H6201" s="549"/>
      <c r="I6201" s="549"/>
      <c r="J6201" s="549"/>
      <c r="K6201" s="549"/>
      <c r="M6201" s="465"/>
      <c r="N6201" s="201"/>
    </row>
    <row r="6202" spans="2:14" hidden="1" outlineLevel="1" x14ac:dyDescent="0.35">
      <c r="B6202" s="200"/>
      <c r="C6202" s="201"/>
      <c r="D6202" s="201"/>
      <c r="E6202" s="201"/>
      <c r="F6202" s="202"/>
      <c r="G6202" s="549"/>
      <c r="H6202" s="549"/>
      <c r="I6202" s="549"/>
      <c r="J6202" s="549"/>
      <c r="K6202" s="549"/>
      <c r="M6202" s="465"/>
      <c r="N6202" s="201"/>
    </row>
    <row r="6203" spans="2:14" hidden="1" outlineLevel="1" x14ac:dyDescent="0.35">
      <c r="B6203" s="200"/>
      <c r="C6203" s="201"/>
      <c r="D6203" s="201"/>
      <c r="E6203" s="201"/>
      <c r="F6203" s="202"/>
      <c r="G6203" s="549"/>
      <c r="H6203" s="549"/>
      <c r="I6203" s="549"/>
      <c r="J6203" s="549"/>
      <c r="K6203" s="549"/>
      <c r="M6203" s="465"/>
      <c r="N6203" s="201"/>
    </row>
    <row r="6204" spans="2:14" hidden="1" outlineLevel="1" x14ac:dyDescent="0.35">
      <c r="B6204" s="200"/>
      <c r="C6204" s="201"/>
      <c r="D6204" s="201"/>
      <c r="E6204" s="201"/>
      <c r="F6204" s="202"/>
      <c r="G6204" s="549"/>
      <c r="H6204" s="549"/>
      <c r="I6204" s="549"/>
      <c r="J6204" s="549"/>
      <c r="K6204" s="549"/>
      <c r="M6204" s="465"/>
      <c r="N6204" s="201"/>
    </row>
    <row r="6205" spans="2:14" hidden="1" outlineLevel="1" x14ac:dyDescent="0.35">
      <c r="B6205" s="200"/>
      <c r="C6205" s="201"/>
      <c r="D6205" s="201"/>
      <c r="E6205" s="201"/>
      <c r="F6205" s="202"/>
      <c r="G6205" s="549"/>
      <c r="H6205" s="549"/>
      <c r="I6205" s="549"/>
      <c r="J6205" s="549"/>
      <c r="K6205" s="549"/>
      <c r="M6205" s="465"/>
      <c r="N6205" s="201"/>
    </row>
    <row r="6206" spans="2:14" hidden="1" outlineLevel="1" x14ac:dyDescent="0.35">
      <c r="B6206" s="200"/>
      <c r="C6206" s="201"/>
      <c r="D6206" s="201"/>
      <c r="E6206" s="201"/>
      <c r="F6206" s="202"/>
      <c r="G6206" s="549"/>
      <c r="H6206" s="549"/>
      <c r="I6206" s="549"/>
      <c r="J6206" s="549"/>
      <c r="K6206" s="549"/>
      <c r="M6206" s="465"/>
      <c r="N6206" s="201"/>
    </row>
    <row r="6207" spans="2:14" hidden="1" outlineLevel="1" x14ac:dyDescent="0.35">
      <c r="B6207" s="200"/>
      <c r="C6207" s="201"/>
      <c r="D6207" s="201"/>
      <c r="E6207" s="201"/>
      <c r="F6207" s="202"/>
      <c r="G6207" s="549"/>
      <c r="H6207" s="549"/>
      <c r="I6207" s="549"/>
      <c r="J6207" s="549"/>
      <c r="K6207" s="549"/>
      <c r="M6207" s="465"/>
      <c r="N6207" s="201"/>
    </row>
    <row r="6208" spans="2:14" hidden="1" outlineLevel="1" x14ac:dyDescent="0.35">
      <c r="B6208" s="200"/>
      <c r="C6208" s="201"/>
      <c r="D6208" s="201"/>
      <c r="E6208" s="201"/>
      <c r="F6208" s="202"/>
      <c r="G6208" s="549"/>
      <c r="H6208" s="549"/>
      <c r="I6208" s="549"/>
      <c r="J6208" s="549"/>
      <c r="K6208" s="549"/>
      <c r="M6208" s="465"/>
      <c r="N6208" s="201"/>
    </row>
    <row r="6209" spans="2:14" hidden="1" outlineLevel="1" x14ac:dyDescent="0.35">
      <c r="B6209" s="200"/>
      <c r="C6209" s="201"/>
      <c r="D6209" s="201"/>
      <c r="E6209" s="201"/>
      <c r="F6209" s="202"/>
      <c r="G6209" s="549"/>
      <c r="H6209" s="549"/>
      <c r="I6209" s="549"/>
      <c r="J6209" s="549"/>
      <c r="K6209" s="549"/>
      <c r="M6209" s="465"/>
      <c r="N6209" s="201"/>
    </row>
    <row r="6210" spans="2:14" hidden="1" outlineLevel="1" x14ac:dyDescent="0.35">
      <c r="B6210" s="200"/>
      <c r="C6210" s="201"/>
      <c r="D6210" s="201"/>
      <c r="E6210" s="201"/>
      <c r="F6210" s="202"/>
      <c r="G6210" s="549"/>
      <c r="H6210" s="549"/>
      <c r="I6210" s="549"/>
      <c r="J6210" s="549"/>
      <c r="K6210" s="549"/>
      <c r="M6210" s="465"/>
      <c r="N6210" s="201"/>
    </row>
    <row r="6211" spans="2:14" hidden="1" outlineLevel="1" x14ac:dyDescent="0.35">
      <c r="B6211" s="200"/>
      <c r="C6211" s="201"/>
      <c r="D6211" s="201"/>
      <c r="E6211" s="201"/>
      <c r="F6211" s="202"/>
      <c r="G6211" s="549"/>
      <c r="H6211" s="549"/>
      <c r="I6211" s="549"/>
      <c r="J6211" s="549"/>
      <c r="K6211" s="549"/>
      <c r="M6211" s="465"/>
      <c r="N6211" s="201"/>
    </row>
    <row r="6212" spans="2:14" hidden="1" outlineLevel="1" x14ac:dyDescent="0.35">
      <c r="B6212" s="200"/>
      <c r="C6212" s="201"/>
      <c r="D6212" s="201"/>
      <c r="E6212" s="201"/>
      <c r="F6212" s="202"/>
      <c r="G6212" s="549"/>
      <c r="H6212" s="549"/>
      <c r="I6212" s="549"/>
      <c r="J6212" s="549"/>
      <c r="K6212" s="549"/>
      <c r="M6212" s="465"/>
      <c r="N6212" s="201"/>
    </row>
    <row r="6213" spans="2:14" hidden="1" outlineLevel="1" x14ac:dyDescent="0.35">
      <c r="B6213" s="200"/>
      <c r="C6213" s="201"/>
      <c r="D6213" s="201"/>
      <c r="E6213" s="201"/>
      <c r="F6213" s="202"/>
      <c r="G6213" s="549"/>
      <c r="H6213" s="549"/>
      <c r="I6213" s="549"/>
      <c r="J6213" s="549"/>
      <c r="K6213" s="549"/>
      <c r="M6213" s="465"/>
      <c r="N6213" s="201"/>
    </row>
    <row r="6214" spans="2:14" hidden="1" outlineLevel="1" x14ac:dyDescent="0.35">
      <c r="B6214" s="200"/>
      <c r="C6214" s="201"/>
      <c r="D6214" s="201"/>
      <c r="E6214" s="201"/>
      <c r="F6214" s="202"/>
      <c r="G6214" s="549"/>
      <c r="H6214" s="549"/>
      <c r="I6214" s="549"/>
      <c r="J6214" s="549"/>
      <c r="K6214" s="549"/>
      <c r="M6214" s="465"/>
      <c r="N6214" s="201"/>
    </row>
    <row r="6215" spans="2:14" hidden="1" outlineLevel="1" x14ac:dyDescent="0.35">
      <c r="B6215" s="200"/>
      <c r="C6215" s="201"/>
      <c r="D6215" s="201"/>
      <c r="E6215" s="201"/>
      <c r="F6215" s="202"/>
      <c r="G6215" s="549"/>
      <c r="H6215" s="549"/>
      <c r="I6215" s="549"/>
      <c r="J6215" s="549"/>
      <c r="K6215" s="549"/>
      <c r="M6215" s="465"/>
      <c r="N6215" s="201"/>
    </row>
    <row r="6216" spans="2:14" hidden="1" outlineLevel="1" x14ac:dyDescent="0.35">
      <c r="B6216" s="200"/>
      <c r="C6216" s="201"/>
      <c r="D6216" s="201"/>
      <c r="E6216" s="201"/>
      <c r="F6216" s="202"/>
      <c r="G6216" s="549"/>
      <c r="H6216" s="549"/>
      <c r="I6216" s="549"/>
      <c r="J6216" s="549"/>
      <c r="K6216" s="549"/>
      <c r="M6216" s="465"/>
      <c r="N6216" s="201"/>
    </row>
    <row r="6217" spans="2:14" hidden="1" outlineLevel="1" x14ac:dyDescent="0.35">
      <c r="B6217" s="200"/>
      <c r="C6217" s="201"/>
      <c r="D6217" s="201"/>
      <c r="E6217" s="201"/>
      <c r="F6217" s="202"/>
      <c r="G6217" s="549"/>
      <c r="H6217" s="549"/>
      <c r="I6217" s="549"/>
      <c r="J6217" s="549"/>
      <c r="K6217" s="549"/>
      <c r="M6217" s="465"/>
      <c r="N6217" s="201"/>
    </row>
    <row r="6218" spans="2:14" hidden="1" outlineLevel="1" x14ac:dyDescent="0.35">
      <c r="B6218" s="200"/>
      <c r="C6218" s="201"/>
      <c r="D6218" s="201"/>
      <c r="E6218" s="201"/>
      <c r="F6218" s="202"/>
      <c r="G6218" s="549"/>
      <c r="H6218" s="549"/>
      <c r="I6218" s="549"/>
      <c r="J6218" s="549"/>
      <c r="K6218" s="549"/>
      <c r="M6218" s="465"/>
      <c r="N6218" s="201"/>
    </row>
    <row r="6219" spans="2:14" hidden="1" outlineLevel="1" x14ac:dyDescent="0.35">
      <c r="B6219" s="200"/>
      <c r="C6219" s="201"/>
      <c r="D6219" s="201"/>
      <c r="E6219" s="201"/>
      <c r="F6219" s="202"/>
      <c r="G6219" s="549"/>
      <c r="H6219" s="549"/>
      <c r="I6219" s="549"/>
      <c r="J6219" s="549"/>
      <c r="K6219" s="549"/>
      <c r="M6219" s="465"/>
      <c r="N6219" s="201"/>
    </row>
    <row r="6220" spans="2:14" hidden="1" outlineLevel="1" x14ac:dyDescent="0.35">
      <c r="B6220" s="200"/>
      <c r="C6220" s="201"/>
      <c r="D6220" s="201"/>
      <c r="E6220" s="201"/>
      <c r="F6220" s="202"/>
      <c r="G6220" s="549"/>
      <c r="H6220" s="549"/>
      <c r="I6220" s="549"/>
      <c r="J6220" s="549"/>
      <c r="K6220" s="549"/>
      <c r="M6220" s="465"/>
      <c r="N6220" s="201"/>
    </row>
    <row r="6221" spans="2:14" hidden="1" outlineLevel="1" x14ac:dyDescent="0.35">
      <c r="B6221" s="200"/>
      <c r="C6221" s="201"/>
      <c r="D6221" s="201"/>
      <c r="E6221" s="201"/>
      <c r="F6221" s="202"/>
      <c r="G6221" s="549"/>
      <c r="H6221" s="549"/>
      <c r="I6221" s="549"/>
      <c r="J6221" s="549"/>
      <c r="K6221" s="549"/>
      <c r="M6221" s="465"/>
      <c r="N6221" s="201"/>
    </row>
    <row r="6222" spans="2:14" hidden="1" outlineLevel="1" x14ac:dyDescent="0.35">
      <c r="B6222" s="200"/>
      <c r="C6222" s="201"/>
      <c r="D6222" s="201"/>
      <c r="E6222" s="201"/>
      <c r="F6222" s="202"/>
      <c r="G6222" s="549"/>
      <c r="H6222" s="549"/>
      <c r="I6222" s="549"/>
      <c r="J6222" s="549"/>
      <c r="K6222" s="549"/>
      <c r="M6222" s="465"/>
      <c r="N6222" s="201"/>
    </row>
    <row r="6223" spans="2:14" hidden="1" outlineLevel="1" x14ac:dyDescent="0.35">
      <c r="B6223" s="200"/>
      <c r="C6223" s="201"/>
      <c r="D6223" s="201"/>
      <c r="E6223" s="201"/>
      <c r="F6223" s="202"/>
      <c r="G6223" s="549"/>
      <c r="H6223" s="549"/>
      <c r="I6223" s="549"/>
      <c r="J6223" s="549"/>
      <c r="K6223" s="549"/>
      <c r="M6223" s="465"/>
      <c r="N6223" s="201"/>
    </row>
    <row r="6224" spans="2:14" hidden="1" outlineLevel="1" x14ac:dyDescent="0.35">
      <c r="B6224" s="200"/>
      <c r="C6224" s="201"/>
      <c r="D6224" s="201"/>
      <c r="E6224" s="201"/>
      <c r="F6224" s="202"/>
      <c r="G6224" s="549"/>
      <c r="H6224" s="549"/>
      <c r="I6224" s="549"/>
      <c r="J6224" s="549"/>
      <c r="K6224" s="549"/>
      <c r="M6224" s="465"/>
      <c r="N6224" s="201"/>
    </row>
    <row r="6225" spans="2:14" hidden="1" outlineLevel="1" x14ac:dyDescent="0.35">
      <c r="B6225" s="200"/>
      <c r="C6225" s="201"/>
      <c r="D6225" s="201"/>
      <c r="E6225" s="201"/>
      <c r="F6225" s="202"/>
      <c r="G6225" s="549"/>
      <c r="H6225" s="549"/>
      <c r="I6225" s="549"/>
      <c r="J6225" s="549"/>
      <c r="K6225" s="549"/>
      <c r="M6225" s="465"/>
      <c r="N6225" s="201"/>
    </row>
    <row r="6226" spans="2:14" hidden="1" outlineLevel="1" x14ac:dyDescent="0.35">
      <c r="B6226" s="200"/>
      <c r="C6226" s="201"/>
      <c r="D6226" s="201"/>
      <c r="E6226" s="201"/>
      <c r="F6226" s="202"/>
      <c r="G6226" s="549"/>
      <c r="H6226" s="549"/>
      <c r="I6226" s="549"/>
      <c r="J6226" s="549"/>
      <c r="K6226" s="549"/>
      <c r="M6226" s="465"/>
      <c r="N6226" s="201"/>
    </row>
    <row r="6227" spans="2:14" hidden="1" outlineLevel="1" x14ac:dyDescent="0.35">
      <c r="B6227" s="200"/>
      <c r="C6227" s="201"/>
      <c r="D6227" s="201"/>
      <c r="E6227" s="201"/>
      <c r="F6227" s="202"/>
      <c r="G6227" s="549"/>
      <c r="H6227" s="549"/>
      <c r="I6227" s="549"/>
      <c r="J6227" s="549"/>
      <c r="K6227" s="549"/>
      <c r="M6227" s="465"/>
      <c r="N6227" s="201"/>
    </row>
    <row r="6228" spans="2:14" hidden="1" outlineLevel="1" x14ac:dyDescent="0.35">
      <c r="B6228" s="200"/>
      <c r="C6228" s="201"/>
      <c r="D6228" s="201"/>
      <c r="E6228" s="201"/>
      <c r="F6228" s="202"/>
      <c r="G6228" s="549"/>
      <c r="H6228" s="549"/>
      <c r="I6228" s="549"/>
      <c r="J6228" s="549"/>
      <c r="K6228" s="549"/>
      <c r="M6228" s="465"/>
      <c r="N6228" s="201"/>
    </row>
    <row r="6229" spans="2:14" hidden="1" outlineLevel="1" x14ac:dyDescent="0.35">
      <c r="B6229" s="200"/>
      <c r="C6229" s="201"/>
      <c r="D6229" s="201"/>
      <c r="E6229" s="201"/>
      <c r="F6229" s="202"/>
      <c r="G6229" s="549"/>
      <c r="H6229" s="549"/>
      <c r="I6229" s="549"/>
      <c r="J6229" s="549"/>
      <c r="K6229" s="549"/>
      <c r="M6229" s="465"/>
      <c r="N6229" s="201"/>
    </row>
    <row r="6230" spans="2:14" hidden="1" outlineLevel="1" x14ac:dyDescent="0.35">
      <c r="B6230" s="200"/>
      <c r="C6230" s="201"/>
      <c r="D6230" s="201"/>
      <c r="E6230" s="201"/>
      <c r="F6230" s="202"/>
      <c r="G6230" s="549"/>
      <c r="H6230" s="549"/>
      <c r="I6230" s="549"/>
      <c r="J6230" s="549"/>
      <c r="K6230" s="549"/>
      <c r="M6230" s="465"/>
      <c r="N6230" s="201"/>
    </row>
    <row r="6231" spans="2:14" hidden="1" outlineLevel="1" x14ac:dyDescent="0.35">
      <c r="B6231" s="200"/>
      <c r="C6231" s="201"/>
      <c r="D6231" s="201"/>
      <c r="E6231" s="201"/>
      <c r="F6231" s="202"/>
      <c r="G6231" s="549"/>
      <c r="H6231" s="549"/>
      <c r="I6231" s="549"/>
      <c r="J6231" s="549"/>
      <c r="K6231" s="549"/>
      <c r="M6231" s="465"/>
      <c r="N6231" s="201"/>
    </row>
    <row r="6232" spans="2:14" hidden="1" outlineLevel="1" x14ac:dyDescent="0.35">
      <c r="B6232" s="200"/>
      <c r="C6232" s="201"/>
      <c r="D6232" s="201"/>
      <c r="E6232" s="201"/>
      <c r="F6232" s="202"/>
      <c r="G6232" s="549"/>
      <c r="H6232" s="549"/>
      <c r="I6232" s="549"/>
      <c r="J6232" s="549"/>
      <c r="K6232" s="549"/>
      <c r="M6232" s="465"/>
      <c r="N6232" s="201"/>
    </row>
    <row r="6233" spans="2:14" hidden="1" outlineLevel="1" x14ac:dyDescent="0.35">
      <c r="B6233" s="200"/>
      <c r="C6233" s="201"/>
      <c r="D6233" s="201"/>
      <c r="E6233" s="201"/>
      <c r="F6233" s="202"/>
      <c r="G6233" s="549"/>
      <c r="H6233" s="549"/>
      <c r="I6233" s="549"/>
      <c r="J6233" s="549"/>
      <c r="K6233" s="549"/>
      <c r="M6233" s="465"/>
      <c r="N6233" s="201"/>
    </row>
    <row r="6234" spans="2:14" hidden="1" outlineLevel="1" x14ac:dyDescent="0.35">
      <c r="B6234" s="200"/>
      <c r="C6234" s="201"/>
      <c r="D6234" s="201"/>
      <c r="E6234" s="201"/>
      <c r="F6234" s="202"/>
      <c r="G6234" s="549"/>
      <c r="H6234" s="549"/>
      <c r="I6234" s="549"/>
      <c r="J6234" s="549"/>
      <c r="K6234" s="549"/>
      <c r="M6234" s="465"/>
      <c r="N6234" s="201"/>
    </row>
    <row r="6235" spans="2:14" hidden="1" outlineLevel="1" x14ac:dyDescent="0.35">
      <c r="B6235" s="200"/>
      <c r="C6235" s="201"/>
      <c r="D6235" s="201"/>
      <c r="E6235" s="201"/>
      <c r="F6235" s="202"/>
      <c r="G6235" s="549"/>
      <c r="H6235" s="549"/>
      <c r="I6235" s="549"/>
      <c r="J6235" s="549"/>
      <c r="K6235" s="549"/>
      <c r="M6235" s="465"/>
      <c r="N6235" s="201"/>
    </row>
    <row r="6236" spans="2:14" hidden="1" outlineLevel="1" x14ac:dyDescent="0.35">
      <c r="B6236" s="200"/>
      <c r="C6236" s="201"/>
      <c r="D6236" s="201"/>
      <c r="E6236" s="201"/>
      <c r="F6236" s="202"/>
      <c r="G6236" s="549"/>
      <c r="H6236" s="549"/>
      <c r="I6236" s="549"/>
      <c r="J6236" s="549"/>
      <c r="K6236" s="549"/>
      <c r="M6236" s="465"/>
      <c r="N6236" s="201"/>
    </row>
    <row r="6237" spans="2:14" hidden="1" outlineLevel="1" x14ac:dyDescent="0.35">
      <c r="B6237" s="200"/>
      <c r="C6237" s="201"/>
      <c r="D6237" s="201"/>
      <c r="E6237" s="201"/>
      <c r="F6237" s="202"/>
      <c r="G6237" s="549"/>
      <c r="H6237" s="549"/>
      <c r="I6237" s="549"/>
      <c r="J6237" s="549"/>
      <c r="K6237" s="549"/>
      <c r="M6237" s="465"/>
      <c r="N6237" s="201"/>
    </row>
    <row r="6238" spans="2:14" hidden="1" outlineLevel="1" x14ac:dyDescent="0.35">
      <c r="B6238" s="200"/>
      <c r="C6238" s="201"/>
      <c r="D6238" s="201"/>
      <c r="E6238" s="201"/>
      <c r="F6238" s="202"/>
      <c r="G6238" s="549"/>
      <c r="H6238" s="549"/>
      <c r="I6238" s="549"/>
      <c r="J6238" s="549"/>
      <c r="K6238" s="549"/>
      <c r="M6238" s="465"/>
      <c r="N6238" s="201"/>
    </row>
    <row r="6239" spans="2:14" hidden="1" outlineLevel="1" x14ac:dyDescent="0.35">
      <c r="B6239" s="200"/>
      <c r="C6239" s="201"/>
      <c r="D6239" s="201"/>
      <c r="E6239" s="201"/>
      <c r="F6239" s="202"/>
      <c r="G6239" s="549"/>
      <c r="H6239" s="549"/>
      <c r="I6239" s="549"/>
      <c r="J6239" s="549"/>
      <c r="K6239" s="549"/>
      <c r="M6239" s="465"/>
      <c r="N6239" s="201"/>
    </row>
    <row r="6240" spans="2:14" hidden="1" outlineLevel="1" x14ac:dyDescent="0.35">
      <c r="B6240" s="200"/>
      <c r="C6240" s="201"/>
      <c r="D6240" s="201"/>
      <c r="E6240" s="201"/>
      <c r="F6240" s="202"/>
      <c r="G6240" s="549"/>
      <c r="H6240" s="549"/>
      <c r="I6240" s="549"/>
      <c r="J6240" s="549"/>
      <c r="K6240" s="549"/>
      <c r="M6240" s="465"/>
      <c r="N6240" s="201"/>
    </row>
    <row r="6241" spans="2:14" hidden="1" outlineLevel="1" x14ac:dyDescent="0.35">
      <c r="B6241" s="200"/>
      <c r="C6241" s="201"/>
      <c r="D6241" s="201"/>
      <c r="E6241" s="201"/>
      <c r="F6241" s="202"/>
      <c r="G6241" s="549"/>
      <c r="H6241" s="549"/>
      <c r="I6241" s="549"/>
      <c r="J6241" s="549"/>
      <c r="K6241" s="549"/>
      <c r="M6241" s="465"/>
      <c r="N6241" s="201"/>
    </row>
    <row r="6242" spans="2:14" hidden="1" outlineLevel="1" x14ac:dyDescent="0.35">
      <c r="B6242" s="200"/>
      <c r="C6242" s="201"/>
      <c r="D6242" s="201"/>
      <c r="E6242" s="201"/>
      <c r="F6242" s="202"/>
      <c r="G6242" s="549"/>
      <c r="H6242" s="549"/>
      <c r="I6242" s="549"/>
      <c r="J6242" s="549"/>
      <c r="K6242" s="549"/>
      <c r="M6242" s="465"/>
      <c r="N6242" s="201"/>
    </row>
    <row r="6243" spans="2:14" hidden="1" outlineLevel="1" x14ac:dyDescent="0.35">
      <c r="B6243" s="200"/>
      <c r="C6243" s="201"/>
      <c r="D6243" s="201"/>
      <c r="E6243" s="201"/>
      <c r="F6243" s="202"/>
      <c r="G6243" s="549"/>
      <c r="H6243" s="549"/>
      <c r="I6243" s="549"/>
      <c r="J6243" s="549"/>
      <c r="K6243" s="549"/>
      <c r="M6243" s="465"/>
      <c r="N6243" s="201"/>
    </row>
    <row r="6244" spans="2:14" hidden="1" outlineLevel="1" x14ac:dyDescent="0.35">
      <c r="B6244" s="200"/>
      <c r="C6244" s="201"/>
      <c r="D6244" s="201"/>
      <c r="E6244" s="201"/>
      <c r="F6244" s="202"/>
      <c r="G6244" s="549"/>
      <c r="H6244" s="549"/>
      <c r="I6244" s="549"/>
      <c r="J6244" s="549"/>
      <c r="K6244" s="549"/>
      <c r="M6244" s="465"/>
      <c r="N6244" s="201"/>
    </row>
    <row r="6245" spans="2:14" hidden="1" outlineLevel="1" x14ac:dyDescent="0.35">
      <c r="B6245" s="200"/>
      <c r="C6245" s="201"/>
      <c r="D6245" s="201"/>
      <c r="E6245" s="201"/>
      <c r="F6245" s="202"/>
      <c r="G6245" s="549"/>
      <c r="H6245" s="549"/>
      <c r="I6245" s="549"/>
      <c r="J6245" s="549"/>
      <c r="K6245" s="549"/>
      <c r="M6245" s="465"/>
      <c r="N6245" s="201"/>
    </row>
    <row r="6246" spans="2:14" hidden="1" outlineLevel="1" x14ac:dyDescent="0.35">
      <c r="B6246" s="200"/>
      <c r="C6246" s="201"/>
      <c r="D6246" s="201"/>
      <c r="E6246" s="201"/>
      <c r="F6246" s="202"/>
      <c r="G6246" s="549"/>
      <c r="H6246" s="549"/>
      <c r="I6246" s="549"/>
      <c r="J6246" s="549"/>
      <c r="K6246" s="549"/>
      <c r="M6246" s="465"/>
      <c r="N6246" s="201"/>
    </row>
    <row r="6247" spans="2:14" hidden="1" outlineLevel="1" x14ac:dyDescent="0.35">
      <c r="B6247" s="200"/>
      <c r="C6247" s="201"/>
      <c r="D6247" s="201"/>
      <c r="E6247" s="201"/>
      <c r="F6247" s="202"/>
      <c r="G6247" s="549"/>
      <c r="H6247" s="549"/>
      <c r="I6247" s="549"/>
      <c r="J6247" s="549"/>
      <c r="K6247" s="549"/>
      <c r="M6247" s="465"/>
      <c r="N6247" s="201"/>
    </row>
    <row r="6248" spans="2:14" hidden="1" outlineLevel="1" x14ac:dyDescent="0.35">
      <c r="B6248" s="200"/>
      <c r="C6248" s="201"/>
      <c r="D6248" s="201"/>
      <c r="E6248" s="201"/>
      <c r="F6248" s="202"/>
      <c r="G6248" s="549"/>
      <c r="H6248" s="549"/>
      <c r="I6248" s="549"/>
      <c r="J6248" s="549"/>
      <c r="K6248" s="549"/>
      <c r="M6248" s="465"/>
      <c r="N6248" s="201"/>
    </row>
    <row r="6249" spans="2:14" hidden="1" outlineLevel="1" x14ac:dyDescent="0.35">
      <c r="B6249" s="200"/>
      <c r="C6249" s="201"/>
      <c r="D6249" s="201"/>
      <c r="E6249" s="201"/>
      <c r="F6249" s="202"/>
      <c r="G6249" s="549"/>
      <c r="H6249" s="549"/>
      <c r="I6249" s="549"/>
      <c r="J6249" s="549"/>
      <c r="K6249" s="549"/>
      <c r="M6249" s="465"/>
      <c r="N6249" s="201"/>
    </row>
    <row r="6250" spans="2:14" hidden="1" outlineLevel="1" x14ac:dyDescent="0.35">
      <c r="B6250" s="200"/>
      <c r="C6250" s="201"/>
      <c r="D6250" s="201"/>
      <c r="E6250" s="201"/>
      <c r="F6250" s="202"/>
      <c r="G6250" s="549"/>
      <c r="H6250" s="549"/>
      <c r="I6250" s="549"/>
      <c r="J6250" s="549"/>
      <c r="K6250" s="549"/>
      <c r="M6250" s="465"/>
      <c r="N6250" s="201"/>
    </row>
    <row r="6251" spans="2:14" hidden="1" outlineLevel="1" x14ac:dyDescent="0.35">
      <c r="B6251" s="200"/>
      <c r="C6251" s="201"/>
      <c r="D6251" s="201"/>
      <c r="E6251" s="201"/>
      <c r="F6251" s="202"/>
      <c r="G6251" s="549"/>
      <c r="H6251" s="549"/>
      <c r="I6251" s="549"/>
      <c r="J6251" s="549"/>
      <c r="K6251" s="549"/>
      <c r="M6251" s="465"/>
      <c r="N6251" s="201"/>
    </row>
    <row r="6252" spans="2:14" hidden="1" outlineLevel="1" x14ac:dyDescent="0.35">
      <c r="B6252" s="200"/>
      <c r="C6252" s="201"/>
      <c r="D6252" s="201"/>
      <c r="E6252" s="201"/>
      <c r="F6252" s="202"/>
      <c r="G6252" s="549"/>
      <c r="H6252" s="549"/>
      <c r="I6252" s="549"/>
      <c r="J6252" s="549"/>
      <c r="K6252" s="549"/>
      <c r="M6252" s="465"/>
      <c r="N6252" s="201"/>
    </row>
    <row r="6253" spans="2:14" hidden="1" outlineLevel="1" x14ac:dyDescent="0.35">
      <c r="B6253" s="200"/>
      <c r="C6253" s="201"/>
      <c r="D6253" s="201"/>
      <c r="E6253" s="201"/>
      <c r="F6253" s="202"/>
      <c r="G6253" s="549"/>
      <c r="H6253" s="549"/>
      <c r="I6253" s="549"/>
      <c r="J6253" s="549"/>
      <c r="K6253" s="549"/>
      <c r="M6253" s="465"/>
      <c r="N6253" s="201"/>
    </row>
    <row r="6254" spans="2:14" hidden="1" outlineLevel="1" x14ac:dyDescent="0.35">
      <c r="B6254" s="200"/>
      <c r="C6254" s="201"/>
      <c r="D6254" s="201"/>
      <c r="E6254" s="201"/>
      <c r="F6254" s="202"/>
      <c r="G6254" s="549"/>
      <c r="H6254" s="549"/>
      <c r="I6254" s="549"/>
      <c r="J6254" s="549"/>
      <c r="K6254" s="549"/>
      <c r="M6254" s="465"/>
      <c r="N6254" s="201"/>
    </row>
    <row r="6255" spans="2:14" hidden="1" outlineLevel="1" x14ac:dyDescent="0.35">
      <c r="B6255" s="200"/>
      <c r="C6255" s="201"/>
      <c r="D6255" s="201"/>
      <c r="E6255" s="201"/>
      <c r="F6255" s="202"/>
      <c r="G6255" s="549"/>
      <c r="H6255" s="549"/>
      <c r="I6255" s="549"/>
      <c r="J6255" s="549"/>
      <c r="K6255" s="549"/>
      <c r="M6255" s="465"/>
      <c r="N6255" s="201"/>
    </row>
    <row r="6256" spans="2:14" hidden="1" outlineLevel="1" x14ac:dyDescent="0.35">
      <c r="B6256" s="200"/>
      <c r="C6256" s="201"/>
      <c r="D6256" s="201"/>
      <c r="E6256" s="201"/>
      <c r="F6256" s="202"/>
      <c r="G6256" s="549"/>
      <c r="H6256" s="549"/>
      <c r="I6256" s="549"/>
      <c r="J6256" s="549"/>
      <c r="K6256" s="549"/>
      <c r="M6256" s="465"/>
      <c r="N6256" s="201"/>
    </row>
    <row r="6257" spans="2:14" hidden="1" outlineLevel="1" x14ac:dyDescent="0.35">
      <c r="B6257" s="200"/>
      <c r="C6257" s="201"/>
      <c r="D6257" s="201"/>
      <c r="E6257" s="201"/>
      <c r="F6257" s="202"/>
      <c r="G6257" s="549"/>
      <c r="H6257" s="549"/>
      <c r="I6257" s="549"/>
      <c r="J6257" s="549"/>
      <c r="K6257" s="549"/>
      <c r="M6257" s="465"/>
      <c r="N6257" s="201"/>
    </row>
    <row r="6258" spans="2:14" hidden="1" outlineLevel="1" x14ac:dyDescent="0.35">
      <c r="B6258" s="200"/>
      <c r="C6258" s="201"/>
      <c r="D6258" s="201"/>
      <c r="E6258" s="201"/>
      <c r="F6258" s="202"/>
      <c r="G6258" s="549"/>
      <c r="H6258" s="549"/>
      <c r="I6258" s="549"/>
      <c r="J6258" s="549"/>
      <c r="K6258" s="549"/>
      <c r="M6258" s="465"/>
      <c r="N6258" s="201"/>
    </row>
    <row r="6259" spans="2:14" hidden="1" outlineLevel="1" x14ac:dyDescent="0.35">
      <c r="B6259" s="200"/>
      <c r="C6259" s="201"/>
      <c r="D6259" s="201"/>
      <c r="E6259" s="201"/>
      <c r="F6259" s="202"/>
      <c r="G6259" s="549"/>
      <c r="H6259" s="549"/>
      <c r="I6259" s="549"/>
      <c r="J6259" s="549"/>
      <c r="K6259" s="549"/>
      <c r="M6259" s="465"/>
      <c r="N6259" s="201"/>
    </row>
    <row r="6260" spans="2:14" hidden="1" outlineLevel="1" x14ac:dyDescent="0.35">
      <c r="B6260" s="200"/>
      <c r="C6260" s="201"/>
      <c r="D6260" s="201"/>
      <c r="E6260" s="201"/>
      <c r="F6260" s="202"/>
      <c r="G6260" s="549"/>
      <c r="H6260" s="549"/>
      <c r="I6260" s="549"/>
      <c r="J6260" s="549"/>
      <c r="K6260" s="549"/>
      <c r="M6260" s="465"/>
      <c r="N6260" s="201"/>
    </row>
    <row r="6261" spans="2:14" hidden="1" outlineLevel="1" x14ac:dyDescent="0.35">
      <c r="B6261" s="200"/>
      <c r="C6261" s="201"/>
      <c r="D6261" s="201"/>
      <c r="E6261" s="201"/>
      <c r="F6261" s="202"/>
      <c r="G6261" s="549"/>
      <c r="H6261" s="549"/>
      <c r="I6261" s="549"/>
      <c r="J6261" s="549"/>
      <c r="K6261" s="549"/>
      <c r="M6261" s="465"/>
      <c r="N6261" s="201"/>
    </row>
    <row r="6262" spans="2:14" hidden="1" outlineLevel="1" x14ac:dyDescent="0.35">
      <c r="B6262" s="200"/>
      <c r="C6262" s="201"/>
      <c r="D6262" s="201"/>
      <c r="E6262" s="201"/>
      <c r="F6262" s="202"/>
      <c r="G6262" s="549"/>
      <c r="H6262" s="549"/>
      <c r="I6262" s="549"/>
      <c r="J6262" s="549"/>
      <c r="K6262" s="549"/>
      <c r="M6262" s="465"/>
      <c r="N6262" s="201"/>
    </row>
    <row r="6263" spans="2:14" hidden="1" outlineLevel="1" x14ac:dyDescent="0.35">
      <c r="B6263" s="200"/>
      <c r="C6263" s="201"/>
      <c r="D6263" s="201"/>
      <c r="E6263" s="201"/>
      <c r="F6263" s="202"/>
      <c r="G6263" s="549"/>
      <c r="H6263" s="549"/>
      <c r="I6263" s="549"/>
      <c r="J6263" s="549"/>
      <c r="K6263" s="549"/>
      <c r="M6263" s="465"/>
      <c r="N6263" s="201"/>
    </row>
    <row r="6264" spans="2:14" hidden="1" outlineLevel="1" x14ac:dyDescent="0.35">
      <c r="B6264" s="200"/>
      <c r="C6264" s="201"/>
      <c r="D6264" s="201"/>
      <c r="E6264" s="201"/>
      <c r="F6264" s="202"/>
      <c r="G6264" s="549"/>
      <c r="H6264" s="549"/>
      <c r="I6264" s="549"/>
      <c r="J6264" s="549"/>
      <c r="K6264" s="549"/>
      <c r="M6264" s="465"/>
      <c r="N6264" s="201"/>
    </row>
    <row r="6265" spans="2:14" hidden="1" outlineLevel="1" x14ac:dyDescent="0.35">
      <c r="B6265" s="200"/>
      <c r="C6265" s="201"/>
      <c r="D6265" s="201"/>
      <c r="E6265" s="201"/>
      <c r="F6265" s="202"/>
      <c r="G6265" s="549"/>
      <c r="H6265" s="549"/>
      <c r="I6265" s="549"/>
      <c r="J6265" s="549"/>
      <c r="K6265" s="549"/>
      <c r="M6265" s="465"/>
      <c r="N6265" s="201"/>
    </row>
    <row r="6266" spans="2:14" hidden="1" outlineLevel="1" x14ac:dyDescent="0.35">
      <c r="B6266" s="200"/>
      <c r="C6266" s="201"/>
      <c r="D6266" s="201"/>
      <c r="E6266" s="201"/>
      <c r="F6266" s="202"/>
      <c r="G6266" s="549"/>
      <c r="H6266" s="549"/>
      <c r="I6266" s="549"/>
      <c r="J6266" s="549"/>
      <c r="K6266" s="549"/>
      <c r="M6266" s="465"/>
      <c r="N6266" s="201"/>
    </row>
    <row r="6267" spans="2:14" hidden="1" outlineLevel="1" x14ac:dyDescent="0.35">
      <c r="B6267" s="200"/>
      <c r="C6267" s="201"/>
      <c r="D6267" s="201"/>
      <c r="E6267" s="201"/>
      <c r="F6267" s="202"/>
      <c r="G6267" s="549"/>
      <c r="H6267" s="549"/>
      <c r="I6267" s="549"/>
      <c r="J6267" s="549"/>
      <c r="K6267" s="549"/>
      <c r="M6267" s="465"/>
      <c r="N6267" s="201"/>
    </row>
    <row r="6268" spans="2:14" hidden="1" outlineLevel="1" x14ac:dyDescent="0.35">
      <c r="B6268" s="200"/>
      <c r="C6268" s="201"/>
      <c r="D6268" s="201"/>
      <c r="E6268" s="201"/>
      <c r="F6268" s="202"/>
      <c r="G6268" s="549"/>
      <c r="H6268" s="549"/>
      <c r="I6268" s="549"/>
      <c r="J6268" s="549"/>
      <c r="K6268" s="549"/>
      <c r="M6268" s="465"/>
      <c r="N6268" s="201"/>
    </row>
    <row r="6269" spans="2:14" hidden="1" outlineLevel="1" x14ac:dyDescent="0.35">
      <c r="B6269" s="200"/>
      <c r="C6269" s="201"/>
      <c r="D6269" s="201"/>
      <c r="E6269" s="201"/>
      <c r="F6269" s="202"/>
      <c r="G6269" s="549"/>
      <c r="H6269" s="549"/>
      <c r="I6269" s="549"/>
      <c r="J6269" s="549"/>
      <c r="K6269" s="549"/>
      <c r="M6269" s="465"/>
      <c r="N6269" s="201"/>
    </row>
    <row r="6270" spans="2:14" hidden="1" outlineLevel="1" x14ac:dyDescent="0.35">
      <c r="B6270" s="200"/>
      <c r="C6270" s="201"/>
      <c r="D6270" s="201"/>
      <c r="E6270" s="201"/>
      <c r="F6270" s="202"/>
      <c r="G6270" s="549"/>
      <c r="H6270" s="549"/>
      <c r="I6270" s="549"/>
      <c r="J6270" s="549"/>
      <c r="K6270" s="549"/>
      <c r="M6270" s="465"/>
      <c r="N6270" s="201"/>
    </row>
    <row r="6271" spans="2:14" hidden="1" outlineLevel="1" x14ac:dyDescent="0.35">
      <c r="B6271" s="200"/>
      <c r="C6271" s="201"/>
      <c r="D6271" s="201"/>
      <c r="E6271" s="201"/>
      <c r="F6271" s="202"/>
      <c r="G6271" s="549"/>
      <c r="H6271" s="549"/>
      <c r="I6271" s="549"/>
      <c r="J6271" s="549"/>
      <c r="K6271" s="549"/>
      <c r="M6271" s="465"/>
      <c r="N6271" s="201"/>
    </row>
    <row r="6272" spans="2:14" hidden="1" outlineLevel="1" x14ac:dyDescent="0.35">
      <c r="B6272" s="200"/>
      <c r="C6272" s="201"/>
      <c r="D6272" s="201"/>
      <c r="E6272" s="201"/>
      <c r="F6272" s="202"/>
      <c r="G6272" s="549"/>
      <c r="H6272" s="549"/>
      <c r="I6272" s="549"/>
      <c r="J6272" s="549"/>
      <c r="K6272" s="549"/>
      <c r="M6272" s="465"/>
      <c r="N6272" s="201"/>
    </row>
    <row r="6273" spans="2:14" hidden="1" outlineLevel="1" x14ac:dyDescent="0.35">
      <c r="B6273" s="200"/>
      <c r="C6273" s="201"/>
      <c r="D6273" s="201"/>
      <c r="E6273" s="201"/>
      <c r="F6273" s="202"/>
      <c r="G6273" s="549"/>
      <c r="H6273" s="549"/>
      <c r="I6273" s="549"/>
      <c r="J6273" s="549"/>
      <c r="K6273" s="549"/>
      <c r="M6273" s="465"/>
      <c r="N6273" s="201"/>
    </row>
    <row r="6274" spans="2:14" hidden="1" outlineLevel="1" x14ac:dyDescent="0.35">
      <c r="B6274" s="200"/>
      <c r="C6274" s="201"/>
      <c r="D6274" s="201"/>
      <c r="E6274" s="201"/>
      <c r="F6274" s="202"/>
      <c r="G6274" s="549"/>
      <c r="H6274" s="549"/>
      <c r="I6274" s="549"/>
      <c r="J6274" s="549"/>
      <c r="K6274" s="549"/>
      <c r="M6274" s="465"/>
      <c r="N6274" s="201"/>
    </row>
    <row r="6275" spans="2:14" hidden="1" outlineLevel="1" x14ac:dyDescent="0.35">
      <c r="B6275" s="200"/>
      <c r="C6275" s="201"/>
      <c r="D6275" s="201"/>
      <c r="E6275" s="201"/>
      <c r="F6275" s="202"/>
      <c r="G6275" s="549"/>
      <c r="H6275" s="549"/>
      <c r="I6275" s="549"/>
      <c r="J6275" s="549"/>
      <c r="K6275" s="549"/>
      <c r="M6275" s="465"/>
      <c r="N6275" s="201"/>
    </row>
    <row r="6276" spans="2:14" hidden="1" outlineLevel="1" x14ac:dyDescent="0.35">
      <c r="B6276" s="200"/>
      <c r="C6276" s="201"/>
      <c r="D6276" s="201"/>
      <c r="E6276" s="201"/>
      <c r="F6276" s="202"/>
      <c r="G6276" s="549"/>
      <c r="H6276" s="549"/>
      <c r="I6276" s="549"/>
      <c r="J6276" s="549"/>
      <c r="K6276" s="549"/>
      <c r="M6276" s="465"/>
      <c r="N6276" s="201"/>
    </row>
    <row r="6277" spans="2:14" hidden="1" outlineLevel="1" x14ac:dyDescent="0.35">
      <c r="B6277" s="200"/>
      <c r="C6277" s="201"/>
      <c r="D6277" s="201"/>
      <c r="E6277" s="201"/>
      <c r="F6277" s="202"/>
      <c r="G6277" s="549"/>
      <c r="H6277" s="549"/>
      <c r="I6277" s="549"/>
      <c r="J6277" s="549"/>
      <c r="K6277" s="549"/>
      <c r="M6277" s="465"/>
      <c r="N6277" s="201"/>
    </row>
    <row r="6278" spans="2:14" hidden="1" outlineLevel="1" x14ac:dyDescent="0.35">
      <c r="B6278" s="200"/>
      <c r="C6278" s="201"/>
      <c r="D6278" s="201"/>
      <c r="E6278" s="201"/>
      <c r="F6278" s="202"/>
      <c r="G6278" s="549"/>
      <c r="H6278" s="549"/>
      <c r="I6278" s="549"/>
      <c r="J6278" s="549"/>
      <c r="K6278" s="549"/>
      <c r="M6278" s="465"/>
      <c r="N6278" s="201"/>
    </row>
    <row r="6279" spans="2:14" hidden="1" outlineLevel="1" x14ac:dyDescent="0.35">
      <c r="B6279" s="200"/>
      <c r="C6279" s="201"/>
      <c r="D6279" s="201"/>
      <c r="E6279" s="201"/>
      <c r="F6279" s="202"/>
      <c r="G6279" s="549"/>
      <c r="H6279" s="549"/>
      <c r="I6279" s="549"/>
      <c r="J6279" s="549"/>
      <c r="K6279" s="549"/>
      <c r="M6279" s="465"/>
      <c r="N6279" s="201"/>
    </row>
    <row r="6280" spans="2:14" hidden="1" outlineLevel="1" x14ac:dyDescent="0.35">
      <c r="B6280" s="200"/>
      <c r="C6280" s="201"/>
      <c r="D6280" s="201"/>
      <c r="E6280" s="201"/>
      <c r="F6280" s="202"/>
      <c r="G6280" s="549"/>
      <c r="H6280" s="549"/>
      <c r="I6280" s="549"/>
      <c r="J6280" s="549"/>
      <c r="K6280" s="549"/>
      <c r="M6280" s="465"/>
      <c r="N6280" s="201"/>
    </row>
    <row r="6281" spans="2:14" hidden="1" outlineLevel="1" x14ac:dyDescent="0.35">
      <c r="B6281" s="200"/>
      <c r="C6281" s="201"/>
      <c r="D6281" s="201"/>
      <c r="E6281" s="201"/>
      <c r="F6281" s="202"/>
      <c r="G6281" s="549"/>
      <c r="H6281" s="549"/>
      <c r="I6281" s="549"/>
      <c r="J6281" s="549"/>
      <c r="K6281" s="549"/>
      <c r="M6281" s="465"/>
      <c r="N6281" s="201"/>
    </row>
    <row r="6282" spans="2:14" hidden="1" outlineLevel="1" x14ac:dyDescent="0.35">
      <c r="B6282" s="200"/>
      <c r="C6282" s="201"/>
      <c r="D6282" s="201"/>
      <c r="E6282" s="201"/>
      <c r="F6282" s="202"/>
      <c r="G6282" s="549"/>
      <c r="H6282" s="549"/>
      <c r="I6282" s="549"/>
      <c r="J6282" s="549"/>
      <c r="K6282" s="549"/>
      <c r="M6282" s="465"/>
      <c r="N6282" s="201"/>
    </row>
    <row r="6283" spans="2:14" hidden="1" outlineLevel="1" x14ac:dyDescent="0.35">
      <c r="B6283" s="200"/>
      <c r="C6283" s="201"/>
      <c r="D6283" s="201"/>
      <c r="E6283" s="201"/>
      <c r="F6283" s="202"/>
      <c r="G6283" s="549"/>
      <c r="H6283" s="549"/>
      <c r="I6283" s="549"/>
      <c r="J6283" s="549"/>
      <c r="K6283" s="549"/>
      <c r="M6283" s="465"/>
      <c r="N6283" s="201"/>
    </row>
    <row r="6284" spans="2:14" hidden="1" outlineLevel="1" x14ac:dyDescent="0.35">
      <c r="B6284" s="200"/>
      <c r="C6284" s="201"/>
      <c r="D6284" s="201"/>
      <c r="E6284" s="201"/>
      <c r="F6284" s="202"/>
      <c r="G6284" s="549"/>
      <c r="H6284" s="549"/>
      <c r="I6284" s="549"/>
      <c r="J6284" s="549"/>
      <c r="K6284" s="549"/>
      <c r="M6284" s="465"/>
      <c r="N6284" s="201"/>
    </row>
    <row r="6285" spans="2:14" hidden="1" outlineLevel="1" x14ac:dyDescent="0.35">
      <c r="B6285" s="200"/>
      <c r="C6285" s="201"/>
      <c r="D6285" s="201"/>
      <c r="E6285" s="201"/>
      <c r="F6285" s="202"/>
      <c r="G6285" s="549"/>
      <c r="H6285" s="549"/>
      <c r="I6285" s="549"/>
      <c r="J6285" s="549"/>
      <c r="K6285" s="549"/>
      <c r="M6285" s="465"/>
      <c r="N6285" s="201"/>
    </row>
    <row r="6286" spans="2:14" hidden="1" outlineLevel="1" x14ac:dyDescent="0.35">
      <c r="B6286" s="200"/>
      <c r="C6286" s="201"/>
      <c r="D6286" s="201"/>
      <c r="E6286" s="201"/>
      <c r="F6286" s="202"/>
      <c r="G6286" s="549"/>
      <c r="H6286" s="549"/>
      <c r="I6286" s="549"/>
      <c r="J6286" s="549"/>
      <c r="K6286" s="549"/>
      <c r="M6286" s="465"/>
      <c r="N6286" s="201"/>
    </row>
    <row r="6287" spans="2:14" hidden="1" outlineLevel="1" x14ac:dyDescent="0.35">
      <c r="B6287" s="200"/>
      <c r="C6287" s="201"/>
      <c r="D6287" s="201"/>
      <c r="E6287" s="201"/>
      <c r="F6287" s="202"/>
      <c r="G6287" s="549"/>
      <c r="H6287" s="549"/>
      <c r="I6287" s="549"/>
      <c r="J6287" s="549"/>
      <c r="K6287" s="549"/>
      <c r="M6287" s="465"/>
      <c r="N6287" s="201"/>
    </row>
    <row r="6288" spans="2:14" hidden="1" outlineLevel="1" x14ac:dyDescent="0.35">
      <c r="B6288" s="200"/>
      <c r="C6288" s="201"/>
      <c r="D6288" s="201"/>
      <c r="E6288" s="201"/>
      <c r="F6288" s="202"/>
      <c r="G6288" s="549"/>
      <c r="H6288" s="549"/>
      <c r="I6288" s="549"/>
      <c r="J6288" s="549"/>
      <c r="K6288" s="549"/>
      <c r="M6288" s="465"/>
      <c r="N6288" s="201"/>
    </row>
    <row r="6289" spans="2:14" hidden="1" outlineLevel="1" x14ac:dyDescent="0.35">
      <c r="B6289" s="200"/>
      <c r="C6289" s="201"/>
      <c r="D6289" s="201"/>
      <c r="E6289" s="201"/>
      <c r="F6289" s="202"/>
      <c r="G6289" s="549"/>
      <c r="H6289" s="549"/>
      <c r="I6289" s="549"/>
      <c r="J6289" s="549"/>
      <c r="K6289" s="549"/>
      <c r="M6289" s="465"/>
      <c r="N6289" s="201"/>
    </row>
    <row r="6290" spans="2:14" hidden="1" outlineLevel="1" x14ac:dyDescent="0.35">
      <c r="B6290" s="200"/>
      <c r="C6290" s="201"/>
      <c r="D6290" s="201"/>
      <c r="E6290" s="201"/>
      <c r="F6290" s="202"/>
      <c r="G6290" s="549"/>
      <c r="H6290" s="549"/>
      <c r="I6290" s="549"/>
      <c r="J6290" s="549"/>
      <c r="K6290" s="549"/>
      <c r="M6290" s="465"/>
      <c r="N6290" s="201"/>
    </row>
    <row r="6291" spans="2:14" hidden="1" outlineLevel="1" x14ac:dyDescent="0.35">
      <c r="B6291" s="200"/>
      <c r="C6291" s="201"/>
      <c r="D6291" s="201"/>
      <c r="E6291" s="201"/>
      <c r="F6291" s="202"/>
      <c r="G6291" s="549"/>
      <c r="H6291" s="549"/>
      <c r="I6291" s="549"/>
      <c r="J6291" s="549"/>
      <c r="K6291" s="549"/>
      <c r="M6291" s="465"/>
      <c r="N6291" s="201"/>
    </row>
    <row r="6292" spans="2:14" hidden="1" outlineLevel="1" x14ac:dyDescent="0.35">
      <c r="B6292" s="200"/>
      <c r="C6292" s="201"/>
      <c r="D6292" s="201"/>
      <c r="E6292" s="201"/>
      <c r="F6292" s="202"/>
      <c r="G6292" s="549"/>
      <c r="H6292" s="549"/>
      <c r="I6292" s="549"/>
      <c r="J6292" s="549"/>
      <c r="K6292" s="549"/>
      <c r="M6292" s="465"/>
      <c r="N6292" s="201"/>
    </row>
    <row r="6293" spans="2:14" hidden="1" outlineLevel="1" x14ac:dyDescent="0.35">
      <c r="B6293" s="200"/>
      <c r="C6293" s="201"/>
      <c r="D6293" s="201"/>
      <c r="E6293" s="201"/>
      <c r="F6293" s="202"/>
      <c r="G6293" s="549"/>
      <c r="H6293" s="549"/>
      <c r="I6293" s="549"/>
      <c r="J6293" s="549"/>
      <c r="K6293" s="549"/>
      <c r="M6293" s="465"/>
      <c r="N6293" s="201"/>
    </row>
    <row r="6294" spans="2:14" hidden="1" outlineLevel="1" x14ac:dyDescent="0.35">
      <c r="B6294" s="200"/>
      <c r="C6294" s="201"/>
      <c r="D6294" s="201"/>
      <c r="E6294" s="201"/>
      <c r="F6294" s="202"/>
      <c r="G6294" s="549"/>
      <c r="H6294" s="549"/>
      <c r="I6294" s="549"/>
      <c r="J6294" s="549"/>
      <c r="K6294" s="549"/>
      <c r="M6294" s="465"/>
      <c r="N6294" s="201"/>
    </row>
    <row r="6295" spans="2:14" hidden="1" outlineLevel="1" x14ac:dyDescent="0.35">
      <c r="B6295" s="200"/>
      <c r="C6295" s="201"/>
      <c r="D6295" s="201"/>
      <c r="E6295" s="201"/>
      <c r="F6295" s="202"/>
      <c r="G6295" s="549"/>
      <c r="H6295" s="549"/>
      <c r="I6295" s="549"/>
      <c r="J6295" s="549"/>
      <c r="K6295" s="549"/>
      <c r="M6295" s="465"/>
      <c r="N6295" s="201"/>
    </row>
    <row r="6296" spans="2:14" hidden="1" outlineLevel="1" x14ac:dyDescent="0.35">
      <c r="B6296" s="200"/>
      <c r="C6296" s="201"/>
      <c r="D6296" s="201"/>
      <c r="E6296" s="201"/>
      <c r="F6296" s="202"/>
      <c r="G6296" s="549"/>
      <c r="H6296" s="549"/>
      <c r="I6296" s="549"/>
      <c r="J6296" s="549"/>
      <c r="K6296" s="549"/>
      <c r="M6296" s="465"/>
      <c r="N6296" s="201"/>
    </row>
    <row r="6297" spans="2:14" hidden="1" outlineLevel="1" x14ac:dyDescent="0.35">
      <c r="B6297" s="200"/>
      <c r="C6297" s="201"/>
      <c r="D6297" s="201"/>
      <c r="E6297" s="201"/>
      <c r="F6297" s="202"/>
      <c r="G6297" s="549"/>
      <c r="H6297" s="549"/>
      <c r="I6297" s="549"/>
      <c r="J6297" s="549"/>
      <c r="K6297" s="549"/>
      <c r="M6297" s="465"/>
      <c r="N6297" s="201"/>
    </row>
    <row r="6298" spans="2:14" hidden="1" outlineLevel="1" x14ac:dyDescent="0.35">
      <c r="B6298" s="200"/>
      <c r="C6298" s="201"/>
      <c r="D6298" s="201"/>
      <c r="E6298" s="201"/>
      <c r="F6298" s="202"/>
      <c r="G6298" s="549"/>
      <c r="H6298" s="549"/>
      <c r="I6298" s="549"/>
      <c r="J6298" s="549"/>
      <c r="K6298" s="549"/>
      <c r="M6298" s="465"/>
      <c r="N6298" s="201"/>
    </row>
    <row r="6299" spans="2:14" hidden="1" outlineLevel="1" x14ac:dyDescent="0.35">
      <c r="B6299" s="200"/>
      <c r="C6299" s="201"/>
      <c r="D6299" s="201"/>
      <c r="E6299" s="201"/>
      <c r="F6299" s="202"/>
      <c r="G6299" s="549"/>
      <c r="H6299" s="549"/>
      <c r="I6299" s="549"/>
      <c r="J6299" s="549"/>
      <c r="K6299" s="549"/>
      <c r="M6299" s="465"/>
      <c r="N6299" s="201"/>
    </row>
    <row r="6300" spans="2:14" hidden="1" outlineLevel="1" x14ac:dyDescent="0.35">
      <c r="B6300" s="200"/>
      <c r="C6300" s="201"/>
      <c r="D6300" s="201"/>
      <c r="E6300" s="201"/>
      <c r="F6300" s="202"/>
      <c r="G6300" s="549"/>
      <c r="H6300" s="549"/>
      <c r="I6300" s="549"/>
      <c r="J6300" s="549"/>
      <c r="K6300" s="549"/>
      <c r="M6300" s="465"/>
      <c r="N6300" s="201"/>
    </row>
    <row r="6301" spans="2:14" hidden="1" outlineLevel="1" x14ac:dyDescent="0.35">
      <c r="B6301" s="200"/>
      <c r="C6301" s="201"/>
      <c r="D6301" s="201"/>
      <c r="E6301" s="201"/>
      <c r="F6301" s="202"/>
      <c r="G6301" s="549"/>
      <c r="H6301" s="549"/>
      <c r="I6301" s="549"/>
      <c r="J6301" s="549"/>
      <c r="K6301" s="549"/>
      <c r="M6301" s="465"/>
      <c r="N6301" s="201"/>
    </row>
    <row r="6302" spans="2:14" hidden="1" outlineLevel="1" x14ac:dyDescent="0.35">
      <c r="B6302" s="200"/>
      <c r="C6302" s="201"/>
      <c r="D6302" s="201"/>
      <c r="E6302" s="201"/>
      <c r="F6302" s="202"/>
      <c r="G6302" s="549"/>
      <c r="H6302" s="549"/>
      <c r="I6302" s="549"/>
      <c r="J6302" s="549"/>
      <c r="K6302" s="549"/>
      <c r="M6302" s="465"/>
      <c r="N6302" s="201"/>
    </row>
    <row r="6303" spans="2:14" hidden="1" outlineLevel="1" x14ac:dyDescent="0.35">
      <c r="B6303" s="200"/>
      <c r="C6303" s="201"/>
      <c r="D6303" s="201"/>
      <c r="E6303" s="201"/>
      <c r="F6303" s="202"/>
      <c r="G6303" s="549"/>
      <c r="H6303" s="549"/>
      <c r="I6303" s="549"/>
      <c r="J6303" s="549"/>
      <c r="K6303" s="549"/>
      <c r="M6303" s="465"/>
      <c r="N6303" s="201"/>
    </row>
    <row r="6304" spans="2:14" hidden="1" outlineLevel="1" x14ac:dyDescent="0.35">
      <c r="B6304" s="200"/>
      <c r="C6304" s="201"/>
      <c r="D6304" s="201"/>
      <c r="E6304" s="201"/>
      <c r="F6304" s="202"/>
      <c r="G6304" s="549"/>
      <c r="H6304" s="549"/>
      <c r="I6304" s="549"/>
      <c r="J6304" s="549"/>
      <c r="K6304" s="549"/>
      <c r="M6304" s="465"/>
      <c r="N6304" s="201"/>
    </row>
    <row r="6305" spans="2:14" hidden="1" outlineLevel="1" x14ac:dyDescent="0.35">
      <c r="B6305" s="200"/>
      <c r="C6305" s="201"/>
      <c r="D6305" s="201"/>
      <c r="E6305" s="201"/>
      <c r="F6305" s="202"/>
      <c r="G6305" s="549"/>
      <c r="H6305" s="549"/>
      <c r="I6305" s="549"/>
      <c r="J6305" s="549"/>
      <c r="K6305" s="549"/>
      <c r="M6305" s="465"/>
      <c r="N6305" s="201"/>
    </row>
    <row r="6306" spans="2:14" hidden="1" outlineLevel="1" x14ac:dyDescent="0.35">
      <c r="B6306" s="200"/>
      <c r="C6306" s="201"/>
      <c r="D6306" s="201"/>
      <c r="E6306" s="201"/>
      <c r="F6306" s="202"/>
      <c r="G6306" s="549"/>
      <c r="H6306" s="549"/>
      <c r="I6306" s="549"/>
      <c r="J6306" s="549"/>
      <c r="K6306" s="549"/>
      <c r="M6306" s="465"/>
      <c r="N6306" s="201"/>
    </row>
    <row r="6307" spans="2:14" hidden="1" outlineLevel="1" x14ac:dyDescent="0.35">
      <c r="B6307" s="200"/>
      <c r="C6307" s="201"/>
      <c r="D6307" s="201"/>
      <c r="E6307" s="201"/>
      <c r="F6307" s="202"/>
      <c r="G6307" s="549"/>
      <c r="H6307" s="549"/>
      <c r="I6307" s="549"/>
      <c r="J6307" s="549"/>
      <c r="K6307" s="549"/>
      <c r="M6307" s="465"/>
      <c r="N6307" s="201"/>
    </row>
    <row r="6308" spans="2:14" hidden="1" outlineLevel="1" x14ac:dyDescent="0.35">
      <c r="B6308" s="200"/>
      <c r="C6308" s="201"/>
      <c r="D6308" s="201"/>
      <c r="E6308" s="201"/>
      <c r="F6308" s="202"/>
      <c r="G6308" s="549"/>
      <c r="H6308" s="549"/>
      <c r="I6308" s="549"/>
      <c r="J6308" s="549"/>
      <c r="K6308" s="549"/>
      <c r="M6308" s="465"/>
      <c r="N6308" s="201"/>
    </row>
    <row r="6309" spans="2:14" hidden="1" outlineLevel="1" x14ac:dyDescent="0.35">
      <c r="B6309" s="200"/>
      <c r="C6309" s="201"/>
      <c r="D6309" s="201"/>
      <c r="E6309" s="201"/>
      <c r="F6309" s="202"/>
      <c r="G6309" s="549"/>
      <c r="H6309" s="549"/>
      <c r="I6309" s="549"/>
      <c r="J6309" s="549"/>
      <c r="K6309" s="549"/>
      <c r="M6309" s="465"/>
      <c r="N6309" s="201"/>
    </row>
    <row r="6310" spans="2:14" hidden="1" outlineLevel="1" x14ac:dyDescent="0.35">
      <c r="B6310" s="200"/>
      <c r="C6310" s="201"/>
      <c r="D6310" s="201"/>
      <c r="E6310" s="201"/>
      <c r="F6310" s="202"/>
      <c r="G6310" s="549"/>
      <c r="H6310" s="549"/>
      <c r="I6310" s="549"/>
      <c r="J6310" s="549"/>
      <c r="K6310" s="549"/>
      <c r="M6310" s="465"/>
      <c r="N6310" s="201"/>
    </row>
    <row r="6311" spans="2:14" hidden="1" outlineLevel="1" x14ac:dyDescent="0.35">
      <c r="B6311" s="200"/>
      <c r="C6311" s="201"/>
      <c r="D6311" s="201"/>
      <c r="E6311" s="201"/>
      <c r="F6311" s="202"/>
      <c r="G6311" s="549"/>
      <c r="H6311" s="549"/>
      <c r="I6311" s="549"/>
      <c r="J6311" s="549"/>
      <c r="K6311" s="549"/>
      <c r="M6311" s="465"/>
      <c r="N6311" s="201"/>
    </row>
    <row r="6312" spans="2:14" hidden="1" outlineLevel="1" x14ac:dyDescent="0.35">
      <c r="B6312" s="200"/>
      <c r="C6312" s="201"/>
      <c r="D6312" s="201"/>
      <c r="E6312" s="201"/>
      <c r="F6312" s="202"/>
      <c r="G6312" s="549"/>
      <c r="H6312" s="549"/>
      <c r="I6312" s="549"/>
      <c r="J6312" s="549"/>
      <c r="K6312" s="549"/>
      <c r="M6312" s="465"/>
      <c r="N6312" s="201"/>
    </row>
    <row r="6313" spans="2:14" hidden="1" outlineLevel="1" x14ac:dyDescent="0.35">
      <c r="B6313" s="200"/>
      <c r="C6313" s="201"/>
      <c r="D6313" s="201"/>
      <c r="E6313" s="201"/>
      <c r="F6313" s="202"/>
      <c r="G6313" s="549"/>
      <c r="H6313" s="549"/>
      <c r="I6313" s="549"/>
      <c r="J6313" s="549"/>
      <c r="K6313" s="549"/>
      <c r="M6313" s="465"/>
      <c r="N6313" s="201"/>
    </row>
    <row r="6314" spans="2:14" hidden="1" outlineLevel="1" x14ac:dyDescent="0.35">
      <c r="B6314" s="200"/>
      <c r="C6314" s="201"/>
      <c r="D6314" s="201"/>
      <c r="E6314" s="201"/>
      <c r="F6314" s="202"/>
      <c r="G6314" s="549"/>
      <c r="H6314" s="549"/>
      <c r="I6314" s="549"/>
      <c r="J6314" s="549"/>
      <c r="K6314" s="549"/>
      <c r="M6314" s="465"/>
      <c r="N6314" s="201"/>
    </row>
    <row r="6315" spans="2:14" hidden="1" outlineLevel="1" x14ac:dyDescent="0.35">
      <c r="B6315" s="200"/>
      <c r="C6315" s="201"/>
      <c r="D6315" s="201"/>
      <c r="E6315" s="201"/>
      <c r="F6315" s="202"/>
      <c r="G6315" s="549"/>
      <c r="H6315" s="549"/>
      <c r="I6315" s="549"/>
      <c r="J6315" s="549"/>
      <c r="K6315" s="549"/>
      <c r="M6315" s="465"/>
      <c r="N6315" s="201"/>
    </row>
    <row r="6316" spans="2:14" hidden="1" outlineLevel="1" x14ac:dyDescent="0.35">
      <c r="B6316" s="200"/>
      <c r="C6316" s="201"/>
      <c r="D6316" s="201"/>
      <c r="E6316" s="201"/>
      <c r="F6316" s="202"/>
      <c r="G6316" s="549"/>
      <c r="H6316" s="549"/>
      <c r="I6316" s="549"/>
      <c r="J6316" s="549"/>
      <c r="K6316" s="549"/>
      <c r="M6316" s="465"/>
      <c r="N6316" s="201"/>
    </row>
    <row r="6317" spans="2:14" hidden="1" outlineLevel="1" x14ac:dyDescent="0.35">
      <c r="B6317" s="200"/>
      <c r="C6317" s="201"/>
      <c r="D6317" s="201"/>
      <c r="E6317" s="201"/>
      <c r="F6317" s="202"/>
      <c r="G6317" s="549"/>
      <c r="H6317" s="549"/>
      <c r="I6317" s="549"/>
      <c r="J6317" s="549"/>
      <c r="K6317" s="549"/>
      <c r="M6317" s="465"/>
      <c r="N6317" s="201"/>
    </row>
    <row r="6318" spans="2:14" hidden="1" outlineLevel="1" x14ac:dyDescent="0.35">
      <c r="B6318" s="200"/>
      <c r="C6318" s="201"/>
      <c r="D6318" s="201"/>
      <c r="E6318" s="201"/>
      <c r="F6318" s="202"/>
      <c r="G6318" s="549"/>
      <c r="H6318" s="549"/>
      <c r="I6318" s="549"/>
      <c r="J6318" s="549"/>
      <c r="K6318" s="549"/>
      <c r="M6318" s="465"/>
      <c r="N6318" s="201"/>
    </row>
    <row r="6319" spans="2:14" hidden="1" outlineLevel="1" x14ac:dyDescent="0.35">
      <c r="B6319" s="200"/>
      <c r="C6319" s="201"/>
      <c r="D6319" s="201"/>
      <c r="E6319" s="201"/>
      <c r="F6319" s="202"/>
      <c r="G6319" s="549"/>
      <c r="H6319" s="549"/>
      <c r="I6319" s="549"/>
      <c r="J6319" s="549"/>
      <c r="K6319" s="549"/>
      <c r="M6319" s="465"/>
      <c r="N6319" s="201"/>
    </row>
    <row r="6320" spans="2:14" hidden="1" outlineLevel="1" x14ac:dyDescent="0.35">
      <c r="B6320" s="200"/>
      <c r="C6320" s="201"/>
      <c r="D6320" s="201"/>
      <c r="E6320" s="201"/>
      <c r="F6320" s="202"/>
      <c r="G6320" s="549"/>
      <c r="H6320" s="549"/>
      <c r="I6320" s="549"/>
      <c r="J6320" s="549"/>
      <c r="K6320" s="549"/>
      <c r="M6320" s="465"/>
      <c r="N6320" s="201"/>
    </row>
    <row r="6321" spans="2:14" hidden="1" outlineLevel="1" x14ac:dyDescent="0.35">
      <c r="B6321" s="200"/>
      <c r="C6321" s="201"/>
      <c r="D6321" s="201"/>
      <c r="E6321" s="201"/>
      <c r="F6321" s="202"/>
      <c r="G6321" s="549"/>
      <c r="H6321" s="549"/>
      <c r="I6321" s="549"/>
      <c r="J6321" s="549"/>
      <c r="K6321" s="549"/>
      <c r="M6321" s="465"/>
      <c r="N6321" s="201"/>
    </row>
    <row r="6322" spans="2:14" hidden="1" outlineLevel="1" x14ac:dyDescent="0.35">
      <c r="B6322" s="200"/>
      <c r="C6322" s="201"/>
      <c r="D6322" s="201"/>
      <c r="E6322" s="201"/>
      <c r="F6322" s="202"/>
      <c r="G6322" s="549"/>
      <c r="H6322" s="549"/>
      <c r="I6322" s="549"/>
      <c r="J6322" s="549"/>
      <c r="K6322" s="549"/>
      <c r="M6322" s="465"/>
      <c r="N6322" s="201"/>
    </row>
    <row r="6323" spans="2:14" hidden="1" outlineLevel="1" x14ac:dyDescent="0.35">
      <c r="B6323" s="200"/>
      <c r="C6323" s="201"/>
      <c r="D6323" s="201"/>
      <c r="E6323" s="201"/>
      <c r="F6323" s="202"/>
      <c r="G6323" s="549"/>
      <c r="H6323" s="549"/>
      <c r="I6323" s="549"/>
      <c r="J6323" s="549"/>
      <c r="K6323" s="549"/>
      <c r="M6323" s="465"/>
      <c r="N6323" s="201"/>
    </row>
    <row r="6324" spans="2:14" hidden="1" outlineLevel="1" x14ac:dyDescent="0.35">
      <c r="B6324" s="200"/>
      <c r="C6324" s="201"/>
      <c r="D6324" s="201"/>
      <c r="E6324" s="201"/>
      <c r="F6324" s="202"/>
      <c r="G6324" s="549"/>
      <c r="H6324" s="549"/>
      <c r="I6324" s="549"/>
      <c r="J6324" s="549"/>
      <c r="K6324" s="549"/>
      <c r="M6324" s="465"/>
      <c r="N6324" s="201"/>
    </row>
    <row r="6325" spans="2:14" hidden="1" outlineLevel="1" x14ac:dyDescent="0.35">
      <c r="B6325" s="200"/>
      <c r="C6325" s="201"/>
      <c r="D6325" s="201"/>
      <c r="E6325" s="201"/>
      <c r="F6325" s="202"/>
      <c r="G6325" s="549"/>
      <c r="H6325" s="549"/>
      <c r="I6325" s="549"/>
      <c r="J6325" s="549"/>
      <c r="K6325" s="549"/>
      <c r="M6325" s="465"/>
      <c r="N6325" s="201"/>
    </row>
    <row r="6326" spans="2:14" hidden="1" outlineLevel="1" x14ac:dyDescent="0.35">
      <c r="B6326" s="200"/>
      <c r="C6326" s="201"/>
      <c r="D6326" s="201"/>
      <c r="E6326" s="201"/>
      <c r="F6326" s="202"/>
      <c r="G6326" s="549"/>
      <c r="H6326" s="549"/>
      <c r="I6326" s="549"/>
      <c r="J6326" s="549"/>
      <c r="K6326" s="549"/>
      <c r="M6326" s="465"/>
      <c r="N6326" s="201"/>
    </row>
    <row r="6327" spans="2:14" hidden="1" outlineLevel="1" x14ac:dyDescent="0.35">
      <c r="B6327" s="200"/>
      <c r="C6327" s="201"/>
      <c r="D6327" s="201"/>
      <c r="E6327" s="201"/>
      <c r="F6327" s="202"/>
      <c r="G6327" s="549"/>
      <c r="H6327" s="549"/>
      <c r="I6327" s="549"/>
      <c r="J6327" s="549"/>
      <c r="K6327" s="549"/>
      <c r="M6327" s="465"/>
      <c r="N6327" s="201"/>
    </row>
    <row r="6328" spans="2:14" hidden="1" outlineLevel="1" x14ac:dyDescent="0.35">
      <c r="B6328" s="200"/>
      <c r="C6328" s="201"/>
      <c r="D6328" s="201"/>
      <c r="E6328" s="201"/>
      <c r="F6328" s="202"/>
      <c r="G6328" s="549"/>
      <c r="H6328" s="549"/>
      <c r="I6328" s="549"/>
      <c r="J6328" s="549"/>
      <c r="K6328" s="549"/>
      <c r="M6328" s="465"/>
      <c r="N6328" s="201"/>
    </row>
    <row r="6329" spans="2:14" hidden="1" outlineLevel="1" x14ac:dyDescent="0.35">
      <c r="B6329" s="200"/>
      <c r="C6329" s="201"/>
      <c r="D6329" s="201"/>
      <c r="E6329" s="201"/>
      <c r="F6329" s="202"/>
      <c r="G6329" s="549"/>
      <c r="H6329" s="549"/>
      <c r="I6329" s="549"/>
      <c r="J6329" s="549"/>
      <c r="K6329" s="549"/>
      <c r="M6329" s="465"/>
      <c r="N6329" s="201"/>
    </row>
    <row r="6330" spans="2:14" hidden="1" outlineLevel="1" x14ac:dyDescent="0.35">
      <c r="B6330" s="200"/>
      <c r="C6330" s="201"/>
      <c r="D6330" s="201"/>
      <c r="E6330" s="201"/>
      <c r="F6330" s="202"/>
      <c r="G6330" s="549"/>
      <c r="H6330" s="549"/>
      <c r="I6330" s="549"/>
      <c r="J6330" s="549"/>
      <c r="K6330" s="549"/>
      <c r="M6330" s="465"/>
      <c r="N6330" s="201"/>
    </row>
    <row r="6331" spans="2:14" hidden="1" outlineLevel="1" x14ac:dyDescent="0.35">
      <c r="B6331" s="200"/>
      <c r="C6331" s="201"/>
      <c r="D6331" s="201"/>
      <c r="E6331" s="201"/>
      <c r="F6331" s="202"/>
      <c r="G6331" s="549"/>
      <c r="H6331" s="549"/>
      <c r="I6331" s="549"/>
      <c r="J6331" s="549"/>
      <c r="K6331" s="549"/>
      <c r="M6331" s="465"/>
      <c r="N6331" s="201"/>
    </row>
    <row r="6332" spans="2:14" hidden="1" outlineLevel="1" x14ac:dyDescent="0.35">
      <c r="B6332" s="200"/>
      <c r="C6332" s="201"/>
      <c r="D6332" s="201"/>
      <c r="E6332" s="201"/>
      <c r="F6332" s="202"/>
      <c r="G6332" s="549"/>
      <c r="H6332" s="549"/>
      <c r="I6332" s="549"/>
      <c r="J6332" s="549"/>
      <c r="K6332" s="549"/>
      <c r="M6332" s="465"/>
      <c r="N6332" s="201"/>
    </row>
    <row r="6333" spans="2:14" hidden="1" outlineLevel="1" x14ac:dyDescent="0.35">
      <c r="B6333" s="200"/>
      <c r="C6333" s="201"/>
      <c r="D6333" s="201"/>
      <c r="E6333" s="201"/>
      <c r="F6333" s="202"/>
      <c r="G6333" s="549"/>
      <c r="H6333" s="549"/>
      <c r="I6333" s="549"/>
      <c r="J6333" s="549"/>
      <c r="K6333" s="549"/>
      <c r="M6333" s="465"/>
      <c r="N6333" s="201"/>
    </row>
    <row r="6334" spans="2:14" hidden="1" outlineLevel="1" x14ac:dyDescent="0.35">
      <c r="B6334" s="200"/>
      <c r="C6334" s="201"/>
      <c r="D6334" s="201"/>
      <c r="E6334" s="201"/>
      <c r="F6334" s="202"/>
      <c r="G6334" s="549"/>
      <c r="H6334" s="549"/>
      <c r="I6334" s="549"/>
      <c r="J6334" s="549"/>
      <c r="K6334" s="549"/>
      <c r="M6334" s="465"/>
      <c r="N6334" s="201"/>
    </row>
    <row r="6335" spans="2:14" hidden="1" outlineLevel="1" x14ac:dyDescent="0.35">
      <c r="B6335" s="200"/>
      <c r="C6335" s="201"/>
      <c r="D6335" s="201"/>
      <c r="E6335" s="201"/>
      <c r="F6335" s="202"/>
      <c r="G6335" s="549"/>
      <c r="H6335" s="549"/>
      <c r="I6335" s="549"/>
      <c r="J6335" s="549"/>
      <c r="K6335" s="549"/>
      <c r="M6335" s="465"/>
      <c r="N6335" s="201"/>
    </row>
    <row r="6336" spans="2:14" hidden="1" outlineLevel="1" x14ac:dyDescent="0.35">
      <c r="B6336" s="200"/>
      <c r="C6336" s="201"/>
      <c r="D6336" s="201"/>
      <c r="E6336" s="201"/>
      <c r="F6336" s="202"/>
      <c r="G6336" s="549"/>
      <c r="H6336" s="549"/>
      <c r="I6336" s="549"/>
      <c r="J6336" s="549"/>
      <c r="K6336" s="549"/>
      <c r="M6336" s="465"/>
      <c r="N6336" s="201"/>
    </row>
    <row r="6337" spans="2:14" hidden="1" outlineLevel="1" x14ac:dyDescent="0.35">
      <c r="B6337" s="200"/>
      <c r="C6337" s="201"/>
      <c r="D6337" s="201"/>
      <c r="E6337" s="201"/>
      <c r="F6337" s="202"/>
      <c r="G6337" s="549"/>
      <c r="H6337" s="549"/>
      <c r="I6337" s="549"/>
      <c r="J6337" s="549"/>
      <c r="K6337" s="549"/>
      <c r="M6337" s="465"/>
      <c r="N6337" s="201"/>
    </row>
    <row r="6338" spans="2:14" hidden="1" outlineLevel="1" x14ac:dyDescent="0.35">
      <c r="B6338" s="200"/>
      <c r="C6338" s="201"/>
      <c r="D6338" s="201"/>
      <c r="E6338" s="201"/>
      <c r="F6338" s="202"/>
      <c r="G6338" s="549"/>
      <c r="H6338" s="549"/>
      <c r="I6338" s="549"/>
      <c r="J6338" s="549"/>
      <c r="K6338" s="549"/>
      <c r="M6338" s="465"/>
      <c r="N6338" s="201"/>
    </row>
    <row r="6339" spans="2:14" hidden="1" outlineLevel="1" x14ac:dyDescent="0.35">
      <c r="B6339" s="200"/>
      <c r="C6339" s="201"/>
      <c r="D6339" s="201"/>
      <c r="E6339" s="201"/>
      <c r="F6339" s="202"/>
      <c r="G6339" s="549"/>
      <c r="H6339" s="549"/>
      <c r="I6339" s="549"/>
      <c r="J6339" s="549"/>
      <c r="K6339" s="549"/>
      <c r="M6339" s="465"/>
      <c r="N6339" s="201"/>
    </row>
    <row r="6340" spans="2:14" hidden="1" outlineLevel="1" x14ac:dyDescent="0.35">
      <c r="B6340" s="200"/>
      <c r="C6340" s="201"/>
      <c r="D6340" s="201"/>
      <c r="E6340" s="201"/>
      <c r="F6340" s="202"/>
      <c r="G6340" s="549"/>
      <c r="H6340" s="549"/>
      <c r="I6340" s="549"/>
      <c r="J6340" s="549"/>
      <c r="K6340" s="549"/>
      <c r="M6340" s="465"/>
      <c r="N6340" s="201"/>
    </row>
    <row r="6341" spans="2:14" hidden="1" outlineLevel="1" x14ac:dyDescent="0.35">
      <c r="B6341" s="200"/>
      <c r="C6341" s="201"/>
      <c r="D6341" s="201"/>
      <c r="E6341" s="201"/>
      <c r="F6341" s="202"/>
      <c r="G6341" s="549"/>
      <c r="H6341" s="549"/>
      <c r="I6341" s="549"/>
      <c r="J6341" s="549"/>
      <c r="K6341" s="549"/>
      <c r="M6341" s="465"/>
      <c r="N6341" s="201"/>
    </row>
    <row r="6342" spans="2:14" hidden="1" outlineLevel="1" x14ac:dyDescent="0.35">
      <c r="B6342" s="200"/>
      <c r="C6342" s="201"/>
      <c r="D6342" s="201"/>
      <c r="E6342" s="201"/>
      <c r="F6342" s="202"/>
      <c r="G6342" s="549"/>
      <c r="H6342" s="549"/>
      <c r="I6342" s="549"/>
      <c r="J6342" s="549"/>
      <c r="K6342" s="549"/>
      <c r="M6342" s="465"/>
      <c r="N6342" s="201"/>
    </row>
    <row r="6343" spans="2:14" hidden="1" outlineLevel="1" x14ac:dyDescent="0.35">
      <c r="B6343" s="200"/>
      <c r="C6343" s="201"/>
      <c r="D6343" s="201"/>
      <c r="E6343" s="201"/>
      <c r="F6343" s="202"/>
      <c r="G6343" s="549"/>
      <c r="H6343" s="549"/>
      <c r="I6343" s="549"/>
      <c r="J6343" s="549"/>
      <c r="K6343" s="549"/>
      <c r="M6343" s="465"/>
      <c r="N6343" s="201"/>
    </row>
    <row r="6344" spans="2:14" hidden="1" outlineLevel="1" x14ac:dyDescent="0.35">
      <c r="B6344" s="200"/>
      <c r="C6344" s="201"/>
      <c r="D6344" s="201"/>
      <c r="E6344" s="201"/>
      <c r="F6344" s="202"/>
      <c r="G6344" s="549"/>
      <c r="H6344" s="549"/>
      <c r="I6344" s="549"/>
      <c r="J6344" s="549"/>
      <c r="K6344" s="549"/>
      <c r="M6344" s="465"/>
      <c r="N6344" s="201"/>
    </row>
    <row r="6345" spans="2:14" hidden="1" outlineLevel="1" x14ac:dyDescent="0.35">
      <c r="B6345" s="200"/>
      <c r="C6345" s="201"/>
      <c r="D6345" s="201"/>
      <c r="E6345" s="201"/>
      <c r="F6345" s="202"/>
      <c r="G6345" s="549"/>
      <c r="H6345" s="549"/>
      <c r="I6345" s="549"/>
      <c r="J6345" s="549"/>
      <c r="K6345" s="549"/>
      <c r="M6345" s="465"/>
      <c r="N6345" s="201"/>
    </row>
    <row r="6346" spans="2:14" hidden="1" outlineLevel="1" x14ac:dyDescent="0.35">
      <c r="B6346" s="200"/>
      <c r="C6346" s="201"/>
      <c r="D6346" s="201"/>
      <c r="E6346" s="201"/>
      <c r="F6346" s="202"/>
      <c r="G6346" s="549"/>
      <c r="H6346" s="549"/>
      <c r="I6346" s="549"/>
      <c r="J6346" s="549"/>
      <c r="K6346" s="549"/>
      <c r="M6346" s="465"/>
      <c r="N6346" s="201"/>
    </row>
    <row r="6347" spans="2:14" hidden="1" outlineLevel="1" x14ac:dyDescent="0.35">
      <c r="B6347" s="200"/>
      <c r="C6347" s="201"/>
      <c r="D6347" s="201"/>
      <c r="E6347" s="201"/>
      <c r="F6347" s="202"/>
      <c r="G6347" s="549"/>
      <c r="H6347" s="549"/>
      <c r="I6347" s="549"/>
      <c r="J6347" s="549"/>
      <c r="K6347" s="549"/>
      <c r="M6347" s="465"/>
      <c r="N6347" s="201"/>
    </row>
    <row r="6348" spans="2:14" hidden="1" outlineLevel="1" x14ac:dyDescent="0.35">
      <c r="B6348" s="200"/>
      <c r="C6348" s="201"/>
      <c r="D6348" s="201"/>
      <c r="E6348" s="201"/>
      <c r="F6348" s="202"/>
      <c r="G6348" s="549"/>
      <c r="H6348" s="549"/>
      <c r="I6348" s="549"/>
      <c r="J6348" s="549"/>
      <c r="K6348" s="549"/>
      <c r="M6348" s="465"/>
      <c r="N6348" s="201"/>
    </row>
    <row r="6349" spans="2:14" hidden="1" outlineLevel="1" x14ac:dyDescent="0.35">
      <c r="B6349" s="200"/>
      <c r="C6349" s="201"/>
      <c r="D6349" s="201"/>
      <c r="E6349" s="201"/>
      <c r="F6349" s="202"/>
      <c r="G6349" s="549"/>
      <c r="H6349" s="549"/>
      <c r="I6349" s="549"/>
      <c r="J6349" s="549"/>
      <c r="K6349" s="549"/>
      <c r="M6349" s="465"/>
      <c r="N6349" s="201"/>
    </row>
    <row r="6350" spans="2:14" hidden="1" outlineLevel="1" x14ac:dyDescent="0.35">
      <c r="B6350" s="200"/>
      <c r="C6350" s="201"/>
      <c r="D6350" s="201"/>
      <c r="E6350" s="201"/>
      <c r="F6350" s="202"/>
      <c r="G6350" s="549"/>
      <c r="H6350" s="549"/>
      <c r="I6350" s="549"/>
      <c r="J6350" s="549"/>
      <c r="K6350" s="549"/>
      <c r="M6350" s="465"/>
      <c r="N6350" s="201"/>
    </row>
    <row r="6351" spans="2:14" hidden="1" outlineLevel="1" x14ac:dyDescent="0.35">
      <c r="B6351" s="200"/>
      <c r="C6351" s="201"/>
      <c r="D6351" s="201"/>
      <c r="E6351" s="201"/>
      <c r="F6351" s="202"/>
      <c r="G6351" s="549"/>
      <c r="H6351" s="549"/>
      <c r="I6351" s="549"/>
      <c r="J6351" s="549"/>
      <c r="K6351" s="549"/>
      <c r="M6351" s="465"/>
      <c r="N6351" s="201"/>
    </row>
    <row r="6352" spans="2:14" hidden="1" outlineLevel="1" x14ac:dyDescent="0.35">
      <c r="B6352" s="200"/>
      <c r="C6352" s="201"/>
      <c r="D6352" s="201"/>
      <c r="E6352" s="201"/>
      <c r="F6352" s="202"/>
      <c r="G6352" s="549"/>
      <c r="H6352" s="549"/>
      <c r="I6352" s="549"/>
      <c r="J6352" s="549"/>
      <c r="K6352" s="549"/>
      <c r="M6352" s="465"/>
      <c r="N6352" s="201"/>
    </row>
    <row r="6353" spans="2:14" hidden="1" outlineLevel="1" x14ac:dyDescent="0.35">
      <c r="B6353" s="200"/>
      <c r="C6353" s="201"/>
      <c r="D6353" s="201"/>
      <c r="E6353" s="201"/>
      <c r="F6353" s="202"/>
      <c r="G6353" s="549"/>
      <c r="H6353" s="549"/>
      <c r="I6353" s="549"/>
      <c r="J6353" s="549"/>
      <c r="K6353" s="549"/>
      <c r="M6353" s="465"/>
      <c r="N6353" s="201"/>
    </row>
    <row r="6354" spans="2:14" hidden="1" outlineLevel="1" x14ac:dyDescent="0.35">
      <c r="B6354" s="200"/>
      <c r="C6354" s="201"/>
      <c r="D6354" s="201"/>
      <c r="E6354" s="201"/>
      <c r="F6354" s="202"/>
      <c r="G6354" s="549"/>
      <c r="H6354" s="549"/>
      <c r="I6354" s="549"/>
      <c r="J6354" s="549"/>
      <c r="K6354" s="549"/>
      <c r="M6354" s="465"/>
      <c r="N6354" s="201"/>
    </row>
    <row r="6355" spans="2:14" hidden="1" outlineLevel="1" x14ac:dyDescent="0.35">
      <c r="B6355" s="200"/>
      <c r="C6355" s="201"/>
      <c r="D6355" s="201"/>
      <c r="E6355" s="201"/>
      <c r="F6355" s="202"/>
      <c r="G6355" s="549"/>
      <c r="H6355" s="549"/>
      <c r="I6355" s="549"/>
      <c r="J6355" s="549"/>
      <c r="K6355" s="549"/>
      <c r="M6355" s="465"/>
      <c r="N6355" s="201"/>
    </row>
    <row r="6356" spans="2:14" hidden="1" outlineLevel="1" x14ac:dyDescent="0.35">
      <c r="B6356" s="200"/>
      <c r="C6356" s="201"/>
      <c r="D6356" s="201"/>
      <c r="E6356" s="201"/>
      <c r="F6356" s="202"/>
      <c r="G6356" s="549"/>
      <c r="H6356" s="549"/>
      <c r="I6356" s="549"/>
      <c r="J6356" s="549"/>
      <c r="K6356" s="549"/>
      <c r="M6356" s="465"/>
      <c r="N6356" s="201"/>
    </row>
    <row r="6357" spans="2:14" hidden="1" outlineLevel="1" x14ac:dyDescent="0.35">
      <c r="B6357" s="200"/>
      <c r="C6357" s="201"/>
      <c r="D6357" s="201"/>
      <c r="E6357" s="201"/>
      <c r="F6357" s="202"/>
      <c r="G6357" s="549"/>
      <c r="H6357" s="549"/>
      <c r="I6357" s="549"/>
      <c r="J6357" s="549"/>
      <c r="K6357" s="549"/>
      <c r="M6357" s="465"/>
      <c r="N6357" s="201"/>
    </row>
    <row r="6358" spans="2:14" hidden="1" outlineLevel="1" x14ac:dyDescent="0.35">
      <c r="B6358" s="200"/>
      <c r="C6358" s="201"/>
      <c r="D6358" s="201"/>
      <c r="E6358" s="201"/>
      <c r="F6358" s="202"/>
      <c r="G6358" s="549"/>
      <c r="H6358" s="549"/>
      <c r="I6358" s="549"/>
      <c r="J6358" s="549"/>
      <c r="K6358" s="549"/>
      <c r="M6358" s="465"/>
      <c r="N6358" s="201"/>
    </row>
    <row r="6359" spans="2:14" hidden="1" outlineLevel="1" x14ac:dyDescent="0.35">
      <c r="B6359" s="200"/>
      <c r="C6359" s="201"/>
      <c r="D6359" s="201"/>
      <c r="E6359" s="201"/>
      <c r="F6359" s="202"/>
      <c r="G6359" s="549"/>
      <c r="H6359" s="549"/>
      <c r="I6359" s="549"/>
      <c r="J6359" s="549"/>
      <c r="K6359" s="549"/>
      <c r="M6359" s="465"/>
      <c r="N6359" s="201"/>
    </row>
    <row r="6360" spans="2:14" hidden="1" outlineLevel="1" x14ac:dyDescent="0.35">
      <c r="B6360" s="200"/>
      <c r="C6360" s="201"/>
      <c r="D6360" s="201"/>
      <c r="E6360" s="201"/>
      <c r="F6360" s="202"/>
      <c r="G6360" s="549"/>
      <c r="H6360" s="549"/>
      <c r="I6360" s="549"/>
      <c r="J6360" s="549"/>
      <c r="K6360" s="549"/>
      <c r="M6360" s="465"/>
      <c r="N6360" s="201"/>
    </row>
    <row r="6361" spans="2:14" hidden="1" outlineLevel="1" x14ac:dyDescent="0.35">
      <c r="B6361" s="200"/>
      <c r="C6361" s="201"/>
      <c r="D6361" s="201"/>
      <c r="E6361" s="201"/>
      <c r="F6361" s="202"/>
      <c r="G6361" s="549"/>
      <c r="H6361" s="549"/>
      <c r="I6361" s="549"/>
      <c r="J6361" s="549"/>
      <c r="K6361" s="549"/>
      <c r="M6361" s="465"/>
      <c r="N6361" s="201"/>
    </row>
    <row r="6362" spans="2:14" hidden="1" outlineLevel="1" x14ac:dyDescent="0.35">
      <c r="B6362" s="200"/>
      <c r="C6362" s="201"/>
      <c r="D6362" s="201"/>
      <c r="E6362" s="201"/>
      <c r="F6362" s="202"/>
      <c r="G6362" s="549"/>
      <c r="H6362" s="549"/>
      <c r="I6362" s="549"/>
      <c r="J6362" s="549"/>
      <c r="K6362" s="549"/>
      <c r="M6362" s="465"/>
      <c r="N6362" s="201"/>
    </row>
    <row r="6363" spans="2:14" hidden="1" outlineLevel="1" x14ac:dyDescent="0.35">
      <c r="B6363" s="200"/>
      <c r="C6363" s="201"/>
      <c r="D6363" s="201"/>
      <c r="E6363" s="201"/>
      <c r="F6363" s="202"/>
      <c r="G6363" s="549"/>
      <c r="H6363" s="549"/>
      <c r="I6363" s="549"/>
      <c r="J6363" s="549"/>
      <c r="K6363" s="549"/>
      <c r="M6363" s="465"/>
      <c r="N6363" s="201"/>
    </row>
    <row r="6364" spans="2:14" hidden="1" outlineLevel="1" x14ac:dyDescent="0.35">
      <c r="B6364" s="200"/>
      <c r="C6364" s="201"/>
      <c r="D6364" s="201"/>
      <c r="E6364" s="201"/>
      <c r="F6364" s="202"/>
      <c r="G6364" s="549"/>
      <c r="H6364" s="549"/>
      <c r="I6364" s="549"/>
      <c r="J6364" s="549"/>
      <c r="K6364" s="549"/>
      <c r="M6364" s="465"/>
      <c r="N6364" s="201"/>
    </row>
    <row r="6365" spans="2:14" hidden="1" outlineLevel="1" x14ac:dyDescent="0.35">
      <c r="B6365" s="200"/>
      <c r="C6365" s="201"/>
      <c r="D6365" s="201"/>
      <c r="E6365" s="201"/>
      <c r="F6365" s="202"/>
      <c r="G6365" s="549"/>
      <c r="H6365" s="549"/>
      <c r="I6365" s="549"/>
      <c r="J6365" s="549"/>
      <c r="K6365" s="549"/>
      <c r="M6365" s="465"/>
      <c r="N6365" s="201"/>
    </row>
    <row r="6366" spans="2:14" hidden="1" outlineLevel="1" x14ac:dyDescent="0.35">
      <c r="B6366" s="200"/>
      <c r="C6366" s="201"/>
      <c r="D6366" s="201"/>
      <c r="E6366" s="201"/>
      <c r="F6366" s="202"/>
      <c r="G6366" s="549"/>
      <c r="H6366" s="549"/>
      <c r="I6366" s="549"/>
      <c r="J6366" s="549"/>
      <c r="K6366" s="549"/>
      <c r="M6366" s="465"/>
      <c r="N6366" s="201"/>
    </row>
    <row r="6367" spans="2:14" hidden="1" outlineLevel="1" x14ac:dyDescent="0.35">
      <c r="B6367" s="200"/>
      <c r="C6367" s="201"/>
      <c r="D6367" s="201"/>
      <c r="E6367" s="201"/>
      <c r="F6367" s="202"/>
      <c r="G6367" s="549"/>
      <c r="H6367" s="549"/>
      <c r="I6367" s="549"/>
      <c r="J6367" s="549"/>
      <c r="K6367" s="549"/>
      <c r="M6367" s="465"/>
      <c r="N6367" s="201"/>
    </row>
    <row r="6368" spans="2:14" hidden="1" outlineLevel="1" x14ac:dyDescent="0.35">
      <c r="B6368" s="200"/>
      <c r="C6368" s="201"/>
      <c r="D6368" s="201"/>
      <c r="E6368" s="201"/>
      <c r="F6368" s="202"/>
      <c r="G6368" s="549"/>
      <c r="H6368" s="549"/>
      <c r="I6368" s="549"/>
      <c r="J6368" s="549"/>
      <c r="K6368" s="549"/>
      <c r="M6368" s="465"/>
      <c r="N6368" s="201"/>
    </row>
    <row r="6369" spans="2:14" hidden="1" outlineLevel="1" x14ac:dyDescent="0.35">
      <c r="B6369" s="200"/>
      <c r="C6369" s="201"/>
      <c r="D6369" s="201"/>
      <c r="E6369" s="201"/>
      <c r="F6369" s="202"/>
      <c r="G6369" s="549"/>
      <c r="H6369" s="549"/>
      <c r="I6369" s="549"/>
      <c r="J6369" s="549"/>
      <c r="K6369" s="549"/>
      <c r="M6369" s="465"/>
      <c r="N6369" s="201"/>
    </row>
    <row r="6370" spans="2:14" hidden="1" outlineLevel="1" x14ac:dyDescent="0.35">
      <c r="B6370" s="200"/>
      <c r="C6370" s="201"/>
      <c r="D6370" s="201"/>
      <c r="E6370" s="201"/>
      <c r="F6370" s="202"/>
      <c r="G6370" s="549"/>
      <c r="H6370" s="549"/>
      <c r="I6370" s="549"/>
      <c r="J6370" s="549"/>
      <c r="K6370" s="549"/>
      <c r="M6370" s="465"/>
      <c r="N6370" s="201"/>
    </row>
    <row r="6371" spans="2:14" hidden="1" outlineLevel="1" x14ac:dyDescent="0.35">
      <c r="B6371" s="200"/>
      <c r="C6371" s="201"/>
      <c r="D6371" s="201"/>
      <c r="E6371" s="201"/>
      <c r="F6371" s="202"/>
      <c r="G6371" s="549"/>
      <c r="H6371" s="549"/>
      <c r="I6371" s="549"/>
      <c r="J6371" s="549"/>
      <c r="K6371" s="549"/>
      <c r="M6371" s="465"/>
      <c r="N6371" s="201"/>
    </row>
    <row r="6372" spans="2:14" hidden="1" outlineLevel="1" x14ac:dyDescent="0.35">
      <c r="B6372" s="200"/>
      <c r="C6372" s="201"/>
      <c r="D6372" s="201"/>
      <c r="E6372" s="201"/>
      <c r="F6372" s="202"/>
      <c r="G6372" s="549"/>
      <c r="H6372" s="549"/>
      <c r="I6372" s="549"/>
      <c r="J6372" s="549"/>
      <c r="K6372" s="549"/>
      <c r="M6372" s="465"/>
      <c r="N6372" s="201"/>
    </row>
    <row r="6373" spans="2:14" hidden="1" outlineLevel="1" x14ac:dyDescent="0.35">
      <c r="B6373" s="200"/>
      <c r="C6373" s="201"/>
      <c r="D6373" s="201"/>
      <c r="E6373" s="201"/>
      <c r="F6373" s="202"/>
      <c r="G6373" s="549"/>
      <c r="H6373" s="549"/>
      <c r="I6373" s="549"/>
      <c r="J6373" s="549"/>
      <c r="K6373" s="549"/>
      <c r="M6373" s="465"/>
      <c r="N6373" s="201"/>
    </row>
    <row r="6374" spans="2:14" hidden="1" outlineLevel="1" x14ac:dyDescent="0.35">
      <c r="B6374" s="200"/>
      <c r="C6374" s="201"/>
      <c r="D6374" s="201"/>
      <c r="E6374" s="201"/>
      <c r="F6374" s="202"/>
      <c r="G6374" s="549"/>
      <c r="H6374" s="549"/>
      <c r="I6374" s="549"/>
      <c r="J6374" s="549"/>
      <c r="K6374" s="549"/>
      <c r="M6374" s="465"/>
      <c r="N6374" s="201"/>
    </row>
    <row r="6375" spans="2:14" hidden="1" outlineLevel="1" x14ac:dyDescent="0.35">
      <c r="B6375" s="200"/>
      <c r="C6375" s="201"/>
      <c r="D6375" s="201"/>
      <c r="E6375" s="201"/>
      <c r="F6375" s="202"/>
      <c r="G6375" s="549"/>
      <c r="H6375" s="549"/>
      <c r="I6375" s="549"/>
      <c r="J6375" s="549"/>
      <c r="K6375" s="549"/>
      <c r="M6375" s="465"/>
      <c r="N6375" s="201"/>
    </row>
    <row r="6376" spans="2:14" hidden="1" outlineLevel="1" x14ac:dyDescent="0.35">
      <c r="B6376" s="200"/>
      <c r="C6376" s="201"/>
      <c r="D6376" s="201"/>
      <c r="E6376" s="201"/>
      <c r="F6376" s="202"/>
      <c r="G6376" s="549"/>
      <c r="H6376" s="549"/>
      <c r="I6376" s="549"/>
      <c r="J6376" s="549"/>
      <c r="K6376" s="549"/>
      <c r="M6376" s="465"/>
      <c r="N6376" s="201"/>
    </row>
    <row r="6377" spans="2:14" hidden="1" outlineLevel="1" x14ac:dyDescent="0.35">
      <c r="B6377" s="200"/>
      <c r="C6377" s="201"/>
      <c r="D6377" s="201"/>
      <c r="E6377" s="201"/>
      <c r="F6377" s="202"/>
      <c r="G6377" s="549"/>
      <c r="H6377" s="549"/>
      <c r="I6377" s="549"/>
      <c r="J6377" s="549"/>
      <c r="K6377" s="549"/>
      <c r="M6377" s="465"/>
      <c r="N6377" s="201"/>
    </row>
    <row r="6378" spans="2:14" hidden="1" outlineLevel="1" x14ac:dyDescent="0.35">
      <c r="B6378" s="200"/>
      <c r="C6378" s="201"/>
      <c r="D6378" s="201"/>
      <c r="E6378" s="201"/>
      <c r="F6378" s="202"/>
      <c r="G6378" s="549"/>
      <c r="H6378" s="549"/>
      <c r="I6378" s="549"/>
      <c r="J6378" s="549"/>
      <c r="K6378" s="549"/>
      <c r="M6378" s="465"/>
      <c r="N6378" s="201"/>
    </row>
    <row r="6379" spans="2:14" hidden="1" outlineLevel="1" x14ac:dyDescent="0.35">
      <c r="B6379" s="200"/>
      <c r="C6379" s="201"/>
      <c r="D6379" s="201"/>
      <c r="E6379" s="201"/>
      <c r="F6379" s="202"/>
      <c r="G6379" s="549"/>
      <c r="H6379" s="549"/>
      <c r="I6379" s="549"/>
      <c r="J6379" s="549"/>
      <c r="K6379" s="549"/>
      <c r="M6379" s="465"/>
      <c r="N6379" s="201"/>
    </row>
    <row r="6380" spans="2:14" hidden="1" outlineLevel="1" x14ac:dyDescent="0.35">
      <c r="B6380" s="200"/>
      <c r="C6380" s="201"/>
      <c r="D6380" s="201"/>
      <c r="E6380" s="201"/>
      <c r="F6380" s="202"/>
      <c r="G6380" s="549"/>
      <c r="H6380" s="549"/>
      <c r="I6380" s="549"/>
      <c r="J6380" s="549"/>
      <c r="K6380" s="549"/>
      <c r="M6380" s="465"/>
      <c r="N6380" s="201"/>
    </row>
    <row r="6381" spans="2:14" hidden="1" outlineLevel="1" x14ac:dyDescent="0.35">
      <c r="B6381" s="200"/>
      <c r="C6381" s="201"/>
      <c r="D6381" s="201"/>
      <c r="E6381" s="201"/>
      <c r="F6381" s="202"/>
      <c r="G6381" s="549"/>
      <c r="H6381" s="549"/>
      <c r="I6381" s="549"/>
      <c r="J6381" s="549"/>
      <c r="K6381" s="549"/>
      <c r="M6381" s="465"/>
      <c r="N6381" s="201"/>
    </row>
    <row r="6382" spans="2:14" hidden="1" outlineLevel="1" x14ac:dyDescent="0.35">
      <c r="B6382" s="200"/>
      <c r="C6382" s="201"/>
      <c r="D6382" s="201"/>
      <c r="E6382" s="201"/>
      <c r="F6382" s="202"/>
      <c r="G6382" s="549"/>
      <c r="H6382" s="549"/>
      <c r="I6382" s="549"/>
      <c r="J6382" s="549"/>
      <c r="K6382" s="549"/>
      <c r="M6382" s="465"/>
      <c r="N6382" s="201"/>
    </row>
    <row r="6383" spans="2:14" hidden="1" outlineLevel="1" x14ac:dyDescent="0.35">
      <c r="B6383" s="200"/>
      <c r="C6383" s="201"/>
      <c r="D6383" s="201"/>
      <c r="E6383" s="201"/>
      <c r="F6383" s="202"/>
      <c r="G6383" s="549"/>
      <c r="H6383" s="549"/>
      <c r="I6383" s="549"/>
      <c r="J6383" s="549"/>
      <c r="K6383" s="549"/>
      <c r="M6383" s="465"/>
      <c r="N6383" s="201"/>
    </row>
    <row r="6384" spans="2:14" hidden="1" outlineLevel="1" x14ac:dyDescent="0.35">
      <c r="B6384" s="200"/>
      <c r="C6384" s="201"/>
      <c r="D6384" s="201"/>
      <c r="E6384" s="201"/>
      <c r="F6384" s="202"/>
      <c r="G6384" s="549"/>
      <c r="H6384" s="549"/>
      <c r="I6384" s="549"/>
      <c r="J6384" s="549"/>
      <c r="K6384" s="549"/>
      <c r="M6384" s="465"/>
      <c r="N6384" s="201"/>
    </row>
    <row r="6385" spans="2:14" hidden="1" outlineLevel="1" x14ac:dyDescent="0.35">
      <c r="B6385" s="200"/>
      <c r="C6385" s="201"/>
      <c r="D6385" s="201"/>
      <c r="E6385" s="201"/>
      <c r="F6385" s="202"/>
      <c r="G6385" s="549"/>
      <c r="H6385" s="549"/>
      <c r="I6385" s="549"/>
      <c r="J6385" s="549"/>
      <c r="K6385" s="549"/>
      <c r="M6385" s="465"/>
      <c r="N6385" s="201"/>
    </row>
    <row r="6386" spans="2:14" hidden="1" outlineLevel="1" x14ac:dyDescent="0.35">
      <c r="B6386" s="200"/>
      <c r="C6386" s="201"/>
      <c r="D6386" s="201"/>
      <c r="E6386" s="201"/>
      <c r="F6386" s="202"/>
      <c r="G6386" s="549"/>
      <c r="H6386" s="549"/>
      <c r="I6386" s="549"/>
      <c r="J6386" s="549"/>
      <c r="K6386" s="549"/>
      <c r="M6386" s="465"/>
      <c r="N6386" s="201"/>
    </row>
    <row r="6387" spans="2:14" hidden="1" outlineLevel="1" x14ac:dyDescent="0.35">
      <c r="B6387" s="200"/>
      <c r="C6387" s="201"/>
      <c r="D6387" s="201"/>
      <c r="E6387" s="201"/>
      <c r="F6387" s="202"/>
      <c r="G6387" s="549"/>
      <c r="H6387" s="549"/>
      <c r="I6387" s="549"/>
      <c r="J6387" s="549"/>
      <c r="K6387" s="549"/>
      <c r="M6387" s="465"/>
      <c r="N6387" s="201"/>
    </row>
    <row r="6388" spans="2:14" hidden="1" outlineLevel="1" x14ac:dyDescent="0.35">
      <c r="B6388" s="200"/>
      <c r="C6388" s="201"/>
      <c r="D6388" s="201"/>
      <c r="E6388" s="201"/>
      <c r="F6388" s="202"/>
      <c r="G6388" s="549"/>
      <c r="H6388" s="549"/>
      <c r="I6388" s="549"/>
      <c r="J6388" s="549"/>
      <c r="K6388" s="549"/>
      <c r="M6388" s="465"/>
      <c r="N6388" s="201"/>
    </row>
    <row r="6389" spans="2:14" hidden="1" outlineLevel="1" x14ac:dyDescent="0.35">
      <c r="B6389" s="200"/>
      <c r="C6389" s="201"/>
      <c r="D6389" s="201"/>
      <c r="E6389" s="201"/>
      <c r="F6389" s="202"/>
      <c r="G6389" s="549"/>
      <c r="H6389" s="549"/>
      <c r="I6389" s="549"/>
      <c r="J6389" s="549"/>
      <c r="K6389" s="549"/>
      <c r="M6389" s="465"/>
      <c r="N6389" s="201"/>
    </row>
    <row r="6390" spans="2:14" hidden="1" outlineLevel="1" x14ac:dyDescent="0.35">
      <c r="B6390" s="200"/>
      <c r="C6390" s="201"/>
      <c r="D6390" s="201"/>
      <c r="E6390" s="201"/>
      <c r="F6390" s="202"/>
      <c r="G6390" s="549"/>
      <c r="H6390" s="549"/>
      <c r="I6390" s="549"/>
      <c r="J6390" s="549"/>
      <c r="K6390" s="549"/>
      <c r="M6390" s="465"/>
      <c r="N6390" s="201"/>
    </row>
    <row r="6391" spans="2:14" hidden="1" outlineLevel="1" x14ac:dyDescent="0.35">
      <c r="B6391" s="200"/>
      <c r="C6391" s="201"/>
      <c r="D6391" s="201"/>
      <c r="E6391" s="201"/>
      <c r="F6391" s="202"/>
      <c r="G6391" s="549"/>
      <c r="H6391" s="549"/>
      <c r="I6391" s="549"/>
      <c r="J6391" s="549"/>
      <c r="K6391" s="549"/>
      <c r="M6391" s="465"/>
      <c r="N6391" s="201"/>
    </row>
    <row r="6392" spans="2:14" hidden="1" outlineLevel="1" x14ac:dyDescent="0.35">
      <c r="B6392" s="200"/>
      <c r="C6392" s="201"/>
      <c r="D6392" s="201"/>
      <c r="E6392" s="201"/>
      <c r="F6392" s="202"/>
      <c r="G6392" s="549"/>
      <c r="H6392" s="549"/>
      <c r="I6392" s="549"/>
      <c r="J6392" s="549"/>
      <c r="K6392" s="549"/>
      <c r="M6392" s="465"/>
      <c r="N6392" s="201"/>
    </row>
    <row r="6393" spans="2:14" hidden="1" outlineLevel="1" x14ac:dyDescent="0.35">
      <c r="B6393" s="200"/>
      <c r="C6393" s="201"/>
      <c r="D6393" s="201"/>
      <c r="E6393" s="201"/>
      <c r="F6393" s="202"/>
      <c r="G6393" s="549"/>
      <c r="H6393" s="549"/>
      <c r="I6393" s="549"/>
      <c r="J6393" s="549"/>
      <c r="K6393" s="549"/>
      <c r="M6393" s="465"/>
      <c r="N6393" s="201"/>
    </row>
    <row r="6394" spans="2:14" hidden="1" outlineLevel="1" x14ac:dyDescent="0.35">
      <c r="B6394" s="200"/>
      <c r="C6394" s="201"/>
      <c r="D6394" s="201"/>
      <c r="E6394" s="201"/>
      <c r="F6394" s="202"/>
      <c r="G6394" s="549"/>
      <c r="H6394" s="549"/>
      <c r="I6394" s="549"/>
      <c r="J6394" s="549"/>
      <c r="K6394" s="549"/>
      <c r="M6394" s="465"/>
      <c r="N6394" s="201"/>
    </row>
    <row r="6395" spans="2:14" hidden="1" outlineLevel="1" x14ac:dyDescent="0.35">
      <c r="B6395" s="200"/>
      <c r="C6395" s="201"/>
      <c r="D6395" s="201"/>
      <c r="E6395" s="201"/>
      <c r="F6395" s="202"/>
      <c r="G6395" s="549"/>
      <c r="H6395" s="549"/>
      <c r="I6395" s="549"/>
      <c r="J6395" s="549"/>
      <c r="K6395" s="549"/>
      <c r="M6395" s="465"/>
      <c r="N6395" s="201"/>
    </row>
    <row r="6396" spans="2:14" hidden="1" outlineLevel="1" x14ac:dyDescent="0.35">
      <c r="B6396" s="200"/>
      <c r="C6396" s="201"/>
      <c r="D6396" s="201"/>
      <c r="E6396" s="201"/>
      <c r="F6396" s="202"/>
      <c r="G6396" s="549"/>
      <c r="H6396" s="549"/>
      <c r="I6396" s="549"/>
      <c r="J6396" s="549"/>
      <c r="K6396" s="549"/>
      <c r="M6396" s="465"/>
      <c r="N6396" s="201"/>
    </row>
    <row r="6397" spans="2:14" hidden="1" outlineLevel="1" x14ac:dyDescent="0.35">
      <c r="B6397" s="200"/>
      <c r="C6397" s="201"/>
      <c r="D6397" s="201"/>
      <c r="E6397" s="201"/>
      <c r="F6397" s="202"/>
      <c r="G6397" s="549"/>
      <c r="H6397" s="549"/>
      <c r="I6397" s="549"/>
      <c r="J6397" s="549"/>
      <c r="K6397" s="549"/>
      <c r="M6397" s="465"/>
      <c r="N6397" s="201"/>
    </row>
    <row r="6398" spans="2:14" hidden="1" outlineLevel="1" x14ac:dyDescent="0.35">
      <c r="B6398" s="200"/>
      <c r="C6398" s="201"/>
      <c r="D6398" s="201"/>
      <c r="E6398" s="201"/>
      <c r="F6398" s="202"/>
      <c r="G6398" s="549"/>
      <c r="H6398" s="549"/>
      <c r="I6398" s="549"/>
      <c r="J6398" s="549"/>
      <c r="K6398" s="549"/>
      <c r="M6398" s="465"/>
      <c r="N6398" s="201"/>
    </row>
    <row r="6399" spans="2:14" hidden="1" outlineLevel="1" x14ac:dyDescent="0.35">
      <c r="B6399" s="200"/>
      <c r="C6399" s="201"/>
      <c r="D6399" s="201"/>
      <c r="E6399" s="201"/>
      <c r="F6399" s="202"/>
      <c r="G6399" s="549"/>
      <c r="H6399" s="549"/>
      <c r="I6399" s="549"/>
      <c r="J6399" s="549"/>
      <c r="K6399" s="549"/>
      <c r="M6399" s="465"/>
      <c r="N6399" s="201"/>
    </row>
    <row r="6400" spans="2:14" hidden="1" outlineLevel="1" x14ac:dyDescent="0.35">
      <c r="B6400" s="200"/>
      <c r="C6400" s="201"/>
      <c r="D6400" s="201"/>
      <c r="E6400" s="201"/>
      <c r="F6400" s="202"/>
      <c r="G6400" s="549"/>
      <c r="H6400" s="549"/>
      <c r="I6400" s="549"/>
      <c r="J6400" s="549"/>
      <c r="K6400" s="549"/>
      <c r="M6400" s="465"/>
      <c r="N6400" s="201"/>
    </row>
    <row r="6401" spans="2:14" hidden="1" outlineLevel="1" x14ac:dyDescent="0.35">
      <c r="B6401" s="200"/>
      <c r="C6401" s="201"/>
      <c r="D6401" s="201"/>
      <c r="E6401" s="201"/>
      <c r="F6401" s="202"/>
      <c r="G6401" s="549"/>
      <c r="H6401" s="549"/>
      <c r="I6401" s="549"/>
      <c r="J6401" s="549"/>
      <c r="K6401" s="549"/>
      <c r="M6401" s="465"/>
      <c r="N6401" s="201"/>
    </row>
    <row r="6402" spans="2:14" hidden="1" outlineLevel="1" x14ac:dyDescent="0.35">
      <c r="B6402" s="200"/>
      <c r="C6402" s="201"/>
      <c r="D6402" s="201"/>
      <c r="E6402" s="201"/>
      <c r="F6402" s="202"/>
      <c r="G6402" s="549"/>
      <c r="H6402" s="549"/>
      <c r="I6402" s="549"/>
      <c r="J6402" s="549"/>
      <c r="K6402" s="549"/>
      <c r="M6402" s="465"/>
      <c r="N6402" s="201"/>
    </row>
    <row r="6403" spans="2:14" hidden="1" outlineLevel="1" x14ac:dyDescent="0.35">
      <c r="B6403" s="200"/>
      <c r="C6403" s="201"/>
      <c r="D6403" s="201"/>
      <c r="E6403" s="201"/>
      <c r="F6403" s="202"/>
      <c r="G6403" s="549"/>
      <c r="H6403" s="549"/>
      <c r="I6403" s="549"/>
      <c r="J6403" s="549"/>
      <c r="K6403" s="549"/>
      <c r="M6403" s="465"/>
      <c r="N6403" s="201"/>
    </row>
    <row r="6404" spans="2:14" hidden="1" outlineLevel="1" x14ac:dyDescent="0.35">
      <c r="B6404" s="200"/>
      <c r="C6404" s="201"/>
      <c r="D6404" s="201"/>
      <c r="E6404" s="201"/>
      <c r="F6404" s="202"/>
      <c r="G6404" s="549"/>
      <c r="H6404" s="549"/>
      <c r="I6404" s="549"/>
      <c r="J6404" s="549"/>
      <c r="K6404" s="549"/>
      <c r="M6404" s="465"/>
      <c r="N6404" s="201"/>
    </row>
    <row r="6405" spans="2:14" hidden="1" outlineLevel="1" x14ac:dyDescent="0.35">
      <c r="B6405" s="200"/>
      <c r="C6405" s="201"/>
      <c r="D6405" s="201"/>
      <c r="E6405" s="201"/>
      <c r="F6405" s="202"/>
      <c r="G6405" s="549"/>
      <c r="H6405" s="549"/>
      <c r="I6405" s="549"/>
      <c r="J6405" s="549"/>
      <c r="K6405" s="549"/>
      <c r="M6405" s="465"/>
      <c r="N6405" s="201"/>
    </row>
    <row r="6406" spans="2:14" hidden="1" outlineLevel="1" x14ac:dyDescent="0.35">
      <c r="B6406" s="200"/>
      <c r="C6406" s="201"/>
      <c r="D6406" s="201"/>
      <c r="E6406" s="201"/>
      <c r="F6406" s="202"/>
      <c r="G6406" s="549"/>
      <c r="H6406" s="549"/>
      <c r="I6406" s="549"/>
      <c r="J6406" s="549"/>
      <c r="K6406" s="549"/>
      <c r="M6406" s="465"/>
      <c r="N6406" s="201"/>
    </row>
    <row r="6407" spans="2:14" hidden="1" outlineLevel="1" x14ac:dyDescent="0.35">
      <c r="B6407" s="200"/>
      <c r="C6407" s="201"/>
      <c r="D6407" s="201"/>
      <c r="E6407" s="201"/>
      <c r="F6407" s="202"/>
      <c r="G6407" s="549"/>
      <c r="H6407" s="549"/>
      <c r="I6407" s="549"/>
      <c r="J6407" s="549"/>
      <c r="K6407" s="549"/>
      <c r="M6407" s="465"/>
      <c r="N6407" s="201"/>
    </row>
    <row r="6408" spans="2:14" hidden="1" outlineLevel="1" x14ac:dyDescent="0.35">
      <c r="B6408" s="200"/>
      <c r="C6408" s="201"/>
      <c r="D6408" s="201"/>
      <c r="E6408" s="201"/>
      <c r="F6408" s="202"/>
      <c r="G6408" s="549"/>
      <c r="H6408" s="549"/>
      <c r="I6408" s="549"/>
      <c r="J6408" s="549"/>
      <c r="K6408" s="549"/>
      <c r="M6408" s="465"/>
      <c r="N6408" s="201"/>
    </row>
    <row r="6409" spans="2:14" hidden="1" outlineLevel="1" x14ac:dyDescent="0.35">
      <c r="B6409" s="200"/>
      <c r="C6409" s="201"/>
      <c r="D6409" s="201"/>
      <c r="E6409" s="201"/>
      <c r="F6409" s="202"/>
      <c r="G6409" s="549"/>
      <c r="H6409" s="549"/>
      <c r="I6409" s="549"/>
      <c r="J6409" s="549"/>
      <c r="K6409" s="549"/>
      <c r="M6409" s="465"/>
      <c r="N6409" s="201"/>
    </row>
    <row r="6410" spans="2:14" hidden="1" outlineLevel="1" x14ac:dyDescent="0.35">
      <c r="B6410" s="200"/>
      <c r="C6410" s="201"/>
      <c r="D6410" s="201"/>
      <c r="E6410" s="201"/>
      <c r="F6410" s="202"/>
      <c r="G6410" s="549"/>
      <c r="H6410" s="549"/>
      <c r="I6410" s="549"/>
      <c r="J6410" s="549"/>
      <c r="K6410" s="549"/>
      <c r="M6410" s="465"/>
      <c r="N6410" s="201"/>
    </row>
    <row r="6411" spans="2:14" hidden="1" outlineLevel="1" x14ac:dyDescent="0.35">
      <c r="B6411" s="200"/>
      <c r="C6411" s="201"/>
      <c r="D6411" s="201"/>
      <c r="E6411" s="201"/>
      <c r="F6411" s="202"/>
      <c r="G6411" s="549"/>
      <c r="H6411" s="549"/>
      <c r="I6411" s="549"/>
      <c r="J6411" s="549"/>
      <c r="K6411" s="549"/>
      <c r="M6411" s="465"/>
      <c r="N6411" s="201"/>
    </row>
    <row r="6412" spans="2:14" hidden="1" outlineLevel="1" x14ac:dyDescent="0.35">
      <c r="B6412" s="200"/>
      <c r="C6412" s="201"/>
      <c r="D6412" s="201"/>
      <c r="E6412" s="201"/>
      <c r="F6412" s="202"/>
      <c r="G6412" s="549"/>
      <c r="H6412" s="549"/>
      <c r="I6412" s="549"/>
      <c r="J6412" s="549"/>
      <c r="K6412" s="549"/>
      <c r="M6412" s="465"/>
      <c r="N6412" s="201"/>
    </row>
    <row r="6413" spans="2:14" hidden="1" outlineLevel="1" x14ac:dyDescent="0.35">
      <c r="B6413" s="200"/>
      <c r="C6413" s="201"/>
      <c r="D6413" s="201"/>
      <c r="E6413" s="201"/>
      <c r="F6413" s="202"/>
      <c r="G6413" s="549"/>
      <c r="H6413" s="549"/>
      <c r="I6413" s="549"/>
      <c r="J6413" s="549"/>
      <c r="K6413" s="549"/>
      <c r="M6413" s="465"/>
      <c r="N6413" s="201"/>
    </row>
    <row r="6414" spans="2:14" hidden="1" outlineLevel="1" x14ac:dyDescent="0.35">
      <c r="B6414" s="200"/>
      <c r="C6414" s="201"/>
      <c r="D6414" s="201"/>
      <c r="E6414" s="201"/>
      <c r="F6414" s="202"/>
      <c r="G6414" s="549"/>
      <c r="H6414" s="549"/>
      <c r="I6414" s="549"/>
      <c r="J6414" s="549"/>
      <c r="K6414" s="549"/>
      <c r="M6414" s="465"/>
      <c r="N6414" s="201"/>
    </row>
    <row r="6415" spans="2:14" hidden="1" outlineLevel="1" x14ac:dyDescent="0.35">
      <c r="B6415" s="200"/>
      <c r="C6415" s="201"/>
      <c r="D6415" s="201"/>
      <c r="E6415" s="201"/>
      <c r="F6415" s="202"/>
      <c r="G6415" s="549"/>
      <c r="H6415" s="549"/>
      <c r="I6415" s="549"/>
      <c r="J6415" s="549"/>
      <c r="K6415" s="549"/>
      <c r="M6415" s="465"/>
      <c r="N6415" s="201"/>
    </row>
    <row r="6416" spans="2:14" hidden="1" outlineLevel="1" x14ac:dyDescent="0.35">
      <c r="B6416" s="200"/>
      <c r="C6416" s="201"/>
      <c r="D6416" s="201"/>
      <c r="E6416" s="201"/>
      <c r="F6416" s="202"/>
      <c r="G6416" s="549"/>
      <c r="H6416" s="549"/>
      <c r="I6416" s="549"/>
      <c r="J6416" s="549"/>
      <c r="K6416" s="549"/>
      <c r="M6416" s="465"/>
      <c r="N6416" s="201"/>
    </row>
    <row r="6417" spans="2:14" hidden="1" outlineLevel="1" x14ac:dyDescent="0.35">
      <c r="B6417" s="200"/>
      <c r="C6417" s="201"/>
      <c r="D6417" s="201"/>
      <c r="E6417" s="201"/>
      <c r="F6417" s="202"/>
      <c r="G6417" s="549"/>
      <c r="H6417" s="549"/>
      <c r="I6417" s="549"/>
      <c r="J6417" s="549"/>
      <c r="K6417" s="549"/>
      <c r="M6417" s="465"/>
      <c r="N6417" s="201"/>
    </row>
    <row r="6418" spans="2:14" hidden="1" outlineLevel="1" x14ac:dyDescent="0.35">
      <c r="B6418" s="200"/>
      <c r="C6418" s="201"/>
      <c r="D6418" s="201"/>
      <c r="E6418" s="201"/>
      <c r="F6418" s="202"/>
      <c r="G6418" s="549"/>
      <c r="H6418" s="549"/>
      <c r="I6418" s="549"/>
      <c r="J6418" s="549"/>
      <c r="K6418" s="549"/>
      <c r="M6418" s="465"/>
      <c r="N6418" s="201"/>
    </row>
    <row r="6419" spans="2:14" hidden="1" outlineLevel="1" x14ac:dyDescent="0.35">
      <c r="B6419" s="200"/>
      <c r="C6419" s="201"/>
      <c r="D6419" s="201"/>
      <c r="E6419" s="201"/>
      <c r="F6419" s="202"/>
      <c r="G6419" s="549"/>
      <c r="H6419" s="549"/>
      <c r="I6419" s="549"/>
      <c r="J6419" s="549"/>
      <c r="K6419" s="549"/>
      <c r="M6419" s="465"/>
      <c r="N6419" s="201"/>
    </row>
    <row r="6420" spans="2:14" hidden="1" outlineLevel="1" x14ac:dyDescent="0.35">
      <c r="B6420" s="200"/>
      <c r="C6420" s="201"/>
      <c r="D6420" s="201"/>
      <c r="E6420" s="201"/>
      <c r="F6420" s="202"/>
      <c r="G6420" s="549"/>
      <c r="H6420" s="549"/>
      <c r="I6420" s="549"/>
      <c r="J6420" s="549"/>
      <c r="K6420" s="549"/>
      <c r="M6420" s="465"/>
      <c r="N6420" s="201"/>
    </row>
    <row r="6421" spans="2:14" hidden="1" outlineLevel="1" x14ac:dyDescent="0.35">
      <c r="B6421" s="200"/>
      <c r="C6421" s="201"/>
      <c r="D6421" s="201"/>
      <c r="E6421" s="201"/>
      <c r="F6421" s="202"/>
      <c r="G6421" s="549"/>
      <c r="H6421" s="549"/>
      <c r="I6421" s="549"/>
      <c r="J6421" s="549"/>
      <c r="K6421" s="549"/>
      <c r="M6421" s="465"/>
      <c r="N6421" s="201"/>
    </row>
    <row r="6422" spans="2:14" hidden="1" outlineLevel="1" x14ac:dyDescent="0.35">
      <c r="B6422" s="200"/>
      <c r="C6422" s="201"/>
      <c r="D6422" s="201"/>
      <c r="E6422" s="201"/>
      <c r="F6422" s="202"/>
      <c r="G6422" s="549"/>
      <c r="H6422" s="549"/>
      <c r="I6422" s="549"/>
      <c r="J6422" s="549"/>
      <c r="K6422" s="549"/>
      <c r="M6422" s="465"/>
      <c r="N6422" s="201"/>
    </row>
    <row r="6423" spans="2:14" hidden="1" outlineLevel="1" x14ac:dyDescent="0.35">
      <c r="B6423" s="200"/>
      <c r="C6423" s="201"/>
      <c r="D6423" s="201"/>
      <c r="E6423" s="201"/>
      <c r="F6423" s="202"/>
      <c r="G6423" s="549"/>
      <c r="H6423" s="549"/>
      <c r="I6423" s="549"/>
      <c r="J6423" s="549"/>
      <c r="K6423" s="549"/>
      <c r="M6423" s="465"/>
      <c r="N6423" s="201"/>
    </row>
    <row r="6424" spans="2:14" hidden="1" outlineLevel="1" x14ac:dyDescent="0.35">
      <c r="B6424" s="200"/>
      <c r="C6424" s="201"/>
      <c r="D6424" s="201"/>
      <c r="E6424" s="201"/>
      <c r="F6424" s="202"/>
      <c r="G6424" s="549"/>
      <c r="H6424" s="549"/>
      <c r="I6424" s="549"/>
      <c r="J6424" s="549"/>
      <c r="K6424" s="549"/>
      <c r="M6424" s="465"/>
      <c r="N6424" s="201"/>
    </row>
    <row r="6425" spans="2:14" hidden="1" outlineLevel="1" x14ac:dyDescent="0.35">
      <c r="B6425" s="200"/>
      <c r="C6425" s="201"/>
      <c r="D6425" s="201"/>
      <c r="E6425" s="201"/>
      <c r="F6425" s="202"/>
      <c r="G6425" s="549"/>
      <c r="H6425" s="549"/>
      <c r="I6425" s="549"/>
      <c r="J6425" s="549"/>
      <c r="K6425" s="549"/>
      <c r="M6425" s="465"/>
      <c r="N6425" s="201"/>
    </row>
    <row r="6426" spans="2:14" hidden="1" outlineLevel="1" x14ac:dyDescent="0.35">
      <c r="B6426" s="200"/>
      <c r="C6426" s="201"/>
      <c r="D6426" s="201"/>
      <c r="E6426" s="201"/>
      <c r="F6426" s="202"/>
      <c r="G6426" s="549"/>
      <c r="H6426" s="549"/>
      <c r="I6426" s="549"/>
      <c r="J6426" s="549"/>
      <c r="K6426" s="549"/>
      <c r="M6426" s="465"/>
      <c r="N6426" s="201"/>
    </row>
    <row r="6427" spans="2:14" hidden="1" outlineLevel="1" x14ac:dyDescent="0.35">
      <c r="B6427" s="200"/>
      <c r="C6427" s="201"/>
      <c r="D6427" s="201"/>
      <c r="E6427" s="201"/>
      <c r="F6427" s="202"/>
      <c r="G6427" s="549"/>
      <c r="H6427" s="549"/>
      <c r="I6427" s="549"/>
      <c r="J6427" s="549"/>
      <c r="K6427" s="549"/>
      <c r="M6427" s="465"/>
      <c r="N6427" s="201"/>
    </row>
    <row r="6428" spans="2:14" hidden="1" outlineLevel="1" x14ac:dyDescent="0.35">
      <c r="B6428" s="200"/>
      <c r="C6428" s="201"/>
      <c r="D6428" s="201"/>
      <c r="E6428" s="201"/>
      <c r="F6428" s="202"/>
      <c r="G6428" s="549"/>
      <c r="H6428" s="549"/>
      <c r="I6428" s="549"/>
      <c r="J6428" s="549"/>
      <c r="K6428" s="549"/>
      <c r="M6428" s="465"/>
      <c r="N6428" s="201"/>
    </row>
    <row r="6429" spans="2:14" hidden="1" outlineLevel="1" x14ac:dyDescent="0.35">
      <c r="B6429" s="200"/>
      <c r="C6429" s="201"/>
      <c r="D6429" s="201"/>
      <c r="E6429" s="201"/>
      <c r="F6429" s="202"/>
      <c r="G6429" s="549"/>
      <c r="H6429" s="549"/>
      <c r="I6429" s="549"/>
      <c r="J6429" s="549"/>
      <c r="K6429" s="549"/>
      <c r="M6429" s="465"/>
      <c r="N6429" s="201"/>
    </row>
    <row r="6430" spans="2:14" hidden="1" outlineLevel="1" x14ac:dyDescent="0.35">
      <c r="B6430" s="200"/>
      <c r="C6430" s="201"/>
      <c r="D6430" s="201"/>
      <c r="E6430" s="201"/>
      <c r="F6430" s="202"/>
      <c r="G6430" s="549"/>
      <c r="H6430" s="549"/>
      <c r="I6430" s="549"/>
      <c r="J6430" s="549"/>
      <c r="K6430" s="549"/>
      <c r="M6430" s="465"/>
      <c r="N6430" s="201"/>
    </row>
    <row r="6431" spans="2:14" hidden="1" outlineLevel="1" x14ac:dyDescent="0.35">
      <c r="B6431" s="200"/>
      <c r="C6431" s="201"/>
      <c r="D6431" s="201"/>
      <c r="E6431" s="201"/>
      <c r="F6431" s="202"/>
      <c r="G6431" s="549"/>
      <c r="H6431" s="549"/>
      <c r="I6431" s="549"/>
      <c r="J6431" s="549"/>
      <c r="K6431" s="549"/>
      <c r="M6431" s="465"/>
      <c r="N6431" s="201"/>
    </row>
    <row r="6432" spans="2:14" hidden="1" outlineLevel="1" x14ac:dyDescent="0.35">
      <c r="B6432" s="200"/>
      <c r="C6432" s="201"/>
      <c r="D6432" s="201"/>
      <c r="E6432" s="201"/>
      <c r="F6432" s="202"/>
      <c r="G6432" s="549"/>
      <c r="H6432" s="549"/>
      <c r="I6432" s="549"/>
      <c r="J6432" s="549"/>
      <c r="K6432" s="549"/>
      <c r="M6432" s="465"/>
      <c r="N6432" s="201"/>
    </row>
    <row r="6433" spans="2:14" hidden="1" outlineLevel="1" x14ac:dyDescent="0.35">
      <c r="B6433" s="200"/>
      <c r="C6433" s="201"/>
      <c r="D6433" s="201"/>
      <c r="E6433" s="201"/>
      <c r="F6433" s="202"/>
      <c r="G6433" s="549"/>
      <c r="H6433" s="549"/>
      <c r="I6433" s="549"/>
      <c r="J6433" s="549"/>
      <c r="K6433" s="549"/>
      <c r="M6433" s="465"/>
      <c r="N6433" s="201"/>
    </row>
    <row r="6434" spans="2:14" hidden="1" outlineLevel="1" x14ac:dyDescent="0.35">
      <c r="B6434" s="200"/>
      <c r="C6434" s="201"/>
      <c r="D6434" s="201"/>
      <c r="E6434" s="201"/>
      <c r="F6434" s="202"/>
      <c r="G6434" s="549"/>
      <c r="H6434" s="549"/>
      <c r="I6434" s="549"/>
      <c r="J6434" s="549"/>
      <c r="K6434" s="549"/>
      <c r="M6434" s="465"/>
      <c r="N6434" s="201"/>
    </row>
    <row r="6435" spans="2:14" hidden="1" outlineLevel="1" x14ac:dyDescent="0.35">
      <c r="B6435" s="200"/>
      <c r="C6435" s="201"/>
      <c r="D6435" s="201"/>
      <c r="E6435" s="201"/>
      <c r="F6435" s="202"/>
      <c r="G6435" s="549"/>
      <c r="H6435" s="549"/>
      <c r="I6435" s="549"/>
      <c r="J6435" s="549"/>
      <c r="K6435" s="549"/>
      <c r="M6435" s="465"/>
      <c r="N6435" s="201"/>
    </row>
    <row r="6436" spans="2:14" hidden="1" outlineLevel="1" x14ac:dyDescent="0.35">
      <c r="B6436" s="200"/>
      <c r="C6436" s="201"/>
      <c r="D6436" s="201"/>
      <c r="E6436" s="201"/>
      <c r="F6436" s="202"/>
      <c r="G6436" s="549"/>
      <c r="H6436" s="549"/>
      <c r="I6436" s="549"/>
      <c r="J6436" s="549"/>
      <c r="K6436" s="549"/>
      <c r="M6436" s="465"/>
      <c r="N6436" s="201"/>
    </row>
    <row r="6437" spans="2:14" hidden="1" outlineLevel="1" x14ac:dyDescent="0.35">
      <c r="B6437" s="200"/>
      <c r="C6437" s="201"/>
      <c r="D6437" s="201"/>
      <c r="E6437" s="201"/>
      <c r="F6437" s="202"/>
      <c r="G6437" s="549"/>
      <c r="H6437" s="549"/>
      <c r="I6437" s="549"/>
      <c r="J6437" s="549"/>
      <c r="K6437" s="549"/>
      <c r="M6437" s="465"/>
      <c r="N6437" s="201"/>
    </row>
    <row r="6438" spans="2:14" hidden="1" outlineLevel="1" x14ac:dyDescent="0.35">
      <c r="B6438" s="200"/>
      <c r="C6438" s="201"/>
      <c r="D6438" s="201"/>
      <c r="E6438" s="201"/>
      <c r="F6438" s="202"/>
      <c r="G6438" s="549"/>
      <c r="H6438" s="549"/>
      <c r="I6438" s="549"/>
      <c r="J6438" s="549"/>
      <c r="K6438" s="549"/>
      <c r="M6438" s="465"/>
      <c r="N6438" s="201"/>
    </row>
    <row r="6439" spans="2:14" hidden="1" outlineLevel="1" x14ac:dyDescent="0.35">
      <c r="B6439" s="200"/>
      <c r="C6439" s="201"/>
      <c r="D6439" s="201"/>
      <c r="E6439" s="201"/>
      <c r="F6439" s="202"/>
      <c r="G6439" s="549"/>
      <c r="H6439" s="549"/>
      <c r="I6439" s="549"/>
      <c r="J6439" s="549"/>
      <c r="K6439" s="549"/>
      <c r="M6439" s="465"/>
      <c r="N6439" s="201"/>
    </row>
    <row r="6440" spans="2:14" hidden="1" outlineLevel="1" x14ac:dyDescent="0.35">
      <c r="B6440" s="200"/>
      <c r="C6440" s="201"/>
      <c r="D6440" s="201"/>
      <c r="E6440" s="201"/>
      <c r="F6440" s="202"/>
      <c r="G6440" s="549"/>
      <c r="H6440" s="549"/>
      <c r="I6440" s="549"/>
      <c r="J6440" s="549"/>
      <c r="K6440" s="549"/>
      <c r="M6440" s="465"/>
      <c r="N6440" s="201"/>
    </row>
    <row r="6441" spans="2:14" hidden="1" outlineLevel="1" x14ac:dyDescent="0.35">
      <c r="B6441" s="200"/>
      <c r="C6441" s="201"/>
      <c r="D6441" s="201"/>
      <c r="E6441" s="201"/>
      <c r="F6441" s="202"/>
      <c r="G6441" s="549"/>
      <c r="H6441" s="549"/>
      <c r="I6441" s="549"/>
      <c r="J6441" s="549"/>
      <c r="K6441" s="549"/>
      <c r="M6441" s="465"/>
      <c r="N6441" s="201"/>
    </row>
    <row r="6442" spans="2:14" hidden="1" outlineLevel="1" x14ac:dyDescent="0.35">
      <c r="B6442" s="200"/>
      <c r="C6442" s="201"/>
      <c r="D6442" s="201"/>
      <c r="E6442" s="201"/>
      <c r="F6442" s="202"/>
      <c r="G6442" s="549"/>
      <c r="H6442" s="549"/>
      <c r="I6442" s="549"/>
      <c r="J6442" s="549"/>
      <c r="K6442" s="549"/>
      <c r="M6442" s="465"/>
      <c r="N6442" s="201"/>
    </row>
    <row r="6443" spans="2:14" hidden="1" outlineLevel="1" x14ac:dyDescent="0.35">
      <c r="B6443" s="200"/>
      <c r="C6443" s="201"/>
      <c r="D6443" s="201"/>
      <c r="E6443" s="201"/>
      <c r="F6443" s="202"/>
      <c r="G6443" s="549"/>
      <c r="H6443" s="549"/>
      <c r="I6443" s="549"/>
      <c r="J6443" s="549"/>
      <c r="K6443" s="549"/>
      <c r="M6443" s="465"/>
      <c r="N6443" s="201"/>
    </row>
    <row r="6444" spans="2:14" hidden="1" outlineLevel="1" x14ac:dyDescent="0.35">
      <c r="B6444" s="200"/>
      <c r="C6444" s="201"/>
      <c r="D6444" s="201"/>
      <c r="E6444" s="201"/>
      <c r="F6444" s="202"/>
      <c r="G6444" s="549"/>
      <c r="H6444" s="549"/>
      <c r="I6444" s="549"/>
      <c r="J6444" s="549"/>
      <c r="K6444" s="549"/>
      <c r="M6444" s="465"/>
      <c r="N6444" s="201"/>
    </row>
    <row r="6445" spans="2:14" hidden="1" outlineLevel="1" x14ac:dyDescent="0.35">
      <c r="B6445" s="200"/>
      <c r="C6445" s="201"/>
      <c r="D6445" s="201"/>
      <c r="E6445" s="201"/>
      <c r="F6445" s="202"/>
      <c r="G6445" s="549"/>
      <c r="H6445" s="549"/>
      <c r="I6445" s="549"/>
      <c r="J6445" s="549"/>
      <c r="K6445" s="549"/>
      <c r="M6445" s="465"/>
      <c r="N6445" s="201"/>
    </row>
    <row r="6446" spans="2:14" hidden="1" outlineLevel="1" x14ac:dyDescent="0.35">
      <c r="B6446" s="200"/>
      <c r="C6446" s="201"/>
      <c r="D6446" s="201"/>
      <c r="E6446" s="201"/>
      <c r="F6446" s="202"/>
      <c r="G6446" s="549"/>
      <c r="H6446" s="549"/>
      <c r="I6446" s="549"/>
      <c r="J6446" s="549"/>
      <c r="K6446" s="549"/>
      <c r="M6446" s="465"/>
      <c r="N6446" s="201"/>
    </row>
    <row r="6447" spans="2:14" hidden="1" outlineLevel="1" x14ac:dyDescent="0.35">
      <c r="B6447" s="200"/>
      <c r="C6447" s="201"/>
      <c r="D6447" s="201"/>
      <c r="E6447" s="201"/>
      <c r="F6447" s="202"/>
      <c r="G6447" s="549"/>
      <c r="H6447" s="549"/>
      <c r="I6447" s="549"/>
      <c r="J6447" s="549"/>
      <c r="K6447" s="549"/>
      <c r="M6447" s="465"/>
      <c r="N6447" s="201"/>
    </row>
    <row r="6448" spans="2:14" hidden="1" outlineLevel="1" x14ac:dyDescent="0.35">
      <c r="B6448" s="200"/>
      <c r="C6448" s="201"/>
      <c r="D6448" s="201"/>
      <c r="E6448" s="201"/>
      <c r="F6448" s="202"/>
      <c r="G6448" s="549"/>
      <c r="H6448" s="549"/>
      <c r="I6448" s="549"/>
      <c r="J6448" s="549"/>
      <c r="K6448" s="549"/>
      <c r="M6448" s="465"/>
      <c r="N6448" s="201"/>
    </row>
    <row r="6449" spans="2:14" hidden="1" outlineLevel="1" x14ac:dyDescent="0.35">
      <c r="B6449" s="200"/>
      <c r="C6449" s="201"/>
      <c r="D6449" s="201"/>
      <c r="E6449" s="201"/>
      <c r="F6449" s="202"/>
      <c r="G6449" s="549"/>
      <c r="H6449" s="549"/>
      <c r="I6449" s="549"/>
      <c r="J6449" s="549"/>
      <c r="K6449" s="549"/>
      <c r="M6449" s="465"/>
      <c r="N6449" s="201"/>
    </row>
    <row r="6450" spans="2:14" hidden="1" outlineLevel="1" x14ac:dyDescent="0.35">
      <c r="B6450" s="200"/>
      <c r="C6450" s="201"/>
      <c r="D6450" s="201"/>
      <c r="E6450" s="201"/>
      <c r="F6450" s="202"/>
      <c r="G6450" s="549"/>
      <c r="H6450" s="549"/>
      <c r="I6450" s="549"/>
      <c r="J6450" s="549"/>
      <c r="K6450" s="549"/>
      <c r="M6450" s="465"/>
      <c r="N6450" s="201"/>
    </row>
    <row r="6451" spans="2:14" hidden="1" outlineLevel="1" x14ac:dyDescent="0.35">
      <c r="B6451" s="200"/>
      <c r="C6451" s="201"/>
      <c r="D6451" s="201"/>
      <c r="E6451" s="201"/>
      <c r="F6451" s="202"/>
      <c r="G6451" s="549"/>
      <c r="H6451" s="549"/>
      <c r="I6451" s="549"/>
      <c r="J6451" s="549"/>
      <c r="K6451" s="549"/>
      <c r="M6451" s="465"/>
      <c r="N6451" s="201"/>
    </row>
    <row r="6452" spans="2:14" hidden="1" outlineLevel="1" x14ac:dyDescent="0.35">
      <c r="B6452" s="200"/>
      <c r="C6452" s="201"/>
      <c r="D6452" s="201"/>
      <c r="E6452" s="201"/>
      <c r="F6452" s="202"/>
      <c r="G6452" s="549"/>
      <c r="H6452" s="549"/>
      <c r="I6452" s="549"/>
      <c r="J6452" s="549"/>
      <c r="K6452" s="549"/>
      <c r="M6452" s="465"/>
      <c r="N6452" s="201"/>
    </row>
    <row r="6453" spans="2:14" hidden="1" outlineLevel="1" x14ac:dyDescent="0.35">
      <c r="B6453" s="200"/>
      <c r="C6453" s="201"/>
      <c r="D6453" s="201"/>
      <c r="E6453" s="201"/>
      <c r="F6453" s="202"/>
      <c r="G6453" s="549"/>
      <c r="H6453" s="549"/>
      <c r="I6453" s="549"/>
      <c r="J6453" s="549"/>
      <c r="K6453" s="549"/>
      <c r="M6453" s="465"/>
      <c r="N6453" s="201"/>
    </row>
    <row r="6454" spans="2:14" hidden="1" outlineLevel="1" x14ac:dyDescent="0.35">
      <c r="B6454" s="200"/>
      <c r="C6454" s="201"/>
      <c r="D6454" s="201"/>
      <c r="E6454" s="201"/>
      <c r="F6454" s="202"/>
      <c r="G6454" s="549"/>
      <c r="H6454" s="549"/>
      <c r="I6454" s="549"/>
      <c r="J6454" s="549"/>
      <c r="K6454" s="549"/>
      <c r="M6454" s="465"/>
      <c r="N6454" s="201"/>
    </row>
    <row r="6455" spans="2:14" hidden="1" outlineLevel="1" x14ac:dyDescent="0.35">
      <c r="B6455" s="200"/>
      <c r="C6455" s="201"/>
      <c r="D6455" s="201"/>
      <c r="E6455" s="201"/>
      <c r="F6455" s="202"/>
      <c r="G6455" s="549"/>
      <c r="H6455" s="549"/>
      <c r="I6455" s="549"/>
      <c r="J6455" s="549"/>
      <c r="K6455" s="549"/>
      <c r="M6455" s="465"/>
      <c r="N6455" s="201"/>
    </row>
    <row r="6456" spans="2:14" hidden="1" outlineLevel="1" x14ac:dyDescent="0.35">
      <c r="B6456" s="200"/>
      <c r="C6456" s="201"/>
      <c r="D6456" s="201"/>
      <c r="E6456" s="201"/>
      <c r="F6456" s="202"/>
      <c r="G6456" s="549"/>
      <c r="H6456" s="549"/>
      <c r="I6456" s="549"/>
      <c r="J6456" s="549"/>
      <c r="K6456" s="549"/>
      <c r="M6456" s="465"/>
      <c r="N6456" s="201"/>
    </row>
    <row r="6457" spans="2:14" hidden="1" outlineLevel="1" x14ac:dyDescent="0.35">
      <c r="B6457" s="200"/>
      <c r="C6457" s="201"/>
      <c r="D6457" s="201"/>
      <c r="E6457" s="201"/>
      <c r="F6457" s="202"/>
      <c r="G6457" s="549"/>
      <c r="H6457" s="549"/>
      <c r="I6457" s="549"/>
      <c r="J6457" s="549"/>
      <c r="K6457" s="549"/>
      <c r="M6457" s="465"/>
      <c r="N6457" s="201"/>
    </row>
    <row r="6458" spans="2:14" hidden="1" outlineLevel="1" x14ac:dyDescent="0.35">
      <c r="B6458" s="200"/>
      <c r="C6458" s="201"/>
      <c r="D6458" s="201"/>
      <c r="E6458" s="201"/>
      <c r="F6458" s="202"/>
      <c r="G6458" s="549"/>
      <c r="H6458" s="549"/>
      <c r="I6458" s="549"/>
      <c r="J6458" s="549"/>
      <c r="K6458" s="549"/>
      <c r="M6458" s="465"/>
      <c r="N6458" s="201"/>
    </row>
    <row r="6459" spans="2:14" hidden="1" outlineLevel="1" x14ac:dyDescent="0.35">
      <c r="B6459" s="200"/>
      <c r="C6459" s="201"/>
      <c r="D6459" s="201"/>
      <c r="E6459" s="201"/>
      <c r="F6459" s="202"/>
      <c r="G6459" s="549"/>
      <c r="H6459" s="549"/>
      <c r="I6459" s="549"/>
      <c r="J6459" s="549"/>
      <c r="K6459" s="549"/>
      <c r="M6459" s="465"/>
      <c r="N6459" s="201"/>
    </row>
    <row r="6460" spans="2:14" hidden="1" outlineLevel="1" x14ac:dyDescent="0.35">
      <c r="B6460" s="200"/>
      <c r="C6460" s="201"/>
      <c r="D6460" s="201"/>
      <c r="E6460" s="201"/>
      <c r="F6460" s="202"/>
      <c r="G6460" s="549"/>
      <c r="H6460" s="549"/>
      <c r="I6460" s="549"/>
      <c r="J6460" s="549"/>
      <c r="K6460" s="549"/>
      <c r="M6460" s="465"/>
      <c r="N6460" s="201"/>
    </row>
    <row r="6461" spans="2:14" hidden="1" outlineLevel="1" x14ac:dyDescent="0.35">
      <c r="B6461" s="200"/>
      <c r="C6461" s="201"/>
      <c r="D6461" s="201"/>
      <c r="E6461" s="201"/>
      <c r="F6461" s="202"/>
      <c r="G6461" s="549"/>
      <c r="H6461" s="549"/>
      <c r="I6461" s="549"/>
      <c r="J6461" s="549"/>
      <c r="K6461" s="549"/>
      <c r="M6461" s="465"/>
      <c r="N6461" s="201"/>
    </row>
    <row r="6462" spans="2:14" hidden="1" outlineLevel="1" x14ac:dyDescent="0.35">
      <c r="B6462" s="200"/>
      <c r="C6462" s="201"/>
      <c r="D6462" s="201"/>
      <c r="E6462" s="201"/>
      <c r="F6462" s="202"/>
      <c r="G6462" s="549"/>
      <c r="H6462" s="549"/>
      <c r="I6462" s="549"/>
      <c r="J6462" s="549"/>
      <c r="K6462" s="549"/>
      <c r="M6462" s="465"/>
      <c r="N6462" s="201"/>
    </row>
    <row r="6463" spans="2:14" hidden="1" outlineLevel="1" x14ac:dyDescent="0.35">
      <c r="B6463" s="200"/>
      <c r="C6463" s="201"/>
      <c r="D6463" s="201"/>
      <c r="E6463" s="201"/>
      <c r="F6463" s="202"/>
      <c r="G6463" s="549"/>
      <c r="H6463" s="549"/>
      <c r="I6463" s="549"/>
      <c r="J6463" s="549"/>
      <c r="K6463" s="549"/>
      <c r="M6463" s="465"/>
      <c r="N6463" s="201"/>
    </row>
    <row r="6464" spans="2:14" hidden="1" outlineLevel="1" x14ac:dyDescent="0.35">
      <c r="B6464" s="200"/>
      <c r="C6464" s="201"/>
      <c r="D6464" s="201"/>
      <c r="E6464" s="201"/>
      <c r="F6464" s="202"/>
      <c r="G6464" s="549"/>
      <c r="H6464" s="549"/>
      <c r="I6464" s="549"/>
      <c r="J6464" s="549"/>
      <c r="K6464" s="549"/>
      <c r="M6464" s="465"/>
      <c r="N6464" s="201"/>
    </row>
    <row r="6465" spans="2:14" hidden="1" outlineLevel="1" x14ac:dyDescent="0.35">
      <c r="B6465" s="200"/>
      <c r="C6465" s="201"/>
      <c r="D6465" s="201"/>
      <c r="E6465" s="201"/>
      <c r="F6465" s="202"/>
      <c r="G6465" s="549"/>
      <c r="H6465" s="549"/>
      <c r="I6465" s="549"/>
      <c r="J6465" s="549"/>
      <c r="K6465" s="549"/>
      <c r="M6465" s="465"/>
      <c r="N6465" s="201"/>
    </row>
    <row r="6466" spans="2:14" hidden="1" outlineLevel="1" x14ac:dyDescent="0.35">
      <c r="B6466" s="200"/>
      <c r="C6466" s="201"/>
      <c r="D6466" s="201"/>
      <c r="E6466" s="201"/>
      <c r="F6466" s="202"/>
      <c r="G6466" s="549"/>
      <c r="H6466" s="549"/>
      <c r="I6466" s="549"/>
      <c r="J6466" s="549"/>
      <c r="K6466" s="549"/>
      <c r="M6466" s="465"/>
      <c r="N6466" s="201"/>
    </row>
    <row r="6467" spans="2:14" hidden="1" outlineLevel="1" x14ac:dyDescent="0.35">
      <c r="B6467" s="200"/>
      <c r="C6467" s="201"/>
      <c r="D6467" s="201"/>
      <c r="E6467" s="201"/>
      <c r="F6467" s="202"/>
      <c r="G6467" s="549"/>
      <c r="H6467" s="549"/>
      <c r="I6467" s="549"/>
      <c r="J6467" s="549"/>
      <c r="K6467" s="549"/>
      <c r="M6467" s="465"/>
      <c r="N6467" s="201"/>
    </row>
    <row r="6468" spans="2:14" hidden="1" outlineLevel="1" x14ac:dyDescent="0.35">
      <c r="B6468" s="200"/>
      <c r="C6468" s="201"/>
      <c r="D6468" s="201"/>
      <c r="E6468" s="201"/>
      <c r="F6468" s="202"/>
      <c r="G6468" s="549"/>
      <c r="H6468" s="549"/>
      <c r="I6468" s="549"/>
      <c r="J6468" s="549"/>
      <c r="K6468" s="549"/>
      <c r="M6468" s="465"/>
      <c r="N6468" s="201"/>
    </row>
    <row r="6469" spans="2:14" hidden="1" outlineLevel="1" x14ac:dyDescent="0.35">
      <c r="B6469" s="200"/>
      <c r="C6469" s="201"/>
      <c r="D6469" s="201"/>
      <c r="E6469" s="201"/>
      <c r="F6469" s="202"/>
      <c r="G6469" s="549"/>
      <c r="H6469" s="549"/>
      <c r="I6469" s="549"/>
      <c r="J6469" s="549"/>
      <c r="K6469" s="549"/>
      <c r="M6469" s="465"/>
      <c r="N6469" s="201"/>
    </row>
    <row r="6470" spans="2:14" hidden="1" outlineLevel="1" x14ac:dyDescent="0.35">
      <c r="B6470" s="200"/>
      <c r="C6470" s="201"/>
      <c r="D6470" s="201"/>
      <c r="E6470" s="201"/>
      <c r="F6470" s="202"/>
      <c r="G6470" s="549"/>
      <c r="H6470" s="549"/>
      <c r="I6470" s="549"/>
      <c r="J6470" s="549"/>
      <c r="K6470" s="549"/>
      <c r="M6470" s="465"/>
      <c r="N6470" s="201"/>
    </row>
    <row r="6471" spans="2:14" hidden="1" outlineLevel="1" x14ac:dyDescent="0.35">
      <c r="B6471" s="200"/>
      <c r="C6471" s="201"/>
      <c r="D6471" s="201"/>
      <c r="E6471" s="201"/>
      <c r="F6471" s="202"/>
      <c r="G6471" s="549"/>
      <c r="H6471" s="549"/>
      <c r="I6471" s="549"/>
      <c r="J6471" s="549"/>
      <c r="K6471" s="549"/>
      <c r="M6471" s="465"/>
      <c r="N6471" s="201"/>
    </row>
    <row r="6472" spans="2:14" hidden="1" outlineLevel="1" x14ac:dyDescent="0.35">
      <c r="B6472" s="200"/>
      <c r="C6472" s="201"/>
      <c r="D6472" s="201"/>
      <c r="E6472" s="201"/>
      <c r="F6472" s="202"/>
      <c r="G6472" s="549"/>
      <c r="H6472" s="549"/>
      <c r="I6472" s="549"/>
      <c r="J6472" s="549"/>
      <c r="K6472" s="549"/>
      <c r="M6472" s="465"/>
      <c r="N6472" s="201"/>
    </row>
    <row r="6473" spans="2:14" hidden="1" outlineLevel="1" x14ac:dyDescent="0.35">
      <c r="B6473" s="200"/>
      <c r="C6473" s="201"/>
      <c r="D6473" s="201"/>
      <c r="E6473" s="201"/>
      <c r="F6473" s="202"/>
      <c r="G6473" s="549"/>
      <c r="H6473" s="549"/>
      <c r="I6473" s="549"/>
      <c r="J6473" s="549"/>
      <c r="K6473" s="549"/>
      <c r="M6473" s="465"/>
      <c r="N6473" s="201"/>
    </row>
    <row r="6474" spans="2:14" hidden="1" outlineLevel="1" x14ac:dyDescent="0.35">
      <c r="B6474" s="200"/>
      <c r="C6474" s="201"/>
      <c r="D6474" s="201"/>
      <c r="E6474" s="201"/>
      <c r="F6474" s="202"/>
      <c r="G6474" s="549"/>
      <c r="H6474" s="549"/>
      <c r="I6474" s="549"/>
      <c r="J6474" s="549"/>
      <c r="K6474" s="549"/>
      <c r="M6474" s="465"/>
      <c r="N6474" s="201"/>
    </row>
    <row r="6475" spans="2:14" hidden="1" outlineLevel="1" x14ac:dyDescent="0.35">
      <c r="B6475" s="200"/>
      <c r="C6475" s="201"/>
      <c r="D6475" s="201"/>
      <c r="E6475" s="201"/>
      <c r="F6475" s="202"/>
      <c r="G6475" s="549"/>
      <c r="H6475" s="549"/>
      <c r="I6475" s="549"/>
      <c r="J6475" s="549"/>
      <c r="K6475" s="549"/>
      <c r="M6475" s="465"/>
      <c r="N6475" s="201"/>
    </row>
    <row r="6476" spans="2:14" hidden="1" outlineLevel="1" x14ac:dyDescent="0.35">
      <c r="B6476" s="200"/>
      <c r="C6476" s="201"/>
      <c r="D6476" s="201"/>
      <c r="E6476" s="201"/>
      <c r="F6476" s="202"/>
      <c r="G6476" s="549"/>
      <c r="H6476" s="549"/>
      <c r="I6476" s="549"/>
      <c r="J6476" s="549"/>
      <c r="K6476" s="549"/>
      <c r="M6476" s="465"/>
      <c r="N6476" s="201"/>
    </row>
    <row r="6477" spans="2:14" hidden="1" outlineLevel="1" x14ac:dyDescent="0.35">
      <c r="B6477" s="200"/>
      <c r="C6477" s="201"/>
      <c r="D6477" s="201"/>
      <c r="E6477" s="201"/>
      <c r="F6477" s="202"/>
      <c r="G6477" s="549"/>
      <c r="H6477" s="549"/>
      <c r="I6477" s="549"/>
      <c r="J6477" s="549"/>
      <c r="K6477" s="549"/>
      <c r="M6477" s="465"/>
      <c r="N6477" s="201"/>
    </row>
    <row r="6478" spans="2:14" hidden="1" outlineLevel="1" x14ac:dyDescent="0.35">
      <c r="B6478" s="200"/>
      <c r="C6478" s="201"/>
      <c r="D6478" s="201"/>
      <c r="E6478" s="201"/>
      <c r="F6478" s="202"/>
      <c r="G6478" s="549"/>
      <c r="H6478" s="549"/>
      <c r="I6478" s="549"/>
      <c r="J6478" s="549"/>
      <c r="K6478" s="549"/>
      <c r="M6478" s="465"/>
      <c r="N6478" s="201"/>
    </row>
    <row r="6479" spans="2:14" hidden="1" outlineLevel="1" x14ac:dyDescent="0.35">
      <c r="B6479" s="200"/>
      <c r="C6479" s="201"/>
      <c r="D6479" s="201"/>
      <c r="E6479" s="201"/>
      <c r="F6479" s="202"/>
      <c r="G6479" s="549"/>
      <c r="H6479" s="549"/>
      <c r="I6479" s="549"/>
      <c r="J6479" s="549"/>
      <c r="K6479" s="549"/>
      <c r="M6479" s="465"/>
      <c r="N6479" s="201"/>
    </row>
    <row r="6480" spans="2:14" hidden="1" outlineLevel="1" x14ac:dyDescent="0.35">
      <c r="B6480" s="200"/>
      <c r="C6480" s="201"/>
      <c r="D6480" s="201"/>
      <c r="E6480" s="201"/>
      <c r="F6480" s="202"/>
      <c r="G6480" s="549"/>
      <c r="H6480" s="549"/>
      <c r="I6480" s="549"/>
      <c r="J6480" s="549"/>
      <c r="K6480" s="549"/>
      <c r="M6480" s="465"/>
      <c r="N6480" s="201"/>
    </row>
    <row r="6481" spans="2:14" hidden="1" outlineLevel="1" x14ac:dyDescent="0.35">
      <c r="B6481" s="200"/>
      <c r="C6481" s="201"/>
      <c r="D6481" s="201"/>
      <c r="E6481" s="201"/>
      <c r="F6481" s="202"/>
      <c r="G6481" s="549"/>
      <c r="H6481" s="549"/>
      <c r="I6481" s="549"/>
      <c r="J6481" s="549"/>
      <c r="K6481" s="549"/>
      <c r="M6481" s="465"/>
      <c r="N6481" s="201"/>
    </row>
    <row r="6482" spans="2:14" hidden="1" outlineLevel="1" x14ac:dyDescent="0.35">
      <c r="B6482" s="200"/>
      <c r="C6482" s="201"/>
      <c r="D6482" s="201"/>
      <c r="E6482" s="201"/>
      <c r="F6482" s="202"/>
      <c r="G6482" s="549"/>
      <c r="H6482" s="549"/>
      <c r="I6482" s="549"/>
      <c r="J6482" s="549"/>
      <c r="K6482" s="549"/>
      <c r="M6482" s="465"/>
      <c r="N6482" s="201"/>
    </row>
    <row r="6483" spans="2:14" hidden="1" outlineLevel="1" x14ac:dyDescent="0.35">
      <c r="B6483" s="200"/>
      <c r="C6483" s="201"/>
      <c r="D6483" s="201"/>
      <c r="E6483" s="201"/>
      <c r="F6483" s="202"/>
      <c r="G6483" s="549"/>
      <c r="H6483" s="549"/>
      <c r="I6483" s="549"/>
      <c r="J6483" s="549"/>
      <c r="K6483" s="549"/>
      <c r="M6483" s="465"/>
      <c r="N6483" s="201"/>
    </row>
    <row r="6484" spans="2:14" hidden="1" outlineLevel="1" x14ac:dyDescent="0.35">
      <c r="B6484" s="200"/>
      <c r="C6484" s="201"/>
      <c r="D6484" s="201"/>
      <c r="E6484" s="201"/>
      <c r="F6484" s="202"/>
      <c r="G6484" s="549"/>
      <c r="H6484" s="549"/>
      <c r="I6484" s="549"/>
      <c r="J6484" s="549"/>
      <c r="K6484" s="549"/>
      <c r="M6484" s="465"/>
      <c r="N6484" s="201"/>
    </row>
    <row r="6485" spans="2:14" hidden="1" outlineLevel="1" x14ac:dyDescent="0.35">
      <c r="B6485" s="200"/>
      <c r="C6485" s="201"/>
      <c r="D6485" s="201"/>
      <c r="E6485" s="201"/>
      <c r="F6485" s="202"/>
      <c r="G6485" s="549"/>
      <c r="H6485" s="549"/>
      <c r="I6485" s="549"/>
      <c r="J6485" s="549"/>
      <c r="K6485" s="549"/>
      <c r="M6485" s="465"/>
      <c r="N6485" s="201"/>
    </row>
    <row r="6486" spans="2:14" hidden="1" outlineLevel="1" x14ac:dyDescent="0.35">
      <c r="B6486" s="200"/>
      <c r="C6486" s="201"/>
      <c r="D6486" s="201"/>
      <c r="E6486" s="201"/>
      <c r="F6486" s="202"/>
      <c r="G6486" s="549"/>
      <c r="H6486" s="549"/>
      <c r="I6486" s="549"/>
      <c r="J6486" s="549"/>
      <c r="K6486" s="549"/>
      <c r="M6486" s="465"/>
      <c r="N6486" s="201"/>
    </row>
    <row r="6487" spans="2:14" hidden="1" outlineLevel="1" x14ac:dyDescent="0.35">
      <c r="B6487" s="200"/>
      <c r="C6487" s="201"/>
      <c r="D6487" s="201"/>
      <c r="E6487" s="201"/>
      <c r="F6487" s="202"/>
      <c r="G6487" s="549"/>
      <c r="H6487" s="549"/>
      <c r="I6487" s="549"/>
      <c r="J6487" s="549"/>
      <c r="K6487" s="549"/>
      <c r="M6487" s="465"/>
      <c r="N6487" s="201"/>
    </row>
    <row r="6488" spans="2:14" hidden="1" outlineLevel="1" x14ac:dyDescent="0.35">
      <c r="B6488" s="200"/>
      <c r="C6488" s="201"/>
      <c r="D6488" s="201"/>
      <c r="E6488" s="201"/>
      <c r="F6488" s="202"/>
      <c r="G6488" s="549"/>
      <c r="H6488" s="549"/>
      <c r="I6488" s="549"/>
      <c r="J6488" s="549"/>
      <c r="K6488" s="549"/>
      <c r="M6488" s="465"/>
      <c r="N6488" s="201"/>
    </row>
    <row r="6489" spans="2:14" hidden="1" outlineLevel="1" x14ac:dyDescent="0.35">
      <c r="B6489" s="200"/>
      <c r="C6489" s="201"/>
      <c r="D6489" s="201"/>
      <c r="E6489" s="201"/>
      <c r="F6489" s="202"/>
      <c r="G6489" s="549"/>
      <c r="H6489" s="549"/>
      <c r="I6489" s="549"/>
      <c r="J6489" s="549"/>
      <c r="K6489" s="549"/>
      <c r="M6489" s="465"/>
      <c r="N6489" s="201"/>
    </row>
    <row r="6490" spans="2:14" hidden="1" outlineLevel="1" x14ac:dyDescent="0.35">
      <c r="B6490" s="200"/>
      <c r="C6490" s="201"/>
      <c r="D6490" s="201"/>
      <c r="E6490" s="201"/>
      <c r="F6490" s="202"/>
      <c r="G6490" s="549"/>
      <c r="H6490" s="549"/>
      <c r="I6490" s="549"/>
      <c r="J6490" s="549"/>
      <c r="K6490" s="549"/>
      <c r="M6490" s="465"/>
      <c r="N6490" s="201"/>
    </row>
    <row r="6491" spans="2:14" hidden="1" outlineLevel="1" x14ac:dyDescent="0.35">
      <c r="B6491" s="200"/>
      <c r="C6491" s="201"/>
      <c r="D6491" s="201"/>
      <c r="E6491" s="201"/>
      <c r="F6491" s="202"/>
      <c r="G6491" s="549"/>
      <c r="H6491" s="549"/>
      <c r="I6491" s="549"/>
      <c r="J6491" s="549"/>
      <c r="K6491" s="549"/>
      <c r="M6491" s="465"/>
      <c r="N6491" s="201"/>
    </row>
    <row r="6492" spans="2:14" hidden="1" outlineLevel="1" x14ac:dyDescent="0.35">
      <c r="B6492" s="200"/>
      <c r="C6492" s="201"/>
      <c r="D6492" s="201"/>
      <c r="E6492" s="201"/>
      <c r="F6492" s="202"/>
      <c r="G6492" s="549"/>
      <c r="H6492" s="549"/>
      <c r="I6492" s="549"/>
      <c r="J6492" s="549"/>
      <c r="K6492" s="549"/>
      <c r="M6492" s="465"/>
      <c r="N6492" s="201"/>
    </row>
    <row r="6493" spans="2:14" hidden="1" outlineLevel="1" x14ac:dyDescent="0.35">
      <c r="B6493" s="200"/>
      <c r="C6493" s="201"/>
      <c r="D6493" s="201"/>
      <c r="E6493" s="201"/>
      <c r="F6493" s="202"/>
      <c r="G6493" s="549"/>
      <c r="H6493" s="549"/>
      <c r="I6493" s="549"/>
      <c r="J6493" s="549"/>
      <c r="K6493" s="549"/>
      <c r="M6493" s="465"/>
      <c r="N6493" s="201"/>
    </row>
    <row r="6494" spans="2:14" hidden="1" outlineLevel="1" x14ac:dyDescent="0.35">
      <c r="B6494" s="200"/>
      <c r="C6494" s="201"/>
      <c r="D6494" s="201"/>
      <c r="E6494" s="201"/>
      <c r="F6494" s="202"/>
      <c r="G6494" s="549"/>
      <c r="H6494" s="549"/>
      <c r="I6494" s="549"/>
      <c r="J6494" s="549"/>
      <c r="K6494" s="549"/>
      <c r="M6494" s="465"/>
      <c r="N6494" s="201"/>
    </row>
    <row r="6495" spans="2:14" hidden="1" outlineLevel="1" x14ac:dyDescent="0.35">
      <c r="B6495" s="200"/>
      <c r="C6495" s="201"/>
      <c r="D6495" s="201"/>
      <c r="E6495" s="201"/>
      <c r="F6495" s="202"/>
      <c r="G6495" s="549"/>
      <c r="H6495" s="549"/>
      <c r="I6495" s="549"/>
      <c r="J6495" s="549"/>
      <c r="K6495" s="549"/>
      <c r="M6495" s="465"/>
      <c r="N6495" s="201"/>
    </row>
    <row r="6496" spans="2:14" hidden="1" outlineLevel="1" x14ac:dyDescent="0.35">
      <c r="B6496" s="200"/>
      <c r="C6496" s="201"/>
      <c r="D6496" s="201"/>
      <c r="E6496" s="201"/>
      <c r="F6496" s="202"/>
      <c r="G6496" s="549"/>
      <c r="H6496" s="549"/>
      <c r="I6496" s="549"/>
      <c r="J6496" s="549"/>
      <c r="K6496" s="549"/>
      <c r="M6496" s="465"/>
      <c r="N6496" s="201"/>
    </row>
    <row r="6497" spans="2:14" hidden="1" outlineLevel="1" x14ac:dyDescent="0.35">
      <c r="B6497" s="200"/>
      <c r="C6497" s="201"/>
      <c r="D6497" s="201"/>
      <c r="E6497" s="201"/>
      <c r="F6497" s="202"/>
      <c r="G6497" s="549"/>
      <c r="H6497" s="549"/>
      <c r="I6497" s="549"/>
      <c r="J6497" s="549"/>
      <c r="K6497" s="549"/>
      <c r="M6497" s="465"/>
      <c r="N6497" s="201"/>
    </row>
    <row r="6498" spans="2:14" hidden="1" outlineLevel="1" x14ac:dyDescent="0.35">
      <c r="B6498" s="200"/>
      <c r="C6498" s="201"/>
      <c r="D6498" s="201"/>
      <c r="E6498" s="201"/>
      <c r="F6498" s="202"/>
      <c r="G6498" s="549"/>
      <c r="H6498" s="549"/>
      <c r="I6498" s="549"/>
      <c r="J6498" s="549"/>
      <c r="K6498" s="549"/>
      <c r="M6498" s="465"/>
      <c r="N6498" s="201"/>
    </row>
    <row r="6499" spans="2:14" hidden="1" outlineLevel="1" x14ac:dyDescent="0.35">
      <c r="B6499" s="200"/>
      <c r="C6499" s="201"/>
      <c r="D6499" s="201"/>
      <c r="E6499" s="201"/>
      <c r="F6499" s="202"/>
      <c r="G6499" s="549"/>
      <c r="H6499" s="549"/>
      <c r="I6499" s="549"/>
      <c r="J6499" s="549"/>
      <c r="K6499" s="549"/>
      <c r="M6499" s="465"/>
      <c r="N6499" s="201"/>
    </row>
    <row r="6500" spans="2:14" hidden="1" outlineLevel="1" x14ac:dyDescent="0.35">
      <c r="B6500" s="200"/>
      <c r="C6500" s="201"/>
      <c r="D6500" s="201"/>
      <c r="E6500" s="201"/>
      <c r="F6500" s="202"/>
      <c r="G6500" s="549"/>
      <c r="H6500" s="549"/>
      <c r="I6500" s="549"/>
      <c r="J6500" s="549"/>
      <c r="K6500" s="549"/>
      <c r="M6500" s="465"/>
      <c r="N6500" s="201"/>
    </row>
    <row r="6501" spans="2:14" hidden="1" outlineLevel="1" x14ac:dyDescent="0.35">
      <c r="B6501" s="200"/>
      <c r="C6501" s="201"/>
      <c r="D6501" s="201"/>
      <c r="E6501" s="201"/>
      <c r="F6501" s="202"/>
      <c r="G6501" s="549"/>
      <c r="H6501" s="549"/>
      <c r="I6501" s="549"/>
      <c r="J6501" s="549"/>
      <c r="K6501" s="549"/>
      <c r="M6501" s="465"/>
      <c r="N6501" s="201"/>
    </row>
    <row r="6502" spans="2:14" hidden="1" outlineLevel="1" x14ac:dyDescent="0.35">
      <c r="B6502" s="200"/>
      <c r="C6502" s="201"/>
      <c r="D6502" s="201"/>
      <c r="E6502" s="201"/>
      <c r="F6502" s="202"/>
      <c r="G6502" s="549"/>
      <c r="H6502" s="549"/>
      <c r="I6502" s="549"/>
      <c r="J6502" s="549"/>
      <c r="K6502" s="549"/>
      <c r="M6502" s="465"/>
      <c r="N6502" s="201"/>
    </row>
    <row r="6503" spans="2:14" hidden="1" outlineLevel="1" x14ac:dyDescent="0.35">
      <c r="B6503" s="200"/>
      <c r="C6503" s="201"/>
      <c r="D6503" s="201"/>
      <c r="E6503" s="201"/>
      <c r="F6503" s="202"/>
      <c r="G6503" s="549"/>
      <c r="H6503" s="549"/>
      <c r="I6503" s="549"/>
      <c r="J6503" s="549"/>
      <c r="K6503" s="549"/>
      <c r="M6503" s="465"/>
      <c r="N6503" s="201"/>
    </row>
    <row r="6504" spans="2:14" hidden="1" outlineLevel="1" x14ac:dyDescent="0.35">
      <c r="B6504" s="200"/>
      <c r="C6504" s="201"/>
      <c r="D6504" s="201"/>
      <c r="E6504" s="201"/>
      <c r="F6504" s="202"/>
      <c r="G6504" s="549"/>
      <c r="H6504" s="549"/>
      <c r="I6504" s="549"/>
      <c r="J6504" s="549"/>
      <c r="K6504" s="549"/>
      <c r="M6504" s="465"/>
      <c r="N6504" s="201"/>
    </row>
    <row r="6505" spans="2:14" hidden="1" outlineLevel="1" x14ac:dyDescent="0.35">
      <c r="B6505" s="200"/>
      <c r="C6505" s="201"/>
      <c r="D6505" s="201"/>
      <c r="E6505" s="201"/>
      <c r="F6505" s="202"/>
      <c r="G6505" s="549"/>
      <c r="H6505" s="549"/>
      <c r="I6505" s="549"/>
      <c r="J6505" s="549"/>
      <c r="K6505" s="549"/>
      <c r="M6505" s="465"/>
      <c r="N6505" s="201"/>
    </row>
    <row r="6506" spans="2:14" hidden="1" outlineLevel="1" x14ac:dyDescent="0.35">
      <c r="B6506" s="200"/>
      <c r="C6506" s="201"/>
      <c r="D6506" s="201"/>
      <c r="E6506" s="201"/>
      <c r="F6506" s="202"/>
      <c r="G6506" s="549"/>
      <c r="H6506" s="549"/>
      <c r="I6506" s="549"/>
      <c r="J6506" s="549"/>
      <c r="K6506" s="549"/>
      <c r="M6506" s="465"/>
      <c r="N6506" s="201"/>
    </row>
    <row r="6507" spans="2:14" hidden="1" outlineLevel="1" x14ac:dyDescent="0.35">
      <c r="B6507" s="200"/>
      <c r="C6507" s="201"/>
      <c r="D6507" s="201"/>
      <c r="E6507" s="201"/>
      <c r="F6507" s="202"/>
      <c r="G6507" s="549"/>
      <c r="H6507" s="549"/>
      <c r="I6507" s="549"/>
      <c r="J6507" s="549"/>
      <c r="K6507" s="549"/>
      <c r="M6507" s="465"/>
      <c r="N6507" s="201"/>
    </row>
    <row r="6508" spans="2:14" hidden="1" outlineLevel="1" x14ac:dyDescent="0.35">
      <c r="B6508" s="200"/>
      <c r="C6508" s="201"/>
      <c r="D6508" s="201"/>
      <c r="E6508" s="201"/>
      <c r="F6508" s="202"/>
      <c r="G6508" s="549"/>
      <c r="H6508" s="549"/>
      <c r="I6508" s="549"/>
      <c r="J6508" s="549"/>
      <c r="K6508" s="549"/>
      <c r="M6508" s="465"/>
      <c r="N6508" s="201"/>
    </row>
    <row r="6509" spans="2:14" hidden="1" outlineLevel="1" x14ac:dyDescent="0.35">
      <c r="B6509" s="200"/>
      <c r="C6509" s="201"/>
      <c r="D6509" s="201"/>
      <c r="E6509" s="201"/>
      <c r="F6509" s="202"/>
      <c r="G6509" s="549"/>
      <c r="H6509" s="549"/>
      <c r="I6509" s="549"/>
      <c r="J6509" s="549"/>
      <c r="K6509" s="549"/>
      <c r="M6509" s="465"/>
      <c r="N6509" s="201"/>
    </row>
    <row r="6510" spans="2:14" hidden="1" outlineLevel="1" x14ac:dyDescent="0.35">
      <c r="B6510" s="200"/>
      <c r="C6510" s="201"/>
      <c r="D6510" s="201"/>
      <c r="E6510" s="201"/>
      <c r="F6510" s="202"/>
      <c r="G6510" s="549"/>
      <c r="H6510" s="549"/>
      <c r="I6510" s="549"/>
      <c r="J6510" s="549"/>
      <c r="K6510" s="549"/>
      <c r="M6510" s="465"/>
      <c r="N6510" s="201"/>
    </row>
    <row r="6511" spans="2:14" hidden="1" outlineLevel="1" x14ac:dyDescent="0.35">
      <c r="B6511" s="200"/>
      <c r="C6511" s="201"/>
      <c r="D6511" s="201"/>
      <c r="E6511" s="201"/>
      <c r="F6511" s="202"/>
      <c r="G6511" s="549"/>
      <c r="H6511" s="549"/>
      <c r="I6511" s="549"/>
      <c r="J6511" s="549"/>
      <c r="K6511" s="549"/>
      <c r="M6511" s="465"/>
      <c r="N6511" s="201"/>
    </row>
    <row r="6512" spans="2:14" hidden="1" outlineLevel="1" x14ac:dyDescent="0.35">
      <c r="B6512" s="200"/>
      <c r="C6512" s="201"/>
      <c r="D6512" s="201"/>
      <c r="E6512" s="201"/>
      <c r="F6512" s="202"/>
      <c r="G6512" s="549"/>
      <c r="H6512" s="549"/>
      <c r="I6512" s="549"/>
      <c r="J6512" s="549"/>
      <c r="K6512" s="549"/>
      <c r="M6512" s="465"/>
      <c r="N6512" s="201"/>
    </row>
    <row r="6513" spans="2:14" hidden="1" outlineLevel="1" x14ac:dyDescent="0.35">
      <c r="B6513" s="200"/>
      <c r="C6513" s="201"/>
      <c r="D6513" s="201"/>
      <c r="E6513" s="201"/>
      <c r="F6513" s="202"/>
      <c r="G6513" s="549"/>
      <c r="H6513" s="549"/>
      <c r="I6513" s="549"/>
      <c r="J6513" s="549"/>
      <c r="K6513" s="549"/>
      <c r="M6513" s="465"/>
      <c r="N6513" s="201"/>
    </row>
    <row r="6514" spans="2:14" hidden="1" outlineLevel="1" x14ac:dyDescent="0.35">
      <c r="B6514" s="200"/>
      <c r="C6514" s="201"/>
      <c r="D6514" s="201"/>
      <c r="E6514" s="201"/>
      <c r="F6514" s="202"/>
      <c r="G6514" s="549"/>
      <c r="H6514" s="549"/>
      <c r="I6514" s="549"/>
      <c r="J6514" s="549"/>
      <c r="K6514" s="549"/>
      <c r="M6514" s="465"/>
      <c r="N6514" s="201"/>
    </row>
    <row r="6515" spans="2:14" hidden="1" outlineLevel="1" x14ac:dyDescent="0.35">
      <c r="B6515" s="200"/>
      <c r="C6515" s="201"/>
      <c r="D6515" s="201"/>
      <c r="E6515" s="201"/>
      <c r="F6515" s="202"/>
      <c r="G6515" s="549"/>
      <c r="H6515" s="549"/>
      <c r="I6515" s="549"/>
      <c r="J6515" s="549"/>
      <c r="K6515" s="549"/>
      <c r="M6515" s="465"/>
      <c r="N6515" s="201"/>
    </row>
    <row r="6516" spans="2:14" hidden="1" outlineLevel="1" x14ac:dyDescent="0.35">
      <c r="B6516" s="200"/>
      <c r="C6516" s="201"/>
      <c r="D6516" s="201"/>
      <c r="E6516" s="201"/>
      <c r="F6516" s="202"/>
      <c r="G6516" s="549"/>
      <c r="H6516" s="549"/>
      <c r="I6516" s="549"/>
      <c r="J6516" s="549"/>
      <c r="K6516" s="549"/>
      <c r="M6516" s="465"/>
      <c r="N6516" s="201"/>
    </row>
    <row r="6517" spans="2:14" hidden="1" outlineLevel="1" x14ac:dyDescent="0.35">
      <c r="B6517" s="200"/>
      <c r="C6517" s="201"/>
      <c r="D6517" s="201"/>
      <c r="E6517" s="201"/>
      <c r="F6517" s="202"/>
      <c r="G6517" s="549"/>
      <c r="H6517" s="549"/>
      <c r="I6517" s="549"/>
      <c r="J6517" s="549"/>
      <c r="K6517" s="549"/>
      <c r="M6517" s="465"/>
      <c r="N6517" s="201"/>
    </row>
    <row r="6518" spans="2:14" hidden="1" outlineLevel="1" x14ac:dyDescent="0.35">
      <c r="B6518" s="200"/>
      <c r="C6518" s="201"/>
      <c r="D6518" s="201"/>
      <c r="E6518" s="201"/>
      <c r="F6518" s="202"/>
      <c r="G6518" s="549"/>
      <c r="H6518" s="549"/>
      <c r="I6518" s="549"/>
      <c r="J6518" s="549"/>
      <c r="K6518" s="549"/>
      <c r="M6518" s="465"/>
      <c r="N6518" s="201"/>
    </row>
    <row r="6519" spans="2:14" hidden="1" outlineLevel="1" x14ac:dyDescent="0.35">
      <c r="B6519" s="200"/>
      <c r="C6519" s="201"/>
      <c r="D6519" s="201"/>
      <c r="E6519" s="201"/>
      <c r="F6519" s="202"/>
      <c r="G6519" s="549"/>
      <c r="H6519" s="549"/>
      <c r="I6519" s="549"/>
      <c r="J6519" s="549"/>
      <c r="K6519" s="549"/>
      <c r="M6519" s="465"/>
      <c r="N6519" s="201"/>
    </row>
    <row r="6520" spans="2:14" hidden="1" outlineLevel="1" x14ac:dyDescent="0.35">
      <c r="B6520" s="200"/>
      <c r="C6520" s="201"/>
      <c r="D6520" s="201"/>
      <c r="E6520" s="201"/>
      <c r="F6520" s="202"/>
      <c r="G6520" s="549"/>
      <c r="H6520" s="549"/>
      <c r="I6520" s="549"/>
      <c r="J6520" s="549"/>
      <c r="K6520" s="549"/>
      <c r="M6520" s="465"/>
      <c r="N6520" s="201"/>
    </row>
    <row r="6521" spans="2:14" hidden="1" outlineLevel="1" x14ac:dyDescent="0.35">
      <c r="B6521" s="200"/>
      <c r="C6521" s="201"/>
      <c r="D6521" s="201"/>
      <c r="E6521" s="201"/>
      <c r="F6521" s="202"/>
      <c r="G6521" s="549"/>
      <c r="H6521" s="549"/>
      <c r="I6521" s="549"/>
      <c r="J6521" s="549"/>
      <c r="K6521" s="549"/>
      <c r="M6521" s="465"/>
      <c r="N6521" s="201"/>
    </row>
    <row r="6522" spans="2:14" hidden="1" outlineLevel="1" x14ac:dyDescent="0.35">
      <c r="B6522" s="200"/>
      <c r="C6522" s="201"/>
      <c r="D6522" s="201"/>
      <c r="E6522" s="201"/>
      <c r="F6522" s="202"/>
      <c r="G6522" s="549"/>
      <c r="H6522" s="549"/>
      <c r="I6522" s="549"/>
      <c r="J6522" s="549"/>
      <c r="K6522" s="549"/>
      <c r="M6522" s="465"/>
      <c r="N6522" s="201"/>
    </row>
    <row r="6523" spans="2:14" hidden="1" outlineLevel="1" x14ac:dyDescent="0.35">
      <c r="B6523" s="200"/>
      <c r="C6523" s="201"/>
      <c r="D6523" s="201"/>
      <c r="E6523" s="201"/>
      <c r="F6523" s="202"/>
      <c r="G6523" s="549"/>
      <c r="H6523" s="549"/>
      <c r="I6523" s="549"/>
      <c r="J6523" s="549"/>
      <c r="K6523" s="549"/>
      <c r="M6523" s="465"/>
      <c r="N6523" s="201"/>
    </row>
    <row r="6524" spans="2:14" hidden="1" outlineLevel="1" x14ac:dyDescent="0.35">
      <c r="B6524" s="200"/>
      <c r="C6524" s="201"/>
      <c r="D6524" s="201"/>
      <c r="E6524" s="201"/>
      <c r="F6524" s="202"/>
      <c r="G6524" s="549"/>
      <c r="H6524" s="549"/>
      <c r="I6524" s="549"/>
      <c r="J6524" s="549"/>
      <c r="K6524" s="549"/>
      <c r="M6524" s="465"/>
      <c r="N6524" s="201"/>
    </row>
    <row r="6525" spans="2:14" hidden="1" outlineLevel="1" x14ac:dyDescent="0.35">
      <c r="B6525" s="200"/>
      <c r="C6525" s="201"/>
      <c r="D6525" s="201"/>
      <c r="E6525" s="201"/>
      <c r="F6525" s="202"/>
      <c r="G6525" s="549"/>
      <c r="H6525" s="549"/>
      <c r="I6525" s="549"/>
      <c r="J6525" s="549"/>
      <c r="K6525" s="549"/>
      <c r="M6525" s="465"/>
      <c r="N6525" s="201"/>
    </row>
    <row r="6526" spans="2:14" hidden="1" outlineLevel="1" x14ac:dyDescent="0.35">
      <c r="B6526" s="200"/>
      <c r="C6526" s="201"/>
      <c r="D6526" s="201"/>
      <c r="E6526" s="201"/>
      <c r="F6526" s="202"/>
      <c r="G6526" s="549"/>
      <c r="H6526" s="549"/>
      <c r="I6526" s="549"/>
      <c r="J6526" s="549"/>
      <c r="K6526" s="549"/>
      <c r="M6526" s="465"/>
      <c r="N6526" s="201"/>
    </row>
    <row r="6527" spans="2:14" hidden="1" outlineLevel="1" x14ac:dyDescent="0.35">
      <c r="B6527" s="200"/>
      <c r="C6527" s="201"/>
      <c r="D6527" s="201"/>
      <c r="E6527" s="201"/>
      <c r="F6527" s="202"/>
      <c r="G6527" s="549"/>
      <c r="H6527" s="549"/>
      <c r="I6527" s="549"/>
      <c r="J6527" s="549"/>
      <c r="K6527" s="549"/>
      <c r="M6527" s="465"/>
      <c r="N6527" s="201"/>
    </row>
    <row r="6528" spans="2:14" hidden="1" outlineLevel="1" x14ac:dyDescent="0.35">
      <c r="B6528" s="200"/>
      <c r="C6528" s="201"/>
      <c r="D6528" s="201"/>
      <c r="E6528" s="201"/>
      <c r="F6528" s="202"/>
      <c r="G6528" s="549"/>
      <c r="H6528" s="549"/>
      <c r="I6528" s="549"/>
      <c r="J6528" s="549"/>
      <c r="K6528" s="549"/>
      <c r="M6528" s="465"/>
      <c r="N6528" s="201"/>
    </row>
    <row r="6529" spans="2:14" hidden="1" outlineLevel="1" x14ac:dyDescent="0.35">
      <c r="B6529" s="200"/>
      <c r="C6529" s="201"/>
      <c r="D6529" s="201"/>
      <c r="E6529" s="201"/>
      <c r="F6529" s="202"/>
      <c r="G6529" s="549"/>
      <c r="H6529" s="549"/>
      <c r="I6529" s="549"/>
      <c r="J6529" s="549"/>
      <c r="K6529" s="549"/>
      <c r="M6529" s="465"/>
      <c r="N6529" s="201"/>
    </row>
    <row r="6530" spans="2:14" hidden="1" outlineLevel="1" x14ac:dyDescent="0.35">
      <c r="B6530" s="200"/>
      <c r="C6530" s="201"/>
      <c r="D6530" s="201"/>
      <c r="E6530" s="201"/>
      <c r="F6530" s="202"/>
      <c r="G6530" s="549"/>
      <c r="H6530" s="549"/>
      <c r="I6530" s="549"/>
      <c r="J6530" s="549"/>
      <c r="K6530" s="549"/>
      <c r="M6530" s="465"/>
      <c r="N6530" s="201"/>
    </row>
    <row r="6531" spans="2:14" hidden="1" outlineLevel="1" x14ac:dyDescent="0.35">
      <c r="B6531" s="200"/>
      <c r="C6531" s="201"/>
      <c r="D6531" s="201"/>
      <c r="E6531" s="201"/>
      <c r="F6531" s="202"/>
      <c r="G6531" s="549"/>
      <c r="H6531" s="549"/>
      <c r="I6531" s="549"/>
      <c r="J6531" s="549"/>
      <c r="K6531" s="549"/>
      <c r="M6531" s="465"/>
      <c r="N6531" s="201"/>
    </row>
    <row r="6532" spans="2:14" hidden="1" outlineLevel="1" x14ac:dyDescent="0.35">
      <c r="B6532" s="200"/>
      <c r="C6532" s="201"/>
      <c r="D6532" s="201"/>
      <c r="E6532" s="201"/>
      <c r="F6532" s="202"/>
      <c r="G6532" s="549"/>
      <c r="H6532" s="549"/>
      <c r="I6532" s="549"/>
      <c r="J6532" s="549"/>
      <c r="K6532" s="549"/>
      <c r="M6532" s="465"/>
      <c r="N6532" s="201"/>
    </row>
    <row r="6533" spans="2:14" hidden="1" outlineLevel="1" x14ac:dyDescent="0.35">
      <c r="B6533" s="200"/>
      <c r="C6533" s="201"/>
      <c r="D6533" s="201"/>
      <c r="E6533" s="201"/>
      <c r="F6533" s="202"/>
      <c r="G6533" s="549"/>
      <c r="H6533" s="549"/>
      <c r="I6533" s="549"/>
      <c r="J6533" s="549"/>
      <c r="K6533" s="549"/>
      <c r="M6533" s="465"/>
      <c r="N6533" s="201"/>
    </row>
    <row r="6534" spans="2:14" hidden="1" outlineLevel="1" x14ac:dyDescent="0.35">
      <c r="B6534" s="200"/>
      <c r="C6534" s="201"/>
      <c r="D6534" s="201"/>
      <c r="E6534" s="201"/>
      <c r="F6534" s="202"/>
      <c r="G6534" s="549"/>
      <c r="H6534" s="549"/>
      <c r="I6534" s="549"/>
      <c r="J6534" s="549"/>
      <c r="K6534" s="549"/>
      <c r="M6534" s="465"/>
      <c r="N6534" s="201"/>
    </row>
    <row r="6535" spans="2:14" hidden="1" outlineLevel="1" x14ac:dyDescent="0.35">
      <c r="B6535" s="200"/>
      <c r="C6535" s="201"/>
      <c r="D6535" s="201"/>
      <c r="E6535" s="201"/>
      <c r="F6535" s="202"/>
      <c r="G6535" s="549"/>
      <c r="H6535" s="549"/>
      <c r="I6535" s="549"/>
      <c r="J6535" s="549"/>
      <c r="K6535" s="549"/>
      <c r="M6535" s="465"/>
      <c r="N6535" s="201"/>
    </row>
    <row r="6536" spans="2:14" hidden="1" outlineLevel="1" x14ac:dyDescent="0.35">
      <c r="B6536" s="200"/>
      <c r="C6536" s="201"/>
      <c r="D6536" s="201"/>
      <c r="E6536" s="201"/>
      <c r="F6536" s="202"/>
      <c r="G6536" s="549"/>
      <c r="H6536" s="549"/>
      <c r="I6536" s="549"/>
      <c r="J6536" s="549"/>
      <c r="K6536" s="549"/>
      <c r="M6536" s="465"/>
      <c r="N6536" s="201"/>
    </row>
    <row r="6537" spans="2:14" hidden="1" outlineLevel="1" x14ac:dyDescent="0.35">
      <c r="B6537" s="200"/>
      <c r="C6537" s="201"/>
      <c r="D6537" s="201"/>
      <c r="E6537" s="201"/>
      <c r="F6537" s="202"/>
      <c r="G6537" s="549"/>
      <c r="H6537" s="549"/>
      <c r="I6537" s="549"/>
      <c r="J6537" s="549"/>
      <c r="K6537" s="549"/>
      <c r="M6537" s="465"/>
      <c r="N6537" s="201"/>
    </row>
    <row r="6538" spans="2:14" hidden="1" outlineLevel="1" x14ac:dyDescent="0.35">
      <c r="B6538" s="200"/>
      <c r="C6538" s="201"/>
      <c r="D6538" s="201"/>
      <c r="E6538" s="201"/>
      <c r="F6538" s="202"/>
      <c r="G6538" s="549"/>
      <c r="H6538" s="549"/>
      <c r="I6538" s="549"/>
      <c r="J6538" s="549"/>
      <c r="K6538" s="549"/>
      <c r="M6538" s="465"/>
      <c r="N6538" s="201"/>
    </row>
    <row r="6539" spans="2:14" hidden="1" outlineLevel="1" x14ac:dyDescent="0.35">
      <c r="B6539" s="200"/>
      <c r="C6539" s="201"/>
      <c r="D6539" s="201"/>
      <c r="E6539" s="201"/>
      <c r="F6539" s="202"/>
      <c r="G6539" s="549"/>
      <c r="H6539" s="549"/>
      <c r="I6539" s="549"/>
      <c r="J6539" s="549"/>
      <c r="K6539" s="549"/>
      <c r="M6539" s="465"/>
      <c r="N6539" s="201"/>
    </row>
    <row r="6540" spans="2:14" hidden="1" outlineLevel="1" x14ac:dyDescent="0.35">
      <c r="B6540" s="200"/>
      <c r="C6540" s="201"/>
      <c r="D6540" s="201"/>
      <c r="E6540" s="201"/>
      <c r="F6540" s="202"/>
      <c r="G6540" s="549"/>
      <c r="H6540" s="549"/>
      <c r="I6540" s="549"/>
      <c r="J6540" s="549"/>
      <c r="K6540" s="549"/>
      <c r="M6540" s="465"/>
      <c r="N6540" s="201"/>
    </row>
    <row r="6541" spans="2:14" hidden="1" outlineLevel="1" x14ac:dyDescent="0.35">
      <c r="B6541" s="200"/>
      <c r="C6541" s="201"/>
      <c r="D6541" s="201"/>
      <c r="E6541" s="201"/>
      <c r="F6541" s="202"/>
      <c r="G6541" s="549"/>
      <c r="H6541" s="549"/>
      <c r="I6541" s="549"/>
      <c r="J6541" s="549"/>
      <c r="K6541" s="549"/>
      <c r="M6541" s="465"/>
      <c r="N6541" s="201"/>
    </row>
    <row r="6542" spans="2:14" hidden="1" outlineLevel="1" x14ac:dyDescent="0.35">
      <c r="B6542" s="200"/>
      <c r="C6542" s="201"/>
      <c r="D6542" s="201"/>
      <c r="E6542" s="201"/>
      <c r="F6542" s="202"/>
      <c r="G6542" s="549"/>
      <c r="H6542" s="549"/>
      <c r="I6542" s="549"/>
      <c r="J6542" s="549"/>
      <c r="K6542" s="549"/>
      <c r="M6542" s="465"/>
      <c r="N6542" s="201"/>
    </row>
    <row r="6543" spans="2:14" hidden="1" outlineLevel="1" x14ac:dyDescent="0.35">
      <c r="B6543" s="200"/>
      <c r="C6543" s="201"/>
      <c r="D6543" s="201"/>
      <c r="E6543" s="201"/>
      <c r="F6543" s="202"/>
      <c r="G6543" s="549"/>
      <c r="H6543" s="549"/>
      <c r="I6543" s="549"/>
      <c r="J6543" s="549"/>
      <c r="K6543" s="549"/>
      <c r="M6543" s="465"/>
      <c r="N6543" s="201"/>
    </row>
    <row r="6544" spans="2:14" hidden="1" outlineLevel="1" x14ac:dyDescent="0.35">
      <c r="B6544" s="200"/>
      <c r="C6544" s="201"/>
      <c r="D6544" s="201"/>
      <c r="E6544" s="201"/>
      <c r="F6544" s="202"/>
      <c r="G6544" s="549"/>
      <c r="H6544" s="549"/>
      <c r="I6544" s="549"/>
      <c r="J6544" s="549"/>
      <c r="K6544" s="549"/>
      <c r="M6544" s="465"/>
      <c r="N6544" s="201"/>
    </row>
    <row r="6545" spans="2:14" hidden="1" outlineLevel="1" x14ac:dyDescent="0.35">
      <c r="B6545" s="200"/>
      <c r="C6545" s="201"/>
      <c r="D6545" s="201"/>
      <c r="E6545" s="201"/>
      <c r="F6545" s="202"/>
      <c r="G6545" s="549"/>
      <c r="H6545" s="549"/>
      <c r="I6545" s="549"/>
      <c r="J6545" s="549"/>
      <c r="K6545" s="549"/>
      <c r="M6545" s="465"/>
      <c r="N6545" s="201"/>
    </row>
    <row r="6546" spans="2:14" hidden="1" outlineLevel="1" x14ac:dyDescent="0.35">
      <c r="B6546" s="200"/>
      <c r="C6546" s="201"/>
      <c r="D6546" s="201"/>
      <c r="E6546" s="201"/>
      <c r="F6546" s="202"/>
      <c r="G6546" s="549"/>
      <c r="H6546" s="549"/>
      <c r="I6546" s="549"/>
      <c r="J6546" s="549"/>
      <c r="K6546" s="549"/>
      <c r="M6546" s="465"/>
      <c r="N6546" s="201"/>
    </row>
    <row r="6547" spans="2:14" hidden="1" outlineLevel="1" x14ac:dyDescent="0.35">
      <c r="B6547" s="200"/>
      <c r="C6547" s="201"/>
      <c r="D6547" s="201"/>
      <c r="E6547" s="201"/>
      <c r="F6547" s="202"/>
      <c r="G6547" s="549"/>
      <c r="H6547" s="549"/>
      <c r="I6547" s="549"/>
      <c r="J6547" s="549"/>
      <c r="K6547" s="549"/>
      <c r="M6547" s="465"/>
      <c r="N6547" s="201"/>
    </row>
    <row r="6548" spans="2:14" hidden="1" outlineLevel="1" x14ac:dyDescent="0.35">
      <c r="B6548" s="200"/>
      <c r="C6548" s="201"/>
      <c r="D6548" s="201"/>
      <c r="E6548" s="201"/>
      <c r="F6548" s="202"/>
      <c r="G6548" s="549"/>
      <c r="H6548" s="549"/>
      <c r="I6548" s="549"/>
      <c r="J6548" s="549"/>
      <c r="K6548" s="549"/>
      <c r="M6548" s="465"/>
      <c r="N6548" s="201"/>
    </row>
    <row r="6549" spans="2:14" hidden="1" outlineLevel="1" x14ac:dyDescent="0.35">
      <c r="B6549" s="200"/>
      <c r="C6549" s="201"/>
      <c r="D6549" s="201"/>
      <c r="E6549" s="201"/>
      <c r="F6549" s="202"/>
      <c r="G6549" s="549"/>
      <c r="H6549" s="549"/>
      <c r="I6549" s="549"/>
      <c r="J6549" s="549"/>
      <c r="K6549" s="549"/>
      <c r="M6549" s="465"/>
      <c r="N6549" s="201"/>
    </row>
    <row r="6550" spans="2:14" hidden="1" outlineLevel="1" x14ac:dyDescent="0.35">
      <c r="B6550" s="200"/>
      <c r="C6550" s="201"/>
      <c r="D6550" s="201"/>
      <c r="E6550" s="201"/>
      <c r="F6550" s="202"/>
      <c r="G6550" s="549"/>
      <c r="H6550" s="549"/>
      <c r="I6550" s="549"/>
      <c r="J6550" s="549"/>
      <c r="K6550" s="549"/>
      <c r="M6550" s="465"/>
      <c r="N6550" s="201"/>
    </row>
    <row r="6551" spans="2:14" hidden="1" outlineLevel="1" x14ac:dyDescent="0.35">
      <c r="B6551" s="200"/>
      <c r="C6551" s="201"/>
      <c r="D6551" s="201"/>
      <c r="E6551" s="201"/>
      <c r="F6551" s="202"/>
      <c r="G6551" s="549"/>
      <c r="H6551" s="549"/>
      <c r="I6551" s="549"/>
      <c r="J6551" s="549"/>
      <c r="K6551" s="549"/>
      <c r="M6551" s="465"/>
      <c r="N6551" s="201"/>
    </row>
    <row r="6552" spans="2:14" hidden="1" outlineLevel="1" x14ac:dyDescent="0.35">
      <c r="B6552" s="200"/>
      <c r="C6552" s="201"/>
      <c r="D6552" s="201"/>
      <c r="E6552" s="201"/>
      <c r="F6552" s="202"/>
      <c r="G6552" s="549"/>
      <c r="H6552" s="549"/>
      <c r="I6552" s="549"/>
      <c r="J6552" s="549"/>
      <c r="K6552" s="549"/>
      <c r="M6552" s="465"/>
      <c r="N6552" s="201"/>
    </row>
    <row r="6553" spans="2:14" hidden="1" outlineLevel="1" x14ac:dyDescent="0.35">
      <c r="B6553" s="200"/>
      <c r="C6553" s="201"/>
      <c r="D6553" s="201"/>
      <c r="E6553" s="201"/>
      <c r="F6553" s="202"/>
      <c r="G6553" s="549"/>
      <c r="H6553" s="549"/>
      <c r="I6553" s="549"/>
      <c r="J6553" s="549"/>
      <c r="K6553" s="549"/>
      <c r="M6553" s="465"/>
      <c r="N6553" s="201"/>
    </row>
    <row r="6554" spans="2:14" hidden="1" outlineLevel="1" x14ac:dyDescent="0.35">
      <c r="B6554" s="200"/>
      <c r="C6554" s="201"/>
      <c r="D6554" s="201"/>
      <c r="E6554" s="201"/>
      <c r="F6554" s="202"/>
      <c r="G6554" s="549"/>
      <c r="H6554" s="549"/>
      <c r="I6554" s="549"/>
      <c r="J6554" s="549"/>
      <c r="K6554" s="549"/>
      <c r="M6554" s="465"/>
      <c r="N6554" s="201"/>
    </row>
    <row r="6555" spans="2:14" hidden="1" outlineLevel="1" x14ac:dyDescent="0.35">
      <c r="B6555" s="200"/>
      <c r="C6555" s="201"/>
      <c r="D6555" s="201"/>
      <c r="E6555" s="201"/>
      <c r="F6555" s="202"/>
      <c r="G6555" s="549"/>
      <c r="H6555" s="549"/>
      <c r="I6555" s="549"/>
      <c r="J6555" s="549"/>
      <c r="K6555" s="549"/>
      <c r="M6555" s="465"/>
      <c r="N6555" s="201"/>
    </row>
    <row r="6556" spans="2:14" hidden="1" outlineLevel="1" x14ac:dyDescent="0.35">
      <c r="B6556" s="200"/>
      <c r="C6556" s="201"/>
      <c r="D6556" s="201"/>
      <c r="E6556" s="201"/>
      <c r="F6556" s="202"/>
      <c r="G6556" s="549"/>
      <c r="H6556" s="549"/>
      <c r="I6556" s="549"/>
      <c r="J6556" s="549"/>
      <c r="K6556" s="549"/>
      <c r="M6556" s="465"/>
      <c r="N6556" s="201"/>
    </row>
    <row r="6557" spans="2:14" hidden="1" outlineLevel="1" x14ac:dyDescent="0.35">
      <c r="B6557" s="200"/>
      <c r="C6557" s="201"/>
      <c r="D6557" s="201"/>
      <c r="E6557" s="201"/>
      <c r="F6557" s="202"/>
      <c r="G6557" s="549"/>
      <c r="H6557" s="549"/>
      <c r="I6557" s="549"/>
      <c r="J6557" s="549"/>
      <c r="K6557" s="549"/>
      <c r="M6557" s="465"/>
      <c r="N6557" s="201"/>
    </row>
    <row r="6558" spans="2:14" hidden="1" outlineLevel="1" x14ac:dyDescent="0.35">
      <c r="B6558" s="200"/>
      <c r="C6558" s="201"/>
      <c r="D6558" s="201"/>
      <c r="E6558" s="201"/>
      <c r="F6558" s="202"/>
      <c r="G6558" s="549"/>
      <c r="H6558" s="549"/>
      <c r="I6558" s="549"/>
      <c r="J6558" s="549"/>
      <c r="K6558" s="549"/>
      <c r="M6558" s="465"/>
      <c r="N6558" s="201"/>
    </row>
    <row r="6559" spans="2:14" hidden="1" outlineLevel="1" x14ac:dyDescent="0.35">
      <c r="B6559" s="200"/>
      <c r="C6559" s="201"/>
      <c r="D6559" s="201"/>
      <c r="E6559" s="201"/>
      <c r="F6559" s="202"/>
      <c r="G6559" s="549"/>
      <c r="H6559" s="549"/>
      <c r="I6559" s="549"/>
      <c r="J6559" s="549"/>
      <c r="K6559" s="549"/>
      <c r="M6559" s="465"/>
      <c r="N6559" s="201"/>
    </row>
    <row r="6560" spans="2:14" hidden="1" outlineLevel="1" x14ac:dyDescent="0.35">
      <c r="B6560" s="200"/>
      <c r="C6560" s="201"/>
      <c r="D6560" s="201"/>
      <c r="E6560" s="201"/>
      <c r="F6560" s="202"/>
      <c r="G6560" s="549"/>
      <c r="H6560" s="549"/>
      <c r="I6560" s="549"/>
      <c r="J6560" s="549"/>
      <c r="K6560" s="549"/>
      <c r="M6560" s="465"/>
      <c r="N6560" s="201"/>
    </row>
    <row r="6561" spans="2:14" hidden="1" outlineLevel="1" x14ac:dyDescent="0.35">
      <c r="B6561" s="200"/>
      <c r="C6561" s="201"/>
      <c r="D6561" s="201"/>
      <c r="E6561" s="201"/>
      <c r="F6561" s="202"/>
      <c r="G6561" s="549"/>
      <c r="H6561" s="549"/>
      <c r="I6561" s="549"/>
      <c r="J6561" s="549"/>
      <c r="K6561" s="549"/>
      <c r="M6561" s="465"/>
      <c r="N6561" s="201"/>
    </row>
    <row r="6562" spans="2:14" hidden="1" outlineLevel="1" x14ac:dyDescent="0.35">
      <c r="B6562" s="200"/>
      <c r="C6562" s="201"/>
      <c r="D6562" s="201"/>
      <c r="E6562" s="201"/>
      <c r="F6562" s="202"/>
      <c r="G6562" s="549"/>
      <c r="H6562" s="549"/>
      <c r="I6562" s="549"/>
      <c r="J6562" s="549"/>
      <c r="K6562" s="549"/>
      <c r="M6562" s="465"/>
      <c r="N6562" s="201"/>
    </row>
    <row r="6563" spans="2:14" hidden="1" outlineLevel="1" x14ac:dyDescent="0.35">
      <c r="B6563" s="200"/>
      <c r="C6563" s="201"/>
      <c r="D6563" s="201"/>
      <c r="E6563" s="201"/>
      <c r="F6563" s="202"/>
      <c r="G6563" s="549"/>
      <c r="H6563" s="549"/>
      <c r="I6563" s="549"/>
      <c r="J6563" s="549"/>
      <c r="K6563" s="549"/>
      <c r="M6563" s="465"/>
      <c r="N6563" s="201"/>
    </row>
    <row r="6564" spans="2:14" hidden="1" outlineLevel="1" x14ac:dyDescent="0.35">
      <c r="B6564" s="200"/>
      <c r="C6564" s="201"/>
      <c r="D6564" s="201"/>
      <c r="E6564" s="201"/>
      <c r="F6564" s="202"/>
      <c r="G6564" s="549"/>
      <c r="H6564" s="549"/>
      <c r="I6564" s="549"/>
      <c r="J6564" s="549"/>
      <c r="K6564" s="549"/>
      <c r="M6564" s="465"/>
      <c r="N6564" s="201"/>
    </row>
    <row r="6565" spans="2:14" hidden="1" outlineLevel="1" x14ac:dyDescent="0.35">
      <c r="B6565" s="200"/>
      <c r="C6565" s="201"/>
      <c r="D6565" s="201"/>
      <c r="E6565" s="201"/>
      <c r="F6565" s="202"/>
      <c r="G6565" s="549"/>
      <c r="H6565" s="549"/>
      <c r="I6565" s="549"/>
      <c r="J6565" s="549"/>
      <c r="K6565" s="549"/>
      <c r="M6565" s="465"/>
      <c r="N6565" s="201"/>
    </row>
    <row r="6566" spans="2:14" hidden="1" outlineLevel="1" x14ac:dyDescent="0.35">
      <c r="B6566" s="200"/>
      <c r="C6566" s="201"/>
      <c r="D6566" s="201"/>
      <c r="E6566" s="201"/>
      <c r="F6566" s="202"/>
      <c r="G6566" s="549"/>
      <c r="H6566" s="549"/>
      <c r="I6566" s="549"/>
      <c r="J6566" s="549"/>
      <c r="K6566" s="549"/>
      <c r="M6566" s="465"/>
      <c r="N6566" s="201"/>
    </row>
    <row r="6567" spans="2:14" hidden="1" outlineLevel="1" x14ac:dyDescent="0.35">
      <c r="B6567" s="200"/>
      <c r="C6567" s="201"/>
      <c r="D6567" s="201"/>
      <c r="E6567" s="201"/>
      <c r="F6567" s="202"/>
      <c r="G6567" s="549"/>
      <c r="H6567" s="549"/>
      <c r="I6567" s="549"/>
      <c r="J6567" s="549"/>
      <c r="K6567" s="549"/>
      <c r="M6567" s="465"/>
      <c r="N6567" s="201"/>
    </row>
    <row r="6568" spans="2:14" hidden="1" outlineLevel="1" x14ac:dyDescent="0.35">
      <c r="B6568" s="200"/>
      <c r="C6568" s="201"/>
      <c r="D6568" s="201"/>
      <c r="E6568" s="201"/>
      <c r="F6568" s="202"/>
      <c r="G6568" s="549"/>
      <c r="H6568" s="549"/>
      <c r="I6568" s="549"/>
      <c r="J6568" s="549"/>
      <c r="K6568" s="549"/>
      <c r="M6568" s="465"/>
      <c r="N6568" s="201"/>
    </row>
    <row r="6569" spans="2:14" hidden="1" outlineLevel="1" x14ac:dyDescent="0.35">
      <c r="B6569" s="200"/>
      <c r="C6569" s="201"/>
      <c r="D6569" s="201"/>
      <c r="E6569" s="201"/>
      <c r="F6569" s="202"/>
      <c r="G6569" s="549"/>
      <c r="H6569" s="549"/>
      <c r="I6569" s="549"/>
      <c r="J6569" s="549"/>
      <c r="K6569" s="549"/>
      <c r="M6569" s="465"/>
      <c r="N6569" s="201"/>
    </row>
    <row r="6570" spans="2:14" hidden="1" outlineLevel="1" x14ac:dyDescent="0.35">
      <c r="B6570" s="200"/>
      <c r="C6570" s="201"/>
      <c r="D6570" s="201"/>
      <c r="E6570" s="201"/>
      <c r="F6570" s="202"/>
      <c r="G6570" s="549"/>
      <c r="H6570" s="549"/>
      <c r="I6570" s="549"/>
      <c r="J6570" s="549"/>
      <c r="K6570" s="549"/>
      <c r="M6570" s="465"/>
      <c r="N6570" s="201"/>
    </row>
    <row r="6571" spans="2:14" hidden="1" outlineLevel="1" x14ac:dyDescent="0.35">
      <c r="B6571" s="200"/>
      <c r="C6571" s="201"/>
      <c r="D6571" s="201"/>
      <c r="E6571" s="201"/>
      <c r="F6571" s="202"/>
      <c r="G6571" s="549"/>
      <c r="H6571" s="549"/>
      <c r="I6571" s="549"/>
      <c r="J6571" s="549"/>
      <c r="K6571" s="549"/>
      <c r="M6571" s="465"/>
      <c r="N6571" s="201"/>
    </row>
    <row r="6572" spans="2:14" hidden="1" outlineLevel="1" x14ac:dyDescent="0.35">
      <c r="B6572" s="200"/>
      <c r="C6572" s="201"/>
      <c r="D6572" s="201"/>
      <c r="E6572" s="201"/>
      <c r="F6572" s="202"/>
      <c r="G6572" s="549"/>
      <c r="H6572" s="549"/>
      <c r="I6572" s="549"/>
      <c r="J6572" s="549"/>
      <c r="K6572" s="549"/>
      <c r="M6572" s="465"/>
      <c r="N6572" s="201"/>
    </row>
    <row r="6573" spans="2:14" hidden="1" outlineLevel="1" x14ac:dyDescent="0.35">
      <c r="B6573" s="200"/>
      <c r="C6573" s="201"/>
      <c r="D6573" s="201"/>
      <c r="E6573" s="201"/>
      <c r="F6573" s="202"/>
      <c r="G6573" s="549"/>
      <c r="H6573" s="549"/>
      <c r="I6573" s="549"/>
      <c r="J6573" s="549"/>
      <c r="K6573" s="549"/>
      <c r="M6573" s="465"/>
      <c r="N6573" s="201"/>
    </row>
    <row r="6574" spans="2:14" hidden="1" outlineLevel="1" x14ac:dyDescent="0.35">
      <c r="B6574" s="200"/>
      <c r="C6574" s="201"/>
      <c r="D6574" s="201"/>
      <c r="E6574" s="201"/>
      <c r="F6574" s="202"/>
      <c r="G6574" s="549"/>
      <c r="H6574" s="549"/>
      <c r="I6574" s="549"/>
      <c r="J6574" s="549"/>
      <c r="K6574" s="549"/>
      <c r="M6574" s="465"/>
      <c r="N6574" s="201"/>
    </row>
    <row r="6575" spans="2:14" hidden="1" outlineLevel="1" x14ac:dyDescent="0.35">
      <c r="B6575" s="200"/>
      <c r="C6575" s="201"/>
      <c r="D6575" s="201"/>
      <c r="E6575" s="201"/>
      <c r="F6575" s="202"/>
      <c r="G6575" s="549"/>
      <c r="H6575" s="549"/>
      <c r="I6575" s="549"/>
      <c r="J6575" s="549"/>
      <c r="K6575" s="549"/>
      <c r="M6575" s="465"/>
      <c r="N6575" s="201"/>
    </row>
    <row r="6576" spans="2:14" hidden="1" outlineLevel="1" x14ac:dyDescent="0.35">
      <c r="B6576" s="200"/>
      <c r="C6576" s="201"/>
      <c r="D6576" s="201"/>
      <c r="E6576" s="201"/>
      <c r="F6576" s="202"/>
      <c r="G6576" s="549"/>
      <c r="H6576" s="549"/>
      <c r="I6576" s="549"/>
      <c r="J6576" s="549"/>
      <c r="K6576" s="549"/>
      <c r="M6576" s="465"/>
      <c r="N6576" s="201"/>
    </row>
    <row r="6577" spans="2:14" hidden="1" outlineLevel="1" x14ac:dyDescent="0.35">
      <c r="B6577" s="200"/>
      <c r="C6577" s="201"/>
      <c r="D6577" s="201"/>
      <c r="E6577" s="201"/>
      <c r="F6577" s="202"/>
      <c r="G6577" s="549"/>
      <c r="H6577" s="549"/>
      <c r="I6577" s="549"/>
      <c r="J6577" s="549"/>
      <c r="K6577" s="549"/>
      <c r="M6577" s="465"/>
      <c r="N6577" s="201"/>
    </row>
    <row r="6578" spans="2:14" hidden="1" outlineLevel="1" x14ac:dyDescent="0.35">
      <c r="B6578" s="200"/>
      <c r="C6578" s="201"/>
      <c r="D6578" s="201"/>
      <c r="E6578" s="201"/>
      <c r="F6578" s="202"/>
      <c r="G6578" s="549"/>
      <c r="H6578" s="549"/>
      <c r="I6578" s="549"/>
      <c r="J6578" s="549"/>
      <c r="K6578" s="549"/>
      <c r="M6578" s="465"/>
      <c r="N6578" s="201"/>
    </row>
    <row r="6579" spans="2:14" hidden="1" outlineLevel="1" x14ac:dyDescent="0.35">
      <c r="B6579" s="200"/>
      <c r="C6579" s="201"/>
      <c r="D6579" s="201"/>
      <c r="E6579" s="201"/>
      <c r="F6579" s="202"/>
      <c r="G6579" s="549"/>
      <c r="H6579" s="549"/>
      <c r="I6579" s="549"/>
      <c r="J6579" s="549"/>
      <c r="K6579" s="549"/>
      <c r="M6579" s="465"/>
      <c r="N6579" s="201"/>
    </row>
    <row r="6580" spans="2:14" hidden="1" outlineLevel="1" x14ac:dyDescent="0.35">
      <c r="B6580" s="200"/>
      <c r="C6580" s="201"/>
      <c r="D6580" s="201"/>
      <c r="E6580" s="201"/>
      <c r="F6580" s="202"/>
      <c r="G6580" s="549"/>
      <c r="H6580" s="549"/>
      <c r="I6580" s="549"/>
      <c r="J6580" s="549"/>
      <c r="K6580" s="549"/>
      <c r="M6580" s="465"/>
      <c r="N6580" s="201"/>
    </row>
    <row r="6581" spans="2:14" hidden="1" outlineLevel="1" x14ac:dyDescent="0.35">
      <c r="B6581" s="200"/>
      <c r="C6581" s="201"/>
      <c r="D6581" s="201"/>
      <c r="E6581" s="201"/>
      <c r="F6581" s="202"/>
      <c r="G6581" s="549"/>
      <c r="H6581" s="549"/>
      <c r="I6581" s="549"/>
      <c r="J6581" s="549"/>
      <c r="K6581" s="549"/>
      <c r="M6581" s="465"/>
      <c r="N6581" s="201"/>
    </row>
    <row r="6582" spans="2:14" hidden="1" outlineLevel="1" x14ac:dyDescent="0.35">
      <c r="B6582" s="200"/>
      <c r="C6582" s="201"/>
      <c r="D6582" s="201"/>
      <c r="E6582" s="201"/>
      <c r="F6582" s="202"/>
      <c r="G6582" s="549"/>
      <c r="H6582" s="549"/>
      <c r="I6582" s="549"/>
      <c r="J6582" s="549"/>
      <c r="K6582" s="549"/>
      <c r="M6582" s="465"/>
      <c r="N6582" s="201"/>
    </row>
    <row r="6583" spans="2:14" hidden="1" outlineLevel="1" x14ac:dyDescent="0.35">
      <c r="B6583" s="200"/>
      <c r="C6583" s="201"/>
      <c r="D6583" s="201"/>
      <c r="E6583" s="201"/>
      <c r="F6583" s="202"/>
      <c r="G6583" s="549"/>
      <c r="H6583" s="549"/>
      <c r="I6583" s="549"/>
      <c r="J6583" s="549"/>
      <c r="K6583" s="549"/>
      <c r="M6583" s="465"/>
      <c r="N6583" s="201"/>
    </row>
    <row r="6584" spans="2:14" hidden="1" outlineLevel="1" x14ac:dyDescent="0.35">
      <c r="B6584" s="200"/>
      <c r="C6584" s="201"/>
      <c r="D6584" s="201"/>
      <c r="E6584" s="201"/>
      <c r="F6584" s="202"/>
      <c r="G6584" s="549"/>
      <c r="H6584" s="549"/>
      <c r="I6584" s="549"/>
      <c r="J6584" s="549"/>
      <c r="K6584" s="549"/>
      <c r="M6584" s="465"/>
      <c r="N6584" s="201"/>
    </row>
    <row r="6585" spans="2:14" hidden="1" outlineLevel="1" x14ac:dyDescent="0.35">
      <c r="B6585" s="200"/>
      <c r="C6585" s="201"/>
      <c r="D6585" s="201"/>
      <c r="E6585" s="201"/>
      <c r="F6585" s="202"/>
      <c r="G6585" s="549"/>
      <c r="H6585" s="549"/>
      <c r="I6585" s="549"/>
      <c r="J6585" s="549"/>
      <c r="K6585" s="549"/>
      <c r="M6585" s="465"/>
      <c r="N6585" s="201"/>
    </row>
    <row r="6586" spans="2:14" hidden="1" outlineLevel="1" x14ac:dyDescent="0.35">
      <c r="B6586" s="200"/>
      <c r="C6586" s="201"/>
      <c r="D6586" s="201"/>
      <c r="E6586" s="201"/>
      <c r="F6586" s="202"/>
      <c r="G6586" s="549"/>
      <c r="H6586" s="549"/>
      <c r="I6586" s="549"/>
      <c r="J6586" s="549"/>
      <c r="K6586" s="549"/>
      <c r="M6586" s="465"/>
      <c r="N6586" s="201"/>
    </row>
    <row r="6587" spans="2:14" hidden="1" outlineLevel="1" x14ac:dyDescent="0.35">
      <c r="B6587" s="200"/>
      <c r="C6587" s="201"/>
      <c r="D6587" s="201"/>
      <c r="E6587" s="201"/>
      <c r="F6587" s="202"/>
      <c r="G6587" s="549"/>
      <c r="H6587" s="549"/>
      <c r="I6587" s="549"/>
      <c r="J6587" s="549"/>
      <c r="K6587" s="549"/>
      <c r="M6587" s="465"/>
      <c r="N6587" s="201"/>
    </row>
    <row r="6588" spans="2:14" hidden="1" outlineLevel="1" x14ac:dyDescent="0.35">
      <c r="B6588" s="200"/>
      <c r="C6588" s="201"/>
      <c r="D6588" s="201"/>
      <c r="E6588" s="201"/>
      <c r="F6588" s="202"/>
      <c r="G6588" s="549"/>
      <c r="H6588" s="549"/>
      <c r="I6588" s="549"/>
      <c r="J6588" s="549"/>
      <c r="K6588" s="549"/>
      <c r="M6588" s="465"/>
      <c r="N6588" s="201"/>
    </row>
    <row r="6589" spans="2:14" hidden="1" outlineLevel="1" x14ac:dyDescent="0.35">
      <c r="B6589" s="200"/>
      <c r="C6589" s="201"/>
      <c r="D6589" s="201"/>
      <c r="E6589" s="201"/>
      <c r="F6589" s="202"/>
      <c r="G6589" s="549"/>
      <c r="H6589" s="549"/>
      <c r="I6589" s="549"/>
      <c r="J6589" s="549"/>
      <c r="K6589" s="549"/>
      <c r="M6589" s="465"/>
      <c r="N6589" s="201"/>
    </row>
    <row r="6590" spans="2:14" hidden="1" outlineLevel="1" x14ac:dyDescent="0.35">
      <c r="B6590" s="200"/>
      <c r="C6590" s="201"/>
      <c r="D6590" s="201"/>
      <c r="E6590" s="201"/>
      <c r="F6590" s="202"/>
      <c r="G6590" s="549"/>
      <c r="H6590" s="549"/>
      <c r="I6590" s="549"/>
      <c r="J6590" s="549"/>
      <c r="K6590" s="549"/>
      <c r="M6590" s="465"/>
      <c r="N6590" s="201"/>
    </row>
    <row r="6591" spans="2:14" hidden="1" outlineLevel="1" x14ac:dyDescent="0.35">
      <c r="B6591" s="200"/>
      <c r="C6591" s="201"/>
      <c r="D6591" s="201"/>
      <c r="E6591" s="201"/>
      <c r="F6591" s="202"/>
      <c r="G6591" s="549"/>
      <c r="H6591" s="549"/>
      <c r="I6591" s="549"/>
      <c r="J6591" s="549"/>
      <c r="K6591" s="549"/>
      <c r="M6591" s="465"/>
      <c r="N6591" s="201"/>
    </row>
    <row r="6592" spans="2:14" hidden="1" outlineLevel="1" x14ac:dyDescent="0.35">
      <c r="B6592" s="200"/>
      <c r="C6592" s="201"/>
      <c r="D6592" s="201"/>
      <c r="E6592" s="201"/>
      <c r="F6592" s="202"/>
      <c r="G6592" s="549"/>
      <c r="H6592" s="549"/>
      <c r="I6592" s="549"/>
      <c r="J6592" s="549"/>
      <c r="K6592" s="549"/>
      <c r="M6592" s="465"/>
      <c r="N6592" s="201"/>
    </row>
    <row r="6593" spans="2:14" hidden="1" outlineLevel="1" x14ac:dyDescent="0.35">
      <c r="B6593" s="200"/>
      <c r="C6593" s="201"/>
      <c r="D6593" s="201"/>
      <c r="E6593" s="201"/>
      <c r="F6593" s="202"/>
      <c r="G6593" s="549"/>
      <c r="H6593" s="549"/>
      <c r="I6593" s="549"/>
      <c r="J6593" s="549"/>
      <c r="K6593" s="549"/>
      <c r="M6593" s="465"/>
      <c r="N6593" s="201"/>
    </row>
    <row r="6594" spans="2:14" hidden="1" outlineLevel="1" x14ac:dyDescent="0.35">
      <c r="B6594" s="200"/>
      <c r="C6594" s="201"/>
      <c r="D6594" s="201"/>
      <c r="E6594" s="201"/>
      <c r="F6594" s="202"/>
      <c r="G6594" s="549"/>
      <c r="H6594" s="549"/>
      <c r="I6594" s="549"/>
      <c r="J6594" s="549"/>
      <c r="K6594" s="549"/>
      <c r="M6594" s="465"/>
      <c r="N6594" s="201"/>
    </row>
    <row r="6595" spans="2:14" hidden="1" outlineLevel="1" x14ac:dyDescent="0.35">
      <c r="B6595" s="200"/>
      <c r="C6595" s="201"/>
      <c r="D6595" s="201"/>
      <c r="E6595" s="201"/>
      <c r="F6595" s="202"/>
      <c r="G6595" s="549"/>
      <c r="H6595" s="549"/>
      <c r="I6595" s="549"/>
      <c r="J6595" s="549"/>
      <c r="K6595" s="549"/>
      <c r="M6595" s="465"/>
      <c r="N6595" s="201"/>
    </row>
    <row r="6596" spans="2:14" hidden="1" outlineLevel="1" x14ac:dyDescent="0.35">
      <c r="B6596" s="200"/>
      <c r="C6596" s="201"/>
      <c r="D6596" s="201"/>
      <c r="E6596" s="201"/>
      <c r="F6596" s="202"/>
      <c r="G6596" s="549"/>
      <c r="H6596" s="549"/>
      <c r="I6596" s="549"/>
      <c r="J6596" s="549"/>
      <c r="K6596" s="549"/>
      <c r="M6596" s="465"/>
      <c r="N6596" s="201"/>
    </row>
    <row r="6597" spans="2:14" hidden="1" outlineLevel="1" x14ac:dyDescent="0.35">
      <c r="B6597" s="200"/>
      <c r="C6597" s="201"/>
      <c r="D6597" s="201"/>
      <c r="E6597" s="201"/>
      <c r="F6597" s="202"/>
      <c r="G6597" s="549"/>
      <c r="H6597" s="549"/>
      <c r="I6597" s="549"/>
      <c r="J6597" s="549"/>
      <c r="K6597" s="549"/>
      <c r="M6597" s="465"/>
      <c r="N6597" s="201"/>
    </row>
    <row r="6598" spans="2:14" hidden="1" outlineLevel="1" x14ac:dyDescent="0.35">
      <c r="B6598" s="200"/>
      <c r="C6598" s="201"/>
      <c r="D6598" s="201"/>
      <c r="E6598" s="201"/>
      <c r="F6598" s="202"/>
      <c r="G6598" s="549"/>
      <c r="H6598" s="549"/>
      <c r="I6598" s="549"/>
      <c r="J6598" s="549"/>
      <c r="K6598" s="549"/>
      <c r="M6598" s="465"/>
      <c r="N6598" s="201"/>
    </row>
    <row r="6599" spans="2:14" hidden="1" outlineLevel="1" x14ac:dyDescent="0.35">
      <c r="B6599" s="200"/>
      <c r="C6599" s="201"/>
      <c r="D6599" s="201"/>
      <c r="E6599" s="201"/>
      <c r="F6599" s="202"/>
      <c r="G6599" s="549"/>
      <c r="H6599" s="549"/>
      <c r="I6599" s="549"/>
      <c r="J6599" s="549"/>
      <c r="K6599" s="549"/>
      <c r="M6599" s="465"/>
      <c r="N6599" s="201"/>
    </row>
    <row r="6600" spans="2:14" hidden="1" outlineLevel="1" x14ac:dyDescent="0.35">
      <c r="B6600" s="200"/>
      <c r="C6600" s="201"/>
      <c r="D6600" s="201"/>
      <c r="E6600" s="201"/>
      <c r="F6600" s="202"/>
      <c r="G6600" s="549"/>
      <c r="H6600" s="549"/>
      <c r="I6600" s="549"/>
      <c r="J6600" s="549"/>
      <c r="K6600" s="549"/>
      <c r="M6600" s="465"/>
      <c r="N6600" s="201"/>
    </row>
    <row r="6601" spans="2:14" hidden="1" outlineLevel="1" x14ac:dyDescent="0.35">
      <c r="B6601" s="200"/>
      <c r="C6601" s="201"/>
      <c r="D6601" s="201"/>
      <c r="E6601" s="201"/>
      <c r="F6601" s="202"/>
      <c r="G6601" s="549"/>
      <c r="H6601" s="549"/>
      <c r="I6601" s="549"/>
      <c r="J6601" s="549"/>
      <c r="K6601" s="549"/>
      <c r="M6601" s="465"/>
      <c r="N6601" s="201"/>
    </row>
    <row r="6602" spans="2:14" hidden="1" outlineLevel="1" x14ac:dyDescent="0.35">
      <c r="B6602" s="200"/>
      <c r="C6602" s="201"/>
      <c r="D6602" s="201"/>
      <c r="E6602" s="201"/>
      <c r="F6602" s="202"/>
      <c r="G6602" s="549"/>
      <c r="H6602" s="549"/>
      <c r="I6602" s="549"/>
      <c r="J6602" s="549"/>
      <c r="K6602" s="549"/>
      <c r="M6602" s="465"/>
      <c r="N6602" s="201"/>
    </row>
    <row r="6603" spans="2:14" hidden="1" outlineLevel="1" x14ac:dyDescent="0.35">
      <c r="B6603" s="200"/>
      <c r="C6603" s="201"/>
      <c r="D6603" s="201"/>
      <c r="E6603" s="201"/>
      <c r="F6603" s="202"/>
      <c r="G6603" s="549"/>
      <c r="H6603" s="549"/>
      <c r="I6603" s="549"/>
      <c r="J6603" s="549"/>
      <c r="K6603" s="549"/>
      <c r="M6603" s="465"/>
      <c r="N6603" s="201"/>
    </row>
    <row r="6604" spans="2:14" hidden="1" outlineLevel="1" x14ac:dyDescent="0.35">
      <c r="B6604" s="200"/>
      <c r="C6604" s="201"/>
      <c r="D6604" s="201"/>
      <c r="E6604" s="201"/>
      <c r="F6604" s="202"/>
      <c r="G6604" s="549"/>
      <c r="H6604" s="549"/>
      <c r="I6604" s="549"/>
      <c r="J6604" s="549"/>
      <c r="K6604" s="549"/>
      <c r="M6604" s="465"/>
      <c r="N6604" s="201"/>
    </row>
    <row r="6605" spans="2:14" hidden="1" outlineLevel="1" x14ac:dyDescent="0.35">
      <c r="B6605" s="200"/>
      <c r="C6605" s="201"/>
      <c r="D6605" s="201"/>
      <c r="E6605" s="201"/>
      <c r="F6605" s="202"/>
      <c r="G6605" s="549"/>
      <c r="H6605" s="549"/>
      <c r="I6605" s="549"/>
      <c r="J6605" s="549"/>
      <c r="K6605" s="549"/>
      <c r="M6605" s="465"/>
      <c r="N6605" s="201"/>
    </row>
    <row r="6606" spans="2:14" hidden="1" outlineLevel="1" x14ac:dyDescent="0.35">
      <c r="B6606" s="200"/>
      <c r="C6606" s="201"/>
      <c r="D6606" s="201"/>
      <c r="E6606" s="201"/>
      <c r="F6606" s="202"/>
      <c r="G6606" s="549"/>
      <c r="H6606" s="549"/>
      <c r="I6606" s="549"/>
      <c r="J6606" s="549"/>
      <c r="K6606" s="549"/>
      <c r="M6606" s="465"/>
      <c r="N6606" s="201"/>
    </row>
    <row r="6607" spans="2:14" hidden="1" outlineLevel="1" x14ac:dyDescent="0.35">
      <c r="B6607" s="200"/>
      <c r="C6607" s="201"/>
      <c r="D6607" s="201"/>
      <c r="E6607" s="201"/>
      <c r="F6607" s="202"/>
      <c r="G6607" s="549"/>
      <c r="H6607" s="549"/>
      <c r="I6607" s="549"/>
      <c r="J6607" s="549"/>
      <c r="K6607" s="549"/>
      <c r="M6607" s="465"/>
      <c r="N6607" s="201"/>
    </row>
    <row r="6608" spans="2:14" hidden="1" outlineLevel="1" x14ac:dyDescent="0.35">
      <c r="B6608" s="200"/>
      <c r="C6608" s="201"/>
      <c r="D6608" s="201"/>
      <c r="E6608" s="201"/>
      <c r="F6608" s="202"/>
      <c r="G6608" s="549"/>
      <c r="H6608" s="549"/>
      <c r="I6608" s="549"/>
      <c r="J6608" s="549"/>
      <c r="K6608" s="549"/>
      <c r="M6608" s="465"/>
      <c r="N6608" s="201"/>
    </row>
    <row r="6609" spans="2:14" hidden="1" outlineLevel="1" x14ac:dyDescent="0.35">
      <c r="B6609" s="200"/>
      <c r="C6609" s="201"/>
      <c r="D6609" s="201"/>
      <c r="E6609" s="201"/>
      <c r="F6609" s="202"/>
      <c r="G6609" s="549"/>
      <c r="H6609" s="549"/>
      <c r="I6609" s="549"/>
      <c r="J6609" s="549"/>
      <c r="K6609" s="549"/>
      <c r="M6609" s="465"/>
      <c r="N6609" s="201"/>
    </row>
    <row r="6610" spans="2:14" hidden="1" outlineLevel="1" x14ac:dyDescent="0.35">
      <c r="B6610" s="200"/>
      <c r="C6610" s="201"/>
      <c r="D6610" s="201"/>
      <c r="E6610" s="201"/>
      <c r="F6610" s="202"/>
      <c r="G6610" s="549"/>
      <c r="H6610" s="549"/>
      <c r="I6610" s="549"/>
      <c r="J6610" s="549"/>
      <c r="K6610" s="549"/>
      <c r="M6610" s="465"/>
      <c r="N6610" s="201"/>
    </row>
    <row r="6611" spans="2:14" hidden="1" outlineLevel="1" x14ac:dyDescent="0.35">
      <c r="B6611" s="200"/>
      <c r="C6611" s="201"/>
      <c r="D6611" s="201"/>
      <c r="E6611" s="201"/>
      <c r="F6611" s="202"/>
      <c r="G6611" s="549"/>
      <c r="H6611" s="549"/>
      <c r="I6611" s="549"/>
      <c r="J6611" s="549"/>
      <c r="K6611" s="549"/>
      <c r="M6611" s="465"/>
      <c r="N6611" s="201"/>
    </row>
    <row r="6612" spans="2:14" hidden="1" outlineLevel="1" x14ac:dyDescent="0.35">
      <c r="B6612" s="200"/>
      <c r="C6612" s="201"/>
      <c r="D6612" s="201"/>
      <c r="E6612" s="201"/>
      <c r="F6612" s="202"/>
      <c r="G6612" s="549"/>
      <c r="H6612" s="549"/>
      <c r="I6612" s="549"/>
      <c r="J6612" s="549"/>
      <c r="K6612" s="549"/>
      <c r="M6612" s="465"/>
      <c r="N6612" s="201"/>
    </row>
    <row r="6613" spans="2:14" hidden="1" outlineLevel="1" x14ac:dyDescent="0.35">
      <c r="B6613" s="200"/>
      <c r="C6613" s="201"/>
      <c r="D6613" s="201"/>
      <c r="E6613" s="201"/>
      <c r="F6613" s="202"/>
      <c r="G6613" s="549"/>
      <c r="H6613" s="549"/>
      <c r="I6613" s="549"/>
      <c r="J6613" s="549"/>
      <c r="K6613" s="549"/>
      <c r="M6613" s="465"/>
      <c r="N6613" s="201"/>
    </row>
    <row r="6614" spans="2:14" hidden="1" outlineLevel="1" x14ac:dyDescent="0.35">
      <c r="B6614" s="200"/>
      <c r="C6614" s="201"/>
      <c r="D6614" s="201"/>
      <c r="E6614" s="201"/>
      <c r="F6614" s="202"/>
      <c r="G6614" s="549"/>
      <c r="H6614" s="549"/>
      <c r="I6614" s="549"/>
      <c r="J6614" s="549"/>
      <c r="K6614" s="549"/>
      <c r="M6614" s="465"/>
      <c r="N6614" s="201"/>
    </row>
    <row r="6615" spans="2:14" hidden="1" outlineLevel="1" x14ac:dyDescent="0.35">
      <c r="B6615" s="200"/>
      <c r="C6615" s="201"/>
      <c r="D6615" s="201"/>
      <c r="E6615" s="201"/>
      <c r="F6615" s="202"/>
      <c r="G6615" s="549"/>
      <c r="H6615" s="549"/>
      <c r="I6615" s="549"/>
      <c r="J6615" s="549"/>
      <c r="K6615" s="549"/>
      <c r="M6615" s="465"/>
      <c r="N6615" s="201"/>
    </row>
    <row r="6616" spans="2:14" hidden="1" outlineLevel="1" x14ac:dyDescent="0.35">
      <c r="B6616" s="200"/>
      <c r="C6616" s="201"/>
      <c r="D6616" s="201"/>
      <c r="E6616" s="201"/>
      <c r="F6616" s="202"/>
      <c r="G6616" s="549"/>
      <c r="H6616" s="549"/>
      <c r="I6616" s="549"/>
      <c r="J6616" s="549"/>
      <c r="K6616" s="549"/>
      <c r="M6616" s="465"/>
      <c r="N6616" s="201"/>
    </row>
    <row r="6617" spans="2:14" hidden="1" outlineLevel="1" x14ac:dyDescent="0.35">
      <c r="B6617" s="200"/>
      <c r="C6617" s="201"/>
      <c r="D6617" s="201"/>
      <c r="E6617" s="201"/>
      <c r="F6617" s="202"/>
      <c r="G6617" s="549"/>
      <c r="H6617" s="549"/>
      <c r="I6617" s="549"/>
      <c r="J6617" s="549"/>
      <c r="K6617" s="549"/>
      <c r="M6617" s="465"/>
      <c r="N6617" s="201"/>
    </row>
    <row r="6618" spans="2:14" hidden="1" outlineLevel="1" x14ac:dyDescent="0.35">
      <c r="B6618" s="200"/>
      <c r="C6618" s="201"/>
      <c r="D6618" s="201"/>
      <c r="E6618" s="201"/>
      <c r="F6618" s="202"/>
      <c r="G6618" s="549"/>
      <c r="H6618" s="549"/>
      <c r="I6618" s="549"/>
      <c r="J6618" s="549"/>
      <c r="K6618" s="549"/>
      <c r="M6618" s="465"/>
      <c r="N6618" s="201"/>
    </row>
    <row r="6619" spans="2:14" hidden="1" outlineLevel="1" x14ac:dyDescent="0.35">
      <c r="B6619" s="200"/>
      <c r="C6619" s="201"/>
      <c r="D6619" s="201"/>
      <c r="E6619" s="201"/>
      <c r="F6619" s="202"/>
      <c r="G6619" s="549"/>
      <c r="H6619" s="549"/>
      <c r="I6619" s="549"/>
      <c r="J6619" s="549"/>
      <c r="K6619" s="549"/>
      <c r="M6619" s="465"/>
      <c r="N6619" s="201"/>
    </row>
    <row r="6620" spans="2:14" hidden="1" outlineLevel="1" x14ac:dyDescent="0.35">
      <c r="B6620" s="200"/>
      <c r="C6620" s="201"/>
      <c r="D6620" s="201"/>
      <c r="E6620" s="201"/>
      <c r="F6620" s="202"/>
      <c r="G6620" s="549"/>
      <c r="H6620" s="549"/>
      <c r="I6620" s="549"/>
      <c r="J6620" s="549"/>
      <c r="K6620" s="549"/>
      <c r="M6620" s="465"/>
      <c r="N6620" s="201"/>
    </row>
    <row r="6621" spans="2:14" hidden="1" outlineLevel="1" x14ac:dyDescent="0.35">
      <c r="B6621" s="200"/>
      <c r="C6621" s="201"/>
      <c r="D6621" s="201"/>
      <c r="E6621" s="201"/>
      <c r="F6621" s="202"/>
      <c r="G6621" s="549"/>
      <c r="H6621" s="549"/>
      <c r="I6621" s="549"/>
      <c r="J6621" s="549"/>
      <c r="K6621" s="549"/>
      <c r="M6621" s="465"/>
      <c r="N6621" s="201"/>
    </row>
    <row r="6622" spans="2:14" hidden="1" outlineLevel="1" x14ac:dyDescent="0.35">
      <c r="B6622" s="200"/>
      <c r="C6622" s="201"/>
      <c r="D6622" s="201"/>
      <c r="E6622" s="201"/>
      <c r="F6622" s="202"/>
      <c r="G6622" s="549"/>
      <c r="H6622" s="549"/>
      <c r="I6622" s="549"/>
      <c r="J6622" s="549"/>
      <c r="K6622" s="549"/>
      <c r="M6622" s="465"/>
      <c r="N6622" s="201"/>
    </row>
    <row r="6623" spans="2:14" hidden="1" outlineLevel="1" x14ac:dyDescent="0.35">
      <c r="B6623" s="200"/>
      <c r="C6623" s="201"/>
      <c r="D6623" s="201"/>
      <c r="E6623" s="201"/>
      <c r="F6623" s="202"/>
      <c r="G6623" s="549"/>
      <c r="H6623" s="549"/>
      <c r="I6623" s="549"/>
      <c r="J6623" s="549"/>
      <c r="K6623" s="549"/>
      <c r="M6623" s="465"/>
      <c r="N6623" s="201"/>
    </row>
    <row r="6624" spans="2:14" hidden="1" outlineLevel="1" x14ac:dyDescent="0.35">
      <c r="B6624" s="200"/>
      <c r="C6624" s="201"/>
      <c r="D6624" s="201"/>
      <c r="E6624" s="201"/>
      <c r="F6624" s="202"/>
      <c r="G6624" s="549"/>
      <c r="H6624" s="549"/>
      <c r="I6624" s="549"/>
      <c r="J6624" s="549"/>
      <c r="K6624" s="549"/>
      <c r="M6624" s="465"/>
      <c r="N6624" s="201"/>
    </row>
    <row r="6625" spans="2:14" hidden="1" outlineLevel="1" x14ac:dyDescent="0.35">
      <c r="B6625" s="200"/>
      <c r="C6625" s="201"/>
      <c r="D6625" s="201"/>
      <c r="E6625" s="201"/>
      <c r="F6625" s="202"/>
      <c r="G6625" s="549"/>
      <c r="H6625" s="549"/>
      <c r="I6625" s="549"/>
      <c r="J6625" s="549"/>
      <c r="K6625" s="549"/>
      <c r="M6625" s="465"/>
      <c r="N6625" s="201"/>
    </row>
    <row r="6626" spans="2:14" hidden="1" outlineLevel="1" x14ac:dyDescent="0.35">
      <c r="B6626" s="200"/>
      <c r="C6626" s="201"/>
      <c r="D6626" s="201"/>
      <c r="E6626" s="201"/>
      <c r="F6626" s="202"/>
      <c r="G6626" s="549"/>
      <c r="H6626" s="549"/>
      <c r="I6626" s="549"/>
      <c r="J6626" s="549"/>
      <c r="K6626" s="549"/>
      <c r="M6626" s="465"/>
      <c r="N6626" s="201"/>
    </row>
    <row r="6627" spans="2:14" hidden="1" outlineLevel="1" x14ac:dyDescent="0.35">
      <c r="B6627" s="200"/>
      <c r="C6627" s="201"/>
      <c r="D6627" s="201"/>
      <c r="E6627" s="201"/>
      <c r="F6627" s="202"/>
      <c r="G6627" s="549"/>
      <c r="H6627" s="549"/>
      <c r="I6627" s="549"/>
      <c r="J6627" s="549"/>
      <c r="K6627" s="549"/>
      <c r="M6627" s="465"/>
      <c r="N6627" s="201"/>
    </row>
    <row r="6628" spans="2:14" hidden="1" outlineLevel="1" x14ac:dyDescent="0.35">
      <c r="B6628" s="200"/>
      <c r="C6628" s="201"/>
      <c r="D6628" s="201"/>
      <c r="E6628" s="201"/>
      <c r="F6628" s="202"/>
      <c r="G6628" s="549"/>
      <c r="H6628" s="549"/>
      <c r="I6628" s="549"/>
      <c r="J6628" s="549"/>
      <c r="K6628" s="549"/>
      <c r="M6628" s="465"/>
      <c r="N6628" s="201"/>
    </row>
    <row r="6629" spans="2:14" hidden="1" outlineLevel="1" x14ac:dyDescent="0.35">
      <c r="B6629" s="200"/>
      <c r="C6629" s="201"/>
      <c r="D6629" s="201"/>
      <c r="E6629" s="201"/>
      <c r="F6629" s="202"/>
      <c r="G6629" s="549"/>
      <c r="H6629" s="549"/>
      <c r="I6629" s="549"/>
      <c r="J6629" s="549"/>
      <c r="K6629" s="549"/>
      <c r="M6629" s="465"/>
      <c r="N6629" s="201"/>
    </row>
    <row r="6630" spans="2:14" hidden="1" outlineLevel="1" x14ac:dyDescent="0.35">
      <c r="B6630" s="200"/>
      <c r="C6630" s="201"/>
      <c r="D6630" s="201"/>
      <c r="E6630" s="201"/>
      <c r="F6630" s="202"/>
      <c r="G6630" s="549"/>
      <c r="H6630" s="549"/>
      <c r="I6630" s="549"/>
      <c r="J6630" s="549"/>
      <c r="K6630" s="549"/>
      <c r="M6630" s="465"/>
      <c r="N6630" s="201"/>
    </row>
    <row r="6631" spans="2:14" hidden="1" outlineLevel="1" x14ac:dyDescent="0.35">
      <c r="B6631" s="200"/>
      <c r="C6631" s="201"/>
      <c r="D6631" s="201"/>
      <c r="E6631" s="201"/>
      <c r="F6631" s="202"/>
      <c r="G6631" s="549"/>
      <c r="H6631" s="549"/>
      <c r="I6631" s="549"/>
      <c r="J6631" s="549"/>
      <c r="K6631" s="549"/>
      <c r="M6631" s="465"/>
      <c r="N6631" s="201"/>
    </row>
    <row r="6632" spans="2:14" hidden="1" outlineLevel="1" x14ac:dyDescent="0.35">
      <c r="B6632" s="200"/>
      <c r="C6632" s="201"/>
      <c r="D6632" s="201"/>
      <c r="E6632" s="201"/>
      <c r="F6632" s="202"/>
      <c r="G6632" s="549"/>
      <c r="H6632" s="549"/>
      <c r="I6632" s="549"/>
      <c r="J6632" s="549"/>
      <c r="K6632" s="549"/>
      <c r="M6632" s="465"/>
      <c r="N6632" s="201"/>
    </row>
    <row r="6633" spans="2:14" hidden="1" outlineLevel="1" x14ac:dyDescent="0.35">
      <c r="B6633" s="200"/>
      <c r="C6633" s="201"/>
      <c r="D6633" s="201"/>
      <c r="E6633" s="201"/>
      <c r="F6633" s="202"/>
      <c r="G6633" s="549"/>
      <c r="H6633" s="549"/>
      <c r="I6633" s="549"/>
      <c r="J6633" s="549"/>
      <c r="K6633" s="549"/>
      <c r="M6633" s="465"/>
      <c r="N6633" s="201"/>
    </row>
    <row r="6634" spans="2:14" hidden="1" outlineLevel="1" x14ac:dyDescent="0.35">
      <c r="B6634" s="200"/>
      <c r="C6634" s="201"/>
      <c r="D6634" s="201"/>
      <c r="E6634" s="201"/>
      <c r="F6634" s="202"/>
      <c r="G6634" s="549"/>
      <c r="H6634" s="549"/>
      <c r="I6634" s="549"/>
      <c r="J6634" s="549"/>
      <c r="K6634" s="549"/>
      <c r="M6634" s="465"/>
      <c r="N6634" s="201"/>
    </row>
    <row r="6635" spans="2:14" hidden="1" outlineLevel="1" x14ac:dyDescent="0.35">
      <c r="B6635" s="200"/>
      <c r="C6635" s="201"/>
      <c r="D6635" s="201"/>
      <c r="E6635" s="201"/>
      <c r="F6635" s="202"/>
      <c r="G6635" s="549"/>
      <c r="H6635" s="549"/>
      <c r="I6635" s="549"/>
      <c r="J6635" s="549"/>
      <c r="K6635" s="549"/>
      <c r="M6635" s="465"/>
      <c r="N6635" s="201"/>
    </row>
    <row r="6636" spans="2:14" hidden="1" outlineLevel="1" x14ac:dyDescent="0.35">
      <c r="B6636" s="200"/>
      <c r="C6636" s="201"/>
      <c r="D6636" s="201"/>
      <c r="E6636" s="201"/>
      <c r="F6636" s="202"/>
      <c r="G6636" s="549"/>
      <c r="H6636" s="549"/>
      <c r="I6636" s="549"/>
      <c r="J6636" s="549"/>
      <c r="K6636" s="549"/>
      <c r="M6636" s="465"/>
      <c r="N6636" s="201"/>
    </row>
    <row r="6637" spans="2:14" hidden="1" outlineLevel="1" x14ac:dyDescent="0.35">
      <c r="B6637" s="200"/>
      <c r="C6637" s="201"/>
      <c r="D6637" s="201"/>
      <c r="E6637" s="201"/>
      <c r="F6637" s="202"/>
      <c r="G6637" s="549"/>
      <c r="H6637" s="549"/>
      <c r="I6637" s="549"/>
      <c r="J6637" s="549"/>
      <c r="K6637" s="549"/>
      <c r="M6637" s="465"/>
      <c r="N6637" s="201"/>
    </row>
    <row r="6638" spans="2:14" hidden="1" outlineLevel="1" x14ac:dyDescent="0.35">
      <c r="B6638" s="200"/>
      <c r="C6638" s="201"/>
      <c r="D6638" s="201"/>
      <c r="E6638" s="201"/>
      <c r="F6638" s="202"/>
      <c r="G6638" s="549"/>
      <c r="H6638" s="549"/>
      <c r="I6638" s="549"/>
      <c r="J6638" s="549"/>
      <c r="K6638" s="549"/>
      <c r="M6638" s="465"/>
      <c r="N6638" s="201"/>
    </row>
    <row r="6639" spans="2:14" hidden="1" outlineLevel="1" x14ac:dyDescent="0.35">
      <c r="B6639" s="200"/>
      <c r="C6639" s="201"/>
      <c r="D6639" s="201"/>
      <c r="E6639" s="201"/>
      <c r="F6639" s="202"/>
      <c r="G6639" s="549"/>
      <c r="H6639" s="549"/>
      <c r="I6639" s="549"/>
      <c r="J6639" s="549"/>
      <c r="K6639" s="549"/>
      <c r="M6639" s="465"/>
      <c r="N6639" s="201"/>
    </row>
    <row r="6640" spans="2:14" hidden="1" outlineLevel="1" x14ac:dyDescent="0.35">
      <c r="B6640" s="200"/>
      <c r="C6640" s="201"/>
      <c r="D6640" s="201"/>
      <c r="E6640" s="201"/>
      <c r="F6640" s="202"/>
      <c r="G6640" s="549"/>
      <c r="H6640" s="549"/>
      <c r="I6640" s="549"/>
      <c r="J6640" s="549"/>
      <c r="K6640" s="549"/>
      <c r="M6640" s="465"/>
      <c r="N6640" s="201"/>
    </row>
    <row r="6641" spans="2:14" hidden="1" outlineLevel="1" x14ac:dyDescent="0.35">
      <c r="B6641" s="200"/>
      <c r="C6641" s="201"/>
      <c r="D6641" s="201"/>
      <c r="E6641" s="201"/>
      <c r="F6641" s="202"/>
      <c r="G6641" s="549"/>
      <c r="H6641" s="549"/>
      <c r="I6641" s="549"/>
      <c r="J6641" s="549"/>
      <c r="K6641" s="549"/>
      <c r="M6641" s="465"/>
      <c r="N6641" s="201"/>
    </row>
    <row r="6642" spans="2:14" hidden="1" outlineLevel="1" x14ac:dyDescent="0.35">
      <c r="B6642" s="200"/>
      <c r="C6642" s="201"/>
      <c r="D6642" s="201"/>
      <c r="E6642" s="201"/>
      <c r="F6642" s="202"/>
      <c r="G6642" s="549"/>
      <c r="H6642" s="549"/>
      <c r="I6642" s="549"/>
      <c r="J6642" s="549"/>
      <c r="K6642" s="549"/>
      <c r="M6642" s="465"/>
      <c r="N6642" s="201"/>
    </row>
    <row r="6643" spans="2:14" hidden="1" outlineLevel="1" x14ac:dyDescent="0.35">
      <c r="B6643" s="200"/>
      <c r="C6643" s="201"/>
      <c r="D6643" s="201"/>
      <c r="E6643" s="201"/>
      <c r="F6643" s="202"/>
      <c r="G6643" s="549"/>
      <c r="H6643" s="549"/>
      <c r="I6643" s="549"/>
      <c r="J6643" s="549"/>
      <c r="K6643" s="549"/>
      <c r="M6643" s="465"/>
      <c r="N6643" s="201"/>
    </row>
    <row r="6644" spans="2:14" hidden="1" outlineLevel="1" x14ac:dyDescent="0.35">
      <c r="B6644" s="200"/>
      <c r="C6644" s="201"/>
      <c r="D6644" s="201"/>
      <c r="E6644" s="201"/>
      <c r="F6644" s="202"/>
      <c r="G6644" s="549"/>
      <c r="H6644" s="549"/>
      <c r="I6644" s="549"/>
      <c r="J6644" s="549"/>
      <c r="K6644" s="549"/>
      <c r="M6644" s="465"/>
      <c r="N6644" s="201"/>
    </row>
    <row r="6645" spans="2:14" hidden="1" outlineLevel="1" x14ac:dyDescent="0.35">
      <c r="B6645" s="200"/>
      <c r="C6645" s="201"/>
      <c r="D6645" s="201"/>
      <c r="E6645" s="201"/>
      <c r="F6645" s="202"/>
      <c r="G6645" s="549"/>
      <c r="H6645" s="549"/>
      <c r="I6645" s="549"/>
      <c r="J6645" s="549"/>
      <c r="K6645" s="549"/>
      <c r="M6645" s="465"/>
      <c r="N6645" s="201"/>
    </row>
    <row r="6646" spans="2:14" hidden="1" outlineLevel="1" x14ac:dyDescent="0.35">
      <c r="B6646" s="200"/>
      <c r="C6646" s="201"/>
      <c r="D6646" s="201"/>
      <c r="E6646" s="201"/>
      <c r="F6646" s="202"/>
      <c r="G6646" s="549"/>
      <c r="H6646" s="549"/>
      <c r="I6646" s="549"/>
      <c r="J6646" s="549"/>
      <c r="K6646" s="549"/>
      <c r="M6646" s="465"/>
      <c r="N6646" s="201"/>
    </row>
    <row r="6647" spans="2:14" hidden="1" outlineLevel="1" x14ac:dyDescent="0.35">
      <c r="B6647" s="200"/>
      <c r="C6647" s="201"/>
      <c r="D6647" s="201"/>
      <c r="E6647" s="201"/>
      <c r="F6647" s="202"/>
      <c r="G6647" s="549"/>
      <c r="H6647" s="549"/>
      <c r="I6647" s="549"/>
      <c r="J6647" s="549"/>
      <c r="K6647" s="549"/>
      <c r="M6647" s="465"/>
      <c r="N6647" s="201"/>
    </row>
    <row r="6648" spans="2:14" hidden="1" outlineLevel="1" x14ac:dyDescent="0.35">
      <c r="B6648" s="200"/>
      <c r="C6648" s="201"/>
      <c r="D6648" s="201"/>
      <c r="E6648" s="201"/>
      <c r="F6648" s="202"/>
      <c r="G6648" s="549"/>
      <c r="H6648" s="549"/>
      <c r="I6648" s="549"/>
      <c r="J6648" s="549"/>
      <c r="K6648" s="549"/>
      <c r="M6648" s="465"/>
      <c r="N6648" s="201"/>
    </row>
    <row r="6649" spans="2:14" hidden="1" outlineLevel="1" x14ac:dyDescent="0.35">
      <c r="B6649" s="200"/>
      <c r="C6649" s="201"/>
      <c r="D6649" s="201"/>
      <c r="E6649" s="201"/>
      <c r="F6649" s="202"/>
      <c r="G6649" s="549"/>
      <c r="H6649" s="549"/>
      <c r="I6649" s="549"/>
      <c r="J6649" s="549"/>
      <c r="K6649" s="549"/>
      <c r="M6649" s="465"/>
      <c r="N6649" s="201"/>
    </row>
    <row r="6650" spans="2:14" hidden="1" outlineLevel="1" x14ac:dyDescent="0.35">
      <c r="B6650" s="200"/>
      <c r="C6650" s="201"/>
      <c r="D6650" s="201"/>
      <c r="E6650" s="201"/>
      <c r="F6650" s="202"/>
      <c r="G6650" s="549"/>
      <c r="H6650" s="549"/>
      <c r="I6650" s="549"/>
      <c r="J6650" s="549"/>
      <c r="K6650" s="549"/>
      <c r="M6650" s="465"/>
      <c r="N6650" s="201"/>
    </row>
    <row r="6651" spans="2:14" hidden="1" outlineLevel="1" x14ac:dyDescent="0.35">
      <c r="B6651" s="200"/>
      <c r="C6651" s="201"/>
      <c r="D6651" s="201"/>
      <c r="E6651" s="201"/>
      <c r="F6651" s="202"/>
      <c r="G6651" s="549"/>
      <c r="H6651" s="549"/>
      <c r="I6651" s="549"/>
      <c r="J6651" s="549"/>
      <c r="K6651" s="549"/>
      <c r="M6651" s="465"/>
      <c r="N6651" s="201"/>
    </row>
    <row r="6652" spans="2:14" hidden="1" outlineLevel="1" x14ac:dyDescent="0.35">
      <c r="B6652" s="200"/>
      <c r="C6652" s="201"/>
      <c r="D6652" s="201"/>
      <c r="E6652" s="201"/>
      <c r="F6652" s="202"/>
      <c r="G6652" s="549"/>
      <c r="H6652" s="549"/>
      <c r="I6652" s="549"/>
      <c r="J6652" s="549"/>
      <c r="K6652" s="549"/>
      <c r="M6652" s="465"/>
      <c r="N6652" s="201"/>
    </row>
    <row r="6653" spans="2:14" hidden="1" outlineLevel="1" x14ac:dyDescent="0.35">
      <c r="B6653" s="200"/>
      <c r="C6653" s="201"/>
      <c r="D6653" s="201"/>
      <c r="E6653" s="201"/>
      <c r="F6653" s="202"/>
      <c r="G6653" s="549"/>
      <c r="H6653" s="549"/>
      <c r="I6653" s="549"/>
      <c r="J6653" s="549"/>
      <c r="K6653" s="549"/>
      <c r="M6653" s="465"/>
      <c r="N6653" s="201"/>
    </row>
    <row r="6654" spans="2:14" hidden="1" outlineLevel="1" x14ac:dyDescent="0.35">
      <c r="B6654" s="200"/>
      <c r="C6654" s="201"/>
      <c r="D6654" s="201"/>
      <c r="E6654" s="201"/>
      <c r="F6654" s="202"/>
      <c r="G6654" s="549"/>
      <c r="H6654" s="549"/>
      <c r="I6654" s="549"/>
      <c r="J6654" s="549"/>
      <c r="K6654" s="549"/>
      <c r="M6654" s="465"/>
      <c r="N6654" s="201"/>
    </row>
    <row r="6655" spans="2:14" hidden="1" outlineLevel="1" x14ac:dyDescent="0.35">
      <c r="B6655" s="200"/>
      <c r="C6655" s="201"/>
      <c r="D6655" s="201"/>
      <c r="E6655" s="201"/>
      <c r="F6655" s="202"/>
      <c r="G6655" s="549"/>
      <c r="H6655" s="549"/>
      <c r="I6655" s="549"/>
      <c r="J6655" s="549"/>
      <c r="K6655" s="549"/>
      <c r="M6655" s="465"/>
      <c r="N6655" s="201"/>
    </row>
    <row r="6656" spans="2:14" hidden="1" outlineLevel="1" x14ac:dyDescent="0.35">
      <c r="B6656" s="200"/>
      <c r="C6656" s="201"/>
      <c r="D6656" s="201"/>
      <c r="E6656" s="201"/>
      <c r="F6656" s="202"/>
      <c r="G6656" s="549"/>
      <c r="H6656" s="549"/>
      <c r="I6656" s="549"/>
      <c r="J6656" s="549"/>
      <c r="K6656" s="549"/>
      <c r="M6656" s="465"/>
      <c r="N6656" s="201"/>
    </row>
    <row r="6657" spans="2:14" hidden="1" outlineLevel="1" x14ac:dyDescent="0.35">
      <c r="B6657" s="200"/>
      <c r="C6657" s="201"/>
      <c r="D6657" s="201"/>
      <c r="E6657" s="201"/>
      <c r="F6657" s="202"/>
      <c r="G6657" s="549"/>
      <c r="H6657" s="549"/>
      <c r="I6657" s="549"/>
      <c r="J6657" s="549"/>
      <c r="K6657" s="549"/>
      <c r="M6657" s="465"/>
      <c r="N6657" s="201"/>
    </row>
    <row r="6658" spans="2:14" hidden="1" outlineLevel="1" x14ac:dyDescent="0.35">
      <c r="B6658" s="200"/>
      <c r="C6658" s="201"/>
      <c r="D6658" s="201"/>
      <c r="E6658" s="201"/>
      <c r="F6658" s="202"/>
      <c r="G6658" s="549"/>
      <c r="H6658" s="549"/>
      <c r="I6658" s="549"/>
      <c r="J6658" s="549"/>
      <c r="K6658" s="549"/>
      <c r="M6658" s="465"/>
      <c r="N6658" s="201"/>
    </row>
    <row r="6659" spans="2:14" hidden="1" outlineLevel="1" x14ac:dyDescent="0.35">
      <c r="B6659" s="200"/>
      <c r="C6659" s="201"/>
      <c r="D6659" s="201"/>
      <c r="E6659" s="201"/>
      <c r="F6659" s="202"/>
      <c r="G6659" s="549"/>
      <c r="H6659" s="549"/>
      <c r="I6659" s="549"/>
      <c r="J6659" s="549"/>
      <c r="K6659" s="549"/>
      <c r="M6659" s="465"/>
      <c r="N6659" s="201"/>
    </row>
    <row r="6660" spans="2:14" hidden="1" outlineLevel="1" x14ac:dyDescent="0.35">
      <c r="B6660" s="200"/>
      <c r="C6660" s="201"/>
      <c r="D6660" s="201"/>
      <c r="E6660" s="201"/>
      <c r="F6660" s="202"/>
      <c r="G6660" s="549"/>
      <c r="H6660" s="549"/>
      <c r="I6660" s="549"/>
      <c r="J6660" s="549"/>
      <c r="K6660" s="549"/>
      <c r="M6660" s="465"/>
      <c r="N6660" s="201"/>
    </row>
    <row r="6661" spans="2:14" hidden="1" outlineLevel="1" x14ac:dyDescent="0.35">
      <c r="B6661" s="200"/>
      <c r="C6661" s="201"/>
      <c r="D6661" s="201"/>
      <c r="E6661" s="201"/>
      <c r="F6661" s="202"/>
      <c r="G6661" s="549"/>
      <c r="H6661" s="549"/>
      <c r="I6661" s="549"/>
      <c r="J6661" s="549"/>
      <c r="K6661" s="549"/>
      <c r="M6661" s="465"/>
      <c r="N6661" s="201"/>
    </row>
    <row r="6662" spans="2:14" hidden="1" outlineLevel="1" x14ac:dyDescent="0.35">
      <c r="B6662" s="200"/>
      <c r="C6662" s="201"/>
      <c r="D6662" s="201"/>
      <c r="E6662" s="201"/>
      <c r="F6662" s="202"/>
      <c r="G6662" s="549"/>
      <c r="H6662" s="549"/>
      <c r="I6662" s="549"/>
      <c r="J6662" s="549"/>
      <c r="K6662" s="549"/>
      <c r="M6662" s="465"/>
      <c r="N6662" s="201"/>
    </row>
    <row r="6663" spans="2:14" hidden="1" outlineLevel="1" x14ac:dyDescent="0.35">
      <c r="B6663" s="200"/>
      <c r="C6663" s="201"/>
      <c r="D6663" s="201"/>
      <c r="E6663" s="201"/>
      <c r="F6663" s="202"/>
      <c r="G6663" s="549"/>
      <c r="H6663" s="549"/>
      <c r="I6663" s="549"/>
      <c r="J6663" s="549"/>
      <c r="K6663" s="549"/>
      <c r="M6663" s="465"/>
      <c r="N6663" s="201"/>
    </row>
    <row r="6664" spans="2:14" hidden="1" outlineLevel="1" x14ac:dyDescent="0.35">
      <c r="B6664" s="200"/>
      <c r="C6664" s="201"/>
      <c r="D6664" s="201"/>
      <c r="E6664" s="201"/>
      <c r="F6664" s="202"/>
      <c r="G6664" s="549"/>
      <c r="H6664" s="549"/>
      <c r="I6664" s="549"/>
      <c r="J6664" s="549"/>
      <c r="K6664" s="549"/>
      <c r="M6664" s="465"/>
      <c r="N6664" s="201"/>
    </row>
    <row r="6665" spans="2:14" hidden="1" outlineLevel="1" x14ac:dyDescent="0.35">
      <c r="B6665" s="200"/>
      <c r="C6665" s="201"/>
      <c r="D6665" s="201"/>
      <c r="E6665" s="201"/>
      <c r="F6665" s="202"/>
      <c r="G6665" s="549"/>
      <c r="H6665" s="549"/>
      <c r="I6665" s="549"/>
      <c r="J6665" s="549"/>
      <c r="K6665" s="549"/>
      <c r="M6665" s="465"/>
      <c r="N6665" s="201"/>
    </row>
    <row r="6666" spans="2:14" hidden="1" outlineLevel="1" x14ac:dyDescent="0.35">
      <c r="B6666" s="200"/>
      <c r="C6666" s="201"/>
      <c r="D6666" s="201"/>
      <c r="E6666" s="201"/>
      <c r="F6666" s="202"/>
      <c r="G6666" s="549"/>
      <c r="H6666" s="549"/>
      <c r="I6666" s="549"/>
      <c r="J6666" s="549"/>
      <c r="K6666" s="549"/>
      <c r="M6666" s="465"/>
      <c r="N6666" s="201"/>
    </row>
    <row r="6667" spans="2:14" hidden="1" outlineLevel="1" x14ac:dyDescent="0.35">
      <c r="B6667" s="200"/>
      <c r="C6667" s="201"/>
      <c r="D6667" s="201"/>
      <c r="E6667" s="201"/>
      <c r="F6667" s="202"/>
      <c r="G6667" s="549"/>
      <c r="H6667" s="549"/>
      <c r="I6667" s="549"/>
      <c r="J6667" s="549"/>
      <c r="K6667" s="549"/>
      <c r="M6667" s="465"/>
      <c r="N6667" s="201"/>
    </row>
    <row r="6668" spans="2:14" hidden="1" outlineLevel="1" x14ac:dyDescent="0.35">
      <c r="B6668" s="200"/>
      <c r="C6668" s="201"/>
      <c r="D6668" s="201"/>
      <c r="E6668" s="201"/>
      <c r="F6668" s="202"/>
      <c r="G6668" s="549"/>
      <c r="H6668" s="549"/>
      <c r="I6668" s="549"/>
      <c r="J6668" s="549"/>
      <c r="K6668" s="549"/>
      <c r="M6668" s="465"/>
      <c r="N6668" s="201"/>
    </row>
    <row r="6669" spans="2:14" hidden="1" outlineLevel="1" x14ac:dyDescent="0.35">
      <c r="B6669" s="200"/>
      <c r="C6669" s="201"/>
      <c r="D6669" s="201"/>
      <c r="E6669" s="201"/>
      <c r="F6669" s="202"/>
      <c r="G6669" s="549"/>
      <c r="H6669" s="549"/>
      <c r="I6669" s="549"/>
      <c r="J6669" s="549"/>
      <c r="K6669" s="549"/>
      <c r="M6669" s="465"/>
      <c r="N6669" s="201"/>
    </row>
    <row r="6670" spans="2:14" hidden="1" outlineLevel="1" x14ac:dyDescent="0.35">
      <c r="B6670" s="200"/>
      <c r="C6670" s="201"/>
      <c r="D6670" s="201"/>
      <c r="E6670" s="201"/>
      <c r="F6670" s="202"/>
      <c r="G6670" s="549"/>
      <c r="H6670" s="549"/>
      <c r="I6670" s="549"/>
      <c r="J6670" s="549"/>
      <c r="K6670" s="549"/>
      <c r="M6670" s="465"/>
      <c r="N6670" s="201"/>
    </row>
    <row r="6671" spans="2:14" hidden="1" outlineLevel="1" x14ac:dyDescent="0.35">
      <c r="B6671" s="200"/>
      <c r="C6671" s="201"/>
      <c r="D6671" s="201"/>
      <c r="E6671" s="201"/>
      <c r="F6671" s="202"/>
      <c r="G6671" s="549"/>
      <c r="H6671" s="549"/>
      <c r="I6671" s="549"/>
      <c r="J6671" s="549"/>
      <c r="K6671" s="549"/>
      <c r="M6671" s="465"/>
      <c r="N6671" s="201"/>
    </row>
    <row r="6672" spans="2:14" hidden="1" outlineLevel="1" x14ac:dyDescent="0.35">
      <c r="B6672" s="200"/>
      <c r="C6672" s="201"/>
      <c r="D6672" s="201"/>
      <c r="E6672" s="201"/>
      <c r="F6672" s="202"/>
      <c r="G6672" s="549"/>
      <c r="H6672" s="549"/>
      <c r="I6672" s="549"/>
      <c r="J6672" s="549"/>
      <c r="K6672" s="549"/>
      <c r="M6672" s="465"/>
      <c r="N6672" s="201"/>
    </row>
    <row r="6673" spans="2:14" hidden="1" outlineLevel="1" x14ac:dyDescent="0.35">
      <c r="B6673" s="200"/>
      <c r="C6673" s="201"/>
      <c r="D6673" s="201"/>
      <c r="E6673" s="201"/>
      <c r="F6673" s="202"/>
      <c r="G6673" s="549"/>
      <c r="H6673" s="549"/>
      <c r="I6673" s="549"/>
      <c r="J6673" s="549"/>
      <c r="K6673" s="549"/>
      <c r="M6673" s="465"/>
      <c r="N6673" s="201"/>
    </row>
    <row r="6674" spans="2:14" hidden="1" outlineLevel="1" x14ac:dyDescent="0.35">
      <c r="B6674" s="200"/>
      <c r="C6674" s="201"/>
      <c r="D6674" s="201"/>
      <c r="E6674" s="201"/>
      <c r="F6674" s="202"/>
      <c r="G6674" s="549"/>
      <c r="H6674" s="549"/>
      <c r="I6674" s="549"/>
      <c r="J6674" s="549"/>
      <c r="K6674" s="549"/>
      <c r="M6674" s="465"/>
      <c r="N6674" s="201"/>
    </row>
    <row r="6675" spans="2:14" hidden="1" outlineLevel="1" x14ac:dyDescent="0.35">
      <c r="B6675" s="200"/>
      <c r="C6675" s="201"/>
      <c r="D6675" s="201"/>
      <c r="E6675" s="201"/>
      <c r="F6675" s="202"/>
      <c r="G6675" s="549"/>
      <c r="H6675" s="549"/>
      <c r="I6675" s="549"/>
      <c r="J6675" s="549"/>
      <c r="K6675" s="549"/>
      <c r="M6675" s="465"/>
      <c r="N6675" s="201"/>
    </row>
    <row r="6676" spans="2:14" hidden="1" outlineLevel="1" x14ac:dyDescent="0.35">
      <c r="B6676" s="200"/>
      <c r="C6676" s="201"/>
      <c r="D6676" s="201"/>
      <c r="E6676" s="201"/>
      <c r="F6676" s="202"/>
      <c r="G6676" s="549"/>
      <c r="H6676" s="549"/>
      <c r="I6676" s="549"/>
      <c r="J6676" s="549"/>
      <c r="K6676" s="549"/>
      <c r="M6676" s="465"/>
      <c r="N6676" s="201"/>
    </row>
    <row r="6677" spans="2:14" hidden="1" outlineLevel="1" x14ac:dyDescent="0.35">
      <c r="B6677" s="200"/>
      <c r="C6677" s="201"/>
      <c r="D6677" s="201"/>
      <c r="E6677" s="201"/>
      <c r="F6677" s="202"/>
      <c r="G6677" s="549"/>
      <c r="H6677" s="549"/>
      <c r="I6677" s="549"/>
      <c r="J6677" s="549"/>
      <c r="K6677" s="549"/>
      <c r="M6677" s="465"/>
      <c r="N6677" s="201"/>
    </row>
    <row r="6678" spans="2:14" hidden="1" outlineLevel="1" x14ac:dyDescent="0.35">
      <c r="B6678" s="200"/>
      <c r="C6678" s="201"/>
      <c r="D6678" s="201"/>
      <c r="E6678" s="201"/>
      <c r="F6678" s="202"/>
      <c r="G6678" s="549"/>
      <c r="H6678" s="549"/>
      <c r="I6678" s="549"/>
      <c r="J6678" s="549"/>
      <c r="K6678" s="549"/>
      <c r="M6678" s="465"/>
      <c r="N6678" s="201"/>
    </row>
    <row r="6679" spans="2:14" hidden="1" outlineLevel="1" x14ac:dyDescent="0.35">
      <c r="B6679" s="200"/>
      <c r="C6679" s="201"/>
      <c r="D6679" s="201"/>
      <c r="E6679" s="201"/>
      <c r="F6679" s="202"/>
      <c r="G6679" s="549"/>
      <c r="H6679" s="549"/>
      <c r="I6679" s="549"/>
      <c r="J6679" s="549"/>
      <c r="K6679" s="549"/>
      <c r="M6679" s="465"/>
      <c r="N6679" s="201"/>
    </row>
    <row r="6680" spans="2:14" hidden="1" outlineLevel="1" x14ac:dyDescent="0.35">
      <c r="B6680" s="200"/>
      <c r="C6680" s="201"/>
      <c r="D6680" s="201"/>
      <c r="E6680" s="201"/>
      <c r="F6680" s="202"/>
      <c r="G6680" s="549"/>
      <c r="H6680" s="549"/>
      <c r="I6680" s="549"/>
      <c r="J6680" s="549"/>
      <c r="K6680" s="549"/>
      <c r="M6680" s="465"/>
      <c r="N6680" s="201"/>
    </row>
    <row r="6681" spans="2:14" hidden="1" outlineLevel="1" x14ac:dyDescent="0.35">
      <c r="B6681" s="200"/>
      <c r="C6681" s="201"/>
      <c r="D6681" s="201"/>
      <c r="E6681" s="201"/>
      <c r="F6681" s="202"/>
      <c r="G6681" s="549"/>
      <c r="H6681" s="549"/>
      <c r="I6681" s="549"/>
      <c r="J6681" s="549"/>
      <c r="K6681" s="549"/>
      <c r="M6681" s="465"/>
      <c r="N6681" s="201"/>
    </row>
    <row r="6682" spans="2:14" hidden="1" outlineLevel="1" x14ac:dyDescent="0.35">
      <c r="B6682" s="200"/>
      <c r="C6682" s="201"/>
      <c r="D6682" s="201"/>
      <c r="E6682" s="201"/>
      <c r="F6682" s="202"/>
      <c r="G6682" s="549"/>
      <c r="H6682" s="549"/>
      <c r="I6682" s="549"/>
      <c r="J6682" s="549"/>
      <c r="K6682" s="549"/>
      <c r="M6682" s="465"/>
      <c r="N6682" s="201"/>
    </row>
    <row r="6683" spans="2:14" hidden="1" outlineLevel="1" x14ac:dyDescent="0.35">
      <c r="B6683" s="200"/>
      <c r="C6683" s="201"/>
      <c r="D6683" s="201"/>
      <c r="E6683" s="201"/>
      <c r="F6683" s="202"/>
      <c r="G6683" s="549"/>
      <c r="H6683" s="549"/>
      <c r="I6683" s="549"/>
      <c r="J6683" s="549"/>
      <c r="K6683" s="549"/>
      <c r="M6683" s="465"/>
      <c r="N6683" s="201"/>
    </row>
    <row r="6684" spans="2:14" hidden="1" outlineLevel="1" x14ac:dyDescent="0.35">
      <c r="B6684" s="200"/>
      <c r="C6684" s="201"/>
      <c r="D6684" s="201"/>
      <c r="E6684" s="201"/>
      <c r="F6684" s="202"/>
      <c r="G6684" s="549"/>
      <c r="H6684" s="549"/>
      <c r="I6684" s="549"/>
      <c r="J6684" s="549"/>
      <c r="K6684" s="549"/>
      <c r="M6684" s="465"/>
      <c r="N6684" s="201"/>
    </row>
    <row r="6685" spans="2:14" hidden="1" outlineLevel="1" x14ac:dyDescent="0.35">
      <c r="B6685" s="200"/>
      <c r="C6685" s="201"/>
      <c r="D6685" s="201"/>
      <c r="E6685" s="201"/>
      <c r="F6685" s="202"/>
      <c r="G6685" s="549"/>
      <c r="H6685" s="549"/>
      <c r="I6685" s="549"/>
      <c r="J6685" s="549"/>
      <c r="K6685" s="549"/>
      <c r="M6685" s="465"/>
      <c r="N6685" s="201"/>
    </row>
    <row r="6686" spans="2:14" hidden="1" outlineLevel="1" x14ac:dyDescent="0.35">
      <c r="B6686" s="200"/>
      <c r="C6686" s="201"/>
      <c r="D6686" s="201"/>
      <c r="E6686" s="201"/>
      <c r="F6686" s="202"/>
      <c r="G6686" s="549"/>
      <c r="H6686" s="549"/>
      <c r="I6686" s="549"/>
      <c r="J6686" s="549"/>
      <c r="K6686" s="549"/>
      <c r="M6686" s="465"/>
      <c r="N6686" s="201"/>
    </row>
    <row r="6687" spans="2:14" hidden="1" outlineLevel="1" x14ac:dyDescent="0.35">
      <c r="B6687" s="200"/>
      <c r="C6687" s="201"/>
      <c r="D6687" s="201"/>
      <c r="E6687" s="201"/>
      <c r="F6687" s="202"/>
      <c r="G6687" s="549"/>
      <c r="H6687" s="549"/>
      <c r="I6687" s="549"/>
      <c r="J6687" s="549"/>
      <c r="K6687" s="549"/>
      <c r="M6687" s="465"/>
      <c r="N6687" s="201"/>
    </row>
    <row r="6688" spans="2:14" hidden="1" outlineLevel="1" x14ac:dyDescent="0.35">
      <c r="B6688" s="200"/>
      <c r="C6688" s="201"/>
      <c r="D6688" s="201"/>
      <c r="E6688" s="201"/>
      <c r="F6688" s="202"/>
      <c r="G6688" s="549"/>
      <c r="H6688" s="549"/>
      <c r="I6688" s="549"/>
      <c r="J6688" s="549"/>
      <c r="K6688" s="549"/>
      <c r="M6688" s="465"/>
      <c r="N6688" s="201"/>
    </row>
    <row r="6689" spans="2:14" hidden="1" outlineLevel="1" x14ac:dyDescent="0.35">
      <c r="B6689" s="200"/>
      <c r="C6689" s="201"/>
      <c r="D6689" s="201"/>
      <c r="E6689" s="201"/>
      <c r="F6689" s="202"/>
      <c r="G6689" s="549"/>
      <c r="H6689" s="549"/>
      <c r="I6689" s="549"/>
      <c r="J6689" s="549"/>
      <c r="K6689" s="549"/>
      <c r="M6689" s="465"/>
      <c r="N6689" s="201"/>
    </row>
    <row r="6690" spans="2:14" hidden="1" outlineLevel="1" x14ac:dyDescent="0.35">
      <c r="B6690" s="200"/>
      <c r="C6690" s="201"/>
      <c r="D6690" s="201"/>
      <c r="E6690" s="201"/>
      <c r="F6690" s="202"/>
      <c r="G6690" s="549"/>
      <c r="H6690" s="549"/>
      <c r="I6690" s="549"/>
      <c r="J6690" s="549"/>
      <c r="K6690" s="549"/>
      <c r="M6690" s="465"/>
      <c r="N6690" s="201"/>
    </row>
    <row r="6691" spans="2:14" hidden="1" outlineLevel="1" x14ac:dyDescent="0.35">
      <c r="B6691" s="200"/>
      <c r="C6691" s="201"/>
      <c r="D6691" s="201"/>
      <c r="E6691" s="201"/>
      <c r="F6691" s="202"/>
      <c r="G6691" s="549"/>
      <c r="H6691" s="549"/>
      <c r="I6691" s="549"/>
      <c r="J6691" s="549"/>
      <c r="K6691" s="549"/>
      <c r="M6691" s="465"/>
      <c r="N6691" s="201"/>
    </row>
    <row r="6692" spans="2:14" hidden="1" outlineLevel="1" x14ac:dyDescent="0.35">
      <c r="B6692" s="200"/>
      <c r="C6692" s="201"/>
      <c r="D6692" s="201"/>
      <c r="E6692" s="201"/>
      <c r="F6692" s="202"/>
      <c r="G6692" s="549"/>
      <c r="H6692" s="549"/>
      <c r="I6692" s="549"/>
      <c r="J6692" s="549"/>
      <c r="K6692" s="549"/>
      <c r="M6692" s="465"/>
      <c r="N6692" s="201"/>
    </row>
    <row r="6693" spans="2:14" hidden="1" outlineLevel="1" x14ac:dyDescent="0.35">
      <c r="B6693" s="200"/>
      <c r="C6693" s="201"/>
      <c r="D6693" s="201"/>
      <c r="E6693" s="201"/>
      <c r="F6693" s="202"/>
      <c r="G6693" s="549"/>
      <c r="H6693" s="549"/>
      <c r="I6693" s="549"/>
      <c r="J6693" s="549"/>
      <c r="K6693" s="549"/>
      <c r="M6693" s="465"/>
      <c r="N6693" s="201"/>
    </row>
    <row r="6694" spans="2:14" hidden="1" outlineLevel="1" x14ac:dyDescent="0.35">
      <c r="B6694" s="200"/>
      <c r="C6694" s="201"/>
      <c r="D6694" s="201"/>
      <c r="E6694" s="201"/>
      <c r="F6694" s="202"/>
      <c r="G6694" s="549"/>
      <c r="H6694" s="549"/>
      <c r="I6694" s="549"/>
      <c r="J6694" s="549"/>
      <c r="K6694" s="549"/>
      <c r="M6694" s="465"/>
      <c r="N6694" s="201"/>
    </row>
    <row r="6695" spans="2:14" hidden="1" outlineLevel="1" x14ac:dyDescent="0.35">
      <c r="B6695" s="200"/>
      <c r="C6695" s="201"/>
      <c r="D6695" s="201"/>
      <c r="E6695" s="201"/>
      <c r="F6695" s="202"/>
      <c r="G6695" s="549"/>
      <c r="H6695" s="549"/>
      <c r="I6695" s="549"/>
      <c r="J6695" s="549"/>
      <c r="K6695" s="549"/>
      <c r="M6695" s="465"/>
      <c r="N6695" s="201"/>
    </row>
    <row r="6696" spans="2:14" hidden="1" outlineLevel="1" x14ac:dyDescent="0.35">
      <c r="B6696" s="200"/>
      <c r="C6696" s="201"/>
      <c r="D6696" s="201"/>
      <c r="E6696" s="201"/>
      <c r="F6696" s="202"/>
      <c r="G6696" s="549"/>
      <c r="H6696" s="549"/>
      <c r="I6696" s="549"/>
      <c r="J6696" s="549"/>
      <c r="K6696" s="549"/>
      <c r="M6696" s="465"/>
      <c r="N6696" s="201"/>
    </row>
    <row r="6697" spans="2:14" hidden="1" outlineLevel="1" x14ac:dyDescent="0.35">
      <c r="B6697" s="200"/>
      <c r="C6697" s="201"/>
      <c r="D6697" s="201"/>
      <c r="E6697" s="201"/>
      <c r="F6697" s="202"/>
      <c r="G6697" s="549"/>
      <c r="H6697" s="549"/>
      <c r="I6697" s="549"/>
      <c r="J6697" s="549"/>
      <c r="K6697" s="549"/>
      <c r="M6697" s="465"/>
      <c r="N6697" s="201"/>
    </row>
    <row r="6698" spans="2:14" hidden="1" outlineLevel="1" x14ac:dyDescent="0.35">
      <c r="B6698" s="200"/>
      <c r="C6698" s="201"/>
      <c r="D6698" s="201"/>
      <c r="E6698" s="201"/>
      <c r="F6698" s="202"/>
      <c r="G6698" s="549"/>
      <c r="H6698" s="549"/>
      <c r="I6698" s="549"/>
      <c r="J6698" s="549"/>
      <c r="K6698" s="549"/>
      <c r="M6698" s="465"/>
      <c r="N6698" s="201"/>
    </row>
    <row r="6699" spans="2:14" hidden="1" outlineLevel="1" x14ac:dyDescent="0.35">
      <c r="B6699" s="200"/>
      <c r="C6699" s="201"/>
      <c r="D6699" s="201"/>
      <c r="E6699" s="201"/>
      <c r="F6699" s="202"/>
      <c r="G6699" s="549"/>
      <c r="H6699" s="549"/>
      <c r="I6699" s="549"/>
      <c r="J6699" s="549"/>
      <c r="K6699" s="549"/>
      <c r="M6699" s="465"/>
      <c r="N6699" s="201"/>
    </row>
    <row r="6700" spans="2:14" hidden="1" outlineLevel="1" x14ac:dyDescent="0.35">
      <c r="B6700" s="200"/>
      <c r="C6700" s="201"/>
      <c r="D6700" s="201"/>
      <c r="E6700" s="201"/>
      <c r="F6700" s="202"/>
      <c r="G6700" s="549"/>
      <c r="H6700" s="549"/>
      <c r="I6700" s="549"/>
      <c r="J6700" s="549"/>
      <c r="K6700" s="549"/>
      <c r="M6700" s="465"/>
      <c r="N6700" s="201"/>
    </row>
    <row r="6701" spans="2:14" hidden="1" outlineLevel="1" x14ac:dyDescent="0.35">
      <c r="B6701" s="200"/>
      <c r="C6701" s="201"/>
      <c r="D6701" s="201"/>
      <c r="E6701" s="201"/>
      <c r="F6701" s="202"/>
      <c r="G6701" s="549"/>
      <c r="H6701" s="549"/>
      <c r="I6701" s="549"/>
      <c r="J6701" s="549"/>
      <c r="K6701" s="549"/>
      <c r="M6701" s="465"/>
      <c r="N6701" s="201"/>
    </row>
    <row r="6702" spans="2:14" hidden="1" outlineLevel="1" x14ac:dyDescent="0.35">
      <c r="B6702" s="200"/>
      <c r="C6702" s="201"/>
      <c r="D6702" s="201"/>
      <c r="E6702" s="201"/>
      <c r="F6702" s="202"/>
      <c r="G6702" s="549"/>
      <c r="H6702" s="549"/>
      <c r="I6702" s="549"/>
      <c r="J6702" s="549"/>
      <c r="K6702" s="549"/>
      <c r="M6702" s="465"/>
      <c r="N6702" s="201"/>
    </row>
    <row r="6703" spans="2:14" hidden="1" outlineLevel="1" x14ac:dyDescent="0.35">
      <c r="B6703" s="200"/>
      <c r="C6703" s="201"/>
      <c r="D6703" s="201"/>
      <c r="E6703" s="201"/>
      <c r="F6703" s="202"/>
      <c r="G6703" s="549"/>
      <c r="H6703" s="549"/>
      <c r="I6703" s="549"/>
      <c r="J6703" s="549"/>
      <c r="K6703" s="549"/>
      <c r="M6703" s="465"/>
      <c r="N6703" s="201"/>
    </row>
    <row r="6704" spans="2:14" hidden="1" outlineLevel="1" x14ac:dyDescent="0.35">
      <c r="B6704" s="200"/>
      <c r="C6704" s="201"/>
      <c r="D6704" s="201"/>
      <c r="E6704" s="201"/>
      <c r="F6704" s="202"/>
      <c r="G6704" s="549"/>
      <c r="H6704" s="549"/>
      <c r="I6704" s="549"/>
      <c r="J6704" s="549"/>
      <c r="K6704" s="549"/>
      <c r="M6704" s="465"/>
      <c r="N6704" s="201"/>
    </row>
    <row r="6705" spans="2:14" hidden="1" outlineLevel="1" x14ac:dyDescent="0.35">
      <c r="B6705" s="200"/>
      <c r="C6705" s="201"/>
      <c r="D6705" s="201"/>
      <c r="E6705" s="201"/>
      <c r="F6705" s="202"/>
      <c r="G6705" s="549"/>
      <c r="H6705" s="549"/>
      <c r="I6705" s="549"/>
      <c r="J6705" s="549"/>
      <c r="K6705" s="549"/>
      <c r="M6705" s="465"/>
      <c r="N6705" s="201"/>
    </row>
    <row r="6706" spans="2:14" hidden="1" outlineLevel="1" x14ac:dyDescent="0.35">
      <c r="B6706" s="200"/>
      <c r="C6706" s="201"/>
      <c r="D6706" s="201"/>
      <c r="E6706" s="201"/>
      <c r="F6706" s="202"/>
      <c r="G6706" s="549"/>
      <c r="H6706" s="549"/>
      <c r="I6706" s="549"/>
      <c r="J6706" s="549"/>
      <c r="K6706" s="549"/>
      <c r="M6706" s="465"/>
      <c r="N6706" s="201"/>
    </row>
    <row r="6707" spans="2:14" hidden="1" outlineLevel="1" x14ac:dyDescent="0.35">
      <c r="B6707" s="200"/>
      <c r="C6707" s="201"/>
      <c r="D6707" s="201"/>
      <c r="E6707" s="201"/>
      <c r="F6707" s="202"/>
      <c r="G6707" s="549"/>
      <c r="H6707" s="549"/>
      <c r="I6707" s="549"/>
      <c r="J6707" s="549"/>
      <c r="K6707" s="549"/>
      <c r="M6707" s="465"/>
      <c r="N6707" s="201"/>
    </row>
    <row r="6708" spans="2:14" hidden="1" outlineLevel="1" x14ac:dyDescent="0.35">
      <c r="B6708" s="200"/>
      <c r="C6708" s="201"/>
      <c r="D6708" s="201"/>
      <c r="E6708" s="201"/>
      <c r="F6708" s="202"/>
      <c r="G6708" s="549"/>
      <c r="H6708" s="549"/>
      <c r="I6708" s="549"/>
      <c r="J6708" s="549"/>
      <c r="K6708" s="549"/>
      <c r="M6708" s="465"/>
      <c r="N6708" s="201"/>
    </row>
    <row r="6709" spans="2:14" hidden="1" outlineLevel="1" x14ac:dyDescent="0.35">
      <c r="B6709" s="200"/>
      <c r="C6709" s="201"/>
      <c r="D6709" s="201"/>
      <c r="E6709" s="201"/>
      <c r="F6709" s="202"/>
      <c r="G6709" s="549"/>
      <c r="H6709" s="549"/>
      <c r="I6709" s="549"/>
      <c r="J6709" s="549"/>
      <c r="K6709" s="549"/>
      <c r="M6709" s="465"/>
      <c r="N6709" s="201"/>
    </row>
    <row r="6710" spans="2:14" hidden="1" outlineLevel="1" x14ac:dyDescent="0.35">
      <c r="B6710" s="200"/>
      <c r="C6710" s="201"/>
      <c r="D6710" s="201"/>
      <c r="E6710" s="201"/>
      <c r="F6710" s="202"/>
      <c r="G6710" s="549"/>
      <c r="H6710" s="549"/>
      <c r="I6710" s="549"/>
      <c r="J6710" s="549"/>
      <c r="K6710" s="549"/>
      <c r="M6710" s="465"/>
      <c r="N6710" s="201"/>
    </row>
    <row r="6711" spans="2:14" hidden="1" outlineLevel="1" x14ac:dyDescent="0.35">
      <c r="B6711" s="200"/>
      <c r="C6711" s="201"/>
      <c r="D6711" s="201"/>
      <c r="E6711" s="201"/>
      <c r="F6711" s="202"/>
      <c r="G6711" s="549"/>
      <c r="H6711" s="549"/>
      <c r="I6711" s="549"/>
      <c r="J6711" s="549"/>
      <c r="K6711" s="549"/>
      <c r="M6711" s="465"/>
      <c r="N6711" s="201"/>
    </row>
    <row r="6712" spans="2:14" hidden="1" outlineLevel="1" x14ac:dyDescent="0.35">
      <c r="B6712" s="200"/>
      <c r="C6712" s="201"/>
      <c r="D6712" s="201"/>
      <c r="E6712" s="201"/>
      <c r="F6712" s="202"/>
      <c r="G6712" s="549"/>
      <c r="H6712" s="549"/>
      <c r="I6712" s="549"/>
      <c r="J6712" s="549"/>
      <c r="K6712" s="549"/>
      <c r="M6712" s="465"/>
      <c r="N6712" s="201"/>
    </row>
    <row r="6713" spans="2:14" hidden="1" outlineLevel="1" x14ac:dyDescent="0.35">
      <c r="B6713" s="200"/>
      <c r="C6713" s="201"/>
      <c r="D6713" s="201"/>
      <c r="E6713" s="201"/>
      <c r="F6713" s="202"/>
      <c r="G6713" s="549"/>
      <c r="H6713" s="549"/>
      <c r="I6713" s="549"/>
      <c r="J6713" s="549"/>
      <c r="K6713" s="549"/>
      <c r="M6713" s="465"/>
      <c r="N6713" s="201"/>
    </row>
    <row r="6714" spans="2:14" hidden="1" outlineLevel="1" x14ac:dyDescent="0.35">
      <c r="B6714" s="200"/>
      <c r="C6714" s="201"/>
      <c r="D6714" s="201"/>
      <c r="E6714" s="201"/>
      <c r="F6714" s="202"/>
      <c r="G6714" s="549"/>
      <c r="H6714" s="549"/>
      <c r="I6714" s="549"/>
      <c r="J6714" s="549"/>
      <c r="K6714" s="549"/>
      <c r="M6714" s="465"/>
      <c r="N6714" s="201"/>
    </row>
    <row r="6715" spans="2:14" hidden="1" outlineLevel="1" x14ac:dyDescent="0.35">
      <c r="B6715" s="200"/>
      <c r="C6715" s="201"/>
      <c r="D6715" s="201"/>
      <c r="E6715" s="201"/>
      <c r="F6715" s="202"/>
      <c r="G6715" s="549"/>
      <c r="H6715" s="549"/>
      <c r="I6715" s="549"/>
      <c r="J6715" s="549"/>
      <c r="K6715" s="549"/>
      <c r="M6715" s="465"/>
      <c r="N6715" s="201"/>
    </row>
    <row r="6716" spans="2:14" hidden="1" outlineLevel="1" x14ac:dyDescent="0.35">
      <c r="B6716" s="200"/>
      <c r="C6716" s="201"/>
      <c r="D6716" s="201"/>
      <c r="E6716" s="201"/>
      <c r="F6716" s="202"/>
      <c r="G6716" s="549"/>
      <c r="H6716" s="549"/>
      <c r="I6716" s="549"/>
      <c r="J6716" s="549"/>
      <c r="K6716" s="549"/>
      <c r="M6716" s="465"/>
      <c r="N6716" s="201"/>
    </row>
    <row r="6717" spans="2:14" hidden="1" outlineLevel="1" x14ac:dyDescent="0.35">
      <c r="B6717" s="200"/>
      <c r="C6717" s="201"/>
      <c r="D6717" s="201"/>
      <c r="E6717" s="201"/>
      <c r="F6717" s="202"/>
      <c r="G6717" s="549"/>
      <c r="H6717" s="549"/>
      <c r="I6717" s="549"/>
      <c r="J6717" s="549"/>
      <c r="K6717" s="549"/>
      <c r="M6717" s="465"/>
      <c r="N6717" s="201"/>
    </row>
    <row r="6718" spans="2:14" hidden="1" outlineLevel="1" x14ac:dyDescent="0.35">
      <c r="B6718" s="200"/>
      <c r="C6718" s="201"/>
      <c r="D6718" s="201"/>
      <c r="E6718" s="201"/>
      <c r="F6718" s="202"/>
      <c r="G6718" s="549"/>
      <c r="H6718" s="549"/>
      <c r="I6718" s="549"/>
      <c r="J6718" s="549"/>
      <c r="K6718" s="549"/>
      <c r="M6718" s="465"/>
      <c r="N6718" s="201"/>
    </row>
    <row r="6719" spans="2:14" hidden="1" outlineLevel="1" x14ac:dyDescent="0.35">
      <c r="B6719" s="200"/>
      <c r="C6719" s="201"/>
      <c r="D6719" s="201"/>
      <c r="E6719" s="201"/>
      <c r="F6719" s="202"/>
      <c r="G6719" s="549"/>
      <c r="H6719" s="549"/>
      <c r="I6719" s="549"/>
      <c r="J6719" s="549"/>
      <c r="K6719" s="549"/>
      <c r="M6719" s="465"/>
      <c r="N6719" s="201"/>
    </row>
    <row r="6720" spans="2:14" hidden="1" outlineLevel="1" x14ac:dyDescent="0.35">
      <c r="B6720" s="200"/>
      <c r="C6720" s="201"/>
      <c r="D6720" s="201"/>
      <c r="E6720" s="201"/>
      <c r="F6720" s="202"/>
      <c r="G6720" s="549"/>
      <c r="H6720" s="549"/>
      <c r="I6720" s="549"/>
      <c r="J6720" s="549"/>
      <c r="K6720" s="549"/>
      <c r="M6720" s="465"/>
      <c r="N6720" s="201"/>
    </row>
    <row r="6721" spans="2:14" hidden="1" outlineLevel="1" x14ac:dyDescent="0.35">
      <c r="B6721" s="200"/>
      <c r="C6721" s="201"/>
      <c r="D6721" s="201"/>
      <c r="E6721" s="201"/>
      <c r="F6721" s="202"/>
      <c r="G6721" s="549"/>
      <c r="H6721" s="549"/>
      <c r="I6721" s="549"/>
      <c r="J6721" s="549"/>
      <c r="K6721" s="549"/>
      <c r="M6721" s="465"/>
      <c r="N6721" s="201"/>
    </row>
    <row r="6722" spans="2:14" hidden="1" outlineLevel="1" x14ac:dyDescent="0.35">
      <c r="B6722" s="200"/>
      <c r="C6722" s="201"/>
      <c r="D6722" s="201"/>
      <c r="E6722" s="201"/>
      <c r="F6722" s="202"/>
      <c r="G6722" s="549"/>
      <c r="H6722" s="549"/>
      <c r="I6722" s="549"/>
      <c r="J6722" s="549"/>
      <c r="K6722" s="549"/>
      <c r="M6722" s="465"/>
      <c r="N6722" s="201"/>
    </row>
    <row r="6723" spans="2:14" hidden="1" outlineLevel="1" x14ac:dyDescent="0.35">
      <c r="B6723" s="200"/>
      <c r="C6723" s="201"/>
      <c r="D6723" s="201"/>
      <c r="E6723" s="201"/>
      <c r="F6723" s="202"/>
      <c r="G6723" s="549"/>
      <c r="H6723" s="549"/>
      <c r="I6723" s="549"/>
      <c r="J6723" s="549"/>
      <c r="K6723" s="549"/>
      <c r="M6723" s="465"/>
      <c r="N6723" s="201"/>
    </row>
    <row r="6724" spans="2:14" hidden="1" outlineLevel="1" x14ac:dyDescent="0.35">
      <c r="B6724" s="200"/>
      <c r="C6724" s="201"/>
      <c r="D6724" s="201"/>
      <c r="E6724" s="201"/>
      <c r="F6724" s="202"/>
      <c r="G6724" s="549"/>
      <c r="H6724" s="549"/>
      <c r="I6724" s="549"/>
      <c r="J6724" s="549"/>
      <c r="K6724" s="549"/>
      <c r="M6724" s="465"/>
      <c r="N6724" s="201"/>
    </row>
    <row r="6725" spans="2:14" hidden="1" outlineLevel="1" x14ac:dyDescent="0.35">
      <c r="B6725" s="200"/>
      <c r="C6725" s="201"/>
      <c r="D6725" s="201"/>
      <c r="E6725" s="201"/>
      <c r="F6725" s="202"/>
      <c r="G6725" s="549"/>
      <c r="H6725" s="549"/>
      <c r="I6725" s="549"/>
      <c r="J6725" s="549"/>
      <c r="K6725" s="549"/>
      <c r="M6725" s="465"/>
      <c r="N6725" s="201"/>
    </row>
    <row r="6726" spans="2:14" hidden="1" outlineLevel="1" x14ac:dyDescent="0.35">
      <c r="B6726" s="200"/>
      <c r="C6726" s="201"/>
      <c r="D6726" s="201"/>
      <c r="E6726" s="201"/>
      <c r="F6726" s="202"/>
      <c r="G6726" s="549"/>
      <c r="H6726" s="549"/>
      <c r="I6726" s="549"/>
      <c r="J6726" s="549"/>
      <c r="K6726" s="549"/>
      <c r="M6726" s="465"/>
      <c r="N6726" s="201"/>
    </row>
    <row r="6727" spans="2:14" hidden="1" outlineLevel="1" x14ac:dyDescent="0.35">
      <c r="B6727" s="200"/>
      <c r="C6727" s="201"/>
      <c r="D6727" s="201"/>
      <c r="E6727" s="201"/>
      <c r="F6727" s="202"/>
      <c r="G6727" s="549"/>
      <c r="H6727" s="549"/>
      <c r="I6727" s="549"/>
      <c r="J6727" s="549"/>
      <c r="K6727" s="549"/>
      <c r="M6727" s="465"/>
      <c r="N6727" s="201"/>
    </row>
    <row r="6728" spans="2:14" hidden="1" outlineLevel="1" x14ac:dyDescent="0.35">
      <c r="B6728" s="200"/>
      <c r="C6728" s="201"/>
      <c r="D6728" s="201"/>
      <c r="E6728" s="201"/>
      <c r="F6728" s="202"/>
      <c r="G6728" s="549"/>
      <c r="H6728" s="549"/>
      <c r="I6728" s="549"/>
      <c r="J6728" s="549"/>
      <c r="K6728" s="549"/>
      <c r="M6728" s="465"/>
      <c r="N6728" s="201"/>
    </row>
    <row r="6729" spans="2:14" hidden="1" outlineLevel="1" x14ac:dyDescent="0.35">
      <c r="B6729" s="200"/>
      <c r="C6729" s="201"/>
      <c r="D6729" s="201"/>
      <c r="E6729" s="201"/>
      <c r="F6729" s="202"/>
      <c r="G6729" s="549"/>
      <c r="H6729" s="549"/>
      <c r="I6729" s="549"/>
      <c r="J6729" s="549"/>
      <c r="K6729" s="549"/>
      <c r="M6729" s="465"/>
      <c r="N6729" s="201"/>
    </row>
    <row r="6730" spans="2:14" hidden="1" outlineLevel="1" x14ac:dyDescent="0.35">
      <c r="B6730" s="200"/>
      <c r="C6730" s="201"/>
      <c r="D6730" s="201"/>
      <c r="E6730" s="201"/>
      <c r="F6730" s="202"/>
      <c r="G6730" s="549"/>
      <c r="H6730" s="549"/>
      <c r="I6730" s="549"/>
      <c r="J6730" s="549"/>
      <c r="K6730" s="549"/>
      <c r="M6730" s="465"/>
      <c r="N6730" s="201"/>
    </row>
    <row r="6731" spans="2:14" hidden="1" outlineLevel="1" x14ac:dyDescent="0.35">
      <c r="B6731" s="200"/>
      <c r="C6731" s="201"/>
      <c r="D6731" s="201"/>
      <c r="E6731" s="201"/>
      <c r="F6731" s="202"/>
      <c r="G6731" s="549"/>
      <c r="H6731" s="549"/>
      <c r="I6731" s="549"/>
      <c r="J6731" s="549"/>
      <c r="K6731" s="549"/>
      <c r="M6731" s="465"/>
      <c r="N6731" s="201"/>
    </row>
    <row r="6732" spans="2:14" hidden="1" outlineLevel="1" x14ac:dyDescent="0.35">
      <c r="B6732" s="200"/>
      <c r="C6732" s="201"/>
      <c r="D6732" s="201"/>
      <c r="E6732" s="201"/>
      <c r="F6732" s="202"/>
      <c r="G6732" s="549"/>
      <c r="H6732" s="549"/>
      <c r="I6732" s="549"/>
      <c r="J6732" s="549"/>
      <c r="K6732" s="549"/>
      <c r="M6732" s="465"/>
      <c r="N6732" s="201"/>
    </row>
    <row r="6733" spans="2:14" hidden="1" outlineLevel="1" x14ac:dyDescent="0.35">
      <c r="B6733" s="200"/>
      <c r="C6733" s="201"/>
      <c r="D6733" s="201"/>
      <c r="E6733" s="201"/>
      <c r="F6733" s="202"/>
      <c r="G6733" s="549"/>
      <c r="H6733" s="549"/>
      <c r="I6733" s="549"/>
      <c r="J6733" s="549"/>
      <c r="K6733" s="549"/>
      <c r="M6733" s="465"/>
      <c r="N6733" s="201"/>
    </row>
    <row r="6734" spans="2:14" hidden="1" outlineLevel="1" x14ac:dyDescent="0.35">
      <c r="B6734" s="200"/>
      <c r="C6734" s="201"/>
      <c r="D6734" s="201"/>
      <c r="E6734" s="201"/>
      <c r="F6734" s="202"/>
      <c r="G6734" s="549"/>
      <c r="H6734" s="549"/>
      <c r="I6734" s="549"/>
      <c r="J6734" s="549"/>
      <c r="K6734" s="549"/>
      <c r="M6734" s="465"/>
      <c r="N6734" s="201"/>
    </row>
    <row r="6735" spans="2:14" hidden="1" outlineLevel="1" x14ac:dyDescent="0.35">
      <c r="B6735" s="200"/>
      <c r="C6735" s="201"/>
      <c r="D6735" s="201"/>
      <c r="E6735" s="201"/>
      <c r="F6735" s="202"/>
      <c r="G6735" s="549"/>
      <c r="H6735" s="549"/>
      <c r="I6735" s="549"/>
      <c r="J6735" s="549"/>
      <c r="K6735" s="549"/>
      <c r="M6735" s="465"/>
      <c r="N6735" s="201"/>
    </row>
    <row r="6736" spans="2:14" hidden="1" outlineLevel="1" x14ac:dyDescent="0.35">
      <c r="B6736" s="200"/>
      <c r="C6736" s="201"/>
      <c r="D6736" s="201"/>
      <c r="E6736" s="201"/>
      <c r="F6736" s="202"/>
      <c r="G6736" s="549"/>
      <c r="H6736" s="549"/>
      <c r="I6736" s="549"/>
      <c r="J6736" s="549"/>
      <c r="K6736" s="549"/>
      <c r="M6736" s="465"/>
      <c r="N6736" s="201"/>
    </row>
    <row r="6737" spans="2:14" hidden="1" outlineLevel="1" x14ac:dyDescent="0.35">
      <c r="B6737" s="200"/>
      <c r="C6737" s="201"/>
      <c r="D6737" s="201"/>
      <c r="E6737" s="201"/>
      <c r="F6737" s="202"/>
      <c r="G6737" s="549"/>
      <c r="H6737" s="549"/>
      <c r="I6737" s="549"/>
      <c r="J6737" s="549"/>
      <c r="K6737" s="549"/>
      <c r="M6737" s="465"/>
      <c r="N6737" s="201"/>
    </row>
    <row r="6738" spans="2:14" hidden="1" outlineLevel="1" x14ac:dyDescent="0.35">
      <c r="B6738" s="200"/>
      <c r="C6738" s="201"/>
      <c r="D6738" s="201"/>
      <c r="E6738" s="201"/>
      <c r="F6738" s="202"/>
      <c r="G6738" s="549"/>
      <c r="H6738" s="549"/>
      <c r="I6738" s="549"/>
      <c r="J6738" s="549"/>
      <c r="K6738" s="549"/>
      <c r="M6738" s="465"/>
      <c r="N6738" s="201"/>
    </row>
    <row r="6739" spans="2:14" hidden="1" outlineLevel="1" x14ac:dyDescent="0.35">
      <c r="B6739" s="200"/>
      <c r="C6739" s="201"/>
      <c r="D6739" s="201"/>
      <c r="E6739" s="201"/>
      <c r="F6739" s="202"/>
      <c r="G6739" s="549"/>
      <c r="H6739" s="549"/>
      <c r="I6739" s="549"/>
      <c r="J6739" s="549"/>
      <c r="K6739" s="549"/>
      <c r="M6739" s="465"/>
      <c r="N6739" s="201"/>
    </row>
    <row r="6740" spans="2:14" hidden="1" outlineLevel="1" x14ac:dyDescent="0.35">
      <c r="B6740" s="200"/>
      <c r="C6740" s="201"/>
      <c r="D6740" s="201"/>
      <c r="E6740" s="201"/>
      <c r="F6740" s="202"/>
      <c r="G6740" s="549"/>
      <c r="H6740" s="549"/>
      <c r="I6740" s="549"/>
      <c r="J6740" s="549"/>
      <c r="K6740" s="549"/>
      <c r="M6740" s="465"/>
      <c r="N6740" s="201"/>
    </row>
    <row r="6741" spans="2:14" hidden="1" outlineLevel="1" x14ac:dyDescent="0.35">
      <c r="B6741" s="200"/>
      <c r="C6741" s="201"/>
      <c r="D6741" s="201"/>
      <c r="E6741" s="201"/>
      <c r="F6741" s="202"/>
      <c r="G6741" s="549"/>
      <c r="H6741" s="549"/>
      <c r="I6741" s="549"/>
      <c r="J6741" s="549"/>
      <c r="K6741" s="549"/>
      <c r="M6741" s="465"/>
      <c r="N6741" s="201"/>
    </row>
    <row r="6742" spans="2:14" hidden="1" outlineLevel="1" x14ac:dyDescent="0.35">
      <c r="B6742" s="200"/>
      <c r="C6742" s="201"/>
      <c r="D6742" s="201"/>
      <c r="E6742" s="201"/>
      <c r="F6742" s="202"/>
      <c r="G6742" s="549"/>
      <c r="H6742" s="549"/>
      <c r="I6742" s="549"/>
      <c r="J6742" s="549"/>
      <c r="K6742" s="549"/>
      <c r="M6742" s="465"/>
      <c r="N6742" s="201"/>
    </row>
    <row r="6743" spans="2:14" hidden="1" outlineLevel="1" x14ac:dyDescent="0.35">
      <c r="B6743" s="200"/>
      <c r="C6743" s="201"/>
      <c r="D6743" s="201"/>
      <c r="E6743" s="201"/>
      <c r="F6743" s="202"/>
      <c r="G6743" s="549"/>
      <c r="H6743" s="549"/>
      <c r="I6743" s="549"/>
      <c r="J6743" s="549"/>
      <c r="K6743" s="549"/>
      <c r="M6743" s="465"/>
      <c r="N6743" s="201"/>
    </row>
    <row r="6744" spans="2:14" hidden="1" outlineLevel="1" x14ac:dyDescent="0.35">
      <c r="B6744" s="200"/>
      <c r="C6744" s="201"/>
      <c r="D6744" s="201"/>
      <c r="E6744" s="201"/>
      <c r="F6744" s="202"/>
      <c r="G6744" s="549"/>
      <c r="H6744" s="549"/>
      <c r="I6744" s="549"/>
      <c r="J6744" s="549"/>
      <c r="K6744" s="549"/>
      <c r="M6744" s="465"/>
      <c r="N6744" s="201"/>
    </row>
    <row r="6745" spans="2:14" hidden="1" outlineLevel="1" x14ac:dyDescent="0.35">
      <c r="B6745" s="200"/>
      <c r="C6745" s="201"/>
      <c r="D6745" s="201"/>
      <c r="E6745" s="201"/>
      <c r="F6745" s="202"/>
      <c r="G6745" s="549"/>
      <c r="H6745" s="549"/>
      <c r="I6745" s="549"/>
      <c r="J6745" s="549"/>
      <c r="K6745" s="549"/>
      <c r="M6745" s="465"/>
      <c r="N6745" s="201"/>
    </row>
    <row r="6746" spans="2:14" hidden="1" outlineLevel="1" x14ac:dyDescent="0.35">
      <c r="B6746" s="200"/>
      <c r="C6746" s="201"/>
      <c r="D6746" s="201"/>
      <c r="E6746" s="201"/>
      <c r="F6746" s="202"/>
      <c r="G6746" s="549"/>
      <c r="H6746" s="549"/>
      <c r="I6746" s="549"/>
      <c r="J6746" s="549"/>
      <c r="K6746" s="549"/>
      <c r="M6746" s="465"/>
      <c r="N6746" s="201"/>
    </row>
    <row r="6747" spans="2:14" hidden="1" outlineLevel="1" x14ac:dyDescent="0.35">
      <c r="B6747" s="200"/>
      <c r="C6747" s="201"/>
      <c r="D6747" s="201"/>
      <c r="E6747" s="201"/>
      <c r="F6747" s="202"/>
      <c r="G6747" s="549"/>
      <c r="H6747" s="549"/>
      <c r="I6747" s="549"/>
      <c r="J6747" s="549"/>
      <c r="K6747" s="549"/>
      <c r="M6747" s="465"/>
      <c r="N6747" s="201"/>
    </row>
    <row r="6748" spans="2:14" hidden="1" outlineLevel="1" x14ac:dyDescent="0.35">
      <c r="B6748" s="200"/>
      <c r="C6748" s="201"/>
      <c r="D6748" s="201"/>
      <c r="E6748" s="201"/>
      <c r="F6748" s="202"/>
      <c r="G6748" s="549"/>
      <c r="H6748" s="549"/>
      <c r="I6748" s="549"/>
      <c r="J6748" s="549"/>
      <c r="K6748" s="549"/>
      <c r="M6748" s="465"/>
      <c r="N6748" s="201"/>
    </row>
    <row r="6749" spans="2:14" hidden="1" outlineLevel="1" x14ac:dyDescent="0.35">
      <c r="B6749" s="200"/>
      <c r="C6749" s="201"/>
      <c r="D6749" s="201"/>
      <c r="E6749" s="201"/>
      <c r="F6749" s="202"/>
      <c r="G6749" s="549"/>
      <c r="H6749" s="549"/>
      <c r="I6749" s="549"/>
      <c r="J6749" s="549"/>
      <c r="K6749" s="549"/>
      <c r="M6749" s="465"/>
      <c r="N6749" s="201"/>
    </row>
    <row r="6750" spans="2:14" hidden="1" outlineLevel="1" x14ac:dyDescent="0.35">
      <c r="B6750" s="200"/>
      <c r="C6750" s="201"/>
      <c r="D6750" s="201"/>
      <c r="E6750" s="201"/>
      <c r="F6750" s="202"/>
      <c r="G6750" s="549"/>
      <c r="H6750" s="549"/>
      <c r="I6750" s="549"/>
      <c r="J6750" s="549"/>
      <c r="K6750" s="549"/>
      <c r="M6750" s="465"/>
      <c r="N6750" s="201"/>
    </row>
    <row r="6751" spans="2:14" hidden="1" outlineLevel="1" x14ac:dyDescent="0.35">
      <c r="B6751" s="200"/>
      <c r="C6751" s="201"/>
      <c r="D6751" s="201"/>
      <c r="E6751" s="201"/>
      <c r="F6751" s="202"/>
      <c r="G6751" s="549"/>
      <c r="H6751" s="549"/>
      <c r="I6751" s="549"/>
      <c r="J6751" s="549"/>
      <c r="K6751" s="549"/>
      <c r="M6751" s="465"/>
      <c r="N6751" s="201"/>
    </row>
    <row r="6752" spans="2:14" hidden="1" outlineLevel="1" x14ac:dyDescent="0.35">
      <c r="B6752" s="200"/>
      <c r="C6752" s="201"/>
      <c r="D6752" s="201"/>
      <c r="E6752" s="201"/>
      <c r="F6752" s="202"/>
      <c r="G6752" s="549"/>
      <c r="H6752" s="549"/>
      <c r="I6752" s="549"/>
      <c r="J6752" s="549"/>
      <c r="K6752" s="549"/>
      <c r="M6752" s="465"/>
      <c r="N6752" s="201"/>
    </row>
    <row r="6753" spans="2:14" hidden="1" outlineLevel="1" x14ac:dyDescent="0.35">
      <c r="B6753" s="200"/>
      <c r="C6753" s="201"/>
      <c r="D6753" s="201"/>
      <c r="E6753" s="201"/>
      <c r="F6753" s="202"/>
      <c r="G6753" s="549"/>
      <c r="H6753" s="549"/>
      <c r="I6753" s="549"/>
      <c r="J6753" s="549"/>
      <c r="K6753" s="549"/>
      <c r="M6753" s="465"/>
      <c r="N6753" s="201"/>
    </row>
    <row r="6754" spans="2:14" hidden="1" outlineLevel="1" x14ac:dyDescent="0.35">
      <c r="B6754" s="200"/>
      <c r="C6754" s="201"/>
      <c r="D6754" s="201"/>
      <c r="E6754" s="201"/>
      <c r="F6754" s="202"/>
      <c r="G6754" s="549"/>
      <c r="H6754" s="549"/>
      <c r="I6754" s="549"/>
      <c r="J6754" s="549"/>
      <c r="K6754" s="549"/>
      <c r="M6754" s="465"/>
      <c r="N6754" s="201"/>
    </row>
    <row r="6755" spans="2:14" hidden="1" outlineLevel="1" x14ac:dyDescent="0.35">
      <c r="B6755" s="200"/>
      <c r="C6755" s="201"/>
      <c r="D6755" s="201"/>
      <c r="E6755" s="201"/>
      <c r="F6755" s="202"/>
      <c r="G6755" s="549"/>
      <c r="H6755" s="549"/>
      <c r="I6755" s="549"/>
      <c r="J6755" s="549"/>
      <c r="K6755" s="549"/>
      <c r="M6755" s="465"/>
      <c r="N6755" s="201"/>
    </row>
    <row r="6756" spans="2:14" hidden="1" outlineLevel="1" x14ac:dyDescent="0.35">
      <c r="B6756" s="200"/>
      <c r="C6756" s="201"/>
      <c r="D6756" s="201"/>
      <c r="E6756" s="201"/>
      <c r="F6756" s="202"/>
      <c r="G6756" s="549"/>
      <c r="H6756" s="549"/>
      <c r="I6756" s="549"/>
      <c r="J6756" s="549"/>
      <c r="K6756" s="549"/>
      <c r="M6756" s="465"/>
      <c r="N6756" s="201"/>
    </row>
    <row r="6757" spans="2:14" hidden="1" outlineLevel="1" x14ac:dyDescent="0.35">
      <c r="B6757" s="200"/>
      <c r="C6757" s="201"/>
      <c r="D6757" s="201"/>
      <c r="E6757" s="201"/>
      <c r="F6757" s="202"/>
      <c r="G6757" s="549"/>
      <c r="H6757" s="549"/>
      <c r="I6757" s="549"/>
      <c r="J6757" s="549"/>
      <c r="K6757" s="549"/>
      <c r="M6757" s="465"/>
      <c r="N6757" s="201"/>
    </row>
    <row r="6758" spans="2:14" hidden="1" outlineLevel="1" x14ac:dyDescent="0.35">
      <c r="B6758" s="200"/>
      <c r="C6758" s="201"/>
      <c r="D6758" s="201"/>
      <c r="E6758" s="201"/>
      <c r="F6758" s="202"/>
      <c r="G6758" s="549"/>
      <c r="H6758" s="549"/>
      <c r="I6758" s="549"/>
      <c r="J6758" s="549"/>
      <c r="K6758" s="549"/>
      <c r="M6758" s="465"/>
      <c r="N6758" s="201"/>
    </row>
    <row r="6759" spans="2:14" hidden="1" outlineLevel="1" x14ac:dyDescent="0.35">
      <c r="B6759" s="200"/>
      <c r="C6759" s="201"/>
      <c r="D6759" s="201"/>
      <c r="E6759" s="201"/>
      <c r="F6759" s="202"/>
      <c r="G6759" s="549"/>
      <c r="H6759" s="549"/>
      <c r="I6759" s="549"/>
      <c r="J6759" s="549"/>
      <c r="K6759" s="549"/>
      <c r="M6759" s="465"/>
      <c r="N6759" s="201"/>
    </row>
    <row r="6760" spans="2:14" hidden="1" outlineLevel="1" x14ac:dyDescent="0.35">
      <c r="B6760" s="200"/>
      <c r="C6760" s="201"/>
      <c r="D6760" s="201"/>
      <c r="E6760" s="201"/>
      <c r="F6760" s="202"/>
      <c r="G6760" s="549"/>
      <c r="H6760" s="549"/>
      <c r="I6760" s="549"/>
      <c r="J6760" s="549"/>
      <c r="K6760" s="549"/>
      <c r="M6760" s="465"/>
      <c r="N6760" s="201"/>
    </row>
    <row r="6761" spans="2:14" hidden="1" outlineLevel="1" x14ac:dyDescent="0.35">
      <c r="B6761" s="200"/>
      <c r="C6761" s="201"/>
      <c r="D6761" s="201"/>
      <c r="E6761" s="201"/>
      <c r="F6761" s="202"/>
      <c r="G6761" s="549"/>
      <c r="H6761" s="549"/>
      <c r="I6761" s="549"/>
      <c r="J6761" s="549"/>
      <c r="K6761" s="549"/>
      <c r="M6761" s="465"/>
      <c r="N6761" s="201"/>
    </row>
    <row r="6762" spans="2:14" hidden="1" outlineLevel="1" x14ac:dyDescent="0.35">
      <c r="B6762" s="200"/>
      <c r="C6762" s="201"/>
      <c r="D6762" s="201"/>
      <c r="E6762" s="201"/>
      <c r="F6762" s="202"/>
      <c r="G6762" s="549"/>
      <c r="H6762" s="549"/>
      <c r="I6762" s="549"/>
      <c r="J6762" s="549"/>
      <c r="K6762" s="549"/>
      <c r="M6762" s="465"/>
      <c r="N6762" s="201"/>
    </row>
    <row r="6763" spans="2:14" hidden="1" outlineLevel="1" x14ac:dyDescent="0.35">
      <c r="B6763" s="200"/>
      <c r="C6763" s="201"/>
      <c r="D6763" s="201"/>
      <c r="E6763" s="201"/>
      <c r="F6763" s="202"/>
      <c r="G6763" s="549"/>
      <c r="H6763" s="549"/>
      <c r="I6763" s="549"/>
      <c r="J6763" s="549"/>
      <c r="K6763" s="549"/>
      <c r="M6763" s="465"/>
      <c r="N6763" s="201"/>
    </row>
    <row r="6764" spans="2:14" hidden="1" outlineLevel="1" x14ac:dyDescent="0.35">
      <c r="B6764" s="200"/>
      <c r="C6764" s="201"/>
      <c r="D6764" s="201"/>
      <c r="E6764" s="201"/>
      <c r="F6764" s="202"/>
      <c r="G6764" s="549"/>
      <c r="H6764" s="549"/>
      <c r="I6764" s="549"/>
      <c r="J6764" s="549"/>
      <c r="K6764" s="549"/>
      <c r="M6764" s="465"/>
      <c r="N6764" s="201"/>
    </row>
    <row r="6765" spans="2:14" hidden="1" outlineLevel="1" x14ac:dyDescent="0.35">
      <c r="B6765" s="200"/>
      <c r="C6765" s="201"/>
      <c r="D6765" s="201"/>
      <c r="E6765" s="201"/>
      <c r="F6765" s="202"/>
      <c r="G6765" s="549"/>
      <c r="H6765" s="549"/>
      <c r="I6765" s="549"/>
      <c r="J6765" s="549"/>
      <c r="K6765" s="549"/>
      <c r="M6765" s="465"/>
      <c r="N6765" s="201"/>
    </row>
    <row r="6766" spans="2:14" hidden="1" outlineLevel="1" x14ac:dyDescent="0.35">
      <c r="B6766" s="200"/>
      <c r="C6766" s="201"/>
      <c r="D6766" s="201"/>
      <c r="E6766" s="201"/>
      <c r="F6766" s="202"/>
      <c r="G6766" s="549"/>
      <c r="H6766" s="549"/>
      <c r="I6766" s="549"/>
      <c r="J6766" s="549"/>
      <c r="K6766" s="549"/>
      <c r="M6766" s="465"/>
      <c r="N6766" s="201"/>
    </row>
    <row r="6767" spans="2:14" hidden="1" outlineLevel="1" x14ac:dyDescent="0.35">
      <c r="B6767" s="200"/>
      <c r="C6767" s="201"/>
      <c r="D6767" s="201"/>
      <c r="E6767" s="201"/>
      <c r="F6767" s="202"/>
      <c r="G6767" s="549"/>
      <c r="H6767" s="549"/>
      <c r="I6767" s="549"/>
      <c r="J6767" s="549"/>
      <c r="K6767" s="549"/>
      <c r="M6767" s="465"/>
      <c r="N6767" s="201"/>
    </row>
    <row r="6768" spans="2:14" hidden="1" outlineLevel="1" x14ac:dyDescent="0.35">
      <c r="B6768" s="200"/>
      <c r="C6768" s="201"/>
      <c r="D6768" s="201"/>
      <c r="E6768" s="201"/>
      <c r="F6768" s="202"/>
      <c r="G6768" s="549"/>
      <c r="H6768" s="549"/>
      <c r="I6768" s="549"/>
      <c r="J6768" s="549"/>
      <c r="K6768" s="549"/>
      <c r="M6768" s="465"/>
      <c r="N6768" s="201"/>
    </row>
    <row r="6769" spans="2:14" hidden="1" outlineLevel="1" x14ac:dyDescent="0.35">
      <c r="B6769" s="200"/>
      <c r="C6769" s="201"/>
      <c r="D6769" s="201"/>
      <c r="E6769" s="201"/>
      <c r="F6769" s="202"/>
      <c r="G6769" s="549"/>
      <c r="H6769" s="549"/>
      <c r="I6769" s="549"/>
      <c r="J6769" s="549"/>
      <c r="K6769" s="549"/>
      <c r="M6769" s="465"/>
      <c r="N6769" s="201"/>
    </row>
    <row r="6770" spans="2:14" hidden="1" outlineLevel="1" x14ac:dyDescent="0.35">
      <c r="B6770" s="200"/>
      <c r="C6770" s="201"/>
      <c r="D6770" s="201"/>
      <c r="E6770" s="201"/>
      <c r="F6770" s="202"/>
      <c r="G6770" s="549"/>
      <c r="H6770" s="549"/>
      <c r="I6770" s="549"/>
      <c r="J6770" s="549"/>
      <c r="K6770" s="549"/>
      <c r="M6770" s="465"/>
      <c r="N6770" s="201"/>
    </row>
    <row r="6771" spans="2:14" hidden="1" outlineLevel="1" x14ac:dyDescent="0.35">
      <c r="B6771" s="200"/>
      <c r="C6771" s="201"/>
      <c r="D6771" s="201"/>
      <c r="E6771" s="201"/>
      <c r="F6771" s="202"/>
      <c r="G6771" s="549"/>
      <c r="H6771" s="549"/>
      <c r="I6771" s="549"/>
      <c r="J6771" s="549"/>
      <c r="K6771" s="549"/>
      <c r="M6771" s="465"/>
      <c r="N6771" s="201"/>
    </row>
    <row r="6772" spans="2:14" hidden="1" outlineLevel="1" x14ac:dyDescent="0.35">
      <c r="B6772" s="200"/>
      <c r="C6772" s="201"/>
      <c r="D6772" s="201"/>
      <c r="E6772" s="201"/>
      <c r="F6772" s="202"/>
      <c r="G6772" s="549"/>
      <c r="H6772" s="549"/>
      <c r="I6772" s="549"/>
      <c r="J6772" s="549"/>
      <c r="K6772" s="549"/>
      <c r="M6772" s="465"/>
      <c r="N6772" s="201"/>
    </row>
    <row r="6773" spans="2:14" hidden="1" outlineLevel="1" x14ac:dyDescent="0.35">
      <c r="B6773" s="200"/>
      <c r="C6773" s="201"/>
      <c r="D6773" s="201"/>
      <c r="E6773" s="201"/>
      <c r="F6773" s="202"/>
      <c r="G6773" s="549"/>
      <c r="H6773" s="549"/>
      <c r="I6773" s="549"/>
      <c r="J6773" s="549"/>
      <c r="K6773" s="549"/>
      <c r="M6773" s="465"/>
      <c r="N6773" s="201"/>
    </row>
    <row r="6774" spans="2:14" hidden="1" outlineLevel="1" x14ac:dyDescent="0.35">
      <c r="B6774" s="200"/>
      <c r="C6774" s="201"/>
      <c r="D6774" s="201"/>
      <c r="E6774" s="201"/>
      <c r="F6774" s="202"/>
      <c r="G6774" s="549"/>
      <c r="H6774" s="549"/>
      <c r="I6774" s="549"/>
      <c r="J6774" s="549"/>
      <c r="K6774" s="549"/>
      <c r="M6774" s="465"/>
      <c r="N6774" s="201"/>
    </row>
    <row r="6775" spans="2:14" hidden="1" outlineLevel="1" x14ac:dyDescent="0.35">
      <c r="B6775" s="200"/>
      <c r="C6775" s="201"/>
      <c r="D6775" s="201"/>
      <c r="E6775" s="201"/>
      <c r="F6775" s="202"/>
      <c r="G6775" s="549"/>
      <c r="H6775" s="549"/>
      <c r="I6775" s="549"/>
      <c r="J6775" s="549"/>
      <c r="K6775" s="549"/>
      <c r="M6775" s="465"/>
      <c r="N6775" s="201"/>
    </row>
    <row r="6776" spans="2:14" hidden="1" outlineLevel="1" x14ac:dyDescent="0.35">
      <c r="B6776" s="200"/>
      <c r="C6776" s="201"/>
      <c r="D6776" s="201"/>
      <c r="E6776" s="201"/>
      <c r="F6776" s="202"/>
      <c r="G6776" s="549"/>
      <c r="H6776" s="549"/>
      <c r="I6776" s="549"/>
      <c r="J6776" s="549"/>
      <c r="K6776" s="549"/>
      <c r="M6776" s="465"/>
      <c r="N6776" s="201"/>
    </row>
    <row r="6777" spans="2:14" hidden="1" outlineLevel="1" x14ac:dyDescent="0.35">
      <c r="B6777" s="200"/>
      <c r="C6777" s="201"/>
      <c r="D6777" s="201"/>
      <c r="E6777" s="201"/>
      <c r="F6777" s="202"/>
      <c r="G6777" s="549"/>
      <c r="H6777" s="549"/>
      <c r="I6777" s="549"/>
      <c r="J6777" s="549"/>
      <c r="K6777" s="549"/>
      <c r="M6777" s="465"/>
      <c r="N6777" s="201"/>
    </row>
    <row r="6778" spans="2:14" hidden="1" outlineLevel="1" x14ac:dyDescent="0.35">
      <c r="B6778" s="200"/>
      <c r="C6778" s="201"/>
      <c r="D6778" s="201"/>
      <c r="E6778" s="201"/>
      <c r="F6778" s="202"/>
      <c r="G6778" s="549"/>
      <c r="H6778" s="549"/>
      <c r="I6778" s="549"/>
      <c r="J6778" s="549"/>
      <c r="K6778" s="549"/>
      <c r="M6778" s="465"/>
      <c r="N6778" s="201"/>
    </row>
    <row r="6779" spans="2:14" hidden="1" outlineLevel="1" x14ac:dyDescent="0.35">
      <c r="B6779" s="200"/>
      <c r="C6779" s="201"/>
      <c r="D6779" s="201"/>
      <c r="E6779" s="201"/>
      <c r="F6779" s="202"/>
      <c r="G6779" s="549"/>
      <c r="H6779" s="549"/>
      <c r="I6779" s="549"/>
      <c r="J6779" s="549"/>
      <c r="K6779" s="549"/>
      <c r="M6779" s="465"/>
      <c r="N6779" s="201"/>
    </row>
    <row r="6780" spans="2:14" hidden="1" outlineLevel="1" x14ac:dyDescent="0.35">
      <c r="B6780" s="200"/>
      <c r="C6780" s="201"/>
      <c r="D6780" s="201"/>
      <c r="E6780" s="201"/>
      <c r="F6780" s="202"/>
      <c r="G6780" s="549"/>
      <c r="H6780" s="549"/>
      <c r="I6780" s="549"/>
      <c r="J6780" s="549"/>
      <c r="K6780" s="549"/>
      <c r="M6780" s="465"/>
      <c r="N6780" s="201"/>
    </row>
    <row r="6781" spans="2:14" hidden="1" outlineLevel="1" x14ac:dyDescent="0.35">
      <c r="B6781" s="200"/>
      <c r="C6781" s="201"/>
      <c r="D6781" s="201"/>
      <c r="E6781" s="201"/>
      <c r="F6781" s="202"/>
      <c r="G6781" s="549"/>
      <c r="H6781" s="549"/>
      <c r="I6781" s="549"/>
      <c r="J6781" s="549"/>
      <c r="K6781" s="549"/>
      <c r="M6781" s="465"/>
      <c r="N6781" s="201"/>
    </row>
    <row r="6782" spans="2:14" hidden="1" outlineLevel="1" x14ac:dyDescent="0.35">
      <c r="B6782" s="200"/>
      <c r="C6782" s="201"/>
      <c r="D6782" s="201"/>
      <c r="E6782" s="201"/>
      <c r="F6782" s="202"/>
      <c r="G6782" s="549"/>
      <c r="H6782" s="549"/>
      <c r="I6782" s="549"/>
      <c r="J6782" s="549"/>
      <c r="K6782" s="549"/>
      <c r="M6782" s="465"/>
      <c r="N6782" s="201"/>
    </row>
    <row r="6783" spans="2:14" hidden="1" outlineLevel="1" x14ac:dyDescent="0.35">
      <c r="B6783" s="200"/>
      <c r="C6783" s="201"/>
      <c r="D6783" s="201"/>
      <c r="E6783" s="201"/>
      <c r="F6783" s="202"/>
      <c r="G6783" s="549"/>
      <c r="H6783" s="549"/>
      <c r="I6783" s="549"/>
      <c r="J6783" s="549"/>
      <c r="K6783" s="549"/>
      <c r="M6783" s="465"/>
      <c r="N6783" s="201"/>
    </row>
    <row r="6784" spans="2:14" hidden="1" outlineLevel="1" x14ac:dyDescent="0.35">
      <c r="B6784" s="200"/>
      <c r="C6784" s="201"/>
      <c r="D6784" s="201"/>
      <c r="E6784" s="201"/>
      <c r="F6784" s="202"/>
      <c r="G6784" s="549"/>
      <c r="H6784" s="549"/>
      <c r="I6784" s="549"/>
      <c r="J6784" s="549"/>
      <c r="K6784" s="549"/>
      <c r="M6784" s="465"/>
      <c r="N6784" s="201"/>
    </row>
    <row r="6785" spans="2:14" hidden="1" outlineLevel="1" x14ac:dyDescent="0.35">
      <c r="B6785" s="200"/>
      <c r="C6785" s="201"/>
      <c r="D6785" s="201"/>
      <c r="E6785" s="201"/>
      <c r="F6785" s="202"/>
      <c r="G6785" s="549"/>
      <c r="H6785" s="549"/>
      <c r="I6785" s="549"/>
      <c r="J6785" s="549"/>
      <c r="K6785" s="549"/>
      <c r="M6785" s="465"/>
      <c r="N6785" s="201"/>
    </row>
    <row r="6786" spans="2:14" hidden="1" outlineLevel="1" x14ac:dyDescent="0.35">
      <c r="B6786" s="200"/>
      <c r="C6786" s="201"/>
      <c r="D6786" s="201"/>
      <c r="E6786" s="201"/>
      <c r="F6786" s="202"/>
      <c r="G6786" s="549"/>
      <c r="H6786" s="549"/>
      <c r="I6786" s="549"/>
      <c r="J6786" s="549"/>
      <c r="K6786" s="549"/>
      <c r="M6786" s="465"/>
      <c r="N6786" s="201"/>
    </row>
    <row r="6787" spans="2:14" hidden="1" outlineLevel="1" x14ac:dyDescent="0.35">
      <c r="B6787" s="200"/>
      <c r="C6787" s="201"/>
      <c r="D6787" s="201"/>
      <c r="E6787" s="201"/>
      <c r="F6787" s="202"/>
      <c r="G6787" s="549"/>
      <c r="H6787" s="549"/>
      <c r="I6787" s="549"/>
      <c r="J6787" s="549"/>
      <c r="K6787" s="549"/>
      <c r="M6787" s="465"/>
      <c r="N6787" s="201"/>
    </row>
    <row r="6788" spans="2:14" hidden="1" outlineLevel="1" x14ac:dyDescent="0.35">
      <c r="B6788" s="200"/>
      <c r="C6788" s="201"/>
      <c r="D6788" s="201"/>
      <c r="E6788" s="201"/>
      <c r="F6788" s="202"/>
      <c r="G6788" s="549"/>
      <c r="H6788" s="549"/>
      <c r="I6788" s="549"/>
      <c r="J6788" s="549"/>
      <c r="K6788" s="549"/>
      <c r="M6788" s="465"/>
      <c r="N6788" s="201"/>
    </row>
    <row r="6789" spans="2:14" hidden="1" outlineLevel="1" x14ac:dyDescent="0.35">
      <c r="B6789" s="200"/>
      <c r="C6789" s="201"/>
      <c r="D6789" s="201"/>
      <c r="E6789" s="201"/>
      <c r="F6789" s="202"/>
      <c r="G6789" s="549"/>
      <c r="H6789" s="549"/>
      <c r="I6789" s="549"/>
      <c r="J6789" s="549"/>
      <c r="K6789" s="549"/>
      <c r="M6789" s="465"/>
      <c r="N6789" s="201"/>
    </row>
    <row r="6790" spans="2:14" hidden="1" outlineLevel="1" x14ac:dyDescent="0.35">
      <c r="B6790" s="200"/>
      <c r="C6790" s="201"/>
      <c r="D6790" s="201"/>
      <c r="E6790" s="201"/>
      <c r="F6790" s="202"/>
      <c r="G6790" s="549"/>
      <c r="H6790" s="549"/>
      <c r="I6790" s="549"/>
      <c r="J6790" s="549"/>
      <c r="K6790" s="549"/>
      <c r="M6790" s="465"/>
      <c r="N6790" s="201"/>
    </row>
    <row r="6791" spans="2:14" hidden="1" outlineLevel="1" x14ac:dyDescent="0.35">
      <c r="B6791" s="200"/>
      <c r="C6791" s="201"/>
      <c r="D6791" s="201"/>
      <c r="E6791" s="201"/>
      <c r="F6791" s="202"/>
      <c r="G6791" s="549"/>
      <c r="H6791" s="549"/>
      <c r="I6791" s="549"/>
      <c r="J6791" s="549"/>
      <c r="K6791" s="549"/>
      <c r="M6791" s="465"/>
      <c r="N6791" s="201"/>
    </row>
    <row r="6792" spans="2:14" hidden="1" outlineLevel="1" x14ac:dyDescent="0.35">
      <c r="B6792" s="200"/>
      <c r="C6792" s="201"/>
      <c r="D6792" s="201"/>
      <c r="E6792" s="201"/>
      <c r="F6792" s="202"/>
      <c r="G6792" s="549"/>
      <c r="H6792" s="549"/>
      <c r="I6792" s="549"/>
      <c r="J6792" s="549"/>
      <c r="K6792" s="549"/>
      <c r="M6792" s="465"/>
      <c r="N6792" s="201"/>
    </row>
    <row r="6793" spans="2:14" hidden="1" outlineLevel="1" x14ac:dyDescent="0.35">
      <c r="B6793" s="200"/>
      <c r="C6793" s="201"/>
      <c r="D6793" s="201"/>
      <c r="E6793" s="201"/>
      <c r="F6793" s="202"/>
      <c r="G6793" s="549"/>
      <c r="H6793" s="549"/>
      <c r="I6793" s="549"/>
      <c r="J6793" s="549"/>
      <c r="K6793" s="549"/>
      <c r="M6793" s="465"/>
      <c r="N6793" s="201"/>
    </row>
    <row r="6794" spans="2:14" hidden="1" outlineLevel="1" x14ac:dyDescent="0.35">
      <c r="B6794" s="200"/>
      <c r="C6794" s="201"/>
      <c r="D6794" s="201"/>
      <c r="E6794" s="201"/>
      <c r="F6794" s="202"/>
      <c r="G6794" s="549"/>
      <c r="H6794" s="549"/>
      <c r="I6794" s="549"/>
      <c r="J6794" s="549"/>
      <c r="K6794" s="549"/>
      <c r="M6794" s="465"/>
      <c r="N6794" s="201"/>
    </row>
    <row r="6795" spans="2:14" hidden="1" outlineLevel="1" x14ac:dyDescent="0.35">
      <c r="B6795" s="200"/>
      <c r="C6795" s="201"/>
      <c r="D6795" s="201"/>
      <c r="E6795" s="201"/>
      <c r="F6795" s="202"/>
      <c r="G6795" s="549"/>
      <c r="H6795" s="549"/>
      <c r="I6795" s="549"/>
      <c r="J6795" s="549"/>
      <c r="K6795" s="549"/>
      <c r="M6795" s="465"/>
      <c r="N6795" s="201"/>
    </row>
    <row r="6796" spans="2:14" hidden="1" outlineLevel="1" x14ac:dyDescent="0.35">
      <c r="B6796" s="200"/>
      <c r="C6796" s="201"/>
      <c r="D6796" s="201"/>
      <c r="E6796" s="201"/>
      <c r="F6796" s="202"/>
      <c r="G6796" s="549"/>
      <c r="H6796" s="549"/>
      <c r="I6796" s="549"/>
      <c r="J6796" s="549"/>
      <c r="K6796" s="549"/>
      <c r="M6796" s="465"/>
      <c r="N6796" s="201"/>
    </row>
    <row r="6797" spans="2:14" hidden="1" outlineLevel="1" x14ac:dyDescent="0.35">
      <c r="B6797" s="200"/>
      <c r="C6797" s="201"/>
      <c r="D6797" s="201"/>
      <c r="E6797" s="201"/>
      <c r="F6797" s="202"/>
      <c r="G6797" s="549"/>
      <c r="H6797" s="549"/>
      <c r="I6797" s="549"/>
      <c r="J6797" s="549"/>
      <c r="K6797" s="549"/>
      <c r="M6797" s="465"/>
      <c r="N6797" s="201"/>
    </row>
    <row r="6798" spans="2:14" hidden="1" outlineLevel="1" x14ac:dyDescent="0.35">
      <c r="B6798" s="200"/>
      <c r="C6798" s="201"/>
      <c r="D6798" s="201"/>
      <c r="E6798" s="201"/>
      <c r="F6798" s="202"/>
      <c r="G6798" s="549"/>
      <c r="H6798" s="549"/>
      <c r="I6798" s="549"/>
      <c r="J6798" s="549"/>
      <c r="K6798" s="549"/>
      <c r="M6798" s="465"/>
      <c r="N6798" s="201"/>
    </row>
    <row r="6799" spans="2:14" hidden="1" outlineLevel="1" x14ac:dyDescent="0.35">
      <c r="B6799" s="200"/>
      <c r="C6799" s="201"/>
      <c r="D6799" s="201"/>
      <c r="E6799" s="201"/>
      <c r="F6799" s="202"/>
      <c r="G6799" s="549"/>
      <c r="H6799" s="549"/>
      <c r="I6799" s="549"/>
      <c r="J6799" s="549"/>
      <c r="K6799" s="549"/>
      <c r="M6799" s="465"/>
      <c r="N6799" s="201"/>
    </row>
    <row r="6800" spans="2:14" hidden="1" outlineLevel="1" x14ac:dyDescent="0.35">
      <c r="B6800" s="200"/>
      <c r="C6800" s="201"/>
      <c r="D6800" s="201"/>
      <c r="E6800" s="201"/>
      <c r="F6800" s="202"/>
      <c r="G6800" s="549"/>
      <c r="H6800" s="549"/>
      <c r="I6800" s="549"/>
      <c r="J6800" s="549"/>
      <c r="K6800" s="549"/>
      <c r="M6800" s="465"/>
      <c r="N6800" s="201"/>
    </row>
    <row r="6801" spans="2:14" hidden="1" outlineLevel="1" x14ac:dyDescent="0.35">
      <c r="B6801" s="200"/>
      <c r="C6801" s="201"/>
      <c r="D6801" s="201"/>
      <c r="E6801" s="201"/>
      <c r="F6801" s="202"/>
      <c r="G6801" s="549"/>
      <c r="H6801" s="549"/>
      <c r="I6801" s="549"/>
      <c r="J6801" s="549"/>
      <c r="K6801" s="549"/>
      <c r="M6801" s="465"/>
      <c r="N6801" s="201"/>
    </row>
    <row r="6802" spans="2:14" hidden="1" outlineLevel="1" x14ac:dyDescent="0.35">
      <c r="B6802" s="200"/>
      <c r="C6802" s="201"/>
      <c r="D6802" s="201"/>
      <c r="E6802" s="201"/>
      <c r="F6802" s="202"/>
      <c r="G6802" s="549"/>
      <c r="H6802" s="549"/>
      <c r="I6802" s="549"/>
      <c r="J6802" s="549"/>
      <c r="K6802" s="549"/>
      <c r="M6802" s="465"/>
      <c r="N6802" s="201"/>
    </row>
    <row r="6803" spans="2:14" hidden="1" outlineLevel="1" x14ac:dyDescent="0.35">
      <c r="B6803" s="200"/>
      <c r="C6803" s="201"/>
      <c r="D6803" s="201"/>
      <c r="E6803" s="201"/>
      <c r="F6803" s="202"/>
      <c r="G6803" s="549"/>
      <c r="H6803" s="549"/>
      <c r="I6803" s="549"/>
      <c r="J6803" s="549"/>
      <c r="K6803" s="549"/>
      <c r="M6803" s="465"/>
      <c r="N6803" s="201"/>
    </row>
    <row r="6804" spans="2:14" hidden="1" outlineLevel="1" x14ac:dyDescent="0.35">
      <c r="B6804" s="200"/>
      <c r="C6804" s="201"/>
      <c r="D6804" s="201"/>
      <c r="E6804" s="201"/>
      <c r="F6804" s="202"/>
      <c r="G6804" s="549"/>
      <c r="H6804" s="549"/>
      <c r="I6804" s="549"/>
      <c r="J6804" s="549"/>
      <c r="K6804" s="549"/>
      <c r="M6804" s="465"/>
      <c r="N6804" s="201"/>
    </row>
    <row r="6805" spans="2:14" hidden="1" outlineLevel="1" x14ac:dyDescent="0.35">
      <c r="B6805" s="200"/>
      <c r="C6805" s="201"/>
      <c r="D6805" s="201"/>
      <c r="E6805" s="201"/>
      <c r="F6805" s="202"/>
      <c r="G6805" s="549"/>
      <c r="H6805" s="549"/>
      <c r="I6805" s="549"/>
      <c r="J6805" s="549"/>
      <c r="K6805" s="549"/>
      <c r="M6805" s="465"/>
      <c r="N6805" s="201"/>
    </row>
    <row r="6806" spans="2:14" hidden="1" outlineLevel="1" x14ac:dyDescent="0.35">
      <c r="B6806" s="200"/>
      <c r="C6806" s="201"/>
      <c r="D6806" s="201"/>
      <c r="E6806" s="201"/>
      <c r="F6806" s="202"/>
      <c r="G6806" s="549"/>
      <c r="H6806" s="549"/>
      <c r="I6806" s="549"/>
      <c r="J6806" s="549"/>
      <c r="K6806" s="549"/>
      <c r="M6806" s="465"/>
      <c r="N6806" s="201"/>
    </row>
    <row r="6807" spans="2:14" hidden="1" outlineLevel="1" x14ac:dyDescent="0.35">
      <c r="B6807" s="200"/>
      <c r="C6807" s="201"/>
      <c r="D6807" s="201"/>
      <c r="E6807" s="201"/>
      <c r="F6807" s="202"/>
      <c r="G6807" s="549"/>
      <c r="H6807" s="549"/>
      <c r="I6807" s="549"/>
      <c r="J6807" s="549"/>
      <c r="K6807" s="549"/>
      <c r="M6807" s="465"/>
      <c r="N6807" s="201"/>
    </row>
    <row r="6808" spans="2:14" hidden="1" outlineLevel="1" x14ac:dyDescent="0.35">
      <c r="B6808" s="200"/>
      <c r="C6808" s="201"/>
      <c r="D6808" s="201"/>
      <c r="E6808" s="201"/>
      <c r="F6808" s="202"/>
      <c r="G6808" s="549"/>
      <c r="H6808" s="549"/>
      <c r="I6808" s="549"/>
      <c r="J6808" s="549"/>
      <c r="K6808" s="549"/>
      <c r="M6808" s="465"/>
      <c r="N6808" s="201"/>
    </row>
    <row r="6809" spans="2:14" hidden="1" outlineLevel="1" x14ac:dyDescent="0.35">
      <c r="B6809" s="200"/>
      <c r="C6809" s="201"/>
      <c r="D6809" s="201"/>
      <c r="E6809" s="201"/>
      <c r="F6809" s="202"/>
      <c r="G6809" s="549"/>
      <c r="H6809" s="549"/>
      <c r="I6809" s="549"/>
      <c r="J6809" s="549"/>
      <c r="K6809" s="549"/>
      <c r="M6809" s="465"/>
      <c r="N6809" s="201"/>
    </row>
    <row r="6810" spans="2:14" hidden="1" outlineLevel="1" x14ac:dyDescent="0.35">
      <c r="B6810" s="200"/>
      <c r="C6810" s="201"/>
      <c r="D6810" s="201"/>
      <c r="E6810" s="201"/>
      <c r="F6810" s="202"/>
      <c r="G6810" s="549"/>
      <c r="H6810" s="549"/>
      <c r="I6810" s="549"/>
      <c r="J6810" s="549"/>
      <c r="K6810" s="549"/>
      <c r="M6810" s="465"/>
      <c r="N6810" s="201"/>
    </row>
    <row r="6811" spans="2:14" hidden="1" outlineLevel="1" x14ac:dyDescent="0.35">
      <c r="B6811" s="200"/>
      <c r="C6811" s="201"/>
      <c r="D6811" s="201"/>
      <c r="E6811" s="201"/>
      <c r="F6811" s="202"/>
      <c r="G6811" s="549"/>
      <c r="H6811" s="549"/>
      <c r="I6811" s="549"/>
      <c r="J6811" s="549"/>
      <c r="K6811" s="549"/>
      <c r="M6811" s="465"/>
      <c r="N6811" s="201"/>
    </row>
    <row r="6812" spans="2:14" hidden="1" outlineLevel="1" x14ac:dyDescent="0.35">
      <c r="B6812" s="200"/>
      <c r="C6812" s="201"/>
      <c r="D6812" s="201"/>
      <c r="E6812" s="201"/>
      <c r="F6812" s="202"/>
      <c r="G6812" s="549"/>
      <c r="H6812" s="549"/>
      <c r="I6812" s="549"/>
      <c r="J6812" s="549"/>
      <c r="K6812" s="549"/>
      <c r="M6812" s="465"/>
      <c r="N6812" s="201"/>
    </row>
    <row r="6813" spans="2:14" hidden="1" outlineLevel="1" x14ac:dyDescent="0.35">
      <c r="B6813" s="200"/>
      <c r="C6813" s="201"/>
      <c r="D6813" s="201"/>
      <c r="E6813" s="201"/>
      <c r="F6813" s="202"/>
      <c r="G6813" s="549"/>
      <c r="H6813" s="549"/>
      <c r="I6813" s="549"/>
      <c r="J6813" s="549"/>
      <c r="K6813" s="549"/>
      <c r="M6813" s="465"/>
      <c r="N6813" s="201"/>
    </row>
    <row r="6814" spans="2:14" hidden="1" outlineLevel="1" x14ac:dyDescent="0.35">
      <c r="B6814" s="200"/>
      <c r="C6814" s="201"/>
      <c r="D6814" s="201"/>
      <c r="E6814" s="201"/>
      <c r="F6814" s="202"/>
      <c r="G6814" s="549"/>
      <c r="H6814" s="549"/>
      <c r="I6814" s="549"/>
      <c r="J6814" s="549"/>
      <c r="K6814" s="549"/>
      <c r="M6814" s="465"/>
      <c r="N6814" s="201"/>
    </row>
    <row r="6815" spans="2:14" hidden="1" outlineLevel="1" x14ac:dyDescent="0.35">
      <c r="B6815" s="200"/>
      <c r="C6815" s="201"/>
      <c r="D6815" s="201"/>
      <c r="E6815" s="201"/>
      <c r="F6815" s="202"/>
      <c r="G6815" s="549"/>
      <c r="H6815" s="549"/>
      <c r="I6815" s="549"/>
      <c r="J6815" s="549"/>
      <c r="K6815" s="549"/>
      <c r="M6815" s="465"/>
      <c r="N6815" s="201"/>
    </row>
    <row r="6816" spans="2:14" hidden="1" outlineLevel="1" x14ac:dyDescent="0.35">
      <c r="B6816" s="200"/>
      <c r="C6816" s="201"/>
      <c r="D6816" s="201"/>
      <c r="E6816" s="201"/>
      <c r="F6816" s="202"/>
      <c r="G6816" s="549"/>
      <c r="H6816" s="549"/>
      <c r="I6816" s="549"/>
      <c r="J6816" s="549"/>
      <c r="K6816" s="549"/>
      <c r="M6816" s="465"/>
      <c r="N6816" s="201"/>
    </row>
    <row r="6817" spans="2:14" hidden="1" outlineLevel="1" x14ac:dyDescent="0.35">
      <c r="B6817" s="200"/>
      <c r="C6817" s="201"/>
      <c r="D6817" s="201"/>
      <c r="E6817" s="201"/>
      <c r="F6817" s="202"/>
      <c r="G6817" s="549"/>
      <c r="H6817" s="549"/>
      <c r="I6817" s="549"/>
      <c r="J6817" s="549"/>
      <c r="K6817" s="549"/>
      <c r="M6817" s="465"/>
      <c r="N6817" s="201"/>
    </row>
    <row r="6818" spans="2:14" hidden="1" outlineLevel="1" x14ac:dyDescent="0.35">
      <c r="B6818" s="200"/>
      <c r="C6818" s="201"/>
      <c r="D6818" s="201"/>
      <c r="E6818" s="201"/>
      <c r="F6818" s="202"/>
      <c r="G6818" s="549"/>
      <c r="H6818" s="549"/>
      <c r="I6818" s="549"/>
      <c r="J6818" s="549"/>
      <c r="K6818" s="549"/>
      <c r="M6818" s="465"/>
      <c r="N6818" s="201"/>
    </row>
    <row r="6819" spans="2:14" hidden="1" outlineLevel="1" x14ac:dyDescent="0.35">
      <c r="B6819" s="200"/>
      <c r="C6819" s="201"/>
      <c r="D6819" s="201"/>
      <c r="E6819" s="201"/>
      <c r="F6819" s="202"/>
      <c r="G6819" s="549"/>
      <c r="H6819" s="549"/>
      <c r="I6819" s="549"/>
      <c r="J6819" s="549"/>
      <c r="K6819" s="549"/>
      <c r="M6819" s="465"/>
      <c r="N6819" s="201"/>
    </row>
    <row r="6820" spans="2:14" hidden="1" outlineLevel="1" x14ac:dyDescent="0.35">
      <c r="B6820" s="200"/>
      <c r="C6820" s="201"/>
      <c r="D6820" s="201"/>
      <c r="E6820" s="201"/>
      <c r="F6820" s="202"/>
      <c r="G6820" s="549"/>
      <c r="H6820" s="549"/>
      <c r="I6820" s="549"/>
      <c r="J6820" s="549"/>
      <c r="K6820" s="549"/>
      <c r="M6820" s="465"/>
      <c r="N6820" s="201"/>
    </row>
    <row r="6821" spans="2:14" hidden="1" outlineLevel="1" x14ac:dyDescent="0.35">
      <c r="B6821" s="200"/>
      <c r="C6821" s="201"/>
      <c r="D6821" s="201"/>
      <c r="E6821" s="201"/>
      <c r="F6821" s="202"/>
      <c r="G6821" s="549"/>
      <c r="H6821" s="549"/>
      <c r="I6821" s="549"/>
      <c r="J6821" s="549"/>
      <c r="K6821" s="549"/>
      <c r="M6821" s="465"/>
      <c r="N6821" s="201"/>
    </row>
    <row r="6822" spans="2:14" hidden="1" outlineLevel="1" x14ac:dyDescent="0.35">
      <c r="B6822" s="200"/>
      <c r="C6822" s="201"/>
      <c r="D6822" s="201"/>
      <c r="E6822" s="201"/>
      <c r="F6822" s="202"/>
      <c r="G6822" s="549"/>
      <c r="H6822" s="549"/>
      <c r="I6822" s="549"/>
      <c r="J6822" s="549"/>
      <c r="K6822" s="549"/>
      <c r="M6822" s="465"/>
      <c r="N6822" s="201"/>
    </row>
    <row r="6823" spans="2:14" hidden="1" outlineLevel="1" x14ac:dyDescent="0.35">
      <c r="B6823" s="200"/>
      <c r="C6823" s="201"/>
      <c r="D6823" s="201"/>
      <c r="E6823" s="201"/>
      <c r="F6823" s="202"/>
      <c r="G6823" s="549"/>
      <c r="H6823" s="549"/>
      <c r="I6823" s="549"/>
      <c r="J6823" s="549"/>
      <c r="K6823" s="549"/>
      <c r="M6823" s="465"/>
      <c r="N6823" s="201"/>
    </row>
    <row r="6824" spans="2:14" hidden="1" outlineLevel="1" x14ac:dyDescent="0.35">
      <c r="B6824" s="200"/>
      <c r="C6824" s="201"/>
      <c r="D6824" s="201"/>
      <c r="E6824" s="201"/>
      <c r="F6824" s="202"/>
      <c r="G6824" s="549"/>
      <c r="H6824" s="549"/>
      <c r="I6824" s="549"/>
      <c r="J6824" s="549"/>
      <c r="K6824" s="549"/>
      <c r="M6824" s="465"/>
      <c r="N6824" s="201"/>
    </row>
    <row r="6825" spans="2:14" hidden="1" outlineLevel="1" x14ac:dyDescent="0.35">
      <c r="B6825" s="200"/>
      <c r="C6825" s="201"/>
      <c r="D6825" s="201"/>
      <c r="E6825" s="201"/>
      <c r="F6825" s="202"/>
      <c r="G6825" s="549"/>
      <c r="H6825" s="549"/>
      <c r="I6825" s="549"/>
      <c r="J6825" s="549"/>
      <c r="K6825" s="549"/>
      <c r="M6825" s="465"/>
      <c r="N6825" s="201"/>
    </row>
    <row r="6826" spans="2:14" hidden="1" outlineLevel="1" x14ac:dyDescent="0.35">
      <c r="B6826" s="200"/>
      <c r="C6826" s="201"/>
      <c r="D6826" s="201"/>
      <c r="E6826" s="201"/>
      <c r="F6826" s="202"/>
      <c r="G6826" s="549"/>
      <c r="H6826" s="549"/>
      <c r="I6826" s="549"/>
      <c r="J6826" s="549"/>
      <c r="K6826" s="549"/>
      <c r="M6826" s="465"/>
      <c r="N6826" s="201"/>
    </row>
    <row r="6827" spans="2:14" hidden="1" outlineLevel="1" x14ac:dyDescent="0.35">
      <c r="B6827" s="200"/>
      <c r="C6827" s="201"/>
      <c r="D6827" s="201"/>
      <c r="E6827" s="201"/>
      <c r="F6827" s="202"/>
      <c r="G6827" s="549"/>
      <c r="H6827" s="549"/>
      <c r="I6827" s="549"/>
      <c r="J6827" s="549"/>
      <c r="K6827" s="549"/>
      <c r="M6827" s="465"/>
      <c r="N6827" s="201"/>
    </row>
    <row r="6828" spans="2:14" hidden="1" outlineLevel="1" x14ac:dyDescent="0.35">
      <c r="B6828" s="200"/>
      <c r="C6828" s="201"/>
      <c r="D6828" s="201"/>
      <c r="E6828" s="201"/>
      <c r="F6828" s="202"/>
      <c r="G6828" s="549"/>
      <c r="H6828" s="549"/>
      <c r="I6828" s="549"/>
      <c r="J6828" s="549"/>
      <c r="K6828" s="549"/>
      <c r="M6828" s="465"/>
      <c r="N6828" s="201"/>
    </row>
    <row r="6829" spans="2:14" hidden="1" outlineLevel="1" x14ac:dyDescent="0.35">
      <c r="B6829" s="200"/>
      <c r="C6829" s="201"/>
      <c r="D6829" s="201"/>
      <c r="E6829" s="201"/>
      <c r="F6829" s="202"/>
      <c r="G6829" s="549"/>
      <c r="H6829" s="549"/>
      <c r="I6829" s="549"/>
      <c r="J6829" s="549"/>
      <c r="K6829" s="549"/>
      <c r="M6829" s="465"/>
      <c r="N6829" s="201"/>
    </row>
    <row r="6830" spans="2:14" hidden="1" outlineLevel="1" x14ac:dyDescent="0.35">
      <c r="B6830" s="200"/>
      <c r="C6830" s="201"/>
      <c r="D6830" s="201"/>
      <c r="E6830" s="201"/>
      <c r="F6830" s="202"/>
      <c r="G6830" s="549"/>
      <c r="H6830" s="549"/>
      <c r="I6830" s="549"/>
      <c r="J6830" s="549"/>
      <c r="K6830" s="549"/>
      <c r="M6830" s="465"/>
      <c r="N6830" s="201"/>
    </row>
    <row r="6831" spans="2:14" hidden="1" outlineLevel="1" x14ac:dyDescent="0.35">
      <c r="B6831" s="200"/>
      <c r="C6831" s="201"/>
      <c r="D6831" s="201"/>
      <c r="E6831" s="201"/>
      <c r="F6831" s="202"/>
      <c r="G6831" s="549"/>
      <c r="H6831" s="549"/>
      <c r="I6831" s="549"/>
      <c r="J6831" s="549"/>
      <c r="K6831" s="549"/>
      <c r="M6831" s="465"/>
      <c r="N6831" s="201"/>
    </row>
    <row r="6832" spans="2:14" hidden="1" outlineLevel="1" x14ac:dyDescent="0.35">
      <c r="B6832" s="200"/>
      <c r="C6832" s="201"/>
      <c r="D6832" s="201"/>
      <c r="E6832" s="201"/>
      <c r="F6832" s="202"/>
      <c r="G6832" s="549"/>
      <c r="H6832" s="549"/>
      <c r="I6832" s="549"/>
      <c r="J6832" s="549"/>
      <c r="K6832" s="549"/>
      <c r="M6832" s="465"/>
      <c r="N6832" s="201"/>
    </row>
    <row r="6833" spans="2:14" hidden="1" outlineLevel="1" x14ac:dyDescent="0.35">
      <c r="B6833" s="200"/>
      <c r="C6833" s="201"/>
      <c r="D6833" s="201"/>
      <c r="E6833" s="201"/>
      <c r="F6833" s="202"/>
      <c r="G6833" s="549"/>
      <c r="H6833" s="549"/>
      <c r="I6833" s="549"/>
      <c r="J6833" s="549"/>
      <c r="K6833" s="549"/>
      <c r="M6833" s="465"/>
      <c r="N6833" s="201"/>
    </row>
    <row r="6834" spans="2:14" hidden="1" outlineLevel="1" x14ac:dyDescent="0.35">
      <c r="B6834" s="200"/>
      <c r="C6834" s="201"/>
      <c r="D6834" s="201"/>
      <c r="E6834" s="201"/>
      <c r="F6834" s="202"/>
      <c r="G6834" s="549"/>
      <c r="H6834" s="549"/>
      <c r="I6834" s="549"/>
      <c r="J6834" s="549"/>
      <c r="K6834" s="549"/>
      <c r="M6834" s="465"/>
      <c r="N6834" s="201"/>
    </row>
    <row r="6835" spans="2:14" hidden="1" outlineLevel="1" x14ac:dyDescent="0.35">
      <c r="B6835" s="200"/>
      <c r="C6835" s="201"/>
      <c r="D6835" s="201"/>
      <c r="E6835" s="201"/>
      <c r="F6835" s="202"/>
      <c r="G6835" s="549"/>
      <c r="H6835" s="549"/>
      <c r="I6835" s="549"/>
      <c r="J6835" s="549"/>
      <c r="K6835" s="549"/>
      <c r="M6835" s="465"/>
      <c r="N6835" s="201"/>
    </row>
    <row r="6836" spans="2:14" hidden="1" outlineLevel="1" x14ac:dyDescent="0.35">
      <c r="B6836" s="200"/>
      <c r="C6836" s="201"/>
      <c r="D6836" s="201"/>
      <c r="E6836" s="201"/>
      <c r="F6836" s="202"/>
      <c r="G6836" s="549"/>
      <c r="H6836" s="549"/>
      <c r="I6836" s="549"/>
      <c r="J6836" s="549"/>
      <c r="K6836" s="549"/>
      <c r="M6836" s="465"/>
      <c r="N6836" s="201"/>
    </row>
    <row r="6837" spans="2:14" hidden="1" outlineLevel="1" x14ac:dyDescent="0.35">
      <c r="B6837" s="200"/>
      <c r="C6837" s="201"/>
      <c r="D6837" s="201"/>
      <c r="E6837" s="201"/>
      <c r="F6837" s="202"/>
      <c r="G6837" s="549"/>
      <c r="H6837" s="549"/>
      <c r="I6837" s="549"/>
      <c r="J6837" s="549"/>
      <c r="K6837" s="549"/>
      <c r="M6837" s="465"/>
      <c r="N6837" s="201"/>
    </row>
    <row r="6838" spans="2:14" hidden="1" outlineLevel="1" x14ac:dyDescent="0.35">
      <c r="B6838" s="200"/>
      <c r="C6838" s="201"/>
      <c r="D6838" s="201"/>
      <c r="E6838" s="201"/>
      <c r="F6838" s="202"/>
      <c r="G6838" s="549"/>
      <c r="H6838" s="549"/>
      <c r="I6838" s="549"/>
      <c r="J6838" s="549"/>
      <c r="K6838" s="549"/>
      <c r="M6838" s="465"/>
      <c r="N6838" s="201"/>
    </row>
    <row r="6839" spans="2:14" hidden="1" outlineLevel="1" x14ac:dyDescent="0.35">
      <c r="B6839" s="200"/>
      <c r="C6839" s="201"/>
      <c r="D6839" s="201"/>
      <c r="E6839" s="201"/>
      <c r="F6839" s="202"/>
      <c r="G6839" s="549"/>
      <c r="H6839" s="549"/>
      <c r="I6839" s="549"/>
      <c r="J6839" s="549"/>
      <c r="K6839" s="549"/>
      <c r="M6839" s="465"/>
      <c r="N6839" s="201"/>
    </row>
    <row r="6840" spans="2:14" hidden="1" outlineLevel="1" x14ac:dyDescent="0.35">
      <c r="B6840" s="200"/>
      <c r="C6840" s="201"/>
      <c r="D6840" s="201"/>
      <c r="E6840" s="201"/>
      <c r="F6840" s="202"/>
      <c r="G6840" s="549"/>
      <c r="H6840" s="549"/>
      <c r="I6840" s="549"/>
      <c r="J6840" s="549"/>
      <c r="K6840" s="549"/>
      <c r="M6840" s="465"/>
      <c r="N6840" s="201"/>
    </row>
    <row r="6841" spans="2:14" hidden="1" outlineLevel="1" x14ac:dyDescent="0.35">
      <c r="B6841" s="200"/>
      <c r="C6841" s="201"/>
      <c r="D6841" s="201"/>
      <c r="E6841" s="201"/>
      <c r="F6841" s="202"/>
      <c r="G6841" s="549"/>
      <c r="H6841" s="549"/>
      <c r="I6841" s="549"/>
      <c r="J6841" s="549"/>
      <c r="K6841" s="549"/>
      <c r="M6841" s="465"/>
      <c r="N6841" s="201"/>
    </row>
    <row r="6842" spans="2:14" hidden="1" outlineLevel="1" x14ac:dyDescent="0.35">
      <c r="B6842" s="200"/>
      <c r="C6842" s="201"/>
      <c r="D6842" s="201"/>
      <c r="E6842" s="201"/>
      <c r="F6842" s="202"/>
      <c r="G6842" s="549"/>
      <c r="H6842" s="549"/>
      <c r="I6842" s="549"/>
      <c r="J6842" s="549"/>
      <c r="K6842" s="549"/>
      <c r="M6842" s="465"/>
      <c r="N6842" s="201"/>
    </row>
    <row r="6843" spans="2:14" hidden="1" outlineLevel="1" x14ac:dyDescent="0.35">
      <c r="B6843" s="200"/>
      <c r="C6843" s="201"/>
      <c r="D6843" s="201"/>
      <c r="E6843" s="201"/>
      <c r="F6843" s="202"/>
      <c r="G6843" s="549"/>
      <c r="H6843" s="549"/>
      <c r="I6843" s="549"/>
      <c r="J6843" s="549"/>
      <c r="K6843" s="549"/>
      <c r="M6843" s="465"/>
      <c r="N6843" s="201"/>
    </row>
    <row r="6844" spans="2:14" hidden="1" outlineLevel="1" x14ac:dyDescent="0.35">
      <c r="B6844" s="200"/>
      <c r="C6844" s="201"/>
      <c r="D6844" s="201"/>
      <c r="E6844" s="201"/>
      <c r="F6844" s="202"/>
      <c r="G6844" s="549"/>
      <c r="H6844" s="549"/>
      <c r="I6844" s="549"/>
      <c r="J6844" s="549"/>
      <c r="K6844" s="549"/>
      <c r="M6844" s="465"/>
      <c r="N6844" s="201"/>
    </row>
    <row r="6845" spans="2:14" hidden="1" outlineLevel="1" x14ac:dyDescent="0.35">
      <c r="B6845" s="200"/>
      <c r="C6845" s="201"/>
      <c r="D6845" s="201"/>
      <c r="E6845" s="201"/>
      <c r="F6845" s="202"/>
      <c r="G6845" s="549"/>
      <c r="H6845" s="549"/>
      <c r="I6845" s="549"/>
      <c r="J6845" s="549"/>
      <c r="K6845" s="549"/>
      <c r="M6845" s="465"/>
      <c r="N6845" s="201"/>
    </row>
    <row r="6846" spans="2:14" hidden="1" outlineLevel="1" x14ac:dyDescent="0.35">
      <c r="B6846" s="200"/>
      <c r="C6846" s="201"/>
      <c r="D6846" s="201"/>
      <c r="E6846" s="201"/>
      <c r="F6846" s="202"/>
      <c r="G6846" s="549"/>
      <c r="H6846" s="549"/>
      <c r="I6846" s="549"/>
      <c r="J6846" s="549"/>
      <c r="K6846" s="549"/>
      <c r="M6846" s="465"/>
      <c r="N6846" s="201"/>
    </row>
    <row r="6847" spans="2:14" hidden="1" outlineLevel="1" x14ac:dyDescent="0.35">
      <c r="B6847" s="200"/>
      <c r="C6847" s="201"/>
      <c r="D6847" s="201"/>
      <c r="E6847" s="201"/>
      <c r="F6847" s="202"/>
      <c r="G6847" s="549"/>
      <c r="H6847" s="549"/>
      <c r="I6847" s="549"/>
      <c r="J6847" s="549"/>
      <c r="K6847" s="549"/>
      <c r="M6847" s="465"/>
      <c r="N6847" s="201"/>
    </row>
    <row r="6848" spans="2:14" hidden="1" outlineLevel="1" x14ac:dyDescent="0.35">
      <c r="B6848" s="200"/>
      <c r="C6848" s="201"/>
      <c r="D6848" s="201"/>
      <c r="E6848" s="201"/>
      <c r="F6848" s="202"/>
      <c r="G6848" s="549"/>
      <c r="H6848" s="549"/>
      <c r="I6848" s="549"/>
      <c r="J6848" s="549"/>
      <c r="K6848" s="549"/>
      <c r="M6848" s="465"/>
      <c r="N6848" s="201"/>
    </row>
    <row r="6849" spans="2:14" hidden="1" outlineLevel="1" x14ac:dyDescent="0.35">
      <c r="B6849" s="200"/>
      <c r="C6849" s="201"/>
      <c r="D6849" s="201"/>
      <c r="E6849" s="201"/>
      <c r="F6849" s="202"/>
      <c r="G6849" s="549"/>
      <c r="H6849" s="549"/>
      <c r="I6849" s="549"/>
      <c r="J6849" s="549"/>
      <c r="K6849" s="549"/>
      <c r="M6849" s="465"/>
      <c r="N6849" s="201"/>
    </row>
    <row r="6850" spans="2:14" hidden="1" outlineLevel="1" x14ac:dyDescent="0.35">
      <c r="B6850" s="200"/>
      <c r="C6850" s="201"/>
      <c r="D6850" s="201"/>
      <c r="E6850" s="201"/>
      <c r="F6850" s="202"/>
      <c r="G6850" s="549"/>
      <c r="H6850" s="549"/>
      <c r="I6850" s="549"/>
      <c r="J6850" s="549"/>
      <c r="K6850" s="549"/>
      <c r="M6850" s="465"/>
      <c r="N6850" s="201"/>
    </row>
    <row r="6851" spans="2:14" hidden="1" outlineLevel="1" x14ac:dyDescent="0.35">
      <c r="B6851" s="200"/>
      <c r="C6851" s="201"/>
      <c r="D6851" s="201"/>
      <c r="E6851" s="201"/>
      <c r="F6851" s="202"/>
      <c r="G6851" s="549"/>
      <c r="H6851" s="549"/>
      <c r="I6851" s="549"/>
      <c r="J6851" s="549"/>
      <c r="K6851" s="549"/>
      <c r="M6851" s="465"/>
      <c r="N6851" s="201"/>
    </row>
    <row r="6852" spans="2:14" hidden="1" outlineLevel="1" x14ac:dyDescent="0.35">
      <c r="B6852" s="200"/>
      <c r="C6852" s="201"/>
      <c r="D6852" s="201"/>
      <c r="E6852" s="201"/>
      <c r="F6852" s="202"/>
      <c r="G6852" s="549"/>
      <c r="H6852" s="549"/>
      <c r="I6852" s="549"/>
      <c r="J6852" s="549"/>
      <c r="K6852" s="549"/>
      <c r="M6852" s="465"/>
      <c r="N6852" s="201"/>
    </row>
    <row r="6853" spans="2:14" hidden="1" outlineLevel="1" x14ac:dyDescent="0.35">
      <c r="B6853" s="200"/>
      <c r="C6853" s="201"/>
      <c r="D6853" s="201"/>
      <c r="E6853" s="201"/>
      <c r="F6853" s="202"/>
      <c r="G6853" s="549"/>
      <c r="H6853" s="549"/>
      <c r="I6853" s="549"/>
      <c r="J6853" s="549"/>
      <c r="K6853" s="549"/>
      <c r="M6853" s="465"/>
      <c r="N6853" s="201"/>
    </row>
    <row r="6854" spans="2:14" hidden="1" outlineLevel="1" x14ac:dyDescent="0.35">
      <c r="B6854" s="200"/>
      <c r="C6854" s="201"/>
      <c r="D6854" s="201"/>
      <c r="E6854" s="201"/>
      <c r="F6854" s="202"/>
      <c r="G6854" s="549"/>
      <c r="H6854" s="549"/>
      <c r="I6854" s="549"/>
      <c r="J6854" s="549"/>
      <c r="K6854" s="549"/>
      <c r="M6854" s="465"/>
      <c r="N6854" s="201"/>
    </row>
    <row r="6855" spans="2:14" hidden="1" outlineLevel="1" x14ac:dyDescent="0.35">
      <c r="B6855" s="200"/>
      <c r="C6855" s="201"/>
      <c r="D6855" s="201"/>
      <c r="E6855" s="201"/>
      <c r="F6855" s="202"/>
      <c r="G6855" s="549"/>
      <c r="H6855" s="549"/>
      <c r="I6855" s="549"/>
      <c r="J6855" s="549"/>
      <c r="K6855" s="549"/>
      <c r="M6855" s="465"/>
      <c r="N6855" s="201"/>
    </row>
    <row r="6856" spans="2:14" hidden="1" outlineLevel="1" x14ac:dyDescent="0.35">
      <c r="B6856" s="200"/>
      <c r="C6856" s="201"/>
      <c r="D6856" s="201"/>
      <c r="E6856" s="201"/>
      <c r="F6856" s="202"/>
      <c r="G6856" s="549"/>
      <c r="H6856" s="549"/>
      <c r="I6856" s="549"/>
      <c r="J6856" s="549"/>
      <c r="K6856" s="549"/>
      <c r="M6856" s="465"/>
      <c r="N6856" s="201"/>
    </row>
    <row r="6857" spans="2:14" hidden="1" outlineLevel="1" x14ac:dyDescent="0.35">
      <c r="B6857" s="200"/>
      <c r="C6857" s="201"/>
      <c r="D6857" s="201"/>
      <c r="E6857" s="201"/>
      <c r="F6857" s="202"/>
      <c r="G6857" s="549"/>
      <c r="H6857" s="549"/>
      <c r="I6857" s="549"/>
      <c r="J6857" s="549"/>
      <c r="K6857" s="549"/>
      <c r="M6857" s="465"/>
      <c r="N6857" s="201"/>
    </row>
    <row r="6858" spans="2:14" hidden="1" outlineLevel="1" x14ac:dyDescent="0.35">
      <c r="B6858" s="200"/>
      <c r="C6858" s="201"/>
      <c r="D6858" s="201"/>
      <c r="E6858" s="201"/>
      <c r="F6858" s="202"/>
      <c r="G6858" s="549"/>
      <c r="H6858" s="549"/>
      <c r="I6858" s="549"/>
      <c r="J6858" s="549"/>
      <c r="K6858" s="549"/>
      <c r="M6858" s="465"/>
      <c r="N6858" s="201"/>
    </row>
    <row r="6859" spans="2:14" hidden="1" outlineLevel="1" x14ac:dyDescent="0.35">
      <c r="B6859" s="200"/>
      <c r="C6859" s="201"/>
      <c r="D6859" s="201"/>
      <c r="E6859" s="201"/>
      <c r="F6859" s="202"/>
      <c r="G6859" s="549"/>
      <c r="H6859" s="549"/>
      <c r="I6859" s="549"/>
      <c r="J6859" s="549"/>
      <c r="K6859" s="549"/>
      <c r="M6859" s="465"/>
      <c r="N6859" s="201"/>
    </row>
    <row r="6860" spans="2:14" hidden="1" outlineLevel="1" x14ac:dyDescent="0.35">
      <c r="B6860" s="200"/>
      <c r="C6860" s="201"/>
      <c r="D6860" s="201"/>
      <c r="E6860" s="201"/>
      <c r="F6860" s="202"/>
      <c r="G6860" s="549"/>
      <c r="H6860" s="549"/>
      <c r="I6860" s="549"/>
      <c r="J6860" s="549"/>
      <c r="K6860" s="549"/>
      <c r="M6860" s="465"/>
      <c r="N6860" s="201"/>
    </row>
    <row r="6861" spans="2:14" hidden="1" outlineLevel="1" x14ac:dyDescent="0.35">
      <c r="B6861" s="200"/>
      <c r="C6861" s="201"/>
      <c r="D6861" s="201"/>
      <c r="E6861" s="201"/>
      <c r="F6861" s="202"/>
      <c r="G6861" s="549"/>
      <c r="H6861" s="549"/>
      <c r="I6861" s="549"/>
      <c r="J6861" s="549"/>
      <c r="K6861" s="549"/>
      <c r="M6861" s="465"/>
      <c r="N6861" s="201"/>
    </row>
    <row r="6862" spans="2:14" hidden="1" outlineLevel="1" x14ac:dyDescent="0.35">
      <c r="B6862" s="200"/>
      <c r="C6862" s="201"/>
      <c r="D6862" s="201"/>
      <c r="E6862" s="201"/>
      <c r="F6862" s="202"/>
      <c r="G6862" s="549"/>
      <c r="H6862" s="549"/>
      <c r="I6862" s="549"/>
      <c r="J6862" s="549"/>
      <c r="K6862" s="549"/>
      <c r="M6862" s="465"/>
      <c r="N6862" s="201"/>
    </row>
    <row r="6863" spans="2:14" hidden="1" outlineLevel="1" x14ac:dyDescent="0.35">
      <c r="B6863" s="200"/>
      <c r="C6863" s="201"/>
      <c r="D6863" s="201"/>
      <c r="E6863" s="201"/>
      <c r="F6863" s="202"/>
      <c r="G6863" s="549"/>
      <c r="H6863" s="549"/>
      <c r="I6863" s="549"/>
      <c r="J6863" s="549"/>
      <c r="K6863" s="549"/>
      <c r="M6863" s="465"/>
      <c r="N6863" s="201"/>
    </row>
    <row r="6864" spans="2:14" hidden="1" outlineLevel="1" x14ac:dyDescent="0.35">
      <c r="B6864" s="200"/>
      <c r="C6864" s="201"/>
      <c r="D6864" s="201"/>
      <c r="E6864" s="201"/>
      <c r="F6864" s="202"/>
      <c r="G6864" s="549"/>
      <c r="H6864" s="549"/>
      <c r="I6864" s="549"/>
      <c r="J6864" s="549"/>
      <c r="K6864" s="549"/>
      <c r="M6864" s="465"/>
      <c r="N6864" s="201"/>
    </row>
    <row r="6865" spans="2:14" hidden="1" outlineLevel="1" x14ac:dyDescent="0.35">
      <c r="B6865" s="200"/>
      <c r="C6865" s="201"/>
      <c r="D6865" s="201"/>
      <c r="E6865" s="201"/>
      <c r="F6865" s="202"/>
      <c r="G6865" s="549"/>
      <c r="H6865" s="549"/>
      <c r="I6865" s="549"/>
      <c r="J6865" s="549"/>
      <c r="K6865" s="549"/>
      <c r="M6865" s="465"/>
      <c r="N6865" s="201"/>
    </row>
    <row r="6866" spans="2:14" hidden="1" outlineLevel="1" x14ac:dyDescent="0.35">
      <c r="B6866" s="200"/>
      <c r="C6866" s="201"/>
      <c r="D6866" s="201"/>
      <c r="E6866" s="201"/>
      <c r="F6866" s="202"/>
      <c r="G6866" s="549"/>
      <c r="H6866" s="549"/>
      <c r="I6866" s="549"/>
      <c r="J6866" s="549"/>
      <c r="K6866" s="549"/>
      <c r="M6866" s="465"/>
      <c r="N6866" s="201"/>
    </row>
    <row r="6867" spans="2:14" hidden="1" outlineLevel="1" x14ac:dyDescent="0.35">
      <c r="B6867" s="200"/>
      <c r="C6867" s="201"/>
      <c r="D6867" s="201"/>
      <c r="E6867" s="201"/>
      <c r="F6867" s="202"/>
      <c r="G6867" s="549"/>
      <c r="H6867" s="549"/>
      <c r="I6867" s="549"/>
      <c r="J6867" s="549"/>
      <c r="K6867" s="549"/>
      <c r="M6867" s="465"/>
      <c r="N6867" s="201"/>
    </row>
    <row r="6868" spans="2:14" hidden="1" outlineLevel="1" x14ac:dyDescent="0.35">
      <c r="B6868" s="200"/>
      <c r="C6868" s="201"/>
      <c r="D6868" s="201"/>
      <c r="E6868" s="201"/>
      <c r="F6868" s="202"/>
      <c r="G6868" s="549"/>
      <c r="H6868" s="549"/>
      <c r="I6868" s="549"/>
      <c r="J6868" s="549"/>
      <c r="K6868" s="549"/>
      <c r="M6868" s="465"/>
      <c r="N6868" s="201"/>
    </row>
    <row r="6869" spans="2:14" hidden="1" outlineLevel="1" x14ac:dyDescent="0.35">
      <c r="B6869" s="200"/>
      <c r="C6869" s="201"/>
      <c r="D6869" s="201"/>
      <c r="E6869" s="201"/>
      <c r="F6869" s="202"/>
      <c r="G6869" s="549"/>
      <c r="H6869" s="549"/>
      <c r="I6869" s="549"/>
      <c r="J6869" s="549"/>
      <c r="K6869" s="549"/>
      <c r="M6869" s="465"/>
      <c r="N6869" s="201"/>
    </row>
    <row r="6870" spans="2:14" hidden="1" outlineLevel="1" x14ac:dyDescent="0.35">
      <c r="B6870" s="200"/>
      <c r="C6870" s="201"/>
      <c r="D6870" s="201"/>
      <c r="E6870" s="201"/>
      <c r="F6870" s="202"/>
      <c r="G6870" s="549"/>
      <c r="H6870" s="549"/>
      <c r="I6870" s="549"/>
      <c r="J6870" s="549"/>
      <c r="K6870" s="549"/>
      <c r="M6870" s="465"/>
      <c r="N6870" s="201"/>
    </row>
    <row r="6871" spans="2:14" hidden="1" outlineLevel="1" x14ac:dyDescent="0.35">
      <c r="B6871" s="200"/>
      <c r="C6871" s="201"/>
      <c r="D6871" s="201"/>
      <c r="E6871" s="201"/>
      <c r="F6871" s="202"/>
      <c r="G6871" s="549"/>
      <c r="H6871" s="549"/>
      <c r="I6871" s="549"/>
      <c r="J6871" s="549"/>
      <c r="K6871" s="549"/>
      <c r="M6871" s="465"/>
      <c r="N6871" s="201"/>
    </row>
    <row r="6872" spans="2:14" hidden="1" outlineLevel="1" x14ac:dyDescent="0.35">
      <c r="B6872" s="200"/>
      <c r="C6872" s="201"/>
      <c r="D6872" s="201"/>
      <c r="E6872" s="201"/>
      <c r="F6872" s="202"/>
      <c r="G6872" s="549"/>
      <c r="H6872" s="549"/>
      <c r="I6872" s="549"/>
      <c r="J6872" s="549"/>
      <c r="K6872" s="549"/>
      <c r="M6872" s="465"/>
      <c r="N6872" s="201"/>
    </row>
    <row r="6873" spans="2:14" hidden="1" outlineLevel="1" x14ac:dyDescent="0.35">
      <c r="B6873" s="200"/>
      <c r="C6873" s="201"/>
      <c r="D6873" s="201"/>
      <c r="E6873" s="201"/>
      <c r="F6873" s="202"/>
      <c r="G6873" s="549"/>
      <c r="H6873" s="549"/>
      <c r="I6873" s="549"/>
      <c r="J6873" s="549"/>
      <c r="K6873" s="549"/>
      <c r="M6873" s="465"/>
      <c r="N6873" s="201"/>
    </row>
    <row r="6874" spans="2:14" hidden="1" outlineLevel="1" x14ac:dyDescent="0.35">
      <c r="B6874" s="200"/>
      <c r="C6874" s="201"/>
      <c r="D6874" s="201"/>
      <c r="E6874" s="201"/>
      <c r="F6874" s="202"/>
      <c r="G6874" s="549"/>
      <c r="H6874" s="549"/>
      <c r="I6874" s="549"/>
      <c r="J6874" s="549"/>
      <c r="K6874" s="549"/>
      <c r="M6874" s="465"/>
      <c r="N6874" s="201"/>
    </row>
    <row r="6875" spans="2:14" hidden="1" outlineLevel="1" x14ac:dyDescent="0.35">
      <c r="B6875" s="200"/>
      <c r="C6875" s="201"/>
      <c r="D6875" s="201"/>
      <c r="E6875" s="201"/>
      <c r="F6875" s="202"/>
      <c r="G6875" s="549"/>
      <c r="H6875" s="549"/>
      <c r="I6875" s="549"/>
      <c r="J6875" s="549"/>
      <c r="K6875" s="549"/>
      <c r="M6875" s="465"/>
      <c r="N6875" s="201"/>
    </row>
    <row r="6876" spans="2:14" hidden="1" outlineLevel="1" x14ac:dyDescent="0.35">
      <c r="B6876" s="200"/>
      <c r="C6876" s="201"/>
      <c r="D6876" s="201"/>
      <c r="E6876" s="201"/>
      <c r="F6876" s="202"/>
      <c r="G6876" s="549"/>
      <c r="H6876" s="549"/>
      <c r="I6876" s="549"/>
      <c r="J6876" s="549"/>
      <c r="K6876" s="549"/>
      <c r="M6876" s="465"/>
      <c r="N6876" s="201"/>
    </row>
    <row r="6877" spans="2:14" hidden="1" outlineLevel="1" x14ac:dyDescent="0.35">
      <c r="B6877" s="200"/>
      <c r="C6877" s="201"/>
      <c r="D6877" s="201"/>
      <c r="E6877" s="201"/>
      <c r="F6877" s="202"/>
      <c r="G6877" s="549"/>
      <c r="H6877" s="549"/>
      <c r="I6877" s="549"/>
      <c r="J6877" s="549"/>
      <c r="K6877" s="549"/>
      <c r="M6877" s="465"/>
      <c r="N6877" s="201"/>
    </row>
    <row r="6878" spans="2:14" hidden="1" outlineLevel="1" x14ac:dyDescent="0.35">
      <c r="B6878" s="200"/>
      <c r="C6878" s="201"/>
      <c r="D6878" s="201"/>
      <c r="E6878" s="201"/>
      <c r="F6878" s="202"/>
      <c r="G6878" s="549"/>
      <c r="H6878" s="549"/>
      <c r="I6878" s="549"/>
      <c r="J6878" s="549"/>
      <c r="K6878" s="549"/>
      <c r="M6878" s="465"/>
      <c r="N6878" s="201"/>
    </row>
    <row r="6879" spans="2:14" hidden="1" outlineLevel="1" x14ac:dyDescent="0.35">
      <c r="B6879" s="200"/>
      <c r="C6879" s="201"/>
      <c r="D6879" s="201"/>
      <c r="E6879" s="201"/>
      <c r="F6879" s="202"/>
      <c r="G6879" s="549"/>
      <c r="H6879" s="549"/>
      <c r="I6879" s="549"/>
      <c r="J6879" s="549"/>
      <c r="K6879" s="549"/>
      <c r="M6879" s="465"/>
      <c r="N6879" s="201"/>
    </row>
    <row r="6880" spans="2:14" hidden="1" outlineLevel="1" x14ac:dyDescent="0.35">
      <c r="B6880" s="200"/>
      <c r="C6880" s="201"/>
      <c r="D6880" s="201"/>
      <c r="E6880" s="201"/>
      <c r="F6880" s="202"/>
      <c r="G6880" s="549"/>
      <c r="H6880" s="549"/>
      <c r="I6880" s="549"/>
      <c r="J6880" s="549"/>
      <c r="K6880" s="549"/>
      <c r="M6880" s="465"/>
      <c r="N6880" s="201"/>
    </row>
    <row r="6881" spans="2:14" hidden="1" outlineLevel="1" x14ac:dyDescent="0.35">
      <c r="B6881" s="200"/>
      <c r="C6881" s="201"/>
      <c r="D6881" s="201"/>
      <c r="E6881" s="201"/>
      <c r="F6881" s="202"/>
      <c r="G6881" s="549"/>
      <c r="H6881" s="549"/>
      <c r="I6881" s="549"/>
      <c r="J6881" s="549"/>
      <c r="K6881" s="549"/>
      <c r="M6881" s="465"/>
      <c r="N6881" s="201"/>
    </row>
    <row r="6882" spans="2:14" hidden="1" outlineLevel="1" x14ac:dyDescent="0.35">
      <c r="B6882" s="200"/>
      <c r="C6882" s="201"/>
      <c r="D6882" s="201"/>
      <c r="E6882" s="201"/>
      <c r="F6882" s="202"/>
      <c r="G6882" s="549"/>
      <c r="H6882" s="549"/>
      <c r="I6882" s="549"/>
      <c r="J6882" s="549"/>
      <c r="K6882" s="549"/>
      <c r="M6882" s="465"/>
      <c r="N6882" s="201"/>
    </row>
    <row r="6883" spans="2:14" hidden="1" outlineLevel="1" x14ac:dyDescent="0.35">
      <c r="B6883" s="200"/>
      <c r="C6883" s="201"/>
      <c r="D6883" s="201"/>
      <c r="E6883" s="201"/>
      <c r="F6883" s="202"/>
      <c r="G6883" s="549"/>
      <c r="H6883" s="549"/>
      <c r="I6883" s="549"/>
      <c r="J6883" s="549"/>
      <c r="K6883" s="549"/>
      <c r="M6883" s="465"/>
      <c r="N6883" s="201"/>
    </row>
    <row r="6884" spans="2:14" hidden="1" outlineLevel="1" x14ac:dyDescent="0.35">
      <c r="B6884" s="200"/>
      <c r="C6884" s="201"/>
      <c r="D6884" s="201"/>
      <c r="E6884" s="201"/>
      <c r="F6884" s="202"/>
      <c r="G6884" s="549"/>
      <c r="H6884" s="549"/>
      <c r="I6884" s="549"/>
      <c r="J6884" s="549"/>
      <c r="K6884" s="549"/>
      <c r="M6884" s="465"/>
      <c r="N6884" s="201"/>
    </row>
    <row r="6885" spans="2:14" hidden="1" outlineLevel="1" x14ac:dyDescent="0.35">
      <c r="B6885" s="200"/>
      <c r="C6885" s="201"/>
      <c r="D6885" s="201"/>
      <c r="E6885" s="201"/>
      <c r="F6885" s="202"/>
      <c r="G6885" s="549"/>
      <c r="H6885" s="549"/>
      <c r="I6885" s="549"/>
      <c r="J6885" s="549"/>
      <c r="K6885" s="549"/>
      <c r="M6885" s="465"/>
      <c r="N6885" s="201"/>
    </row>
    <row r="6886" spans="2:14" hidden="1" outlineLevel="1" x14ac:dyDescent="0.35">
      <c r="B6886" s="200"/>
      <c r="C6886" s="201"/>
      <c r="D6886" s="201"/>
      <c r="E6886" s="201"/>
      <c r="F6886" s="202"/>
      <c r="G6886" s="549"/>
      <c r="H6886" s="549"/>
      <c r="I6886" s="549"/>
      <c r="J6886" s="549"/>
      <c r="K6886" s="549"/>
      <c r="M6886" s="465"/>
      <c r="N6886" s="201"/>
    </row>
    <row r="6887" spans="2:14" hidden="1" outlineLevel="1" x14ac:dyDescent="0.35">
      <c r="B6887" s="200"/>
      <c r="C6887" s="201"/>
      <c r="D6887" s="201"/>
      <c r="E6887" s="201"/>
      <c r="F6887" s="202"/>
      <c r="G6887" s="549"/>
      <c r="H6887" s="549"/>
      <c r="I6887" s="549"/>
      <c r="J6887" s="549"/>
      <c r="K6887" s="549"/>
      <c r="M6887" s="465"/>
      <c r="N6887" s="201"/>
    </row>
    <row r="6888" spans="2:14" hidden="1" outlineLevel="1" x14ac:dyDescent="0.35">
      <c r="B6888" s="200"/>
      <c r="C6888" s="201"/>
      <c r="D6888" s="201"/>
      <c r="E6888" s="201"/>
      <c r="F6888" s="202"/>
      <c r="G6888" s="549"/>
      <c r="H6888" s="549"/>
      <c r="I6888" s="549"/>
      <c r="J6888" s="549"/>
      <c r="K6888" s="549"/>
      <c r="M6888" s="465"/>
      <c r="N6888" s="201"/>
    </row>
    <row r="6889" spans="2:14" hidden="1" outlineLevel="1" x14ac:dyDescent="0.35">
      <c r="B6889" s="200"/>
      <c r="C6889" s="201"/>
      <c r="D6889" s="201"/>
      <c r="E6889" s="201"/>
      <c r="F6889" s="202"/>
      <c r="G6889" s="549"/>
      <c r="H6889" s="549"/>
      <c r="I6889" s="549"/>
      <c r="J6889" s="549"/>
      <c r="K6889" s="549"/>
      <c r="M6889" s="465"/>
      <c r="N6889" s="201"/>
    </row>
    <row r="6890" spans="2:14" hidden="1" outlineLevel="1" x14ac:dyDescent="0.35">
      <c r="B6890" s="200"/>
      <c r="C6890" s="201"/>
      <c r="D6890" s="201"/>
      <c r="E6890" s="201"/>
      <c r="F6890" s="202"/>
      <c r="G6890" s="549"/>
      <c r="H6890" s="549"/>
      <c r="I6890" s="549"/>
      <c r="J6890" s="549"/>
      <c r="K6890" s="549"/>
      <c r="M6890" s="465"/>
      <c r="N6890" s="201"/>
    </row>
    <row r="6891" spans="2:14" hidden="1" outlineLevel="1" x14ac:dyDescent="0.35">
      <c r="B6891" s="200"/>
      <c r="C6891" s="201"/>
      <c r="D6891" s="201"/>
      <c r="E6891" s="201"/>
      <c r="F6891" s="202"/>
      <c r="G6891" s="549"/>
      <c r="H6891" s="549"/>
      <c r="I6891" s="549"/>
      <c r="J6891" s="549"/>
      <c r="K6891" s="549"/>
      <c r="M6891" s="465"/>
      <c r="N6891" s="201"/>
    </row>
    <row r="6892" spans="2:14" hidden="1" outlineLevel="1" x14ac:dyDescent="0.35">
      <c r="B6892" s="200"/>
      <c r="C6892" s="201"/>
      <c r="D6892" s="201"/>
      <c r="E6892" s="201"/>
      <c r="F6892" s="202"/>
      <c r="G6892" s="549"/>
      <c r="H6892" s="549"/>
      <c r="I6892" s="549"/>
      <c r="J6892" s="549"/>
      <c r="K6892" s="549"/>
      <c r="M6892" s="465"/>
      <c r="N6892" s="201"/>
    </row>
    <row r="6893" spans="2:14" hidden="1" outlineLevel="1" x14ac:dyDescent="0.35">
      <c r="B6893" s="200"/>
      <c r="C6893" s="201"/>
      <c r="D6893" s="201"/>
      <c r="E6893" s="201"/>
      <c r="F6893" s="202"/>
      <c r="G6893" s="549"/>
      <c r="H6893" s="549"/>
      <c r="I6893" s="549"/>
      <c r="J6893" s="549"/>
      <c r="K6893" s="549"/>
      <c r="M6893" s="465"/>
      <c r="N6893" s="201"/>
    </row>
    <row r="6894" spans="2:14" hidden="1" outlineLevel="1" x14ac:dyDescent="0.35">
      <c r="B6894" s="200"/>
      <c r="C6894" s="201"/>
      <c r="D6894" s="201"/>
      <c r="E6894" s="201"/>
      <c r="F6894" s="202"/>
      <c r="G6894" s="549"/>
      <c r="H6894" s="549"/>
      <c r="I6894" s="549"/>
      <c r="J6894" s="549"/>
      <c r="K6894" s="549"/>
      <c r="M6894" s="465"/>
      <c r="N6894" s="201"/>
    </row>
    <row r="6895" spans="2:14" hidden="1" outlineLevel="1" x14ac:dyDescent="0.35">
      <c r="B6895" s="200"/>
      <c r="C6895" s="201"/>
      <c r="D6895" s="201"/>
      <c r="E6895" s="201"/>
      <c r="F6895" s="202"/>
      <c r="G6895" s="549"/>
      <c r="H6895" s="549"/>
      <c r="I6895" s="549"/>
      <c r="J6895" s="549"/>
      <c r="K6895" s="549"/>
      <c r="M6895" s="465"/>
      <c r="N6895" s="201"/>
    </row>
    <row r="6896" spans="2:14" hidden="1" outlineLevel="1" x14ac:dyDescent="0.35">
      <c r="B6896" s="200"/>
      <c r="C6896" s="201"/>
      <c r="D6896" s="201"/>
      <c r="E6896" s="201"/>
      <c r="F6896" s="202"/>
      <c r="G6896" s="549"/>
      <c r="H6896" s="549"/>
      <c r="I6896" s="549"/>
      <c r="J6896" s="549"/>
      <c r="K6896" s="549"/>
      <c r="M6896" s="465"/>
      <c r="N6896" s="201"/>
    </row>
    <row r="6897" spans="2:14" hidden="1" outlineLevel="1" x14ac:dyDescent="0.35">
      <c r="B6897" s="200"/>
      <c r="C6897" s="201"/>
      <c r="D6897" s="201"/>
      <c r="E6897" s="201"/>
      <c r="F6897" s="202"/>
      <c r="G6897" s="549"/>
      <c r="H6897" s="549"/>
      <c r="I6897" s="549"/>
      <c r="J6897" s="549"/>
      <c r="K6897" s="549"/>
      <c r="M6897" s="465"/>
      <c r="N6897" s="201"/>
    </row>
    <row r="6898" spans="2:14" hidden="1" outlineLevel="1" x14ac:dyDescent="0.35">
      <c r="B6898" s="200"/>
      <c r="C6898" s="201"/>
      <c r="D6898" s="201"/>
      <c r="E6898" s="201"/>
      <c r="F6898" s="202"/>
      <c r="G6898" s="549"/>
      <c r="H6898" s="549"/>
      <c r="I6898" s="549"/>
      <c r="J6898" s="549"/>
      <c r="K6898" s="549"/>
      <c r="M6898" s="465"/>
      <c r="N6898" s="201"/>
    </row>
    <row r="6899" spans="2:14" hidden="1" outlineLevel="1" x14ac:dyDescent="0.35">
      <c r="B6899" s="200"/>
      <c r="C6899" s="201"/>
      <c r="D6899" s="201"/>
      <c r="E6899" s="201"/>
      <c r="F6899" s="202"/>
      <c r="G6899" s="549"/>
      <c r="H6899" s="549"/>
      <c r="I6899" s="549"/>
      <c r="J6899" s="549"/>
      <c r="K6899" s="549"/>
      <c r="M6899" s="465"/>
      <c r="N6899" s="201"/>
    </row>
    <row r="6900" spans="2:14" hidden="1" outlineLevel="1" x14ac:dyDescent="0.35">
      <c r="B6900" s="200"/>
      <c r="C6900" s="201"/>
      <c r="D6900" s="201"/>
      <c r="E6900" s="201"/>
      <c r="F6900" s="202"/>
      <c r="G6900" s="549"/>
      <c r="H6900" s="549"/>
      <c r="I6900" s="549"/>
      <c r="J6900" s="549"/>
      <c r="K6900" s="549"/>
      <c r="M6900" s="465"/>
      <c r="N6900" s="201"/>
    </row>
    <row r="6901" spans="2:14" hidden="1" outlineLevel="1" x14ac:dyDescent="0.35">
      <c r="B6901" s="200"/>
      <c r="C6901" s="201"/>
      <c r="D6901" s="201"/>
      <c r="E6901" s="201"/>
      <c r="F6901" s="202"/>
      <c r="G6901" s="549"/>
      <c r="H6901" s="549"/>
      <c r="I6901" s="549"/>
      <c r="J6901" s="549"/>
      <c r="K6901" s="549"/>
      <c r="M6901" s="465"/>
      <c r="N6901" s="201"/>
    </row>
    <row r="6902" spans="2:14" hidden="1" outlineLevel="1" x14ac:dyDescent="0.35">
      <c r="B6902" s="200"/>
      <c r="C6902" s="201"/>
      <c r="D6902" s="201"/>
      <c r="E6902" s="201"/>
      <c r="F6902" s="202"/>
      <c r="G6902" s="549"/>
      <c r="H6902" s="549"/>
      <c r="I6902" s="549"/>
      <c r="J6902" s="549"/>
      <c r="K6902" s="549"/>
      <c r="M6902" s="465"/>
      <c r="N6902" s="201"/>
    </row>
    <row r="6903" spans="2:14" hidden="1" outlineLevel="1" x14ac:dyDescent="0.35">
      <c r="B6903" s="200"/>
      <c r="C6903" s="201"/>
      <c r="D6903" s="201"/>
      <c r="E6903" s="201"/>
      <c r="F6903" s="202"/>
      <c r="G6903" s="549"/>
      <c r="H6903" s="549"/>
      <c r="I6903" s="549"/>
      <c r="J6903" s="549"/>
      <c r="K6903" s="549"/>
      <c r="M6903" s="465"/>
      <c r="N6903" s="201"/>
    </row>
    <row r="6904" spans="2:14" hidden="1" outlineLevel="1" x14ac:dyDescent="0.35">
      <c r="B6904" s="200"/>
      <c r="C6904" s="201"/>
      <c r="D6904" s="201"/>
      <c r="E6904" s="201"/>
      <c r="F6904" s="202"/>
      <c r="G6904" s="549"/>
      <c r="H6904" s="549"/>
      <c r="I6904" s="549"/>
      <c r="J6904" s="549"/>
      <c r="K6904" s="549"/>
      <c r="M6904" s="465"/>
      <c r="N6904" s="201"/>
    </row>
    <row r="6905" spans="2:14" hidden="1" outlineLevel="1" x14ac:dyDescent="0.35">
      <c r="B6905" s="200"/>
      <c r="C6905" s="201"/>
      <c r="D6905" s="201"/>
      <c r="E6905" s="201"/>
      <c r="F6905" s="202"/>
      <c r="G6905" s="549"/>
      <c r="H6905" s="549"/>
      <c r="I6905" s="549"/>
      <c r="J6905" s="549"/>
      <c r="K6905" s="549"/>
      <c r="M6905" s="465"/>
      <c r="N6905" s="201"/>
    </row>
    <row r="6906" spans="2:14" hidden="1" outlineLevel="1" x14ac:dyDescent="0.35">
      <c r="B6906" s="200"/>
      <c r="C6906" s="201"/>
      <c r="D6906" s="201"/>
      <c r="E6906" s="201"/>
      <c r="F6906" s="202"/>
      <c r="G6906" s="549"/>
      <c r="H6906" s="549"/>
      <c r="I6906" s="549"/>
      <c r="J6906" s="549"/>
      <c r="K6906" s="549"/>
      <c r="M6906" s="465"/>
      <c r="N6906" s="201"/>
    </row>
    <row r="6907" spans="2:14" hidden="1" outlineLevel="1" x14ac:dyDescent="0.35">
      <c r="B6907" s="200"/>
      <c r="C6907" s="201"/>
      <c r="D6907" s="201"/>
      <c r="E6907" s="201"/>
      <c r="F6907" s="202"/>
      <c r="G6907" s="549"/>
      <c r="H6907" s="549"/>
      <c r="I6907" s="549"/>
      <c r="J6907" s="549"/>
      <c r="K6907" s="549"/>
      <c r="M6907" s="465"/>
      <c r="N6907" s="201"/>
    </row>
    <row r="6908" spans="2:14" hidden="1" outlineLevel="1" x14ac:dyDescent="0.35">
      <c r="B6908" s="200"/>
      <c r="C6908" s="201"/>
      <c r="D6908" s="201"/>
      <c r="E6908" s="201"/>
      <c r="F6908" s="202"/>
      <c r="G6908" s="549"/>
      <c r="H6908" s="549"/>
      <c r="I6908" s="549"/>
      <c r="J6908" s="549"/>
      <c r="K6908" s="549"/>
      <c r="M6908" s="465"/>
      <c r="N6908" s="201"/>
    </row>
    <row r="6909" spans="2:14" hidden="1" outlineLevel="1" x14ac:dyDescent="0.35">
      <c r="B6909" s="200"/>
      <c r="C6909" s="201"/>
      <c r="D6909" s="201"/>
      <c r="E6909" s="201"/>
      <c r="F6909" s="202"/>
      <c r="G6909" s="549"/>
      <c r="H6909" s="549"/>
      <c r="I6909" s="549"/>
      <c r="J6909" s="549"/>
      <c r="K6909" s="549"/>
      <c r="M6909" s="465"/>
      <c r="N6909" s="201"/>
    </row>
    <row r="6910" spans="2:14" hidden="1" outlineLevel="1" x14ac:dyDescent="0.35">
      <c r="B6910" s="200"/>
      <c r="C6910" s="201"/>
      <c r="D6910" s="201"/>
      <c r="E6910" s="201"/>
      <c r="F6910" s="202"/>
      <c r="G6910" s="549"/>
      <c r="H6910" s="549"/>
      <c r="I6910" s="549"/>
      <c r="J6910" s="549"/>
      <c r="K6910" s="549"/>
      <c r="M6910" s="465"/>
      <c r="N6910" s="201"/>
    </row>
    <row r="6911" spans="2:14" hidden="1" outlineLevel="1" x14ac:dyDescent="0.35">
      <c r="B6911" s="200"/>
      <c r="C6911" s="201"/>
      <c r="D6911" s="201"/>
      <c r="E6911" s="201"/>
      <c r="F6911" s="202"/>
      <c r="G6911" s="549"/>
      <c r="H6911" s="549"/>
      <c r="I6911" s="549"/>
      <c r="J6911" s="549"/>
      <c r="K6911" s="549"/>
      <c r="M6911" s="465"/>
      <c r="N6911" s="201"/>
    </row>
    <row r="6912" spans="2:14" hidden="1" outlineLevel="1" x14ac:dyDescent="0.35">
      <c r="B6912" s="200"/>
      <c r="C6912" s="201"/>
      <c r="D6912" s="201"/>
      <c r="E6912" s="201"/>
      <c r="F6912" s="202"/>
      <c r="G6912" s="549"/>
      <c r="H6912" s="549"/>
      <c r="I6912" s="549"/>
      <c r="J6912" s="549"/>
      <c r="K6912" s="549"/>
      <c r="M6912" s="465"/>
      <c r="N6912" s="201"/>
    </row>
    <row r="6913" spans="2:14" hidden="1" outlineLevel="1" x14ac:dyDescent="0.35">
      <c r="B6913" s="200"/>
      <c r="C6913" s="201"/>
      <c r="D6913" s="201"/>
      <c r="E6913" s="201"/>
      <c r="F6913" s="202"/>
      <c r="G6913" s="549"/>
      <c r="H6913" s="549"/>
      <c r="I6913" s="549"/>
      <c r="J6913" s="549"/>
      <c r="K6913" s="549"/>
      <c r="M6913" s="465"/>
      <c r="N6913" s="201"/>
    </row>
    <row r="6914" spans="2:14" hidden="1" outlineLevel="1" x14ac:dyDescent="0.35">
      <c r="B6914" s="200"/>
      <c r="C6914" s="201"/>
      <c r="D6914" s="201"/>
      <c r="E6914" s="201"/>
      <c r="F6914" s="202"/>
      <c r="G6914" s="549"/>
      <c r="H6914" s="549"/>
      <c r="I6914" s="549"/>
      <c r="J6914" s="549"/>
      <c r="K6914" s="549"/>
      <c r="M6914" s="465"/>
      <c r="N6914" s="201"/>
    </row>
    <row r="6915" spans="2:14" hidden="1" outlineLevel="1" x14ac:dyDescent="0.35">
      <c r="B6915" s="200"/>
      <c r="C6915" s="201"/>
      <c r="D6915" s="201"/>
      <c r="E6915" s="201"/>
      <c r="F6915" s="202"/>
      <c r="G6915" s="549"/>
      <c r="H6915" s="549"/>
      <c r="I6915" s="549"/>
      <c r="J6915" s="549"/>
      <c r="K6915" s="549"/>
      <c r="M6915" s="465"/>
      <c r="N6915" s="201"/>
    </row>
    <row r="6916" spans="2:14" hidden="1" outlineLevel="1" x14ac:dyDescent="0.35">
      <c r="B6916" s="200"/>
      <c r="C6916" s="201"/>
      <c r="D6916" s="201"/>
      <c r="E6916" s="201"/>
      <c r="F6916" s="202"/>
      <c r="G6916" s="549"/>
      <c r="H6916" s="549"/>
      <c r="I6916" s="549"/>
      <c r="J6916" s="549"/>
      <c r="K6916" s="549"/>
      <c r="M6916" s="465"/>
      <c r="N6916" s="201"/>
    </row>
    <row r="6917" spans="2:14" hidden="1" outlineLevel="1" x14ac:dyDescent="0.35">
      <c r="B6917" s="200"/>
      <c r="C6917" s="201"/>
      <c r="D6917" s="201"/>
      <c r="E6917" s="201"/>
      <c r="F6917" s="202"/>
      <c r="G6917" s="549"/>
      <c r="H6917" s="549"/>
      <c r="I6917" s="549"/>
      <c r="J6917" s="549"/>
      <c r="K6917" s="549"/>
      <c r="M6917" s="465"/>
      <c r="N6917" s="201"/>
    </row>
    <row r="6918" spans="2:14" hidden="1" outlineLevel="1" x14ac:dyDescent="0.35">
      <c r="B6918" s="200"/>
      <c r="C6918" s="201"/>
      <c r="D6918" s="201"/>
      <c r="E6918" s="201"/>
      <c r="F6918" s="202"/>
      <c r="G6918" s="549"/>
      <c r="H6918" s="549"/>
      <c r="I6918" s="549"/>
      <c r="J6918" s="549"/>
      <c r="K6918" s="549"/>
      <c r="M6918" s="465"/>
      <c r="N6918" s="201"/>
    </row>
    <row r="6919" spans="2:14" hidden="1" outlineLevel="1" x14ac:dyDescent="0.35">
      <c r="B6919" s="200"/>
      <c r="C6919" s="201"/>
      <c r="D6919" s="201"/>
      <c r="E6919" s="201"/>
      <c r="F6919" s="202"/>
      <c r="G6919" s="549"/>
      <c r="H6919" s="549"/>
      <c r="I6919" s="549"/>
      <c r="J6919" s="549"/>
      <c r="K6919" s="549"/>
      <c r="M6919" s="465"/>
      <c r="N6919" s="201"/>
    </row>
    <row r="6920" spans="2:14" hidden="1" outlineLevel="1" x14ac:dyDescent="0.35">
      <c r="B6920" s="200"/>
      <c r="C6920" s="201"/>
      <c r="D6920" s="201"/>
      <c r="E6920" s="201"/>
      <c r="F6920" s="202"/>
      <c r="G6920" s="549"/>
      <c r="H6920" s="549"/>
      <c r="I6920" s="549"/>
      <c r="J6920" s="549"/>
      <c r="K6920" s="549"/>
      <c r="M6920" s="465"/>
      <c r="N6920" s="201"/>
    </row>
    <row r="6921" spans="2:14" hidden="1" outlineLevel="1" x14ac:dyDescent="0.35">
      <c r="B6921" s="200"/>
      <c r="C6921" s="201"/>
      <c r="D6921" s="201"/>
      <c r="E6921" s="201"/>
      <c r="F6921" s="202"/>
      <c r="G6921" s="549"/>
      <c r="H6921" s="549"/>
      <c r="I6921" s="549"/>
      <c r="J6921" s="549"/>
      <c r="K6921" s="549"/>
      <c r="M6921" s="465"/>
      <c r="N6921" s="201"/>
    </row>
    <row r="6922" spans="2:14" hidden="1" outlineLevel="1" x14ac:dyDescent="0.35">
      <c r="B6922" s="200"/>
      <c r="C6922" s="201"/>
      <c r="D6922" s="201"/>
      <c r="E6922" s="201"/>
      <c r="F6922" s="202"/>
      <c r="G6922" s="549"/>
      <c r="H6922" s="549"/>
      <c r="I6922" s="549"/>
      <c r="J6922" s="549"/>
      <c r="K6922" s="549"/>
      <c r="M6922" s="465"/>
      <c r="N6922" s="201"/>
    </row>
    <row r="6923" spans="2:14" hidden="1" outlineLevel="1" x14ac:dyDescent="0.35">
      <c r="B6923" s="200"/>
      <c r="C6923" s="201"/>
      <c r="D6923" s="201"/>
      <c r="E6923" s="201"/>
      <c r="F6923" s="202"/>
      <c r="G6923" s="549"/>
      <c r="H6923" s="549"/>
      <c r="I6923" s="549"/>
      <c r="J6923" s="549"/>
      <c r="K6923" s="549"/>
      <c r="M6923" s="465"/>
      <c r="N6923" s="201"/>
    </row>
    <row r="6924" spans="2:14" hidden="1" outlineLevel="1" x14ac:dyDescent="0.35">
      <c r="B6924" s="200"/>
      <c r="C6924" s="201"/>
      <c r="D6924" s="201"/>
      <c r="E6924" s="201"/>
      <c r="F6924" s="202"/>
      <c r="G6924" s="549"/>
      <c r="H6924" s="549"/>
      <c r="I6924" s="549"/>
      <c r="J6924" s="549"/>
      <c r="K6924" s="549"/>
      <c r="M6924" s="465"/>
      <c r="N6924" s="201"/>
    </row>
    <row r="6925" spans="2:14" hidden="1" outlineLevel="1" x14ac:dyDescent="0.35">
      <c r="B6925" s="200"/>
      <c r="C6925" s="201"/>
      <c r="D6925" s="201"/>
      <c r="E6925" s="201"/>
      <c r="F6925" s="202"/>
      <c r="G6925" s="549"/>
      <c r="H6925" s="549"/>
      <c r="I6925" s="549"/>
      <c r="J6925" s="549"/>
      <c r="K6925" s="549"/>
      <c r="M6925" s="465"/>
      <c r="N6925" s="201"/>
    </row>
    <row r="6926" spans="2:14" hidden="1" outlineLevel="1" x14ac:dyDescent="0.35">
      <c r="B6926" s="200"/>
      <c r="C6926" s="201"/>
      <c r="D6926" s="201"/>
      <c r="E6926" s="201"/>
      <c r="F6926" s="202"/>
      <c r="G6926" s="549"/>
      <c r="H6926" s="549"/>
      <c r="I6926" s="549"/>
      <c r="J6926" s="549"/>
      <c r="K6926" s="549"/>
      <c r="M6926" s="465"/>
      <c r="N6926" s="201"/>
    </row>
    <row r="6927" spans="2:14" hidden="1" outlineLevel="1" x14ac:dyDescent="0.35">
      <c r="B6927" s="200"/>
      <c r="C6927" s="201"/>
      <c r="D6927" s="201"/>
      <c r="E6927" s="201"/>
      <c r="F6927" s="202"/>
      <c r="G6927" s="549"/>
      <c r="H6927" s="549"/>
      <c r="I6927" s="549"/>
      <c r="J6927" s="549"/>
      <c r="K6927" s="549"/>
      <c r="M6927" s="465"/>
      <c r="N6927" s="201"/>
    </row>
    <row r="6928" spans="2:14" hidden="1" outlineLevel="1" x14ac:dyDescent="0.35">
      <c r="B6928" s="200"/>
      <c r="C6928" s="201"/>
      <c r="D6928" s="201"/>
      <c r="E6928" s="201"/>
      <c r="F6928" s="202"/>
      <c r="G6928" s="549"/>
      <c r="H6928" s="549"/>
      <c r="I6928" s="549"/>
      <c r="J6928" s="549"/>
      <c r="K6928" s="549"/>
      <c r="M6928" s="465"/>
      <c r="N6928" s="201"/>
    </row>
    <row r="6929" spans="2:14" hidden="1" outlineLevel="1" x14ac:dyDescent="0.35">
      <c r="B6929" s="200"/>
      <c r="C6929" s="201"/>
      <c r="D6929" s="201"/>
      <c r="E6929" s="201"/>
      <c r="F6929" s="202"/>
      <c r="G6929" s="549"/>
      <c r="H6929" s="549"/>
      <c r="I6929" s="549"/>
      <c r="J6929" s="549"/>
      <c r="K6929" s="549"/>
      <c r="M6929" s="465"/>
      <c r="N6929" s="201"/>
    </row>
    <row r="6930" spans="2:14" hidden="1" outlineLevel="1" x14ac:dyDescent="0.35">
      <c r="B6930" s="200"/>
      <c r="C6930" s="201"/>
      <c r="D6930" s="201"/>
      <c r="E6930" s="201"/>
      <c r="F6930" s="202"/>
      <c r="G6930" s="549"/>
      <c r="H6930" s="549"/>
      <c r="I6930" s="549"/>
      <c r="J6930" s="549"/>
      <c r="K6930" s="549"/>
      <c r="M6930" s="465"/>
      <c r="N6930" s="201"/>
    </row>
    <row r="6931" spans="2:14" hidden="1" outlineLevel="1" x14ac:dyDescent="0.35">
      <c r="B6931" s="200"/>
      <c r="C6931" s="201"/>
      <c r="D6931" s="201"/>
      <c r="E6931" s="201"/>
      <c r="F6931" s="202"/>
      <c r="G6931" s="549"/>
      <c r="H6931" s="549"/>
      <c r="I6931" s="549"/>
      <c r="J6931" s="549"/>
      <c r="K6931" s="549"/>
      <c r="M6931" s="465"/>
      <c r="N6931" s="201"/>
    </row>
    <row r="6932" spans="2:14" hidden="1" outlineLevel="1" x14ac:dyDescent="0.35">
      <c r="B6932" s="200"/>
      <c r="C6932" s="201"/>
      <c r="D6932" s="201"/>
      <c r="E6932" s="201"/>
      <c r="F6932" s="202"/>
      <c r="G6932" s="549"/>
      <c r="H6932" s="549"/>
      <c r="I6932" s="549"/>
      <c r="J6932" s="549"/>
      <c r="K6932" s="549"/>
      <c r="M6932" s="465"/>
      <c r="N6932" s="201"/>
    </row>
    <row r="6933" spans="2:14" hidden="1" outlineLevel="1" x14ac:dyDescent="0.35">
      <c r="B6933" s="200"/>
      <c r="C6933" s="201"/>
      <c r="D6933" s="201"/>
      <c r="E6933" s="201"/>
      <c r="F6933" s="202"/>
      <c r="G6933" s="549"/>
      <c r="H6933" s="549"/>
      <c r="I6933" s="549"/>
      <c r="J6933" s="549"/>
      <c r="K6933" s="549"/>
      <c r="M6933" s="465"/>
      <c r="N6933" s="201"/>
    </row>
    <row r="6934" spans="2:14" hidden="1" outlineLevel="1" x14ac:dyDescent="0.35">
      <c r="B6934" s="200"/>
      <c r="C6934" s="201"/>
      <c r="D6934" s="201"/>
      <c r="E6934" s="201"/>
      <c r="F6934" s="202"/>
      <c r="G6934" s="549"/>
      <c r="H6934" s="549"/>
      <c r="I6934" s="549"/>
      <c r="J6934" s="549"/>
      <c r="K6934" s="549"/>
      <c r="M6934" s="465"/>
      <c r="N6934" s="201"/>
    </row>
    <row r="6935" spans="2:14" hidden="1" outlineLevel="1" x14ac:dyDescent="0.35">
      <c r="B6935" s="200"/>
      <c r="C6935" s="201"/>
      <c r="D6935" s="201"/>
      <c r="E6935" s="201"/>
      <c r="F6935" s="202"/>
      <c r="G6935" s="549"/>
      <c r="H6935" s="549"/>
      <c r="I6935" s="549"/>
      <c r="J6935" s="549"/>
      <c r="K6935" s="549"/>
      <c r="M6935" s="465"/>
      <c r="N6935" s="201"/>
    </row>
    <row r="6936" spans="2:14" hidden="1" outlineLevel="1" x14ac:dyDescent="0.35">
      <c r="B6936" s="200"/>
      <c r="C6936" s="201"/>
      <c r="D6936" s="201"/>
      <c r="E6936" s="201"/>
      <c r="F6936" s="202"/>
      <c r="G6936" s="549"/>
      <c r="H6936" s="549"/>
      <c r="I6936" s="549"/>
      <c r="J6936" s="549"/>
      <c r="K6936" s="549"/>
      <c r="M6936" s="465"/>
      <c r="N6936" s="201"/>
    </row>
    <row r="6937" spans="2:14" hidden="1" outlineLevel="1" x14ac:dyDescent="0.35">
      <c r="B6937" s="200"/>
      <c r="C6937" s="201"/>
      <c r="D6937" s="201"/>
      <c r="E6937" s="201"/>
      <c r="F6937" s="202"/>
      <c r="G6937" s="549"/>
      <c r="H6937" s="549"/>
      <c r="I6937" s="549"/>
      <c r="J6937" s="549"/>
      <c r="K6937" s="549"/>
      <c r="M6937" s="465"/>
      <c r="N6937" s="201"/>
    </row>
    <row r="6938" spans="2:14" hidden="1" outlineLevel="1" x14ac:dyDescent="0.35">
      <c r="B6938" s="200"/>
      <c r="C6938" s="201"/>
      <c r="D6938" s="201"/>
      <c r="E6938" s="201"/>
      <c r="F6938" s="202"/>
      <c r="G6938" s="549"/>
      <c r="H6938" s="549"/>
      <c r="I6938" s="549"/>
      <c r="J6938" s="549"/>
      <c r="K6938" s="549"/>
      <c r="M6938" s="465"/>
      <c r="N6938" s="201"/>
    </row>
    <row r="6939" spans="2:14" hidden="1" outlineLevel="1" x14ac:dyDescent="0.35">
      <c r="B6939" s="200"/>
      <c r="C6939" s="201"/>
      <c r="D6939" s="201"/>
      <c r="E6939" s="201"/>
      <c r="F6939" s="202"/>
      <c r="G6939" s="549"/>
      <c r="H6939" s="549"/>
      <c r="I6939" s="549"/>
      <c r="J6939" s="549"/>
      <c r="K6939" s="549"/>
      <c r="M6939" s="465"/>
      <c r="N6939" s="201"/>
    </row>
    <row r="6940" spans="2:14" hidden="1" outlineLevel="1" x14ac:dyDescent="0.35">
      <c r="B6940" s="200"/>
      <c r="C6940" s="201"/>
      <c r="D6940" s="201"/>
      <c r="E6940" s="201"/>
      <c r="F6940" s="202"/>
      <c r="G6940" s="549"/>
      <c r="H6940" s="549"/>
      <c r="I6940" s="549"/>
      <c r="J6940" s="549"/>
      <c r="K6940" s="549"/>
      <c r="M6940" s="465"/>
      <c r="N6940" s="201"/>
    </row>
    <row r="6941" spans="2:14" hidden="1" outlineLevel="1" x14ac:dyDescent="0.35">
      <c r="B6941" s="200"/>
      <c r="C6941" s="201"/>
      <c r="D6941" s="201"/>
      <c r="E6941" s="201"/>
      <c r="F6941" s="202"/>
      <c r="G6941" s="549"/>
      <c r="H6941" s="549"/>
      <c r="I6941" s="549"/>
      <c r="J6941" s="549"/>
      <c r="K6941" s="549"/>
      <c r="M6941" s="465"/>
      <c r="N6941" s="201"/>
    </row>
    <row r="6942" spans="2:14" hidden="1" outlineLevel="1" x14ac:dyDescent="0.35">
      <c r="B6942" s="200"/>
      <c r="C6942" s="201"/>
      <c r="D6942" s="201"/>
      <c r="E6942" s="201"/>
      <c r="F6942" s="202"/>
      <c r="G6942" s="549"/>
      <c r="H6942" s="549"/>
      <c r="I6942" s="549"/>
      <c r="J6942" s="549"/>
      <c r="K6942" s="549"/>
      <c r="M6942" s="465"/>
      <c r="N6942" s="201"/>
    </row>
    <row r="6943" spans="2:14" hidden="1" outlineLevel="1" x14ac:dyDescent="0.35">
      <c r="B6943" s="200"/>
      <c r="C6943" s="201"/>
      <c r="D6943" s="201"/>
      <c r="E6943" s="201"/>
      <c r="F6943" s="202"/>
      <c r="G6943" s="549"/>
      <c r="H6943" s="549"/>
      <c r="I6943" s="549"/>
      <c r="J6943" s="549"/>
      <c r="K6943" s="549"/>
      <c r="M6943" s="465"/>
      <c r="N6943" s="201"/>
    </row>
    <row r="6944" spans="2:14" hidden="1" outlineLevel="1" x14ac:dyDescent="0.35">
      <c r="B6944" s="200"/>
      <c r="C6944" s="201"/>
      <c r="D6944" s="201"/>
      <c r="E6944" s="201"/>
      <c r="F6944" s="202"/>
      <c r="G6944" s="549"/>
      <c r="H6944" s="549"/>
      <c r="I6944" s="549"/>
      <c r="J6944" s="549"/>
      <c r="K6944" s="549"/>
      <c r="M6944" s="465"/>
      <c r="N6944" s="201"/>
    </row>
    <row r="6945" spans="2:14" hidden="1" outlineLevel="1" x14ac:dyDescent="0.35">
      <c r="B6945" s="200"/>
      <c r="C6945" s="201"/>
      <c r="D6945" s="201"/>
      <c r="E6945" s="201"/>
      <c r="F6945" s="202"/>
      <c r="G6945" s="549"/>
      <c r="H6945" s="549"/>
      <c r="I6945" s="549"/>
      <c r="J6945" s="549"/>
      <c r="K6945" s="549"/>
      <c r="M6945" s="465"/>
      <c r="N6945" s="201"/>
    </row>
    <row r="6946" spans="2:14" hidden="1" outlineLevel="1" x14ac:dyDescent="0.35">
      <c r="B6946" s="200"/>
      <c r="C6946" s="201"/>
      <c r="D6946" s="201"/>
      <c r="E6946" s="201"/>
      <c r="F6946" s="202"/>
      <c r="G6946" s="549"/>
      <c r="H6946" s="549"/>
      <c r="I6946" s="549"/>
      <c r="J6946" s="549"/>
      <c r="K6946" s="549"/>
      <c r="M6946" s="465"/>
      <c r="N6946" s="201"/>
    </row>
    <row r="6947" spans="2:14" hidden="1" outlineLevel="1" x14ac:dyDescent="0.35">
      <c r="B6947" s="200"/>
      <c r="C6947" s="201"/>
      <c r="D6947" s="201"/>
      <c r="E6947" s="201"/>
      <c r="F6947" s="202"/>
      <c r="G6947" s="549"/>
      <c r="H6947" s="549"/>
      <c r="I6947" s="549"/>
      <c r="J6947" s="549"/>
      <c r="K6947" s="549"/>
      <c r="M6947" s="465"/>
      <c r="N6947" s="201"/>
    </row>
    <row r="6948" spans="2:14" hidden="1" outlineLevel="1" x14ac:dyDescent="0.35">
      <c r="B6948" s="200"/>
      <c r="C6948" s="201"/>
      <c r="D6948" s="201"/>
      <c r="E6948" s="201"/>
      <c r="F6948" s="202"/>
      <c r="G6948" s="549"/>
      <c r="H6948" s="549"/>
      <c r="I6948" s="549"/>
      <c r="J6948" s="549"/>
      <c r="K6948" s="549"/>
      <c r="M6948" s="465"/>
      <c r="N6948" s="201"/>
    </row>
    <row r="6949" spans="2:14" hidden="1" outlineLevel="1" x14ac:dyDescent="0.35">
      <c r="B6949" s="200"/>
      <c r="C6949" s="201"/>
      <c r="D6949" s="201"/>
      <c r="E6949" s="201"/>
      <c r="F6949" s="202"/>
      <c r="G6949" s="549"/>
      <c r="H6949" s="549"/>
      <c r="I6949" s="549"/>
      <c r="J6949" s="549"/>
      <c r="K6949" s="549"/>
      <c r="M6949" s="465"/>
      <c r="N6949" s="201"/>
    </row>
    <row r="6950" spans="2:14" hidden="1" outlineLevel="1" x14ac:dyDescent="0.35">
      <c r="B6950" s="200"/>
      <c r="C6950" s="201"/>
      <c r="D6950" s="201"/>
      <c r="E6950" s="201"/>
      <c r="F6950" s="202"/>
      <c r="G6950" s="549"/>
      <c r="H6950" s="549"/>
      <c r="I6950" s="549"/>
      <c r="J6950" s="549"/>
      <c r="K6950" s="549"/>
      <c r="M6950" s="465"/>
      <c r="N6950" s="201"/>
    </row>
    <row r="6951" spans="2:14" hidden="1" outlineLevel="1" x14ac:dyDescent="0.35">
      <c r="B6951" s="200"/>
      <c r="C6951" s="201"/>
      <c r="D6951" s="201"/>
      <c r="E6951" s="201"/>
      <c r="F6951" s="202"/>
      <c r="G6951" s="549"/>
      <c r="H6951" s="549"/>
      <c r="I6951" s="549"/>
      <c r="J6951" s="549"/>
      <c r="K6951" s="549"/>
      <c r="M6951" s="465"/>
      <c r="N6951" s="201"/>
    </row>
    <row r="6952" spans="2:14" hidden="1" outlineLevel="1" x14ac:dyDescent="0.35">
      <c r="B6952" s="200"/>
      <c r="C6952" s="201"/>
      <c r="D6952" s="201"/>
      <c r="E6952" s="201"/>
      <c r="F6952" s="202"/>
      <c r="G6952" s="549"/>
      <c r="H6952" s="549"/>
      <c r="I6952" s="549"/>
      <c r="J6952" s="549"/>
      <c r="K6952" s="549"/>
      <c r="M6952" s="465"/>
      <c r="N6952" s="201"/>
    </row>
    <row r="6953" spans="2:14" hidden="1" outlineLevel="1" x14ac:dyDescent="0.35">
      <c r="B6953" s="200"/>
      <c r="C6953" s="201"/>
      <c r="D6953" s="201"/>
      <c r="E6953" s="201"/>
      <c r="F6953" s="202"/>
      <c r="G6953" s="549"/>
      <c r="H6953" s="549"/>
      <c r="I6953" s="549"/>
      <c r="J6953" s="549"/>
      <c r="K6953" s="549"/>
      <c r="M6953" s="465"/>
      <c r="N6953" s="201"/>
    </row>
    <row r="6954" spans="2:14" hidden="1" outlineLevel="1" x14ac:dyDescent="0.35">
      <c r="B6954" s="200"/>
      <c r="C6954" s="201"/>
      <c r="D6954" s="201"/>
      <c r="E6954" s="201"/>
      <c r="F6954" s="202"/>
      <c r="G6954" s="549"/>
      <c r="H6954" s="549"/>
      <c r="I6954" s="549"/>
      <c r="J6954" s="549"/>
      <c r="K6954" s="549"/>
      <c r="M6954" s="465"/>
      <c r="N6954" s="201"/>
    </row>
    <row r="6955" spans="2:14" hidden="1" outlineLevel="1" x14ac:dyDescent="0.35">
      <c r="B6955" s="200"/>
      <c r="C6955" s="201"/>
      <c r="D6955" s="201"/>
      <c r="E6955" s="201"/>
      <c r="F6955" s="202"/>
      <c r="G6955" s="549"/>
      <c r="H6955" s="549"/>
      <c r="I6955" s="549"/>
      <c r="J6955" s="549"/>
      <c r="K6955" s="549"/>
      <c r="M6955" s="465"/>
      <c r="N6955" s="201"/>
    </row>
    <row r="6956" spans="2:14" hidden="1" outlineLevel="1" x14ac:dyDescent="0.35">
      <c r="B6956" s="200"/>
      <c r="C6956" s="201"/>
      <c r="D6956" s="201"/>
      <c r="E6956" s="201"/>
      <c r="F6956" s="202"/>
      <c r="G6956" s="549"/>
      <c r="H6956" s="549"/>
      <c r="I6956" s="549"/>
      <c r="J6956" s="549"/>
      <c r="K6956" s="549"/>
      <c r="M6956" s="465"/>
      <c r="N6956" s="201"/>
    </row>
    <row r="6957" spans="2:14" hidden="1" outlineLevel="1" x14ac:dyDescent="0.35">
      <c r="B6957" s="200"/>
      <c r="C6957" s="201"/>
      <c r="D6957" s="201"/>
      <c r="E6957" s="201"/>
      <c r="F6957" s="202"/>
      <c r="G6957" s="549"/>
      <c r="H6957" s="549"/>
      <c r="I6957" s="549"/>
      <c r="J6957" s="549"/>
      <c r="K6957" s="549"/>
      <c r="M6957" s="465"/>
      <c r="N6957" s="201"/>
    </row>
    <row r="6958" spans="2:14" hidden="1" outlineLevel="1" x14ac:dyDescent="0.35">
      <c r="B6958" s="200"/>
      <c r="C6958" s="201"/>
      <c r="D6958" s="201"/>
      <c r="E6958" s="201"/>
      <c r="F6958" s="202"/>
      <c r="G6958" s="549"/>
      <c r="H6958" s="549"/>
      <c r="I6958" s="549"/>
      <c r="J6958" s="549"/>
      <c r="K6958" s="549"/>
      <c r="M6958" s="465"/>
      <c r="N6958" s="201"/>
    </row>
    <row r="6959" spans="2:14" hidden="1" outlineLevel="1" x14ac:dyDescent="0.35">
      <c r="B6959" s="200"/>
      <c r="C6959" s="201"/>
      <c r="D6959" s="201"/>
      <c r="E6959" s="201"/>
      <c r="F6959" s="202"/>
      <c r="G6959" s="549"/>
      <c r="H6959" s="549"/>
      <c r="I6959" s="549"/>
      <c r="J6959" s="549"/>
      <c r="K6959" s="549"/>
      <c r="M6959" s="465"/>
      <c r="N6959" s="201"/>
    </row>
    <row r="6960" spans="2:14" hidden="1" outlineLevel="1" x14ac:dyDescent="0.35">
      <c r="B6960" s="200"/>
      <c r="C6960" s="201"/>
      <c r="D6960" s="201"/>
      <c r="E6960" s="201"/>
      <c r="F6960" s="202"/>
      <c r="G6960" s="549"/>
      <c r="H6960" s="549"/>
      <c r="I6960" s="549"/>
      <c r="J6960" s="549"/>
      <c r="K6960" s="549"/>
      <c r="M6960" s="465"/>
      <c r="N6960" s="201"/>
    </row>
    <row r="6961" spans="2:14" hidden="1" outlineLevel="1" x14ac:dyDescent="0.35">
      <c r="B6961" s="200"/>
      <c r="C6961" s="201"/>
      <c r="D6961" s="201"/>
      <c r="E6961" s="201"/>
      <c r="F6961" s="202"/>
      <c r="G6961" s="549"/>
      <c r="H6961" s="549"/>
      <c r="I6961" s="549"/>
      <c r="J6961" s="549"/>
      <c r="K6961" s="549"/>
      <c r="M6961" s="465"/>
      <c r="N6961" s="201"/>
    </row>
    <row r="6962" spans="2:14" hidden="1" outlineLevel="1" x14ac:dyDescent="0.35">
      <c r="B6962" s="200"/>
      <c r="C6962" s="201"/>
      <c r="D6962" s="201"/>
      <c r="E6962" s="201"/>
      <c r="F6962" s="202"/>
      <c r="G6962" s="549"/>
      <c r="H6962" s="549"/>
      <c r="I6962" s="549"/>
      <c r="J6962" s="549"/>
      <c r="K6962" s="549"/>
      <c r="M6962" s="465"/>
      <c r="N6962" s="201"/>
    </row>
    <row r="6963" spans="2:14" hidden="1" outlineLevel="1" x14ac:dyDescent="0.35">
      <c r="B6963" s="200"/>
      <c r="C6963" s="201"/>
      <c r="D6963" s="201"/>
      <c r="E6963" s="201"/>
      <c r="F6963" s="202"/>
      <c r="G6963" s="549"/>
      <c r="H6963" s="549"/>
      <c r="I6963" s="549"/>
      <c r="J6963" s="549"/>
      <c r="K6963" s="549"/>
      <c r="M6963" s="465"/>
      <c r="N6963" s="201"/>
    </row>
    <row r="6964" spans="2:14" hidden="1" outlineLevel="1" x14ac:dyDescent="0.35">
      <c r="B6964" s="200"/>
      <c r="C6964" s="201"/>
      <c r="D6964" s="201"/>
      <c r="E6964" s="201"/>
      <c r="F6964" s="202"/>
      <c r="G6964" s="549"/>
      <c r="H6964" s="549"/>
      <c r="I6964" s="549"/>
      <c r="J6964" s="549"/>
      <c r="K6964" s="549"/>
      <c r="M6964" s="465"/>
      <c r="N6964" s="201"/>
    </row>
    <row r="6965" spans="2:14" hidden="1" outlineLevel="1" x14ac:dyDescent="0.35">
      <c r="B6965" s="200"/>
      <c r="C6965" s="201"/>
      <c r="D6965" s="201"/>
      <c r="E6965" s="201"/>
      <c r="F6965" s="202"/>
      <c r="G6965" s="549"/>
      <c r="H6965" s="549"/>
      <c r="I6965" s="549"/>
      <c r="J6965" s="549"/>
      <c r="K6965" s="549"/>
      <c r="M6965" s="465"/>
      <c r="N6965" s="201"/>
    </row>
    <row r="6966" spans="2:14" hidden="1" outlineLevel="1" x14ac:dyDescent="0.35">
      <c r="B6966" s="200"/>
      <c r="C6966" s="201"/>
      <c r="D6966" s="201"/>
      <c r="E6966" s="201"/>
      <c r="F6966" s="202"/>
      <c r="G6966" s="549"/>
      <c r="H6966" s="549"/>
      <c r="I6966" s="549"/>
      <c r="J6966" s="549"/>
      <c r="K6966" s="549"/>
      <c r="M6966" s="465"/>
      <c r="N6966" s="201"/>
    </row>
    <row r="6967" spans="2:14" hidden="1" outlineLevel="1" x14ac:dyDescent="0.35">
      <c r="B6967" s="200"/>
      <c r="C6967" s="201"/>
      <c r="D6967" s="201"/>
      <c r="E6967" s="201"/>
      <c r="F6967" s="202"/>
      <c r="G6967" s="549"/>
      <c r="H6967" s="549"/>
      <c r="I6967" s="549"/>
      <c r="J6967" s="549"/>
      <c r="K6967" s="549"/>
      <c r="M6967" s="465"/>
      <c r="N6967" s="201"/>
    </row>
    <row r="6968" spans="2:14" hidden="1" outlineLevel="1" x14ac:dyDescent="0.35">
      <c r="B6968" s="200"/>
      <c r="C6968" s="201"/>
      <c r="D6968" s="201"/>
      <c r="E6968" s="201"/>
      <c r="F6968" s="202"/>
      <c r="G6968" s="549"/>
      <c r="H6968" s="549"/>
      <c r="I6968" s="549"/>
      <c r="J6968" s="549"/>
      <c r="K6968" s="549"/>
      <c r="M6968" s="465"/>
      <c r="N6968" s="201"/>
    </row>
    <row r="6969" spans="2:14" hidden="1" outlineLevel="1" x14ac:dyDescent="0.35">
      <c r="B6969" s="200"/>
      <c r="C6969" s="201"/>
      <c r="D6969" s="201"/>
      <c r="E6969" s="201"/>
      <c r="F6969" s="202"/>
      <c r="G6969" s="549"/>
      <c r="H6969" s="549"/>
      <c r="I6969" s="549"/>
      <c r="J6969" s="549"/>
      <c r="K6969" s="549"/>
      <c r="M6969" s="465"/>
      <c r="N6969" s="201"/>
    </row>
    <row r="6970" spans="2:14" hidden="1" outlineLevel="1" x14ac:dyDescent="0.35">
      <c r="B6970" s="200"/>
      <c r="C6970" s="201"/>
      <c r="D6970" s="201"/>
      <c r="E6970" s="201"/>
      <c r="F6970" s="202"/>
      <c r="G6970" s="549"/>
      <c r="H6970" s="549"/>
      <c r="I6970" s="549"/>
      <c r="J6970" s="549"/>
      <c r="K6970" s="549"/>
      <c r="M6970" s="465"/>
      <c r="N6970" s="201"/>
    </row>
    <row r="6971" spans="2:14" hidden="1" outlineLevel="1" x14ac:dyDescent="0.35">
      <c r="B6971" s="200"/>
      <c r="C6971" s="201"/>
      <c r="D6971" s="201"/>
      <c r="E6971" s="201"/>
      <c r="F6971" s="202"/>
      <c r="G6971" s="549"/>
      <c r="H6971" s="549"/>
      <c r="I6971" s="549"/>
      <c r="J6971" s="549"/>
      <c r="K6971" s="549"/>
      <c r="M6971" s="465"/>
      <c r="N6971" s="201"/>
    </row>
    <row r="6972" spans="2:14" hidden="1" outlineLevel="1" x14ac:dyDescent="0.35">
      <c r="B6972" s="200"/>
      <c r="C6972" s="201"/>
      <c r="D6972" s="201"/>
      <c r="E6972" s="201"/>
      <c r="F6972" s="202"/>
      <c r="G6972" s="549"/>
      <c r="H6972" s="549"/>
      <c r="I6972" s="549"/>
      <c r="J6972" s="549"/>
      <c r="K6972" s="549"/>
      <c r="M6972" s="465"/>
      <c r="N6972" s="201"/>
    </row>
    <row r="6973" spans="2:14" hidden="1" outlineLevel="1" x14ac:dyDescent="0.35">
      <c r="B6973" s="200"/>
      <c r="C6973" s="201"/>
      <c r="D6973" s="201"/>
      <c r="E6973" s="201"/>
      <c r="F6973" s="202"/>
      <c r="G6973" s="549"/>
      <c r="H6973" s="549"/>
      <c r="I6973" s="549"/>
      <c r="J6973" s="549"/>
      <c r="K6973" s="549"/>
      <c r="M6973" s="465"/>
      <c r="N6973" s="201"/>
    </row>
    <row r="6974" spans="2:14" hidden="1" outlineLevel="1" x14ac:dyDescent="0.35">
      <c r="B6974" s="200"/>
      <c r="C6974" s="201"/>
      <c r="D6974" s="201"/>
      <c r="E6974" s="201"/>
      <c r="F6974" s="202"/>
      <c r="G6974" s="549"/>
      <c r="H6974" s="549"/>
      <c r="I6974" s="549"/>
      <c r="J6974" s="549"/>
      <c r="K6974" s="549"/>
      <c r="M6974" s="465"/>
      <c r="N6974" s="201"/>
    </row>
    <row r="6975" spans="2:14" hidden="1" outlineLevel="1" x14ac:dyDescent="0.35">
      <c r="B6975" s="200"/>
      <c r="C6975" s="201"/>
      <c r="D6975" s="201"/>
      <c r="E6975" s="201"/>
      <c r="F6975" s="202"/>
      <c r="G6975" s="549"/>
      <c r="H6975" s="549"/>
      <c r="I6975" s="549"/>
      <c r="J6975" s="549"/>
      <c r="K6975" s="549"/>
      <c r="M6975" s="465"/>
      <c r="N6975" s="201"/>
    </row>
    <row r="6976" spans="2:14" hidden="1" outlineLevel="1" x14ac:dyDescent="0.35">
      <c r="B6976" s="200"/>
      <c r="C6976" s="201"/>
      <c r="D6976" s="201"/>
      <c r="E6976" s="201"/>
      <c r="F6976" s="202"/>
      <c r="G6976" s="549"/>
      <c r="H6976" s="549"/>
      <c r="I6976" s="549"/>
      <c r="J6976" s="549"/>
      <c r="K6976" s="549"/>
      <c r="M6976" s="465"/>
      <c r="N6976" s="201"/>
    </row>
    <row r="6977" spans="2:14" hidden="1" outlineLevel="1" x14ac:dyDescent="0.35">
      <c r="B6977" s="200"/>
      <c r="C6977" s="201"/>
      <c r="D6977" s="201"/>
      <c r="E6977" s="201"/>
      <c r="F6977" s="202"/>
      <c r="G6977" s="549"/>
      <c r="H6977" s="549"/>
      <c r="I6977" s="549"/>
      <c r="J6977" s="549"/>
      <c r="K6977" s="549"/>
      <c r="M6977" s="465"/>
      <c r="N6977" s="201"/>
    </row>
    <row r="6978" spans="2:14" hidden="1" outlineLevel="1" x14ac:dyDescent="0.35">
      <c r="B6978" s="200"/>
      <c r="C6978" s="201"/>
      <c r="D6978" s="201"/>
      <c r="E6978" s="201"/>
      <c r="F6978" s="202"/>
      <c r="G6978" s="549"/>
      <c r="H6978" s="549"/>
      <c r="I6978" s="549"/>
      <c r="J6978" s="549"/>
      <c r="K6978" s="549"/>
      <c r="M6978" s="465"/>
      <c r="N6978" s="201"/>
    </row>
    <row r="6979" spans="2:14" hidden="1" outlineLevel="1" x14ac:dyDescent="0.35">
      <c r="B6979" s="200"/>
      <c r="C6979" s="201"/>
      <c r="D6979" s="201"/>
      <c r="E6979" s="201"/>
      <c r="F6979" s="202"/>
      <c r="G6979" s="549"/>
      <c r="H6979" s="549"/>
      <c r="I6979" s="549"/>
      <c r="J6979" s="549"/>
      <c r="K6979" s="549"/>
      <c r="M6979" s="465"/>
      <c r="N6979" s="201"/>
    </row>
    <row r="6980" spans="2:14" hidden="1" outlineLevel="1" x14ac:dyDescent="0.35">
      <c r="B6980" s="200"/>
      <c r="C6980" s="201"/>
      <c r="D6980" s="201"/>
      <c r="E6980" s="201"/>
      <c r="F6980" s="202"/>
      <c r="G6980" s="549"/>
      <c r="H6980" s="549"/>
      <c r="I6980" s="549"/>
      <c r="J6980" s="549"/>
      <c r="K6980" s="549"/>
      <c r="M6980" s="465"/>
      <c r="N6980" s="201"/>
    </row>
    <row r="6981" spans="2:14" hidden="1" outlineLevel="1" x14ac:dyDescent="0.35">
      <c r="B6981" s="200"/>
      <c r="C6981" s="201"/>
      <c r="D6981" s="201"/>
      <c r="E6981" s="201"/>
      <c r="F6981" s="202"/>
      <c r="G6981" s="549"/>
      <c r="H6981" s="549"/>
      <c r="I6981" s="549"/>
      <c r="J6981" s="549"/>
      <c r="K6981" s="549"/>
      <c r="M6981" s="465"/>
      <c r="N6981" s="201"/>
    </row>
    <row r="6982" spans="2:14" hidden="1" outlineLevel="1" x14ac:dyDescent="0.35">
      <c r="B6982" s="200"/>
      <c r="C6982" s="201"/>
      <c r="D6982" s="201"/>
      <c r="E6982" s="201"/>
      <c r="F6982" s="202"/>
      <c r="G6982" s="549"/>
      <c r="H6982" s="549"/>
      <c r="I6982" s="549"/>
      <c r="J6982" s="549"/>
      <c r="K6982" s="549"/>
      <c r="M6982" s="465"/>
      <c r="N6982" s="201"/>
    </row>
    <row r="6983" spans="2:14" hidden="1" outlineLevel="1" x14ac:dyDescent="0.35">
      <c r="B6983" s="200"/>
      <c r="C6983" s="201"/>
      <c r="D6983" s="201"/>
      <c r="E6983" s="201"/>
      <c r="F6983" s="202"/>
      <c r="G6983" s="549"/>
      <c r="H6983" s="549"/>
      <c r="I6983" s="549"/>
      <c r="J6983" s="549"/>
      <c r="K6983" s="549"/>
      <c r="M6983" s="465"/>
      <c r="N6983" s="201"/>
    </row>
    <row r="6984" spans="2:14" hidden="1" outlineLevel="1" x14ac:dyDescent="0.35">
      <c r="B6984" s="200"/>
      <c r="C6984" s="201"/>
      <c r="D6984" s="201"/>
      <c r="E6984" s="201"/>
      <c r="F6984" s="202"/>
      <c r="G6984" s="549"/>
      <c r="H6984" s="549"/>
      <c r="I6984" s="549"/>
      <c r="J6984" s="549"/>
      <c r="K6984" s="549"/>
      <c r="M6984" s="465"/>
      <c r="N6984" s="201"/>
    </row>
    <row r="6985" spans="2:14" hidden="1" outlineLevel="1" x14ac:dyDescent="0.35">
      <c r="B6985" s="200"/>
      <c r="C6985" s="201"/>
      <c r="D6985" s="201"/>
      <c r="E6985" s="201"/>
      <c r="F6985" s="202"/>
      <c r="G6985" s="549"/>
      <c r="H6985" s="549"/>
      <c r="I6985" s="549"/>
      <c r="J6985" s="549"/>
      <c r="K6985" s="549"/>
      <c r="M6985" s="465"/>
      <c r="N6985" s="201"/>
    </row>
    <row r="6986" spans="2:14" hidden="1" outlineLevel="1" x14ac:dyDescent="0.35">
      <c r="B6986" s="200"/>
      <c r="C6986" s="201"/>
      <c r="D6986" s="201"/>
      <c r="E6986" s="201"/>
      <c r="F6986" s="202"/>
      <c r="G6986" s="549"/>
      <c r="H6986" s="549"/>
      <c r="I6986" s="549"/>
      <c r="J6986" s="549"/>
      <c r="K6986" s="549"/>
      <c r="M6986" s="465"/>
      <c r="N6986" s="201"/>
    </row>
    <row r="6987" spans="2:14" hidden="1" outlineLevel="1" x14ac:dyDescent="0.35">
      <c r="B6987" s="200"/>
      <c r="C6987" s="201"/>
      <c r="D6987" s="201"/>
      <c r="E6987" s="201"/>
      <c r="F6987" s="202"/>
      <c r="G6987" s="549"/>
      <c r="H6987" s="549"/>
      <c r="I6987" s="549"/>
      <c r="J6987" s="549"/>
      <c r="K6987" s="549"/>
      <c r="M6987" s="465"/>
      <c r="N6987" s="201"/>
    </row>
    <row r="6988" spans="2:14" hidden="1" outlineLevel="1" x14ac:dyDescent="0.35">
      <c r="B6988" s="200"/>
      <c r="C6988" s="201"/>
      <c r="D6988" s="201"/>
      <c r="E6988" s="201"/>
      <c r="F6988" s="202"/>
      <c r="G6988" s="549"/>
      <c r="H6988" s="549"/>
      <c r="I6988" s="549"/>
      <c r="J6988" s="549"/>
      <c r="K6988" s="549"/>
      <c r="M6988" s="465"/>
      <c r="N6988" s="201"/>
    </row>
    <row r="6989" spans="2:14" hidden="1" outlineLevel="1" x14ac:dyDescent="0.35">
      <c r="B6989" s="200"/>
      <c r="C6989" s="201"/>
      <c r="D6989" s="201"/>
      <c r="E6989" s="201"/>
      <c r="F6989" s="202"/>
      <c r="G6989" s="549"/>
      <c r="H6989" s="549"/>
      <c r="I6989" s="549"/>
      <c r="J6989" s="549"/>
      <c r="K6989" s="549"/>
      <c r="M6989" s="465"/>
      <c r="N6989" s="201"/>
    </row>
    <row r="6990" spans="2:14" hidden="1" outlineLevel="1" x14ac:dyDescent="0.35">
      <c r="B6990" s="200"/>
      <c r="C6990" s="201"/>
      <c r="D6990" s="201"/>
      <c r="E6990" s="201"/>
      <c r="F6990" s="202"/>
      <c r="G6990" s="549"/>
      <c r="H6990" s="549"/>
      <c r="I6990" s="549"/>
      <c r="J6990" s="549"/>
      <c r="K6990" s="549"/>
      <c r="M6990" s="465"/>
      <c r="N6990" s="201"/>
    </row>
    <row r="6991" spans="2:14" hidden="1" outlineLevel="1" x14ac:dyDescent="0.35">
      <c r="B6991" s="200"/>
      <c r="C6991" s="201"/>
      <c r="D6991" s="201"/>
      <c r="E6991" s="201"/>
      <c r="F6991" s="202"/>
      <c r="G6991" s="549"/>
      <c r="H6991" s="549"/>
      <c r="I6991" s="549"/>
      <c r="J6991" s="549"/>
      <c r="K6991" s="549"/>
      <c r="M6991" s="465"/>
      <c r="N6991" s="201"/>
    </row>
    <row r="6992" spans="2:14" hidden="1" outlineLevel="1" x14ac:dyDescent="0.35">
      <c r="B6992" s="200"/>
      <c r="C6992" s="201"/>
      <c r="D6992" s="201"/>
      <c r="E6992" s="201"/>
      <c r="F6992" s="202"/>
      <c r="G6992" s="549"/>
      <c r="H6992" s="549"/>
      <c r="I6992" s="549"/>
      <c r="J6992" s="549"/>
      <c r="K6992" s="549"/>
      <c r="M6992" s="465"/>
      <c r="N6992" s="201"/>
    </row>
    <row r="6993" spans="2:14" hidden="1" outlineLevel="1" x14ac:dyDescent="0.35">
      <c r="B6993" s="200"/>
      <c r="C6993" s="201"/>
      <c r="D6993" s="201"/>
      <c r="E6993" s="201"/>
      <c r="F6993" s="202"/>
      <c r="G6993" s="549"/>
      <c r="H6993" s="549"/>
      <c r="I6993" s="549"/>
      <c r="J6993" s="549"/>
      <c r="K6993" s="549"/>
      <c r="M6993" s="465"/>
      <c r="N6993" s="201"/>
    </row>
    <row r="6994" spans="2:14" hidden="1" outlineLevel="1" x14ac:dyDescent="0.35">
      <c r="B6994" s="200"/>
      <c r="C6994" s="201"/>
      <c r="D6994" s="201"/>
      <c r="E6994" s="201"/>
      <c r="F6994" s="202"/>
      <c r="G6994" s="549"/>
      <c r="H6994" s="549"/>
      <c r="I6994" s="549"/>
      <c r="J6994" s="549"/>
      <c r="K6994" s="549"/>
      <c r="M6994" s="465"/>
      <c r="N6994" s="201"/>
    </row>
    <row r="6995" spans="2:14" hidden="1" outlineLevel="1" x14ac:dyDescent="0.35">
      <c r="B6995" s="200"/>
      <c r="C6995" s="201"/>
      <c r="D6995" s="201"/>
      <c r="E6995" s="201"/>
      <c r="F6995" s="202"/>
      <c r="G6995" s="549"/>
      <c r="H6995" s="549"/>
      <c r="I6995" s="549"/>
      <c r="J6995" s="549"/>
      <c r="K6995" s="549"/>
      <c r="M6995" s="465"/>
      <c r="N6995" s="201"/>
    </row>
    <row r="6996" spans="2:14" hidden="1" outlineLevel="1" x14ac:dyDescent="0.35">
      <c r="B6996" s="200"/>
      <c r="C6996" s="201"/>
      <c r="D6996" s="201"/>
      <c r="E6996" s="201"/>
      <c r="F6996" s="202"/>
      <c r="G6996" s="549"/>
      <c r="H6996" s="549"/>
      <c r="I6996" s="549"/>
      <c r="J6996" s="549"/>
      <c r="K6996" s="549"/>
      <c r="M6996" s="465"/>
      <c r="N6996" s="201"/>
    </row>
    <row r="6997" spans="2:14" hidden="1" outlineLevel="1" x14ac:dyDescent="0.35">
      <c r="B6997" s="200"/>
      <c r="C6997" s="201"/>
      <c r="D6997" s="201"/>
      <c r="E6997" s="201"/>
      <c r="F6997" s="202"/>
      <c r="G6997" s="549"/>
      <c r="H6997" s="549"/>
      <c r="I6997" s="549"/>
      <c r="J6997" s="549"/>
      <c r="K6997" s="549"/>
      <c r="M6997" s="465"/>
      <c r="N6997" s="201"/>
    </row>
    <row r="6998" spans="2:14" hidden="1" outlineLevel="1" x14ac:dyDescent="0.35">
      <c r="B6998" s="200"/>
      <c r="C6998" s="201"/>
      <c r="D6998" s="201"/>
      <c r="E6998" s="201"/>
      <c r="F6998" s="202"/>
      <c r="G6998" s="549"/>
      <c r="H6998" s="549"/>
      <c r="I6998" s="549"/>
      <c r="J6998" s="549"/>
      <c r="K6998" s="549"/>
      <c r="M6998" s="465"/>
      <c r="N6998" s="201"/>
    </row>
    <row r="6999" spans="2:14" hidden="1" outlineLevel="1" x14ac:dyDescent="0.35">
      <c r="B6999" s="200"/>
      <c r="C6999" s="201"/>
      <c r="D6999" s="201"/>
      <c r="E6999" s="201"/>
      <c r="F6999" s="202"/>
      <c r="G6999" s="549"/>
      <c r="H6999" s="549"/>
      <c r="I6999" s="549"/>
      <c r="J6999" s="549"/>
      <c r="K6999" s="549"/>
      <c r="M6999" s="465"/>
      <c r="N6999" s="201"/>
    </row>
    <row r="7000" spans="2:14" hidden="1" outlineLevel="1" x14ac:dyDescent="0.35">
      <c r="B7000" s="200"/>
      <c r="C7000" s="201"/>
      <c r="D7000" s="201"/>
      <c r="E7000" s="201"/>
      <c r="F7000" s="202"/>
      <c r="G7000" s="549"/>
      <c r="H7000" s="549"/>
      <c r="I7000" s="549"/>
      <c r="J7000" s="549"/>
      <c r="K7000" s="549"/>
      <c r="M7000" s="465"/>
      <c r="N7000" s="201"/>
    </row>
    <row r="7001" spans="2:14" hidden="1" outlineLevel="1" x14ac:dyDescent="0.35">
      <c r="B7001" s="200"/>
      <c r="C7001" s="201"/>
      <c r="D7001" s="201"/>
      <c r="E7001" s="201"/>
      <c r="F7001" s="202"/>
      <c r="G7001" s="549"/>
      <c r="H7001" s="549"/>
      <c r="I7001" s="549"/>
      <c r="J7001" s="549"/>
      <c r="K7001" s="549"/>
      <c r="M7001" s="465"/>
      <c r="N7001" s="201"/>
    </row>
    <row r="7002" spans="2:14" hidden="1" outlineLevel="1" x14ac:dyDescent="0.35">
      <c r="B7002" s="200"/>
      <c r="C7002" s="201"/>
      <c r="D7002" s="201"/>
      <c r="E7002" s="201"/>
      <c r="F7002" s="202"/>
      <c r="G7002" s="549"/>
      <c r="H7002" s="549"/>
      <c r="I7002" s="549"/>
      <c r="J7002" s="549"/>
      <c r="K7002" s="549"/>
      <c r="M7002" s="465"/>
      <c r="N7002" s="201"/>
    </row>
    <row r="7003" spans="2:14" hidden="1" outlineLevel="1" x14ac:dyDescent="0.35">
      <c r="B7003" s="200"/>
      <c r="C7003" s="201"/>
      <c r="D7003" s="201"/>
      <c r="E7003" s="201"/>
      <c r="F7003" s="202"/>
      <c r="G7003" s="549"/>
      <c r="H7003" s="549"/>
      <c r="I7003" s="549"/>
      <c r="J7003" s="549"/>
      <c r="K7003" s="549"/>
      <c r="M7003" s="465"/>
      <c r="N7003" s="201"/>
    </row>
    <row r="7004" spans="2:14" hidden="1" outlineLevel="1" x14ac:dyDescent="0.35">
      <c r="B7004" s="200"/>
      <c r="C7004" s="201"/>
      <c r="D7004" s="201"/>
      <c r="E7004" s="201"/>
      <c r="F7004" s="202"/>
      <c r="G7004" s="549"/>
      <c r="H7004" s="549"/>
      <c r="I7004" s="549"/>
      <c r="J7004" s="549"/>
      <c r="K7004" s="549"/>
      <c r="M7004" s="465"/>
      <c r="N7004" s="201"/>
    </row>
    <row r="7005" spans="2:14" hidden="1" outlineLevel="1" x14ac:dyDescent="0.35">
      <c r="B7005" s="200"/>
      <c r="C7005" s="201"/>
      <c r="D7005" s="201"/>
      <c r="E7005" s="201"/>
      <c r="F7005" s="202"/>
      <c r="G7005" s="549"/>
      <c r="H7005" s="549"/>
      <c r="I7005" s="549"/>
      <c r="J7005" s="549"/>
      <c r="K7005" s="549"/>
      <c r="M7005" s="465"/>
      <c r="N7005" s="201"/>
    </row>
    <row r="7006" spans="2:14" hidden="1" outlineLevel="1" x14ac:dyDescent="0.35">
      <c r="B7006" s="200"/>
      <c r="C7006" s="201"/>
      <c r="D7006" s="201"/>
      <c r="E7006" s="201"/>
      <c r="F7006" s="202"/>
      <c r="G7006" s="549"/>
      <c r="H7006" s="549"/>
      <c r="I7006" s="549"/>
      <c r="J7006" s="549"/>
      <c r="K7006" s="549"/>
      <c r="M7006" s="465"/>
      <c r="N7006" s="201"/>
    </row>
    <row r="7007" spans="2:14" hidden="1" outlineLevel="1" x14ac:dyDescent="0.35">
      <c r="B7007" s="200"/>
      <c r="C7007" s="201"/>
      <c r="D7007" s="201"/>
      <c r="E7007" s="201"/>
      <c r="F7007" s="202"/>
      <c r="G7007" s="549"/>
      <c r="H7007" s="549"/>
      <c r="I7007" s="549"/>
      <c r="J7007" s="549"/>
      <c r="K7007" s="549"/>
      <c r="M7007" s="465"/>
      <c r="N7007" s="201"/>
    </row>
    <row r="7008" spans="2:14" hidden="1" outlineLevel="1" x14ac:dyDescent="0.35">
      <c r="B7008" s="200"/>
      <c r="C7008" s="201"/>
      <c r="D7008" s="201"/>
      <c r="E7008" s="201"/>
      <c r="F7008" s="202"/>
      <c r="G7008" s="549"/>
      <c r="H7008" s="549"/>
      <c r="I7008" s="549"/>
      <c r="J7008" s="549"/>
      <c r="K7008" s="549"/>
      <c r="M7008" s="465"/>
      <c r="N7008" s="201"/>
    </row>
    <row r="7009" spans="2:14" hidden="1" outlineLevel="1" x14ac:dyDescent="0.35">
      <c r="B7009" s="200"/>
      <c r="C7009" s="201"/>
      <c r="D7009" s="201"/>
      <c r="E7009" s="201"/>
      <c r="F7009" s="202"/>
      <c r="G7009" s="549"/>
      <c r="H7009" s="549"/>
      <c r="I7009" s="549"/>
      <c r="J7009" s="549"/>
      <c r="K7009" s="549"/>
      <c r="M7009" s="465"/>
      <c r="N7009" s="201"/>
    </row>
    <row r="7010" spans="2:14" hidden="1" outlineLevel="1" x14ac:dyDescent="0.35">
      <c r="B7010" s="200"/>
      <c r="C7010" s="201"/>
      <c r="D7010" s="201"/>
      <c r="E7010" s="201"/>
      <c r="F7010" s="202"/>
      <c r="G7010" s="549"/>
      <c r="H7010" s="549"/>
      <c r="I7010" s="549"/>
      <c r="J7010" s="549"/>
      <c r="K7010" s="549"/>
      <c r="M7010" s="465"/>
      <c r="N7010" s="201"/>
    </row>
    <row r="7011" spans="2:14" hidden="1" outlineLevel="1" x14ac:dyDescent="0.35">
      <c r="B7011" s="200"/>
      <c r="C7011" s="201"/>
      <c r="D7011" s="201"/>
      <c r="E7011" s="201"/>
      <c r="F7011" s="202"/>
      <c r="G7011" s="549"/>
      <c r="H7011" s="549"/>
      <c r="I7011" s="549"/>
      <c r="J7011" s="549"/>
      <c r="K7011" s="549"/>
      <c r="M7011" s="465"/>
      <c r="N7011" s="201"/>
    </row>
    <row r="7012" spans="2:14" hidden="1" outlineLevel="1" x14ac:dyDescent="0.35">
      <c r="B7012" s="200"/>
      <c r="C7012" s="201"/>
      <c r="D7012" s="201"/>
      <c r="E7012" s="201"/>
      <c r="F7012" s="202"/>
      <c r="G7012" s="549"/>
      <c r="H7012" s="549"/>
      <c r="I7012" s="549"/>
      <c r="J7012" s="549"/>
      <c r="K7012" s="549"/>
      <c r="M7012" s="465"/>
      <c r="N7012" s="201"/>
    </row>
    <row r="7013" spans="2:14" hidden="1" outlineLevel="1" x14ac:dyDescent="0.35">
      <c r="B7013" s="200"/>
      <c r="C7013" s="201"/>
      <c r="D7013" s="201"/>
      <c r="E7013" s="201"/>
      <c r="F7013" s="202"/>
      <c r="G7013" s="549"/>
      <c r="H7013" s="549"/>
      <c r="I7013" s="549"/>
      <c r="J7013" s="549"/>
      <c r="K7013" s="549"/>
      <c r="M7013" s="465"/>
      <c r="N7013" s="201"/>
    </row>
    <row r="7014" spans="2:14" hidden="1" outlineLevel="1" x14ac:dyDescent="0.35">
      <c r="B7014" s="200"/>
      <c r="C7014" s="201"/>
      <c r="D7014" s="201"/>
      <c r="E7014" s="201"/>
      <c r="F7014" s="202"/>
      <c r="G7014" s="549"/>
      <c r="H7014" s="549"/>
      <c r="I7014" s="549"/>
      <c r="J7014" s="549"/>
      <c r="K7014" s="549"/>
      <c r="M7014" s="465"/>
      <c r="N7014" s="201"/>
    </row>
    <row r="7015" spans="2:14" hidden="1" outlineLevel="1" x14ac:dyDescent="0.35">
      <c r="B7015" s="200"/>
      <c r="C7015" s="201"/>
      <c r="D7015" s="201"/>
      <c r="E7015" s="201"/>
      <c r="F7015" s="202"/>
      <c r="G7015" s="549"/>
      <c r="H7015" s="549"/>
      <c r="I7015" s="549"/>
      <c r="J7015" s="549"/>
      <c r="K7015" s="549"/>
      <c r="M7015" s="465"/>
      <c r="N7015" s="201"/>
    </row>
    <row r="7016" spans="2:14" hidden="1" outlineLevel="1" x14ac:dyDescent="0.35">
      <c r="B7016" s="200"/>
      <c r="C7016" s="201"/>
      <c r="D7016" s="201"/>
      <c r="E7016" s="201"/>
      <c r="F7016" s="202"/>
      <c r="G7016" s="549"/>
      <c r="H7016" s="549"/>
      <c r="I7016" s="549"/>
      <c r="J7016" s="549"/>
      <c r="K7016" s="549"/>
      <c r="M7016" s="465"/>
      <c r="N7016" s="201"/>
    </row>
    <row r="7017" spans="2:14" hidden="1" outlineLevel="1" x14ac:dyDescent="0.35">
      <c r="B7017" s="200"/>
      <c r="C7017" s="201"/>
      <c r="D7017" s="201"/>
      <c r="E7017" s="201"/>
      <c r="F7017" s="202"/>
      <c r="G7017" s="549"/>
      <c r="H7017" s="549"/>
      <c r="I7017" s="549"/>
      <c r="J7017" s="549"/>
      <c r="K7017" s="549"/>
      <c r="M7017" s="465"/>
      <c r="N7017" s="201"/>
    </row>
    <row r="7018" spans="2:14" hidden="1" outlineLevel="1" x14ac:dyDescent="0.35">
      <c r="B7018" s="200"/>
      <c r="C7018" s="201"/>
      <c r="D7018" s="201"/>
      <c r="E7018" s="201"/>
      <c r="F7018" s="202"/>
      <c r="G7018" s="549"/>
      <c r="H7018" s="549"/>
      <c r="I7018" s="549"/>
      <c r="J7018" s="549"/>
      <c r="K7018" s="549"/>
      <c r="M7018" s="465"/>
      <c r="N7018" s="201"/>
    </row>
    <row r="7019" spans="2:14" hidden="1" outlineLevel="1" x14ac:dyDescent="0.35">
      <c r="B7019" s="200"/>
      <c r="C7019" s="201"/>
      <c r="D7019" s="201"/>
      <c r="E7019" s="201"/>
      <c r="F7019" s="202"/>
      <c r="G7019" s="549"/>
      <c r="H7019" s="549"/>
      <c r="I7019" s="549"/>
      <c r="J7019" s="549"/>
      <c r="K7019" s="549"/>
      <c r="M7019" s="465"/>
      <c r="N7019" s="201"/>
    </row>
    <row r="7020" spans="2:14" hidden="1" outlineLevel="1" x14ac:dyDescent="0.35">
      <c r="B7020" s="200"/>
      <c r="C7020" s="201"/>
      <c r="D7020" s="201"/>
      <c r="E7020" s="201"/>
      <c r="F7020" s="202"/>
      <c r="G7020" s="549"/>
      <c r="H7020" s="549"/>
      <c r="I7020" s="549"/>
      <c r="J7020" s="549"/>
      <c r="K7020" s="549"/>
      <c r="M7020" s="465"/>
      <c r="N7020" s="201"/>
    </row>
    <row r="7021" spans="2:14" hidden="1" outlineLevel="1" x14ac:dyDescent="0.35">
      <c r="B7021" s="200"/>
      <c r="C7021" s="201"/>
      <c r="D7021" s="201"/>
      <c r="E7021" s="201"/>
      <c r="F7021" s="202"/>
      <c r="G7021" s="549"/>
      <c r="H7021" s="549"/>
      <c r="I7021" s="549"/>
      <c r="J7021" s="549"/>
      <c r="K7021" s="549"/>
      <c r="M7021" s="465"/>
      <c r="N7021" s="201"/>
    </row>
    <row r="7022" spans="2:14" hidden="1" outlineLevel="1" x14ac:dyDescent="0.35">
      <c r="B7022" s="200"/>
      <c r="C7022" s="201"/>
      <c r="D7022" s="201"/>
      <c r="E7022" s="201"/>
      <c r="F7022" s="202"/>
      <c r="G7022" s="549"/>
      <c r="H7022" s="549"/>
      <c r="I7022" s="549"/>
      <c r="J7022" s="549"/>
      <c r="K7022" s="549"/>
      <c r="M7022" s="465"/>
      <c r="N7022" s="201"/>
    </row>
    <row r="7023" spans="2:14" hidden="1" outlineLevel="1" x14ac:dyDescent="0.35">
      <c r="B7023" s="200"/>
      <c r="C7023" s="201"/>
      <c r="D7023" s="201"/>
      <c r="E7023" s="201"/>
      <c r="F7023" s="202"/>
      <c r="G7023" s="549"/>
      <c r="H7023" s="549"/>
      <c r="I7023" s="549"/>
      <c r="J7023" s="549"/>
      <c r="K7023" s="549"/>
      <c r="M7023" s="465"/>
      <c r="N7023" s="201"/>
    </row>
    <row r="7024" spans="2:14" hidden="1" outlineLevel="1" x14ac:dyDescent="0.35">
      <c r="B7024" s="200"/>
      <c r="C7024" s="201"/>
      <c r="D7024" s="201"/>
      <c r="E7024" s="201"/>
      <c r="F7024" s="202"/>
      <c r="G7024" s="549"/>
      <c r="H7024" s="549"/>
      <c r="I7024" s="549"/>
      <c r="J7024" s="549"/>
      <c r="K7024" s="549"/>
      <c r="M7024" s="465"/>
      <c r="N7024" s="201"/>
    </row>
    <row r="7025" spans="2:14" hidden="1" outlineLevel="1" x14ac:dyDescent="0.35">
      <c r="B7025" s="200"/>
      <c r="C7025" s="201"/>
      <c r="D7025" s="201"/>
      <c r="E7025" s="201"/>
      <c r="F7025" s="202"/>
      <c r="G7025" s="549"/>
      <c r="H7025" s="549"/>
      <c r="I7025" s="549"/>
      <c r="J7025" s="549"/>
      <c r="K7025" s="549"/>
      <c r="M7025" s="465"/>
      <c r="N7025" s="201"/>
    </row>
    <row r="7026" spans="2:14" hidden="1" outlineLevel="1" x14ac:dyDescent="0.35">
      <c r="B7026" s="200"/>
      <c r="C7026" s="201"/>
      <c r="D7026" s="201"/>
      <c r="E7026" s="201"/>
      <c r="F7026" s="202"/>
      <c r="G7026" s="549"/>
      <c r="H7026" s="549"/>
      <c r="I7026" s="549"/>
      <c r="J7026" s="549"/>
      <c r="K7026" s="549"/>
      <c r="M7026" s="465"/>
      <c r="N7026" s="201"/>
    </row>
    <row r="7027" spans="2:14" hidden="1" outlineLevel="1" x14ac:dyDescent="0.35">
      <c r="B7027" s="200"/>
      <c r="C7027" s="201"/>
      <c r="D7027" s="201"/>
      <c r="E7027" s="201"/>
      <c r="F7027" s="202"/>
      <c r="G7027" s="549"/>
      <c r="H7027" s="549"/>
      <c r="I7027" s="549"/>
      <c r="J7027" s="549"/>
      <c r="K7027" s="549"/>
      <c r="M7027" s="465"/>
      <c r="N7027" s="201"/>
    </row>
    <row r="7028" spans="2:14" hidden="1" outlineLevel="1" x14ac:dyDescent="0.35">
      <c r="B7028" s="200"/>
      <c r="C7028" s="201"/>
      <c r="D7028" s="201"/>
      <c r="E7028" s="201"/>
      <c r="F7028" s="202"/>
      <c r="G7028" s="549"/>
      <c r="H7028" s="549"/>
      <c r="I7028" s="549"/>
      <c r="J7028" s="549"/>
      <c r="K7028" s="549"/>
      <c r="M7028" s="465"/>
      <c r="N7028" s="201"/>
    </row>
    <row r="7029" spans="2:14" hidden="1" outlineLevel="1" x14ac:dyDescent="0.35">
      <c r="B7029" s="200"/>
      <c r="C7029" s="201"/>
      <c r="D7029" s="201"/>
      <c r="E7029" s="201"/>
      <c r="F7029" s="202"/>
      <c r="G7029" s="549"/>
      <c r="H7029" s="549"/>
      <c r="I7029" s="549"/>
      <c r="J7029" s="549"/>
      <c r="K7029" s="549"/>
      <c r="M7029" s="465"/>
      <c r="N7029" s="201"/>
    </row>
    <row r="7030" spans="2:14" hidden="1" outlineLevel="1" x14ac:dyDescent="0.35">
      <c r="B7030" s="200"/>
      <c r="C7030" s="201"/>
      <c r="D7030" s="201"/>
      <c r="E7030" s="201"/>
      <c r="F7030" s="202"/>
      <c r="G7030" s="549"/>
      <c r="H7030" s="549"/>
      <c r="I7030" s="549"/>
      <c r="J7030" s="549"/>
      <c r="K7030" s="549"/>
      <c r="M7030" s="465"/>
      <c r="N7030" s="201"/>
    </row>
    <row r="7031" spans="2:14" hidden="1" outlineLevel="1" x14ac:dyDescent="0.35">
      <c r="B7031" s="200"/>
      <c r="C7031" s="201"/>
      <c r="D7031" s="201"/>
      <c r="E7031" s="201"/>
      <c r="F7031" s="202"/>
      <c r="G7031" s="549"/>
      <c r="H7031" s="549"/>
      <c r="I7031" s="549"/>
      <c r="J7031" s="549"/>
      <c r="K7031" s="549"/>
      <c r="M7031" s="465"/>
      <c r="N7031" s="201"/>
    </row>
    <row r="7032" spans="2:14" hidden="1" outlineLevel="1" x14ac:dyDescent="0.35">
      <c r="B7032" s="200"/>
      <c r="C7032" s="201"/>
      <c r="D7032" s="201"/>
      <c r="E7032" s="201"/>
      <c r="F7032" s="202"/>
      <c r="G7032" s="549"/>
      <c r="H7032" s="549"/>
      <c r="I7032" s="549"/>
      <c r="J7032" s="549"/>
      <c r="K7032" s="549"/>
      <c r="M7032" s="465"/>
      <c r="N7032" s="201"/>
    </row>
    <row r="7033" spans="2:14" hidden="1" outlineLevel="1" x14ac:dyDescent="0.35">
      <c r="B7033" s="200"/>
      <c r="C7033" s="201"/>
      <c r="D7033" s="201"/>
      <c r="E7033" s="201"/>
      <c r="F7033" s="202"/>
      <c r="G7033" s="549"/>
      <c r="H7033" s="549"/>
      <c r="I7033" s="549"/>
      <c r="J7033" s="549"/>
      <c r="K7033" s="549"/>
      <c r="M7033" s="465"/>
      <c r="N7033" s="201"/>
    </row>
    <row r="7034" spans="2:14" hidden="1" outlineLevel="1" x14ac:dyDescent="0.35">
      <c r="B7034" s="200"/>
      <c r="C7034" s="201"/>
      <c r="D7034" s="201"/>
      <c r="E7034" s="201"/>
      <c r="F7034" s="202"/>
      <c r="G7034" s="549"/>
      <c r="H7034" s="549"/>
      <c r="I7034" s="549"/>
      <c r="J7034" s="549"/>
      <c r="K7034" s="549"/>
      <c r="M7034" s="465"/>
      <c r="N7034" s="201"/>
    </row>
    <row r="7035" spans="2:14" hidden="1" outlineLevel="1" x14ac:dyDescent="0.35">
      <c r="B7035" s="200"/>
      <c r="C7035" s="201"/>
      <c r="D7035" s="201"/>
      <c r="E7035" s="201"/>
      <c r="F7035" s="202"/>
      <c r="G7035" s="549"/>
      <c r="H7035" s="549"/>
      <c r="I7035" s="549"/>
      <c r="J7035" s="549"/>
      <c r="K7035" s="549"/>
      <c r="M7035" s="465"/>
      <c r="N7035" s="201"/>
    </row>
    <row r="7036" spans="2:14" hidden="1" outlineLevel="1" x14ac:dyDescent="0.35">
      <c r="B7036" s="200"/>
      <c r="C7036" s="201"/>
      <c r="D7036" s="201"/>
      <c r="E7036" s="201"/>
      <c r="F7036" s="202"/>
      <c r="G7036" s="549"/>
      <c r="H7036" s="549"/>
      <c r="I7036" s="549"/>
      <c r="J7036" s="549"/>
      <c r="K7036" s="549"/>
      <c r="M7036" s="465"/>
      <c r="N7036" s="201"/>
    </row>
    <row r="7037" spans="2:14" hidden="1" outlineLevel="1" x14ac:dyDescent="0.35">
      <c r="B7037" s="200"/>
      <c r="C7037" s="201"/>
      <c r="D7037" s="201"/>
      <c r="E7037" s="201"/>
      <c r="F7037" s="202"/>
      <c r="G7037" s="549"/>
      <c r="H7037" s="549"/>
      <c r="I7037" s="549"/>
      <c r="J7037" s="549"/>
      <c r="K7037" s="549"/>
      <c r="M7037" s="465"/>
      <c r="N7037" s="201"/>
    </row>
    <row r="7038" spans="2:14" hidden="1" outlineLevel="1" x14ac:dyDescent="0.35">
      <c r="B7038" s="200"/>
      <c r="C7038" s="201"/>
      <c r="D7038" s="201"/>
      <c r="E7038" s="201"/>
      <c r="F7038" s="202"/>
      <c r="G7038" s="549"/>
      <c r="H7038" s="549"/>
      <c r="I7038" s="549"/>
      <c r="J7038" s="549"/>
      <c r="K7038" s="549"/>
      <c r="M7038" s="465"/>
      <c r="N7038" s="201"/>
    </row>
    <row r="7039" spans="2:14" hidden="1" outlineLevel="1" x14ac:dyDescent="0.35">
      <c r="B7039" s="200"/>
      <c r="C7039" s="201"/>
      <c r="D7039" s="201"/>
      <c r="E7039" s="201"/>
      <c r="F7039" s="202"/>
      <c r="G7039" s="549"/>
      <c r="H7039" s="549"/>
      <c r="I7039" s="549"/>
      <c r="J7039" s="549"/>
      <c r="K7039" s="549"/>
      <c r="M7039" s="465"/>
      <c r="N7039" s="201"/>
    </row>
    <row r="7040" spans="2:14" hidden="1" outlineLevel="1" x14ac:dyDescent="0.35">
      <c r="B7040" s="200"/>
      <c r="C7040" s="201"/>
      <c r="D7040" s="201"/>
      <c r="E7040" s="201"/>
      <c r="F7040" s="202"/>
      <c r="G7040" s="549"/>
      <c r="H7040" s="549"/>
      <c r="I7040" s="549"/>
      <c r="J7040" s="549"/>
      <c r="K7040" s="549"/>
      <c r="M7040" s="465"/>
      <c r="N7040" s="201"/>
    </row>
    <row r="7041" spans="2:14" hidden="1" outlineLevel="1" x14ac:dyDescent="0.35">
      <c r="B7041" s="200"/>
      <c r="C7041" s="201"/>
      <c r="D7041" s="201"/>
      <c r="E7041" s="201"/>
      <c r="F7041" s="202"/>
      <c r="G7041" s="549"/>
      <c r="H7041" s="549"/>
      <c r="I7041" s="549"/>
      <c r="J7041" s="549"/>
      <c r="K7041" s="549"/>
      <c r="M7041" s="465"/>
      <c r="N7041" s="201"/>
    </row>
    <row r="7042" spans="2:14" hidden="1" outlineLevel="1" x14ac:dyDescent="0.35">
      <c r="B7042" s="200"/>
      <c r="C7042" s="201"/>
      <c r="D7042" s="201"/>
      <c r="E7042" s="201"/>
      <c r="F7042" s="202"/>
      <c r="G7042" s="549"/>
      <c r="H7042" s="549"/>
      <c r="I7042" s="549"/>
      <c r="J7042" s="549"/>
      <c r="K7042" s="549"/>
      <c r="M7042" s="465"/>
      <c r="N7042" s="201"/>
    </row>
    <row r="7043" spans="2:14" hidden="1" outlineLevel="1" x14ac:dyDescent="0.35">
      <c r="B7043" s="200"/>
      <c r="C7043" s="201"/>
      <c r="D7043" s="201"/>
      <c r="E7043" s="201"/>
      <c r="F7043" s="202"/>
      <c r="G7043" s="549"/>
      <c r="H7043" s="549"/>
      <c r="I7043" s="549"/>
      <c r="J7043" s="549"/>
      <c r="K7043" s="549"/>
      <c r="M7043" s="465"/>
      <c r="N7043" s="201"/>
    </row>
    <row r="7044" spans="2:14" hidden="1" outlineLevel="1" x14ac:dyDescent="0.35">
      <c r="B7044" s="200"/>
      <c r="C7044" s="201"/>
      <c r="D7044" s="201"/>
      <c r="E7044" s="201"/>
      <c r="F7044" s="202"/>
      <c r="G7044" s="549"/>
      <c r="H7044" s="549"/>
      <c r="I7044" s="549"/>
      <c r="J7044" s="549"/>
      <c r="K7044" s="549"/>
      <c r="M7044" s="465"/>
      <c r="N7044" s="201"/>
    </row>
    <row r="7045" spans="2:14" hidden="1" outlineLevel="1" x14ac:dyDescent="0.35">
      <c r="B7045" s="200"/>
      <c r="C7045" s="201"/>
      <c r="D7045" s="201"/>
      <c r="E7045" s="201"/>
      <c r="F7045" s="202"/>
      <c r="G7045" s="549"/>
      <c r="H7045" s="549"/>
      <c r="I7045" s="549"/>
      <c r="J7045" s="549"/>
      <c r="K7045" s="549"/>
      <c r="M7045" s="465"/>
      <c r="N7045" s="201"/>
    </row>
    <row r="7046" spans="2:14" hidden="1" outlineLevel="1" x14ac:dyDescent="0.35">
      <c r="B7046" s="200"/>
      <c r="C7046" s="201"/>
      <c r="D7046" s="201"/>
      <c r="E7046" s="201"/>
      <c r="F7046" s="202"/>
      <c r="G7046" s="549"/>
      <c r="H7046" s="549"/>
      <c r="I7046" s="549"/>
      <c r="J7046" s="549"/>
      <c r="K7046" s="549"/>
      <c r="M7046" s="465"/>
      <c r="N7046" s="201"/>
    </row>
    <row r="7047" spans="2:14" hidden="1" outlineLevel="1" x14ac:dyDescent="0.35">
      <c r="B7047" s="200"/>
      <c r="C7047" s="201"/>
      <c r="D7047" s="201"/>
      <c r="E7047" s="201"/>
      <c r="F7047" s="202"/>
      <c r="G7047" s="549"/>
      <c r="H7047" s="549"/>
      <c r="I7047" s="549"/>
      <c r="J7047" s="549"/>
      <c r="K7047" s="549"/>
      <c r="M7047" s="465"/>
      <c r="N7047" s="201"/>
    </row>
    <row r="7048" spans="2:14" hidden="1" outlineLevel="1" x14ac:dyDescent="0.35">
      <c r="B7048" s="200"/>
      <c r="C7048" s="201"/>
      <c r="D7048" s="201"/>
      <c r="E7048" s="201"/>
      <c r="F7048" s="202"/>
      <c r="G7048" s="549"/>
      <c r="H7048" s="549"/>
      <c r="I7048" s="549"/>
      <c r="J7048" s="549"/>
      <c r="K7048" s="549"/>
      <c r="M7048" s="465"/>
      <c r="N7048" s="201"/>
    </row>
    <row r="7049" spans="2:14" hidden="1" outlineLevel="1" x14ac:dyDescent="0.35">
      <c r="B7049" s="200"/>
      <c r="C7049" s="201"/>
      <c r="D7049" s="201"/>
      <c r="E7049" s="201"/>
      <c r="F7049" s="202"/>
      <c r="G7049" s="549"/>
      <c r="H7049" s="549"/>
      <c r="I7049" s="549"/>
      <c r="J7049" s="549"/>
      <c r="K7049" s="549"/>
      <c r="M7049" s="465"/>
      <c r="N7049" s="201"/>
    </row>
    <row r="7050" spans="2:14" hidden="1" outlineLevel="1" x14ac:dyDescent="0.35">
      <c r="B7050" s="200"/>
      <c r="C7050" s="201"/>
      <c r="D7050" s="201"/>
      <c r="E7050" s="201"/>
      <c r="F7050" s="202"/>
      <c r="G7050" s="549"/>
      <c r="H7050" s="549"/>
      <c r="I7050" s="549"/>
      <c r="J7050" s="549"/>
      <c r="K7050" s="549"/>
      <c r="M7050" s="465"/>
      <c r="N7050" s="201"/>
    </row>
    <row r="7051" spans="2:14" hidden="1" outlineLevel="1" x14ac:dyDescent="0.35">
      <c r="B7051" s="200"/>
      <c r="C7051" s="201"/>
      <c r="D7051" s="201"/>
      <c r="E7051" s="201"/>
      <c r="F7051" s="202"/>
      <c r="G7051" s="549"/>
      <c r="H7051" s="549"/>
      <c r="I7051" s="549"/>
      <c r="J7051" s="549"/>
      <c r="K7051" s="549"/>
      <c r="M7051" s="465"/>
      <c r="N7051" s="201"/>
    </row>
    <row r="7052" spans="2:14" hidden="1" outlineLevel="1" x14ac:dyDescent="0.35">
      <c r="B7052" s="200"/>
      <c r="C7052" s="201"/>
      <c r="D7052" s="201"/>
      <c r="E7052" s="201"/>
      <c r="F7052" s="202"/>
      <c r="G7052" s="549"/>
      <c r="H7052" s="549"/>
      <c r="I7052" s="549"/>
      <c r="J7052" s="549"/>
      <c r="K7052" s="549"/>
      <c r="M7052" s="465"/>
      <c r="N7052" s="201"/>
    </row>
    <row r="7053" spans="2:14" hidden="1" outlineLevel="1" x14ac:dyDescent="0.35">
      <c r="B7053" s="200"/>
      <c r="C7053" s="201"/>
      <c r="D7053" s="201"/>
      <c r="E7053" s="201"/>
      <c r="F7053" s="202"/>
      <c r="G7053" s="549"/>
      <c r="H7053" s="549"/>
      <c r="I7053" s="549"/>
      <c r="J7053" s="549"/>
      <c r="K7053" s="549"/>
      <c r="M7053" s="465"/>
      <c r="N7053" s="201"/>
    </row>
    <row r="7054" spans="2:14" hidden="1" outlineLevel="1" x14ac:dyDescent="0.35">
      <c r="B7054" s="200"/>
      <c r="C7054" s="201"/>
      <c r="D7054" s="201"/>
      <c r="E7054" s="201"/>
      <c r="F7054" s="202"/>
      <c r="G7054" s="549"/>
      <c r="H7054" s="549"/>
      <c r="I7054" s="549"/>
      <c r="J7054" s="549"/>
      <c r="K7054" s="549"/>
      <c r="M7054" s="465"/>
      <c r="N7054" s="201"/>
    </row>
    <row r="7055" spans="2:14" hidden="1" outlineLevel="1" x14ac:dyDescent="0.35">
      <c r="B7055" s="200"/>
      <c r="C7055" s="201"/>
      <c r="D7055" s="201"/>
      <c r="E7055" s="201"/>
      <c r="F7055" s="202"/>
      <c r="G7055" s="549"/>
      <c r="H7055" s="549"/>
      <c r="I7055" s="549"/>
      <c r="J7055" s="549"/>
      <c r="K7055" s="549"/>
      <c r="M7055" s="465"/>
      <c r="N7055" s="201"/>
    </row>
    <row r="7056" spans="2:14" hidden="1" outlineLevel="1" x14ac:dyDescent="0.35">
      <c r="B7056" s="200"/>
      <c r="C7056" s="201"/>
      <c r="D7056" s="201"/>
      <c r="E7056" s="201"/>
      <c r="F7056" s="202"/>
      <c r="G7056" s="549"/>
      <c r="H7056" s="549"/>
      <c r="I7056" s="549"/>
      <c r="J7056" s="549"/>
      <c r="K7056" s="549"/>
      <c r="M7056" s="465"/>
      <c r="N7056" s="201"/>
    </row>
    <row r="7057" spans="2:14" hidden="1" outlineLevel="1" x14ac:dyDescent="0.35">
      <c r="B7057" s="200"/>
      <c r="C7057" s="201"/>
      <c r="D7057" s="201"/>
      <c r="E7057" s="201"/>
      <c r="F7057" s="202"/>
      <c r="G7057" s="549"/>
      <c r="H7057" s="549"/>
      <c r="I7057" s="549"/>
      <c r="J7057" s="549"/>
      <c r="K7057" s="549"/>
      <c r="M7057" s="465"/>
      <c r="N7057" s="201"/>
    </row>
    <row r="7058" spans="2:14" hidden="1" outlineLevel="1" x14ac:dyDescent="0.35">
      <c r="B7058" s="200"/>
      <c r="C7058" s="201"/>
      <c r="D7058" s="201"/>
      <c r="E7058" s="201"/>
      <c r="F7058" s="202"/>
      <c r="G7058" s="549"/>
      <c r="H7058" s="549"/>
      <c r="I7058" s="549"/>
      <c r="J7058" s="549"/>
      <c r="K7058" s="549"/>
      <c r="M7058" s="465"/>
      <c r="N7058" s="201"/>
    </row>
    <row r="7059" spans="2:14" hidden="1" outlineLevel="1" x14ac:dyDescent="0.35">
      <c r="B7059" s="200"/>
      <c r="C7059" s="201"/>
      <c r="D7059" s="201"/>
      <c r="E7059" s="201"/>
      <c r="F7059" s="202"/>
      <c r="G7059" s="549"/>
      <c r="H7059" s="549"/>
      <c r="I7059" s="549"/>
      <c r="J7059" s="549"/>
      <c r="K7059" s="549"/>
      <c r="M7059" s="465"/>
      <c r="N7059" s="201"/>
    </row>
    <row r="7060" spans="2:14" hidden="1" outlineLevel="1" x14ac:dyDescent="0.35">
      <c r="B7060" s="200"/>
      <c r="C7060" s="201"/>
      <c r="D7060" s="201"/>
      <c r="E7060" s="201"/>
      <c r="F7060" s="202"/>
      <c r="G7060" s="549"/>
      <c r="H7060" s="549"/>
      <c r="I7060" s="549"/>
      <c r="J7060" s="549"/>
      <c r="K7060" s="549"/>
      <c r="M7060" s="465"/>
      <c r="N7060" s="201"/>
    </row>
    <row r="7061" spans="2:14" hidden="1" outlineLevel="1" x14ac:dyDescent="0.35">
      <c r="B7061" s="200"/>
      <c r="C7061" s="201"/>
      <c r="D7061" s="201"/>
      <c r="E7061" s="201"/>
      <c r="F7061" s="202"/>
      <c r="G7061" s="549"/>
      <c r="H7061" s="549"/>
      <c r="I7061" s="549"/>
      <c r="J7061" s="549"/>
      <c r="K7061" s="549"/>
      <c r="M7061" s="465"/>
      <c r="N7061" s="201"/>
    </row>
    <row r="7062" spans="2:14" hidden="1" outlineLevel="1" x14ac:dyDescent="0.35">
      <c r="B7062" s="200"/>
      <c r="C7062" s="201"/>
      <c r="D7062" s="201"/>
      <c r="E7062" s="201"/>
      <c r="F7062" s="202"/>
      <c r="G7062" s="549"/>
      <c r="H7062" s="549"/>
      <c r="I7062" s="549"/>
      <c r="J7062" s="549"/>
      <c r="K7062" s="549"/>
      <c r="M7062" s="465"/>
      <c r="N7062" s="201"/>
    </row>
    <row r="7063" spans="2:14" hidden="1" outlineLevel="1" x14ac:dyDescent="0.35">
      <c r="B7063" s="200"/>
      <c r="C7063" s="201"/>
      <c r="D7063" s="201"/>
      <c r="E7063" s="201"/>
      <c r="F7063" s="202"/>
      <c r="G7063" s="549"/>
      <c r="H7063" s="549"/>
      <c r="I7063" s="549"/>
      <c r="J7063" s="549"/>
      <c r="K7063" s="549"/>
      <c r="M7063" s="465"/>
      <c r="N7063" s="201"/>
    </row>
    <row r="7064" spans="2:14" hidden="1" outlineLevel="1" x14ac:dyDescent="0.35">
      <c r="B7064" s="200"/>
      <c r="C7064" s="201"/>
      <c r="D7064" s="201"/>
      <c r="E7064" s="201"/>
      <c r="F7064" s="202"/>
      <c r="G7064" s="549"/>
      <c r="H7064" s="549"/>
      <c r="I7064" s="549"/>
      <c r="J7064" s="549"/>
      <c r="K7064" s="549"/>
      <c r="M7064" s="465"/>
      <c r="N7064" s="201"/>
    </row>
    <row r="7065" spans="2:14" hidden="1" outlineLevel="1" x14ac:dyDescent="0.35">
      <c r="B7065" s="200"/>
      <c r="C7065" s="201"/>
      <c r="D7065" s="201"/>
      <c r="E7065" s="201"/>
      <c r="F7065" s="202"/>
      <c r="G7065" s="549"/>
      <c r="H7065" s="549"/>
      <c r="I7065" s="549"/>
      <c r="J7065" s="549"/>
      <c r="K7065" s="549"/>
      <c r="M7065" s="465"/>
      <c r="N7065" s="201"/>
    </row>
    <row r="7066" spans="2:14" hidden="1" outlineLevel="1" x14ac:dyDescent="0.35">
      <c r="B7066" s="200"/>
      <c r="C7066" s="201"/>
      <c r="D7066" s="201"/>
      <c r="E7066" s="201"/>
      <c r="F7066" s="202"/>
      <c r="G7066" s="549"/>
      <c r="H7066" s="549"/>
      <c r="I7066" s="549"/>
      <c r="J7066" s="549"/>
      <c r="K7066" s="549"/>
      <c r="M7066" s="465"/>
      <c r="N7066" s="201"/>
    </row>
    <row r="7067" spans="2:14" hidden="1" outlineLevel="1" x14ac:dyDescent="0.35">
      <c r="B7067" s="200"/>
      <c r="C7067" s="201"/>
      <c r="D7067" s="201"/>
      <c r="E7067" s="201"/>
      <c r="F7067" s="202"/>
      <c r="G7067" s="549"/>
      <c r="H7067" s="549"/>
      <c r="I7067" s="549"/>
      <c r="J7067" s="549"/>
      <c r="K7067" s="549"/>
      <c r="M7067" s="465"/>
      <c r="N7067" s="201"/>
    </row>
    <row r="7068" spans="2:14" hidden="1" outlineLevel="1" x14ac:dyDescent="0.35">
      <c r="B7068" s="200"/>
      <c r="C7068" s="201"/>
      <c r="D7068" s="201"/>
      <c r="E7068" s="201"/>
      <c r="F7068" s="202"/>
      <c r="G7068" s="549"/>
      <c r="H7068" s="549"/>
      <c r="I7068" s="549"/>
      <c r="J7068" s="549"/>
      <c r="K7068" s="549"/>
      <c r="M7068" s="465"/>
      <c r="N7068" s="201"/>
    </row>
    <row r="7069" spans="2:14" hidden="1" outlineLevel="1" x14ac:dyDescent="0.35">
      <c r="B7069" s="200"/>
      <c r="C7069" s="201"/>
      <c r="D7069" s="201"/>
      <c r="E7069" s="201"/>
      <c r="F7069" s="202"/>
      <c r="G7069" s="549"/>
      <c r="H7069" s="549"/>
      <c r="I7069" s="549"/>
      <c r="J7069" s="549"/>
      <c r="K7069" s="549"/>
      <c r="M7069" s="465"/>
      <c r="N7069" s="201"/>
    </row>
    <row r="7070" spans="2:14" hidden="1" outlineLevel="1" x14ac:dyDescent="0.35">
      <c r="B7070" s="200"/>
      <c r="C7070" s="201"/>
      <c r="D7070" s="201"/>
      <c r="E7070" s="201"/>
      <c r="F7070" s="202"/>
      <c r="G7070" s="549"/>
      <c r="H7070" s="549"/>
      <c r="I7070" s="549"/>
      <c r="J7070" s="549"/>
      <c r="K7070" s="549"/>
      <c r="M7070" s="465"/>
      <c r="N7070" s="201"/>
    </row>
    <row r="7071" spans="2:14" hidden="1" outlineLevel="1" x14ac:dyDescent="0.35">
      <c r="B7071" s="200"/>
      <c r="C7071" s="201"/>
      <c r="D7071" s="201"/>
      <c r="E7071" s="201"/>
      <c r="F7071" s="202"/>
      <c r="G7071" s="549"/>
      <c r="H7071" s="549"/>
      <c r="I7071" s="549"/>
      <c r="J7071" s="549"/>
      <c r="K7071" s="549"/>
      <c r="M7071" s="465"/>
      <c r="N7071" s="201"/>
    </row>
    <row r="7072" spans="2:14" hidden="1" outlineLevel="1" x14ac:dyDescent="0.35">
      <c r="B7072" s="200"/>
      <c r="C7072" s="201"/>
      <c r="D7072" s="201"/>
      <c r="E7072" s="201"/>
      <c r="F7072" s="202"/>
      <c r="G7072" s="549"/>
      <c r="H7072" s="549"/>
      <c r="I7072" s="549"/>
      <c r="J7072" s="549"/>
      <c r="K7072" s="549"/>
      <c r="M7072" s="465"/>
      <c r="N7072" s="201"/>
    </row>
    <row r="7073" spans="2:14" hidden="1" outlineLevel="1" x14ac:dyDescent="0.35">
      <c r="B7073" s="200"/>
      <c r="C7073" s="201"/>
      <c r="D7073" s="201"/>
      <c r="E7073" s="201"/>
      <c r="F7073" s="202"/>
      <c r="G7073" s="549"/>
      <c r="H7073" s="549"/>
      <c r="I7073" s="549"/>
      <c r="J7073" s="549"/>
      <c r="K7073" s="549"/>
      <c r="M7073" s="465"/>
      <c r="N7073" s="201"/>
    </row>
    <row r="7074" spans="2:14" hidden="1" outlineLevel="1" x14ac:dyDescent="0.35">
      <c r="B7074" s="200"/>
      <c r="C7074" s="201"/>
      <c r="D7074" s="201"/>
      <c r="E7074" s="201"/>
      <c r="F7074" s="202"/>
      <c r="G7074" s="549"/>
      <c r="H7074" s="549"/>
      <c r="I7074" s="549"/>
      <c r="J7074" s="549"/>
      <c r="K7074" s="549"/>
      <c r="M7074" s="465"/>
      <c r="N7074" s="201"/>
    </row>
    <row r="7075" spans="2:14" hidden="1" outlineLevel="1" x14ac:dyDescent="0.35">
      <c r="B7075" s="200"/>
      <c r="C7075" s="201"/>
      <c r="D7075" s="201"/>
      <c r="E7075" s="201"/>
      <c r="F7075" s="202"/>
      <c r="G7075" s="549"/>
      <c r="H7075" s="549"/>
      <c r="I7075" s="549"/>
      <c r="J7075" s="549"/>
      <c r="K7075" s="549"/>
      <c r="M7075" s="465"/>
      <c r="N7075" s="201"/>
    </row>
    <row r="7076" spans="2:14" hidden="1" outlineLevel="1" x14ac:dyDescent="0.35">
      <c r="B7076" s="200"/>
      <c r="C7076" s="201"/>
      <c r="D7076" s="201"/>
      <c r="E7076" s="201"/>
      <c r="F7076" s="202"/>
      <c r="G7076" s="549"/>
      <c r="H7076" s="549"/>
      <c r="I7076" s="549"/>
      <c r="J7076" s="549"/>
      <c r="K7076" s="549"/>
      <c r="M7076" s="465"/>
      <c r="N7076" s="201"/>
    </row>
    <row r="7077" spans="2:14" hidden="1" outlineLevel="1" x14ac:dyDescent="0.35">
      <c r="B7077" s="200"/>
      <c r="C7077" s="201"/>
      <c r="D7077" s="201"/>
      <c r="E7077" s="201"/>
      <c r="F7077" s="202"/>
      <c r="G7077" s="549"/>
      <c r="H7077" s="549"/>
      <c r="I7077" s="549"/>
      <c r="J7077" s="549"/>
      <c r="K7077" s="549"/>
      <c r="M7077" s="465"/>
      <c r="N7077" s="201"/>
    </row>
    <row r="7078" spans="2:14" hidden="1" outlineLevel="1" x14ac:dyDescent="0.35">
      <c r="B7078" s="200"/>
      <c r="C7078" s="201"/>
      <c r="D7078" s="201"/>
      <c r="E7078" s="201"/>
      <c r="F7078" s="202"/>
      <c r="G7078" s="549"/>
      <c r="H7078" s="549"/>
      <c r="I7078" s="549"/>
      <c r="J7078" s="549"/>
      <c r="K7078" s="549"/>
      <c r="M7078" s="465"/>
      <c r="N7078" s="201"/>
    </row>
    <row r="7079" spans="2:14" hidden="1" outlineLevel="1" x14ac:dyDescent="0.35">
      <c r="B7079" s="200"/>
      <c r="C7079" s="201"/>
      <c r="D7079" s="201"/>
      <c r="E7079" s="201"/>
      <c r="F7079" s="202"/>
      <c r="G7079" s="549"/>
      <c r="H7079" s="549"/>
      <c r="I7079" s="549"/>
      <c r="J7079" s="549"/>
      <c r="K7079" s="549"/>
      <c r="M7079" s="465"/>
      <c r="N7079" s="201"/>
    </row>
    <row r="7080" spans="2:14" hidden="1" outlineLevel="1" x14ac:dyDescent="0.35">
      <c r="B7080" s="200"/>
      <c r="C7080" s="201"/>
      <c r="D7080" s="201"/>
      <c r="E7080" s="201"/>
      <c r="F7080" s="202"/>
      <c r="G7080" s="549"/>
      <c r="H7080" s="549"/>
      <c r="I7080" s="549"/>
      <c r="J7080" s="549"/>
      <c r="K7080" s="549"/>
      <c r="M7080" s="465"/>
      <c r="N7080" s="201"/>
    </row>
    <row r="7081" spans="2:14" hidden="1" outlineLevel="1" x14ac:dyDescent="0.35">
      <c r="B7081" s="200"/>
      <c r="C7081" s="201"/>
      <c r="D7081" s="201"/>
      <c r="E7081" s="201"/>
      <c r="F7081" s="202"/>
      <c r="G7081" s="549"/>
      <c r="H7081" s="549"/>
      <c r="I7081" s="549"/>
      <c r="J7081" s="549"/>
      <c r="K7081" s="549"/>
      <c r="M7081" s="465"/>
      <c r="N7081" s="201"/>
    </row>
    <row r="7082" spans="2:14" hidden="1" outlineLevel="1" x14ac:dyDescent="0.35">
      <c r="B7082" s="200"/>
      <c r="C7082" s="201"/>
      <c r="D7082" s="201"/>
      <c r="E7082" s="201"/>
      <c r="F7082" s="202"/>
      <c r="G7082" s="549"/>
      <c r="H7082" s="549"/>
      <c r="I7082" s="549"/>
      <c r="J7082" s="549"/>
      <c r="K7082" s="549"/>
      <c r="M7082" s="465"/>
      <c r="N7082" s="201"/>
    </row>
    <row r="7083" spans="2:14" hidden="1" outlineLevel="1" x14ac:dyDescent="0.35">
      <c r="B7083" s="200"/>
      <c r="C7083" s="201"/>
      <c r="D7083" s="201"/>
      <c r="E7083" s="201"/>
      <c r="F7083" s="202"/>
      <c r="G7083" s="549"/>
      <c r="H7083" s="549"/>
      <c r="I7083" s="549"/>
      <c r="J7083" s="549"/>
      <c r="K7083" s="549"/>
      <c r="M7083" s="465"/>
      <c r="N7083" s="201"/>
    </row>
    <row r="7084" spans="2:14" hidden="1" outlineLevel="1" x14ac:dyDescent="0.35">
      <c r="B7084" s="200"/>
      <c r="C7084" s="201"/>
      <c r="D7084" s="201"/>
      <c r="E7084" s="201"/>
      <c r="F7084" s="202"/>
      <c r="G7084" s="549"/>
      <c r="H7084" s="549"/>
      <c r="I7084" s="549"/>
      <c r="J7084" s="549"/>
      <c r="K7084" s="549"/>
      <c r="M7084" s="465"/>
      <c r="N7084" s="201"/>
    </row>
    <row r="7085" spans="2:14" hidden="1" outlineLevel="1" x14ac:dyDescent="0.35">
      <c r="B7085" s="200"/>
      <c r="C7085" s="201"/>
      <c r="D7085" s="201"/>
      <c r="E7085" s="201"/>
      <c r="F7085" s="202"/>
      <c r="G7085" s="549"/>
      <c r="H7085" s="549"/>
      <c r="I7085" s="549"/>
      <c r="J7085" s="549"/>
      <c r="K7085" s="549"/>
      <c r="M7085" s="465"/>
      <c r="N7085" s="201"/>
    </row>
    <row r="7086" spans="2:14" hidden="1" outlineLevel="1" x14ac:dyDescent="0.35">
      <c r="B7086" s="200"/>
      <c r="C7086" s="201"/>
      <c r="D7086" s="201"/>
      <c r="E7086" s="201"/>
      <c r="F7086" s="202"/>
      <c r="G7086" s="549"/>
      <c r="H7086" s="549"/>
      <c r="I7086" s="549"/>
      <c r="J7086" s="549"/>
      <c r="K7086" s="549"/>
      <c r="M7086" s="465"/>
      <c r="N7086" s="201"/>
    </row>
    <row r="7087" spans="2:14" hidden="1" outlineLevel="1" x14ac:dyDescent="0.35">
      <c r="B7087" s="200"/>
      <c r="C7087" s="201"/>
      <c r="D7087" s="201"/>
      <c r="E7087" s="201"/>
      <c r="F7087" s="202"/>
      <c r="G7087" s="549"/>
      <c r="H7087" s="549"/>
      <c r="I7087" s="549"/>
      <c r="J7087" s="549"/>
      <c r="K7087" s="549"/>
      <c r="M7087" s="465"/>
      <c r="N7087" s="201"/>
    </row>
    <row r="7088" spans="2:14" hidden="1" outlineLevel="1" x14ac:dyDescent="0.35">
      <c r="B7088" s="200"/>
      <c r="C7088" s="201"/>
      <c r="D7088" s="201"/>
      <c r="E7088" s="201"/>
      <c r="F7088" s="202"/>
      <c r="G7088" s="549"/>
      <c r="H7088" s="549"/>
      <c r="I7088" s="549"/>
      <c r="J7088" s="549"/>
      <c r="K7088" s="549"/>
      <c r="M7088" s="465"/>
      <c r="N7088" s="201"/>
    </row>
    <row r="7089" spans="2:14" hidden="1" outlineLevel="1" x14ac:dyDescent="0.35">
      <c r="B7089" s="200"/>
      <c r="C7089" s="201"/>
      <c r="D7089" s="201"/>
      <c r="E7089" s="201"/>
      <c r="F7089" s="202"/>
      <c r="G7089" s="549"/>
      <c r="H7089" s="549"/>
      <c r="I7089" s="549"/>
      <c r="J7089" s="549"/>
      <c r="K7089" s="549"/>
      <c r="M7089" s="465"/>
      <c r="N7089" s="201"/>
    </row>
    <row r="7090" spans="2:14" hidden="1" outlineLevel="1" x14ac:dyDescent="0.35">
      <c r="B7090" s="200"/>
      <c r="C7090" s="201"/>
      <c r="D7090" s="201"/>
      <c r="E7090" s="201"/>
      <c r="F7090" s="202"/>
      <c r="G7090" s="549"/>
      <c r="H7090" s="549"/>
      <c r="I7090" s="549"/>
      <c r="J7090" s="549"/>
      <c r="K7090" s="549"/>
      <c r="M7090" s="465"/>
      <c r="N7090" s="201"/>
    </row>
    <row r="7091" spans="2:14" hidden="1" outlineLevel="1" x14ac:dyDescent="0.35">
      <c r="B7091" s="200"/>
      <c r="C7091" s="201"/>
      <c r="D7091" s="201"/>
      <c r="E7091" s="201"/>
      <c r="F7091" s="202"/>
      <c r="G7091" s="549"/>
      <c r="H7091" s="549"/>
      <c r="I7091" s="549"/>
      <c r="J7091" s="549"/>
      <c r="K7091" s="549"/>
      <c r="M7091" s="465"/>
      <c r="N7091" s="201"/>
    </row>
    <row r="7092" spans="2:14" hidden="1" outlineLevel="1" x14ac:dyDescent="0.35">
      <c r="B7092" s="200"/>
      <c r="C7092" s="201"/>
      <c r="D7092" s="201"/>
      <c r="E7092" s="201"/>
      <c r="F7092" s="202"/>
      <c r="G7092" s="549"/>
      <c r="H7092" s="549"/>
      <c r="I7092" s="549"/>
      <c r="J7092" s="549"/>
      <c r="K7092" s="549"/>
      <c r="M7092" s="465"/>
      <c r="N7092" s="201"/>
    </row>
    <row r="7093" spans="2:14" hidden="1" outlineLevel="1" x14ac:dyDescent="0.35">
      <c r="B7093" s="200"/>
      <c r="C7093" s="201"/>
      <c r="D7093" s="201"/>
      <c r="E7093" s="201"/>
      <c r="F7093" s="202"/>
      <c r="G7093" s="549"/>
      <c r="H7093" s="549"/>
      <c r="I7093" s="549"/>
      <c r="J7093" s="549"/>
      <c r="K7093" s="549"/>
      <c r="M7093" s="465"/>
      <c r="N7093" s="201"/>
    </row>
    <row r="7094" spans="2:14" hidden="1" outlineLevel="1" x14ac:dyDescent="0.35">
      <c r="B7094" s="200"/>
      <c r="C7094" s="201"/>
      <c r="D7094" s="201"/>
      <c r="E7094" s="201"/>
      <c r="F7094" s="202"/>
      <c r="G7094" s="549"/>
      <c r="H7094" s="549"/>
      <c r="I7094" s="549"/>
      <c r="J7094" s="549"/>
      <c r="K7094" s="549"/>
      <c r="M7094" s="465"/>
      <c r="N7094" s="201"/>
    </row>
    <row r="7095" spans="2:14" hidden="1" outlineLevel="1" x14ac:dyDescent="0.35">
      <c r="B7095" s="200"/>
      <c r="C7095" s="201"/>
      <c r="D7095" s="201"/>
      <c r="E7095" s="201"/>
      <c r="F7095" s="202"/>
      <c r="G7095" s="549"/>
      <c r="H7095" s="549"/>
      <c r="I7095" s="549"/>
      <c r="J7095" s="549"/>
      <c r="K7095" s="549"/>
      <c r="M7095" s="465"/>
      <c r="N7095" s="201"/>
    </row>
    <row r="7096" spans="2:14" hidden="1" outlineLevel="1" x14ac:dyDescent="0.35">
      <c r="B7096" s="200"/>
      <c r="C7096" s="201"/>
      <c r="D7096" s="201"/>
      <c r="E7096" s="201"/>
      <c r="F7096" s="202"/>
      <c r="G7096" s="549"/>
      <c r="H7096" s="549"/>
      <c r="I7096" s="549"/>
      <c r="J7096" s="549"/>
      <c r="K7096" s="549"/>
      <c r="M7096" s="465"/>
      <c r="N7096" s="201"/>
    </row>
    <row r="7097" spans="2:14" hidden="1" outlineLevel="1" x14ac:dyDescent="0.35">
      <c r="B7097" s="200"/>
      <c r="C7097" s="201"/>
      <c r="D7097" s="201"/>
      <c r="E7097" s="201"/>
      <c r="F7097" s="202"/>
      <c r="G7097" s="549"/>
      <c r="H7097" s="549"/>
      <c r="I7097" s="549"/>
      <c r="J7097" s="549"/>
      <c r="K7097" s="549"/>
      <c r="M7097" s="465"/>
      <c r="N7097" s="201"/>
    </row>
    <row r="7098" spans="2:14" hidden="1" outlineLevel="1" x14ac:dyDescent="0.35">
      <c r="B7098" s="200"/>
      <c r="C7098" s="201"/>
      <c r="D7098" s="201"/>
      <c r="E7098" s="201"/>
      <c r="F7098" s="202"/>
      <c r="G7098" s="549"/>
      <c r="H7098" s="549"/>
      <c r="I7098" s="549"/>
      <c r="J7098" s="549"/>
      <c r="K7098" s="549"/>
      <c r="M7098" s="465"/>
      <c r="N7098" s="201"/>
    </row>
    <row r="7099" spans="2:14" hidden="1" outlineLevel="1" x14ac:dyDescent="0.35">
      <c r="B7099" s="200"/>
      <c r="C7099" s="201"/>
      <c r="D7099" s="201"/>
      <c r="E7099" s="201"/>
      <c r="F7099" s="202"/>
      <c r="G7099" s="549"/>
      <c r="H7099" s="549"/>
      <c r="I7099" s="549"/>
      <c r="J7099" s="549"/>
      <c r="K7099" s="549"/>
      <c r="M7099" s="465"/>
      <c r="N7099" s="201"/>
    </row>
    <row r="7100" spans="2:14" hidden="1" outlineLevel="1" x14ac:dyDescent="0.35">
      <c r="B7100" s="200"/>
      <c r="C7100" s="201"/>
      <c r="D7100" s="201"/>
      <c r="E7100" s="201"/>
      <c r="F7100" s="202"/>
      <c r="G7100" s="549"/>
      <c r="H7100" s="549"/>
      <c r="I7100" s="549"/>
      <c r="J7100" s="549"/>
      <c r="K7100" s="549"/>
      <c r="M7100" s="465"/>
      <c r="N7100" s="201"/>
    </row>
    <row r="7101" spans="2:14" hidden="1" outlineLevel="1" x14ac:dyDescent="0.35">
      <c r="B7101" s="200"/>
      <c r="C7101" s="201"/>
      <c r="D7101" s="201"/>
      <c r="E7101" s="201"/>
      <c r="F7101" s="202"/>
      <c r="G7101" s="549"/>
      <c r="H7101" s="549"/>
      <c r="I7101" s="549"/>
      <c r="J7101" s="549"/>
      <c r="K7101" s="549"/>
      <c r="M7101" s="465"/>
      <c r="N7101" s="201"/>
    </row>
    <row r="7102" spans="2:14" hidden="1" outlineLevel="1" x14ac:dyDescent="0.35">
      <c r="B7102" s="200"/>
      <c r="C7102" s="201"/>
      <c r="D7102" s="201"/>
      <c r="E7102" s="201"/>
      <c r="F7102" s="202"/>
      <c r="G7102" s="549"/>
      <c r="H7102" s="549"/>
      <c r="I7102" s="549"/>
      <c r="J7102" s="549"/>
      <c r="K7102" s="549"/>
      <c r="M7102" s="465"/>
      <c r="N7102" s="201"/>
    </row>
    <row r="7103" spans="2:14" hidden="1" outlineLevel="1" x14ac:dyDescent="0.35">
      <c r="B7103" s="200"/>
      <c r="C7103" s="201"/>
      <c r="D7103" s="201"/>
      <c r="E7103" s="201"/>
      <c r="F7103" s="202"/>
      <c r="G7103" s="549"/>
      <c r="H7103" s="549"/>
      <c r="I7103" s="549"/>
      <c r="J7103" s="549"/>
      <c r="K7103" s="549"/>
      <c r="M7103" s="465"/>
      <c r="N7103" s="201"/>
    </row>
    <row r="7104" spans="2:14" hidden="1" outlineLevel="1" x14ac:dyDescent="0.35">
      <c r="B7104" s="200"/>
      <c r="C7104" s="201"/>
      <c r="D7104" s="201"/>
      <c r="E7104" s="201"/>
      <c r="F7104" s="202"/>
      <c r="G7104" s="549"/>
      <c r="H7104" s="549"/>
      <c r="I7104" s="549"/>
      <c r="J7104" s="549"/>
      <c r="K7104" s="549"/>
      <c r="M7104" s="465"/>
      <c r="N7104" s="201"/>
    </row>
    <row r="7105" spans="2:14" hidden="1" outlineLevel="1" x14ac:dyDescent="0.35">
      <c r="B7105" s="200"/>
      <c r="C7105" s="201"/>
      <c r="D7105" s="201"/>
      <c r="E7105" s="201"/>
      <c r="F7105" s="202"/>
      <c r="G7105" s="549"/>
      <c r="H7105" s="549"/>
      <c r="I7105" s="549"/>
      <c r="J7105" s="549"/>
      <c r="K7105" s="549"/>
      <c r="M7105" s="465"/>
      <c r="N7105" s="201"/>
    </row>
    <row r="7106" spans="2:14" hidden="1" outlineLevel="1" x14ac:dyDescent="0.35">
      <c r="B7106" s="200"/>
      <c r="C7106" s="201"/>
      <c r="D7106" s="201"/>
      <c r="E7106" s="201"/>
      <c r="F7106" s="202"/>
      <c r="G7106" s="549"/>
      <c r="H7106" s="549"/>
      <c r="I7106" s="549"/>
      <c r="J7106" s="549"/>
      <c r="K7106" s="549"/>
      <c r="M7106" s="465"/>
      <c r="N7106" s="201"/>
    </row>
    <row r="7107" spans="2:14" hidden="1" outlineLevel="1" x14ac:dyDescent="0.35">
      <c r="B7107" s="200"/>
      <c r="C7107" s="201"/>
      <c r="D7107" s="201"/>
      <c r="E7107" s="201"/>
      <c r="F7107" s="202"/>
      <c r="G7107" s="549"/>
      <c r="H7107" s="549"/>
      <c r="I7107" s="549"/>
      <c r="J7107" s="549"/>
      <c r="K7107" s="549"/>
      <c r="M7107" s="465"/>
      <c r="N7107" s="201"/>
    </row>
    <row r="7108" spans="2:14" hidden="1" outlineLevel="1" x14ac:dyDescent="0.35">
      <c r="B7108" s="200"/>
      <c r="C7108" s="201"/>
      <c r="D7108" s="201"/>
      <c r="E7108" s="201"/>
      <c r="F7108" s="202"/>
      <c r="G7108" s="549"/>
      <c r="H7108" s="549"/>
      <c r="I7108" s="549"/>
      <c r="J7108" s="549"/>
      <c r="K7108" s="549"/>
      <c r="M7108" s="465"/>
      <c r="N7108" s="201"/>
    </row>
    <row r="7109" spans="2:14" hidden="1" outlineLevel="1" x14ac:dyDescent="0.35">
      <c r="B7109" s="200"/>
      <c r="C7109" s="201"/>
      <c r="D7109" s="201"/>
      <c r="E7109" s="201"/>
      <c r="F7109" s="202"/>
      <c r="G7109" s="549"/>
      <c r="H7109" s="549"/>
      <c r="I7109" s="549"/>
      <c r="J7109" s="549"/>
      <c r="K7109" s="549"/>
      <c r="M7109" s="465"/>
      <c r="N7109" s="201"/>
    </row>
    <row r="7110" spans="2:14" hidden="1" outlineLevel="1" x14ac:dyDescent="0.35">
      <c r="B7110" s="200"/>
      <c r="C7110" s="201"/>
      <c r="D7110" s="201"/>
      <c r="E7110" s="201"/>
      <c r="F7110" s="202"/>
      <c r="G7110" s="549"/>
      <c r="H7110" s="549"/>
      <c r="I7110" s="549"/>
      <c r="J7110" s="549"/>
      <c r="K7110" s="549"/>
      <c r="M7110" s="465"/>
      <c r="N7110" s="201"/>
    </row>
    <row r="7111" spans="2:14" hidden="1" outlineLevel="1" x14ac:dyDescent="0.35">
      <c r="B7111" s="200"/>
      <c r="C7111" s="201"/>
      <c r="D7111" s="201"/>
      <c r="E7111" s="201"/>
      <c r="F7111" s="202"/>
      <c r="G7111" s="549"/>
      <c r="H7111" s="549"/>
      <c r="I7111" s="549"/>
      <c r="J7111" s="549"/>
      <c r="K7111" s="549"/>
      <c r="M7111" s="465"/>
      <c r="N7111" s="201"/>
    </row>
    <row r="7112" spans="2:14" hidden="1" outlineLevel="1" x14ac:dyDescent="0.35">
      <c r="B7112" s="200"/>
      <c r="C7112" s="201"/>
      <c r="D7112" s="201"/>
      <c r="E7112" s="201"/>
      <c r="F7112" s="202"/>
      <c r="G7112" s="549"/>
      <c r="H7112" s="549"/>
      <c r="I7112" s="549"/>
      <c r="J7112" s="549"/>
      <c r="K7112" s="549"/>
      <c r="M7112" s="465"/>
      <c r="N7112" s="201"/>
    </row>
    <row r="7113" spans="2:14" hidden="1" outlineLevel="1" x14ac:dyDescent="0.35">
      <c r="B7113" s="200"/>
      <c r="C7113" s="201"/>
      <c r="D7113" s="201"/>
      <c r="E7113" s="201"/>
      <c r="F7113" s="202"/>
      <c r="G7113" s="549"/>
      <c r="H7113" s="549"/>
      <c r="I7113" s="549"/>
      <c r="J7113" s="549"/>
      <c r="K7113" s="549"/>
      <c r="M7113" s="465"/>
      <c r="N7113" s="201"/>
    </row>
    <row r="7114" spans="2:14" hidden="1" outlineLevel="1" x14ac:dyDescent="0.35">
      <c r="B7114" s="200"/>
      <c r="C7114" s="201"/>
      <c r="D7114" s="201"/>
      <c r="E7114" s="201"/>
      <c r="F7114" s="202"/>
      <c r="G7114" s="549"/>
      <c r="H7114" s="549"/>
      <c r="I7114" s="549"/>
      <c r="J7114" s="549"/>
      <c r="K7114" s="549"/>
      <c r="M7114" s="465"/>
      <c r="N7114" s="201"/>
    </row>
    <row r="7115" spans="2:14" hidden="1" outlineLevel="1" x14ac:dyDescent="0.35">
      <c r="B7115" s="200"/>
      <c r="C7115" s="201"/>
      <c r="D7115" s="201"/>
      <c r="E7115" s="201"/>
      <c r="F7115" s="202"/>
      <c r="G7115" s="549"/>
      <c r="H7115" s="549"/>
      <c r="I7115" s="549"/>
      <c r="J7115" s="549"/>
      <c r="K7115" s="549"/>
      <c r="M7115" s="465"/>
      <c r="N7115" s="201"/>
    </row>
    <row r="7116" spans="2:14" hidden="1" outlineLevel="1" x14ac:dyDescent="0.35">
      <c r="B7116" s="200"/>
      <c r="C7116" s="201"/>
      <c r="D7116" s="201"/>
      <c r="E7116" s="201"/>
      <c r="F7116" s="202"/>
      <c r="G7116" s="549"/>
      <c r="H7116" s="549"/>
      <c r="I7116" s="549"/>
      <c r="J7116" s="549"/>
      <c r="K7116" s="549"/>
      <c r="M7116" s="465"/>
      <c r="N7116" s="201"/>
    </row>
    <row r="7117" spans="2:14" hidden="1" outlineLevel="1" x14ac:dyDescent="0.35">
      <c r="B7117" s="200"/>
      <c r="C7117" s="201"/>
      <c r="D7117" s="201"/>
      <c r="E7117" s="201"/>
      <c r="F7117" s="202"/>
      <c r="G7117" s="549"/>
      <c r="H7117" s="549"/>
      <c r="I7117" s="549"/>
      <c r="J7117" s="549"/>
      <c r="K7117" s="549"/>
      <c r="M7117" s="465"/>
      <c r="N7117" s="201"/>
    </row>
    <row r="7118" spans="2:14" hidden="1" outlineLevel="1" x14ac:dyDescent="0.35">
      <c r="B7118" s="200"/>
      <c r="C7118" s="201"/>
      <c r="D7118" s="201"/>
      <c r="E7118" s="201"/>
      <c r="F7118" s="202"/>
      <c r="G7118" s="549"/>
      <c r="H7118" s="549"/>
      <c r="I7118" s="549"/>
      <c r="J7118" s="549"/>
      <c r="K7118" s="549"/>
      <c r="M7118" s="465"/>
      <c r="N7118" s="201"/>
    </row>
    <row r="7119" spans="2:14" hidden="1" outlineLevel="1" x14ac:dyDescent="0.35">
      <c r="B7119" s="200"/>
      <c r="C7119" s="201"/>
      <c r="D7119" s="201"/>
      <c r="E7119" s="201"/>
      <c r="F7119" s="202"/>
      <c r="G7119" s="549"/>
      <c r="H7119" s="549"/>
      <c r="I7119" s="549"/>
      <c r="J7119" s="549"/>
      <c r="K7119" s="549"/>
      <c r="M7119" s="465"/>
      <c r="N7119" s="201"/>
    </row>
    <row r="7120" spans="2:14" hidden="1" outlineLevel="1" x14ac:dyDescent="0.35">
      <c r="B7120" s="200"/>
      <c r="C7120" s="201"/>
      <c r="D7120" s="201"/>
      <c r="E7120" s="201"/>
      <c r="F7120" s="202"/>
      <c r="G7120" s="549"/>
      <c r="H7120" s="549"/>
      <c r="I7120" s="549"/>
      <c r="J7120" s="549"/>
      <c r="K7120" s="549"/>
      <c r="M7120" s="465"/>
      <c r="N7120" s="201"/>
    </row>
    <row r="7121" spans="2:14" hidden="1" outlineLevel="1" x14ac:dyDescent="0.35">
      <c r="B7121" s="200"/>
      <c r="C7121" s="201"/>
      <c r="D7121" s="201"/>
      <c r="E7121" s="201"/>
      <c r="F7121" s="202"/>
      <c r="G7121" s="549"/>
      <c r="H7121" s="549"/>
      <c r="I7121" s="549"/>
      <c r="J7121" s="549"/>
      <c r="K7121" s="549"/>
      <c r="M7121" s="465"/>
      <c r="N7121" s="201"/>
    </row>
    <row r="7122" spans="2:14" hidden="1" outlineLevel="1" x14ac:dyDescent="0.35">
      <c r="B7122" s="200"/>
      <c r="C7122" s="201"/>
      <c r="D7122" s="201"/>
      <c r="E7122" s="201"/>
      <c r="F7122" s="202"/>
      <c r="G7122" s="549"/>
      <c r="H7122" s="549"/>
      <c r="I7122" s="549"/>
      <c r="J7122" s="549"/>
      <c r="K7122" s="549"/>
      <c r="M7122" s="465"/>
      <c r="N7122" s="201"/>
    </row>
    <row r="7123" spans="2:14" hidden="1" outlineLevel="1" x14ac:dyDescent="0.35">
      <c r="B7123" s="200"/>
      <c r="C7123" s="201"/>
      <c r="D7123" s="201"/>
      <c r="E7123" s="201"/>
      <c r="F7123" s="202"/>
      <c r="G7123" s="549"/>
      <c r="H7123" s="549"/>
      <c r="I7123" s="549"/>
      <c r="J7123" s="549"/>
      <c r="K7123" s="549"/>
      <c r="M7123" s="465"/>
      <c r="N7123" s="201"/>
    </row>
    <row r="7124" spans="2:14" hidden="1" outlineLevel="1" x14ac:dyDescent="0.35">
      <c r="B7124" s="200"/>
      <c r="C7124" s="201"/>
      <c r="D7124" s="201"/>
      <c r="E7124" s="201"/>
      <c r="F7124" s="202"/>
      <c r="G7124" s="549"/>
      <c r="H7124" s="549"/>
      <c r="I7124" s="549"/>
      <c r="J7124" s="549"/>
      <c r="K7124" s="549"/>
      <c r="M7124" s="465"/>
      <c r="N7124" s="201"/>
    </row>
    <row r="7125" spans="2:14" hidden="1" outlineLevel="1" x14ac:dyDescent="0.35">
      <c r="B7125" s="200"/>
      <c r="C7125" s="201"/>
      <c r="D7125" s="201"/>
      <c r="E7125" s="201"/>
      <c r="F7125" s="202"/>
      <c r="G7125" s="549"/>
      <c r="H7125" s="549"/>
      <c r="I7125" s="549"/>
      <c r="J7125" s="549"/>
      <c r="K7125" s="549"/>
      <c r="M7125" s="465"/>
      <c r="N7125" s="201"/>
    </row>
    <row r="7126" spans="2:14" hidden="1" outlineLevel="1" x14ac:dyDescent="0.35">
      <c r="B7126" s="200"/>
      <c r="C7126" s="201"/>
      <c r="D7126" s="201"/>
      <c r="E7126" s="201"/>
      <c r="F7126" s="202"/>
      <c r="G7126" s="549"/>
      <c r="H7126" s="549"/>
      <c r="I7126" s="549"/>
      <c r="J7126" s="549"/>
      <c r="K7126" s="549"/>
      <c r="M7126" s="465"/>
      <c r="N7126" s="201"/>
    </row>
    <row r="7127" spans="2:14" hidden="1" outlineLevel="1" x14ac:dyDescent="0.35">
      <c r="B7127" s="200"/>
      <c r="C7127" s="201"/>
      <c r="D7127" s="201"/>
      <c r="E7127" s="201"/>
      <c r="F7127" s="202"/>
      <c r="G7127" s="549"/>
      <c r="H7127" s="549"/>
      <c r="I7127" s="549"/>
      <c r="J7127" s="549"/>
      <c r="K7127" s="549"/>
      <c r="M7127" s="465"/>
      <c r="N7127" s="201"/>
    </row>
    <row r="7128" spans="2:14" hidden="1" outlineLevel="1" x14ac:dyDescent="0.35">
      <c r="B7128" s="200"/>
      <c r="C7128" s="201"/>
      <c r="D7128" s="201"/>
      <c r="E7128" s="201"/>
      <c r="F7128" s="202"/>
      <c r="G7128" s="549"/>
      <c r="H7128" s="549"/>
      <c r="I7128" s="549"/>
      <c r="J7128" s="549"/>
      <c r="K7128" s="549"/>
      <c r="M7128" s="465"/>
      <c r="N7128" s="201"/>
    </row>
    <row r="7129" spans="2:14" hidden="1" outlineLevel="1" x14ac:dyDescent="0.35">
      <c r="B7129" s="200"/>
      <c r="C7129" s="201"/>
      <c r="D7129" s="201"/>
      <c r="E7129" s="201"/>
      <c r="F7129" s="202"/>
      <c r="G7129" s="549"/>
      <c r="H7129" s="549"/>
      <c r="I7129" s="549"/>
      <c r="J7129" s="549"/>
      <c r="K7129" s="549"/>
      <c r="M7129" s="465"/>
      <c r="N7129" s="201"/>
    </row>
    <row r="7130" spans="2:14" hidden="1" outlineLevel="1" x14ac:dyDescent="0.35">
      <c r="B7130" s="200"/>
      <c r="C7130" s="201"/>
      <c r="D7130" s="201"/>
      <c r="E7130" s="201"/>
      <c r="F7130" s="202"/>
      <c r="G7130" s="549"/>
      <c r="H7130" s="549"/>
      <c r="I7130" s="549"/>
      <c r="J7130" s="549"/>
      <c r="K7130" s="549"/>
      <c r="M7130" s="465"/>
      <c r="N7130" s="201"/>
    </row>
    <row r="7131" spans="2:14" hidden="1" outlineLevel="1" x14ac:dyDescent="0.35">
      <c r="B7131" s="200"/>
      <c r="C7131" s="201"/>
      <c r="D7131" s="201"/>
      <c r="E7131" s="201"/>
      <c r="F7131" s="202"/>
      <c r="G7131" s="549"/>
      <c r="H7131" s="549"/>
      <c r="I7131" s="549"/>
      <c r="J7131" s="549"/>
      <c r="K7131" s="549"/>
      <c r="M7131" s="465"/>
      <c r="N7131" s="201"/>
    </row>
    <row r="7132" spans="2:14" hidden="1" outlineLevel="1" x14ac:dyDescent="0.35">
      <c r="B7132" s="200"/>
      <c r="C7132" s="201"/>
      <c r="D7132" s="201"/>
      <c r="E7132" s="201"/>
      <c r="F7132" s="202"/>
      <c r="G7132" s="549"/>
      <c r="H7132" s="549"/>
      <c r="I7132" s="549"/>
      <c r="J7132" s="549"/>
      <c r="K7132" s="549"/>
      <c r="M7132" s="465"/>
      <c r="N7132" s="201"/>
    </row>
    <row r="7133" spans="2:14" hidden="1" outlineLevel="1" x14ac:dyDescent="0.35">
      <c r="B7133" s="200"/>
      <c r="C7133" s="201"/>
      <c r="D7133" s="201"/>
      <c r="E7133" s="201"/>
      <c r="F7133" s="202"/>
      <c r="G7133" s="549"/>
      <c r="H7133" s="549"/>
      <c r="I7133" s="549"/>
      <c r="J7133" s="549"/>
      <c r="K7133" s="549"/>
      <c r="M7133" s="465"/>
      <c r="N7133" s="201"/>
    </row>
    <row r="7134" spans="2:14" hidden="1" outlineLevel="1" x14ac:dyDescent="0.35">
      <c r="B7134" s="200"/>
      <c r="C7134" s="201"/>
      <c r="D7134" s="201"/>
      <c r="E7134" s="201"/>
      <c r="F7134" s="202"/>
      <c r="G7134" s="549"/>
      <c r="H7134" s="549"/>
      <c r="I7134" s="549"/>
      <c r="J7134" s="549"/>
      <c r="K7134" s="549"/>
      <c r="M7134" s="465"/>
      <c r="N7134" s="201"/>
    </row>
    <row r="7135" spans="2:14" hidden="1" outlineLevel="1" x14ac:dyDescent="0.35">
      <c r="B7135" s="200"/>
      <c r="C7135" s="201"/>
      <c r="D7135" s="201"/>
      <c r="E7135" s="201"/>
      <c r="F7135" s="202"/>
      <c r="G7135" s="549"/>
      <c r="H7135" s="549"/>
      <c r="I7135" s="549"/>
      <c r="J7135" s="549"/>
      <c r="K7135" s="549"/>
      <c r="M7135" s="465"/>
      <c r="N7135" s="201"/>
    </row>
    <row r="7136" spans="2:14" hidden="1" outlineLevel="1" x14ac:dyDescent="0.35">
      <c r="B7136" s="200"/>
      <c r="C7136" s="201"/>
      <c r="D7136" s="201"/>
      <c r="E7136" s="201"/>
      <c r="F7136" s="202"/>
      <c r="G7136" s="549"/>
      <c r="H7136" s="549"/>
      <c r="I7136" s="549"/>
      <c r="J7136" s="549"/>
      <c r="K7136" s="549"/>
      <c r="M7136" s="465"/>
      <c r="N7136" s="201"/>
    </row>
    <row r="7137" spans="2:14" hidden="1" outlineLevel="1" x14ac:dyDescent="0.35">
      <c r="B7137" s="200"/>
      <c r="C7137" s="201"/>
      <c r="D7137" s="201"/>
      <c r="E7137" s="201"/>
      <c r="F7137" s="202"/>
      <c r="G7137" s="549"/>
      <c r="H7137" s="549"/>
      <c r="I7137" s="549"/>
      <c r="J7137" s="549"/>
      <c r="K7137" s="549"/>
      <c r="M7137" s="465"/>
      <c r="N7137" s="201"/>
    </row>
    <row r="7138" spans="2:14" hidden="1" outlineLevel="1" x14ac:dyDescent="0.35">
      <c r="B7138" s="200"/>
      <c r="C7138" s="201"/>
      <c r="D7138" s="201"/>
      <c r="E7138" s="201"/>
      <c r="F7138" s="202"/>
      <c r="G7138" s="549"/>
      <c r="H7138" s="549"/>
      <c r="I7138" s="549"/>
      <c r="J7138" s="549"/>
      <c r="K7138" s="549"/>
      <c r="M7138" s="465"/>
      <c r="N7138" s="201"/>
    </row>
    <row r="7139" spans="2:14" hidden="1" outlineLevel="1" x14ac:dyDescent="0.35">
      <c r="B7139" s="200"/>
      <c r="C7139" s="201"/>
      <c r="D7139" s="201"/>
      <c r="E7139" s="201"/>
      <c r="F7139" s="202"/>
      <c r="G7139" s="549"/>
      <c r="H7139" s="549"/>
      <c r="I7139" s="549"/>
      <c r="J7139" s="549"/>
      <c r="K7139" s="549"/>
      <c r="M7139" s="465"/>
      <c r="N7139" s="201"/>
    </row>
    <row r="7140" spans="2:14" hidden="1" outlineLevel="1" x14ac:dyDescent="0.35">
      <c r="B7140" s="200"/>
      <c r="C7140" s="201"/>
      <c r="D7140" s="201"/>
      <c r="E7140" s="201"/>
      <c r="F7140" s="202"/>
      <c r="G7140" s="549"/>
      <c r="H7140" s="549"/>
      <c r="I7140" s="549"/>
      <c r="J7140" s="549"/>
      <c r="K7140" s="549"/>
      <c r="M7140" s="465"/>
      <c r="N7140" s="201"/>
    </row>
    <row r="7141" spans="2:14" hidden="1" outlineLevel="1" x14ac:dyDescent="0.35">
      <c r="B7141" s="200"/>
      <c r="C7141" s="201"/>
      <c r="D7141" s="201"/>
      <c r="E7141" s="201"/>
      <c r="F7141" s="202"/>
      <c r="G7141" s="549"/>
      <c r="H7141" s="549"/>
      <c r="I7141" s="549"/>
      <c r="J7141" s="549"/>
      <c r="K7141" s="549"/>
      <c r="M7141" s="465"/>
      <c r="N7141" s="201"/>
    </row>
    <row r="7142" spans="2:14" hidden="1" outlineLevel="1" x14ac:dyDescent="0.35">
      <c r="B7142" s="200"/>
      <c r="C7142" s="201"/>
      <c r="D7142" s="201"/>
      <c r="E7142" s="201"/>
      <c r="F7142" s="202"/>
      <c r="G7142" s="549"/>
      <c r="H7142" s="549"/>
      <c r="I7142" s="549"/>
      <c r="J7142" s="549"/>
      <c r="K7142" s="549"/>
      <c r="M7142" s="465"/>
      <c r="N7142" s="201"/>
    </row>
    <row r="7143" spans="2:14" hidden="1" outlineLevel="1" x14ac:dyDescent="0.35">
      <c r="B7143" s="200"/>
      <c r="C7143" s="201"/>
      <c r="D7143" s="201"/>
      <c r="E7143" s="201"/>
      <c r="F7143" s="202"/>
      <c r="G7143" s="549"/>
      <c r="H7143" s="549"/>
      <c r="I7143" s="549"/>
      <c r="J7143" s="549"/>
      <c r="K7143" s="549"/>
      <c r="M7143" s="465"/>
      <c r="N7143" s="201"/>
    </row>
    <row r="7144" spans="2:14" hidden="1" outlineLevel="1" x14ac:dyDescent="0.35">
      <c r="B7144" s="200"/>
      <c r="C7144" s="201"/>
      <c r="D7144" s="201"/>
      <c r="E7144" s="201"/>
      <c r="F7144" s="202"/>
      <c r="G7144" s="549"/>
      <c r="H7144" s="549"/>
      <c r="I7144" s="549"/>
      <c r="J7144" s="549"/>
      <c r="K7144" s="549"/>
      <c r="M7144" s="465"/>
      <c r="N7144" s="201"/>
    </row>
    <row r="7145" spans="2:14" hidden="1" outlineLevel="1" x14ac:dyDescent="0.35">
      <c r="B7145" s="200"/>
      <c r="C7145" s="201"/>
      <c r="D7145" s="201"/>
      <c r="E7145" s="201"/>
      <c r="F7145" s="202"/>
      <c r="G7145" s="549"/>
      <c r="H7145" s="549"/>
      <c r="I7145" s="549"/>
      <c r="J7145" s="549"/>
      <c r="K7145" s="549"/>
      <c r="M7145" s="465"/>
      <c r="N7145" s="201"/>
    </row>
    <row r="7146" spans="2:14" hidden="1" outlineLevel="1" x14ac:dyDescent="0.35">
      <c r="B7146" s="200"/>
      <c r="C7146" s="201"/>
      <c r="D7146" s="201"/>
      <c r="E7146" s="201"/>
      <c r="F7146" s="202"/>
      <c r="G7146" s="549"/>
      <c r="H7146" s="549"/>
      <c r="I7146" s="549"/>
      <c r="J7146" s="549"/>
      <c r="K7146" s="549"/>
      <c r="M7146" s="465"/>
      <c r="N7146" s="201"/>
    </row>
    <row r="7147" spans="2:14" hidden="1" outlineLevel="1" x14ac:dyDescent="0.35">
      <c r="B7147" s="200"/>
      <c r="C7147" s="201"/>
      <c r="D7147" s="201"/>
      <c r="E7147" s="201"/>
      <c r="F7147" s="202"/>
      <c r="G7147" s="549"/>
      <c r="H7147" s="549"/>
      <c r="I7147" s="549"/>
      <c r="J7147" s="549"/>
      <c r="K7147" s="549"/>
      <c r="M7147" s="465"/>
      <c r="N7147" s="201"/>
    </row>
    <row r="7148" spans="2:14" hidden="1" outlineLevel="1" x14ac:dyDescent="0.35">
      <c r="B7148" s="200"/>
      <c r="C7148" s="201"/>
      <c r="D7148" s="201"/>
      <c r="E7148" s="201"/>
      <c r="F7148" s="202"/>
      <c r="G7148" s="549"/>
      <c r="H7148" s="549"/>
      <c r="I7148" s="549"/>
      <c r="J7148" s="549"/>
      <c r="K7148" s="549"/>
      <c r="M7148" s="465"/>
      <c r="N7148" s="201"/>
    </row>
    <row r="7149" spans="2:14" hidden="1" outlineLevel="1" x14ac:dyDescent="0.35">
      <c r="B7149" s="200"/>
      <c r="C7149" s="201"/>
      <c r="D7149" s="201"/>
      <c r="E7149" s="201"/>
      <c r="F7149" s="202"/>
      <c r="G7149" s="549"/>
      <c r="H7149" s="549"/>
      <c r="I7149" s="549"/>
      <c r="J7149" s="549"/>
      <c r="K7149" s="549"/>
      <c r="M7149" s="465"/>
      <c r="N7149" s="201"/>
    </row>
    <row r="7150" spans="2:14" hidden="1" outlineLevel="1" x14ac:dyDescent="0.35">
      <c r="B7150" s="200"/>
      <c r="C7150" s="201"/>
      <c r="D7150" s="201"/>
      <c r="E7150" s="201"/>
      <c r="F7150" s="202"/>
      <c r="G7150" s="549"/>
      <c r="H7150" s="549"/>
      <c r="I7150" s="549"/>
      <c r="J7150" s="549"/>
      <c r="K7150" s="549"/>
      <c r="M7150" s="465"/>
      <c r="N7150" s="201"/>
    </row>
    <row r="7151" spans="2:14" hidden="1" outlineLevel="1" x14ac:dyDescent="0.35">
      <c r="B7151" s="200"/>
      <c r="C7151" s="201"/>
      <c r="D7151" s="201"/>
      <c r="E7151" s="201"/>
      <c r="F7151" s="202"/>
      <c r="G7151" s="549"/>
      <c r="H7151" s="549"/>
      <c r="I7151" s="549"/>
      <c r="J7151" s="549"/>
      <c r="K7151" s="549"/>
      <c r="M7151" s="465"/>
      <c r="N7151" s="201"/>
    </row>
    <row r="7152" spans="2:14" hidden="1" outlineLevel="1" x14ac:dyDescent="0.35">
      <c r="B7152" s="200"/>
      <c r="C7152" s="201"/>
      <c r="D7152" s="201"/>
      <c r="E7152" s="201"/>
      <c r="F7152" s="202"/>
      <c r="G7152" s="549"/>
      <c r="H7152" s="549"/>
      <c r="I7152" s="549"/>
      <c r="J7152" s="549"/>
      <c r="K7152" s="549"/>
      <c r="M7152" s="465"/>
      <c r="N7152" s="201"/>
    </row>
    <row r="7153" spans="2:14" hidden="1" outlineLevel="1" x14ac:dyDescent="0.35">
      <c r="B7153" s="200"/>
      <c r="C7153" s="201"/>
      <c r="D7153" s="201"/>
      <c r="E7153" s="201"/>
      <c r="F7153" s="202"/>
      <c r="G7153" s="549"/>
      <c r="H7153" s="549"/>
      <c r="I7153" s="549"/>
      <c r="J7153" s="549"/>
      <c r="K7153" s="549"/>
      <c r="M7153" s="465"/>
      <c r="N7153" s="201"/>
    </row>
    <row r="7154" spans="2:14" hidden="1" outlineLevel="1" x14ac:dyDescent="0.35">
      <c r="B7154" s="200"/>
      <c r="C7154" s="201"/>
      <c r="D7154" s="201"/>
      <c r="E7154" s="201"/>
      <c r="F7154" s="202"/>
      <c r="G7154" s="549"/>
      <c r="H7154" s="549"/>
      <c r="I7154" s="549"/>
      <c r="J7154" s="549"/>
      <c r="K7154" s="549"/>
      <c r="M7154" s="465"/>
      <c r="N7154" s="201"/>
    </row>
    <row r="7155" spans="2:14" hidden="1" outlineLevel="1" x14ac:dyDescent="0.35">
      <c r="B7155" s="200"/>
      <c r="C7155" s="201"/>
      <c r="D7155" s="201"/>
      <c r="E7155" s="201"/>
      <c r="F7155" s="202"/>
      <c r="G7155" s="549"/>
      <c r="H7155" s="549"/>
      <c r="I7155" s="549"/>
      <c r="J7155" s="549"/>
      <c r="K7155" s="549"/>
      <c r="M7155" s="465"/>
      <c r="N7155" s="201"/>
    </row>
    <row r="7156" spans="2:14" hidden="1" outlineLevel="1" x14ac:dyDescent="0.35">
      <c r="B7156" s="200"/>
      <c r="C7156" s="201"/>
      <c r="D7156" s="201"/>
      <c r="E7156" s="201"/>
      <c r="F7156" s="202"/>
      <c r="G7156" s="549"/>
      <c r="H7156" s="549"/>
      <c r="I7156" s="549"/>
      <c r="J7156" s="549"/>
      <c r="K7156" s="549"/>
      <c r="M7156" s="465"/>
      <c r="N7156" s="201"/>
    </row>
    <row r="7157" spans="2:14" hidden="1" outlineLevel="1" x14ac:dyDescent="0.35">
      <c r="B7157" s="200"/>
      <c r="C7157" s="201"/>
      <c r="D7157" s="201"/>
      <c r="E7157" s="201"/>
      <c r="F7157" s="202"/>
      <c r="G7157" s="549"/>
      <c r="H7157" s="549"/>
      <c r="I7157" s="549"/>
      <c r="J7157" s="549"/>
      <c r="K7157" s="549"/>
      <c r="M7157" s="465"/>
      <c r="N7157" s="201"/>
    </row>
    <row r="7158" spans="2:14" hidden="1" outlineLevel="1" x14ac:dyDescent="0.35">
      <c r="B7158" s="200"/>
      <c r="C7158" s="201"/>
      <c r="D7158" s="201"/>
      <c r="E7158" s="201"/>
      <c r="F7158" s="202"/>
      <c r="G7158" s="549"/>
      <c r="H7158" s="549"/>
      <c r="I7158" s="549"/>
      <c r="J7158" s="549"/>
      <c r="K7158" s="549"/>
      <c r="M7158" s="465"/>
      <c r="N7158" s="201"/>
    </row>
    <row r="7159" spans="2:14" hidden="1" outlineLevel="1" x14ac:dyDescent="0.35">
      <c r="B7159" s="200"/>
      <c r="C7159" s="201"/>
      <c r="D7159" s="201"/>
      <c r="E7159" s="201"/>
      <c r="F7159" s="202"/>
      <c r="G7159" s="549"/>
      <c r="H7159" s="549"/>
      <c r="I7159" s="549"/>
      <c r="J7159" s="549"/>
      <c r="K7159" s="549"/>
      <c r="M7159" s="465"/>
      <c r="N7159" s="201"/>
    </row>
    <row r="7160" spans="2:14" hidden="1" outlineLevel="1" x14ac:dyDescent="0.35">
      <c r="B7160" s="200"/>
      <c r="C7160" s="201"/>
      <c r="D7160" s="201"/>
      <c r="E7160" s="201"/>
      <c r="F7160" s="202"/>
      <c r="G7160" s="549"/>
      <c r="H7160" s="549"/>
      <c r="I7160" s="549"/>
      <c r="J7160" s="549"/>
      <c r="K7160" s="549"/>
      <c r="M7160" s="465"/>
      <c r="N7160" s="201"/>
    </row>
    <row r="7161" spans="2:14" hidden="1" outlineLevel="1" x14ac:dyDescent="0.35">
      <c r="B7161" s="200"/>
      <c r="C7161" s="201"/>
      <c r="D7161" s="201"/>
      <c r="E7161" s="201"/>
      <c r="F7161" s="202"/>
      <c r="G7161" s="549"/>
      <c r="H7161" s="549"/>
      <c r="I7161" s="549"/>
      <c r="J7161" s="549"/>
      <c r="K7161" s="549"/>
      <c r="M7161" s="465"/>
      <c r="N7161" s="201"/>
    </row>
    <row r="7162" spans="2:14" hidden="1" outlineLevel="1" x14ac:dyDescent="0.35">
      <c r="B7162" s="200"/>
      <c r="C7162" s="201"/>
      <c r="D7162" s="201"/>
      <c r="E7162" s="201"/>
      <c r="F7162" s="202"/>
      <c r="G7162" s="549"/>
      <c r="H7162" s="549"/>
      <c r="I7162" s="549"/>
      <c r="J7162" s="549"/>
      <c r="K7162" s="549"/>
      <c r="M7162" s="465"/>
      <c r="N7162" s="201"/>
    </row>
    <row r="7163" spans="2:14" hidden="1" outlineLevel="1" x14ac:dyDescent="0.35">
      <c r="B7163" s="200"/>
      <c r="C7163" s="201"/>
      <c r="D7163" s="201"/>
      <c r="E7163" s="201"/>
      <c r="F7163" s="202"/>
      <c r="G7163" s="549"/>
      <c r="H7163" s="549"/>
      <c r="I7163" s="549"/>
      <c r="J7163" s="549"/>
      <c r="K7163" s="549"/>
      <c r="M7163" s="465"/>
      <c r="N7163" s="201"/>
    </row>
    <row r="7164" spans="2:14" hidden="1" outlineLevel="1" x14ac:dyDescent="0.35">
      <c r="B7164" s="200"/>
      <c r="C7164" s="201"/>
      <c r="D7164" s="201"/>
      <c r="E7164" s="201"/>
      <c r="F7164" s="202"/>
      <c r="G7164" s="549"/>
      <c r="H7164" s="549"/>
      <c r="I7164" s="549"/>
      <c r="J7164" s="549"/>
      <c r="K7164" s="549"/>
      <c r="M7164" s="465"/>
      <c r="N7164" s="201"/>
    </row>
    <row r="7165" spans="2:14" hidden="1" outlineLevel="1" x14ac:dyDescent="0.35">
      <c r="B7165" s="200"/>
      <c r="C7165" s="201"/>
      <c r="D7165" s="201"/>
      <c r="E7165" s="201"/>
      <c r="F7165" s="202"/>
      <c r="G7165" s="549"/>
      <c r="H7165" s="549"/>
      <c r="I7165" s="549"/>
      <c r="J7165" s="549"/>
      <c r="K7165" s="549"/>
      <c r="M7165" s="465"/>
      <c r="N7165" s="201"/>
    </row>
    <row r="7166" spans="2:14" hidden="1" outlineLevel="1" x14ac:dyDescent="0.35">
      <c r="B7166" s="200"/>
      <c r="C7166" s="201"/>
      <c r="D7166" s="201"/>
      <c r="E7166" s="201"/>
      <c r="F7166" s="202"/>
      <c r="G7166" s="549"/>
      <c r="H7166" s="549"/>
      <c r="I7166" s="549"/>
      <c r="J7166" s="549"/>
      <c r="K7166" s="549"/>
      <c r="M7166" s="465"/>
      <c r="N7166" s="201"/>
    </row>
    <row r="7167" spans="2:14" hidden="1" outlineLevel="1" x14ac:dyDescent="0.35">
      <c r="B7167" s="200"/>
      <c r="C7167" s="201"/>
      <c r="D7167" s="201"/>
      <c r="E7167" s="201"/>
      <c r="F7167" s="202"/>
      <c r="G7167" s="549"/>
      <c r="H7167" s="549"/>
      <c r="I7167" s="549"/>
      <c r="J7167" s="549"/>
      <c r="K7167" s="549"/>
      <c r="M7167" s="465"/>
      <c r="N7167" s="201"/>
    </row>
    <row r="7168" spans="2:14" hidden="1" outlineLevel="1" x14ac:dyDescent="0.35">
      <c r="B7168" s="200"/>
      <c r="C7168" s="201"/>
      <c r="D7168" s="201"/>
      <c r="E7168" s="201"/>
      <c r="F7168" s="202"/>
      <c r="G7168" s="549"/>
      <c r="H7168" s="549"/>
      <c r="I7168" s="549"/>
      <c r="J7168" s="549"/>
      <c r="K7168" s="549"/>
      <c r="M7168" s="465"/>
      <c r="N7168" s="201"/>
    </row>
    <row r="7169" spans="2:14" hidden="1" outlineLevel="1" x14ac:dyDescent="0.35">
      <c r="B7169" s="200"/>
      <c r="C7169" s="201"/>
      <c r="D7169" s="201"/>
      <c r="E7169" s="201"/>
      <c r="F7169" s="202"/>
      <c r="G7169" s="549"/>
      <c r="H7169" s="549"/>
      <c r="I7169" s="549"/>
      <c r="J7169" s="549"/>
      <c r="K7169" s="549"/>
      <c r="M7169" s="465"/>
      <c r="N7169" s="201"/>
    </row>
    <row r="7170" spans="2:14" hidden="1" outlineLevel="1" x14ac:dyDescent="0.35">
      <c r="B7170" s="200"/>
      <c r="C7170" s="201"/>
      <c r="D7170" s="201"/>
      <c r="E7170" s="201"/>
      <c r="F7170" s="202"/>
      <c r="G7170" s="549"/>
      <c r="H7170" s="549"/>
      <c r="I7170" s="549"/>
      <c r="J7170" s="549"/>
      <c r="K7170" s="549"/>
      <c r="M7170" s="465"/>
      <c r="N7170" s="201"/>
    </row>
    <row r="7171" spans="2:14" hidden="1" outlineLevel="1" x14ac:dyDescent="0.35">
      <c r="B7171" s="200"/>
      <c r="C7171" s="201"/>
      <c r="D7171" s="201"/>
      <c r="E7171" s="201"/>
      <c r="F7171" s="202"/>
      <c r="G7171" s="549"/>
      <c r="H7171" s="549"/>
      <c r="I7171" s="549"/>
      <c r="J7171" s="549"/>
      <c r="K7171" s="549"/>
      <c r="M7171" s="465"/>
      <c r="N7171" s="201"/>
    </row>
    <row r="7172" spans="2:14" hidden="1" outlineLevel="1" x14ac:dyDescent="0.35">
      <c r="B7172" s="200"/>
      <c r="C7172" s="201"/>
      <c r="D7172" s="201"/>
      <c r="E7172" s="201"/>
      <c r="F7172" s="202"/>
      <c r="G7172" s="549"/>
      <c r="H7172" s="549"/>
      <c r="I7172" s="549"/>
      <c r="J7172" s="549"/>
      <c r="K7172" s="549"/>
      <c r="M7172" s="465"/>
      <c r="N7172" s="201"/>
    </row>
    <row r="7173" spans="2:14" hidden="1" outlineLevel="1" x14ac:dyDescent="0.35">
      <c r="B7173" s="200"/>
      <c r="C7173" s="201"/>
      <c r="D7173" s="201"/>
      <c r="E7173" s="201"/>
      <c r="F7173" s="202"/>
      <c r="G7173" s="549"/>
      <c r="H7173" s="549"/>
      <c r="I7173" s="549"/>
      <c r="J7173" s="549"/>
      <c r="K7173" s="549"/>
      <c r="M7173" s="465"/>
      <c r="N7173" s="201"/>
    </row>
    <row r="7174" spans="2:14" hidden="1" outlineLevel="1" x14ac:dyDescent="0.35">
      <c r="B7174" s="200"/>
      <c r="C7174" s="201"/>
      <c r="D7174" s="201"/>
      <c r="E7174" s="201"/>
      <c r="F7174" s="202"/>
      <c r="G7174" s="549"/>
      <c r="H7174" s="549"/>
      <c r="I7174" s="549"/>
      <c r="J7174" s="549"/>
      <c r="K7174" s="549"/>
      <c r="M7174" s="465"/>
      <c r="N7174" s="201"/>
    </row>
    <row r="7175" spans="2:14" hidden="1" outlineLevel="1" x14ac:dyDescent="0.35">
      <c r="B7175" s="200"/>
      <c r="C7175" s="201"/>
      <c r="D7175" s="201"/>
      <c r="E7175" s="201"/>
      <c r="F7175" s="202"/>
      <c r="G7175" s="549"/>
      <c r="H7175" s="549"/>
      <c r="I7175" s="549"/>
      <c r="J7175" s="549"/>
      <c r="K7175" s="549"/>
      <c r="M7175" s="465"/>
      <c r="N7175" s="201"/>
    </row>
    <row r="7176" spans="2:14" hidden="1" outlineLevel="1" x14ac:dyDescent="0.35">
      <c r="B7176" s="200"/>
      <c r="C7176" s="201"/>
      <c r="D7176" s="201"/>
      <c r="E7176" s="201"/>
      <c r="F7176" s="202"/>
      <c r="G7176" s="549"/>
      <c r="H7176" s="549"/>
      <c r="I7176" s="549"/>
      <c r="J7176" s="549"/>
      <c r="K7176" s="549"/>
      <c r="M7176" s="465"/>
      <c r="N7176" s="201"/>
    </row>
    <row r="7177" spans="2:14" hidden="1" outlineLevel="1" x14ac:dyDescent="0.35">
      <c r="B7177" s="200"/>
      <c r="C7177" s="201"/>
      <c r="D7177" s="201"/>
      <c r="E7177" s="201"/>
      <c r="F7177" s="202"/>
      <c r="G7177" s="549"/>
      <c r="H7177" s="549"/>
      <c r="I7177" s="549"/>
      <c r="J7177" s="549"/>
      <c r="K7177" s="549"/>
      <c r="M7177" s="465"/>
      <c r="N7177" s="201"/>
    </row>
    <row r="7178" spans="2:14" hidden="1" outlineLevel="1" x14ac:dyDescent="0.35">
      <c r="B7178" s="200"/>
      <c r="C7178" s="201"/>
      <c r="D7178" s="201"/>
      <c r="E7178" s="201"/>
      <c r="F7178" s="202"/>
      <c r="G7178" s="549"/>
      <c r="H7178" s="549"/>
      <c r="I7178" s="549"/>
      <c r="J7178" s="549"/>
      <c r="K7178" s="549"/>
      <c r="M7178" s="465"/>
      <c r="N7178" s="201"/>
    </row>
    <row r="7179" spans="2:14" hidden="1" outlineLevel="1" x14ac:dyDescent="0.35">
      <c r="B7179" s="200"/>
      <c r="C7179" s="201"/>
      <c r="D7179" s="201"/>
      <c r="E7179" s="201"/>
      <c r="F7179" s="202"/>
      <c r="G7179" s="549"/>
      <c r="H7179" s="549"/>
      <c r="I7179" s="549"/>
      <c r="J7179" s="549"/>
      <c r="K7179" s="549"/>
      <c r="M7179" s="465"/>
      <c r="N7179" s="201"/>
    </row>
    <row r="7180" spans="2:14" hidden="1" outlineLevel="1" x14ac:dyDescent="0.35">
      <c r="B7180" s="200"/>
      <c r="C7180" s="201"/>
      <c r="D7180" s="201"/>
      <c r="E7180" s="201"/>
      <c r="F7180" s="202"/>
      <c r="G7180" s="549"/>
      <c r="H7180" s="549"/>
      <c r="I7180" s="549"/>
      <c r="J7180" s="549"/>
      <c r="K7180" s="549"/>
      <c r="M7180" s="465"/>
      <c r="N7180" s="201"/>
    </row>
    <row r="7181" spans="2:14" hidden="1" outlineLevel="1" x14ac:dyDescent="0.35">
      <c r="B7181" s="200"/>
      <c r="C7181" s="201"/>
      <c r="D7181" s="201"/>
      <c r="E7181" s="201"/>
      <c r="F7181" s="202"/>
      <c r="G7181" s="549"/>
      <c r="H7181" s="549"/>
      <c r="I7181" s="549"/>
      <c r="J7181" s="549"/>
      <c r="K7181" s="549"/>
      <c r="M7181" s="465"/>
      <c r="N7181" s="201"/>
    </row>
    <row r="7182" spans="2:14" hidden="1" outlineLevel="1" x14ac:dyDescent="0.35">
      <c r="B7182" s="200"/>
      <c r="C7182" s="201"/>
      <c r="D7182" s="201"/>
      <c r="E7182" s="201"/>
      <c r="F7182" s="202"/>
      <c r="G7182" s="549"/>
      <c r="H7182" s="549"/>
      <c r="I7182" s="549"/>
      <c r="J7182" s="549"/>
      <c r="K7182" s="549"/>
      <c r="M7182" s="465"/>
      <c r="N7182" s="201"/>
    </row>
    <row r="7183" spans="2:14" hidden="1" outlineLevel="1" x14ac:dyDescent="0.35">
      <c r="B7183" s="200"/>
      <c r="C7183" s="201"/>
      <c r="D7183" s="201"/>
      <c r="E7183" s="201"/>
      <c r="F7183" s="202"/>
      <c r="G7183" s="549"/>
      <c r="H7183" s="549"/>
      <c r="I7183" s="549"/>
      <c r="J7183" s="549"/>
      <c r="K7183" s="549"/>
      <c r="M7183" s="465"/>
      <c r="N7183" s="201"/>
    </row>
    <row r="7184" spans="2:14" hidden="1" outlineLevel="1" x14ac:dyDescent="0.35">
      <c r="B7184" s="200"/>
      <c r="C7184" s="201"/>
      <c r="D7184" s="201"/>
      <c r="E7184" s="201"/>
      <c r="F7184" s="202"/>
      <c r="G7184" s="549"/>
      <c r="H7184" s="549"/>
      <c r="I7184" s="549"/>
      <c r="J7184" s="549"/>
      <c r="K7184" s="549"/>
      <c r="M7184" s="465"/>
      <c r="N7184" s="201"/>
    </row>
    <row r="7185" spans="2:14" hidden="1" outlineLevel="1" x14ac:dyDescent="0.35">
      <c r="B7185" s="200"/>
      <c r="C7185" s="201"/>
      <c r="D7185" s="201"/>
      <c r="E7185" s="201"/>
      <c r="F7185" s="202"/>
      <c r="G7185" s="549"/>
      <c r="H7185" s="549"/>
      <c r="I7185" s="549"/>
      <c r="J7185" s="549"/>
      <c r="K7185" s="549"/>
      <c r="M7185" s="465"/>
      <c r="N7185" s="201"/>
    </row>
    <row r="7186" spans="2:14" hidden="1" outlineLevel="1" x14ac:dyDescent="0.35">
      <c r="B7186" s="200"/>
      <c r="C7186" s="201"/>
      <c r="D7186" s="201"/>
      <c r="E7186" s="201"/>
      <c r="F7186" s="202"/>
      <c r="G7186" s="549"/>
      <c r="H7186" s="549"/>
      <c r="I7186" s="549"/>
      <c r="J7186" s="549"/>
      <c r="K7186" s="549"/>
      <c r="M7186" s="465"/>
      <c r="N7186" s="201"/>
    </row>
    <row r="7187" spans="2:14" hidden="1" outlineLevel="1" x14ac:dyDescent="0.35">
      <c r="B7187" s="200"/>
      <c r="C7187" s="201"/>
      <c r="D7187" s="201"/>
      <c r="E7187" s="201"/>
      <c r="F7187" s="202"/>
      <c r="G7187" s="549"/>
      <c r="H7187" s="549"/>
      <c r="I7187" s="549"/>
      <c r="J7187" s="549"/>
      <c r="K7187" s="549"/>
      <c r="M7187" s="465"/>
      <c r="N7187" s="201"/>
    </row>
    <row r="7188" spans="2:14" hidden="1" outlineLevel="1" x14ac:dyDescent="0.35">
      <c r="B7188" s="200"/>
      <c r="C7188" s="201"/>
      <c r="D7188" s="201"/>
      <c r="E7188" s="201"/>
      <c r="F7188" s="202"/>
      <c r="G7188" s="549"/>
      <c r="H7188" s="549"/>
      <c r="I7188" s="549"/>
      <c r="J7188" s="549"/>
      <c r="K7188" s="549"/>
      <c r="M7188" s="465"/>
      <c r="N7188" s="201"/>
    </row>
    <row r="7189" spans="2:14" hidden="1" outlineLevel="1" x14ac:dyDescent="0.35">
      <c r="B7189" s="200"/>
      <c r="C7189" s="201"/>
      <c r="D7189" s="201"/>
      <c r="E7189" s="201"/>
      <c r="F7189" s="202"/>
      <c r="G7189" s="549"/>
      <c r="H7189" s="549"/>
      <c r="I7189" s="549"/>
      <c r="J7189" s="549"/>
      <c r="K7189" s="549"/>
      <c r="M7189" s="465"/>
      <c r="N7189" s="201"/>
    </row>
    <row r="7190" spans="2:14" hidden="1" outlineLevel="1" x14ac:dyDescent="0.35">
      <c r="B7190" s="200"/>
      <c r="C7190" s="201"/>
      <c r="D7190" s="201"/>
      <c r="E7190" s="201"/>
      <c r="F7190" s="202"/>
      <c r="G7190" s="549"/>
      <c r="H7190" s="549"/>
      <c r="I7190" s="549"/>
      <c r="J7190" s="549"/>
      <c r="K7190" s="549"/>
      <c r="M7190" s="465"/>
      <c r="N7190" s="201"/>
    </row>
    <row r="7191" spans="2:14" hidden="1" outlineLevel="1" x14ac:dyDescent="0.35">
      <c r="B7191" s="200"/>
      <c r="C7191" s="201"/>
      <c r="D7191" s="201"/>
      <c r="E7191" s="201"/>
      <c r="F7191" s="202"/>
      <c r="G7191" s="549"/>
      <c r="H7191" s="549"/>
      <c r="I7191" s="549"/>
      <c r="J7191" s="549"/>
      <c r="K7191" s="549"/>
      <c r="M7191" s="465"/>
      <c r="N7191" s="201"/>
    </row>
    <row r="7192" spans="2:14" hidden="1" outlineLevel="1" x14ac:dyDescent="0.35">
      <c r="B7192" s="200"/>
      <c r="C7192" s="201"/>
      <c r="D7192" s="201"/>
      <c r="E7192" s="201"/>
      <c r="F7192" s="202"/>
      <c r="G7192" s="549"/>
      <c r="H7192" s="549"/>
      <c r="I7192" s="549"/>
      <c r="J7192" s="549"/>
      <c r="K7192" s="549"/>
      <c r="M7192" s="465"/>
      <c r="N7192" s="201"/>
    </row>
    <row r="7193" spans="2:14" hidden="1" outlineLevel="1" x14ac:dyDescent="0.35">
      <c r="B7193" s="200"/>
      <c r="C7193" s="201"/>
      <c r="D7193" s="201"/>
      <c r="E7193" s="201"/>
      <c r="F7193" s="202"/>
      <c r="G7193" s="549"/>
      <c r="H7193" s="549"/>
      <c r="I7193" s="549"/>
      <c r="J7193" s="549"/>
      <c r="K7193" s="549"/>
      <c r="M7193" s="465"/>
      <c r="N7193" s="201"/>
    </row>
    <row r="7194" spans="2:14" hidden="1" outlineLevel="1" x14ac:dyDescent="0.35">
      <c r="B7194" s="200"/>
      <c r="C7194" s="201"/>
      <c r="D7194" s="201"/>
      <c r="E7194" s="201"/>
      <c r="F7194" s="202"/>
      <c r="G7194" s="549"/>
      <c r="H7194" s="549"/>
      <c r="I7194" s="549"/>
      <c r="J7194" s="549"/>
      <c r="K7194" s="549"/>
      <c r="M7194" s="465"/>
      <c r="N7194" s="201"/>
    </row>
    <row r="7195" spans="2:14" hidden="1" outlineLevel="1" x14ac:dyDescent="0.35">
      <c r="B7195" s="200"/>
      <c r="C7195" s="201"/>
      <c r="D7195" s="201"/>
      <c r="E7195" s="201"/>
      <c r="F7195" s="202"/>
      <c r="G7195" s="549"/>
      <c r="H7195" s="549"/>
      <c r="I7195" s="549"/>
      <c r="J7195" s="549"/>
      <c r="K7195" s="549"/>
      <c r="M7195" s="465"/>
      <c r="N7195" s="201"/>
    </row>
    <row r="7196" spans="2:14" hidden="1" outlineLevel="1" x14ac:dyDescent="0.35">
      <c r="B7196" s="200"/>
      <c r="C7196" s="201"/>
      <c r="D7196" s="201"/>
      <c r="E7196" s="201"/>
      <c r="F7196" s="202"/>
      <c r="G7196" s="549"/>
      <c r="H7196" s="549"/>
      <c r="I7196" s="549"/>
      <c r="J7196" s="549"/>
      <c r="K7196" s="549"/>
      <c r="M7196" s="465"/>
      <c r="N7196" s="201"/>
    </row>
    <row r="7197" spans="2:14" hidden="1" outlineLevel="1" x14ac:dyDescent="0.35">
      <c r="B7197" s="200"/>
      <c r="C7197" s="201"/>
      <c r="D7197" s="201"/>
      <c r="E7197" s="201"/>
      <c r="F7197" s="202"/>
      <c r="G7197" s="549"/>
      <c r="H7197" s="549"/>
      <c r="I7197" s="549"/>
      <c r="J7197" s="549"/>
      <c r="K7197" s="549"/>
      <c r="M7197" s="465"/>
      <c r="N7197" s="201"/>
    </row>
    <row r="7198" spans="2:14" hidden="1" outlineLevel="1" x14ac:dyDescent="0.35">
      <c r="B7198" s="200"/>
      <c r="C7198" s="201"/>
      <c r="D7198" s="201"/>
      <c r="E7198" s="201"/>
      <c r="F7198" s="202"/>
      <c r="G7198" s="549"/>
      <c r="H7198" s="549"/>
      <c r="I7198" s="549"/>
      <c r="J7198" s="549"/>
      <c r="K7198" s="549"/>
      <c r="M7198" s="465"/>
      <c r="N7198" s="201"/>
    </row>
    <row r="7199" spans="2:14" hidden="1" outlineLevel="1" x14ac:dyDescent="0.35">
      <c r="B7199" s="200"/>
      <c r="C7199" s="201"/>
      <c r="D7199" s="201"/>
      <c r="E7199" s="201"/>
      <c r="F7199" s="202"/>
      <c r="G7199" s="549"/>
      <c r="H7199" s="549"/>
      <c r="I7199" s="549"/>
      <c r="J7199" s="549"/>
      <c r="K7199" s="549"/>
      <c r="M7199" s="465"/>
      <c r="N7199" s="201"/>
    </row>
    <row r="7200" spans="2:14" hidden="1" outlineLevel="1" x14ac:dyDescent="0.35">
      <c r="B7200" s="200"/>
      <c r="C7200" s="201"/>
      <c r="D7200" s="201"/>
      <c r="E7200" s="201"/>
      <c r="F7200" s="202"/>
      <c r="G7200" s="549"/>
      <c r="H7200" s="549"/>
      <c r="I7200" s="549"/>
      <c r="J7200" s="549"/>
      <c r="K7200" s="549"/>
      <c r="M7200" s="465"/>
      <c r="N7200" s="201"/>
    </row>
    <row r="7201" spans="2:14" hidden="1" outlineLevel="1" x14ac:dyDescent="0.35">
      <c r="B7201" s="200"/>
      <c r="C7201" s="201"/>
      <c r="D7201" s="201"/>
      <c r="E7201" s="201"/>
      <c r="F7201" s="202"/>
      <c r="G7201" s="549"/>
      <c r="H7201" s="549"/>
      <c r="I7201" s="549"/>
      <c r="J7201" s="549"/>
      <c r="K7201" s="549"/>
      <c r="M7201" s="465"/>
      <c r="N7201" s="201"/>
    </row>
    <row r="7202" spans="2:14" hidden="1" outlineLevel="1" x14ac:dyDescent="0.35">
      <c r="B7202" s="200"/>
      <c r="C7202" s="201"/>
      <c r="D7202" s="201"/>
      <c r="E7202" s="201"/>
      <c r="F7202" s="202"/>
      <c r="G7202" s="549"/>
      <c r="H7202" s="549"/>
      <c r="I7202" s="549"/>
      <c r="J7202" s="549"/>
      <c r="K7202" s="549"/>
      <c r="M7202" s="465"/>
      <c r="N7202" s="201"/>
    </row>
    <row r="7203" spans="2:14" hidden="1" outlineLevel="1" x14ac:dyDescent="0.35">
      <c r="B7203" s="200"/>
      <c r="C7203" s="201"/>
      <c r="D7203" s="201"/>
      <c r="E7203" s="201"/>
      <c r="F7203" s="202"/>
      <c r="G7203" s="549"/>
      <c r="H7203" s="549"/>
      <c r="I7203" s="549"/>
      <c r="J7203" s="549"/>
      <c r="K7203" s="549"/>
      <c r="M7203" s="465"/>
      <c r="N7203" s="201"/>
    </row>
    <row r="7204" spans="2:14" hidden="1" outlineLevel="1" x14ac:dyDescent="0.35">
      <c r="B7204" s="200"/>
      <c r="C7204" s="201"/>
      <c r="D7204" s="201"/>
      <c r="E7204" s="201"/>
      <c r="F7204" s="202"/>
      <c r="G7204" s="549"/>
      <c r="H7204" s="549"/>
      <c r="I7204" s="549"/>
      <c r="J7204" s="549"/>
      <c r="K7204" s="549"/>
      <c r="M7204" s="465"/>
      <c r="N7204" s="201"/>
    </row>
    <row r="7205" spans="2:14" hidden="1" outlineLevel="1" x14ac:dyDescent="0.35">
      <c r="B7205" s="200"/>
      <c r="C7205" s="201"/>
      <c r="D7205" s="201"/>
      <c r="E7205" s="201"/>
      <c r="F7205" s="202"/>
      <c r="G7205" s="549"/>
      <c r="H7205" s="549"/>
      <c r="I7205" s="549"/>
      <c r="J7205" s="549"/>
      <c r="K7205" s="549"/>
      <c r="M7205" s="465"/>
      <c r="N7205" s="201"/>
    </row>
    <row r="7206" spans="2:14" hidden="1" outlineLevel="1" x14ac:dyDescent="0.35">
      <c r="B7206" s="200"/>
      <c r="C7206" s="201"/>
      <c r="D7206" s="201"/>
      <c r="E7206" s="201"/>
      <c r="F7206" s="202"/>
      <c r="G7206" s="549"/>
      <c r="H7206" s="549"/>
      <c r="I7206" s="549"/>
      <c r="J7206" s="549"/>
      <c r="K7206" s="549"/>
      <c r="M7206" s="465"/>
      <c r="N7206" s="201"/>
    </row>
    <row r="7207" spans="2:14" hidden="1" outlineLevel="1" x14ac:dyDescent="0.35">
      <c r="B7207" s="200"/>
      <c r="C7207" s="201"/>
      <c r="D7207" s="201"/>
      <c r="E7207" s="201"/>
      <c r="F7207" s="202"/>
      <c r="G7207" s="549"/>
      <c r="H7207" s="549"/>
      <c r="I7207" s="549"/>
      <c r="J7207" s="549"/>
      <c r="K7207" s="549"/>
      <c r="M7207" s="465"/>
      <c r="N7207" s="201"/>
    </row>
    <row r="7208" spans="2:14" hidden="1" outlineLevel="1" x14ac:dyDescent="0.35">
      <c r="B7208" s="200"/>
      <c r="C7208" s="201"/>
      <c r="D7208" s="201"/>
      <c r="E7208" s="201"/>
      <c r="F7208" s="202"/>
      <c r="G7208" s="549"/>
      <c r="H7208" s="549"/>
      <c r="I7208" s="549"/>
      <c r="J7208" s="549"/>
      <c r="K7208" s="549"/>
      <c r="M7208" s="465"/>
      <c r="N7208" s="201"/>
    </row>
    <row r="7209" spans="2:14" hidden="1" outlineLevel="1" x14ac:dyDescent="0.35">
      <c r="B7209" s="200"/>
      <c r="C7209" s="201"/>
      <c r="D7209" s="201"/>
      <c r="E7209" s="201"/>
      <c r="F7209" s="202"/>
      <c r="G7209" s="549"/>
      <c r="H7209" s="549"/>
      <c r="I7209" s="549"/>
      <c r="J7209" s="549"/>
      <c r="K7209" s="549"/>
      <c r="M7209" s="465"/>
      <c r="N7209" s="201"/>
    </row>
    <row r="7210" spans="2:14" hidden="1" outlineLevel="1" x14ac:dyDescent="0.35">
      <c r="B7210" s="200"/>
      <c r="C7210" s="201"/>
      <c r="D7210" s="201"/>
      <c r="E7210" s="201"/>
      <c r="F7210" s="202"/>
      <c r="G7210" s="549"/>
      <c r="H7210" s="549"/>
      <c r="I7210" s="549"/>
      <c r="J7210" s="549"/>
      <c r="K7210" s="549"/>
      <c r="M7210" s="465"/>
      <c r="N7210" s="201"/>
    </row>
    <row r="7211" spans="2:14" hidden="1" outlineLevel="1" x14ac:dyDescent="0.35">
      <c r="B7211" s="200"/>
      <c r="C7211" s="201"/>
      <c r="D7211" s="201"/>
      <c r="E7211" s="201"/>
      <c r="F7211" s="202"/>
      <c r="G7211" s="549"/>
      <c r="H7211" s="549"/>
      <c r="I7211" s="549"/>
      <c r="J7211" s="549"/>
      <c r="K7211" s="549"/>
      <c r="M7211" s="465"/>
      <c r="N7211" s="201"/>
    </row>
    <row r="7212" spans="2:14" hidden="1" outlineLevel="1" x14ac:dyDescent="0.35">
      <c r="B7212" s="200"/>
      <c r="C7212" s="201"/>
      <c r="D7212" s="201"/>
      <c r="E7212" s="201"/>
      <c r="F7212" s="202"/>
      <c r="G7212" s="549"/>
      <c r="H7212" s="549"/>
      <c r="I7212" s="549"/>
      <c r="J7212" s="549"/>
      <c r="K7212" s="549"/>
      <c r="M7212" s="465"/>
      <c r="N7212" s="201"/>
    </row>
    <row r="7213" spans="2:14" hidden="1" outlineLevel="1" x14ac:dyDescent="0.35">
      <c r="B7213" s="200"/>
      <c r="C7213" s="201"/>
      <c r="D7213" s="201"/>
      <c r="E7213" s="201"/>
      <c r="F7213" s="202"/>
      <c r="G7213" s="549"/>
      <c r="H7213" s="549"/>
      <c r="I7213" s="549"/>
      <c r="J7213" s="549"/>
      <c r="K7213" s="549"/>
      <c r="M7213" s="465"/>
      <c r="N7213" s="201"/>
    </row>
    <row r="7214" spans="2:14" hidden="1" outlineLevel="1" x14ac:dyDescent="0.35">
      <c r="B7214" s="200"/>
      <c r="C7214" s="201"/>
      <c r="D7214" s="201"/>
      <c r="E7214" s="201"/>
      <c r="F7214" s="202"/>
      <c r="G7214" s="549"/>
      <c r="H7214" s="549"/>
      <c r="I7214" s="549"/>
      <c r="J7214" s="549"/>
      <c r="K7214" s="549"/>
      <c r="M7214" s="465"/>
      <c r="N7214" s="201"/>
    </row>
    <row r="7215" spans="2:14" hidden="1" outlineLevel="1" x14ac:dyDescent="0.35">
      <c r="B7215" s="200"/>
      <c r="C7215" s="201"/>
      <c r="D7215" s="201"/>
      <c r="E7215" s="201"/>
      <c r="F7215" s="202"/>
      <c r="G7215" s="549"/>
      <c r="H7215" s="549"/>
      <c r="I7215" s="549"/>
      <c r="J7215" s="549"/>
      <c r="K7215" s="549"/>
      <c r="M7215" s="465"/>
      <c r="N7215" s="201"/>
    </row>
    <row r="7216" spans="2:14" hidden="1" outlineLevel="1" x14ac:dyDescent="0.35">
      <c r="B7216" s="200"/>
      <c r="C7216" s="201"/>
      <c r="D7216" s="201"/>
      <c r="E7216" s="201"/>
      <c r="F7216" s="202"/>
      <c r="G7216" s="549"/>
      <c r="H7216" s="549"/>
      <c r="I7216" s="549"/>
      <c r="J7216" s="549"/>
      <c r="K7216" s="549"/>
      <c r="M7216" s="465"/>
      <c r="N7216" s="201"/>
    </row>
    <row r="7217" spans="2:14" hidden="1" outlineLevel="1" x14ac:dyDescent="0.35">
      <c r="B7217" s="200"/>
      <c r="C7217" s="201"/>
      <c r="D7217" s="201"/>
      <c r="E7217" s="201"/>
      <c r="F7217" s="202"/>
      <c r="G7217" s="549"/>
      <c r="H7217" s="549"/>
      <c r="I7217" s="549"/>
      <c r="J7217" s="549"/>
      <c r="K7217" s="549"/>
      <c r="M7217" s="465"/>
      <c r="N7217" s="201"/>
    </row>
    <row r="7218" spans="2:14" hidden="1" outlineLevel="1" x14ac:dyDescent="0.35">
      <c r="B7218" s="200"/>
      <c r="C7218" s="201"/>
      <c r="D7218" s="201"/>
      <c r="E7218" s="201"/>
      <c r="F7218" s="202"/>
      <c r="G7218" s="549"/>
      <c r="H7218" s="549"/>
      <c r="I7218" s="549"/>
      <c r="J7218" s="549"/>
      <c r="K7218" s="549"/>
      <c r="M7218" s="465"/>
      <c r="N7218" s="201"/>
    </row>
    <row r="7219" spans="2:14" hidden="1" outlineLevel="1" x14ac:dyDescent="0.35">
      <c r="B7219" s="200"/>
      <c r="C7219" s="201"/>
      <c r="D7219" s="201"/>
      <c r="E7219" s="201"/>
      <c r="F7219" s="202"/>
      <c r="G7219" s="549"/>
      <c r="H7219" s="549"/>
      <c r="I7219" s="549"/>
      <c r="J7219" s="549"/>
      <c r="K7219" s="549"/>
      <c r="M7219" s="465"/>
      <c r="N7219" s="201"/>
    </row>
    <row r="7220" spans="2:14" hidden="1" outlineLevel="1" x14ac:dyDescent="0.35">
      <c r="B7220" s="200"/>
      <c r="C7220" s="201"/>
      <c r="D7220" s="201"/>
      <c r="E7220" s="201"/>
      <c r="F7220" s="202"/>
      <c r="G7220" s="549"/>
      <c r="H7220" s="549"/>
      <c r="I7220" s="549"/>
      <c r="J7220" s="549"/>
      <c r="K7220" s="549"/>
      <c r="M7220" s="465"/>
      <c r="N7220" s="201"/>
    </row>
    <row r="7221" spans="2:14" hidden="1" outlineLevel="1" x14ac:dyDescent="0.35">
      <c r="B7221" s="200"/>
      <c r="C7221" s="201"/>
      <c r="D7221" s="201"/>
      <c r="E7221" s="201"/>
      <c r="F7221" s="202"/>
      <c r="G7221" s="549"/>
      <c r="H7221" s="549"/>
      <c r="I7221" s="549"/>
      <c r="J7221" s="549"/>
      <c r="K7221" s="549"/>
      <c r="M7221" s="465"/>
      <c r="N7221" s="201"/>
    </row>
    <row r="7222" spans="2:14" hidden="1" outlineLevel="1" x14ac:dyDescent="0.35">
      <c r="B7222" s="200"/>
      <c r="C7222" s="201"/>
      <c r="D7222" s="201"/>
      <c r="E7222" s="201"/>
      <c r="F7222" s="202"/>
      <c r="G7222" s="549"/>
      <c r="H7222" s="549"/>
      <c r="I7222" s="549"/>
      <c r="J7222" s="549"/>
      <c r="K7222" s="549"/>
      <c r="M7222" s="465"/>
      <c r="N7222" s="201"/>
    </row>
    <row r="7223" spans="2:14" hidden="1" outlineLevel="1" x14ac:dyDescent="0.35">
      <c r="B7223" s="200"/>
      <c r="C7223" s="201"/>
      <c r="D7223" s="201"/>
      <c r="E7223" s="201"/>
      <c r="F7223" s="202"/>
      <c r="G7223" s="549"/>
      <c r="H7223" s="549"/>
      <c r="I7223" s="549"/>
      <c r="J7223" s="549"/>
      <c r="K7223" s="549"/>
      <c r="M7223" s="465"/>
      <c r="N7223" s="201"/>
    </row>
    <row r="7224" spans="2:14" hidden="1" outlineLevel="1" x14ac:dyDescent="0.35">
      <c r="B7224" s="200"/>
      <c r="C7224" s="201"/>
      <c r="D7224" s="201"/>
      <c r="E7224" s="201"/>
      <c r="F7224" s="202"/>
      <c r="G7224" s="549"/>
      <c r="H7224" s="549"/>
      <c r="I7224" s="549"/>
      <c r="J7224" s="549"/>
      <c r="K7224" s="549"/>
      <c r="M7224" s="465"/>
      <c r="N7224" s="201"/>
    </row>
    <row r="7225" spans="2:14" hidden="1" outlineLevel="1" x14ac:dyDescent="0.35">
      <c r="B7225" s="200"/>
      <c r="C7225" s="201"/>
      <c r="D7225" s="201"/>
      <c r="E7225" s="201"/>
      <c r="F7225" s="202"/>
      <c r="G7225" s="549"/>
      <c r="H7225" s="549"/>
      <c r="I7225" s="549"/>
      <c r="J7225" s="549"/>
      <c r="K7225" s="549"/>
      <c r="M7225" s="465"/>
      <c r="N7225" s="201"/>
    </row>
    <row r="7226" spans="2:14" hidden="1" outlineLevel="1" x14ac:dyDescent="0.35">
      <c r="B7226" s="200"/>
      <c r="C7226" s="201"/>
      <c r="D7226" s="201"/>
      <c r="E7226" s="201"/>
      <c r="F7226" s="202"/>
      <c r="G7226" s="549"/>
      <c r="H7226" s="549"/>
      <c r="I7226" s="549"/>
      <c r="J7226" s="549"/>
      <c r="K7226" s="549"/>
      <c r="M7226" s="465"/>
      <c r="N7226" s="201"/>
    </row>
    <row r="7227" spans="2:14" hidden="1" outlineLevel="1" x14ac:dyDescent="0.35">
      <c r="B7227" s="200"/>
      <c r="C7227" s="201"/>
      <c r="D7227" s="201"/>
      <c r="E7227" s="201"/>
      <c r="F7227" s="202"/>
      <c r="G7227" s="549"/>
      <c r="H7227" s="549"/>
      <c r="I7227" s="549"/>
      <c r="J7227" s="549"/>
      <c r="K7227" s="549"/>
      <c r="M7227" s="465"/>
      <c r="N7227" s="201"/>
    </row>
    <row r="7228" spans="2:14" hidden="1" outlineLevel="1" x14ac:dyDescent="0.35">
      <c r="B7228" s="200"/>
      <c r="C7228" s="201"/>
      <c r="D7228" s="201"/>
      <c r="E7228" s="201"/>
      <c r="F7228" s="202"/>
      <c r="G7228" s="549"/>
      <c r="H7228" s="549"/>
      <c r="I7228" s="549"/>
      <c r="J7228" s="549"/>
      <c r="K7228" s="549"/>
      <c r="M7228" s="465"/>
      <c r="N7228" s="201"/>
    </row>
    <row r="7229" spans="2:14" hidden="1" outlineLevel="1" x14ac:dyDescent="0.35">
      <c r="B7229" s="200"/>
      <c r="C7229" s="201"/>
      <c r="D7229" s="201"/>
      <c r="E7229" s="201"/>
      <c r="F7229" s="202"/>
      <c r="G7229" s="549"/>
      <c r="H7229" s="549"/>
      <c r="I7229" s="549"/>
      <c r="J7229" s="549"/>
      <c r="K7229" s="549"/>
      <c r="M7229" s="465"/>
      <c r="N7229" s="201"/>
    </row>
    <row r="7230" spans="2:14" hidden="1" outlineLevel="1" x14ac:dyDescent="0.35">
      <c r="B7230" s="200"/>
      <c r="C7230" s="201"/>
      <c r="D7230" s="201"/>
      <c r="E7230" s="201"/>
      <c r="F7230" s="202"/>
      <c r="G7230" s="549"/>
      <c r="H7230" s="549"/>
      <c r="I7230" s="549"/>
      <c r="J7230" s="549"/>
      <c r="K7230" s="549"/>
      <c r="M7230" s="465"/>
      <c r="N7230" s="201"/>
    </row>
    <row r="7231" spans="2:14" hidden="1" outlineLevel="1" x14ac:dyDescent="0.35">
      <c r="B7231" s="200"/>
      <c r="C7231" s="201"/>
      <c r="D7231" s="201"/>
      <c r="E7231" s="201"/>
      <c r="F7231" s="202"/>
      <c r="G7231" s="549"/>
      <c r="H7231" s="549"/>
      <c r="I7231" s="549"/>
      <c r="J7231" s="549"/>
      <c r="K7231" s="549"/>
      <c r="M7231" s="465"/>
      <c r="N7231" s="201"/>
    </row>
    <row r="7232" spans="2:14" hidden="1" outlineLevel="1" x14ac:dyDescent="0.35">
      <c r="B7232" s="200"/>
      <c r="C7232" s="201"/>
      <c r="D7232" s="201"/>
      <c r="E7232" s="201"/>
      <c r="F7232" s="202"/>
      <c r="G7232" s="549"/>
      <c r="H7232" s="549"/>
      <c r="I7232" s="549"/>
      <c r="J7232" s="549"/>
      <c r="K7232" s="549"/>
      <c r="M7232" s="465"/>
      <c r="N7232" s="201"/>
    </row>
    <row r="7233" spans="2:14" hidden="1" outlineLevel="1" x14ac:dyDescent="0.35">
      <c r="B7233" s="200"/>
      <c r="C7233" s="201"/>
      <c r="D7233" s="201"/>
      <c r="E7233" s="201"/>
      <c r="F7233" s="202"/>
      <c r="G7233" s="549"/>
      <c r="H7233" s="549"/>
      <c r="I7233" s="549"/>
      <c r="J7233" s="549"/>
      <c r="K7233" s="549"/>
      <c r="M7233" s="465"/>
      <c r="N7233" s="201"/>
    </row>
    <row r="7234" spans="2:14" hidden="1" outlineLevel="1" x14ac:dyDescent="0.35">
      <c r="B7234" s="200"/>
      <c r="C7234" s="201"/>
      <c r="D7234" s="201"/>
      <c r="E7234" s="201"/>
      <c r="F7234" s="202"/>
      <c r="G7234" s="549"/>
      <c r="H7234" s="549"/>
      <c r="I7234" s="549"/>
      <c r="J7234" s="549"/>
      <c r="K7234" s="549"/>
      <c r="M7234" s="465"/>
      <c r="N7234" s="201"/>
    </row>
    <row r="7235" spans="2:14" hidden="1" outlineLevel="1" x14ac:dyDescent="0.35">
      <c r="B7235" s="200"/>
      <c r="C7235" s="201"/>
      <c r="D7235" s="201"/>
      <c r="E7235" s="201"/>
      <c r="F7235" s="202"/>
      <c r="G7235" s="549"/>
      <c r="H7235" s="549"/>
      <c r="I7235" s="549"/>
      <c r="J7235" s="549"/>
      <c r="K7235" s="549"/>
      <c r="M7235" s="465"/>
      <c r="N7235" s="201"/>
    </row>
    <row r="7236" spans="2:14" hidden="1" outlineLevel="1" x14ac:dyDescent="0.35">
      <c r="B7236" s="200"/>
      <c r="C7236" s="201"/>
      <c r="D7236" s="201"/>
      <c r="E7236" s="201"/>
      <c r="F7236" s="202"/>
      <c r="G7236" s="549"/>
      <c r="H7236" s="549"/>
      <c r="I7236" s="549"/>
      <c r="J7236" s="549"/>
      <c r="K7236" s="549"/>
      <c r="M7236" s="465"/>
      <c r="N7236" s="201"/>
    </row>
    <row r="7237" spans="2:14" hidden="1" outlineLevel="1" x14ac:dyDescent="0.35">
      <c r="B7237" s="200"/>
      <c r="C7237" s="201"/>
      <c r="D7237" s="201"/>
      <c r="E7237" s="201"/>
      <c r="F7237" s="202"/>
      <c r="G7237" s="549"/>
      <c r="H7237" s="549"/>
      <c r="I7237" s="549"/>
      <c r="J7237" s="549"/>
      <c r="K7237" s="549"/>
      <c r="M7237" s="465"/>
      <c r="N7237" s="201"/>
    </row>
    <row r="7238" spans="2:14" hidden="1" outlineLevel="1" x14ac:dyDescent="0.35">
      <c r="B7238" s="200"/>
      <c r="C7238" s="201"/>
      <c r="D7238" s="201"/>
      <c r="E7238" s="201"/>
      <c r="F7238" s="202"/>
      <c r="G7238" s="549"/>
      <c r="H7238" s="549"/>
      <c r="I7238" s="549"/>
      <c r="J7238" s="549"/>
      <c r="K7238" s="549"/>
      <c r="M7238" s="465"/>
      <c r="N7238" s="201"/>
    </row>
    <row r="7239" spans="2:14" hidden="1" outlineLevel="1" x14ac:dyDescent="0.35">
      <c r="B7239" s="200"/>
      <c r="C7239" s="201"/>
      <c r="D7239" s="201"/>
      <c r="E7239" s="201"/>
      <c r="F7239" s="202"/>
      <c r="G7239" s="549"/>
      <c r="H7239" s="549"/>
      <c r="I7239" s="549"/>
      <c r="J7239" s="549"/>
      <c r="K7239" s="549"/>
      <c r="M7239" s="465"/>
      <c r="N7239" s="201"/>
    </row>
    <row r="7240" spans="2:14" hidden="1" outlineLevel="1" x14ac:dyDescent="0.35">
      <c r="B7240" s="200"/>
      <c r="C7240" s="201"/>
      <c r="D7240" s="201"/>
      <c r="E7240" s="201"/>
      <c r="F7240" s="202"/>
      <c r="G7240" s="549"/>
      <c r="H7240" s="549"/>
      <c r="I7240" s="549"/>
      <c r="J7240" s="549"/>
      <c r="K7240" s="549"/>
      <c r="M7240" s="465"/>
      <c r="N7240" s="201"/>
    </row>
    <row r="7241" spans="2:14" hidden="1" outlineLevel="1" x14ac:dyDescent="0.35">
      <c r="B7241" s="200"/>
      <c r="C7241" s="201"/>
      <c r="D7241" s="201"/>
      <c r="E7241" s="201"/>
      <c r="F7241" s="202"/>
      <c r="G7241" s="549"/>
      <c r="H7241" s="549"/>
      <c r="I7241" s="549"/>
      <c r="J7241" s="549"/>
      <c r="K7241" s="549"/>
      <c r="M7241" s="465"/>
      <c r="N7241" s="201"/>
    </row>
    <row r="7242" spans="2:14" hidden="1" outlineLevel="1" x14ac:dyDescent="0.35">
      <c r="B7242" s="200"/>
      <c r="C7242" s="201"/>
      <c r="D7242" s="201"/>
      <c r="E7242" s="201"/>
      <c r="F7242" s="202"/>
      <c r="G7242" s="549"/>
      <c r="H7242" s="549"/>
      <c r="I7242" s="549"/>
      <c r="J7242" s="549"/>
      <c r="K7242" s="549"/>
      <c r="M7242" s="465"/>
      <c r="N7242" s="201"/>
    </row>
    <row r="7243" spans="2:14" hidden="1" outlineLevel="1" x14ac:dyDescent="0.35">
      <c r="B7243" s="200"/>
      <c r="C7243" s="201"/>
      <c r="D7243" s="201"/>
      <c r="E7243" s="201"/>
      <c r="F7243" s="202"/>
      <c r="G7243" s="549"/>
      <c r="H7243" s="549"/>
      <c r="I7243" s="549"/>
      <c r="J7243" s="549"/>
      <c r="K7243" s="549"/>
      <c r="M7243" s="465"/>
      <c r="N7243" s="201"/>
    </row>
    <row r="7244" spans="2:14" hidden="1" outlineLevel="1" x14ac:dyDescent="0.35">
      <c r="B7244" s="200"/>
      <c r="C7244" s="201"/>
      <c r="D7244" s="201"/>
      <c r="E7244" s="201"/>
      <c r="F7244" s="202"/>
      <c r="G7244" s="549"/>
      <c r="H7244" s="549"/>
      <c r="I7244" s="549"/>
      <c r="J7244" s="549"/>
      <c r="K7244" s="549"/>
      <c r="M7244" s="465"/>
      <c r="N7244" s="201"/>
    </row>
    <row r="7245" spans="2:14" hidden="1" outlineLevel="1" x14ac:dyDescent="0.35">
      <c r="B7245" s="200"/>
      <c r="C7245" s="201"/>
      <c r="D7245" s="201"/>
      <c r="E7245" s="201"/>
      <c r="F7245" s="202"/>
      <c r="G7245" s="549"/>
      <c r="H7245" s="549"/>
      <c r="I7245" s="549"/>
      <c r="J7245" s="549"/>
      <c r="K7245" s="549"/>
      <c r="M7245" s="465"/>
      <c r="N7245" s="201"/>
    </row>
    <row r="7246" spans="2:14" hidden="1" outlineLevel="1" x14ac:dyDescent="0.35">
      <c r="B7246" s="200"/>
      <c r="C7246" s="201"/>
      <c r="D7246" s="201"/>
      <c r="E7246" s="201"/>
      <c r="F7246" s="202"/>
      <c r="G7246" s="549"/>
      <c r="H7246" s="549"/>
      <c r="I7246" s="549"/>
      <c r="J7246" s="549"/>
      <c r="K7246" s="549"/>
      <c r="M7246" s="465"/>
      <c r="N7246" s="201"/>
    </row>
    <row r="7247" spans="2:14" hidden="1" outlineLevel="1" x14ac:dyDescent="0.35">
      <c r="B7247" s="200"/>
      <c r="C7247" s="201"/>
      <c r="D7247" s="201"/>
      <c r="E7247" s="201"/>
      <c r="F7247" s="202"/>
      <c r="G7247" s="549"/>
      <c r="H7247" s="549"/>
      <c r="I7247" s="549"/>
      <c r="J7247" s="549"/>
      <c r="K7247" s="549"/>
      <c r="M7247" s="465"/>
      <c r="N7247" s="201"/>
    </row>
    <row r="7248" spans="2:14" hidden="1" outlineLevel="1" x14ac:dyDescent="0.35">
      <c r="B7248" s="200"/>
      <c r="C7248" s="201"/>
      <c r="D7248" s="201"/>
      <c r="E7248" s="201"/>
      <c r="F7248" s="202"/>
      <c r="G7248" s="549"/>
      <c r="H7248" s="549"/>
      <c r="I7248" s="549"/>
      <c r="J7248" s="549"/>
      <c r="K7248" s="549"/>
      <c r="M7248" s="465"/>
      <c r="N7248" s="201"/>
    </row>
    <row r="7249" spans="2:14" hidden="1" outlineLevel="1" x14ac:dyDescent="0.35">
      <c r="B7249" s="200"/>
      <c r="C7249" s="201"/>
      <c r="D7249" s="201"/>
      <c r="E7249" s="201"/>
      <c r="F7249" s="202"/>
      <c r="G7249" s="549"/>
      <c r="H7249" s="549"/>
      <c r="I7249" s="549"/>
      <c r="J7249" s="549"/>
      <c r="K7249" s="549"/>
      <c r="M7249" s="465"/>
      <c r="N7249" s="201"/>
    </row>
    <row r="7250" spans="2:14" hidden="1" outlineLevel="1" x14ac:dyDescent="0.35">
      <c r="B7250" s="200"/>
      <c r="C7250" s="201"/>
      <c r="D7250" s="201"/>
      <c r="E7250" s="201"/>
      <c r="F7250" s="202"/>
      <c r="G7250" s="549"/>
      <c r="H7250" s="549"/>
      <c r="I7250" s="549"/>
      <c r="J7250" s="549"/>
      <c r="K7250" s="549"/>
      <c r="M7250" s="465"/>
      <c r="N7250" s="201"/>
    </row>
    <row r="7251" spans="2:14" hidden="1" outlineLevel="1" x14ac:dyDescent="0.35">
      <c r="B7251" s="200"/>
      <c r="C7251" s="201"/>
      <c r="D7251" s="201"/>
      <c r="E7251" s="201"/>
      <c r="F7251" s="202"/>
      <c r="G7251" s="549"/>
      <c r="H7251" s="549"/>
      <c r="I7251" s="549"/>
      <c r="J7251" s="549"/>
      <c r="K7251" s="549"/>
      <c r="M7251" s="465"/>
      <c r="N7251" s="201"/>
    </row>
    <row r="7252" spans="2:14" hidden="1" outlineLevel="1" x14ac:dyDescent="0.35">
      <c r="B7252" s="200"/>
      <c r="C7252" s="201"/>
      <c r="D7252" s="201"/>
      <c r="E7252" s="201"/>
      <c r="F7252" s="202"/>
      <c r="G7252" s="549"/>
      <c r="H7252" s="549"/>
      <c r="I7252" s="549"/>
      <c r="J7252" s="549"/>
      <c r="K7252" s="549"/>
      <c r="M7252" s="465"/>
      <c r="N7252" s="201"/>
    </row>
    <row r="7253" spans="2:14" hidden="1" outlineLevel="1" x14ac:dyDescent="0.35">
      <c r="B7253" s="200"/>
      <c r="C7253" s="201"/>
      <c r="D7253" s="201"/>
      <c r="E7253" s="201"/>
      <c r="F7253" s="202"/>
      <c r="G7253" s="549"/>
      <c r="H7253" s="549"/>
      <c r="I7253" s="549"/>
      <c r="J7253" s="549"/>
      <c r="K7253" s="549"/>
      <c r="M7253" s="465"/>
      <c r="N7253" s="201"/>
    </row>
    <row r="7254" spans="2:14" hidden="1" outlineLevel="1" x14ac:dyDescent="0.35">
      <c r="B7254" s="200"/>
      <c r="C7254" s="201"/>
      <c r="D7254" s="201"/>
      <c r="E7254" s="201"/>
      <c r="F7254" s="202"/>
      <c r="G7254" s="549"/>
      <c r="H7254" s="549"/>
      <c r="I7254" s="549"/>
      <c r="J7254" s="549"/>
      <c r="K7254" s="549"/>
      <c r="M7254" s="465"/>
      <c r="N7254" s="201"/>
    </row>
    <row r="7255" spans="2:14" hidden="1" outlineLevel="1" x14ac:dyDescent="0.35">
      <c r="B7255" s="200"/>
      <c r="C7255" s="201"/>
      <c r="D7255" s="201"/>
      <c r="E7255" s="201"/>
      <c r="F7255" s="202"/>
      <c r="G7255" s="549"/>
      <c r="H7255" s="549"/>
      <c r="I7255" s="549"/>
      <c r="J7255" s="549"/>
      <c r="K7255" s="549"/>
      <c r="M7255" s="465"/>
      <c r="N7255" s="201"/>
    </row>
    <row r="7256" spans="2:14" hidden="1" outlineLevel="1" x14ac:dyDescent="0.35">
      <c r="B7256" s="200"/>
      <c r="C7256" s="201"/>
      <c r="D7256" s="201"/>
      <c r="E7256" s="201"/>
      <c r="F7256" s="202"/>
      <c r="G7256" s="549"/>
      <c r="H7256" s="549"/>
      <c r="I7256" s="549"/>
      <c r="J7256" s="549"/>
      <c r="K7256" s="549"/>
      <c r="M7256" s="465"/>
      <c r="N7256" s="201"/>
    </row>
    <row r="7257" spans="2:14" hidden="1" outlineLevel="1" x14ac:dyDescent="0.35">
      <c r="B7257" s="200"/>
      <c r="C7257" s="201"/>
      <c r="D7257" s="201"/>
      <c r="E7257" s="201"/>
      <c r="F7257" s="202"/>
      <c r="G7257" s="549"/>
      <c r="H7257" s="549"/>
      <c r="I7257" s="549"/>
      <c r="J7257" s="549"/>
      <c r="K7257" s="549"/>
      <c r="M7257" s="465"/>
      <c r="N7257" s="201"/>
    </row>
    <row r="7258" spans="2:14" hidden="1" outlineLevel="1" x14ac:dyDescent="0.35">
      <c r="B7258" s="200"/>
      <c r="C7258" s="201"/>
      <c r="D7258" s="201"/>
      <c r="E7258" s="201"/>
      <c r="F7258" s="202"/>
      <c r="G7258" s="549"/>
      <c r="H7258" s="549"/>
      <c r="I7258" s="549"/>
      <c r="J7258" s="549"/>
      <c r="K7258" s="549"/>
      <c r="M7258" s="465"/>
      <c r="N7258" s="201"/>
    </row>
    <row r="7259" spans="2:14" hidden="1" outlineLevel="1" x14ac:dyDescent="0.35">
      <c r="B7259" s="200"/>
      <c r="C7259" s="201"/>
      <c r="D7259" s="201"/>
      <c r="E7259" s="201"/>
      <c r="F7259" s="202"/>
      <c r="G7259" s="549"/>
      <c r="H7259" s="549"/>
      <c r="I7259" s="549"/>
      <c r="J7259" s="549"/>
      <c r="K7259" s="549"/>
      <c r="M7259" s="465"/>
      <c r="N7259" s="201"/>
    </row>
    <row r="7260" spans="2:14" hidden="1" outlineLevel="1" x14ac:dyDescent="0.35">
      <c r="B7260" s="200"/>
      <c r="C7260" s="201"/>
      <c r="D7260" s="201"/>
      <c r="E7260" s="201"/>
      <c r="F7260" s="202"/>
      <c r="G7260" s="549"/>
      <c r="H7260" s="549"/>
      <c r="I7260" s="549"/>
      <c r="J7260" s="549"/>
      <c r="K7260" s="549"/>
      <c r="M7260" s="465"/>
      <c r="N7260" s="201"/>
    </row>
    <row r="7261" spans="2:14" hidden="1" outlineLevel="1" x14ac:dyDescent="0.35">
      <c r="B7261" s="200"/>
      <c r="C7261" s="201"/>
      <c r="D7261" s="201"/>
      <c r="E7261" s="201"/>
      <c r="F7261" s="202"/>
      <c r="G7261" s="549"/>
      <c r="H7261" s="549"/>
      <c r="I7261" s="549"/>
      <c r="J7261" s="549"/>
      <c r="K7261" s="549"/>
      <c r="M7261" s="465"/>
      <c r="N7261" s="201"/>
    </row>
    <row r="7262" spans="2:14" hidden="1" outlineLevel="1" x14ac:dyDescent="0.35">
      <c r="B7262" s="200"/>
      <c r="C7262" s="201"/>
      <c r="D7262" s="201"/>
      <c r="E7262" s="201"/>
      <c r="F7262" s="202"/>
      <c r="G7262" s="549"/>
      <c r="H7262" s="549"/>
      <c r="I7262" s="549"/>
      <c r="J7262" s="549"/>
      <c r="K7262" s="549"/>
      <c r="M7262" s="465"/>
      <c r="N7262" s="201"/>
    </row>
    <row r="7263" spans="2:14" hidden="1" outlineLevel="1" x14ac:dyDescent="0.35">
      <c r="B7263" s="200"/>
      <c r="C7263" s="201"/>
      <c r="D7263" s="201"/>
      <c r="E7263" s="201"/>
      <c r="F7263" s="202"/>
      <c r="G7263" s="549"/>
      <c r="H7263" s="549"/>
      <c r="I7263" s="549"/>
      <c r="J7263" s="549"/>
      <c r="K7263" s="549"/>
      <c r="M7263" s="465"/>
      <c r="N7263" s="201"/>
    </row>
    <row r="7264" spans="2:14" hidden="1" outlineLevel="1" x14ac:dyDescent="0.35">
      <c r="B7264" s="200"/>
      <c r="C7264" s="201"/>
      <c r="D7264" s="201"/>
      <c r="E7264" s="201"/>
      <c r="F7264" s="202"/>
      <c r="G7264" s="549"/>
      <c r="H7264" s="549"/>
      <c r="I7264" s="549"/>
      <c r="J7264" s="549"/>
      <c r="K7264" s="549"/>
      <c r="M7264" s="465"/>
      <c r="N7264" s="201"/>
    </row>
    <row r="7265" spans="2:14" hidden="1" outlineLevel="1" x14ac:dyDescent="0.35">
      <c r="B7265" s="200"/>
      <c r="C7265" s="201"/>
      <c r="D7265" s="201"/>
      <c r="E7265" s="201"/>
      <c r="F7265" s="202"/>
      <c r="G7265" s="549"/>
      <c r="H7265" s="549"/>
      <c r="I7265" s="549"/>
      <c r="J7265" s="549"/>
      <c r="K7265" s="549"/>
      <c r="M7265" s="465"/>
      <c r="N7265" s="201"/>
    </row>
    <row r="7266" spans="2:14" hidden="1" outlineLevel="1" x14ac:dyDescent="0.35">
      <c r="B7266" s="200"/>
      <c r="C7266" s="201"/>
      <c r="D7266" s="201"/>
      <c r="E7266" s="201"/>
      <c r="F7266" s="202"/>
      <c r="G7266" s="549"/>
      <c r="H7266" s="549"/>
      <c r="I7266" s="549"/>
      <c r="J7266" s="549"/>
      <c r="K7266" s="549"/>
      <c r="M7266" s="465"/>
      <c r="N7266" s="201"/>
    </row>
    <row r="7267" spans="2:14" hidden="1" outlineLevel="1" x14ac:dyDescent="0.35">
      <c r="B7267" s="200"/>
      <c r="C7267" s="201"/>
      <c r="D7267" s="201"/>
      <c r="E7267" s="201"/>
      <c r="F7267" s="202"/>
      <c r="G7267" s="549"/>
      <c r="H7267" s="549"/>
      <c r="I7267" s="549"/>
      <c r="J7267" s="549"/>
      <c r="K7267" s="549"/>
      <c r="M7267" s="465"/>
      <c r="N7267" s="201"/>
    </row>
    <row r="7268" spans="2:14" hidden="1" outlineLevel="1" x14ac:dyDescent="0.35">
      <c r="B7268" s="200"/>
      <c r="C7268" s="201"/>
      <c r="D7268" s="201"/>
      <c r="E7268" s="201"/>
      <c r="F7268" s="202"/>
      <c r="G7268" s="549"/>
      <c r="H7268" s="549"/>
      <c r="I7268" s="549"/>
      <c r="J7268" s="549"/>
      <c r="K7268" s="549"/>
      <c r="M7268" s="465"/>
      <c r="N7268" s="201"/>
    </row>
    <row r="7269" spans="2:14" hidden="1" outlineLevel="1" x14ac:dyDescent="0.35">
      <c r="B7269" s="200"/>
      <c r="C7269" s="201"/>
      <c r="D7269" s="201"/>
      <c r="E7269" s="201"/>
      <c r="F7269" s="202"/>
      <c r="G7269" s="549"/>
      <c r="H7269" s="549"/>
      <c r="I7269" s="549"/>
      <c r="J7269" s="549"/>
      <c r="K7269" s="549"/>
      <c r="M7269" s="465"/>
      <c r="N7269" s="201"/>
    </row>
    <row r="7270" spans="2:14" hidden="1" outlineLevel="1" x14ac:dyDescent="0.35">
      <c r="B7270" s="200"/>
      <c r="C7270" s="201"/>
      <c r="D7270" s="201"/>
      <c r="E7270" s="201"/>
      <c r="F7270" s="202"/>
      <c r="G7270" s="549"/>
      <c r="H7270" s="549"/>
      <c r="I7270" s="549"/>
      <c r="J7270" s="549"/>
      <c r="K7270" s="549"/>
      <c r="M7270" s="465"/>
      <c r="N7270" s="201"/>
    </row>
    <row r="7271" spans="2:14" hidden="1" outlineLevel="1" x14ac:dyDescent="0.35">
      <c r="B7271" s="200"/>
      <c r="C7271" s="201"/>
      <c r="D7271" s="201"/>
      <c r="E7271" s="201"/>
      <c r="F7271" s="202"/>
      <c r="G7271" s="549"/>
      <c r="H7271" s="549"/>
      <c r="I7271" s="549"/>
      <c r="J7271" s="549"/>
      <c r="K7271" s="549"/>
      <c r="M7271" s="465"/>
      <c r="N7271" s="201"/>
    </row>
    <row r="7272" spans="2:14" hidden="1" outlineLevel="1" x14ac:dyDescent="0.35">
      <c r="B7272" s="200"/>
      <c r="C7272" s="201"/>
      <c r="D7272" s="201"/>
      <c r="E7272" s="201"/>
      <c r="F7272" s="202"/>
      <c r="G7272" s="549"/>
      <c r="H7272" s="549"/>
      <c r="I7272" s="549"/>
      <c r="J7272" s="549"/>
      <c r="K7272" s="549"/>
      <c r="M7272" s="465"/>
      <c r="N7272" s="201"/>
    </row>
    <row r="7273" spans="2:14" hidden="1" outlineLevel="1" x14ac:dyDescent="0.35">
      <c r="B7273" s="200"/>
      <c r="C7273" s="201"/>
      <c r="D7273" s="201"/>
      <c r="E7273" s="201"/>
      <c r="F7273" s="202"/>
      <c r="G7273" s="549"/>
      <c r="H7273" s="549"/>
      <c r="I7273" s="549"/>
      <c r="J7273" s="549"/>
      <c r="K7273" s="549"/>
      <c r="M7273" s="465"/>
      <c r="N7273" s="201"/>
    </row>
    <row r="7274" spans="2:14" hidden="1" outlineLevel="1" x14ac:dyDescent="0.35">
      <c r="B7274" s="200"/>
      <c r="C7274" s="201"/>
      <c r="D7274" s="201"/>
      <c r="E7274" s="201"/>
      <c r="F7274" s="202"/>
      <c r="G7274" s="549"/>
      <c r="H7274" s="549"/>
      <c r="I7274" s="549"/>
      <c r="J7274" s="549"/>
      <c r="K7274" s="549"/>
      <c r="M7274" s="465"/>
      <c r="N7274" s="201"/>
    </row>
    <row r="7275" spans="2:14" hidden="1" outlineLevel="1" x14ac:dyDescent="0.35">
      <c r="B7275" s="200"/>
      <c r="C7275" s="201"/>
      <c r="D7275" s="201"/>
      <c r="E7275" s="201"/>
      <c r="F7275" s="202"/>
      <c r="G7275" s="549"/>
      <c r="H7275" s="549"/>
      <c r="I7275" s="549"/>
      <c r="J7275" s="549"/>
      <c r="K7275" s="549"/>
      <c r="M7275" s="465"/>
      <c r="N7275" s="201"/>
    </row>
    <row r="7276" spans="2:14" hidden="1" outlineLevel="1" x14ac:dyDescent="0.35">
      <c r="B7276" s="200"/>
      <c r="C7276" s="201"/>
      <c r="D7276" s="201"/>
      <c r="E7276" s="201"/>
      <c r="F7276" s="202"/>
      <c r="G7276" s="549"/>
      <c r="H7276" s="549"/>
      <c r="I7276" s="549"/>
      <c r="J7276" s="549"/>
      <c r="K7276" s="549"/>
      <c r="M7276" s="465"/>
      <c r="N7276" s="201"/>
    </row>
    <row r="7277" spans="2:14" hidden="1" outlineLevel="1" x14ac:dyDescent="0.35">
      <c r="B7277" s="200"/>
      <c r="C7277" s="201"/>
      <c r="D7277" s="201"/>
      <c r="E7277" s="201"/>
      <c r="F7277" s="202"/>
      <c r="G7277" s="549"/>
      <c r="H7277" s="549"/>
      <c r="I7277" s="549"/>
      <c r="J7277" s="549"/>
      <c r="K7277" s="549"/>
      <c r="M7277" s="465"/>
      <c r="N7277" s="201"/>
    </row>
    <row r="7278" spans="2:14" hidden="1" outlineLevel="1" x14ac:dyDescent="0.35">
      <c r="B7278" s="200"/>
      <c r="C7278" s="201"/>
      <c r="D7278" s="201"/>
      <c r="E7278" s="201"/>
      <c r="F7278" s="202"/>
      <c r="G7278" s="549"/>
      <c r="H7278" s="549"/>
      <c r="I7278" s="549"/>
      <c r="J7278" s="549"/>
      <c r="K7278" s="549"/>
      <c r="M7278" s="465"/>
      <c r="N7278" s="201"/>
    </row>
    <row r="7279" spans="2:14" hidden="1" outlineLevel="1" x14ac:dyDescent="0.35">
      <c r="B7279" s="200"/>
      <c r="C7279" s="201"/>
      <c r="D7279" s="201"/>
      <c r="E7279" s="201"/>
      <c r="F7279" s="202"/>
      <c r="G7279" s="549"/>
      <c r="H7279" s="549"/>
      <c r="I7279" s="549"/>
      <c r="J7279" s="549"/>
      <c r="K7279" s="549"/>
      <c r="M7279" s="465"/>
      <c r="N7279" s="201"/>
    </row>
    <row r="7280" spans="2:14" hidden="1" outlineLevel="1" x14ac:dyDescent="0.35">
      <c r="B7280" s="200"/>
      <c r="C7280" s="201"/>
      <c r="D7280" s="201"/>
      <c r="E7280" s="201"/>
      <c r="F7280" s="202"/>
      <c r="G7280" s="549"/>
      <c r="H7280" s="549"/>
      <c r="I7280" s="549"/>
      <c r="J7280" s="549"/>
      <c r="K7280" s="549"/>
      <c r="M7280" s="465"/>
      <c r="N7280" s="201"/>
    </row>
    <row r="7281" spans="2:14" hidden="1" outlineLevel="1" x14ac:dyDescent="0.35">
      <c r="B7281" s="200"/>
      <c r="C7281" s="201"/>
      <c r="D7281" s="201"/>
      <c r="E7281" s="201"/>
      <c r="F7281" s="202"/>
      <c r="G7281" s="549"/>
      <c r="H7281" s="549"/>
      <c r="I7281" s="549"/>
      <c r="J7281" s="549"/>
      <c r="K7281" s="549"/>
      <c r="M7281" s="465"/>
      <c r="N7281" s="201"/>
    </row>
    <row r="7282" spans="2:14" hidden="1" outlineLevel="1" x14ac:dyDescent="0.35">
      <c r="B7282" s="200"/>
      <c r="C7282" s="201"/>
      <c r="D7282" s="201"/>
      <c r="E7282" s="201"/>
      <c r="F7282" s="202"/>
      <c r="G7282" s="549"/>
      <c r="H7282" s="549"/>
      <c r="I7282" s="549"/>
      <c r="J7282" s="549"/>
      <c r="K7282" s="549"/>
      <c r="M7282" s="465"/>
      <c r="N7282" s="201"/>
    </row>
    <row r="7283" spans="2:14" hidden="1" outlineLevel="1" x14ac:dyDescent="0.35">
      <c r="B7283" s="200"/>
      <c r="C7283" s="201"/>
      <c r="D7283" s="201"/>
      <c r="E7283" s="201"/>
      <c r="F7283" s="202"/>
      <c r="G7283" s="549"/>
      <c r="H7283" s="549"/>
      <c r="I7283" s="549"/>
      <c r="J7283" s="549"/>
      <c r="K7283" s="549"/>
      <c r="M7283" s="465"/>
      <c r="N7283" s="201"/>
    </row>
    <row r="7284" spans="2:14" hidden="1" outlineLevel="1" x14ac:dyDescent="0.35">
      <c r="B7284" s="200"/>
      <c r="C7284" s="201"/>
      <c r="D7284" s="201"/>
      <c r="E7284" s="201"/>
      <c r="F7284" s="202"/>
      <c r="G7284" s="549"/>
      <c r="H7284" s="549"/>
      <c r="I7284" s="549"/>
      <c r="J7284" s="549"/>
      <c r="K7284" s="549"/>
      <c r="M7284" s="465"/>
      <c r="N7284" s="201"/>
    </row>
    <row r="7285" spans="2:14" hidden="1" outlineLevel="1" x14ac:dyDescent="0.35">
      <c r="B7285" s="200"/>
      <c r="C7285" s="201"/>
      <c r="D7285" s="201"/>
      <c r="E7285" s="201"/>
      <c r="F7285" s="202"/>
      <c r="G7285" s="549"/>
      <c r="H7285" s="549"/>
      <c r="I7285" s="549"/>
      <c r="J7285" s="549"/>
      <c r="K7285" s="549"/>
      <c r="M7285" s="465"/>
      <c r="N7285" s="201"/>
    </row>
    <row r="7286" spans="2:14" hidden="1" outlineLevel="1" x14ac:dyDescent="0.35">
      <c r="B7286" s="200"/>
      <c r="C7286" s="201"/>
      <c r="D7286" s="201"/>
      <c r="E7286" s="201"/>
      <c r="F7286" s="202"/>
      <c r="G7286" s="549"/>
      <c r="H7286" s="549"/>
      <c r="I7286" s="549"/>
      <c r="J7286" s="549"/>
      <c r="K7286" s="549"/>
      <c r="M7286" s="465"/>
      <c r="N7286" s="201"/>
    </row>
    <row r="7287" spans="2:14" hidden="1" outlineLevel="1" x14ac:dyDescent="0.35">
      <c r="B7287" s="200"/>
      <c r="C7287" s="201"/>
      <c r="D7287" s="201"/>
      <c r="E7287" s="201"/>
      <c r="F7287" s="202"/>
      <c r="G7287" s="549"/>
      <c r="H7287" s="549"/>
      <c r="I7287" s="549"/>
      <c r="J7287" s="549"/>
      <c r="K7287" s="549"/>
      <c r="M7287" s="465"/>
      <c r="N7287" s="201"/>
    </row>
    <row r="7288" spans="2:14" hidden="1" outlineLevel="1" x14ac:dyDescent="0.35">
      <c r="B7288" s="200"/>
      <c r="C7288" s="201"/>
      <c r="D7288" s="201"/>
      <c r="E7288" s="201"/>
      <c r="F7288" s="202"/>
      <c r="G7288" s="549"/>
      <c r="H7288" s="549"/>
      <c r="I7288" s="549"/>
      <c r="J7288" s="549"/>
      <c r="K7288" s="549"/>
      <c r="M7288" s="465"/>
      <c r="N7288" s="201"/>
    </row>
    <row r="7289" spans="2:14" hidden="1" outlineLevel="1" x14ac:dyDescent="0.35">
      <c r="B7289" s="200"/>
      <c r="C7289" s="201"/>
      <c r="D7289" s="201"/>
      <c r="E7289" s="201"/>
      <c r="F7289" s="202"/>
      <c r="G7289" s="549"/>
      <c r="H7289" s="549"/>
      <c r="I7289" s="549"/>
      <c r="J7289" s="549"/>
      <c r="K7289" s="549"/>
      <c r="M7289" s="465"/>
      <c r="N7289" s="201"/>
    </row>
    <row r="7290" spans="2:14" hidden="1" outlineLevel="1" x14ac:dyDescent="0.35">
      <c r="B7290" s="200"/>
      <c r="C7290" s="201"/>
      <c r="D7290" s="201"/>
      <c r="E7290" s="201"/>
      <c r="F7290" s="202"/>
      <c r="G7290" s="549"/>
      <c r="H7290" s="549"/>
      <c r="I7290" s="549"/>
      <c r="J7290" s="549"/>
      <c r="K7290" s="549"/>
      <c r="M7290" s="465"/>
      <c r="N7290" s="201"/>
    </row>
    <row r="7291" spans="2:14" hidden="1" outlineLevel="1" x14ac:dyDescent="0.35">
      <c r="B7291" s="200"/>
      <c r="C7291" s="201"/>
      <c r="D7291" s="201"/>
      <c r="E7291" s="201"/>
      <c r="F7291" s="202"/>
      <c r="G7291" s="549"/>
      <c r="H7291" s="549"/>
      <c r="I7291" s="549"/>
      <c r="J7291" s="549"/>
      <c r="K7291" s="549"/>
      <c r="M7291" s="465"/>
      <c r="N7291" s="201"/>
    </row>
    <row r="7292" spans="2:14" hidden="1" outlineLevel="1" x14ac:dyDescent="0.35">
      <c r="B7292" s="200"/>
      <c r="C7292" s="201"/>
      <c r="D7292" s="201"/>
      <c r="E7292" s="201"/>
      <c r="F7292" s="202"/>
      <c r="G7292" s="549"/>
      <c r="H7292" s="549"/>
      <c r="I7292" s="549"/>
      <c r="J7292" s="549"/>
      <c r="K7292" s="549"/>
      <c r="M7292" s="465"/>
      <c r="N7292" s="201"/>
    </row>
    <row r="7293" spans="2:14" hidden="1" outlineLevel="1" x14ac:dyDescent="0.35">
      <c r="B7293" s="200"/>
      <c r="C7293" s="201"/>
      <c r="D7293" s="201"/>
      <c r="E7293" s="201"/>
      <c r="F7293" s="202"/>
      <c r="G7293" s="549"/>
      <c r="H7293" s="549"/>
      <c r="I7293" s="549"/>
      <c r="J7293" s="549"/>
      <c r="K7293" s="549"/>
      <c r="M7293" s="465"/>
      <c r="N7293" s="201"/>
    </row>
    <row r="7294" spans="2:14" hidden="1" outlineLevel="1" x14ac:dyDescent="0.35">
      <c r="B7294" s="200"/>
      <c r="C7294" s="201"/>
      <c r="D7294" s="201"/>
      <c r="E7294" s="201"/>
      <c r="F7294" s="202"/>
      <c r="G7294" s="549"/>
      <c r="H7294" s="549"/>
      <c r="I7294" s="549"/>
      <c r="J7294" s="549"/>
      <c r="K7294" s="549"/>
      <c r="M7294" s="465"/>
      <c r="N7294" s="201"/>
    </row>
    <row r="7295" spans="2:14" hidden="1" outlineLevel="1" x14ac:dyDescent="0.35">
      <c r="B7295" s="200"/>
      <c r="C7295" s="201"/>
      <c r="D7295" s="201"/>
      <c r="E7295" s="201"/>
      <c r="F7295" s="202"/>
      <c r="G7295" s="549"/>
      <c r="H7295" s="549"/>
      <c r="I7295" s="549"/>
      <c r="J7295" s="549"/>
      <c r="K7295" s="549"/>
      <c r="M7295" s="465"/>
      <c r="N7295" s="201"/>
    </row>
    <row r="7296" spans="2:14" hidden="1" outlineLevel="1" x14ac:dyDescent="0.35">
      <c r="B7296" s="200"/>
      <c r="C7296" s="201"/>
      <c r="D7296" s="201"/>
      <c r="E7296" s="201"/>
      <c r="F7296" s="202"/>
      <c r="G7296" s="549"/>
      <c r="H7296" s="549"/>
      <c r="I7296" s="549"/>
      <c r="J7296" s="549"/>
      <c r="K7296" s="549"/>
      <c r="M7296" s="465"/>
      <c r="N7296" s="201"/>
    </row>
    <row r="7297" spans="2:14" hidden="1" outlineLevel="1" x14ac:dyDescent="0.35">
      <c r="B7297" s="200"/>
      <c r="C7297" s="201"/>
      <c r="D7297" s="201"/>
      <c r="E7297" s="201"/>
      <c r="F7297" s="202"/>
      <c r="G7297" s="549"/>
      <c r="H7297" s="549"/>
      <c r="I7297" s="549"/>
      <c r="J7297" s="549"/>
      <c r="K7297" s="549"/>
      <c r="M7297" s="465"/>
      <c r="N7297" s="201"/>
    </row>
    <row r="7298" spans="2:14" hidden="1" outlineLevel="1" x14ac:dyDescent="0.35">
      <c r="B7298" s="200"/>
      <c r="C7298" s="201"/>
      <c r="D7298" s="201"/>
      <c r="E7298" s="201"/>
      <c r="F7298" s="202"/>
      <c r="G7298" s="549"/>
      <c r="H7298" s="549"/>
      <c r="I7298" s="549"/>
      <c r="J7298" s="549"/>
      <c r="K7298" s="549"/>
      <c r="M7298" s="465"/>
      <c r="N7298" s="201"/>
    </row>
    <row r="7299" spans="2:14" hidden="1" outlineLevel="1" x14ac:dyDescent="0.35">
      <c r="B7299" s="200"/>
      <c r="C7299" s="201"/>
      <c r="D7299" s="201"/>
      <c r="E7299" s="201"/>
      <c r="F7299" s="202"/>
      <c r="G7299" s="549"/>
      <c r="H7299" s="549"/>
      <c r="I7299" s="549"/>
      <c r="J7299" s="549"/>
      <c r="K7299" s="549"/>
      <c r="M7299" s="465"/>
      <c r="N7299" s="201"/>
    </row>
    <row r="7300" spans="2:14" hidden="1" outlineLevel="1" x14ac:dyDescent="0.35">
      <c r="B7300" s="200"/>
      <c r="C7300" s="201"/>
      <c r="D7300" s="201"/>
      <c r="E7300" s="201"/>
      <c r="F7300" s="202"/>
      <c r="G7300" s="549"/>
      <c r="H7300" s="549"/>
      <c r="I7300" s="549"/>
      <c r="J7300" s="549"/>
      <c r="K7300" s="549"/>
      <c r="M7300" s="465"/>
      <c r="N7300" s="201"/>
    </row>
    <row r="7301" spans="2:14" hidden="1" outlineLevel="1" x14ac:dyDescent="0.35">
      <c r="B7301" s="200"/>
      <c r="C7301" s="201"/>
      <c r="D7301" s="201"/>
      <c r="E7301" s="201"/>
      <c r="F7301" s="202"/>
      <c r="G7301" s="549"/>
      <c r="H7301" s="549"/>
      <c r="I7301" s="549"/>
      <c r="J7301" s="549"/>
      <c r="K7301" s="549"/>
      <c r="M7301" s="465"/>
      <c r="N7301" s="201"/>
    </row>
    <row r="7302" spans="2:14" hidden="1" outlineLevel="1" x14ac:dyDescent="0.35">
      <c r="B7302" s="200"/>
      <c r="C7302" s="201"/>
      <c r="D7302" s="201"/>
      <c r="E7302" s="201"/>
      <c r="F7302" s="202"/>
      <c r="G7302" s="549"/>
      <c r="H7302" s="549"/>
      <c r="I7302" s="549"/>
      <c r="J7302" s="549"/>
      <c r="K7302" s="549"/>
      <c r="M7302" s="465"/>
      <c r="N7302" s="201"/>
    </row>
    <row r="7303" spans="2:14" hidden="1" outlineLevel="1" x14ac:dyDescent="0.35">
      <c r="B7303" s="200"/>
      <c r="C7303" s="201"/>
      <c r="D7303" s="201"/>
      <c r="E7303" s="201"/>
      <c r="F7303" s="202"/>
      <c r="G7303" s="549"/>
      <c r="H7303" s="549"/>
      <c r="I7303" s="549"/>
      <c r="J7303" s="549"/>
      <c r="K7303" s="549"/>
      <c r="M7303" s="465"/>
      <c r="N7303" s="201"/>
    </row>
    <row r="7304" spans="2:14" hidden="1" outlineLevel="1" x14ac:dyDescent="0.35">
      <c r="B7304" s="200"/>
      <c r="C7304" s="201"/>
      <c r="D7304" s="201"/>
      <c r="E7304" s="201"/>
      <c r="F7304" s="202"/>
      <c r="G7304" s="549"/>
      <c r="H7304" s="549"/>
      <c r="I7304" s="549"/>
      <c r="J7304" s="549"/>
      <c r="K7304" s="549"/>
      <c r="M7304" s="465"/>
      <c r="N7304" s="201"/>
    </row>
    <row r="7305" spans="2:14" hidden="1" outlineLevel="1" x14ac:dyDescent="0.35">
      <c r="B7305" s="200"/>
      <c r="C7305" s="201"/>
      <c r="D7305" s="201"/>
      <c r="E7305" s="201"/>
      <c r="F7305" s="202"/>
      <c r="G7305" s="549"/>
      <c r="H7305" s="549"/>
      <c r="I7305" s="549"/>
      <c r="J7305" s="549"/>
      <c r="K7305" s="549"/>
      <c r="M7305" s="465"/>
      <c r="N7305" s="201"/>
    </row>
    <row r="7306" spans="2:14" hidden="1" outlineLevel="1" x14ac:dyDescent="0.35">
      <c r="B7306" s="200"/>
      <c r="C7306" s="201"/>
      <c r="D7306" s="201"/>
      <c r="E7306" s="201"/>
      <c r="F7306" s="202"/>
      <c r="G7306" s="549"/>
      <c r="H7306" s="549"/>
      <c r="I7306" s="549"/>
      <c r="J7306" s="549"/>
      <c r="K7306" s="549"/>
      <c r="M7306" s="465"/>
      <c r="N7306" s="201"/>
    </row>
    <row r="7307" spans="2:14" hidden="1" outlineLevel="1" x14ac:dyDescent="0.35">
      <c r="B7307" s="200"/>
      <c r="C7307" s="201"/>
      <c r="D7307" s="201"/>
      <c r="E7307" s="201"/>
      <c r="F7307" s="202"/>
      <c r="G7307" s="549"/>
      <c r="H7307" s="549"/>
      <c r="I7307" s="549"/>
      <c r="J7307" s="549"/>
      <c r="K7307" s="549"/>
      <c r="M7307" s="465"/>
      <c r="N7307" s="201"/>
    </row>
    <row r="7308" spans="2:14" hidden="1" outlineLevel="1" x14ac:dyDescent="0.35">
      <c r="B7308" s="200"/>
      <c r="C7308" s="201"/>
      <c r="D7308" s="201"/>
      <c r="E7308" s="201"/>
      <c r="F7308" s="202"/>
      <c r="G7308" s="549"/>
      <c r="H7308" s="549"/>
      <c r="I7308" s="549"/>
      <c r="J7308" s="549"/>
      <c r="K7308" s="549"/>
      <c r="M7308" s="465"/>
      <c r="N7308" s="201"/>
    </row>
    <row r="7309" spans="2:14" hidden="1" outlineLevel="1" x14ac:dyDescent="0.35">
      <c r="B7309" s="200"/>
      <c r="C7309" s="201"/>
      <c r="D7309" s="201"/>
      <c r="E7309" s="201"/>
      <c r="F7309" s="202"/>
      <c r="G7309" s="549"/>
      <c r="H7309" s="549"/>
      <c r="I7309" s="549"/>
      <c r="J7309" s="549"/>
      <c r="K7309" s="549"/>
      <c r="M7309" s="465"/>
      <c r="N7309" s="201"/>
    </row>
    <row r="7310" spans="2:14" hidden="1" outlineLevel="1" x14ac:dyDescent="0.35">
      <c r="B7310" s="200"/>
      <c r="C7310" s="201"/>
      <c r="D7310" s="201"/>
      <c r="E7310" s="201"/>
      <c r="F7310" s="202"/>
      <c r="G7310" s="549"/>
      <c r="H7310" s="549"/>
      <c r="I7310" s="549"/>
      <c r="J7310" s="549"/>
      <c r="K7310" s="549"/>
      <c r="M7310" s="465"/>
      <c r="N7310" s="201"/>
    </row>
    <row r="7311" spans="2:14" hidden="1" outlineLevel="1" x14ac:dyDescent="0.35">
      <c r="B7311" s="200"/>
      <c r="C7311" s="201"/>
      <c r="D7311" s="201"/>
      <c r="E7311" s="201"/>
      <c r="F7311" s="202"/>
      <c r="G7311" s="549"/>
      <c r="H7311" s="549"/>
      <c r="I7311" s="549"/>
      <c r="J7311" s="549"/>
      <c r="K7311" s="549"/>
      <c r="M7311" s="465"/>
      <c r="N7311" s="201"/>
    </row>
    <row r="7312" spans="2:14" hidden="1" outlineLevel="1" x14ac:dyDescent="0.35">
      <c r="B7312" s="200"/>
      <c r="C7312" s="201"/>
      <c r="D7312" s="201"/>
      <c r="E7312" s="201"/>
      <c r="F7312" s="202"/>
      <c r="G7312" s="549"/>
      <c r="H7312" s="549"/>
      <c r="I7312" s="549"/>
      <c r="J7312" s="549"/>
      <c r="K7312" s="549"/>
      <c r="M7312" s="465"/>
      <c r="N7312" s="201"/>
    </row>
    <row r="7313" spans="2:14" hidden="1" outlineLevel="1" x14ac:dyDescent="0.35">
      <c r="B7313" s="200"/>
      <c r="C7313" s="201"/>
      <c r="D7313" s="201"/>
      <c r="E7313" s="201"/>
      <c r="F7313" s="202"/>
      <c r="G7313" s="549"/>
      <c r="H7313" s="549"/>
      <c r="I7313" s="549"/>
      <c r="J7313" s="549"/>
      <c r="K7313" s="549"/>
      <c r="M7313" s="465"/>
      <c r="N7313" s="201"/>
    </row>
    <row r="7314" spans="2:14" hidden="1" outlineLevel="1" x14ac:dyDescent="0.35">
      <c r="B7314" s="200"/>
      <c r="C7314" s="201"/>
      <c r="D7314" s="201"/>
      <c r="E7314" s="201"/>
      <c r="F7314" s="202"/>
      <c r="G7314" s="549"/>
      <c r="H7314" s="549"/>
      <c r="I7314" s="549"/>
      <c r="J7314" s="549"/>
      <c r="K7314" s="549"/>
      <c r="M7314" s="465"/>
      <c r="N7314" s="201"/>
    </row>
    <row r="7315" spans="2:14" hidden="1" outlineLevel="1" x14ac:dyDescent="0.35">
      <c r="B7315" s="200"/>
      <c r="C7315" s="201"/>
      <c r="D7315" s="201"/>
      <c r="E7315" s="201"/>
      <c r="F7315" s="202"/>
      <c r="G7315" s="549"/>
      <c r="H7315" s="549"/>
      <c r="I7315" s="549"/>
      <c r="J7315" s="549"/>
      <c r="K7315" s="549"/>
      <c r="M7315" s="465"/>
      <c r="N7315" s="201"/>
    </row>
    <row r="7316" spans="2:14" hidden="1" outlineLevel="1" x14ac:dyDescent="0.35">
      <c r="B7316" s="200"/>
      <c r="C7316" s="201"/>
      <c r="D7316" s="201"/>
      <c r="E7316" s="201"/>
      <c r="F7316" s="202"/>
      <c r="G7316" s="549"/>
      <c r="H7316" s="549"/>
      <c r="I7316" s="549"/>
      <c r="J7316" s="549"/>
      <c r="K7316" s="549"/>
      <c r="M7316" s="465"/>
      <c r="N7316" s="201"/>
    </row>
    <row r="7317" spans="2:14" hidden="1" outlineLevel="1" x14ac:dyDescent="0.35">
      <c r="B7317" s="200"/>
      <c r="C7317" s="201"/>
      <c r="D7317" s="201"/>
      <c r="E7317" s="201"/>
      <c r="F7317" s="202"/>
      <c r="G7317" s="549"/>
      <c r="H7317" s="549"/>
      <c r="I7317" s="549"/>
      <c r="J7317" s="549"/>
      <c r="K7317" s="549"/>
      <c r="M7317" s="465"/>
      <c r="N7317" s="201"/>
    </row>
    <row r="7318" spans="2:14" hidden="1" outlineLevel="1" x14ac:dyDescent="0.35">
      <c r="B7318" s="200"/>
      <c r="C7318" s="201"/>
      <c r="D7318" s="201"/>
      <c r="E7318" s="201"/>
      <c r="F7318" s="202"/>
      <c r="G7318" s="549"/>
      <c r="H7318" s="549"/>
      <c r="I7318" s="549"/>
      <c r="J7318" s="549"/>
      <c r="K7318" s="549"/>
      <c r="M7318" s="465"/>
      <c r="N7318" s="201"/>
    </row>
    <row r="7319" spans="2:14" hidden="1" outlineLevel="1" x14ac:dyDescent="0.35">
      <c r="B7319" s="200"/>
      <c r="C7319" s="201"/>
      <c r="D7319" s="201"/>
      <c r="E7319" s="201"/>
      <c r="F7319" s="202"/>
      <c r="G7319" s="549"/>
      <c r="H7319" s="549"/>
      <c r="I7319" s="549"/>
      <c r="J7319" s="549"/>
      <c r="K7319" s="549"/>
      <c r="M7319" s="465"/>
      <c r="N7319" s="201"/>
    </row>
    <row r="7320" spans="2:14" hidden="1" outlineLevel="1" x14ac:dyDescent="0.35">
      <c r="B7320" s="200"/>
      <c r="C7320" s="201"/>
      <c r="D7320" s="201"/>
      <c r="E7320" s="201"/>
      <c r="F7320" s="202"/>
      <c r="G7320" s="549"/>
      <c r="H7320" s="549"/>
      <c r="I7320" s="549"/>
      <c r="J7320" s="549"/>
      <c r="K7320" s="549"/>
      <c r="M7320" s="465"/>
      <c r="N7320" s="201"/>
    </row>
    <row r="7321" spans="2:14" hidden="1" outlineLevel="1" x14ac:dyDescent="0.35">
      <c r="B7321" s="200"/>
      <c r="C7321" s="201"/>
      <c r="D7321" s="201"/>
      <c r="E7321" s="201"/>
      <c r="F7321" s="202"/>
      <c r="G7321" s="549"/>
      <c r="H7321" s="549"/>
      <c r="I7321" s="549"/>
      <c r="J7321" s="549"/>
      <c r="K7321" s="549"/>
      <c r="M7321" s="465"/>
      <c r="N7321" s="201"/>
    </row>
    <row r="7322" spans="2:14" hidden="1" outlineLevel="1" x14ac:dyDescent="0.35">
      <c r="B7322" s="200"/>
      <c r="C7322" s="201"/>
      <c r="D7322" s="201"/>
      <c r="E7322" s="201"/>
      <c r="F7322" s="202"/>
      <c r="G7322" s="549"/>
      <c r="H7322" s="549"/>
      <c r="I7322" s="549"/>
      <c r="J7322" s="549"/>
      <c r="K7322" s="549"/>
      <c r="M7322" s="465"/>
      <c r="N7322" s="201"/>
    </row>
    <row r="7323" spans="2:14" hidden="1" outlineLevel="1" x14ac:dyDescent="0.35">
      <c r="B7323" s="200"/>
      <c r="C7323" s="201"/>
      <c r="D7323" s="201"/>
      <c r="E7323" s="201"/>
      <c r="F7323" s="202"/>
      <c r="G7323" s="549"/>
      <c r="H7323" s="549"/>
      <c r="I7323" s="549"/>
      <c r="J7323" s="549"/>
      <c r="K7323" s="549"/>
      <c r="M7323" s="465"/>
      <c r="N7323" s="201"/>
    </row>
    <row r="7324" spans="2:14" hidden="1" outlineLevel="1" x14ac:dyDescent="0.35">
      <c r="B7324" s="200"/>
      <c r="C7324" s="201"/>
      <c r="D7324" s="201"/>
      <c r="E7324" s="201"/>
      <c r="F7324" s="202"/>
      <c r="G7324" s="549"/>
      <c r="H7324" s="549"/>
      <c r="I7324" s="549"/>
      <c r="J7324" s="549"/>
      <c r="K7324" s="549"/>
      <c r="M7324" s="465"/>
      <c r="N7324" s="201"/>
    </row>
    <row r="7325" spans="2:14" hidden="1" outlineLevel="1" x14ac:dyDescent="0.35">
      <c r="B7325" s="200"/>
      <c r="C7325" s="201"/>
      <c r="D7325" s="201"/>
      <c r="E7325" s="201"/>
      <c r="F7325" s="202"/>
      <c r="G7325" s="549"/>
      <c r="H7325" s="549"/>
      <c r="I7325" s="549"/>
      <c r="J7325" s="549"/>
      <c r="K7325" s="549"/>
      <c r="M7325" s="465"/>
      <c r="N7325" s="201"/>
    </row>
    <row r="7326" spans="2:14" hidden="1" outlineLevel="1" x14ac:dyDescent="0.35">
      <c r="B7326" s="200"/>
      <c r="C7326" s="201"/>
      <c r="D7326" s="201"/>
      <c r="E7326" s="201"/>
      <c r="F7326" s="202"/>
      <c r="G7326" s="549"/>
      <c r="H7326" s="549"/>
      <c r="I7326" s="549"/>
      <c r="J7326" s="549"/>
      <c r="K7326" s="549"/>
      <c r="M7326" s="465"/>
      <c r="N7326" s="201"/>
    </row>
    <row r="7327" spans="2:14" hidden="1" outlineLevel="1" x14ac:dyDescent="0.35">
      <c r="B7327" s="200"/>
      <c r="C7327" s="201"/>
      <c r="D7327" s="201"/>
      <c r="E7327" s="201"/>
      <c r="F7327" s="202"/>
      <c r="G7327" s="549"/>
      <c r="H7327" s="549"/>
      <c r="I7327" s="549"/>
      <c r="J7327" s="549"/>
      <c r="K7327" s="549"/>
      <c r="M7327" s="465"/>
      <c r="N7327" s="201"/>
    </row>
    <row r="7328" spans="2:14" hidden="1" outlineLevel="1" x14ac:dyDescent="0.35">
      <c r="B7328" s="200"/>
      <c r="C7328" s="201"/>
      <c r="D7328" s="201"/>
      <c r="E7328" s="201"/>
      <c r="F7328" s="202"/>
      <c r="G7328" s="549"/>
      <c r="H7328" s="549"/>
      <c r="I7328" s="549"/>
      <c r="J7328" s="549"/>
      <c r="K7328" s="549"/>
      <c r="M7328" s="465"/>
      <c r="N7328" s="201"/>
    </row>
    <row r="7329" spans="2:14" hidden="1" outlineLevel="1" x14ac:dyDescent="0.35">
      <c r="B7329" s="200"/>
      <c r="C7329" s="201"/>
      <c r="D7329" s="201"/>
      <c r="E7329" s="201"/>
      <c r="F7329" s="202"/>
      <c r="G7329" s="549"/>
      <c r="H7329" s="549"/>
      <c r="I7329" s="549"/>
      <c r="J7329" s="549"/>
      <c r="K7329" s="549"/>
      <c r="M7329" s="465"/>
      <c r="N7329" s="201"/>
    </row>
    <row r="7330" spans="2:14" hidden="1" outlineLevel="1" x14ac:dyDescent="0.35">
      <c r="B7330" s="200"/>
      <c r="C7330" s="201"/>
      <c r="D7330" s="201"/>
      <c r="E7330" s="201"/>
      <c r="F7330" s="202"/>
      <c r="G7330" s="549"/>
      <c r="H7330" s="549"/>
      <c r="I7330" s="549"/>
      <c r="J7330" s="549"/>
      <c r="K7330" s="549"/>
      <c r="M7330" s="465"/>
      <c r="N7330" s="201"/>
    </row>
    <row r="7331" spans="2:14" hidden="1" outlineLevel="1" x14ac:dyDescent="0.35">
      <c r="B7331" s="200"/>
      <c r="C7331" s="201"/>
      <c r="D7331" s="201"/>
      <c r="E7331" s="201"/>
      <c r="F7331" s="202"/>
      <c r="G7331" s="549"/>
      <c r="H7331" s="549"/>
      <c r="I7331" s="549"/>
      <c r="J7331" s="549"/>
      <c r="K7331" s="549"/>
      <c r="M7331" s="465"/>
      <c r="N7331" s="201"/>
    </row>
    <row r="7332" spans="2:14" hidden="1" outlineLevel="1" x14ac:dyDescent="0.35">
      <c r="B7332" s="200"/>
      <c r="C7332" s="201"/>
      <c r="D7332" s="201"/>
      <c r="E7332" s="201"/>
      <c r="F7332" s="202"/>
      <c r="G7332" s="549"/>
      <c r="H7332" s="549"/>
      <c r="I7332" s="549"/>
      <c r="J7332" s="549"/>
      <c r="K7332" s="549"/>
      <c r="M7332" s="465"/>
      <c r="N7332" s="201"/>
    </row>
    <row r="7333" spans="2:14" hidden="1" outlineLevel="1" x14ac:dyDescent="0.35">
      <c r="B7333" s="200"/>
      <c r="C7333" s="201"/>
      <c r="D7333" s="201"/>
      <c r="E7333" s="201"/>
      <c r="F7333" s="202"/>
      <c r="G7333" s="549"/>
      <c r="H7333" s="549"/>
      <c r="I7333" s="549"/>
      <c r="J7333" s="549"/>
      <c r="K7333" s="549"/>
      <c r="M7333" s="465"/>
      <c r="N7333" s="201"/>
    </row>
    <row r="7334" spans="2:14" hidden="1" outlineLevel="1" x14ac:dyDescent="0.35">
      <c r="B7334" s="200"/>
      <c r="C7334" s="201"/>
      <c r="D7334" s="201"/>
      <c r="E7334" s="201"/>
      <c r="F7334" s="202"/>
      <c r="G7334" s="549"/>
      <c r="H7334" s="549"/>
      <c r="I7334" s="549"/>
      <c r="J7334" s="549"/>
      <c r="K7334" s="549"/>
      <c r="M7334" s="465"/>
      <c r="N7334" s="201"/>
    </row>
    <row r="7335" spans="2:14" hidden="1" outlineLevel="1" x14ac:dyDescent="0.35">
      <c r="B7335" s="200"/>
      <c r="C7335" s="201"/>
      <c r="D7335" s="201"/>
      <c r="E7335" s="201"/>
      <c r="F7335" s="202"/>
      <c r="G7335" s="549"/>
      <c r="H7335" s="549"/>
      <c r="I7335" s="549"/>
      <c r="J7335" s="549"/>
      <c r="K7335" s="549"/>
      <c r="M7335" s="465"/>
      <c r="N7335" s="201"/>
    </row>
    <row r="7336" spans="2:14" hidden="1" outlineLevel="1" x14ac:dyDescent="0.35">
      <c r="B7336" s="200"/>
      <c r="C7336" s="201"/>
      <c r="D7336" s="201"/>
      <c r="E7336" s="201"/>
      <c r="F7336" s="202"/>
      <c r="G7336" s="549"/>
      <c r="H7336" s="549"/>
      <c r="I7336" s="549"/>
      <c r="J7336" s="549"/>
      <c r="K7336" s="549"/>
      <c r="M7336" s="465"/>
      <c r="N7336" s="201"/>
    </row>
    <row r="7337" spans="2:14" hidden="1" outlineLevel="1" x14ac:dyDescent="0.35">
      <c r="B7337" s="200"/>
      <c r="C7337" s="201"/>
      <c r="D7337" s="201"/>
      <c r="E7337" s="201"/>
      <c r="F7337" s="202"/>
      <c r="G7337" s="549"/>
      <c r="H7337" s="549"/>
      <c r="I7337" s="549"/>
      <c r="J7337" s="549"/>
      <c r="K7337" s="549"/>
      <c r="M7337" s="465"/>
      <c r="N7337" s="201"/>
    </row>
    <row r="7338" spans="2:14" hidden="1" outlineLevel="1" x14ac:dyDescent="0.35">
      <c r="B7338" s="200"/>
      <c r="C7338" s="201"/>
      <c r="D7338" s="201"/>
      <c r="E7338" s="201"/>
      <c r="F7338" s="202"/>
      <c r="G7338" s="549"/>
      <c r="H7338" s="549"/>
      <c r="I7338" s="549"/>
      <c r="J7338" s="549"/>
      <c r="K7338" s="549"/>
      <c r="M7338" s="465"/>
      <c r="N7338" s="201"/>
    </row>
    <row r="7339" spans="2:14" hidden="1" outlineLevel="1" x14ac:dyDescent="0.35">
      <c r="B7339" s="200"/>
      <c r="C7339" s="201"/>
      <c r="D7339" s="201"/>
      <c r="E7339" s="201"/>
      <c r="F7339" s="202"/>
      <c r="G7339" s="549"/>
      <c r="H7339" s="549"/>
      <c r="I7339" s="549"/>
      <c r="J7339" s="549"/>
      <c r="K7339" s="549"/>
      <c r="M7339" s="465"/>
      <c r="N7339" s="201"/>
    </row>
    <row r="7340" spans="2:14" hidden="1" outlineLevel="1" x14ac:dyDescent="0.35">
      <c r="B7340" s="200"/>
      <c r="C7340" s="201"/>
      <c r="D7340" s="201"/>
      <c r="E7340" s="201"/>
      <c r="F7340" s="202"/>
      <c r="G7340" s="549"/>
      <c r="H7340" s="549"/>
      <c r="I7340" s="549"/>
      <c r="J7340" s="549"/>
      <c r="K7340" s="549"/>
      <c r="M7340" s="465"/>
      <c r="N7340" s="201"/>
    </row>
    <row r="7341" spans="2:14" hidden="1" outlineLevel="1" x14ac:dyDescent="0.35">
      <c r="B7341" s="200"/>
      <c r="C7341" s="201"/>
      <c r="D7341" s="201"/>
      <c r="E7341" s="201"/>
      <c r="F7341" s="202"/>
      <c r="G7341" s="549"/>
      <c r="H7341" s="549"/>
      <c r="I7341" s="549"/>
      <c r="J7341" s="549"/>
      <c r="K7341" s="549"/>
      <c r="M7341" s="465"/>
      <c r="N7341" s="201"/>
    </row>
    <row r="7342" spans="2:14" hidden="1" outlineLevel="1" x14ac:dyDescent="0.35">
      <c r="B7342" s="200"/>
      <c r="C7342" s="201"/>
      <c r="D7342" s="201"/>
      <c r="E7342" s="201"/>
      <c r="F7342" s="202"/>
      <c r="G7342" s="549"/>
      <c r="H7342" s="549"/>
      <c r="I7342" s="549"/>
      <c r="J7342" s="549"/>
      <c r="K7342" s="549"/>
      <c r="M7342" s="465"/>
      <c r="N7342" s="201"/>
    </row>
    <row r="7343" spans="2:14" hidden="1" outlineLevel="1" x14ac:dyDescent="0.35">
      <c r="B7343" s="200"/>
      <c r="C7343" s="201"/>
      <c r="D7343" s="201"/>
      <c r="E7343" s="201"/>
      <c r="F7343" s="202"/>
      <c r="G7343" s="549"/>
      <c r="H7343" s="549"/>
      <c r="I7343" s="549"/>
      <c r="J7343" s="549"/>
      <c r="K7343" s="549"/>
      <c r="M7343" s="465"/>
      <c r="N7343" s="201"/>
    </row>
    <row r="7344" spans="2:14" hidden="1" outlineLevel="1" x14ac:dyDescent="0.35">
      <c r="B7344" s="200"/>
      <c r="C7344" s="201"/>
      <c r="D7344" s="201"/>
      <c r="E7344" s="201"/>
      <c r="F7344" s="202"/>
      <c r="G7344" s="549"/>
      <c r="H7344" s="549"/>
      <c r="I7344" s="549"/>
      <c r="J7344" s="549"/>
      <c r="K7344" s="549"/>
      <c r="M7344" s="465"/>
      <c r="N7344" s="201"/>
    </row>
    <row r="7345" spans="2:14" hidden="1" outlineLevel="1" x14ac:dyDescent="0.35">
      <c r="B7345" s="200"/>
      <c r="C7345" s="201"/>
      <c r="D7345" s="201"/>
      <c r="E7345" s="201"/>
      <c r="F7345" s="202"/>
      <c r="G7345" s="549"/>
      <c r="H7345" s="549"/>
      <c r="I7345" s="549"/>
      <c r="J7345" s="549"/>
      <c r="K7345" s="549"/>
      <c r="M7345" s="465"/>
      <c r="N7345" s="201"/>
    </row>
    <row r="7346" spans="2:14" hidden="1" outlineLevel="1" x14ac:dyDescent="0.35">
      <c r="B7346" s="200"/>
      <c r="C7346" s="201"/>
      <c r="D7346" s="201"/>
      <c r="E7346" s="201"/>
      <c r="F7346" s="202"/>
      <c r="G7346" s="549"/>
      <c r="H7346" s="549"/>
      <c r="I7346" s="549"/>
      <c r="J7346" s="549"/>
      <c r="K7346" s="549"/>
      <c r="M7346" s="465"/>
      <c r="N7346" s="201"/>
    </row>
    <row r="7347" spans="2:14" hidden="1" outlineLevel="1" x14ac:dyDescent="0.35">
      <c r="B7347" s="200"/>
      <c r="C7347" s="201"/>
      <c r="D7347" s="201"/>
      <c r="E7347" s="201"/>
      <c r="F7347" s="202"/>
      <c r="G7347" s="549"/>
      <c r="H7347" s="549"/>
      <c r="I7347" s="549"/>
      <c r="J7347" s="549"/>
      <c r="K7347" s="549"/>
      <c r="M7347" s="465"/>
      <c r="N7347" s="201"/>
    </row>
    <row r="7348" spans="2:14" hidden="1" outlineLevel="1" x14ac:dyDescent="0.35">
      <c r="B7348" s="200"/>
      <c r="C7348" s="201"/>
      <c r="D7348" s="201"/>
      <c r="E7348" s="201"/>
      <c r="F7348" s="202"/>
      <c r="G7348" s="549"/>
      <c r="H7348" s="549"/>
      <c r="I7348" s="549"/>
      <c r="J7348" s="549"/>
      <c r="K7348" s="549"/>
      <c r="M7348" s="465"/>
      <c r="N7348" s="201"/>
    </row>
    <row r="7349" spans="2:14" hidden="1" outlineLevel="1" x14ac:dyDescent="0.35">
      <c r="B7349" s="200"/>
      <c r="C7349" s="201"/>
      <c r="D7349" s="201"/>
      <c r="E7349" s="201"/>
      <c r="F7349" s="202"/>
      <c r="G7349" s="549"/>
      <c r="H7349" s="549"/>
      <c r="I7349" s="549"/>
      <c r="J7349" s="549"/>
      <c r="K7349" s="549"/>
      <c r="M7349" s="465"/>
      <c r="N7349" s="201"/>
    </row>
    <row r="7350" spans="2:14" hidden="1" outlineLevel="1" x14ac:dyDescent="0.35">
      <c r="B7350" s="200"/>
      <c r="C7350" s="201"/>
      <c r="D7350" s="201"/>
      <c r="E7350" s="201"/>
      <c r="F7350" s="202"/>
      <c r="G7350" s="549"/>
      <c r="H7350" s="549"/>
      <c r="I7350" s="549"/>
      <c r="J7350" s="549"/>
      <c r="K7350" s="549"/>
      <c r="M7350" s="465"/>
      <c r="N7350" s="201"/>
    </row>
    <row r="7351" spans="2:14" hidden="1" outlineLevel="1" x14ac:dyDescent="0.35">
      <c r="B7351" s="200"/>
      <c r="C7351" s="201"/>
      <c r="D7351" s="201"/>
      <c r="E7351" s="201"/>
      <c r="F7351" s="202"/>
      <c r="G7351" s="549"/>
      <c r="H7351" s="549"/>
      <c r="I7351" s="549"/>
      <c r="J7351" s="549"/>
      <c r="K7351" s="549"/>
      <c r="M7351" s="465"/>
      <c r="N7351" s="201"/>
    </row>
    <row r="7352" spans="2:14" hidden="1" outlineLevel="1" x14ac:dyDescent="0.35">
      <c r="B7352" s="200"/>
      <c r="C7352" s="201"/>
      <c r="D7352" s="201"/>
      <c r="E7352" s="201"/>
      <c r="F7352" s="202"/>
      <c r="G7352" s="549"/>
      <c r="H7352" s="549"/>
      <c r="I7352" s="549"/>
      <c r="J7352" s="549"/>
      <c r="K7352" s="549"/>
      <c r="M7352" s="465"/>
      <c r="N7352" s="201"/>
    </row>
    <row r="7353" spans="2:14" hidden="1" outlineLevel="1" x14ac:dyDescent="0.35">
      <c r="B7353" s="200"/>
      <c r="C7353" s="201"/>
      <c r="D7353" s="201"/>
      <c r="E7353" s="201"/>
      <c r="F7353" s="202"/>
      <c r="G7353" s="549"/>
      <c r="H7353" s="549"/>
      <c r="I7353" s="549"/>
      <c r="J7353" s="549"/>
      <c r="K7353" s="549"/>
      <c r="M7353" s="465"/>
      <c r="N7353" s="201"/>
    </row>
    <row r="7354" spans="2:14" hidden="1" outlineLevel="1" x14ac:dyDescent="0.35">
      <c r="B7354" s="200"/>
      <c r="C7354" s="201"/>
      <c r="D7354" s="201"/>
      <c r="E7354" s="201"/>
      <c r="F7354" s="202"/>
      <c r="G7354" s="549"/>
      <c r="H7354" s="549"/>
      <c r="I7354" s="549"/>
      <c r="J7354" s="549"/>
      <c r="K7354" s="549"/>
      <c r="M7354" s="465"/>
      <c r="N7354" s="201"/>
    </row>
    <row r="7355" spans="2:14" hidden="1" outlineLevel="1" x14ac:dyDescent="0.35">
      <c r="B7355" s="200"/>
      <c r="C7355" s="201"/>
      <c r="D7355" s="201"/>
      <c r="E7355" s="201"/>
      <c r="F7355" s="202"/>
      <c r="G7355" s="549"/>
      <c r="H7355" s="549"/>
      <c r="I7355" s="549"/>
      <c r="J7355" s="549"/>
      <c r="K7355" s="549"/>
      <c r="M7355" s="465"/>
      <c r="N7355" s="201"/>
    </row>
    <row r="7356" spans="2:14" hidden="1" outlineLevel="1" x14ac:dyDescent="0.35">
      <c r="B7356" s="200"/>
      <c r="C7356" s="201"/>
      <c r="D7356" s="201"/>
      <c r="E7356" s="201"/>
      <c r="F7356" s="202"/>
      <c r="G7356" s="549"/>
      <c r="H7356" s="549"/>
      <c r="I7356" s="549"/>
      <c r="J7356" s="549"/>
      <c r="K7356" s="549"/>
      <c r="M7356" s="465"/>
      <c r="N7356" s="201"/>
    </row>
    <row r="7357" spans="2:14" hidden="1" outlineLevel="1" x14ac:dyDescent="0.35">
      <c r="B7357" s="200"/>
      <c r="C7357" s="201"/>
      <c r="D7357" s="201"/>
      <c r="E7357" s="201"/>
      <c r="F7357" s="202"/>
      <c r="G7357" s="549"/>
      <c r="H7357" s="549"/>
      <c r="I7357" s="549"/>
      <c r="J7357" s="549"/>
      <c r="K7357" s="549"/>
      <c r="M7357" s="465"/>
      <c r="N7357" s="201"/>
    </row>
    <row r="7358" spans="2:14" hidden="1" outlineLevel="1" x14ac:dyDescent="0.35">
      <c r="B7358" s="200"/>
      <c r="C7358" s="201"/>
      <c r="D7358" s="201"/>
      <c r="E7358" s="201"/>
      <c r="F7358" s="202"/>
      <c r="G7358" s="549"/>
      <c r="H7358" s="549"/>
      <c r="I7358" s="549"/>
      <c r="J7358" s="549"/>
      <c r="K7358" s="549"/>
      <c r="M7358" s="465"/>
      <c r="N7358" s="201"/>
    </row>
    <row r="7359" spans="2:14" hidden="1" outlineLevel="1" x14ac:dyDescent="0.35">
      <c r="B7359" s="200"/>
      <c r="C7359" s="201"/>
      <c r="D7359" s="201"/>
      <c r="E7359" s="201"/>
      <c r="F7359" s="202"/>
      <c r="G7359" s="549"/>
      <c r="H7359" s="549"/>
      <c r="I7359" s="549"/>
      <c r="J7359" s="549"/>
      <c r="K7359" s="549"/>
      <c r="M7359" s="465"/>
      <c r="N7359" s="201"/>
    </row>
    <row r="7360" spans="2:14" hidden="1" outlineLevel="1" x14ac:dyDescent="0.35">
      <c r="B7360" s="200"/>
      <c r="C7360" s="201"/>
      <c r="D7360" s="201"/>
      <c r="E7360" s="201"/>
      <c r="F7360" s="202"/>
      <c r="G7360" s="549"/>
      <c r="H7360" s="549"/>
      <c r="I7360" s="549"/>
      <c r="J7360" s="549"/>
      <c r="K7360" s="549"/>
      <c r="M7360" s="465"/>
      <c r="N7360" s="201"/>
    </row>
    <row r="7361" spans="2:14" hidden="1" outlineLevel="1" x14ac:dyDescent="0.35">
      <c r="B7361" s="200"/>
      <c r="C7361" s="201"/>
      <c r="D7361" s="201"/>
      <c r="E7361" s="201"/>
      <c r="F7361" s="202"/>
      <c r="G7361" s="549"/>
      <c r="H7361" s="549"/>
      <c r="I7361" s="549"/>
      <c r="J7361" s="549"/>
      <c r="K7361" s="549"/>
      <c r="M7361" s="465"/>
      <c r="N7361" s="201"/>
    </row>
    <row r="7362" spans="2:14" hidden="1" outlineLevel="1" x14ac:dyDescent="0.35">
      <c r="B7362" s="200"/>
      <c r="C7362" s="201"/>
      <c r="D7362" s="201"/>
      <c r="E7362" s="201"/>
      <c r="F7362" s="202"/>
      <c r="G7362" s="549"/>
      <c r="H7362" s="549"/>
      <c r="I7362" s="549"/>
      <c r="J7362" s="549"/>
      <c r="K7362" s="549"/>
      <c r="M7362" s="465"/>
      <c r="N7362" s="201"/>
    </row>
    <row r="7363" spans="2:14" hidden="1" outlineLevel="1" x14ac:dyDescent="0.35">
      <c r="B7363" s="200"/>
      <c r="C7363" s="201"/>
      <c r="D7363" s="201"/>
      <c r="E7363" s="201"/>
      <c r="F7363" s="202"/>
      <c r="G7363" s="549"/>
      <c r="H7363" s="549"/>
      <c r="I7363" s="549"/>
      <c r="J7363" s="549"/>
      <c r="K7363" s="549"/>
      <c r="M7363" s="465"/>
      <c r="N7363" s="201"/>
    </row>
    <row r="7364" spans="2:14" hidden="1" outlineLevel="1" x14ac:dyDescent="0.35">
      <c r="B7364" s="200"/>
      <c r="C7364" s="201"/>
      <c r="D7364" s="201"/>
      <c r="E7364" s="201"/>
      <c r="F7364" s="202"/>
      <c r="G7364" s="549"/>
      <c r="H7364" s="549"/>
      <c r="I7364" s="549"/>
      <c r="J7364" s="549"/>
      <c r="K7364" s="549"/>
      <c r="M7364" s="465"/>
      <c r="N7364" s="201"/>
    </row>
    <row r="7365" spans="2:14" hidden="1" outlineLevel="1" x14ac:dyDescent="0.35">
      <c r="B7365" s="200"/>
      <c r="C7365" s="201"/>
      <c r="D7365" s="201"/>
      <c r="E7365" s="201"/>
      <c r="F7365" s="202"/>
      <c r="G7365" s="549"/>
      <c r="H7365" s="549"/>
      <c r="I7365" s="549"/>
      <c r="J7365" s="549"/>
      <c r="K7365" s="549"/>
      <c r="M7365" s="465"/>
      <c r="N7365" s="201"/>
    </row>
    <row r="7366" spans="2:14" hidden="1" outlineLevel="1" x14ac:dyDescent="0.35">
      <c r="B7366" s="200"/>
      <c r="C7366" s="201"/>
      <c r="D7366" s="201"/>
      <c r="E7366" s="201"/>
      <c r="F7366" s="202"/>
      <c r="G7366" s="549"/>
      <c r="H7366" s="549"/>
      <c r="I7366" s="549"/>
      <c r="J7366" s="549"/>
      <c r="K7366" s="549"/>
      <c r="M7366" s="465"/>
      <c r="N7366" s="201"/>
    </row>
    <row r="7367" spans="2:14" hidden="1" outlineLevel="1" x14ac:dyDescent="0.35">
      <c r="B7367" s="200"/>
      <c r="C7367" s="201"/>
      <c r="D7367" s="201"/>
      <c r="E7367" s="201"/>
      <c r="F7367" s="202"/>
      <c r="G7367" s="549"/>
      <c r="H7367" s="549"/>
      <c r="I7367" s="549"/>
      <c r="J7367" s="549"/>
      <c r="K7367" s="549"/>
      <c r="M7367" s="465"/>
      <c r="N7367" s="201"/>
    </row>
    <row r="7368" spans="2:14" hidden="1" outlineLevel="1" x14ac:dyDescent="0.35">
      <c r="B7368" s="200"/>
      <c r="C7368" s="201"/>
      <c r="D7368" s="201"/>
      <c r="E7368" s="201"/>
      <c r="F7368" s="202"/>
      <c r="G7368" s="549"/>
      <c r="H7368" s="549"/>
      <c r="I7368" s="549"/>
      <c r="J7368" s="549"/>
      <c r="K7368" s="549"/>
      <c r="M7368" s="465"/>
      <c r="N7368" s="201"/>
    </row>
    <row r="7369" spans="2:14" hidden="1" outlineLevel="1" x14ac:dyDescent="0.35">
      <c r="B7369" s="200"/>
      <c r="C7369" s="201"/>
      <c r="D7369" s="201"/>
      <c r="E7369" s="201"/>
      <c r="F7369" s="202"/>
      <c r="G7369" s="549"/>
      <c r="H7369" s="549"/>
      <c r="I7369" s="549"/>
      <c r="J7369" s="549"/>
      <c r="K7369" s="549"/>
      <c r="M7369" s="465"/>
      <c r="N7369" s="201"/>
    </row>
    <row r="7370" spans="2:14" hidden="1" outlineLevel="1" x14ac:dyDescent="0.35">
      <c r="B7370" s="200"/>
      <c r="C7370" s="201"/>
      <c r="D7370" s="201"/>
      <c r="E7370" s="201"/>
      <c r="F7370" s="202"/>
      <c r="G7370" s="549"/>
      <c r="H7370" s="549"/>
      <c r="I7370" s="549"/>
      <c r="J7370" s="549"/>
      <c r="K7370" s="549"/>
      <c r="M7370" s="465"/>
      <c r="N7370" s="201"/>
    </row>
    <row r="7371" spans="2:14" hidden="1" outlineLevel="1" x14ac:dyDescent="0.35">
      <c r="B7371" s="200"/>
      <c r="C7371" s="201"/>
      <c r="D7371" s="201"/>
      <c r="E7371" s="201"/>
      <c r="F7371" s="202"/>
      <c r="G7371" s="549"/>
      <c r="H7371" s="549"/>
      <c r="I7371" s="549"/>
      <c r="J7371" s="549"/>
      <c r="K7371" s="549"/>
      <c r="M7371" s="465"/>
      <c r="N7371" s="201"/>
    </row>
    <row r="7372" spans="2:14" hidden="1" outlineLevel="1" x14ac:dyDescent="0.35">
      <c r="B7372" s="200"/>
      <c r="C7372" s="201"/>
      <c r="D7372" s="201"/>
      <c r="E7372" s="201"/>
      <c r="F7372" s="202"/>
      <c r="G7372" s="549"/>
      <c r="H7372" s="549"/>
      <c r="I7372" s="549"/>
      <c r="J7372" s="549"/>
      <c r="K7372" s="549"/>
      <c r="M7372" s="465"/>
      <c r="N7372" s="201"/>
    </row>
    <row r="7373" spans="2:14" hidden="1" outlineLevel="1" x14ac:dyDescent="0.35">
      <c r="B7373" s="200"/>
      <c r="C7373" s="201"/>
      <c r="D7373" s="201"/>
      <c r="E7373" s="201"/>
      <c r="F7373" s="202"/>
      <c r="G7373" s="549"/>
      <c r="H7373" s="549"/>
      <c r="I7373" s="549"/>
      <c r="J7373" s="549"/>
      <c r="K7373" s="549"/>
      <c r="M7373" s="465"/>
      <c r="N7373" s="201"/>
    </row>
    <row r="7374" spans="2:14" hidden="1" outlineLevel="1" x14ac:dyDescent="0.35">
      <c r="B7374" s="200"/>
      <c r="C7374" s="201"/>
      <c r="D7374" s="201"/>
      <c r="E7374" s="201"/>
      <c r="F7374" s="202"/>
      <c r="G7374" s="549"/>
      <c r="H7374" s="549"/>
      <c r="I7374" s="549"/>
      <c r="J7374" s="549"/>
      <c r="K7374" s="549"/>
      <c r="M7374" s="465"/>
      <c r="N7374" s="201"/>
    </row>
    <row r="7375" spans="2:14" hidden="1" outlineLevel="1" x14ac:dyDescent="0.35">
      <c r="B7375" s="200"/>
      <c r="C7375" s="201"/>
      <c r="D7375" s="201"/>
      <c r="E7375" s="201"/>
      <c r="F7375" s="202"/>
      <c r="G7375" s="549"/>
      <c r="H7375" s="549"/>
      <c r="I7375" s="549"/>
      <c r="J7375" s="549"/>
      <c r="K7375" s="549"/>
      <c r="M7375" s="465"/>
      <c r="N7375" s="201"/>
    </row>
    <row r="7376" spans="2:14" hidden="1" outlineLevel="1" x14ac:dyDescent="0.35">
      <c r="B7376" s="200"/>
      <c r="C7376" s="201"/>
      <c r="D7376" s="201"/>
      <c r="E7376" s="201"/>
      <c r="F7376" s="202"/>
      <c r="G7376" s="549"/>
      <c r="H7376" s="549"/>
      <c r="I7376" s="549"/>
      <c r="J7376" s="549"/>
      <c r="K7376" s="549"/>
      <c r="M7376" s="465"/>
      <c r="N7376" s="201"/>
    </row>
    <row r="7377" spans="2:14" hidden="1" outlineLevel="1" x14ac:dyDescent="0.35">
      <c r="B7377" s="200"/>
      <c r="C7377" s="201"/>
      <c r="D7377" s="201"/>
      <c r="E7377" s="201"/>
      <c r="F7377" s="202"/>
      <c r="G7377" s="549"/>
      <c r="H7377" s="549"/>
      <c r="I7377" s="549"/>
      <c r="J7377" s="549"/>
      <c r="K7377" s="549"/>
      <c r="M7377" s="465"/>
      <c r="N7377" s="201"/>
    </row>
    <row r="7378" spans="2:14" hidden="1" outlineLevel="1" x14ac:dyDescent="0.35">
      <c r="B7378" s="200"/>
      <c r="C7378" s="201"/>
      <c r="D7378" s="201"/>
      <c r="E7378" s="201"/>
      <c r="F7378" s="202"/>
      <c r="G7378" s="549"/>
      <c r="H7378" s="549"/>
      <c r="I7378" s="549"/>
      <c r="J7378" s="549"/>
      <c r="K7378" s="549"/>
      <c r="M7378" s="465"/>
      <c r="N7378" s="201"/>
    </row>
    <row r="7379" spans="2:14" hidden="1" outlineLevel="1" x14ac:dyDescent="0.35">
      <c r="B7379" s="200"/>
      <c r="C7379" s="201"/>
      <c r="D7379" s="201"/>
      <c r="E7379" s="201"/>
      <c r="F7379" s="202"/>
      <c r="G7379" s="549"/>
      <c r="H7379" s="549"/>
      <c r="I7379" s="549"/>
      <c r="J7379" s="549"/>
      <c r="K7379" s="549"/>
      <c r="M7379" s="465"/>
      <c r="N7379" s="201"/>
    </row>
    <row r="7380" spans="2:14" hidden="1" outlineLevel="1" x14ac:dyDescent="0.35">
      <c r="B7380" s="200"/>
      <c r="C7380" s="201"/>
      <c r="D7380" s="201"/>
      <c r="E7380" s="201"/>
      <c r="F7380" s="202"/>
      <c r="G7380" s="549"/>
      <c r="H7380" s="549"/>
      <c r="I7380" s="549"/>
      <c r="J7380" s="549"/>
      <c r="K7380" s="549"/>
      <c r="M7380" s="465"/>
      <c r="N7380" s="201"/>
    </row>
    <row r="7381" spans="2:14" hidden="1" outlineLevel="1" x14ac:dyDescent="0.35">
      <c r="B7381" s="200"/>
      <c r="C7381" s="201"/>
      <c r="D7381" s="201"/>
      <c r="E7381" s="201"/>
      <c r="F7381" s="202"/>
      <c r="G7381" s="549"/>
      <c r="H7381" s="549"/>
      <c r="I7381" s="549"/>
      <c r="J7381" s="549"/>
      <c r="K7381" s="549"/>
      <c r="M7381" s="465"/>
      <c r="N7381" s="201"/>
    </row>
    <row r="7382" spans="2:14" hidden="1" outlineLevel="1" x14ac:dyDescent="0.35">
      <c r="B7382" s="200"/>
      <c r="C7382" s="201"/>
      <c r="D7382" s="201"/>
      <c r="E7382" s="201"/>
      <c r="F7382" s="202"/>
      <c r="G7382" s="549"/>
      <c r="H7382" s="549"/>
      <c r="I7382" s="549"/>
      <c r="J7382" s="549"/>
      <c r="K7382" s="549"/>
      <c r="M7382" s="465"/>
      <c r="N7382" s="201"/>
    </row>
    <row r="7383" spans="2:14" hidden="1" outlineLevel="1" x14ac:dyDescent="0.35">
      <c r="B7383" s="200"/>
      <c r="C7383" s="201"/>
      <c r="D7383" s="201"/>
      <c r="E7383" s="201"/>
      <c r="F7383" s="202"/>
      <c r="G7383" s="549"/>
      <c r="H7383" s="549"/>
      <c r="I7383" s="549"/>
      <c r="J7383" s="549"/>
      <c r="K7383" s="549"/>
      <c r="M7383" s="465"/>
      <c r="N7383" s="201"/>
    </row>
    <row r="7384" spans="2:14" hidden="1" outlineLevel="1" x14ac:dyDescent="0.35">
      <c r="B7384" s="200"/>
      <c r="C7384" s="201"/>
      <c r="D7384" s="201"/>
      <c r="E7384" s="201"/>
      <c r="F7384" s="202"/>
      <c r="G7384" s="549"/>
      <c r="H7384" s="549"/>
      <c r="I7384" s="549"/>
      <c r="J7384" s="549"/>
      <c r="K7384" s="549"/>
      <c r="M7384" s="465"/>
      <c r="N7384" s="201"/>
    </row>
    <row r="7385" spans="2:14" hidden="1" outlineLevel="1" x14ac:dyDescent="0.35">
      <c r="B7385" s="200"/>
      <c r="C7385" s="201"/>
      <c r="D7385" s="201"/>
      <c r="E7385" s="201"/>
      <c r="F7385" s="202"/>
      <c r="G7385" s="549"/>
      <c r="H7385" s="549"/>
      <c r="I7385" s="549"/>
      <c r="J7385" s="549"/>
      <c r="K7385" s="549"/>
      <c r="M7385" s="465"/>
      <c r="N7385" s="201"/>
    </row>
    <row r="7386" spans="2:14" hidden="1" outlineLevel="1" x14ac:dyDescent="0.35">
      <c r="B7386" s="200"/>
      <c r="C7386" s="201"/>
      <c r="D7386" s="201"/>
      <c r="E7386" s="201"/>
      <c r="F7386" s="202"/>
      <c r="G7386" s="549"/>
      <c r="H7386" s="549"/>
      <c r="I7386" s="549"/>
      <c r="J7386" s="549"/>
      <c r="K7386" s="549"/>
      <c r="M7386" s="465"/>
      <c r="N7386" s="201"/>
    </row>
    <row r="7387" spans="2:14" hidden="1" outlineLevel="1" x14ac:dyDescent="0.35">
      <c r="B7387" s="200"/>
      <c r="C7387" s="201"/>
      <c r="D7387" s="201"/>
      <c r="E7387" s="201"/>
      <c r="F7387" s="202"/>
      <c r="G7387" s="549"/>
      <c r="H7387" s="549"/>
      <c r="I7387" s="549"/>
      <c r="J7387" s="549"/>
      <c r="K7387" s="549"/>
      <c r="M7387" s="465"/>
      <c r="N7387" s="201"/>
    </row>
    <row r="7388" spans="2:14" hidden="1" outlineLevel="1" x14ac:dyDescent="0.35">
      <c r="B7388" s="200"/>
      <c r="C7388" s="201"/>
      <c r="D7388" s="201"/>
      <c r="E7388" s="201"/>
      <c r="F7388" s="202"/>
      <c r="G7388" s="549"/>
      <c r="H7388" s="549"/>
      <c r="I7388" s="549"/>
      <c r="J7388" s="549"/>
      <c r="K7388" s="549"/>
      <c r="M7388" s="465"/>
      <c r="N7388" s="201"/>
    </row>
    <row r="7389" spans="2:14" hidden="1" outlineLevel="1" x14ac:dyDescent="0.35">
      <c r="B7389" s="200"/>
      <c r="C7389" s="201"/>
      <c r="D7389" s="201"/>
      <c r="E7389" s="201"/>
      <c r="F7389" s="202"/>
      <c r="G7389" s="549"/>
      <c r="H7389" s="549"/>
      <c r="I7389" s="549"/>
      <c r="J7389" s="549"/>
      <c r="K7389" s="549"/>
      <c r="M7389" s="465"/>
      <c r="N7389" s="201"/>
    </row>
    <row r="7390" spans="2:14" hidden="1" outlineLevel="1" x14ac:dyDescent="0.35">
      <c r="B7390" s="200"/>
      <c r="C7390" s="201"/>
      <c r="D7390" s="201"/>
      <c r="E7390" s="201"/>
      <c r="F7390" s="202"/>
      <c r="G7390" s="549"/>
      <c r="H7390" s="549"/>
      <c r="I7390" s="549"/>
      <c r="J7390" s="549"/>
      <c r="K7390" s="549"/>
      <c r="M7390" s="465"/>
      <c r="N7390" s="201"/>
    </row>
    <row r="7391" spans="2:14" hidden="1" outlineLevel="1" x14ac:dyDescent="0.35">
      <c r="B7391" s="200"/>
      <c r="C7391" s="201"/>
      <c r="D7391" s="201"/>
      <c r="E7391" s="201"/>
      <c r="F7391" s="202"/>
      <c r="G7391" s="549"/>
      <c r="H7391" s="549"/>
      <c r="I7391" s="549"/>
      <c r="J7391" s="549"/>
      <c r="K7391" s="549"/>
      <c r="M7391" s="465"/>
      <c r="N7391" s="201"/>
    </row>
    <row r="7392" spans="2:14" hidden="1" outlineLevel="1" x14ac:dyDescent="0.35">
      <c r="B7392" s="200"/>
      <c r="C7392" s="201"/>
      <c r="D7392" s="201"/>
      <c r="E7392" s="201"/>
      <c r="F7392" s="202"/>
      <c r="G7392" s="549"/>
      <c r="H7392" s="549"/>
      <c r="I7392" s="549"/>
      <c r="J7392" s="549"/>
      <c r="K7392" s="549"/>
      <c r="M7392" s="465"/>
      <c r="N7392" s="201"/>
    </row>
    <row r="7393" spans="2:14" hidden="1" outlineLevel="1" x14ac:dyDescent="0.35">
      <c r="B7393" s="200"/>
      <c r="C7393" s="201"/>
      <c r="D7393" s="201"/>
      <c r="E7393" s="201"/>
      <c r="F7393" s="202"/>
      <c r="G7393" s="549"/>
      <c r="H7393" s="549"/>
      <c r="I7393" s="549"/>
      <c r="J7393" s="549"/>
      <c r="K7393" s="549"/>
      <c r="M7393" s="465"/>
      <c r="N7393" s="201"/>
    </row>
    <row r="7394" spans="2:14" hidden="1" outlineLevel="1" x14ac:dyDescent="0.35">
      <c r="B7394" s="200"/>
      <c r="C7394" s="201"/>
      <c r="D7394" s="201"/>
      <c r="E7394" s="201"/>
      <c r="F7394" s="202"/>
      <c r="G7394" s="549"/>
      <c r="H7394" s="549"/>
      <c r="I7394" s="549"/>
      <c r="J7394" s="549"/>
      <c r="K7394" s="549"/>
      <c r="M7394" s="465"/>
      <c r="N7394" s="201"/>
    </row>
    <row r="7395" spans="2:14" hidden="1" outlineLevel="1" x14ac:dyDescent="0.35">
      <c r="B7395" s="200"/>
      <c r="C7395" s="201"/>
      <c r="D7395" s="201"/>
      <c r="E7395" s="201"/>
      <c r="F7395" s="202"/>
      <c r="G7395" s="549"/>
      <c r="H7395" s="549"/>
      <c r="I7395" s="549"/>
      <c r="J7395" s="549"/>
      <c r="K7395" s="549"/>
      <c r="M7395" s="465"/>
      <c r="N7395" s="201"/>
    </row>
    <row r="7396" spans="2:14" hidden="1" outlineLevel="1" x14ac:dyDescent="0.35">
      <c r="B7396" s="200"/>
      <c r="C7396" s="201"/>
      <c r="D7396" s="201"/>
      <c r="E7396" s="201"/>
      <c r="F7396" s="202"/>
      <c r="G7396" s="549"/>
      <c r="H7396" s="549"/>
      <c r="I7396" s="549"/>
      <c r="J7396" s="549"/>
      <c r="K7396" s="549"/>
      <c r="M7396" s="465"/>
      <c r="N7396" s="201"/>
    </row>
    <row r="7397" spans="2:14" hidden="1" outlineLevel="1" x14ac:dyDescent="0.35">
      <c r="B7397" s="200"/>
      <c r="C7397" s="201"/>
      <c r="D7397" s="201"/>
      <c r="E7397" s="201"/>
      <c r="F7397" s="202"/>
      <c r="G7397" s="549"/>
      <c r="H7397" s="549"/>
      <c r="I7397" s="549"/>
      <c r="J7397" s="549"/>
      <c r="K7397" s="549"/>
      <c r="M7397" s="465"/>
      <c r="N7397" s="201"/>
    </row>
    <row r="7398" spans="2:14" hidden="1" outlineLevel="1" x14ac:dyDescent="0.35">
      <c r="B7398" s="200"/>
      <c r="C7398" s="201"/>
      <c r="D7398" s="201"/>
      <c r="E7398" s="201"/>
      <c r="F7398" s="202"/>
      <c r="G7398" s="549"/>
      <c r="H7398" s="549"/>
      <c r="I7398" s="549"/>
      <c r="J7398" s="549"/>
      <c r="K7398" s="549"/>
      <c r="M7398" s="465"/>
      <c r="N7398" s="201"/>
    </row>
    <row r="7399" spans="2:14" hidden="1" outlineLevel="1" x14ac:dyDescent="0.35">
      <c r="B7399" s="200"/>
      <c r="C7399" s="201"/>
      <c r="D7399" s="201"/>
      <c r="E7399" s="201"/>
      <c r="F7399" s="202"/>
      <c r="G7399" s="549"/>
      <c r="H7399" s="549"/>
      <c r="I7399" s="549"/>
      <c r="J7399" s="549"/>
      <c r="K7399" s="549"/>
      <c r="M7399" s="465"/>
      <c r="N7399" s="201"/>
    </row>
    <row r="7400" spans="2:14" hidden="1" outlineLevel="1" x14ac:dyDescent="0.35">
      <c r="B7400" s="200"/>
      <c r="C7400" s="201"/>
      <c r="D7400" s="201"/>
      <c r="E7400" s="201"/>
      <c r="F7400" s="202"/>
      <c r="G7400" s="549"/>
      <c r="H7400" s="549"/>
      <c r="I7400" s="549"/>
      <c r="J7400" s="549"/>
      <c r="K7400" s="549"/>
      <c r="M7400" s="465"/>
      <c r="N7400" s="201"/>
    </row>
    <row r="7401" spans="2:14" hidden="1" outlineLevel="1" x14ac:dyDescent="0.35">
      <c r="B7401" s="200"/>
      <c r="C7401" s="201"/>
      <c r="D7401" s="201"/>
      <c r="E7401" s="201"/>
      <c r="F7401" s="202"/>
      <c r="G7401" s="549"/>
      <c r="H7401" s="549"/>
      <c r="I7401" s="549"/>
      <c r="J7401" s="549"/>
      <c r="K7401" s="549"/>
      <c r="M7401" s="465"/>
      <c r="N7401" s="201"/>
    </row>
    <row r="7402" spans="2:14" hidden="1" outlineLevel="1" x14ac:dyDescent="0.35">
      <c r="B7402" s="200"/>
      <c r="C7402" s="201"/>
      <c r="D7402" s="201"/>
      <c r="E7402" s="201"/>
      <c r="F7402" s="202"/>
      <c r="G7402" s="549"/>
      <c r="H7402" s="549"/>
      <c r="I7402" s="549"/>
      <c r="J7402" s="549"/>
      <c r="K7402" s="549"/>
      <c r="M7402" s="465"/>
      <c r="N7402" s="201"/>
    </row>
    <row r="7403" spans="2:14" hidden="1" outlineLevel="1" x14ac:dyDescent="0.35">
      <c r="B7403" s="200"/>
      <c r="C7403" s="201"/>
      <c r="D7403" s="201"/>
      <c r="E7403" s="201"/>
      <c r="F7403" s="202"/>
      <c r="G7403" s="549"/>
      <c r="H7403" s="549"/>
      <c r="I7403" s="549"/>
      <c r="J7403" s="549"/>
      <c r="K7403" s="549"/>
      <c r="M7403" s="465"/>
      <c r="N7403" s="201"/>
    </row>
    <row r="7404" spans="2:14" hidden="1" outlineLevel="1" x14ac:dyDescent="0.35">
      <c r="B7404" s="200"/>
      <c r="C7404" s="201"/>
      <c r="D7404" s="201"/>
      <c r="E7404" s="201"/>
      <c r="F7404" s="202"/>
      <c r="G7404" s="549"/>
      <c r="H7404" s="549"/>
      <c r="I7404" s="549"/>
      <c r="J7404" s="549"/>
      <c r="K7404" s="549"/>
      <c r="M7404" s="465"/>
      <c r="N7404" s="201"/>
    </row>
    <row r="7405" spans="2:14" hidden="1" outlineLevel="1" x14ac:dyDescent="0.35">
      <c r="B7405" s="200"/>
      <c r="C7405" s="201"/>
      <c r="D7405" s="201"/>
      <c r="E7405" s="201"/>
      <c r="F7405" s="202"/>
      <c r="G7405" s="549"/>
      <c r="H7405" s="549"/>
      <c r="I7405" s="549"/>
      <c r="J7405" s="549"/>
      <c r="K7405" s="549"/>
      <c r="M7405" s="465"/>
      <c r="N7405" s="201"/>
    </row>
    <row r="7406" spans="2:14" hidden="1" outlineLevel="1" x14ac:dyDescent="0.35">
      <c r="B7406" s="200"/>
      <c r="C7406" s="201"/>
      <c r="D7406" s="201"/>
      <c r="E7406" s="201"/>
      <c r="F7406" s="202"/>
      <c r="G7406" s="549"/>
      <c r="H7406" s="549"/>
      <c r="I7406" s="549"/>
      <c r="J7406" s="549"/>
      <c r="K7406" s="549"/>
      <c r="M7406" s="465"/>
      <c r="N7406" s="201"/>
    </row>
    <row r="7407" spans="2:14" hidden="1" outlineLevel="1" x14ac:dyDescent="0.35">
      <c r="B7407" s="200"/>
      <c r="C7407" s="201"/>
      <c r="D7407" s="201"/>
      <c r="E7407" s="201"/>
      <c r="F7407" s="202"/>
      <c r="G7407" s="549"/>
      <c r="H7407" s="549"/>
      <c r="I7407" s="549"/>
      <c r="J7407" s="549"/>
      <c r="K7407" s="549"/>
      <c r="M7407" s="465"/>
      <c r="N7407" s="201"/>
    </row>
    <row r="7408" spans="2:14" hidden="1" outlineLevel="1" x14ac:dyDescent="0.35">
      <c r="B7408" s="200"/>
      <c r="C7408" s="201"/>
      <c r="D7408" s="201"/>
      <c r="E7408" s="201"/>
      <c r="F7408" s="202"/>
      <c r="G7408" s="549"/>
      <c r="H7408" s="549"/>
      <c r="I7408" s="549"/>
      <c r="J7408" s="549"/>
      <c r="K7408" s="549"/>
      <c r="M7408" s="465"/>
      <c r="N7408" s="201"/>
    </row>
    <row r="7409" spans="2:14" hidden="1" outlineLevel="1" x14ac:dyDescent="0.35">
      <c r="B7409" s="200"/>
      <c r="C7409" s="201"/>
      <c r="D7409" s="201"/>
      <c r="E7409" s="201"/>
      <c r="F7409" s="202"/>
      <c r="G7409" s="549"/>
      <c r="H7409" s="549"/>
      <c r="I7409" s="549"/>
      <c r="J7409" s="549"/>
      <c r="K7409" s="549"/>
      <c r="M7409" s="465"/>
      <c r="N7409" s="201"/>
    </row>
    <row r="7410" spans="2:14" hidden="1" outlineLevel="1" x14ac:dyDescent="0.35">
      <c r="B7410" s="200"/>
      <c r="C7410" s="201"/>
      <c r="D7410" s="201"/>
      <c r="E7410" s="201"/>
      <c r="F7410" s="202"/>
      <c r="G7410" s="549"/>
      <c r="H7410" s="549"/>
      <c r="I7410" s="549"/>
      <c r="J7410" s="549"/>
      <c r="K7410" s="549"/>
      <c r="M7410" s="465"/>
      <c r="N7410" s="201"/>
    </row>
    <row r="7411" spans="2:14" hidden="1" outlineLevel="1" x14ac:dyDescent="0.35">
      <c r="B7411" s="200"/>
      <c r="C7411" s="201"/>
      <c r="D7411" s="201"/>
      <c r="E7411" s="201"/>
      <c r="F7411" s="202"/>
      <c r="G7411" s="549"/>
      <c r="H7411" s="549"/>
      <c r="I7411" s="549"/>
      <c r="J7411" s="549"/>
      <c r="K7411" s="549"/>
      <c r="M7411" s="465"/>
      <c r="N7411" s="201"/>
    </row>
    <row r="7412" spans="2:14" hidden="1" outlineLevel="1" x14ac:dyDescent="0.35">
      <c r="B7412" s="200"/>
      <c r="C7412" s="201"/>
      <c r="D7412" s="201"/>
      <c r="E7412" s="201"/>
      <c r="F7412" s="202"/>
      <c r="G7412" s="549"/>
      <c r="H7412" s="549"/>
      <c r="I7412" s="549"/>
      <c r="J7412" s="549"/>
      <c r="K7412" s="549"/>
      <c r="M7412" s="465"/>
      <c r="N7412" s="201"/>
    </row>
    <row r="7413" spans="2:14" hidden="1" outlineLevel="1" x14ac:dyDescent="0.35">
      <c r="B7413" s="200"/>
      <c r="C7413" s="201"/>
      <c r="D7413" s="201"/>
      <c r="E7413" s="201"/>
      <c r="F7413" s="202"/>
      <c r="G7413" s="549"/>
      <c r="H7413" s="549"/>
      <c r="I7413" s="549"/>
      <c r="J7413" s="549"/>
      <c r="K7413" s="549"/>
      <c r="M7413" s="465"/>
      <c r="N7413" s="201"/>
    </row>
    <row r="7414" spans="2:14" hidden="1" outlineLevel="1" x14ac:dyDescent="0.35">
      <c r="B7414" s="200"/>
      <c r="C7414" s="201"/>
      <c r="D7414" s="201"/>
      <c r="E7414" s="201"/>
      <c r="F7414" s="202"/>
      <c r="G7414" s="549"/>
      <c r="H7414" s="549"/>
      <c r="I7414" s="549"/>
      <c r="J7414" s="549"/>
      <c r="K7414" s="549"/>
      <c r="M7414" s="465"/>
      <c r="N7414" s="201"/>
    </row>
    <row r="7415" spans="2:14" hidden="1" outlineLevel="1" x14ac:dyDescent="0.35">
      <c r="B7415" s="200"/>
      <c r="C7415" s="201"/>
      <c r="D7415" s="201"/>
      <c r="E7415" s="201"/>
      <c r="F7415" s="202"/>
      <c r="G7415" s="549"/>
      <c r="H7415" s="549"/>
      <c r="I7415" s="549"/>
      <c r="J7415" s="549"/>
      <c r="K7415" s="549"/>
      <c r="M7415" s="465"/>
      <c r="N7415" s="201"/>
    </row>
    <row r="7416" spans="2:14" hidden="1" outlineLevel="1" x14ac:dyDescent="0.35">
      <c r="B7416" s="200"/>
      <c r="C7416" s="201"/>
      <c r="D7416" s="201"/>
      <c r="E7416" s="201"/>
      <c r="F7416" s="202"/>
      <c r="G7416" s="549"/>
      <c r="H7416" s="549"/>
      <c r="I7416" s="549"/>
      <c r="J7416" s="549"/>
      <c r="K7416" s="549"/>
      <c r="M7416" s="465"/>
      <c r="N7416" s="201"/>
    </row>
    <row r="7417" spans="2:14" hidden="1" outlineLevel="1" x14ac:dyDescent="0.35">
      <c r="B7417" s="200"/>
      <c r="C7417" s="201"/>
      <c r="D7417" s="201"/>
      <c r="E7417" s="201"/>
      <c r="F7417" s="202"/>
      <c r="G7417" s="549"/>
      <c r="H7417" s="549"/>
      <c r="I7417" s="549"/>
      <c r="J7417" s="549"/>
      <c r="K7417" s="549"/>
      <c r="M7417" s="465"/>
      <c r="N7417" s="201"/>
    </row>
    <row r="7418" spans="2:14" hidden="1" outlineLevel="1" x14ac:dyDescent="0.35">
      <c r="B7418" s="200"/>
      <c r="C7418" s="201"/>
      <c r="D7418" s="201"/>
      <c r="E7418" s="201"/>
      <c r="F7418" s="202"/>
      <c r="G7418" s="549"/>
      <c r="H7418" s="549"/>
      <c r="I7418" s="549"/>
      <c r="J7418" s="549"/>
      <c r="K7418" s="549"/>
      <c r="M7418" s="465"/>
      <c r="N7418" s="201"/>
    </row>
    <row r="7419" spans="2:14" hidden="1" outlineLevel="1" x14ac:dyDescent="0.35">
      <c r="B7419" s="200"/>
      <c r="C7419" s="201"/>
      <c r="D7419" s="201"/>
      <c r="E7419" s="201"/>
      <c r="F7419" s="202"/>
      <c r="G7419" s="549"/>
      <c r="H7419" s="549"/>
      <c r="I7419" s="549"/>
      <c r="J7419" s="549"/>
      <c r="K7419" s="549"/>
      <c r="M7419" s="465"/>
      <c r="N7419" s="201"/>
    </row>
    <row r="7420" spans="2:14" hidden="1" outlineLevel="1" x14ac:dyDescent="0.35">
      <c r="B7420" s="200"/>
      <c r="C7420" s="201"/>
      <c r="D7420" s="201"/>
      <c r="E7420" s="201"/>
      <c r="F7420" s="202"/>
      <c r="G7420" s="549"/>
      <c r="H7420" s="549"/>
      <c r="I7420" s="549"/>
      <c r="J7420" s="549"/>
      <c r="K7420" s="549"/>
      <c r="M7420" s="465"/>
      <c r="N7420" s="201"/>
    </row>
    <row r="7421" spans="2:14" hidden="1" outlineLevel="1" x14ac:dyDescent="0.35">
      <c r="B7421" s="200"/>
      <c r="C7421" s="201"/>
      <c r="D7421" s="201"/>
      <c r="E7421" s="201"/>
      <c r="F7421" s="202"/>
      <c r="G7421" s="549"/>
      <c r="H7421" s="549"/>
      <c r="I7421" s="549"/>
      <c r="J7421" s="549"/>
      <c r="K7421" s="549"/>
      <c r="M7421" s="465"/>
      <c r="N7421" s="201"/>
    </row>
    <row r="7422" spans="2:14" hidden="1" outlineLevel="1" x14ac:dyDescent="0.35">
      <c r="B7422" s="200"/>
      <c r="C7422" s="201"/>
      <c r="D7422" s="201"/>
      <c r="E7422" s="201"/>
      <c r="F7422" s="202"/>
      <c r="G7422" s="549"/>
      <c r="H7422" s="549"/>
      <c r="I7422" s="549"/>
      <c r="J7422" s="549"/>
      <c r="K7422" s="549"/>
      <c r="M7422" s="465"/>
      <c r="N7422" s="201"/>
    </row>
    <row r="7423" spans="2:14" hidden="1" outlineLevel="1" x14ac:dyDescent="0.35">
      <c r="B7423" s="200"/>
      <c r="C7423" s="201"/>
      <c r="D7423" s="201"/>
      <c r="E7423" s="201"/>
      <c r="F7423" s="202"/>
      <c r="G7423" s="549"/>
      <c r="H7423" s="549"/>
      <c r="I7423" s="549"/>
      <c r="J7423" s="549"/>
      <c r="K7423" s="549"/>
      <c r="M7423" s="465"/>
      <c r="N7423" s="201"/>
    </row>
    <row r="7424" spans="2:14" hidden="1" outlineLevel="1" x14ac:dyDescent="0.35">
      <c r="B7424" s="200"/>
      <c r="C7424" s="201"/>
      <c r="D7424" s="201"/>
      <c r="E7424" s="201"/>
      <c r="F7424" s="202"/>
      <c r="G7424" s="549"/>
      <c r="H7424" s="549"/>
      <c r="I7424" s="549"/>
      <c r="J7424" s="549"/>
      <c r="K7424" s="549"/>
      <c r="M7424" s="465"/>
      <c r="N7424" s="201"/>
    </row>
    <row r="7425" spans="2:14" hidden="1" outlineLevel="1" x14ac:dyDescent="0.35">
      <c r="B7425" s="200"/>
      <c r="C7425" s="201"/>
      <c r="D7425" s="201"/>
      <c r="E7425" s="201"/>
      <c r="F7425" s="202"/>
      <c r="G7425" s="549"/>
      <c r="H7425" s="549"/>
      <c r="I7425" s="549"/>
      <c r="J7425" s="549"/>
      <c r="K7425" s="549"/>
      <c r="M7425" s="465"/>
      <c r="N7425" s="201"/>
    </row>
    <row r="7426" spans="2:14" hidden="1" outlineLevel="1" x14ac:dyDescent="0.35">
      <c r="B7426" s="200"/>
      <c r="C7426" s="201"/>
      <c r="D7426" s="201"/>
      <c r="E7426" s="201"/>
      <c r="F7426" s="202"/>
      <c r="G7426" s="549"/>
      <c r="H7426" s="549"/>
      <c r="I7426" s="549"/>
      <c r="J7426" s="549"/>
      <c r="K7426" s="549"/>
      <c r="M7426" s="465"/>
      <c r="N7426" s="201"/>
    </row>
    <row r="7427" spans="2:14" hidden="1" outlineLevel="1" x14ac:dyDescent="0.35">
      <c r="B7427" s="200"/>
      <c r="C7427" s="201"/>
      <c r="D7427" s="201"/>
      <c r="E7427" s="201"/>
      <c r="F7427" s="202"/>
      <c r="G7427" s="549"/>
      <c r="H7427" s="549"/>
      <c r="I7427" s="549"/>
      <c r="J7427" s="549"/>
      <c r="K7427" s="549"/>
      <c r="M7427" s="465"/>
      <c r="N7427" s="201"/>
    </row>
    <row r="7428" spans="2:14" hidden="1" outlineLevel="1" x14ac:dyDescent="0.35">
      <c r="B7428" s="200"/>
      <c r="C7428" s="201"/>
      <c r="D7428" s="201"/>
      <c r="E7428" s="201"/>
      <c r="F7428" s="202"/>
      <c r="G7428" s="549"/>
      <c r="H7428" s="549"/>
      <c r="I7428" s="549"/>
      <c r="J7428" s="549"/>
      <c r="K7428" s="549"/>
      <c r="M7428" s="465"/>
      <c r="N7428" s="201"/>
    </row>
    <row r="7429" spans="2:14" hidden="1" outlineLevel="1" x14ac:dyDescent="0.35">
      <c r="B7429" s="200"/>
      <c r="C7429" s="201"/>
      <c r="D7429" s="201"/>
      <c r="E7429" s="201"/>
      <c r="F7429" s="202"/>
      <c r="G7429" s="549"/>
      <c r="H7429" s="549"/>
      <c r="I7429" s="549"/>
      <c r="J7429" s="549"/>
      <c r="K7429" s="549"/>
      <c r="M7429" s="465"/>
      <c r="N7429" s="201"/>
    </row>
    <row r="7430" spans="2:14" hidden="1" outlineLevel="1" x14ac:dyDescent="0.35">
      <c r="B7430" s="200"/>
      <c r="C7430" s="201"/>
      <c r="D7430" s="201"/>
      <c r="E7430" s="201"/>
      <c r="F7430" s="202"/>
      <c r="G7430" s="549"/>
      <c r="H7430" s="549"/>
      <c r="I7430" s="549"/>
      <c r="J7430" s="549"/>
      <c r="K7430" s="549"/>
      <c r="M7430" s="465"/>
      <c r="N7430" s="201"/>
    </row>
    <row r="7431" spans="2:14" hidden="1" outlineLevel="1" x14ac:dyDescent="0.35">
      <c r="B7431" s="200"/>
      <c r="C7431" s="201"/>
      <c r="D7431" s="201"/>
      <c r="E7431" s="201"/>
      <c r="F7431" s="202"/>
      <c r="G7431" s="549"/>
      <c r="H7431" s="549"/>
      <c r="I7431" s="549"/>
      <c r="J7431" s="549"/>
      <c r="K7431" s="549"/>
      <c r="M7431" s="465"/>
      <c r="N7431" s="201"/>
    </row>
    <row r="7432" spans="2:14" hidden="1" outlineLevel="1" x14ac:dyDescent="0.35">
      <c r="B7432" s="200"/>
      <c r="C7432" s="201"/>
      <c r="D7432" s="201"/>
      <c r="E7432" s="201"/>
      <c r="F7432" s="202"/>
      <c r="G7432" s="549"/>
      <c r="H7432" s="549"/>
      <c r="I7432" s="549"/>
      <c r="J7432" s="549"/>
      <c r="K7432" s="549"/>
      <c r="M7432" s="465"/>
      <c r="N7432" s="201"/>
    </row>
    <row r="7433" spans="2:14" hidden="1" outlineLevel="1" x14ac:dyDescent="0.35">
      <c r="B7433" s="200"/>
      <c r="C7433" s="201"/>
      <c r="D7433" s="201"/>
      <c r="E7433" s="201"/>
      <c r="F7433" s="202"/>
      <c r="G7433" s="549"/>
      <c r="H7433" s="549"/>
      <c r="I7433" s="549"/>
      <c r="J7433" s="549"/>
      <c r="K7433" s="549"/>
      <c r="M7433" s="465"/>
      <c r="N7433" s="201"/>
    </row>
    <row r="7434" spans="2:14" hidden="1" outlineLevel="1" x14ac:dyDescent="0.35">
      <c r="B7434" s="200"/>
      <c r="C7434" s="201"/>
      <c r="D7434" s="201"/>
      <c r="E7434" s="201"/>
      <c r="F7434" s="202"/>
      <c r="G7434" s="549"/>
      <c r="H7434" s="549"/>
      <c r="I7434" s="549"/>
      <c r="J7434" s="549"/>
      <c r="K7434" s="549"/>
      <c r="M7434" s="465"/>
      <c r="N7434" s="201"/>
    </row>
    <row r="7435" spans="2:14" hidden="1" outlineLevel="1" x14ac:dyDescent="0.35">
      <c r="B7435" s="200"/>
      <c r="C7435" s="201"/>
      <c r="D7435" s="201"/>
      <c r="E7435" s="201"/>
      <c r="F7435" s="202"/>
      <c r="G7435" s="549"/>
      <c r="H7435" s="549"/>
      <c r="I7435" s="549"/>
      <c r="J7435" s="549"/>
      <c r="K7435" s="549"/>
      <c r="M7435" s="465"/>
      <c r="N7435" s="201"/>
    </row>
    <row r="7436" spans="2:14" hidden="1" outlineLevel="1" x14ac:dyDescent="0.35">
      <c r="B7436" s="200"/>
      <c r="C7436" s="201"/>
      <c r="D7436" s="201"/>
      <c r="E7436" s="201"/>
      <c r="F7436" s="202"/>
      <c r="G7436" s="549"/>
      <c r="H7436" s="549"/>
      <c r="I7436" s="549"/>
      <c r="J7436" s="549"/>
      <c r="K7436" s="549"/>
      <c r="M7436" s="465"/>
      <c r="N7436" s="201"/>
    </row>
    <row r="7437" spans="2:14" hidden="1" outlineLevel="1" x14ac:dyDescent="0.35">
      <c r="B7437" s="200"/>
      <c r="C7437" s="201"/>
      <c r="D7437" s="201"/>
      <c r="E7437" s="201"/>
      <c r="F7437" s="202"/>
      <c r="G7437" s="549"/>
      <c r="H7437" s="549"/>
      <c r="I7437" s="549"/>
      <c r="J7437" s="549"/>
      <c r="K7437" s="549"/>
      <c r="M7437" s="465"/>
      <c r="N7437" s="201"/>
    </row>
    <row r="7438" spans="2:14" hidden="1" outlineLevel="1" x14ac:dyDescent="0.35">
      <c r="B7438" s="200"/>
      <c r="C7438" s="201"/>
      <c r="D7438" s="201"/>
      <c r="E7438" s="201"/>
      <c r="F7438" s="202"/>
      <c r="G7438" s="549"/>
      <c r="H7438" s="549"/>
      <c r="I7438" s="549"/>
      <c r="J7438" s="549"/>
      <c r="K7438" s="549"/>
      <c r="M7438" s="465"/>
      <c r="N7438" s="201"/>
    </row>
    <row r="7439" spans="2:14" hidden="1" outlineLevel="1" x14ac:dyDescent="0.35">
      <c r="B7439" s="200"/>
      <c r="C7439" s="201"/>
      <c r="D7439" s="201"/>
      <c r="E7439" s="201"/>
      <c r="F7439" s="202"/>
      <c r="G7439" s="549"/>
      <c r="H7439" s="549"/>
      <c r="I7439" s="549"/>
      <c r="J7439" s="549"/>
      <c r="K7439" s="549"/>
      <c r="M7439" s="465"/>
      <c r="N7439" s="201"/>
    </row>
    <row r="7440" spans="2:14" hidden="1" outlineLevel="1" x14ac:dyDescent="0.35">
      <c r="B7440" s="200"/>
      <c r="C7440" s="201"/>
      <c r="D7440" s="201"/>
      <c r="E7440" s="201"/>
      <c r="F7440" s="202"/>
      <c r="G7440" s="549"/>
      <c r="H7440" s="549"/>
      <c r="I7440" s="549"/>
      <c r="J7440" s="549"/>
      <c r="K7440" s="549"/>
      <c r="M7440" s="465"/>
      <c r="N7440" s="201"/>
    </row>
    <row r="7441" spans="2:14" hidden="1" outlineLevel="1" x14ac:dyDescent="0.35">
      <c r="B7441" s="200"/>
      <c r="C7441" s="201"/>
      <c r="D7441" s="201"/>
      <c r="E7441" s="201"/>
      <c r="F7441" s="202"/>
      <c r="G7441" s="549"/>
      <c r="H7441" s="549"/>
      <c r="I7441" s="549"/>
      <c r="J7441" s="549"/>
      <c r="K7441" s="549"/>
      <c r="M7441" s="465"/>
      <c r="N7441" s="201"/>
    </row>
    <row r="7442" spans="2:14" hidden="1" outlineLevel="1" x14ac:dyDescent="0.35">
      <c r="B7442" s="200"/>
      <c r="C7442" s="201"/>
      <c r="D7442" s="201"/>
      <c r="E7442" s="201"/>
      <c r="F7442" s="202"/>
      <c r="G7442" s="549"/>
      <c r="H7442" s="549"/>
      <c r="I7442" s="549"/>
      <c r="J7442" s="549"/>
      <c r="K7442" s="549"/>
      <c r="M7442" s="465"/>
      <c r="N7442" s="201"/>
    </row>
    <row r="7443" spans="2:14" hidden="1" outlineLevel="1" x14ac:dyDescent="0.35">
      <c r="B7443" s="200"/>
      <c r="C7443" s="201"/>
      <c r="D7443" s="201"/>
      <c r="E7443" s="201"/>
      <c r="F7443" s="202"/>
      <c r="G7443" s="549"/>
      <c r="H7443" s="549"/>
      <c r="I7443" s="549"/>
      <c r="J7443" s="549"/>
      <c r="K7443" s="549"/>
      <c r="M7443" s="465"/>
      <c r="N7443" s="201"/>
    </row>
    <row r="7444" spans="2:14" hidden="1" outlineLevel="1" x14ac:dyDescent="0.35">
      <c r="B7444" s="200"/>
      <c r="C7444" s="201"/>
      <c r="D7444" s="201"/>
      <c r="E7444" s="201"/>
      <c r="F7444" s="202"/>
      <c r="G7444" s="549"/>
      <c r="H7444" s="549"/>
      <c r="I7444" s="549"/>
      <c r="J7444" s="549"/>
      <c r="K7444" s="549"/>
      <c r="M7444" s="465"/>
      <c r="N7444" s="201"/>
    </row>
    <row r="7445" spans="2:14" hidden="1" outlineLevel="1" x14ac:dyDescent="0.35">
      <c r="B7445" s="200"/>
      <c r="C7445" s="201"/>
      <c r="D7445" s="201"/>
      <c r="E7445" s="201"/>
      <c r="F7445" s="202"/>
      <c r="G7445" s="549"/>
      <c r="H7445" s="549"/>
      <c r="I7445" s="549"/>
      <c r="J7445" s="549"/>
      <c r="K7445" s="549"/>
      <c r="M7445" s="465"/>
      <c r="N7445" s="201"/>
    </row>
    <row r="7446" spans="2:14" hidden="1" outlineLevel="1" x14ac:dyDescent="0.35">
      <c r="B7446" s="200"/>
      <c r="C7446" s="201"/>
      <c r="D7446" s="201"/>
      <c r="E7446" s="201"/>
      <c r="F7446" s="202"/>
      <c r="G7446" s="549"/>
      <c r="H7446" s="549"/>
      <c r="I7446" s="549"/>
      <c r="J7446" s="549"/>
      <c r="K7446" s="549"/>
      <c r="M7446" s="465"/>
      <c r="N7446" s="201"/>
    </row>
    <row r="7447" spans="2:14" hidden="1" outlineLevel="1" x14ac:dyDescent="0.35">
      <c r="B7447" s="200"/>
      <c r="C7447" s="201"/>
      <c r="D7447" s="201"/>
      <c r="E7447" s="201"/>
      <c r="F7447" s="202"/>
      <c r="G7447" s="549"/>
      <c r="H7447" s="549"/>
      <c r="I7447" s="549"/>
      <c r="J7447" s="549"/>
      <c r="K7447" s="549"/>
      <c r="M7447" s="465"/>
      <c r="N7447" s="201"/>
    </row>
    <row r="7448" spans="2:14" hidden="1" outlineLevel="1" x14ac:dyDescent="0.35">
      <c r="B7448" s="200"/>
      <c r="C7448" s="201"/>
      <c r="D7448" s="201"/>
      <c r="E7448" s="201"/>
      <c r="F7448" s="202"/>
      <c r="G7448" s="549"/>
      <c r="H7448" s="549"/>
      <c r="I7448" s="549"/>
      <c r="J7448" s="549"/>
      <c r="K7448" s="549"/>
      <c r="M7448" s="465"/>
      <c r="N7448" s="201"/>
    </row>
    <row r="7449" spans="2:14" hidden="1" outlineLevel="1" x14ac:dyDescent="0.35">
      <c r="B7449" s="200"/>
      <c r="C7449" s="201"/>
      <c r="D7449" s="201"/>
      <c r="E7449" s="201"/>
      <c r="F7449" s="202"/>
      <c r="G7449" s="549"/>
      <c r="H7449" s="549"/>
      <c r="I7449" s="549"/>
      <c r="J7449" s="549"/>
      <c r="K7449" s="549"/>
      <c r="M7449" s="465"/>
      <c r="N7449" s="201"/>
    </row>
    <row r="7450" spans="2:14" hidden="1" outlineLevel="1" x14ac:dyDescent="0.35">
      <c r="B7450" s="200"/>
      <c r="C7450" s="201"/>
      <c r="D7450" s="201"/>
      <c r="E7450" s="201"/>
      <c r="F7450" s="202"/>
      <c r="G7450" s="549"/>
      <c r="H7450" s="549"/>
      <c r="I7450" s="549"/>
      <c r="J7450" s="549"/>
      <c r="K7450" s="549"/>
      <c r="M7450" s="465"/>
      <c r="N7450" s="201"/>
    </row>
    <row r="7451" spans="2:14" hidden="1" outlineLevel="1" x14ac:dyDescent="0.35">
      <c r="B7451" s="200"/>
      <c r="C7451" s="201"/>
      <c r="D7451" s="201"/>
      <c r="E7451" s="201"/>
      <c r="F7451" s="202"/>
      <c r="G7451" s="549"/>
      <c r="H7451" s="549"/>
      <c r="I7451" s="549"/>
      <c r="J7451" s="549"/>
      <c r="K7451" s="549"/>
      <c r="M7451" s="465"/>
      <c r="N7451" s="201"/>
    </row>
    <row r="7452" spans="2:14" hidden="1" outlineLevel="1" x14ac:dyDescent="0.35">
      <c r="B7452" s="200"/>
      <c r="C7452" s="201"/>
      <c r="D7452" s="201"/>
      <c r="E7452" s="201"/>
      <c r="F7452" s="202"/>
      <c r="G7452" s="549"/>
      <c r="H7452" s="549"/>
      <c r="I7452" s="549"/>
      <c r="J7452" s="549"/>
      <c r="K7452" s="549"/>
      <c r="M7452" s="465"/>
      <c r="N7452" s="201"/>
    </row>
    <row r="7453" spans="2:14" hidden="1" outlineLevel="1" x14ac:dyDescent="0.35">
      <c r="B7453" s="200"/>
      <c r="C7453" s="201"/>
      <c r="D7453" s="201"/>
      <c r="E7453" s="201"/>
      <c r="F7453" s="202"/>
      <c r="G7453" s="549"/>
      <c r="H7453" s="549"/>
      <c r="I7453" s="549"/>
      <c r="J7453" s="549"/>
      <c r="K7453" s="549"/>
      <c r="M7453" s="465"/>
      <c r="N7453" s="201"/>
    </row>
    <row r="7454" spans="2:14" hidden="1" outlineLevel="1" x14ac:dyDescent="0.35">
      <c r="B7454" s="200"/>
      <c r="C7454" s="201"/>
      <c r="D7454" s="201"/>
      <c r="E7454" s="201"/>
      <c r="F7454" s="202"/>
      <c r="G7454" s="549"/>
      <c r="H7454" s="549"/>
      <c r="I7454" s="549"/>
      <c r="J7454" s="549"/>
      <c r="K7454" s="549"/>
      <c r="M7454" s="465"/>
      <c r="N7454" s="201"/>
    </row>
    <row r="7455" spans="2:14" hidden="1" outlineLevel="1" x14ac:dyDescent="0.35">
      <c r="B7455" s="200"/>
      <c r="C7455" s="201"/>
      <c r="D7455" s="201"/>
      <c r="E7455" s="201"/>
      <c r="F7455" s="202"/>
      <c r="G7455" s="549"/>
      <c r="H7455" s="549"/>
      <c r="I7455" s="549"/>
      <c r="J7455" s="549"/>
      <c r="K7455" s="549"/>
      <c r="M7455" s="465"/>
      <c r="N7455" s="201"/>
    </row>
    <row r="7456" spans="2:14" hidden="1" outlineLevel="1" x14ac:dyDescent="0.35">
      <c r="B7456" s="200"/>
      <c r="C7456" s="201"/>
      <c r="D7456" s="201"/>
      <c r="E7456" s="201"/>
      <c r="F7456" s="202"/>
      <c r="G7456" s="549"/>
      <c r="H7456" s="549"/>
      <c r="I7456" s="549"/>
      <c r="J7456" s="549"/>
      <c r="K7456" s="549"/>
      <c r="M7456" s="465"/>
      <c r="N7456" s="201"/>
    </row>
    <row r="7457" spans="2:14" hidden="1" outlineLevel="1" x14ac:dyDescent="0.35">
      <c r="B7457" s="200"/>
      <c r="C7457" s="201"/>
      <c r="D7457" s="201"/>
      <c r="E7457" s="201"/>
      <c r="F7457" s="202"/>
      <c r="G7457" s="549"/>
      <c r="H7457" s="549"/>
      <c r="I7457" s="549"/>
      <c r="J7457" s="549"/>
      <c r="K7457" s="549"/>
      <c r="M7457" s="465"/>
      <c r="N7457" s="201"/>
    </row>
    <row r="7458" spans="2:14" hidden="1" outlineLevel="1" x14ac:dyDescent="0.35">
      <c r="B7458" s="200"/>
      <c r="C7458" s="201"/>
      <c r="D7458" s="201"/>
      <c r="E7458" s="201"/>
      <c r="F7458" s="202"/>
      <c r="G7458" s="549"/>
      <c r="H7458" s="549"/>
      <c r="I7458" s="549"/>
      <c r="J7458" s="549"/>
      <c r="K7458" s="549"/>
      <c r="M7458" s="465"/>
      <c r="N7458" s="201"/>
    </row>
    <row r="7459" spans="2:14" hidden="1" outlineLevel="1" x14ac:dyDescent="0.35">
      <c r="B7459" s="200"/>
      <c r="C7459" s="201"/>
      <c r="D7459" s="201"/>
      <c r="E7459" s="201"/>
      <c r="F7459" s="202"/>
      <c r="G7459" s="549"/>
      <c r="H7459" s="549"/>
      <c r="I7459" s="549"/>
      <c r="J7459" s="549"/>
      <c r="K7459" s="549"/>
      <c r="M7459" s="465"/>
      <c r="N7459" s="201"/>
    </row>
    <row r="7460" spans="2:14" hidden="1" outlineLevel="1" x14ac:dyDescent="0.35">
      <c r="B7460" s="200"/>
      <c r="C7460" s="201"/>
      <c r="D7460" s="201"/>
      <c r="E7460" s="201"/>
      <c r="F7460" s="202"/>
      <c r="G7460" s="549"/>
      <c r="H7460" s="549"/>
      <c r="I7460" s="549"/>
      <c r="J7460" s="549"/>
      <c r="K7460" s="549"/>
      <c r="M7460" s="465"/>
      <c r="N7460" s="201"/>
    </row>
    <row r="7461" spans="2:14" hidden="1" outlineLevel="1" x14ac:dyDescent="0.35">
      <c r="B7461" s="200"/>
      <c r="C7461" s="201"/>
      <c r="D7461" s="201"/>
      <c r="E7461" s="201"/>
      <c r="F7461" s="202"/>
      <c r="G7461" s="549"/>
      <c r="H7461" s="549"/>
      <c r="I7461" s="549"/>
      <c r="J7461" s="549"/>
      <c r="K7461" s="549"/>
      <c r="M7461" s="465"/>
      <c r="N7461" s="201"/>
    </row>
    <row r="7462" spans="2:14" hidden="1" outlineLevel="1" x14ac:dyDescent="0.35">
      <c r="B7462" s="200"/>
      <c r="C7462" s="201"/>
      <c r="D7462" s="201"/>
      <c r="E7462" s="201"/>
      <c r="F7462" s="202"/>
      <c r="G7462" s="549"/>
      <c r="H7462" s="549"/>
      <c r="I7462" s="549"/>
      <c r="J7462" s="549"/>
      <c r="K7462" s="549"/>
      <c r="M7462" s="465"/>
      <c r="N7462" s="201"/>
    </row>
    <row r="7463" spans="2:14" hidden="1" outlineLevel="1" x14ac:dyDescent="0.35">
      <c r="B7463" s="200"/>
      <c r="C7463" s="201"/>
      <c r="D7463" s="201"/>
      <c r="E7463" s="201"/>
      <c r="F7463" s="202"/>
      <c r="G7463" s="549"/>
      <c r="H7463" s="549"/>
      <c r="I7463" s="549"/>
      <c r="J7463" s="549"/>
      <c r="K7463" s="549"/>
      <c r="M7463" s="465"/>
      <c r="N7463" s="201"/>
    </row>
    <row r="7464" spans="2:14" hidden="1" outlineLevel="1" x14ac:dyDescent="0.35">
      <c r="B7464" s="200"/>
      <c r="C7464" s="201"/>
      <c r="D7464" s="201"/>
      <c r="E7464" s="201"/>
      <c r="F7464" s="202"/>
      <c r="G7464" s="549"/>
      <c r="H7464" s="549"/>
      <c r="I7464" s="549"/>
      <c r="J7464" s="549"/>
      <c r="K7464" s="549"/>
      <c r="M7464" s="465"/>
      <c r="N7464" s="201"/>
    </row>
    <row r="7465" spans="2:14" hidden="1" outlineLevel="1" x14ac:dyDescent="0.35">
      <c r="B7465" s="200"/>
      <c r="C7465" s="201"/>
      <c r="D7465" s="201"/>
      <c r="E7465" s="201"/>
      <c r="F7465" s="202"/>
      <c r="G7465" s="549"/>
      <c r="H7465" s="549"/>
      <c r="I7465" s="549"/>
      <c r="J7465" s="549"/>
      <c r="K7465" s="549"/>
      <c r="M7465" s="465"/>
      <c r="N7465" s="201"/>
    </row>
    <row r="7466" spans="2:14" hidden="1" outlineLevel="1" x14ac:dyDescent="0.35">
      <c r="B7466" s="200"/>
      <c r="C7466" s="201"/>
      <c r="D7466" s="201"/>
      <c r="E7466" s="201"/>
      <c r="F7466" s="202"/>
      <c r="G7466" s="549"/>
      <c r="H7466" s="549"/>
      <c r="I7466" s="549"/>
      <c r="J7466" s="549"/>
      <c r="K7466" s="549"/>
      <c r="M7466" s="465"/>
      <c r="N7466" s="201"/>
    </row>
    <row r="7467" spans="2:14" hidden="1" outlineLevel="1" x14ac:dyDescent="0.35">
      <c r="B7467" s="200"/>
      <c r="C7467" s="201"/>
      <c r="D7467" s="201"/>
      <c r="E7467" s="201"/>
      <c r="F7467" s="202"/>
      <c r="G7467" s="549"/>
      <c r="H7467" s="549"/>
      <c r="I7467" s="549"/>
      <c r="J7467" s="549"/>
      <c r="K7467" s="549"/>
      <c r="M7467" s="465"/>
      <c r="N7467" s="201"/>
    </row>
    <row r="7468" spans="2:14" hidden="1" outlineLevel="1" x14ac:dyDescent="0.35">
      <c r="B7468" s="200"/>
      <c r="C7468" s="201"/>
      <c r="D7468" s="201"/>
      <c r="E7468" s="201"/>
      <c r="F7468" s="202"/>
      <c r="G7468" s="549"/>
      <c r="H7468" s="549"/>
      <c r="I7468" s="549"/>
      <c r="J7468" s="549"/>
      <c r="K7468" s="549"/>
      <c r="M7468" s="465"/>
      <c r="N7468" s="201"/>
    </row>
    <row r="7469" spans="2:14" hidden="1" outlineLevel="1" x14ac:dyDescent="0.35">
      <c r="B7469" s="200"/>
      <c r="C7469" s="201"/>
      <c r="D7469" s="201"/>
      <c r="E7469" s="201"/>
      <c r="F7469" s="202"/>
      <c r="G7469" s="549"/>
      <c r="H7469" s="549"/>
      <c r="I7469" s="549"/>
      <c r="J7469" s="549"/>
      <c r="K7469" s="549"/>
      <c r="M7469" s="465"/>
      <c r="N7469" s="201"/>
    </row>
    <row r="7470" spans="2:14" hidden="1" outlineLevel="1" x14ac:dyDescent="0.35">
      <c r="B7470" s="200"/>
      <c r="C7470" s="201"/>
      <c r="D7470" s="201"/>
      <c r="E7470" s="201"/>
      <c r="F7470" s="202"/>
      <c r="G7470" s="549"/>
      <c r="H7470" s="549"/>
      <c r="I7470" s="549"/>
      <c r="J7470" s="549"/>
      <c r="K7470" s="549"/>
      <c r="M7470" s="465"/>
      <c r="N7470" s="201"/>
    </row>
    <row r="7471" spans="2:14" hidden="1" outlineLevel="1" x14ac:dyDescent="0.35">
      <c r="B7471" s="200"/>
      <c r="C7471" s="201"/>
      <c r="D7471" s="201"/>
      <c r="E7471" s="201"/>
      <c r="F7471" s="202"/>
      <c r="G7471" s="549"/>
      <c r="H7471" s="549"/>
      <c r="I7471" s="549"/>
      <c r="J7471" s="549"/>
      <c r="K7471" s="549"/>
      <c r="M7471" s="465"/>
      <c r="N7471" s="201"/>
    </row>
    <row r="7472" spans="2:14" hidden="1" outlineLevel="1" x14ac:dyDescent="0.35">
      <c r="B7472" s="200"/>
      <c r="C7472" s="201"/>
      <c r="D7472" s="201"/>
      <c r="E7472" s="201"/>
      <c r="F7472" s="202"/>
      <c r="G7472" s="549"/>
      <c r="H7472" s="549"/>
      <c r="I7472" s="549"/>
      <c r="J7472" s="549"/>
      <c r="K7472" s="549"/>
      <c r="M7472" s="465"/>
      <c r="N7472" s="201"/>
    </row>
    <row r="7473" spans="2:14" hidden="1" outlineLevel="1" x14ac:dyDescent="0.35">
      <c r="B7473" s="200"/>
      <c r="C7473" s="201"/>
      <c r="D7473" s="201"/>
      <c r="E7473" s="201"/>
      <c r="F7473" s="202"/>
      <c r="G7473" s="549"/>
      <c r="H7473" s="549"/>
      <c r="I7473" s="549"/>
      <c r="J7473" s="549"/>
      <c r="K7473" s="549"/>
      <c r="M7473" s="465"/>
      <c r="N7473" s="201"/>
    </row>
    <row r="7474" spans="2:14" hidden="1" outlineLevel="1" x14ac:dyDescent="0.35">
      <c r="B7474" s="200"/>
      <c r="C7474" s="201"/>
      <c r="D7474" s="201"/>
      <c r="E7474" s="201"/>
      <c r="F7474" s="202"/>
      <c r="G7474" s="549"/>
      <c r="H7474" s="549"/>
      <c r="I7474" s="549"/>
      <c r="J7474" s="549"/>
      <c r="K7474" s="549"/>
      <c r="M7474" s="465"/>
      <c r="N7474" s="201"/>
    </row>
    <row r="7475" spans="2:14" hidden="1" outlineLevel="1" x14ac:dyDescent="0.35">
      <c r="B7475" s="200"/>
      <c r="C7475" s="201"/>
      <c r="D7475" s="201"/>
      <c r="E7475" s="201"/>
      <c r="F7475" s="202"/>
      <c r="G7475" s="549"/>
      <c r="H7475" s="549"/>
      <c r="I7475" s="549"/>
      <c r="J7475" s="549"/>
      <c r="K7475" s="549"/>
      <c r="M7475" s="465"/>
      <c r="N7475" s="201"/>
    </row>
    <row r="7476" spans="2:14" hidden="1" outlineLevel="1" x14ac:dyDescent="0.35">
      <c r="B7476" s="200"/>
      <c r="C7476" s="201"/>
      <c r="D7476" s="201"/>
      <c r="E7476" s="201"/>
      <c r="F7476" s="202"/>
      <c r="G7476" s="549"/>
      <c r="H7476" s="549"/>
      <c r="I7476" s="549"/>
      <c r="J7476" s="549"/>
      <c r="K7476" s="549"/>
      <c r="M7476" s="465"/>
      <c r="N7476" s="201"/>
    </row>
    <row r="7477" spans="2:14" hidden="1" outlineLevel="1" x14ac:dyDescent="0.35">
      <c r="B7477" s="200"/>
      <c r="C7477" s="201"/>
      <c r="D7477" s="201"/>
      <c r="E7477" s="201"/>
      <c r="F7477" s="202"/>
      <c r="G7477" s="549"/>
      <c r="H7477" s="549"/>
      <c r="I7477" s="549"/>
      <c r="J7477" s="549"/>
      <c r="K7477" s="549"/>
      <c r="M7477" s="465"/>
      <c r="N7477" s="201"/>
    </row>
    <row r="7478" spans="2:14" hidden="1" outlineLevel="1" x14ac:dyDescent="0.35">
      <c r="B7478" s="200"/>
      <c r="C7478" s="201"/>
      <c r="D7478" s="201"/>
      <c r="E7478" s="201"/>
      <c r="F7478" s="202"/>
      <c r="G7478" s="549"/>
      <c r="H7478" s="549"/>
      <c r="I7478" s="549"/>
      <c r="J7478" s="549"/>
      <c r="K7478" s="549"/>
      <c r="M7478" s="465"/>
      <c r="N7478" s="201"/>
    </row>
    <row r="7479" spans="2:14" hidden="1" outlineLevel="1" x14ac:dyDescent="0.35">
      <c r="B7479" s="200"/>
      <c r="C7479" s="201"/>
      <c r="D7479" s="201"/>
      <c r="E7479" s="201"/>
      <c r="F7479" s="202"/>
      <c r="G7479" s="549"/>
      <c r="H7479" s="549"/>
      <c r="I7479" s="549"/>
      <c r="J7479" s="549"/>
      <c r="K7479" s="549"/>
      <c r="M7479" s="465"/>
      <c r="N7479" s="201"/>
    </row>
    <row r="7480" spans="2:14" hidden="1" outlineLevel="1" x14ac:dyDescent="0.35">
      <c r="B7480" s="200"/>
      <c r="C7480" s="201"/>
      <c r="D7480" s="201"/>
      <c r="E7480" s="201"/>
      <c r="F7480" s="202"/>
      <c r="G7480" s="549"/>
      <c r="H7480" s="549"/>
      <c r="I7480" s="549"/>
      <c r="J7480" s="549"/>
      <c r="K7480" s="549"/>
      <c r="M7480" s="465"/>
      <c r="N7480" s="201"/>
    </row>
    <row r="7481" spans="2:14" hidden="1" outlineLevel="1" x14ac:dyDescent="0.35">
      <c r="B7481" s="200"/>
      <c r="C7481" s="201"/>
      <c r="D7481" s="201"/>
      <c r="E7481" s="201"/>
      <c r="F7481" s="202"/>
      <c r="G7481" s="549"/>
      <c r="H7481" s="549"/>
      <c r="I7481" s="549"/>
      <c r="J7481" s="549"/>
      <c r="K7481" s="549"/>
      <c r="M7481" s="465"/>
      <c r="N7481" s="201"/>
    </row>
    <row r="7482" spans="2:14" hidden="1" outlineLevel="1" x14ac:dyDescent="0.35">
      <c r="B7482" s="200"/>
      <c r="C7482" s="201"/>
      <c r="D7482" s="201"/>
      <c r="E7482" s="201"/>
      <c r="F7482" s="202"/>
      <c r="G7482" s="549"/>
      <c r="H7482" s="549"/>
      <c r="I7482" s="549"/>
      <c r="J7482" s="549"/>
      <c r="K7482" s="549"/>
      <c r="M7482" s="465"/>
      <c r="N7482" s="201"/>
    </row>
    <row r="7483" spans="2:14" hidden="1" outlineLevel="1" x14ac:dyDescent="0.35">
      <c r="B7483" s="200"/>
      <c r="C7483" s="201"/>
      <c r="D7483" s="201"/>
      <c r="E7483" s="201"/>
      <c r="F7483" s="202"/>
      <c r="G7483" s="549"/>
      <c r="H7483" s="549"/>
      <c r="I7483" s="549"/>
      <c r="J7483" s="549"/>
      <c r="K7483" s="549"/>
      <c r="M7483" s="465"/>
      <c r="N7483" s="201"/>
    </row>
    <row r="7484" spans="2:14" hidden="1" outlineLevel="1" x14ac:dyDescent="0.35">
      <c r="B7484" s="200"/>
      <c r="C7484" s="201"/>
      <c r="D7484" s="201"/>
      <c r="E7484" s="201"/>
      <c r="F7484" s="202"/>
      <c r="G7484" s="549"/>
      <c r="H7484" s="549"/>
      <c r="I7484" s="549"/>
      <c r="J7484" s="549"/>
      <c r="K7484" s="549"/>
      <c r="M7484" s="465"/>
      <c r="N7484" s="201"/>
    </row>
    <row r="7485" spans="2:14" hidden="1" outlineLevel="1" x14ac:dyDescent="0.35">
      <c r="B7485" s="200"/>
      <c r="C7485" s="201"/>
      <c r="D7485" s="201"/>
      <c r="E7485" s="201"/>
      <c r="F7485" s="202"/>
      <c r="G7485" s="549"/>
      <c r="H7485" s="549"/>
      <c r="I7485" s="549"/>
      <c r="J7485" s="549"/>
      <c r="K7485" s="549"/>
      <c r="M7485" s="465"/>
      <c r="N7485" s="201"/>
    </row>
    <row r="7486" spans="2:14" hidden="1" outlineLevel="1" x14ac:dyDescent="0.35">
      <c r="B7486" s="200"/>
      <c r="C7486" s="201"/>
      <c r="D7486" s="201"/>
      <c r="E7486" s="201"/>
      <c r="F7486" s="202"/>
      <c r="G7486" s="549"/>
      <c r="H7486" s="549"/>
      <c r="I7486" s="549"/>
      <c r="J7486" s="549"/>
      <c r="K7486" s="549"/>
      <c r="M7486" s="465"/>
      <c r="N7486" s="201"/>
    </row>
    <row r="7487" spans="2:14" hidden="1" outlineLevel="1" x14ac:dyDescent="0.35">
      <c r="B7487" s="200"/>
      <c r="C7487" s="201"/>
      <c r="D7487" s="201"/>
      <c r="E7487" s="201"/>
      <c r="F7487" s="202"/>
      <c r="G7487" s="549"/>
      <c r="H7487" s="549"/>
      <c r="I7487" s="549"/>
      <c r="J7487" s="549"/>
      <c r="K7487" s="549"/>
      <c r="M7487" s="465"/>
      <c r="N7487" s="201"/>
    </row>
    <row r="7488" spans="2:14" hidden="1" outlineLevel="1" x14ac:dyDescent="0.35">
      <c r="B7488" s="200"/>
      <c r="C7488" s="201"/>
      <c r="D7488" s="201"/>
      <c r="E7488" s="201"/>
      <c r="F7488" s="202"/>
      <c r="G7488" s="549"/>
      <c r="H7488" s="549"/>
      <c r="I7488" s="549"/>
      <c r="J7488" s="549"/>
      <c r="K7488" s="549"/>
      <c r="M7488" s="465"/>
      <c r="N7488" s="201"/>
    </row>
    <row r="7489" spans="2:14" hidden="1" outlineLevel="1" x14ac:dyDescent="0.35">
      <c r="B7489" s="200"/>
      <c r="C7489" s="201"/>
      <c r="D7489" s="201"/>
      <c r="E7489" s="201"/>
      <c r="F7489" s="202"/>
      <c r="G7489" s="549"/>
      <c r="H7489" s="549"/>
      <c r="I7489" s="549"/>
      <c r="J7489" s="549"/>
      <c r="K7489" s="549"/>
      <c r="M7489" s="465"/>
      <c r="N7489" s="201"/>
    </row>
    <row r="7490" spans="2:14" hidden="1" outlineLevel="1" x14ac:dyDescent="0.35">
      <c r="B7490" s="200"/>
      <c r="C7490" s="201"/>
      <c r="D7490" s="201"/>
      <c r="E7490" s="201"/>
      <c r="F7490" s="202"/>
      <c r="G7490" s="549"/>
      <c r="H7490" s="549"/>
      <c r="I7490" s="549"/>
      <c r="J7490" s="549"/>
      <c r="K7490" s="549"/>
      <c r="M7490" s="465"/>
      <c r="N7490" s="201"/>
    </row>
    <row r="7491" spans="2:14" hidden="1" outlineLevel="1" x14ac:dyDescent="0.35">
      <c r="B7491" s="200"/>
      <c r="C7491" s="201"/>
      <c r="D7491" s="201"/>
      <c r="E7491" s="201"/>
      <c r="F7491" s="202"/>
      <c r="G7491" s="549"/>
      <c r="H7491" s="549"/>
      <c r="I7491" s="549"/>
      <c r="J7491" s="549"/>
      <c r="K7491" s="549"/>
      <c r="M7491" s="465"/>
      <c r="N7491" s="201"/>
    </row>
    <row r="7492" spans="2:14" hidden="1" outlineLevel="1" x14ac:dyDescent="0.35">
      <c r="B7492" s="200"/>
      <c r="C7492" s="201"/>
      <c r="D7492" s="201"/>
      <c r="E7492" s="201"/>
      <c r="F7492" s="202"/>
      <c r="G7492" s="549"/>
      <c r="H7492" s="549"/>
      <c r="I7492" s="549"/>
      <c r="J7492" s="549"/>
      <c r="K7492" s="549"/>
      <c r="M7492" s="465"/>
      <c r="N7492" s="201"/>
    </row>
    <row r="7493" spans="2:14" hidden="1" outlineLevel="1" x14ac:dyDescent="0.35">
      <c r="B7493" s="200"/>
      <c r="C7493" s="201"/>
      <c r="D7493" s="201"/>
      <c r="E7493" s="201"/>
      <c r="F7493" s="202"/>
      <c r="G7493" s="549"/>
      <c r="H7493" s="549"/>
      <c r="I7493" s="549"/>
      <c r="J7493" s="549"/>
      <c r="K7493" s="549"/>
      <c r="M7493" s="465"/>
      <c r="N7493" s="201"/>
    </row>
    <row r="7494" spans="2:14" hidden="1" outlineLevel="1" x14ac:dyDescent="0.35">
      <c r="B7494" s="200"/>
      <c r="C7494" s="201"/>
      <c r="D7494" s="201"/>
      <c r="E7494" s="201"/>
      <c r="F7494" s="202"/>
      <c r="G7494" s="549"/>
      <c r="H7494" s="549"/>
      <c r="I7494" s="549"/>
      <c r="J7494" s="549"/>
      <c r="K7494" s="549"/>
      <c r="M7494" s="465"/>
      <c r="N7494" s="201"/>
    </row>
    <row r="7495" spans="2:14" hidden="1" outlineLevel="1" x14ac:dyDescent="0.35">
      <c r="B7495" s="200"/>
      <c r="C7495" s="201"/>
      <c r="D7495" s="201"/>
      <c r="E7495" s="201"/>
      <c r="F7495" s="202"/>
      <c r="G7495" s="549"/>
      <c r="H7495" s="549"/>
      <c r="I7495" s="549"/>
      <c r="J7495" s="549"/>
      <c r="K7495" s="549"/>
      <c r="M7495" s="465"/>
      <c r="N7495" s="201"/>
    </row>
    <row r="7496" spans="2:14" hidden="1" outlineLevel="1" x14ac:dyDescent="0.35">
      <c r="B7496" s="200"/>
      <c r="C7496" s="201"/>
      <c r="D7496" s="201"/>
      <c r="E7496" s="201"/>
      <c r="F7496" s="202"/>
      <c r="G7496" s="549"/>
      <c r="H7496" s="549"/>
      <c r="I7496" s="549"/>
      <c r="J7496" s="549"/>
      <c r="K7496" s="549"/>
      <c r="M7496" s="465"/>
      <c r="N7496" s="201"/>
    </row>
    <row r="7497" spans="2:14" hidden="1" outlineLevel="1" x14ac:dyDescent="0.35">
      <c r="B7497" s="200"/>
      <c r="C7497" s="201"/>
      <c r="D7497" s="201"/>
      <c r="E7497" s="201"/>
      <c r="F7497" s="202"/>
      <c r="G7497" s="549"/>
      <c r="H7497" s="549"/>
      <c r="I7497" s="549"/>
      <c r="J7497" s="549"/>
      <c r="K7497" s="549"/>
      <c r="M7497" s="465"/>
      <c r="N7497" s="201"/>
    </row>
    <row r="7498" spans="2:14" hidden="1" outlineLevel="1" x14ac:dyDescent="0.35">
      <c r="B7498" s="200"/>
      <c r="C7498" s="201"/>
      <c r="D7498" s="201"/>
      <c r="E7498" s="201"/>
      <c r="F7498" s="202"/>
      <c r="G7498" s="549"/>
      <c r="H7498" s="549"/>
      <c r="I7498" s="549"/>
      <c r="J7498" s="549"/>
      <c r="K7498" s="549"/>
      <c r="M7498" s="465"/>
      <c r="N7498" s="201"/>
    </row>
    <row r="7499" spans="2:14" hidden="1" outlineLevel="1" x14ac:dyDescent="0.35">
      <c r="B7499" s="200"/>
      <c r="C7499" s="201"/>
      <c r="D7499" s="201"/>
      <c r="E7499" s="201"/>
      <c r="F7499" s="202"/>
      <c r="G7499" s="549"/>
      <c r="H7499" s="549"/>
      <c r="I7499" s="549"/>
      <c r="J7499" s="549"/>
      <c r="K7499" s="549"/>
      <c r="M7499" s="465"/>
      <c r="N7499" s="201"/>
    </row>
    <row r="7500" spans="2:14" hidden="1" outlineLevel="1" x14ac:dyDescent="0.35">
      <c r="B7500" s="200"/>
      <c r="C7500" s="201"/>
      <c r="D7500" s="201"/>
      <c r="E7500" s="201"/>
      <c r="F7500" s="202"/>
      <c r="G7500" s="549"/>
      <c r="H7500" s="549"/>
      <c r="I7500" s="549"/>
      <c r="J7500" s="549"/>
      <c r="K7500" s="549"/>
      <c r="M7500" s="465"/>
      <c r="N7500" s="201"/>
    </row>
    <row r="7501" spans="2:14" hidden="1" outlineLevel="1" x14ac:dyDescent="0.35">
      <c r="B7501" s="200"/>
      <c r="C7501" s="201"/>
      <c r="D7501" s="201"/>
      <c r="E7501" s="201"/>
      <c r="F7501" s="202"/>
      <c r="G7501" s="549"/>
      <c r="H7501" s="549"/>
      <c r="I7501" s="549"/>
      <c r="J7501" s="549"/>
      <c r="K7501" s="549"/>
      <c r="M7501" s="465"/>
      <c r="N7501" s="201"/>
    </row>
    <row r="7502" spans="2:14" hidden="1" outlineLevel="1" x14ac:dyDescent="0.35">
      <c r="B7502" s="200"/>
      <c r="C7502" s="201"/>
      <c r="D7502" s="201"/>
      <c r="E7502" s="201"/>
      <c r="F7502" s="202"/>
      <c r="G7502" s="549"/>
      <c r="H7502" s="549"/>
      <c r="I7502" s="549"/>
      <c r="J7502" s="549"/>
      <c r="K7502" s="549"/>
      <c r="M7502" s="465"/>
      <c r="N7502" s="201"/>
    </row>
    <row r="7503" spans="2:14" hidden="1" outlineLevel="1" x14ac:dyDescent="0.35">
      <c r="B7503" s="200"/>
      <c r="C7503" s="201"/>
      <c r="D7503" s="201"/>
      <c r="E7503" s="201"/>
      <c r="F7503" s="202"/>
      <c r="G7503" s="549"/>
      <c r="H7503" s="549"/>
      <c r="I7503" s="549"/>
      <c r="J7503" s="549"/>
      <c r="K7503" s="549"/>
      <c r="M7503" s="465"/>
      <c r="N7503" s="201"/>
    </row>
    <row r="7504" spans="2:14" hidden="1" outlineLevel="1" x14ac:dyDescent="0.35">
      <c r="B7504" s="200"/>
      <c r="C7504" s="201"/>
      <c r="D7504" s="201"/>
      <c r="E7504" s="201"/>
      <c r="F7504" s="202"/>
      <c r="G7504" s="549"/>
      <c r="H7504" s="549"/>
      <c r="I7504" s="549"/>
      <c r="J7504" s="549"/>
      <c r="K7504" s="549"/>
      <c r="M7504" s="465"/>
      <c r="N7504" s="201"/>
    </row>
    <row r="7505" spans="2:14" hidden="1" outlineLevel="1" x14ac:dyDescent="0.35">
      <c r="B7505" s="200"/>
      <c r="C7505" s="201"/>
      <c r="D7505" s="201"/>
      <c r="E7505" s="201"/>
      <c r="F7505" s="202"/>
      <c r="G7505" s="549"/>
      <c r="H7505" s="549"/>
      <c r="I7505" s="549"/>
      <c r="J7505" s="549"/>
      <c r="K7505" s="549"/>
      <c r="M7505" s="465"/>
      <c r="N7505" s="201"/>
    </row>
    <row r="7506" spans="2:14" hidden="1" outlineLevel="1" x14ac:dyDescent="0.35">
      <c r="B7506" s="200"/>
      <c r="C7506" s="201"/>
      <c r="D7506" s="201"/>
      <c r="E7506" s="201"/>
      <c r="F7506" s="202"/>
      <c r="G7506" s="549"/>
      <c r="H7506" s="549"/>
      <c r="I7506" s="549"/>
      <c r="J7506" s="549"/>
      <c r="K7506" s="549"/>
      <c r="M7506" s="465"/>
      <c r="N7506" s="201"/>
    </row>
    <row r="7507" spans="2:14" hidden="1" outlineLevel="1" x14ac:dyDescent="0.35">
      <c r="B7507" s="200"/>
      <c r="C7507" s="201"/>
      <c r="D7507" s="201"/>
      <c r="E7507" s="201"/>
      <c r="F7507" s="202"/>
      <c r="G7507" s="549"/>
      <c r="H7507" s="549"/>
      <c r="I7507" s="549"/>
      <c r="J7507" s="549"/>
      <c r="K7507" s="549"/>
      <c r="M7507" s="465"/>
      <c r="N7507" s="201"/>
    </row>
    <row r="7508" spans="2:14" hidden="1" outlineLevel="1" x14ac:dyDescent="0.35">
      <c r="B7508" s="200"/>
      <c r="C7508" s="201"/>
      <c r="D7508" s="201"/>
      <c r="E7508" s="201"/>
      <c r="F7508" s="202"/>
      <c r="G7508" s="549"/>
      <c r="H7508" s="549"/>
      <c r="I7508" s="549"/>
      <c r="J7508" s="549"/>
      <c r="K7508" s="549"/>
      <c r="M7508" s="465"/>
      <c r="N7508" s="201"/>
    </row>
    <row r="7509" spans="2:14" hidden="1" outlineLevel="1" x14ac:dyDescent="0.35">
      <c r="B7509" s="200"/>
      <c r="C7509" s="201"/>
      <c r="D7509" s="201"/>
      <c r="E7509" s="201"/>
      <c r="F7509" s="202"/>
      <c r="G7509" s="549"/>
      <c r="H7509" s="549"/>
      <c r="I7509" s="549"/>
      <c r="J7509" s="549"/>
      <c r="K7509" s="549"/>
      <c r="M7509" s="465"/>
      <c r="N7509" s="201"/>
    </row>
    <row r="7510" spans="2:14" hidden="1" outlineLevel="1" x14ac:dyDescent="0.35">
      <c r="B7510" s="200"/>
      <c r="C7510" s="201"/>
      <c r="D7510" s="201"/>
      <c r="E7510" s="201"/>
      <c r="F7510" s="202"/>
      <c r="G7510" s="549"/>
      <c r="H7510" s="549"/>
      <c r="I7510" s="549"/>
      <c r="J7510" s="549"/>
      <c r="K7510" s="549"/>
      <c r="M7510" s="465"/>
      <c r="N7510" s="201"/>
    </row>
    <row r="7511" spans="2:14" hidden="1" outlineLevel="1" x14ac:dyDescent="0.35">
      <c r="B7511" s="200"/>
      <c r="C7511" s="201"/>
      <c r="D7511" s="201"/>
      <c r="E7511" s="201"/>
      <c r="F7511" s="202"/>
      <c r="G7511" s="549"/>
      <c r="H7511" s="549"/>
      <c r="I7511" s="549"/>
      <c r="J7511" s="549"/>
      <c r="K7511" s="549"/>
      <c r="M7511" s="465"/>
      <c r="N7511" s="201"/>
    </row>
    <row r="7512" spans="2:14" hidden="1" outlineLevel="1" x14ac:dyDescent="0.35">
      <c r="B7512" s="200"/>
      <c r="C7512" s="201"/>
      <c r="D7512" s="201"/>
      <c r="E7512" s="201"/>
      <c r="F7512" s="202"/>
      <c r="G7512" s="549"/>
      <c r="H7512" s="549"/>
      <c r="I7512" s="549"/>
      <c r="J7512" s="549"/>
      <c r="K7512" s="549"/>
      <c r="M7512" s="465"/>
      <c r="N7512" s="201"/>
    </row>
    <row r="7513" spans="2:14" hidden="1" outlineLevel="1" x14ac:dyDescent="0.35">
      <c r="B7513" s="200"/>
      <c r="C7513" s="201"/>
      <c r="D7513" s="201"/>
      <c r="E7513" s="201"/>
      <c r="F7513" s="202"/>
      <c r="G7513" s="549"/>
      <c r="H7513" s="549"/>
      <c r="I7513" s="549"/>
      <c r="J7513" s="549"/>
      <c r="K7513" s="549"/>
      <c r="M7513" s="465"/>
      <c r="N7513" s="201"/>
    </row>
    <row r="7514" spans="2:14" hidden="1" outlineLevel="1" x14ac:dyDescent="0.35">
      <c r="B7514" s="200"/>
      <c r="C7514" s="201"/>
      <c r="D7514" s="201"/>
      <c r="E7514" s="201"/>
      <c r="F7514" s="202"/>
      <c r="G7514" s="549"/>
      <c r="H7514" s="549"/>
      <c r="I7514" s="549"/>
      <c r="J7514" s="549"/>
      <c r="K7514" s="549"/>
      <c r="M7514" s="465"/>
      <c r="N7514" s="201"/>
    </row>
    <row r="7515" spans="2:14" hidden="1" outlineLevel="1" x14ac:dyDescent="0.35">
      <c r="B7515" s="200"/>
      <c r="C7515" s="201"/>
      <c r="D7515" s="201"/>
      <c r="E7515" s="201"/>
      <c r="F7515" s="202"/>
      <c r="G7515" s="549"/>
      <c r="H7515" s="549"/>
      <c r="I7515" s="549"/>
      <c r="J7515" s="549"/>
      <c r="K7515" s="549"/>
      <c r="M7515" s="465"/>
      <c r="N7515" s="201"/>
    </row>
    <row r="7516" spans="2:14" hidden="1" outlineLevel="1" x14ac:dyDescent="0.35">
      <c r="B7516" s="200"/>
      <c r="C7516" s="201"/>
      <c r="D7516" s="201"/>
      <c r="E7516" s="201"/>
      <c r="F7516" s="202"/>
      <c r="G7516" s="549"/>
      <c r="H7516" s="549"/>
      <c r="I7516" s="549"/>
      <c r="J7516" s="549"/>
      <c r="K7516" s="549"/>
      <c r="M7516" s="465"/>
      <c r="N7516" s="201"/>
    </row>
    <row r="7517" spans="2:14" hidden="1" outlineLevel="1" x14ac:dyDescent="0.35">
      <c r="B7517" s="200"/>
      <c r="C7517" s="201"/>
      <c r="D7517" s="201"/>
      <c r="E7517" s="201"/>
      <c r="F7517" s="202"/>
      <c r="G7517" s="549"/>
      <c r="H7517" s="549"/>
      <c r="I7517" s="549"/>
      <c r="J7517" s="549"/>
      <c r="K7517" s="549"/>
      <c r="M7517" s="465"/>
      <c r="N7517" s="201"/>
    </row>
    <row r="7518" spans="2:14" hidden="1" outlineLevel="1" x14ac:dyDescent="0.35">
      <c r="B7518" s="200"/>
      <c r="C7518" s="201"/>
      <c r="D7518" s="201"/>
      <c r="E7518" s="201"/>
      <c r="F7518" s="202"/>
      <c r="G7518" s="549"/>
      <c r="H7518" s="549"/>
      <c r="I7518" s="549"/>
      <c r="J7518" s="549"/>
      <c r="K7518" s="549"/>
      <c r="M7518" s="465"/>
      <c r="N7518" s="201"/>
    </row>
    <row r="7519" spans="2:14" hidden="1" outlineLevel="1" x14ac:dyDescent="0.35">
      <c r="B7519" s="200"/>
      <c r="C7519" s="201"/>
      <c r="D7519" s="201"/>
      <c r="E7519" s="201"/>
      <c r="F7519" s="202"/>
      <c r="G7519" s="549"/>
      <c r="H7519" s="549"/>
      <c r="I7519" s="549"/>
      <c r="J7519" s="549"/>
      <c r="K7519" s="549"/>
      <c r="M7519" s="465"/>
      <c r="N7519" s="201"/>
    </row>
    <row r="7520" spans="2:14" hidden="1" outlineLevel="1" x14ac:dyDescent="0.35">
      <c r="B7520" s="200"/>
      <c r="C7520" s="201"/>
      <c r="D7520" s="201"/>
      <c r="E7520" s="201"/>
      <c r="F7520" s="202"/>
      <c r="G7520" s="549"/>
      <c r="H7520" s="549"/>
      <c r="I7520" s="549"/>
      <c r="J7520" s="549"/>
      <c r="K7520" s="549"/>
      <c r="M7520" s="465"/>
      <c r="N7520" s="201"/>
    </row>
    <row r="7521" spans="2:14" hidden="1" outlineLevel="1" x14ac:dyDescent="0.35">
      <c r="B7521" s="200"/>
      <c r="C7521" s="201"/>
      <c r="D7521" s="201"/>
      <c r="E7521" s="201"/>
      <c r="F7521" s="202"/>
      <c r="G7521" s="549"/>
      <c r="H7521" s="549"/>
      <c r="I7521" s="549"/>
      <c r="J7521" s="549"/>
      <c r="K7521" s="549"/>
      <c r="M7521" s="465"/>
      <c r="N7521" s="201"/>
    </row>
    <row r="7522" spans="2:14" hidden="1" outlineLevel="1" x14ac:dyDescent="0.35">
      <c r="B7522" s="200"/>
      <c r="C7522" s="201"/>
      <c r="D7522" s="201"/>
      <c r="E7522" s="201"/>
      <c r="F7522" s="202"/>
      <c r="G7522" s="549"/>
      <c r="H7522" s="549"/>
      <c r="I7522" s="549"/>
      <c r="J7522" s="549"/>
      <c r="K7522" s="549"/>
      <c r="M7522" s="465"/>
      <c r="N7522" s="201"/>
    </row>
    <row r="7523" spans="2:14" hidden="1" outlineLevel="1" x14ac:dyDescent="0.35">
      <c r="B7523" s="200"/>
      <c r="C7523" s="201"/>
      <c r="D7523" s="201"/>
      <c r="E7523" s="201"/>
      <c r="F7523" s="202"/>
      <c r="G7523" s="549"/>
      <c r="H7523" s="549"/>
      <c r="I7523" s="549"/>
      <c r="J7523" s="549"/>
      <c r="K7523" s="549"/>
      <c r="M7523" s="465"/>
      <c r="N7523" s="201"/>
    </row>
    <row r="7524" spans="2:14" hidden="1" outlineLevel="1" x14ac:dyDescent="0.35">
      <c r="B7524" s="200"/>
      <c r="C7524" s="201"/>
      <c r="D7524" s="201"/>
      <c r="E7524" s="201"/>
      <c r="F7524" s="202"/>
      <c r="G7524" s="549"/>
      <c r="H7524" s="549"/>
      <c r="I7524" s="549"/>
      <c r="J7524" s="549"/>
      <c r="K7524" s="549"/>
      <c r="M7524" s="465"/>
      <c r="N7524" s="201"/>
    </row>
    <row r="7525" spans="2:14" hidden="1" outlineLevel="1" x14ac:dyDescent="0.35">
      <c r="B7525" s="200"/>
      <c r="C7525" s="201"/>
      <c r="D7525" s="201"/>
      <c r="E7525" s="201"/>
      <c r="F7525" s="202"/>
      <c r="G7525" s="549"/>
      <c r="H7525" s="549"/>
      <c r="I7525" s="549"/>
      <c r="J7525" s="549"/>
      <c r="K7525" s="549"/>
      <c r="M7525" s="465"/>
      <c r="N7525" s="201"/>
    </row>
    <row r="7526" spans="2:14" hidden="1" outlineLevel="1" x14ac:dyDescent="0.35">
      <c r="B7526" s="200"/>
      <c r="C7526" s="201"/>
      <c r="D7526" s="201"/>
      <c r="E7526" s="201"/>
      <c r="F7526" s="202"/>
      <c r="G7526" s="549"/>
      <c r="H7526" s="549"/>
      <c r="I7526" s="549"/>
      <c r="J7526" s="549"/>
      <c r="K7526" s="549"/>
      <c r="M7526" s="465"/>
      <c r="N7526" s="201"/>
    </row>
    <row r="7527" spans="2:14" hidden="1" outlineLevel="1" x14ac:dyDescent="0.35">
      <c r="B7527" s="200"/>
      <c r="C7527" s="201"/>
      <c r="D7527" s="201"/>
      <c r="E7527" s="201"/>
      <c r="F7527" s="202"/>
      <c r="G7527" s="549"/>
      <c r="H7527" s="549"/>
      <c r="I7527" s="549"/>
      <c r="J7527" s="549"/>
      <c r="K7527" s="549"/>
      <c r="M7527" s="465"/>
      <c r="N7527" s="201"/>
    </row>
    <row r="7528" spans="2:14" hidden="1" outlineLevel="1" x14ac:dyDescent="0.35">
      <c r="B7528" s="200"/>
      <c r="C7528" s="201"/>
      <c r="D7528" s="201"/>
      <c r="E7528" s="201"/>
      <c r="F7528" s="202"/>
      <c r="G7528" s="549"/>
      <c r="H7528" s="549"/>
      <c r="I7528" s="549"/>
      <c r="J7528" s="549"/>
      <c r="K7528" s="549"/>
      <c r="M7528" s="465"/>
      <c r="N7528" s="201"/>
    </row>
    <row r="7529" spans="2:14" hidden="1" outlineLevel="1" x14ac:dyDescent="0.35">
      <c r="B7529" s="200"/>
      <c r="C7529" s="201"/>
      <c r="D7529" s="201"/>
      <c r="E7529" s="201"/>
      <c r="F7529" s="202"/>
      <c r="G7529" s="549"/>
      <c r="H7529" s="549"/>
      <c r="I7529" s="549"/>
      <c r="J7529" s="549"/>
      <c r="K7529" s="549"/>
      <c r="M7529" s="465"/>
      <c r="N7529" s="201"/>
    </row>
    <row r="7530" spans="2:14" hidden="1" outlineLevel="1" x14ac:dyDescent="0.35">
      <c r="B7530" s="200"/>
      <c r="C7530" s="201"/>
      <c r="D7530" s="201"/>
      <c r="E7530" s="201"/>
      <c r="F7530" s="202"/>
      <c r="G7530" s="549"/>
      <c r="H7530" s="549"/>
      <c r="I7530" s="549"/>
      <c r="J7530" s="549"/>
      <c r="K7530" s="549"/>
      <c r="M7530" s="465"/>
      <c r="N7530" s="201"/>
    </row>
    <row r="7531" spans="2:14" hidden="1" outlineLevel="1" x14ac:dyDescent="0.35">
      <c r="B7531" s="200"/>
      <c r="C7531" s="201"/>
      <c r="D7531" s="201"/>
      <c r="E7531" s="201"/>
      <c r="F7531" s="202"/>
      <c r="G7531" s="549"/>
      <c r="H7531" s="549"/>
      <c r="I7531" s="549"/>
      <c r="J7531" s="549"/>
      <c r="K7531" s="549"/>
      <c r="M7531" s="465"/>
      <c r="N7531" s="201"/>
    </row>
    <row r="7532" spans="2:14" hidden="1" outlineLevel="1" x14ac:dyDescent="0.35">
      <c r="B7532" s="200"/>
      <c r="C7532" s="201"/>
      <c r="D7532" s="201"/>
      <c r="E7532" s="201"/>
      <c r="F7532" s="202"/>
      <c r="G7532" s="549"/>
      <c r="H7532" s="549"/>
      <c r="I7532" s="549"/>
      <c r="J7532" s="549"/>
      <c r="K7532" s="549"/>
      <c r="M7532" s="465"/>
      <c r="N7532" s="201"/>
    </row>
    <row r="7533" spans="2:14" hidden="1" outlineLevel="1" x14ac:dyDescent="0.35">
      <c r="B7533" s="200"/>
      <c r="C7533" s="201"/>
      <c r="D7533" s="201"/>
      <c r="E7533" s="201"/>
      <c r="F7533" s="202"/>
      <c r="G7533" s="549"/>
      <c r="H7533" s="549"/>
      <c r="I7533" s="549"/>
      <c r="J7533" s="549"/>
      <c r="K7533" s="549"/>
      <c r="M7533" s="465"/>
      <c r="N7533" s="201"/>
    </row>
    <row r="7534" spans="2:14" hidden="1" outlineLevel="1" x14ac:dyDescent="0.35">
      <c r="B7534" s="200"/>
      <c r="C7534" s="201"/>
      <c r="D7534" s="201"/>
      <c r="E7534" s="201"/>
      <c r="F7534" s="202"/>
      <c r="G7534" s="549"/>
      <c r="H7534" s="549"/>
      <c r="I7534" s="549"/>
      <c r="J7534" s="549"/>
      <c r="K7534" s="549"/>
      <c r="M7534" s="465"/>
      <c r="N7534" s="201"/>
    </row>
    <row r="7535" spans="2:14" hidden="1" outlineLevel="1" x14ac:dyDescent="0.35">
      <c r="B7535" s="200"/>
      <c r="C7535" s="201"/>
      <c r="D7535" s="201"/>
      <c r="E7535" s="201"/>
      <c r="F7535" s="202"/>
      <c r="G7535" s="549"/>
      <c r="H7535" s="549"/>
      <c r="I7535" s="549"/>
      <c r="J7535" s="549"/>
      <c r="K7535" s="549"/>
      <c r="M7535" s="465"/>
      <c r="N7535" s="201"/>
    </row>
    <row r="7536" spans="2:14" hidden="1" outlineLevel="1" x14ac:dyDescent="0.35">
      <c r="B7536" s="200"/>
      <c r="C7536" s="201"/>
      <c r="D7536" s="201"/>
      <c r="E7536" s="201"/>
      <c r="F7536" s="202"/>
      <c r="G7536" s="549"/>
      <c r="H7536" s="549"/>
      <c r="I7536" s="549"/>
      <c r="J7536" s="549"/>
      <c r="K7536" s="549"/>
      <c r="M7536" s="465"/>
      <c r="N7536" s="201"/>
    </row>
    <row r="7537" spans="2:14" hidden="1" outlineLevel="1" x14ac:dyDescent="0.35">
      <c r="B7537" s="200"/>
      <c r="C7537" s="201"/>
      <c r="D7537" s="201"/>
      <c r="E7537" s="201"/>
      <c r="F7537" s="202"/>
      <c r="G7537" s="549"/>
      <c r="H7537" s="549"/>
      <c r="I7537" s="549"/>
      <c r="J7537" s="549"/>
      <c r="K7537" s="549"/>
      <c r="M7537" s="465"/>
      <c r="N7537" s="201"/>
    </row>
    <row r="7538" spans="2:14" hidden="1" outlineLevel="1" x14ac:dyDescent="0.35">
      <c r="B7538" s="200"/>
      <c r="C7538" s="201"/>
      <c r="D7538" s="201"/>
      <c r="E7538" s="201"/>
      <c r="F7538" s="202"/>
      <c r="G7538" s="549"/>
      <c r="H7538" s="549"/>
      <c r="I7538" s="549"/>
      <c r="J7538" s="549"/>
      <c r="K7538" s="549"/>
      <c r="M7538" s="465"/>
      <c r="N7538" s="201"/>
    </row>
    <row r="7539" spans="2:14" hidden="1" outlineLevel="1" x14ac:dyDescent="0.35">
      <c r="B7539" s="200"/>
      <c r="C7539" s="201"/>
      <c r="D7539" s="201"/>
      <c r="E7539" s="201"/>
      <c r="F7539" s="202"/>
      <c r="G7539" s="549"/>
      <c r="H7539" s="549"/>
      <c r="I7539" s="549"/>
      <c r="J7539" s="549"/>
      <c r="K7539" s="549"/>
      <c r="M7539" s="465"/>
      <c r="N7539" s="201"/>
    </row>
    <row r="7540" spans="2:14" hidden="1" outlineLevel="1" x14ac:dyDescent="0.35">
      <c r="B7540" s="200"/>
      <c r="C7540" s="201"/>
      <c r="D7540" s="201"/>
      <c r="E7540" s="201"/>
      <c r="F7540" s="202"/>
      <c r="G7540" s="549"/>
      <c r="H7540" s="549"/>
      <c r="I7540" s="549"/>
      <c r="J7540" s="549"/>
      <c r="K7540" s="549"/>
      <c r="M7540" s="465"/>
      <c r="N7540" s="201"/>
    </row>
    <row r="7541" spans="2:14" hidden="1" outlineLevel="1" x14ac:dyDescent="0.35">
      <c r="B7541" s="200"/>
      <c r="C7541" s="201"/>
      <c r="D7541" s="201"/>
      <c r="E7541" s="201"/>
      <c r="F7541" s="202"/>
      <c r="G7541" s="549"/>
      <c r="H7541" s="549"/>
      <c r="I7541" s="549"/>
      <c r="J7541" s="549"/>
      <c r="K7541" s="549"/>
      <c r="M7541" s="465"/>
      <c r="N7541" s="201"/>
    </row>
    <row r="7542" spans="2:14" hidden="1" outlineLevel="1" x14ac:dyDescent="0.35">
      <c r="B7542" s="200"/>
      <c r="C7542" s="201"/>
      <c r="D7542" s="201"/>
      <c r="E7542" s="201"/>
      <c r="F7542" s="202"/>
      <c r="G7542" s="549"/>
      <c r="H7542" s="549"/>
      <c r="I7542" s="549"/>
      <c r="J7542" s="549"/>
      <c r="K7542" s="549"/>
      <c r="M7542" s="465"/>
      <c r="N7542" s="201"/>
    </row>
    <row r="7543" spans="2:14" hidden="1" outlineLevel="1" x14ac:dyDescent="0.35">
      <c r="B7543" s="200"/>
      <c r="C7543" s="201"/>
      <c r="D7543" s="201"/>
      <c r="E7543" s="201"/>
      <c r="F7543" s="202"/>
      <c r="G7543" s="549"/>
      <c r="H7543" s="549"/>
      <c r="I7543" s="549"/>
      <c r="J7543" s="549"/>
      <c r="K7543" s="549"/>
      <c r="M7543" s="465"/>
      <c r="N7543" s="201"/>
    </row>
    <row r="7544" spans="2:14" hidden="1" outlineLevel="1" x14ac:dyDescent="0.35">
      <c r="B7544" s="200"/>
      <c r="C7544" s="201"/>
      <c r="D7544" s="201"/>
      <c r="E7544" s="201"/>
      <c r="F7544" s="202"/>
      <c r="G7544" s="549"/>
      <c r="H7544" s="549"/>
      <c r="I7544" s="549"/>
      <c r="J7544" s="549"/>
      <c r="K7544" s="549"/>
      <c r="M7544" s="465"/>
      <c r="N7544" s="201"/>
    </row>
    <row r="7545" spans="2:14" hidden="1" outlineLevel="1" x14ac:dyDescent="0.35">
      <c r="B7545" s="200"/>
      <c r="C7545" s="201"/>
      <c r="D7545" s="201"/>
      <c r="E7545" s="201"/>
      <c r="F7545" s="202"/>
      <c r="G7545" s="549"/>
      <c r="H7545" s="549"/>
      <c r="I7545" s="549"/>
      <c r="J7545" s="549"/>
      <c r="K7545" s="549"/>
      <c r="M7545" s="465"/>
      <c r="N7545" s="201"/>
    </row>
    <row r="7546" spans="2:14" hidden="1" outlineLevel="1" x14ac:dyDescent="0.35">
      <c r="B7546" s="200"/>
      <c r="C7546" s="201"/>
      <c r="D7546" s="201"/>
      <c r="E7546" s="201"/>
      <c r="F7546" s="202"/>
      <c r="G7546" s="549"/>
      <c r="H7546" s="549"/>
      <c r="I7546" s="549"/>
      <c r="J7546" s="549"/>
      <c r="K7546" s="549"/>
      <c r="M7546" s="465"/>
      <c r="N7546" s="201"/>
    </row>
    <row r="7547" spans="2:14" hidden="1" outlineLevel="1" x14ac:dyDescent="0.35">
      <c r="B7547" s="200"/>
      <c r="C7547" s="201"/>
      <c r="D7547" s="201"/>
      <c r="E7547" s="201"/>
      <c r="F7547" s="202"/>
      <c r="G7547" s="549"/>
      <c r="H7547" s="549"/>
      <c r="I7547" s="549"/>
      <c r="J7547" s="549"/>
      <c r="K7547" s="549"/>
      <c r="M7547" s="465"/>
      <c r="N7547" s="201"/>
    </row>
    <row r="7548" spans="2:14" hidden="1" outlineLevel="1" x14ac:dyDescent="0.35">
      <c r="B7548" s="200"/>
      <c r="C7548" s="201"/>
      <c r="D7548" s="201"/>
      <c r="E7548" s="201"/>
      <c r="F7548" s="202"/>
      <c r="G7548" s="549"/>
      <c r="H7548" s="549"/>
      <c r="I7548" s="549"/>
      <c r="J7548" s="549"/>
      <c r="K7548" s="549"/>
      <c r="M7548" s="465"/>
      <c r="N7548" s="201"/>
    </row>
    <row r="7549" spans="2:14" hidden="1" outlineLevel="1" x14ac:dyDescent="0.35">
      <c r="B7549" s="200"/>
      <c r="C7549" s="201"/>
      <c r="D7549" s="201"/>
      <c r="E7549" s="201"/>
      <c r="F7549" s="202"/>
      <c r="G7549" s="549"/>
      <c r="H7549" s="549"/>
      <c r="I7549" s="549"/>
      <c r="J7549" s="549"/>
      <c r="K7549" s="549"/>
      <c r="M7549" s="465"/>
      <c r="N7549" s="201"/>
    </row>
    <row r="7550" spans="2:14" hidden="1" outlineLevel="1" x14ac:dyDescent="0.35">
      <c r="B7550" s="200"/>
      <c r="C7550" s="201"/>
      <c r="D7550" s="201"/>
      <c r="E7550" s="201"/>
      <c r="F7550" s="202"/>
      <c r="G7550" s="549"/>
      <c r="H7550" s="549"/>
      <c r="I7550" s="549"/>
      <c r="J7550" s="549"/>
      <c r="K7550" s="549"/>
      <c r="M7550" s="465"/>
      <c r="N7550" s="201"/>
    </row>
    <row r="7551" spans="2:14" hidden="1" outlineLevel="1" x14ac:dyDescent="0.35">
      <c r="B7551" s="200"/>
      <c r="C7551" s="201"/>
      <c r="D7551" s="201"/>
      <c r="E7551" s="201"/>
      <c r="F7551" s="202"/>
      <c r="G7551" s="549"/>
      <c r="H7551" s="549"/>
      <c r="I7551" s="549"/>
      <c r="J7551" s="549"/>
      <c r="K7551" s="549"/>
      <c r="M7551" s="465"/>
      <c r="N7551" s="201"/>
    </row>
    <row r="7552" spans="2:14" hidden="1" outlineLevel="1" x14ac:dyDescent="0.35">
      <c r="B7552" s="200"/>
      <c r="C7552" s="201"/>
      <c r="D7552" s="201"/>
      <c r="E7552" s="201"/>
      <c r="F7552" s="202"/>
      <c r="G7552" s="549"/>
      <c r="H7552" s="549"/>
      <c r="I7552" s="549"/>
      <c r="J7552" s="549"/>
      <c r="K7552" s="549"/>
      <c r="M7552" s="465"/>
      <c r="N7552" s="201"/>
    </row>
    <row r="7553" spans="2:14" hidden="1" outlineLevel="1" x14ac:dyDescent="0.35">
      <c r="B7553" s="200"/>
      <c r="C7553" s="201"/>
      <c r="D7553" s="201"/>
      <c r="E7553" s="201"/>
      <c r="F7553" s="202"/>
      <c r="G7553" s="549"/>
      <c r="H7553" s="549"/>
      <c r="I7553" s="549"/>
      <c r="J7553" s="549"/>
      <c r="K7553" s="549"/>
      <c r="M7553" s="465"/>
      <c r="N7553" s="201"/>
    </row>
    <row r="7554" spans="2:14" hidden="1" outlineLevel="1" x14ac:dyDescent="0.35">
      <c r="B7554" s="200"/>
      <c r="C7554" s="201"/>
      <c r="D7554" s="201"/>
      <c r="E7554" s="201"/>
      <c r="F7554" s="202"/>
      <c r="G7554" s="549"/>
      <c r="H7554" s="549"/>
      <c r="I7554" s="549"/>
      <c r="J7554" s="549"/>
      <c r="K7554" s="549"/>
      <c r="M7554" s="465"/>
      <c r="N7554" s="201"/>
    </row>
    <row r="7555" spans="2:14" hidden="1" outlineLevel="1" x14ac:dyDescent="0.35">
      <c r="B7555" s="200"/>
      <c r="C7555" s="201"/>
      <c r="D7555" s="201"/>
      <c r="E7555" s="201"/>
      <c r="F7555" s="202"/>
      <c r="G7555" s="549"/>
      <c r="H7555" s="549"/>
      <c r="I7555" s="549"/>
      <c r="J7555" s="549"/>
      <c r="K7555" s="549"/>
      <c r="M7555" s="465"/>
      <c r="N7555" s="201"/>
    </row>
    <row r="7556" spans="2:14" hidden="1" outlineLevel="1" x14ac:dyDescent="0.35">
      <c r="B7556" s="200"/>
      <c r="C7556" s="201"/>
      <c r="D7556" s="201"/>
      <c r="E7556" s="201"/>
      <c r="F7556" s="202"/>
      <c r="G7556" s="549"/>
      <c r="H7556" s="549"/>
      <c r="I7556" s="549"/>
      <c r="J7556" s="549"/>
      <c r="K7556" s="549"/>
      <c r="M7556" s="465"/>
      <c r="N7556" s="201"/>
    </row>
    <row r="7557" spans="2:14" hidden="1" outlineLevel="1" x14ac:dyDescent="0.35">
      <c r="B7557" s="200"/>
      <c r="C7557" s="201"/>
      <c r="D7557" s="201"/>
      <c r="E7557" s="201"/>
      <c r="F7557" s="202"/>
      <c r="G7557" s="549"/>
      <c r="H7557" s="549"/>
      <c r="I7557" s="549"/>
      <c r="J7557" s="549"/>
      <c r="K7557" s="549"/>
      <c r="M7557" s="465"/>
      <c r="N7557" s="201"/>
    </row>
    <row r="7558" spans="2:14" hidden="1" outlineLevel="1" x14ac:dyDescent="0.35">
      <c r="B7558" s="200"/>
      <c r="C7558" s="201"/>
      <c r="D7558" s="201"/>
      <c r="E7558" s="201"/>
      <c r="F7558" s="202"/>
      <c r="G7558" s="549"/>
      <c r="H7558" s="549"/>
      <c r="I7558" s="549"/>
      <c r="J7558" s="549"/>
      <c r="K7558" s="549"/>
      <c r="M7558" s="465"/>
      <c r="N7558" s="201"/>
    </row>
    <row r="7559" spans="2:14" hidden="1" outlineLevel="1" x14ac:dyDescent="0.35">
      <c r="B7559" s="200"/>
      <c r="C7559" s="201"/>
      <c r="D7559" s="201"/>
      <c r="E7559" s="201"/>
      <c r="F7559" s="202"/>
      <c r="G7559" s="549"/>
      <c r="H7559" s="549"/>
      <c r="I7559" s="549"/>
      <c r="J7559" s="549"/>
      <c r="K7559" s="549"/>
      <c r="M7559" s="465"/>
      <c r="N7559" s="201"/>
    </row>
    <row r="7560" spans="2:14" hidden="1" outlineLevel="1" x14ac:dyDescent="0.35">
      <c r="B7560" s="200"/>
      <c r="C7560" s="201"/>
      <c r="D7560" s="201"/>
      <c r="E7560" s="201"/>
      <c r="F7560" s="202"/>
      <c r="G7560" s="549"/>
      <c r="H7560" s="549"/>
      <c r="I7560" s="549"/>
      <c r="J7560" s="549"/>
      <c r="K7560" s="549"/>
      <c r="M7560" s="465"/>
      <c r="N7560" s="201"/>
    </row>
    <row r="7561" spans="2:14" hidden="1" outlineLevel="1" x14ac:dyDescent="0.35">
      <c r="B7561" s="200"/>
      <c r="C7561" s="201"/>
      <c r="D7561" s="201"/>
      <c r="E7561" s="201"/>
      <c r="F7561" s="202"/>
      <c r="G7561" s="549"/>
      <c r="H7561" s="549"/>
      <c r="I7561" s="549"/>
      <c r="J7561" s="549"/>
      <c r="K7561" s="549"/>
      <c r="M7561" s="465"/>
      <c r="N7561" s="201"/>
    </row>
    <row r="7562" spans="2:14" hidden="1" outlineLevel="1" x14ac:dyDescent="0.35">
      <c r="B7562" s="200"/>
      <c r="C7562" s="201"/>
      <c r="D7562" s="201"/>
      <c r="E7562" s="201"/>
      <c r="F7562" s="202"/>
      <c r="G7562" s="549"/>
      <c r="H7562" s="549"/>
      <c r="I7562" s="549"/>
      <c r="J7562" s="549"/>
      <c r="K7562" s="549"/>
      <c r="M7562" s="465"/>
      <c r="N7562" s="201"/>
    </row>
    <row r="7563" spans="2:14" hidden="1" outlineLevel="1" x14ac:dyDescent="0.35">
      <c r="B7563" s="200"/>
      <c r="C7563" s="201"/>
      <c r="D7563" s="201"/>
      <c r="E7563" s="201"/>
      <c r="F7563" s="202"/>
      <c r="G7563" s="549"/>
      <c r="H7563" s="549"/>
      <c r="I7563" s="549"/>
      <c r="J7563" s="549"/>
      <c r="K7563" s="549"/>
      <c r="M7563" s="465"/>
      <c r="N7563" s="201"/>
    </row>
    <row r="7564" spans="2:14" hidden="1" outlineLevel="1" x14ac:dyDescent="0.35">
      <c r="B7564" s="200"/>
      <c r="C7564" s="201"/>
      <c r="D7564" s="201"/>
      <c r="E7564" s="201"/>
      <c r="F7564" s="202"/>
      <c r="G7564" s="549"/>
      <c r="H7564" s="549"/>
      <c r="I7564" s="549"/>
      <c r="J7564" s="549"/>
      <c r="K7564" s="549"/>
      <c r="M7564" s="465"/>
      <c r="N7564" s="201"/>
    </row>
    <row r="7565" spans="2:14" hidden="1" outlineLevel="1" x14ac:dyDescent="0.35">
      <c r="B7565" s="200"/>
      <c r="C7565" s="201"/>
      <c r="D7565" s="201"/>
      <c r="E7565" s="201"/>
      <c r="F7565" s="202"/>
      <c r="G7565" s="549"/>
      <c r="H7565" s="549"/>
      <c r="I7565" s="549"/>
      <c r="J7565" s="549"/>
      <c r="K7565" s="549"/>
      <c r="M7565" s="465"/>
      <c r="N7565" s="201"/>
    </row>
    <row r="7566" spans="2:14" hidden="1" outlineLevel="1" x14ac:dyDescent="0.35">
      <c r="B7566" s="200"/>
      <c r="C7566" s="201"/>
      <c r="D7566" s="201"/>
      <c r="E7566" s="201"/>
      <c r="F7566" s="202"/>
      <c r="G7566" s="549"/>
      <c r="H7566" s="549"/>
      <c r="I7566" s="549"/>
      <c r="J7566" s="549"/>
      <c r="K7566" s="549"/>
      <c r="M7566" s="465"/>
      <c r="N7566" s="201"/>
    </row>
    <row r="7567" spans="2:14" hidden="1" outlineLevel="1" x14ac:dyDescent="0.35">
      <c r="B7567" s="200"/>
      <c r="C7567" s="201"/>
      <c r="D7567" s="201"/>
      <c r="E7567" s="201"/>
      <c r="F7567" s="202"/>
      <c r="G7567" s="549"/>
      <c r="H7567" s="549"/>
      <c r="I7567" s="549"/>
      <c r="J7567" s="549"/>
      <c r="K7567" s="549"/>
      <c r="M7567" s="465"/>
      <c r="N7567" s="201"/>
    </row>
    <row r="7568" spans="2:14" hidden="1" outlineLevel="1" x14ac:dyDescent="0.35">
      <c r="B7568" s="200"/>
      <c r="C7568" s="201"/>
      <c r="D7568" s="201"/>
      <c r="E7568" s="201"/>
      <c r="F7568" s="202"/>
      <c r="G7568" s="549"/>
      <c r="H7568" s="549"/>
      <c r="I7568" s="549"/>
      <c r="J7568" s="549"/>
      <c r="K7568" s="549"/>
      <c r="M7568" s="465"/>
      <c r="N7568" s="201"/>
    </row>
    <row r="7569" spans="2:14" hidden="1" outlineLevel="1" x14ac:dyDescent="0.35">
      <c r="B7569" s="200"/>
      <c r="C7569" s="201"/>
      <c r="D7569" s="201"/>
      <c r="E7569" s="201"/>
      <c r="F7569" s="202"/>
      <c r="G7569" s="549"/>
      <c r="H7569" s="549"/>
      <c r="I7569" s="549"/>
      <c r="J7569" s="549"/>
      <c r="K7569" s="549"/>
      <c r="M7569" s="465"/>
      <c r="N7569" s="201"/>
    </row>
    <row r="7570" spans="2:14" hidden="1" outlineLevel="1" x14ac:dyDescent="0.35">
      <c r="B7570" s="200"/>
      <c r="C7570" s="201"/>
      <c r="D7570" s="201"/>
      <c r="E7570" s="201"/>
      <c r="F7570" s="202"/>
      <c r="G7570" s="549"/>
      <c r="H7570" s="549"/>
      <c r="I7570" s="549"/>
      <c r="J7570" s="549"/>
      <c r="K7570" s="549"/>
      <c r="M7570" s="465"/>
      <c r="N7570" s="201"/>
    </row>
    <row r="7571" spans="2:14" hidden="1" outlineLevel="1" x14ac:dyDescent="0.35">
      <c r="B7571" s="200"/>
      <c r="C7571" s="201"/>
      <c r="D7571" s="201"/>
      <c r="E7571" s="201"/>
      <c r="F7571" s="202"/>
      <c r="G7571" s="549"/>
      <c r="H7571" s="549"/>
      <c r="I7571" s="549"/>
      <c r="J7571" s="549"/>
      <c r="K7571" s="549"/>
      <c r="M7571" s="465"/>
      <c r="N7571" s="201"/>
    </row>
    <row r="7572" spans="2:14" hidden="1" outlineLevel="1" x14ac:dyDescent="0.35">
      <c r="B7572" s="200"/>
      <c r="C7572" s="201"/>
      <c r="D7572" s="201"/>
      <c r="E7572" s="201"/>
      <c r="F7572" s="202"/>
      <c r="G7572" s="549"/>
      <c r="H7572" s="549"/>
      <c r="I7572" s="549"/>
      <c r="J7572" s="549"/>
      <c r="K7572" s="549"/>
      <c r="M7572" s="465"/>
      <c r="N7572" s="201"/>
    </row>
    <row r="7573" spans="2:14" hidden="1" outlineLevel="1" x14ac:dyDescent="0.35">
      <c r="B7573" s="200"/>
      <c r="C7573" s="201"/>
      <c r="D7573" s="201"/>
      <c r="E7573" s="201"/>
      <c r="F7573" s="202"/>
      <c r="G7573" s="549"/>
      <c r="H7573" s="549"/>
      <c r="I7573" s="549"/>
      <c r="J7573" s="549"/>
      <c r="K7573" s="549"/>
      <c r="M7573" s="465"/>
      <c r="N7573" s="201"/>
    </row>
    <row r="7574" spans="2:14" hidden="1" outlineLevel="1" x14ac:dyDescent="0.35">
      <c r="B7574" s="200"/>
      <c r="C7574" s="201"/>
      <c r="D7574" s="201"/>
      <c r="E7574" s="201"/>
      <c r="F7574" s="202"/>
      <c r="G7574" s="549"/>
      <c r="H7574" s="549"/>
      <c r="I7574" s="549"/>
      <c r="J7574" s="549"/>
      <c r="K7574" s="549"/>
      <c r="M7574" s="465"/>
      <c r="N7574" s="201"/>
    </row>
    <row r="7575" spans="2:14" hidden="1" outlineLevel="1" x14ac:dyDescent="0.35">
      <c r="B7575" s="200"/>
      <c r="C7575" s="201"/>
      <c r="D7575" s="201"/>
      <c r="E7575" s="201"/>
      <c r="F7575" s="202"/>
      <c r="G7575" s="549"/>
      <c r="H7575" s="549"/>
      <c r="I7575" s="549"/>
      <c r="J7575" s="549"/>
      <c r="K7575" s="549"/>
      <c r="M7575" s="465"/>
      <c r="N7575" s="201"/>
    </row>
    <row r="7576" spans="2:14" hidden="1" outlineLevel="1" x14ac:dyDescent="0.35">
      <c r="B7576" s="200"/>
      <c r="C7576" s="201"/>
      <c r="D7576" s="201"/>
      <c r="E7576" s="201"/>
      <c r="F7576" s="202"/>
      <c r="G7576" s="549"/>
      <c r="H7576" s="549"/>
      <c r="I7576" s="549"/>
      <c r="J7576" s="549"/>
      <c r="K7576" s="549"/>
      <c r="M7576" s="465"/>
      <c r="N7576" s="201"/>
    </row>
    <row r="7577" spans="2:14" hidden="1" outlineLevel="1" x14ac:dyDescent="0.35">
      <c r="B7577" s="200"/>
      <c r="C7577" s="201"/>
      <c r="D7577" s="201"/>
      <c r="E7577" s="201"/>
      <c r="F7577" s="202"/>
      <c r="G7577" s="549"/>
      <c r="H7577" s="549"/>
      <c r="I7577" s="549"/>
      <c r="J7577" s="549"/>
      <c r="K7577" s="549"/>
      <c r="M7577" s="465"/>
      <c r="N7577" s="201"/>
    </row>
    <row r="7578" spans="2:14" hidden="1" outlineLevel="1" x14ac:dyDescent="0.35">
      <c r="B7578" s="200"/>
      <c r="C7578" s="201"/>
      <c r="D7578" s="201"/>
      <c r="E7578" s="201"/>
      <c r="F7578" s="202"/>
      <c r="G7578" s="549"/>
      <c r="H7578" s="549"/>
      <c r="I7578" s="549"/>
      <c r="J7578" s="549"/>
      <c r="K7578" s="549"/>
      <c r="M7578" s="465"/>
      <c r="N7578" s="201"/>
    </row>
    <row r="7579" spans="2:14" hidden="1" outlineLevel="1" x14ac:dyDescent="0.35">
      <c r="B7579" s="200"/>
      <c r="C7579" s="201"/>
      <c r="D7579" s="201"/>
      <c r="E7579" s="201"/>
      <c r="F7579" s="202"/>
      <c r="G7579" s="549"/>
      <c r="H7579" s="549"/>
      <c r="I7579" s="549"/>
      <c r="J7579" s="549"/>
      <c r="K7579" s="549"/>
      <c r="M7579" s="465"/>
      <c r="N7579" s="201"/>
    </row>
    <row r="7580" spans="2:14" hidden="1" outlineLevel="1" x14ac:dyDescent="0.35">
      <c r="B7580" s="200"/>
      <c r="C7580" s="201"/>
      <c r="D7580" s="201"/>
      <c r="E7580" s="201"/>
      <c r="F7580" s="202"/>
      <c r="G7580" s="549"/>
      <c r="H7580" s="549"/>
      <c r="I7580" s="549"/>
      <c r="J7580" s="549"/>
      <c r="K7580" s="549"/>
      <c r="M7580" s="465"/>
      <c r="N7580" s="201"/>
    </row>
    <row r="7581" spans="2:14" hidden="1" outlineLevel="1" x14ac:dyDescent="0.35">
      <c r="B7581" s="200"/>
      <c r="C7581" s="201"/>
      <c r="D7581" s="201"/>
      <c r="E7581" s="201"/>
      <c r="F7581" s="202"/>
      <c r="G7581" s="549"/>
      <c r="H7581" s="549"/>
      <c r="I7581" s="549"/>
      <c r="J7581" s="549"/>
      <c r="K7581" s="549"/>
      <c r="M7581" s="465"/>
      <c r="N7581" s="201"/>
    </row>
    <row r="7582" spans="2:14" hidden="1" outlineLevel="1" x14ac:dyDescent="0.35">
      <c r="B7582" s="200"/>
      <c r="C7582" s="201"/>
      <c r="D7582" s="201"/>
      <c r="E7582" s="201"/>
      <c r="F7582" s="202"/>
      <c r="G7582" s="549"/>
      <c r="H7582" s="549"/>
      <c r="I7582" s="549"/>
      <c r="J7582" s="549"/>
      <c r="K7582" s="549"/>
      <c r="M7582" s="465"/>
      <c r="N7582" s="201"/>
    </row>
    <row r="7583" spans="2:14" hidden="1" outlineLevel="1" x14ac:dyDescent="0.35">
      <c r="B7583" s="200"/>
      <c r="C7583" s="201"/>
      <c r="D7583" s="201"/>
      <c r="E7583" s="201"/>
      <c r="F7583" s="202"/>
      <c r="G7583" s="549"/>
      <c r="H7583" s="549"/>
      <c r="I7583" s="549"/>
      <c r="J7583" s="549"/>
      <c r="K7583" s="549"/>
      <c r="M7583" s="465"/>
      <c r="N7583" s="201"/>
    </row>
    <row r="7584" spans="2:14" hidden="1" outlineLevel="1" x14ac:dyDescent="0.35">
      <c r="B7584" s="200"/>
      <c r="C7584" s="201"/>
      <c r="D7584" s="201"/>
      <c r="E7584" s="201"/>
      <c r="F7584" s="202"/>
      <c r="G7584" s="549"/>
      <c r="H7584" s="549"/>
      <c r="I7584" s="549"/>
      <c r="J7584" s="549"/>
      <c r="K7584" s="549"/>
      <c r="M7584" s="465"/>
      <c r="N7584" s="201"/>
    </row>
    <row r="7585" spans="2:14" hidden="1" outlineLevel="1" x14ac:dyDescent="0.35">
      <c r="B7585" s="200"/>
      <c r="C7585" s="201"/>
      <c r="D7585" s="201"/>
      <c r="E7585" s="201"/>
      <c r="F7585" s="202"/>
      <c r="G7585" s="549"/>
      <c r="H7585" s="549"/>
      <c r="I7585" s="549"/>
      <c r="J7585" s="549"/>
      <c r="K7585" s="549"/>
      <c r="M7585" s="465"/>
      <c r="N7585" s="201"/>
    </row>
    <row r="7586" spans="2:14" hidden="1" outlineLevel="1" x14ac:dyDescent="0.35">
      <c r="B7586" s="200"/>
      <c r="C7586" s="201"/>
      <c r="D7586" s="201"/>
      <c r="E7586" s="201"/>
      <c r="F7586" s="202"/>
      <c r="G7586" s="549"/>
      <c r="H7586" s="549"/>
      <c r="I7586" s="549"/>
      <c r="J7586" s="549"/>
      <c r="K7586" s="549"/>
      <c r="M7586" s="465"/>
      <c r="N7586" s="201"/>
    </row>
    <row r="7587" spans="2:14" hidden="1" outlineLevel="1" x14ac:dyDescent="0.35">
      <c r="B7587" s="200"/>
      <c r="C7587" s="201"/>
      <c r="D7587" s="201"/>
      <c r="E7587" s="201"/>
      <c r="F7587" s="202"/>
      <c r="G7587" s="549"/>
      <c r="H7587" s="549"/>
      <c r="I7587" s="549"/>
      <c r="J7587" s="549"/>
      <c r="K7587" s="549"/>
      <c r="M7587" s="465"/>
      <c r="N7587" s="201"/>
    </row>
    <row r="7588" spans="2:14" hidden="1" outlineLevel="1" x14ac:dyDescent="0.35">
      <c r="B7588" s="200"/>
      <c r="C7588" s="201"/>
      <c r="D7588" s="201"/>
      <c r="E7588" s="201"/>
      <c r="F7588" s="202"/>
      <c r="G7588" s="549"/>
      <c r="H7588" s="549"/>
      <c r="I7588" s="549"/>
      <c r="J7588" s="549"/>
      <c r="K7588" s="549"/>
      <c r="M7588" s="465"/>
      <c r="N7588" s="201"/>
    </row>
    <row r="7589" spans="2:14" hidden="1" outlineLevel="1" x14ac:dyDescent="0.35">
      <c r="B7589" s="200"/>
      <c r="C7589" s="201"/>
      <c r="D7589" s="201"/>
      <c r="E7589" s="201"/>
      <c r="F7589" s="202"/>
      <c r="G7589" s="549"/>
      <c r="H7589" s="549"/>
      <c r="I7589" s="549"/>
      <c r="J7589" s="549"/>
      <c r="K7589" s="549"/>
      <c r="M7589" s="465"/>
      <c r="N7589" s="201"/>
    </row>
    <row r="7590" spans="2:14" hidden="1" outlineLevel="1" x14ac:dyDescent="0.35">
      <c r="B7590" s="200"/>
      <c r="C7590" s="201"/>
      <c r="D7590" s="201"/>
      <c r="E7590" s="201"/>
      <c r="F7590" s="202"/>
      <c r="G7590" s="549"/>
      <c r="H7590" s="549"/>
      <c r="I7590" s="549"/>
      <c r="J7590" s="549"/>
      <c r="K7590" s="549"/>
      <c r="M7590" s="465"/>
      <c r="N7590" s="201"/>
    </row>
    <row r="7591" spans="2:14" hidden="1" outlineLevel="1" x14ac:dyDescent="0.35">
      <c r="B7591" s="200"/>
      <c r="C7591" s="201"/>
      <c r="D7591" s="201"/>
      <c r="E7591" s="201"/>
      <c r="F7591" s="202"/>
      <c r="G7591" s="549"/>
      <c r="H7591" s="549"/>
      <c r="I7591" s="549"/>
      <c r="J7591" s="549"/>
      <c r="K7591" s="549"/>
      <c r="M7591" s="465"/>
      <c r="N7591" s="201"/>
    </row>
    <row r="7592" spans="2:14" hidden="1" outlineLevel="1" x14ac:dyDescent="0.35">
      <c r="B7592" s="200"/>
      <c r="C7592" s="201"/>
      <c r="D7592" s="201"/>
      <c r="E7592" s="201"/>
      <c r="F7592" s="202"/>
      <c r="G7592" s="549"/>
      <c r="H7592" s="549"/>
      <c r="I7592" s="549"/>
      <c r="J7592" s="549"/>
      <c r="K7592" s="549"/>
      <c r="M7592" s="465"/>
      <c r="N7592" s="201"/>
    </row>
    <row r="7593" spans="2:14" hidden="1" outlineLevel="1" x14ac:dyDescent="0.35">
      <c r="B7593" s="200"/>
      <c r="C7593" s="201"/>
      <c r="D7593" s="201"/>
      <c r="E7593" s="201"/>
      <c r="F7593" s="202"/>
      <c r="G7593" s="549"/>
      <c r="H7593" s="549"/>
      <c r="I7593" s="549"/>
      <c r="J7593" s="549"/>
      <c r="K7593" s="549"/>
      <c r="M7593" s="465"/>
      <c r="N7593" s="201"/>
    </row>
    <row r="7594" spans="2:14" hidden="1" outlineLevel="1" x14ac:dyDescent="0.35">
      <c r="B7594" s="200"/>
      <c r="C7594" s="201"/>
      <c r="D7594" s="201"/>
      <c r="E7594" s="201"/>
      <c r="F7594" s="202"/>
      <c r="G7594" s="549"/>
      <c r="H7594" s="549"/>
      <c r="I7594" s="549"/>
      <c r="J7594" s="549"/>
      <c r="K7594" s="549"/>
      <c r="M7594" s="465"/>
      <c r="N7594" s="201"/>
    </row>
    <row r="7595" spans="2:14" hidden="1" outlineLevel="1" x14ac:dyDescent="0.35">
      <c r="B7595" s="200"/>
      <c r="C7595" s="201"/>
      <c r="D7595" s="201"/>
      <c r="E7595" s="201"/>
      <c r="F7595" s="202"/>
      <c r="G7595" s="549"/>
      <c r="H7595" s="549"/>
      <c r="I7595" s="549"/>
      <c r="J7595" s="549"/>
      <c r="K7595" s="549"/>
      <c r="M7595" s="465"/>
      <c r="N7595" s="201"/>
    </row>
    <row r="7596" spans="2:14" hidden="1" outlineLevel="1" x14ac:dyDescent="0.35">
      <c r="B7596" s="200"/>
      <c r="C7596" s="201"/>
      <c r="D7596" s="201"/>
      <c r="E7596" s="201"/>
      <c r="F7596" s="202"/>
      <c r="G7596" s="549"/>
      <c r="H7596" s="549"/>
      <c r="I7596" s="549"/>
      <c r="J7596" s="549"/>
      <c r="K7596" s="549"/>
      <c r="M7596" s="465"/>
      <c r="N7596" s="201"/>
    </row>
    <row r="7597" spans="2:14" hidden="1" outlineLevel="1" x14ac:dyDescent="0.35">
      <c r="B7597" s="200"/>
      <c r="C7597" s="201"/>
      <c r="D7597" s="201"/>
      <c r="E7597" s="201"/>
      <c r="F7597" s="202"/>
      <c r="G7597" s="549"/>
      <c r="H7597" s="549"/>
      <c r="I7597" s="549"/>
      <c r="J7597" s="549"/>
      <c r="K7597" s="549"/>
      <c r="M7597" s="465"/>
      <c r="N7597" s="201"/>
    </row>
    <row r="7598" spans="2:14" hidden="1" outlineLevel="1" x14ac:dyDescent="0.35">
      <c r="B7598" s="200"/>
      <c r="C7598" s="201"/>
      <c r="D7598" s="201"/>
      <c r="E7598" s="201"/>
      <c r="F7598" s="202"/>
      <c r="G7598" s="549"/>
      <c r="H7598" s="549"/>
      <c r="I7598" s="549"/>
      <c r="J7598" s="549"/>
      <c r="K7598" s="549"/>
      <c r="M7598" s="465"/>
      <c r="N7598" s="201"/>
    </row>
    <row r="7599" spans="2:14" hidden="1" outlineLevel="1" x14ac:dyDescent="0.35">
      <c r="B7599" s="200"/>
      <c r="C7599" s="201"/>
      <c r="D7599" s="201"/>
      <c r="E7599" s="201"/>
      <c r="F7599" s="202"/>
      <c r="G7599" s="549"/>
      <c r="H7599" s="549"/>
      <c r="I7599" s="549"/>
      <c r="J7599" s="549"/>
      <c r="K7599" s="549"/>
      <c r="M7599" s="465"/>
      <c r="N7599" s="201"/>
    </row>
    <row r="7600" spans="2:14" hidden="1" outlineLevel="1" x14ac:dyDescent="0.35">
      <c r="B7600" s="200"/>
      <c r="C7600" s="201"/>
      <c r="D7600" s="201"/>
      <c r="E7600" s="201"/>
      <c r="F7600" s="202"/>
      <c r="G7600" s="549"/>
      <c r="H7600" s="549"/>
      <c r="I7600" s="549"/>
      <c r="J7600" s="549"/>
      <c r="K7600" s="549"/>
      <c r="M7600" s="465"/>
      <c r="N7600" s="201"/>
    </row>
    <row r="7601" spans="2:14" hidden="1" outlineLevel="1" x14ac:dyDescent="0.35">
      <c r="B7601" s="200"/>
      <c r="C7601" s="201"/>
      <c r="D7601" s="201"/>
      <c r="E7601" s="201"/>
      <c r="F7601" s="202"/>
      <c r="G7601" s="549"/>
      <c r="H7601" s="549"/>
      <c r="I7601" s="549"/>
      <c r="J7601" s="549"/>
      <c r="K7601" s="549"/>
      <c r="M7601" s="465"/>
      <c r="N7601" s="201"/>
    </row>
    <row r="7602" spans="2:14" hidden="1" outlineLevel="1" x14ac:dyDescent="0.35">
      <c r="B7602" s="200"/>
      <c r="C7602" s="201"/>
      <c r="D7602" s="201"/>
      <c r="E7602" s="201"/>
      <c r="F7602" s="202"/>
      <c r="G7602" s="549"/>
      <c r="H7602" s="549"/>
      <c r="I7602" s="549"/>
      <c r="J7602" s="549"/>
      <c r="K7602" s="549"/>
      <c r="M7602" s="465"/>
      <c r="N7602" s="201"/>
    </row>
    <row r="7603" spans="2:14" hidden="1" outlineLevel="1" x14ac:dyDescent="0.35">
      <c r="B7603" s="200"/>
      <c r="C7603" s="201"/>
      <c r="D7603" s="201"/>
      <c r="E7603" s="201"/>
      <c r="F7603" s="202"/>
      <c r="G7603" s="549"/>
      <c r="H7603" s="549"/>
      <c r="I7603" s="549"/>
      <c r="J7603" s="549"/>
      <c r="K7603" s="549"/>
      <c r="M7603" s="465"/>
      <c r="N7603" s="201"/>
    </row>
    <row r="7604" spans="2:14" hidden="1" outlineLevel="1" x14ac:dyDescent="0.35">
      <c r="B7604" s="200"/>
      <c r="C7604" s="201"/>
      <c r="D7604" s="201"/>
      <c r="E7604" s="201"/>
      <c r="F7604" s="202"/>
      <c r="G7604" s="549"/>
      <c r="H7604" s="549"/>
      <c r="I7604" s="549"/>
      <c r="J7604" s="549"/>
      <c r="K7604" s="549"/>
      <c r="M7604" s="465"/>
      <c r="N7604" s="201"/>
    </row>
    <row r="7605" spans="2:14" hidden="1" outlineLevel="1" x14ac:dyDescent="0.35">
      <c r="B7605" s="200"/>
      <c r="C7605" s="201"/>
      <c r="D7605" s="201"/>
      <c r="E7605" s="201"/>
      <c r="F7605" s="202"/>
      <c r="G7605" s="549"/>
      <c r="H7605" s="549"/>
      <c r="I7605" s="549"/>
      <c r="J7605" s="549"/>
      <c r="K7605" s="549"/>
      <c r="M7605" s="465"/>
      <c r="N7605" s="201"/>
    </row>
    <row r="7606" spans="2:14" hidden="1" outlineLevel="1" x14ac:dyDescent="0.35">
      <c r="B7606" s="200"/>
      <c r="C7606" s="201"/>
      <c r="D7606" s="201"/>
      <c r="E7606" s="201"/>
      <c r="F7606" s="202"/>
      <c r="G7606" s="549"/>
      <c r="H7606" s="549"/>
      <c r="I7606" s="549"/>
      <c r="J7606" s="549"/>
      <c r="K7606" s="549"/>
      <c r="M7606" s="465"/>
      <c r="N7606" s="201"/>
    </row>
    <row r="7607" spans="2:14" hidden="1" outlineLevel="1" x14ac:dyDescent="0.35">
      <c r="B7607" s="200"/>
      <c r="C7607" s="201"/>
      <c r="D7607" s="201"/>
      <c r="E7607" s="201"/>
      <c r="F7607" s="202"/>
      <c r="G7607" s="549"/>
      <c r="H7607" s="549"/>
      <c r="I7607" s="549"/>
      <c r="J7607" s="549"/>
      <c r="K7607" s="549"/>
      <c r="M7607" s="465"/>
      <c r="N7607" s="201"/>
    </row>
    <row r="7608" spans="2:14" hidden="1" outlineLevel="1" x14ac:dyDescent="0.35">
      <c r="B7608" s="200"/>
      <c r="C7608" s="201"/>
      <c r="D7608" s="201"/>
      <c r="E7608" s="201"/>
      <c r="F7608" s="202"/>
      <c r="G7608" s="549"/>
      <c r="H7608" s="549"/>
      <c r="I7608" s="549"/>
      <c r="J7608" s="549"/>
      <c r="K7608" s="549"/>
      <c r="M7608" s="465"/>
      <c r="N7608" s="201"/>
    </row>
    <row r="7609" spans="2:14" hidden="1" outlineLevel="1" x14ac:dyDescent="0.35">
      <c r="B7609" s="200"/>
      <c r="C7609" s="201"/>
      <c r="D7609" s="201"/>
      <c r="E7609" s="201"/>
      <c r="F7609" s="202"/>
      <c r="G7609" s="549"/>
      <c r="H7609" s="549"/>
      <c r="I7609" s="549"/>
      <c r="J7609" s="549"/>
      <c r="K7609" s="549"/>
      <c r="M7609" s="465"/>
      <c r="N7609" s="201"/>
    </row>
    <row r="7610" spans="2:14" hidden="1" outlineLevel="1" x14ac:dyDescent="0.35">
      <c r="B7610" s="200"/>
      <c r="C7610" s="201"/>
      <c r="D7610" s="201"/>
      <c r="E7610" s="201"/>
      <c r="F7610" s="202"/>
      <c r="G7610" s="549"/>
      <c r="H7610" s="549"/>
      <c r="I7610" s="549"/>
      <c r="J7610" s="549"/>
      <c r="K7610" s="549"/>
      <c r="M7610" s="465"/>
      <c r="N7610" s="201"/>
    </row>
    <row r="7611" spans="2:14" hidden="1" outlineLevel="1" x14ac:dyDescent="0.35">
      <c r="B7611" s="200"/>
      <c r="C7611" s="201"/>
      <c r="D7611" s="201"/>
      <c r="E7611" s="201"/>
      <c r="F7611" s="202"/>
      <c r="G7611" s="549"/>
      <c r="H7611" s="549"/>
      <c r="I7611" s="549"/>
      <c r="J7611" s="549"/>
      <c r="K7611" s="549"/>
      <c r="M7611" s="465"/>
      <c r="N7611" s="201"/>
    </row>
    <row r="7612" spans="2:14" hidden="1" outlineLevel="1" x14ac:dyDescent="0.35">
      <c r="B7612" s="200"/>
      <c r="C7612" s="201"/>
      <c r="D7612" s="201"/>
      <c r="E7612" s="201"/>
      <c r="F7612" s="202"/>
      <c r="G7612" s="549"/>
      <c r="H7612" s="549"/>
      <c r="I7612" s="549"/>
      <c r="J7612" s="549"/>
      <c r="K7612" s="549"/>
      <c r="M7612" s="465"/>
      <c r="N7612" s="201"/>
    </row>
    <row r="7613" spans="2:14" hidden="1" outlineLevel="1" x14ac:dyDescent="0.35">
      <c r="B7613" s="200"/>
      <c r="C7613" s="201"/>
      <c r="D7613" s="201"/>
      <c r="E7613" s="201"/>
      <c r="F7613" s="202"/>
      <c r="G7613" s="549"/>
      <c r="H7613" s="549"/>
      <c r="I7613" s="549"/>
      <c r="J7613" s="549"/>
      <c r="K7613" s="549"/>
      <c r="M7613" s="465"/>
      <c r="N7613" s="201"/>
    </row>
    <row r="7614" spans="2:14" hidden="1" outlineLevel="1" x14ac:dyDescent="0.35">
      <c r="B7614" s="200"/>
      <c r="C7614" s="201"/>
      <c r="D7614" s="201"/>
      <c r="E7614" s="201"/>
      <c r="F7614" s="202"/>
      <c r="G7614" s="549"/>
      <c r="H7614" s="549"/>
      <c r="I7614" s="549"/>
      <c r="J7614" s="549"/>
      <c r="K7614" s="549"/>
      <c r="M7614" s="465"/>
      <c r="N7614" s="201"/>
    </row>
    <row r="7615" spans="2:14" hidden="1" outlineLevel="1" x14ac:dyDescent="0.35">
      <c r="B7615" s="200"/>
      <c r="C7615" s="201"/>
      <c r="D7615" s="201"/>
      <c r="E7615" s="201"/>
      <c r="F7615" s="202"/>
      <c r="G7615" s="549"/>
      <c r="H7615" s="549"/>
      <c r="I7615" s="549"/>
      <c r="J7615" s="549"/>
      <c r="K7615" s="549"/>
      <c r="M7615" s="465"/>
      <c r="N7615" s="201"/>
    </row>
    <row r="7616" spans="2:14" hidden="1" outlineLevel="1" x14ac:dyDescent="0.35">
      <c r="B7616" s="200"/>
      <c r="C7616" s="201"/>
      <c r="D7616" s="201"/>
      <c r="E7616" s="201"/>
      <c r="F7616" s="202"/>
      <c r="G7616" s="549"/>
      <c r="H7616" s="549"/>
      <c r="I7616" s="549"/>
      <c r="J7616" s="549"/>
      <c r="K7616" s="549"/>
      <c r="M7616" s="465"/>
      <c r="N7616" s="201"/>
    </row>
    <row r="7617" spans="2:14" hidden="1" outlineLevel="1" x14ac:dyDescent="0.35">
      <c r="B7617" s="200"/>
      <c r="C7617" s="201"/>
      <c r="D7617" s="201"/>
      <c r="E7617" s="201"/>
      <c r="F7617" s="202"/>
      <c r="G7617" s="549"/>
      <c r="H7617" s="549"/>
      <c r="I7617" s="549"/>
      <c r="J7617" s="549"/>
      <c r="K7617" s="549"/>
      <c r="M7617" s="465"/>
      <c r="N7617" s="201"/>
    </row>
    <row r="7618" spans="2:14" hidden="1" outlineLevel="1" x14ac:dyDescent="0.35">
      <c r="B7618" s="200"/>
      <c r="C7618" s="201"/>
      <c r="D7618" s="201"/>
      <c r="E7618" s="201"/>
      <c r="F7618" s="202"/>
      <c r="G7618" s="549"/>
      <c r="H7618" s="549"/>
      <c r="I7618" s="549"/>
      <c r="J7618" s="549"/>
      <c r="K7618" s="549"/>
      <c r="M7618" s="465"/>
      <c r="N7618" s="201"/>
    </row>
    <row r="7619" spans="2:14" hidden="1" outlineLevel="1" x14ac:dyDescent="0.35">
      <c r="B7619" s="200"/>
      <c r="C7619" s="201"/>
      <c r="D7619" s="201"/>
      <c r="E7619" s="201"/>
      <c r="F7619" s="202"/>
      <c r="G7619" s="549"/>
      <c r="H7619" s="549"/>
      <c r="I7619" s="549"/>
      <c r="J7619" s="549"/>
      <c r="K7619" s="549"/>
      <c r="M7619" s="465"/>
      <c r="N7619" s="201"/>
    </row>
    <row r="7620" spans="2:14" hidden="1" outlineLevel="1" x14ac:dyDescent="0.35">
      <c r="B7620" s="200"/>
      <c r="C7620" s="201"/>
      <c r="D7620" s="201"/>
      <c r="E7620" s="201"/>
      <c r="F7620" s="202"/>
      <c r="G7620" s="549"/>
      <c r="H7620" s="549"/>
      <c r="I7620" s="549"/>
      <c r="J7620" s="549"/>
      <c r="K7620" s="549"/>
      <c r="M7620" s="465"/>
      <c r="N7620" s="201"/>
    </row>
    <row r="7621" spans="2:14" hidden="1" outlineLevel="1" x14ac:dyDescent="0.35">
      <c r="B7621" s="200"/>
      <c r="C7621" s="201"/>
      <c r="D7621" s="201"/>
      <c r="E7621" s="201"/>
      <c r="F7621" s="202"/>
      <c r="G7621" s="549"/>
      <c r="H7621" s="549"/>
      <c r="I7621" s="549"/>
      <c r="J7621" s="549"/>
      <c r="K7621" s="549"/>
      <c r="M7621" s="465"/>
      <c r="N7621" s="201"/>
    </row>
    <row r="7622" spans="2:14" hidden="1" outlineLevel="1" x14ac:dyDescent="0.35">
      <c r="B7622" s="200"/>
      <c r="C7622" s="201"/>
      <c r="D7622" s="201"/>
      <c r="E7622" s="201"/>
      <c r="F7622" s="202"/>
      <c r="G7622" s="549"/>
      <c r="H7622" s="549"/>
      <c r="I7622" s="549"/>
      <c r="J7622" s="549"/>
      <c r="K7622" s="549"/>
      <c r="M7622" s="465"/>
      <c r="N7622" s="201"/>
    </row>
    <row r="7623" spans="2:14" hidden="1" outlineLevel="1" x14ac:dyDescent="0.35">
      <c r="B7623" s="200"/>
      <c r="C7623" s="201"/>
      <c r="D7623" s="201"/>
      <c r="E7623" s="201"/>
      <c r="F7623" s="202"/>
      <c r="G7623" s="549"/>
      <c r="H7623" s="549"/>
      <c r="I7623" s="549"/>
      <c r="J7623" s="549"/>
      <c r="K7623" s="549"/>
      <c r="M7623" s="465"/>
      <c r="N7623" s="201"/>
    </row>
    <row r="7624" spans="2:14" hidden="1" outlineLevel="1" x14ac:dyDescent="0.35">
      <c r="B7624" s="200"/>
      <c r="C7624" s="201"/>
      <c r="D7624" s="201"/>
      <c r="E7624" s="201"/>
      <c r="F7624" s="202"/>
      <c r="G7624" s="549"/>
      <c r="H7624" s="549"/>
      <c r="I7624" s="549"/>
      <c r="J7624" s="549"/>
      <c r="K7624" s="549"/>
      <c r="M7624" s="465"/>
      <c r="N7624" s="201"/>
    </row>
    <row r="7625" spans="2:14" hidden="1" outlineLevel="1" x14ac:dyDescent="0.35">
      <c r="B7625" s="200"/>
      <c r="C7625" s="201"/>
      <c r="D7625" s="201"/>
      <c r="E7625" s="201"/>
      <c r="F7625" s="202"/>
      <c r="G7625" s="549"/>
      <c r="H7625" s="549"/>
      <c r="I7625" s="549"/>
      <c r="J7625" s="549"/>
      <c r="K7625" s="549"/>
      <c r="M7625" s="465"/>
      <c r="N7625" s="201"/>
    </row>
    <row r="7626" spans="2:14" hidden="1" outlineLevel="1" x14ac:dyDescent="0.35">
      <c r="B7626" s="200"/>
      <c r="C7626" s="201"/>
      <c r="D7626" s="201"/>
      <c r="E7626" s="201"/>
      <c r="F7626" s="202"/>
      <c r="G7626" s="549"/>
      <c r="H7626" s="549"/>
      <c r="I7626" s="549"/>
      <c r="J7626" s="549"/>
      <c r="K7626" s="549"/>
      <c r="M7626" s="465"/>
      <c r="N7626" s="201"/>
    </row>
    <row r="7627" spans="2:14" hidden="1" outlineLevel="1" x14ac:dyDescent="0.35">
      <c r="B7627" s="200"/>
      <c r="C7627" s="201"/>
      <c r="D7627" s="201"/>
      <c r="E7627" s="201"/>
      <c r="F7627" s="202"/>
      <c r="G7627" s="549"/>
      <c r="H7627" s="549"/>
      <c r="I7627" s="549"/>
      <c r="J7627" s="549"/>
      <c r="K7627" s="549"/>
      <c r="M7627" s="465"/>
      <c r="N7627" s="201"/>
    </row>
    <row r="7628" spans="2:14" hidden="1" outlineLevel="1" x14ac:dyDescent="0.35">
      <c r="B7628" s="200"/>
      <c r="C7628" s="201"/>
      <c r="D7628" s="201"/>
      <c r="E7628" s="201"/>
      <c r="F7628" s="202"/>
      <c r="G7628" s="549"/>
      <c r="H7628" s="549"/>
      <c r="I7628" s="549"/>
      <c r="J7628" s="549"/>
      <c r="K7628" s="549"/>
      <c r="M7628" s="465"/>
      <c r="N7628" s="201"/>
    </row>
    <row r="7629" spans="2:14" hidden="1" outlineLevel="1" x14ac:dyDescent="0.35">
      <c r="B7629" s="200"/>
      <c r="C7629" s="201"/>
      <c r="D7629" s="201"/>
      <c r="E7629" s="201"/>
      <c r="F7629" s="202"/>
      <c r="G7629" s="549"/>
      <c r="H7629" s="549"/>
      <c r="I7629" s="549"/>
      <c r="J7629" s="549"/>
      <c r="K7629" s="549"/>
      <c r="M7629" s="465"/>
      <c r="N7629" s="201"/>
    </row>
    <row r="7630" spans="2:14" hidden="1" outlineLevel="1" x14ac:dyDescent="0.35">
      <c r="B7630" s="200"/>
      <c r="C7630" s="201"/>
      <c r="D7630" s="201"/>
      <c r="E7630" s="201"/>
      <c r="F7630" s="202"/>
      <c r="G7630" s="549"/>
      <c r="H7630" s="549"/>
      <c r="I7630" s="549"/>
      <c r="J7630" s="549"/>
      <c r="K7630" s="549"/>
      <c r="M7630" s="465"/>
      <c r="N7630" s="201"/>
    </row>
    <row r="7631" spans="2:14" hidden="1" outlineLevel="1" x14ac:dyDescent="0.35">
      <c r="B7631" s="200"/>
      <c r="C7631" s="201"/>
      <c r="D7631" s="201"/>
      <c r="E7631" s="201"/>
      <c r="F7631" s="202"/>
      <c r="G7631" s="549"/>
      <c r="H7631" s="549"/>
      <c r="I7631" s="549"/>
      <c r="J7631" s="549"/>
      <c r="K7631" s="549"/>
      <c r="M7631" s="465"/>
      <c r="N7631" s="201"/>
    </row>
    <row r="7632" spans="2:14" hidden="1" outlineLevel="1" x14ac:dyDescent="0.35">
      <c r="B7632" s="200"/>
      <c r="C7632" s="201"/>
      <c r="D7632" s="201"/>
      <c r="E7632" s="201"/>
      <c r="F7632" s="202"/>
      <c r="G7632" s="549"/>
      <c r="H7632" s="549"/>
      <c r="I7632" s="549"/>
      <c r="J7632" s="549"/>
      <c r="K7632" s="549"/>
      <c r="M7632" s="465"/>
      <c r="N7632" s="201"/>
    </row>
    <row r="7633" spans="2:14" hidden="1" outlineLevel="1" x14ac:dyDescent="0.35">
      <c r="B7633" s="200"/>
      <c r="C7633" s="201"/>
      <c r="D7633" s="201"/>
      <c r="E7633" s="201"/>
      <c r="F7633" s="202"/>
      <c r="G7633" s="549"/>
      <c r="H7633" s="549"/>
      <c r="I7633" s="549"/>
      <c r="J7633" s="549"/>
      <c r="K7633" s="549"/>
      <c r="M7633" s="465"/>
      <c r="N7633" s="201"/>
    </row>
    <row r="7634" spans="2:14" hidden="1" outlineLevel="1" x14ac:dyDescent="0.35">
      <c r="B7634" s="200"/>
      <c r="C7634" s="201"/>
      <c r="D7634" s="201"/>
      <c r="E7634" s="201"/>
      <c r="F7634" s="202"/>
      <c r="G7634" s="549"/>
      <c r="H7634" s="549"/>
      <c r="I7634" s="549"/>
      <c r="J7634" s="549"/>
      <c r="K7634" s="549"/>
      <c r="M7634" s="465"/>
      <c r="N7634" s="201"/>
    </row>
    <row r="7635" spans="2:14" hidden="1" outlineLevel="1" x14ac:dyDescent="0.35">
      <c r="B7635" s="200"/>
      <c r="C7635" s="201"/>
      <c r="D7635" s="201"/>
      <c r="E7635" s="201"/>
      <c r="F7635" s="202"/>
      <c r="G7635" s="549"/>
      <c r="H7635" s="549"/>
      <c r="I7635" s="549"/>
      <c r="J7635" s="549"/>
      <c r="K7635" s="549"/>
      <c r="M7635" s="465"/>
      <c r="N7635" s="201"/>
    </row>
    <row r="7636" spans="2:14" hidden="1" outlineLevel="1" x14ac:dyDescent="0.35">
      <c r="B7636" s="200"/>
      <c r="C7636" s="201"/>
      <c r="D7636" s="201"/>
      <c r="E7636" s="201"/>
      <c r="F7636" s="202"/>
      <c r="G7636" s="549"/>
      <c r="H7636" s="549"/>
      <c r="I7636" s="549"/>
      <c r="J7636" s="549"/>
      <c r="K7636" s="549"/>
      <c r="M7636" s="465"/>
      <c r="N7636" s="201"/>
    </row>
    <row r="7637" spans="2:14" hidden="1" outlineLevel="1" x14ac:dyDescent="0.35">
      <c r="B7637" s="200"/>
      <c r="C7637" s="201"/>
      <c r="D7637" s="201"/>
      <c r="E7637" s="201"/>
      <c r="F7637" s="202"/>
      <c r="G7637" s="549"/>
      <c r="H7637" s="549"/>
      <c r="I7637" s="549"/>
      <c r="J7637" s="549"/>
      <c r="K7637" s="549"/>
      <c r="M7637" s="465"/>
      <c r="N7637" s="201"/>
    </row>
    <row r="7638" spans="2:14" hidden="1" outlineLevel="1" x14ac:dyDescent="0.35">
      <c r="B7638" s="200"/>
      <c r="C7638" s="201"/>
      <c r="D7638" s="201"/>
      <c r="E7638" s="201"/>
      <c r="F7638" s="202"/>
      <c r="G7638" s="549"/>
      <c r="H7638" s="549"/>
      <c r="I7638" s="549"/>
      <c r="J7638" s="549"/>
      <c r="K7638" s="549"/>
      <c r="M7638" s="465"/>
      <c r="N7638" s="201"/>
    </row>
    <row r="7639" spans="2:14" hidden="1" outlineLevel="1" x14ac:dyDescent="0.35">
      <c r="B7639" s="200"/>
      <c r="C7639" s="201"/>
      <c r="D7639" s="201"/>
      <c r="E7639" s="201"/>
      <c r="F7639" s="202"/>
      <c r="G7639" s="549"/>
      <c r="H7639" s="549"/>
      <c r="I7639" s="549"/>
      <c r="J7639" s="549"/>
      <c r="K7639" s="549"/>
      <c r="M7639" s="465"/>
      <c r="N7639" s="201"/>
    </row>
    <row r="7640" spans="2:14" hidden="1" outlineLevel="1" x14ac:dyDescent="0.35">
      <c r="B7640" s="200"/>
      <c r="C7640" s="201"/>
      <c r="D7640" s="201"/>
      <c r="E7640" s="201"/>
      <c r="F7640" s="202"/>
      <c r="G7640" s="549"/>
      <c r="H7640" s="549"/>
      <c r="I7640" s="549"/>
      <c r="J7640" s="549"/>
      <c r="K7640" s="549"/>
      <c r="M7640" s="465"/>
      <c r="N7640" s="201"/>
    </row>
    <row r="7641" spans="2:14" hidden="1" outlineLevel="1" x14ac:dyDescent="0.35">
      <c r="B7641" s="200"/>
      <c r="C7641" s="201"/>
      <c r="D7641" s="201"/>
      <c r="E7641" s="201"/>
      <c r="F7641" s="202"/>
      <c r="G7641" s="549"/>
      <c r="H7641" s="549"/>
      <c r="I7641" s="549"/>
      <c r="J7641" s="549"/>
      <c r="K7641" s="549"/>
      <c r="M7641" s="465"/>
      <c r="N7641" s="201"/>
    </row>
    <row r="7642" spans="2:14" hidden="1" outlineLevel="1" x14ac:dyDescent="0.35">
      <c r="B7642" s="200"/>
      <c r="C7642" s="201"/>
      <c r="D7642" s="201"/>
      <c r="E7642" s="201"/>
      <c r="F7642" s="202"/>
      <c r="G7642" s="549"/>
      <c r="H7642" s="549"/>
      <c r="I7642" s="549"/>
      <c r="J7642" s="549"/>
      <c r="K7642" s="549"/>
      <c r="M7642" s="465"/>
      <c r="N7642" s="201"/>
    </row>
    <row r="7643" spans="2:14" hidden="1" outlineLevel="1" x14ac:dyDescent="0.35">
      <c r="B7643" s="200"/>
      <c r="C7643" s="201"/>
      <c r="D7643" s="201"/>
      <c r="E7643" s="201"/>
      <c r="F7643" s="202"/>
      <c r="G7643" s="549"/>
      <c r="H7643" s="549"/>
      <c r="I7643" s="549"/>
      <c r="J7643" s="549"/>
      <c r="K7643" s="549"/>
      <c r="M7643" s="465"/>
      <c r="N7643" s="201"/>
    </row>
    <row r="7644" spans="2:14" hidden="1" outlineLevel="1" x14ac:dyDescent="0.35">
      <c r="B7644" s="200"/>
      <c r="C7644" s="201"/>
      <c r="D7644" s="201"/>
      <c r="E7644" s="201"/>
      <c r="F7644" s="202"/>
      <c r="G7644" s="549"/>
      <c r="H7644" s="549"/>
      <c r="I7644" s="549"/>
      <c r="J7644" s="549"/>
      <c r="K7644" s="549"/>
      <c r="M7644" s="465"/>
      <c r="N7644" s="201"/>
    </row>
    <row r="7645" spans="2:14" hidden="1" outlineLevel="1" x14ac:dyDescent="0.35">
      <c r="B7645" s="200"/>
      <c r="C7645" s="201"/>
      <c r="D7645" s="201"/>
      <c r="E7645" s="201"/>
      <c r="F7645" s="202"/>
      <c r="G7645" s="549"/>
      <c r="H7645" s="549"/>
      <c r="I7645" s="549"/>
      <c r="J7645" s="549"/>
      <c r="K7645" s="549"/>
      <c r="M7645" s="465"/>
      <c r="N7645" s="201"/>
    </row>
    <row r="7646" spans="2:14" hidden="1" outlineLevel="1" x14ac:dyDescent="0.35">
      <c r="B7646" s="200"/>
      <c r="C7646" s="201"/>
      <c r="D7646" s="201"/>
      <c r="E7646" s="201"/>
      <c r="F7646" s="202"/>
      <c r="G7646" s="549"/>
      <c r="H7646" s="549"/>
      <c r="I7646" s="549"/>
      <c r="J7646" s="549"/>
      <c r="K7646" s="549"/>
      <c r="M7646" s="465"/>
      <c r="N7646" s="201"/>
    </row>
    <row r="7647" spans="2:14" hidden="1" outlineLevel="1" x14ac:dyDescent="0.35">
      <c r="B7647" s="200"/>
      <c r="C7647" s="201"/>
      <c r="D7647" s="201"/>
      <c r="E7647" s="201"/>
      <c r="F7647" s="202"/>
      <c r="G7647" s="549"/>
      <c r="H7647" s="549"/>
      <c r="I7647" s="549"/>
      <c r="J7647" s="549"/>
      <c r="K7647" s="549"/>
      <c r="M7647" s="465"/>
      <c r="N7647" s="201"/>
    </row>
    <row r="7648" spans="2:14" hidden="1" outlineLevel="1" x14ac:dyDescent="0.35">
      <c r="B7648" s="200"/>
      <c r="C7648" s="201"/>
      <c r="D7648" s="201"/>
      <c r="E7648" s="201"/>
      <c r="F7648" s="202"/>
      <c r="G7648" s="549"/>
      <c r="H7648" s="549"/>
      <c r="I7648" s="549"/>
      <c r="J7648" s="549"/>
      <c r="K7648" s="549"/>
      <c r="M7648" s="465"/>
      <c r="N7648" s="201"/>
    </row>
    <row r="7649" spans="2:14" hidden="1" outlineLevel="1" x14ac:dyDescent="0.35">
      <c r="B7649" s="200"/>
      <c r="C7649" s="201"/>
      <c r="D7649" s="201"/>
      <c r="E7649" s="201"/>
      <c r="F7649" s="202"/>
      <c r="G7649" s="549"/>
      <c r="H7649" s="549"/>
      <c r="I7649" s="549"/>
      <c r="J7649" s="549"/>
      <c r="K7649" s="549"/>
      <c r="M7649" s="465"/>
      <c r="N7649" s="201"/>
    </row>
    <row r="7650" spans="2:14" hidden="1" outlineLevel="1" x14ac:dyDescent="0.35">
      <c r="B7650" s="200"/>
      <c r="C7650" s="201"/>
      <c r="D7650" s="201"/>
      <c r="E7650" s="201"/>
      <c r="F7650" s="202"/>
      <c r="G7650" s="549"/>
      <c r="H7650" s="549"/>
      <c r="I7650" s="549"/>
      <c r="J7650" s="549"/>
      <c r="K7650" s="549"/>
      <c r="M7650" s="465"/>
      <c r="N7650" s="201"/>
    </row>
    <row r="7651" spans="2:14" hidden="1" outlineLevel="1" x14ac:dyDescent="0.35">
      <c r="B7651" s="200"/>
      <c r="C7651" s="201"/>
      <c r="D7651" s="201"/>
      <c r="E7651" s="201"/>
      <c r="F7651" s="202"/>
      <c r="G7651" s="549"/>
      <c r="H7651" s="549"/>
      <c r="I7651" s="549"/>
      <c r="J7651" s="549"/>
      <c r="K7651" s="549"/>
      <c r="M7651" s="465"/>
      <c r="N7651" s="201"/>
    </row>
    <row r="7652" spans="2:14" hidden="1" outlineLevel="1" x14ac:dyDescent="0.35">
      <c r="B7652" s="200"/>
      <c r="C7652" s="201"/>
      <c r="D7652" s="201"/>
      <c r="E7652" s="201"/>
      <c r="F7652" s="202"/>
      <c r="G7652" s="549"/>
      <c r="H7652" s="549"/>
      <c r="I7652" s="549"/>
      <c r="J7652" s="549"/>
      <c r="K7652" s="549"/>
      <c r="M7652" s="465"/>
      <c r="N7652" s="201"/>
    </row>
    <row r="7653" spans="2:14" hidden="1" outlineLevel="1" x14ac:dyDescent="0.35">
      <c r="B7653" s="200"/>
      <c r="C7653" s="201"/>
      <c r="D7653" s="201"/>
      <c r="E7653" s="201"/>
      <c r="F7653" s="202"/>
      <c r="G7653" s="549"/>
      <c r="H7653" s="549"/>
      <c r="I7653" s="549"/>
      <c r="J7653" s="549"/>
      <c r="K7653" s="549"/>
      <c r="M7653" s="465"/>
      <c r="N7653" s="201"/>
    </row>
    <row r="7654" spans="2:14" hidden="1" outlineLevel="1" x14ac:dyDescent="0.35">
      <c r="B7654" s="200"/>
      <c r="C7654" s="201"/>
      <c r="D7654" s="201"/>
      <c r="E7654" s="201"/>
      <c r="F7654" s="202"/>
      <c r="G7654" s="549"/>
      <c r="H7654" s="549"/>
      <c r="I7654" s="549"/>
      <c r="J7654" s="549"/>
      <c r="K7654" s="549"/>
      <c r="M7654" s="465"/>
      <c r="N7654" s="201"/>
    </row>
    <row r="7655" spans="2:14" hidden="1" outlineLevel="1" x14ac:dyDescent="0.35">
      <c r="B7655" s="200"/>
      <c r="C7655" s="201"/>
      <c r="D7655" s="201"/>
      <c r="E7655" s="201"/>
      <c r="F7655" s="202"/>
      <c r="G7655" s="549"/>
      <c r="H7655" s="549"/>
      <c r="I7655" s="549"/>
      <c r="J7655" s="549"/>
      <c r="K7655" s="549"/>
      <c r="M7655" s="465"/>
      <c r="N7655" s="201"/>
    </row>
    <row r="7656" spans="2:14" hidden="1" outlineLevel="1" x14ac:dyDescent="0.35">
      <c r="B7656" s="200"/>
      <c r="C7656" s="201"/>
      <c r="D7656" s="201"/>
      <c r="E7656" s="201"/>
      <c r="F7656" s="202"/>
      <c r="G7656" s="549"/>
      <c r="H7656" s="549"/>
      <c r="I7656" s="549"/>
      <c r="J7656" s="549"/>
      <c r="K7656" s="549"/>
      <c r="M7656" s="465"/>
      <c r="N7656" s="201"/>
    </row>
    <row r="7657" spans="2:14" hidden="1" outlineLevel="1" x14ac:dyDescent="0.35">
      <c r="B7657" s="200"/>
      <c r="C7657" s="201"/>
      <c r="D7657" s="201"/>
      <c r="E7657" s="201"/>
      <c r="F7657" s="202"/>
      <c r="G7657" s="549"/>
      <c r="H7657" s="549"/>
      <c r="I7657" s="549"/>
      <c r="J7657" s="549"/>
      <c r="K7657" s="549"/>
      <c r="M7657" s="465"/>
      <c r="N7657" s="201"/>
    </row>
    <row r="7658" spans="2:14" hidden="1" outlineLevel="1" x14ac:dyDescent="0.35">
      <c r="B7658" s="200"/>
      <c r="C7658" s="201"/>
      <c r="D7658" s="201"/>
      <c r="E7658" s="201"/>
      <c r="F7658" s="202"/>
      <c r="G7658" s="549"/>
      <c r="H7658" s="549"/>
      <c r="I7658" s="549"/>
      <c r="J7658" s="549"/>
      <c r="K7658" s="549"/>
      <c r="M7658" s="465"/>
      <c r="N7658" s="201"/>
    </row>
    <row r="7659" spans="2:14" hidden="1" outlineLevel="1" x14ac:dyDescent="0.35">
      <c r="B7659" s="200"/>
      <c r="C7659" s="201"/>
      <c r="D7659" s="201"/>
      <c r="E7659" s="201"/>
      <c r="F7659" s="202"/>
      <c r="G7659" s="549"/>
      <c r="H7659" s="549"/>
      <c r="I7659" s="549"/>
      <c r="J7659" s="549"/>
      <c r="K7659" s="549"/>
      <c r="M7659" s="465"/>
      <c r="N7659" s="201"/>
    </row>
    <row r="7660" spans="2:14" hidden="1" outlineLevel="1" x14ac:dyDescent="0.35">
      <c r="B7660" s="200"/>
      <c r="C7660" s="201"/>
      <c r="D7660" s="201"/>
      <c r="E7660" s="201"/>
      <c r="F7660" s="202"/>
      <c r="G7660" s="549"/>
      <c r="H7660" s="549"/>
      <c r="I7660" s="549"/>
      <c r="J7660" s="549"/>
      <c r="K7660" s="549"/>
      <c r="M7660" s="465"/>
      <c r="N7660" s="201"/>
    </row>
    <row r="7661" spans="2:14" hidden="1" outlineLevel="1" x14ac:dyDescent="0.35">
      <c r="B7661" s="200"/>
      <c r="C7661" s="201"/>
      <c r="D7661" s="201"/>
      <c r="E7661" s="201"/>
      <c r="F7661" s="202"/>
      <c r="G7661" s="549"/>
      <c r="H7661" s="549"/>
      <c r="I7661" s="549"/>
      <c r="J7661" s="549"/>
      <c r="K7661" s="549"/>
      <c r="M7661" s="465"/>
      <c r="N7661" s="201"/>
    </row>
    <row r="7662" spans="2:14" hidden="1" outlineLevel="1" x14ac:dyDescent="0.35">
      <c r="B7662" s="200"/>
      <c r="C7662" s="201"/>
      <c r="D7662" s="201"/>
      <c r="E7662" s="201"/>
      <c r="F7662" s="202"/>
      <c r="G7662" s="549"/>
      <c r="H7662" s="549"/>
      <c r="I7662" s="549"/>
      <c r="J7662" s="549"/>
      <c r="K7662" s="549"/>
      <c r="M7662" s="465"/>
      <c r="N7662" s="201"/>
    </row>
    <row r="7663" spans="2:14" hidden="1" outlineLevel="1" x14ac:dyDescent="0.35">
      <c r="B7663" s="200"/>
      <c r="C7663" s="201"/>
      <c r="D7663" s="201"/>
      <c r="E7663" s="201"/>
      <c r="F7663" s="202"/>
      <c r="G7663" s="549"/>
      <c r="H7663" s="549"/>
      <c r="I7663" s="549"/>
      <c r="J7663" s="549"/>
      <c r="K7663" s="549"/>
      <c r="M7663" s="465"/>
      <c r="N7663" s="201"/>
    </row>
    <row r="7664" spans="2:14" hidden="1" outlineLevel="1" x14ac:dyDescent="0.35">
      <c r="B7664" s="200"/>
      <c r="C7664" s="201"/>
      <c r="D7664" s="201"/>
      <c r="E7664" s="201"/>
      <c r="F7664" s="202"/>
      <c r="G7664" s="549"/>
      <c r="H7664" s="549"/>
      <c r="I7664" s="549"/>
      <c r="J7664" s="549"/>
      <c r="K7664" s="549"/>
      <c r="M7664" s="465"/>
      <c r="N7664" s="201"/>
    </row>
    <row r="7665" spans="2:14" hidden="1" outlineLevel="1" x14ac:dyDescent="0.35">
      <c r="B7665" s="200"/>
      <c r="C7665" s="201"/>
      <c r="D7665" s="201"/>
      <c r="E7665" s="201"/>
      <c r="F7665" s="202"/>
      <c r="G7665" s="549"/>
      <c r="H7665" s="549"/>
      <c r="I7665" s="549"/>
      <c r="J7665" s="549"/>
      <c r="K7665" s="549"/>
      <c r="M7665" s="465"/>
      <c r="N7665" s="201"/>
    </row>
    <row r="7666" spans="2:14" hidden="1" outlineLevel="1" x14ac:dyDescent="0.35">
      <c r="B7666" s="200"/>
      <c r="C7666" s="201"/>
      <c r="D7666" s="201"/>
      <c r="E7666" s="201"/>
      <c r="F7666" s="202"/>
      <c r="G7666" s="549"/>
      <c r="H7666" s="549"/>
      <c r="I7666" s="549"/>
      <c r="J7666" s="549"/>
      <c r="K7666" s="549"/>
      <c r="M7666" s="465"/>
      <c r="N7666" s="201"/>
    </row>
    <row r="7667" spans="2:14" hidden="1" outlineLevel="1" x14ac:dyDescent="0.35">
      <c r="B7667" s="200"/>
      <c r="C7667" s="201"/>
      <c r="D7667" s="201"/>
      <c r="E7667" s="201"/>
      <c r="F7667" s="202"/>
      <c r="G7667" s="549"/>
      <c r="H7667" s="549"/>
      <c r="I7667" s="549"/>
      <c r="J7667" s="549"/>
      <c r="K7667" s="549"/>
      <c r="M7667" s="465"/>
      <c r="N7667" s="201"/>
    </row>
    <row r="7668" spans="2:14" hidden="1" outlineLevel="1" x14ac:dyDescent="0.35">
      <c r="B7668" s="200"/>
      <c r="C7668" s="201"/>
      <c r="D7668" s="201"/>
      <c r="E7668" s="201"/>
      <c r="F7668" s="202"/>
      <c r="G7668" s="549"/>
      <c r="H7668" s="549"/>
      <c r="I7668" s="549"/>
      <c r="J7668" s="549"/>
      <c r="K7668" s="549"/>
      <c r="M7668" s="465"/>
      <c r="N7668" s="201"/>
    </row>
    <row r="7669" spans="2:14" hidden="1" outlineLevel="1" x14ac:dyDescent="0.35">
      <c r="B7669" s="200"/>
      <c r="C7669" s="201"/>
      <c r="D7669" s="201"/>
      <c r="E7669" s="201"/>
      <c r="F7669" s="202"/>
      <c r="G7669" s="549"/>
      <c r="H7669" s="549"/>
      <c r="I7669" s="549"/>
      <c r="J7669" s="549"/>
      <c r="K7669" s="549"/>
      <c r="M7669" s="465"/>
      <c r="N7669" s="201"/>
    </row>
    <row r="7670" spans="2:14" hidden="1" outlineLevel="1" x14ac:dyDescent="0.35">
      <c r="B7670" s="200"/>
      <c r="C7670" s="201"/>
      <c r="D7670" s="201"/>
      <c r="E7670" s="201"/>
      <c r="F7670" s="202"/>
      <c r="G7670" s="549"/>
      <c r="H7670" s="549"/>
      <c r="I7670" s="549"/>
      <c r="J7670" s="549"/>
      <c r="K7670" s="549"/>
      <c r="M7670" s="465"/>
      <c r="N7670" s="201"/>
    </row>
    <row r="7671" spans="2:14" hidden="1" outlineLevel="1" x14ac:dyDescent="0.35">
      <c r="B7671" s="200"/>
      <c r="C7671" s="201"/>
      <c r="D7671" s="201"/>
      <c r="E7671" s="201"/>
      <c r="F7671" s="202"/>
      <c r="G7671" s="549"/>
      <c r="H7671" s="549"/>
      <c r="I7671" s="549"/>
      <c r="J7671" s="549"/>
      <c r="K7671" s="549"/>
      <c r="M7671" s="465"/>
      <c r="N7671" s="201"/>
    </row>
    <row r="7672" spans="2:14" hidden="1" outlineLevel="1" x14ac:dyDescent="0.35">
      <c r="B7672" s="200"/>
      <c r="C7672" s="201"/>
      <c r="D7672" s="201"/>
      <c r="E7672" s="201"/>
      <c r="F7672" s="202"/>
      <c r="G7672" s="549"/>
      <c r="H7672" s="549"/>
      <c r="I7672" s="549"/>
      <c r="J7672" s="549"/>
      <c r="K7672" s="549"/>
      <c r="M7672" s="465"/>
      <c r="N7672" s="201"/>
    </row>
    <row r="7673" spans="2:14" hidden="1" outlineLevel="1" x14ac:dyDescent="0.35">
      <c r="B7673" s="200"/>
      <c r="C7673" s="201"/>
      <c r="D7673" s="201"/>
      <c r="E7673" s="201"/>
      <c r="F7673" s="202"/>
      <c r="G7673" s="549"/>
      <c r="H7673" s="549"/>
      <c r="I7673" s="549"/>
      <c r="J7673" s="549"/>
      <c r="K7673" s="549"/>
      <c r="M7673" s="465"/>
      <c r="N7673" s="201"/>
    </row>
    <row r="7674" spans="2:14" hidden="1" outlineLevel="1" x14ac:dyDescent="0.35">
      <c r="B7674" s="200"/>
      <c r="C7674" s="201"/>
      <c r="D7674" s="201"/>
      <c r="E7674" s="201"/>
      <c r="F7674" s="202"/>
      <c r="G7674" s="549"/>
      <c r="H7674" s="549"/>
      <c r="I7674" s="549"/>
      <c r="J7674" s="549"/>
      <c r="K7674" s="549"/>
      <c r="M7674" s="465"/>
      <c r="N7674" s="201"/>
    </row>
    <row r="7675" spans="2:14" hidden="1" outlineLevel="1" x14ac:dyDescent="0.35">
      <c r="B7675" s="200"/>
      <c r="C7675" s="201"/>
      <c r="D7675" s="201"/>
      <c r="E7675" s="201"/>
      <c r="F7675" s="202"/>
      <c r="G7675" s="549"/>
      <c r="H7675" s="549"/>
      <c r="I7675" s="549"/>
      <c r="J7675" s="549"/>
      <c r="K7675" s="549"/>
      <c r="M7675" s="465"/>
      <c r="N7675" s="201"/>
    </row>
    <row r="7676" spans="2:14" hidden="1" outlineLevel="1" x14ac:dyDescent="0.35">
      <c r="B7676" s="200"/>
      <c r="C7676" s="201"/>
      <c r="D7676" s="201"/>
      <c r="E7676" s="201"/>
      <c r="F7676" s="202"/>
      <c r="G7676" s="549"/>
      <c r="H7676" s="549"/>
      <c r="I7676" s="549"/>
      <c r="J7676" s="549"/>
      <c r="K7676" s="549"/>
      <c r="M7676" s="465"/>
      <c r="N7676" s="201"/>
    </row>
    <row r="7677" spans="2:14" hidden="1" outlineLevel="1" x14ac:dyDescent="0.35">
      <c r="B7677" s="200"/>
      <c r="C7677" s="201"/>
      <c r="D7677" s="201"/>
      <c r="E7677" s="201"/>
      <c r="F7677" s="202"/>
      <c r="G7677" s="549"/>
      <c r="H7677" s="549"/>
      <c r="I7677" s="549"/>
      <c r="J7677" s="549"/>
      <c r="K7677" s="549"/>
      <c r="M7677" s="465"/>
      <c r="N7677" s="201"/>
    </row>
    <row r="7678" spans="2:14" hidden="1" outlineLevel="1" x14ac:dyDescent="0.35">
      <c r="B7678" s="200"/>
      <c r="C7678" s="201"/>
      <c r="D7678" s="201"/>
      <c r="E7678" s="201"/>
      <c r="F7678" s="202"/>
      <c r="G7678" s="549"/>
      <c r="H7678" s="549"/>
      <c r="I7678" s="549"/>
      <c r="J7678" s="549"/>
      <c r="K7678" s="549"/>
      <c r="M7678" s="465"/>
      <c r="N7678" s="201"/>
    </row>
    <row r="7679" spans="2:14" hidden="1" outlineLevel="1" x14ac:dyDescent="0.35">
      <c r="B7679" s="200"/>
      <c r="C7679" s="201"/>
      <c r="D7679" s="201"/>
      <c r="E7679" s="201"/>
      <c r="F7679" s="202"/>
      <c r="G7679" s="549"/>
      <c r="H7679" s="549"/>
      <c r="I7679" s="549"/>
      <c r="J7679" s="549"/>
      <c r="K7679" s="549"/>
      <c r="M7679" s="465"/>
      <c r="N7679" s="201"/>
    </row>
    <row r="7680" spans="2:14" hidden="1" outlineLevel="1" x14ac:dyDescent="0.35">
      <c r="B7680" s="200"/>
      <c r="C7680" s="201"/>
      <c r="D7680" s="201"/>
      <c r="E7680" s="201"/>
      <c r="F7680" s="202"/>
      <c r="G7680" s="549"/>
      <c r="H7680" s="549"/>
      <c r="I7680" s="549"/>
      <c r="J7680" s="549"/>
      <c r="K7680" s="549"/>
      <c r="M7680" s="465"/>
      <c r="N7680" s="201"/>
    </row>
    <row r="7681" spans="2:14" hidden="1" outlineLevel="1" x14ac:dyDescent="0.35">
      <c r="B7681" s="200"/>
      <c r="C7681" s="201"/>
      <c r="D7681" s="201"/>
      <c r="E7681" s="201"/>
      <c r="F7681" s="202"/>
      <c r="G7681" s="549"/>
      <c r="H7681" s="549"/>
      <c r="I7681" s="549"/>
      <c r="J7681" s="549"/>
      <c r="K7681" s="549"/>
      <c r="M7681" s="465"/>
      <c r="N7681" s="201"/>
    </row>
    <row r="7682" spans="2:14" hidden="1" outlineLevel="1" x14ac:dyDescent="0.35">
      <c r="B7682" s="200"/>
      <c r="C7682" s="201"/>
      <c r="D7682" s="201"/>
      <c r="E7682" s="201"/>
      <c r="F7682" s="202"/>
      <c r="G7682" s="549"/>
      <c r="H7682" s="549"/>
      <c r="I7682" s="549"/>
      <c r="J7682" s="549"/>
      <c r="K7682" s="549"/>
      <c r="M7682" s="465"/>
      <c r="N7682" s="201"/>
    </row>
    <row r="7683" spans="2:14" hidden="1" outlineLevel="1" x14ac:dyDescent="0.35">
      <c r="B7683" s="200"/>
      <c r="C7683" s="201"/>
      <c r="D7683" s="201"/>
      <c r="E7683" s="201"/>
      <c r="F7683" s="202"/>
      <c r="G7683" s="549"/>
      <c r="H7683" s="549"/>
      <c r="I7683" s="549"/>
      <c r="J7683" s="549"/>
      <c r="K7683" s="549"/>
      <c r="M7683" s="465"/>
      <c r="N7683" s="201"/>
    </row>
    <row r="7684" spans="2:14" hidden="1" outlineLevel="1" x14ac:dyDescent="0.35">
      <c r="B7684" s="200"/>
      <c r="C7684" s="201"/>
      <c r="D7684" s="201"/>
      <c r="E7684" s="201"/>
      <c r="F7684" s="202"/>
      <c r="G7684" s="549"/>
      <c r="H7684" s="549"/>
      <c r="I7684" s="549"/>
      <c r="J7684" s="549"/>
      <c r="K7684" s="549"/>
      <c r="M7684" s="465"/>
      <c r="N7684" s="201"/>
    </row>
    <row r="7685" spans="2:14" hidden="1" outlineLevel="1" x14ac:dyDescent="0.35">
      <c r="B7685" s="200"/>
      <c r="C7685" s="201"/>
      <c r="D7685" s="201"/>
      <c r="E7685" s="201"/>
      <c r="F7685" s="202"/>
      <c r="G7685" s="549"/>
      <c r="H7685" s="549"/>
      <c r="I7685" s="549"/>
      <c r="J7685" s="549"/>
      <c r="K7685" s="549"/>
      <c r="M7685" s="465"/>
      <c r="N7685" s="201"/>
    </row>
    <row r="7686" spans="2:14" hidden="1" outlineLevel="1" x14ac:dyDescent="0.35">
      <c r="B7686" s="200"/>
      <c r="C7686" s="201"/>
      <c r="D7686" s="201"/>
      <c r="E7686" s="201"/>
      <c r="F7686" s="202"/>
      <c r="G7686" s="549"/>
      <c r="H7686" s="549"/>
      <c r="I7686" s="549"/>
      <c r="J7686" s="549"/>
      <c r="K7686" s="549"/>
      <c r="M7686" s="465"/>
      <c r="N7686" s="201"/>
    </row>
    <row r="7687" spans="2:14" hidden="1" outlineLevel="1" x14ac:dyDescent="0.35">
      <c r="B7687" s="200"/>
      <c r="C7687" s="201"/>
      <c r="D7687" s="201"/>
      <c r="E7687" s="201"/>
      <c r="F7687" s="202"/>
      <c r="G7687" s="549"/>
      <c r="H7687" s="549"/>
      <c r="I7687" s="549"/>
      <c r="J7687" s="549"/>
      <c r="K7687" s="549"/>
      <c r="M7687" s="465"/>
      <c r="N7687" s="201"/>
    </row>
    <row r="7688" spans="2:14" hidden="1" outlineLevel="1" x14ac:dyDescent="0.35">
      <c r="B7688" s="200"/>
      <c r="C7688" s="201"/>
      <c r="D7688" s="201"/>
      <c r="E7688" s="201"/>
      <c r="F7688" s="202"/>
      <c r="G7688" s="549"/>
      <c r="H7688" s="549"/>
      <c r="I7688" s="549"/>
      <c r="J7688" s="549"/>
      <c r="K7688" s="549"/>
      <c r="M7688" s="465"/>
      <c r="N7688" s="201"/>
    </row>
    <row r="7689" spans="2:14" hidden="1" outlineLevel="1" x14ac:dyDescent="0.35">
      <c r="B7689" s="200"/>
      <c r="C7689" s="201"/>
      <c r="D7689" s="201"/>
      <c r="E7689" s="201"/>
      <c r="F7689" s="202"/>
      <c r="G7689" s="549"/>
      <c r="H7689" s="549"/>
      <c r="I7689" s="549"/>
      <c r="J7689" s="549"/>
      <c r="K7689" s="549"/>
      <c r="M7689" s="465"/>
      <c r="N7689" s="201"/>
    </row>
    <row r="7690" spans="2:14" hidden="1" outlineLevel="1" x14ac:dyDescent="0.35">
      <c r="B7690" s="200"/>
      <c r="C7690" s="201"/>
      <c r="D7690" s="201"/>
      <c r="E7690" s="201"/>
      <c r="F7690" s="202"/>
      <c r="G7690" s="549"/>
      <c r="H7690" s="549"/>
      <c r="I7690" s="549"/>
      <c r="J7690" s="549"/>
      <c r="K7690" s="549"/>
      <c r="M7690" s="465"/>
      <c r="N7690" s="201"/>
    </row>
    <row r="7691" spans="2:14" hidden="1" outlineLevel="1" x14ac:dyDescent="0.35">
      <c r="B7691" s="200"/>
      <c r="C7691" s="201"/>
      <c r="D7691" s="201"/>
      <c r="E7691" s="201"/>
      <c r="F7691" s="202"/>
      <c r="G7691" s="549"/>
      <c r="H7691" s="549"/>
      <c r="I7691" s="549"/>
      <c r="J7691" s="549"/>
      <c r="K7691" s="549"/>
      <c r="M7691" s="465"/>
      <c r="N7691" s="201"/>
    </row>
    <row r="7692" spans="2:14" hidden="1" outlineLevel="1" x14ac:dyDescent="0.35">
      <c r="B7692" s="200"/>
      <c r="C7692" s="201"/>
      <c r="D7692" s="201"/>
      <c r="E7692" s="201"/>
      <c r="F7692" s="202"/>
      <c r="G7692" s="549"/>
      <c r="H7692" s="549"/>
      <c r="I7692" s="549"/>
      <c r="J7692" s="549"/>
      <c r="K7692" s="549"/>
      <c r="M7692" s="465"/>
      <c r="N7692" s="201"/>
    </row>
    <row r="7693" spans="2:14" hidden="1" outlineLevel="1" x14ac:dyDescent="0.35">
      <c r="B7693" s="200"/>
      <c r="C7693" s="201"/>
      <c r="D7693" s="201"/>
      <c r="E7693" s="201"/>
      <c r="F7693" s="202"/>
      <c r="G7693" s="549"/>
      <c r="H7693" s="549"/>
      <c r="I7693" s="549"/>
      <c r="J7693" s="549"/>
      <c r="K7693" s="549"/>
      <c r="M7693" s="465"/>
      <c r="N7693" s="201"/>
    </row>
    <row r="7694" spans="2:14" hidden="1" outlineLevel="1" x14ac:dyDescent="0.35">
      <c r="B7694" s="200"/>
      <c r="C7694" s="201"/>
      <c r="D7694" s="201"/>
      <c r="E7694" s="201"/>
      <c r="F7694" s="202"/>
      <c r="G7694" s="549"/>
      <c r="H7694" s="549"/>
      <c r="I7694" s="549"/>
      <c r="J7694" s="549"/>
      <c r="K7694" s="549"/>
      <c r="M7694" s="465"/>
      <c r="N7694" s="201"/>
    </row>
    <row r="7695" spans="2:14" hidden="1" outlineLevel="1" x14ac:dyDescent="0.35">
      <c r="B7695" s="200"/>
      <c r="C7695" s="201"/>
      <c r="D7695" s="201"/>
      <c r="E7695" s="201"/>
      <c r="F7695" s="202"/>
      <c r="G7695" s="549"/>
      <c r="H7695" s="549"/>
      <c r="I7695" s="549"/>
      <c r="J7695" s="549"/>
      <c r="K7695" s="549"/>
      <c r="M7695" s="465"/>
      <c r="N7695" s="201"/>
    </row>
    <row r="7696" spans="2:14" hidden="1" outlineLevel="1" x14ac:dyDescent="0.35">
      <c r="B7696" s="200"/>
      <c r="C7696" s="201"/>
      <c r="D7696" s="201"/>
      <c r="E7696" s="201"/>
      <c r="F7696" s="202"/>
      <c r="G7696" s="549"/>
      <c r="H7696" s="549"/>
      <c r="I7696" s="549"/>
      <c r="J7696" s="549"/>
      <c r="K7696" s="549"/>
      <c r="M7696" s="465"/>
      <c r="N7696" s="201"/>
    </row>
    <row r="7697" spans="2:14" hidden="1" outlineLevel="1" x14ac:dyDescent="0.35">
      <c r="B7697" s="200"/>
      <c r="C7697" s="201"/>
      <c r="D7697" s="201"/>
      <c r="E7697" s="201"/>
      <c r="F7697" s="202"/>
      <c r="G7697" s="549"/>
      <c r="H7697" s="549"/>
      <c r="I7697" s="549"/>
      <c r="J7697" s="549"/>
      <c r="K7697" s="549"/>
      <c r="M7697" s="465"/>
      <c r="N7697" s="201"/>
    </row>
    <row r="7698" spans="2:14" hidden="1" outlineLevel="1" x14ac:dyDescent="0.35">
      <c r="B7698" s="200"/>
      <c r="C7698" s="201"/>
      <c r="D7698" s="201"/>
      <c r="E7698" s="201"/>
      <c r="F7698" s="202"/>
      <c r="G7698" s="549"/>
      <c r="H7698" s="549"/>
      <c r="I7698" s="549"/>
      <c r="J7698" s="549"/>
      <c r="K7698" s="549"/>
      <c r="M7698" s="465"/>
      <c r="N7698" s="201"/>
    </row>
    <row r="7699" spans="2:14" hidden="1" outlineLevel="1" x14ac:dyDescent="0.35">
      <c r="B7699" s="200"/>
      <c r="C7699" s="201"/>
      <c r="D7699" s="201"/>
      <c r="E7699" s="201"/>
      <c r="F7699" s="202"/>
      <c r="G7699" s="549"/>
      <c r="H7699" s="549"/>
      <c r="I7699" s="549"/>
      <c r="J7699" s="549"/>
      <c r="K7699" s="549"/>
      <c r="M7699" s="465"/>
      <c r="N7699" s="201"/>
    </row>
    <row r="7700" spans="2:14" hidden="1" outlineLevel="1" x14ac:dyDescent="0.35">
      <c r="B7700" s="200"/>
      <c r="C7700" s="201"/>
      <c r="D7700" s="201"/>
      <c r="E7700" s="201"/>
      <c r="F7700" s="202"/>
      <c r="G7700" s="549"/>
      <c r="H7700" s="549"/>
      <c r="I7700" s="549"/>
      <c r="J7700" s="549"/>
      <c r="K7700" s="549"/>
      <c r="M7700" s="465"/>
      <c r="N7700" s="201"/>
    </row>
    <row r="7701" spans="2:14" hidden="1" outlineLevel="1" x14ac:dyDescent="0.35">
      <c r="B7701" s="200"/>
      <c r="C7701" s="201"/>
      <c r="D7701" s="201"/>
      <c r="E7701" s="201"/>
      <c r="F7701" s="202"/>
      <c r="G7701" s="549"/>
      <c r="H7701" s="549"/>
      <c r="I7701" s="549"/>
      <c r="J7701" s="549"/>
      <c r="K7701" s="549"/>
      <c r="M7701" s="465"/>
      <c r="N7701" s="201"/>
    </row>
    <row r="7702" spans="2:14" hidden="1" outlineLevel="1" x14ac:dyDescent="0.35">
      <c r="B7702" s="200"/>
      <c r="C7702" s="201"/>
      <c r="D7702" s="201"/>
      <c r="E7702" s="201"/>
      <c r="F7702" s="202"/>
      <c r="G7702" s="549"/>
      <c r="H7702" s="549"/>
      <c r="I7702" s="549"/>
      <c r="J7702" s="549"/>
      <c r="K7702" s="549"/>
      <c r="M7702" s="465"/>
      <c r="N7702" s="201"/>
    </row>
    <row r="7703" spans="2:14" hidden="1" outlineLevel="1" x14ac:dyDescent="0.35">
      <c r="B7703" s="200"/>
      <c r="C7703" s="201"/>
      <c r="D7703" s="201"/>
      <c r="E7703" s="201"/>
      <c r="F7703" s="202"/>
      <c r="G7703" s="549"/>
      <c r="H7703" s="549"/>
      <c r="I7703" s="549"/>
      <c r="J7703" s="549"/>
      <c r="K7703" s="549"/>
      <c r="M7703" s="465"/>
      <c r="N7703" s="201"/>
    </row>
    <row r="7704" spans="2:14" hidden="1" outlineLevel="1" x14ac:dyDescent="0.35">
      <c r="B7704" s="200"/>
      <c r="C7704" s="201"/>
      <c r="D7704" s="201"/>
      <c r="E7704" s="201"/>
      <c r="F7704" s="202"/>
      <c r="G7704" s="549"/>
      <c r="H7704" s="549"/>
      <c r="I7704" s="549"/>
      <c r="J7704" s="549"/>
      <c r="K7704" s="549"/>
      <c r="M7704" s="465"/>
      <c r="N7704" s="201"/>
    </row>
    <row r="7705" spans="2:14" hidden="1" outlineLevel="1" x14ac:dyDescent="0.35">
      <c r="B7705" s="200"/>
      <c r="C7705" s="201"/>
      <c r="D7705" s="201"/>
      <c r="E7705" s="201"/>
      <c r="F7705" s="202"/>
      <c r="G7705" s="549"/>
      <c r="H7705" s="549"/>
      <c r="I7705" s="549"/>
      <c r="J7705" s="549"/>
      <c r="K7705" s="549"/>
      <c r="M7705" s="465"/>
      <c r="N7705" s="201"/>
    </row>
    <row r="7706" spans="2:14" hidden="1" outlineLevel="1" x14ac:dyDescent="0.35">
      <c r="B7706" s="200"/>
      <c r="C7706" s="201"/>
      <c r="D7706" s="201"/>
      <c r="E7706" s="201"/>
      <c r="F7706" s="202"/>
      <c r="G7706" s="549"/>
      <c r="H7706" s="549"/>
      <c r="I7706" s="549"/>
      <c r="J7706" s="549"/>
      <c r="K7706" s="549"/>
      <c r="M7706" s="465"/>
      <c r="N7706" s="201"/>
    </row>
    <row r="7707" spans="2:14" hidden="1" outlineLevel="1" x14ac:dyDescent="0.35">
      <c r="B7707" s="200"/>
      <c r="C7707" s="201"/>
      <c r="D7707" s="201"/>
      <c r="E7707" s="201"/>
      <c r="F7707" s="202"/>
      <c r="G7707" s="549"/>
      <c r="H7707" s="549"/>
      <c r="I7707" s="549"/>
      <c r="J7707" s="549"/>
      <c r="K7707" s="549"/>
      <c r="M7707" s="465"/>
      <c r="N7707" s="201"/>
    </row>
    <row r="7708" spans="2:14" hidden="1" outlineLevel="1" x14ac:dyDescent="0.35">
      <c r="B7708" s="200"/>
      <c r="C7708" s="201"/>
      <c r="D7708" s="201"/>
      <c r="E7708" s="201"/>
      <c r="F7708" s="202"/>
      <c r="G7708" s="549"/>
      <c r="H7708" s="549"/>
      <c r="I7708" s="549"/>
      <c r="J7708" s="549"/>
      <c r="K7708" s="549"/>
      <c r="M7708" s="465"/>
      <c r="N7708" s="201"/>
    </row>
    <row r="7709" spans="2:14" hidden="1" outlineLevel="1" x14ac:dyDescent="0.35">
      <c r="B7709" s="200"/>
      <c r="C7709" s="201"/>
      <c r="D7709" s="201"/>
      <c r="E7709" s="201"/>
      <c r="F7709" s="202"/>
      <c r="G7709" s="549"/>
      <c r="H7709" s="549"/>
      <c r="I7709" s="549"/>
      <c r="J7709" s="549"/>
      <c r="K7709" s="549"/>
      <c r="M7709" s="465"/>
      <c r="N7709" s="201"/>
    </row>
    <row r="7710" spans="2:14" hidden="1" outlineLevel="1" x14ac:dyDescent="0.35">
      <c r="B7710" s="200"/>
      <c r="C7710" s="201"/>
      <c r="D7710" s="201"/>
      <c r="E7710" s="201"/>
      <c r="F7710" s="202"/>
      <c r="G7710" s="549"/>
      <c r="H7710" s="549"/>
      <c r="I7710" s="549"/>
      <c r="J7710" s="549"/>
      <c r="K7710" s="549"/>
      <c r="M7710" s="465"/>
      <c r="N7710" s="201"/>
    </row>
    <row r="7711" spans="2:14" hidden="1" outlineLevel="1" x14ac:dyDescent="0.35">
      <c r="B7711" s="200"/>
      <c r="C7711" s="201"/>
      <c r="D7711" s="201"/>
      <c r="E7711" s="201"/>
      <c r="F7711" s="202"/>
      <c r="G7711" s="549"/>
      <c r="H7711" s="549"/>
      <c r="I7711" s="549"/>
      <c r="J7711" s="549"/>
      <c r="K7711" s="549"/>
      <c r="M7711" s="465"/>
      <c r="N7711" s="201"/>
    </row>
    <row r="7712" spans="2:14" hidden="1" outlineLevel="1" x14ac:dyDescent="0.35">
      <c r="B7712" s="200"/>
      <c r="C7712" s="201"/>
      <c r="D7712" s="201"/>
      <c r="E7712" s="201"/>
      <c r="F7712" s="202"/>
      <c r="G7712" s="549"/>
      <c r="H7712" s="549"/>
      <c r="I7712" s="549"/>
      <c r="J7712" s="549"/>
      <c r="K7712" s="549"/>
      <c r="M7712" s="465"/>
      <c r="N7712" s="201"/>
    </row>
    <row r="7713" spans="2:14" hidden="1" outlineLevel="1" x14ac:dyDescent="0.35">
      <c r="B7713" s="200"/>
      <c r="C7713" s="201"/>
      <c r="D7713" s="201"/>
      <c r="E7713" s="201"/>
      <c r="F7713" s="202"/>
      <c r="G7713" s="549"/>
      <c r="H7713" s="549"/>
      <c r="I7713" s="549"/>
      <c r="J7713" s="549"/>
      <c r="K7713" s="549"/>
      <c r="M7713" s="465"/>
      <c r="N7713" s="201"/>
    </row>
    <row r="7714" spans="2:14" hidden="1" outlineLevel="1" x14ac:dyDescent="0.35">
      <c r="B7714" s="200"/>
      <c r="C7714" s="201"/>
      <c r="D7714" s="201"/>
      <c r="E7714" s="201"/>
      <c r="F7714" s="202"/>
      <c r="G7714" s="549"/>
      <c r="H7714" s="549"/>
      <c r="I7714" s="549"/>
      <c r="J7714" s="549"/>
      <c r="K7714" s="549"/>
      <c r="M7714" s="465"/>
      <c r="N7714" s="201"/>
    </row>
    <row r="7715" spans="2:14" hidden="1" outlineLevel="1" x14ac:dyDescent="0.35">
      <c r="B7715" s="200"/>
      <c r="C7715" s="201"/>
      <c r="D7715" s="201"/>
      <c r="E7715" s="201"/>
      <c r="F7715" s="202"/>
      <c r="G7715" s="549"/>
      <c r="H7715" s="549"/>
      <c r="I7715" s="549"/>
      <c r="J7715" s="549"/>
      <c r="K7715" s="549"/>
      <c r="M7715" s="465"/>
      <c r="N7715" s="201"/>
    </row>
    <row r="7716" spans="2:14" hidden="1" outlineLevel="1" x14ac:dyDescent="0.35">
      <c r="B7716" s="200"/>
      <c r="C7716" s="201"/>
      <c r="D7716" s="201"/>
      <c r="E7716" s="201"/>
      <c r="F7716" s="202"/>
      <c r="G7716" s="549"/>
      <c r="H7716" s="549"/>
      <c r="I7716" s="549"/>
      <c r="J7716" s="549"/>
      <c r="K7716" s="549"/>
      <c r="M7716" s="465"/>
      <c r="N7716" s="201"/>
    </row>
    <row r="7717" spans="2:14" hidden="1" outlineLevel="1" x14ac:dyDescent="0.35">
      <c r="B7717" s="200"/>
      <c r="C7717" s="201"/>
      <c r="D7717" s="201"/>
      <c r="E7717" s="201"/>
      <c r="F7717" s="202"/>
      <c r="G7717" s="549"/>
      <c r="H7717" s="549"/>
      <c r="I7717" s="549"/>
      <c r="J7717" s="549"/>
      <c r="K7717" s="549"/>
      <c r="M7717" s="465"/>
      <c r="N7717" s="201"/>
    </row>
    <row r="7718" spans="2:14" hidden="1" outlineLevel="1" x14ac:dyDescent="0.35">
      <c r="B7718" s="200"/>
      <c r="C7718" s="201"/>
      <c r="D7718" s="201"/>
      <c r="E7718" s="201"/>
      <c r="F7718" s="202"/>
      <c r="G7718" s="549"/>
      <c r="H7718" s="549"/>
      <c r="I7718" s="549"/>
      <c r="J7718" s="549"/>
      <c r="K7718" s="549"/>
      <c r="M7718" s="465"/>
      <c r="N7718" s="201"/>
    </row>
    <row r="7719" spans="2:14" hidden="1" outlineLevel="1" x14ac:dyDescent="0.35">
      <c r="B7719" s="200"/>
      <c r="C7719" s="201"/>
      <c r="D7719" s="201"/>
      <c r="E7719" s="201"/>
      <c r="F7719" s="202"/>
      <c r="G7719" s="549"/>
      <c r="H7719" s="549"/>
      <c r="I7719" s="549"/>
      <c r="J7719" s="549"/>
      <c r="K7719" s="549"/>
      <c r="M7719" s="465"/>
      <c r="N7719" s="201"/>
    </row>
    <row r="7720" spans="2:14" hidden="1" outlineLevel="1" x14ac:dyDescent="0.35">
      <c r="B7720" s="200"/>
      <c r="C7720" s="201"/>
      <c r="D7720" s="201"/>
      <c r="E7720" s="201"/>
      <c r="F7720" s="202"/>
      <c r="G7720" s="549"/>
      <c r="H7720" s="549"/>
      <c r="I7720" s="549"/>
      <c r="J7720" s="549"/>
      <c r="K7720" s="549"/>
      <c r="M7720" s="465"/>
      <c r="N7720" s="201"/>
    </row>
    <row r="7721" spans="2:14" hidden="1" outlineLevel="1" x14ac:dyDescent="0.35">
      <c r="B7721" s="200"/>
      <c r="C7721" s="201"/>
      <c r="D7721" s="201"/>
      <c r="E7721" s="201"/>
      <c r="F7721" s="202"/>
      <c r="G7721" s="549"/>
      <c r="H7721" s="549"/>
      <c r="I7721" s="549"/>
      <c r="J7721" s="549"/>
      <c r="K7721" s="549"/>
      <c r="M7721" s="465"/>
      <c r="N7721" s="201"/>
    </row>
    <row r="7722" spans="2:14" hidden="1" outlineLevel="1" x14ac:dyDescent="0.35">
      <c r="B7722" s="200"/>
      <c r="C7722" s="201"/>
      <c r="D7722" s="201"/>
      <c r="E7722" s="201"/>
      <c r="F7722" s="202"/>
      <c r="G7722" s="549"/>
      <c r="H7722" s="549"/>
      <c r="I7722" s="549"/>
      <c r="J7722" s="549"/>
      <c r="K7722" s="549"/>
      <c r="M7722" s="465"/>
      <c r="N7722" s="201"/>
    </row>
    <row r="7723" spans="2:14" hidden="1" outlineLevel="1" x14ac:dyDescent="0.35">
      <c r="B7723" s="200"/>
      <c r="C7723" s="201"/>
      <c r="D7723" s="201"/>
      <c r="E7723" s="201"/>
      <c r="F7723" s="202"/>
      <c r="G7723" s="549"/>
      <c r="H7723" s="549"/>
      <c r="I7723" s="549"/>
      <c r="J7723" s="549"/>
      <c r="K7723" s="549"/>
      <c r="M7723" s="465"/>
      <c r="N7723" s="201"/>
    </row>
    <row r="7724" spans="2:14" hidden="1" outlineLevel="1" x14ac:dyDescent="0.35">
      <c r="B7724" s="200"/>
      <c r="C7724" s="201"/>
      <c r="D7724" s="201"/>
      <c r="E7724" s="201"/>
      <c r="F7724" s="202"/>
      <c r="G7724" s="549"/>
      <c r="H7724" s="549"/>
      <c r="I7724" s="549"/>
      <c r="J7724" s="549"/>
      <c r="K7724" s="549"/>
      <c r="M7724" s="465"/>
      <c r="N7724" s="201"/>
    </row>
    <row r="7725" spans="2:14" hidden="1" outlineLevel="1" x14ac:dyDescent="0.35">
      <c r="B7725" s="200"/>
      <c r="C7725" s="201"/>
      <c r="D7725" s="201"/>
      <c r="E7725" s="201"/>
      <c r="F7725" s="202"/>
      <c r="G7725" s="549"/>
      <c r="H7725" s="549"/>
      <c r="I7725" s="549"/>
      <c r="J7725" s="549"/>
      <c r="K7725" s="549"/>
      <c r="M7725" s="465"/>
      <c r="N7725" s="201"/>
    </row>
    <row r="7726" spans="2:14" hidden="1" outlineLevel="1" x14ac:dyDescent="0.35">
      <c r="B7726" s="200"/>
      <c r="C7726" s="201"/>
      <c r="D7726" s="201"/>
      <c r="E7726" s="201"/>
      <c r="F7726" s="202"/>
      <c r="G7726" s="549"/>
      <c r="H7726" s="549"/>
      <c r="I7726" s="549"/>
      <c r="J7726" s="549"/>
      <c r="K7726" s="549"/>
      <c r="M7726" s="465"/>
      <c r="N7726" s="201"/>
    </row>
    <row r="7727" spans="2:14" hidden="1" outlineLevel="1" x14ac:dyDescent="0.35">
      <c r="B7727" s="200"/>
      <c r="C7727" s="201"/>
      <c r="D7727" s="201"/>
      <c r="E7727" s="201"/>
      <c r="F7727" s="202"/>
      <c r="G7727" s="549"/>
      <c r="H7727" s="549"/>
      <c r="I7727" s="549"/>
      <c r="J7727" s="549"/>
      <c r="K7727" s="549"/>
      <c r="M7727" s="465"/>
      <c r="N7727" s="201"/>
    </row>
    <row r="7728" spans="2:14" hidden="1" outlineLevel="1" x14ac:dyDescent="0.35">
      <c r="B7728" s="200"/>
      <c r="C7728" s="201"/>
      <c r="D7728" s="201"/>
      <c r="E7728" s="201"/>
      <c r="F7728" s="202"/>
      <c r="G7728" s="549"/>
      <c r="H7728" s="549"/>
      <c r="I7728" s="549"/>
      <c r="J7728" s="549"/>
      <c r="K7728" s="549"/>
      <c r="M7728" s="465"/>
      <c r="N7728" s="201"/>
    </row>
    <row r="7729" spans="2:14" hidden="1" outlineLevel="1" x14ac:dyDescent="0.35">
      <c r="B7729" s="200"/>
      <c r="C7729" s="201"/>
      <c r="D7729" s="201"/>
      <c r="E7729" s="201"/>
      <c r="F7729" s="202"/>
      <c r="G7729" s="549"/>
      <c r="H7729" s="549"/>
      <c r="I7729" s="549"/>
      <c r="J7729" s="549"/>
      <c r="K7729" s="549"/>
      <c r="M7729" s="465"/>
      <c r="N7729" s="201"/>
    </row>
    <row r="7730" spans="2:14" hidden="1" outlineLevel="1" x14ac:dyDescent="0.35">
      <c r="B7730" s="200"/>
      <c r="C7730" s="201"/>
      <c r="D7730" s="201"/>
      <c r="E7730" s="201"/>
      <c r="F7730" s="202"/>
      <c r="G7730" s="549"/>
      <c r="H7730" s="549"/>
      <c r="I7730" s="549"/>
      <c r="J7730" s="549"/>
      <c r="K7730" s="549"/>
      <c r="M7730" s="465"/>
      <c r="N7730" s="201"/>
    </row>
    <row r="7731" spans="2:14" hidden="1" outlineLevel="1" x14ac:dyDescent="0.35">
      <c r="B7731" s="200"/>
      <c r="C7731" s="201"/>
      <c r="D7731" s="201"/>
      <c r="E7731" s="201"/>
      <c r="F7731" s="202"/>
      <c r="G7731" s="549"/>
      <c r="H7731" s="549"/>
      <c r="I7731" s="549"/>
      <c r="J7731" s="549"/>
      <c r="K7731" s="549"/>
      <c r="M7731" s="465"/>
      <c r="N7731" s="201"/>
    </row>
    <row r="7732" spans="2:14" hidden="1" outlineLevel="1" x14ac:dyDescent="0.35">
      <c r="B7732" s="200"/>
      <c r="C7732" s="201"/>
      <c r="D7732" s="201"/>
      <c r="E7732" s="201"/>
      <c r="F7732" s="202"/>
      <c r="G7732" s="549"/>
      <c r="H7732" s="549"/>
      <c r="I7732" s="549"/>
      <c r="J7732" s="549"/>
      <c r="K7732" s="549"/>
      <c r="M7732" s="465"/>
      <c r="N7732" s="201"/>
    </row>
    <row r="7733" spans="2:14" hidden="1" outlineLevel="1" x14ac:dyDescent="0.35">
      <c r="B7733" s="200"/>
      <c r="C7733" s="201"/>
      <c r="D7733" s="201"/>
      <c r="E7733" s="201"/>
      <c r="F7733" s="202"/>
      <c r="G7733" s="549"/>
      <c r="H7733" s="549"/>
      <c r="I7733" s="549"/>
      <c r="J7733" s="549"/>
      <c r="K7733" s="549"/>
      <c r="M7733" s="465"/>
      <c r="N7733" s="201"/>
    </row>
    <row r="7734" spans="2:14" hidden="1" outlineLevel="1" x14ac:dyDescent="0.35">
      <c r="B7734" s="200"/>
      <c r="C7734" s="201"/>
      <c r="D7734" s="201"/>
      <c r="E7734" s="201"/>
      <c r="F7734" s="202"/>
      <c r="G7734" s="549"/>
      <c r="H7734" s="549"/>
      <c r="I7734" s="549"/>
      <c r="J7734" s="549"/>
      <c r="K7734" s="549"/>
      <c r="M7734" s="465"/>
      <c r="N7734" s="201"/>
    </row>
    <row r="7735" spans="2:14" hidden="1" outlineLevel="1" x14ac:dyDescent="0.35">
      <c r="B7735" s="200"/>
      <c r="C7735" s="201"/>
      <c r="D7735" s="201"/>
      <c r="E7735" s="201"/>
      <c r="F7735" s="202"/>
      <c r="G7735" s="549"/>
      <c r="H7735" s="549"/>
      <c r="I7735" s="549"/>
      <c r="J7735" s="549"/>
      <c r="K7735" s="549"/>
      <c r="M7735" s="465"/>
      <c r="N7735" s="201"/>
    </row>
    <row r="7736" spans="2:14" hidden="1" outlineLevel="1" x14ac:dyDescent="0.35">
      <c r="B7736" s="200"/>
      <c r="C7736" s="201"/>
      <c r="D7736" s="201"/>
      <c r="E7736" s="201"/>
      <c r="F7736" s="202"/>
      <c r="G7736" s="549"/>
      <c r="H7736" s="549"/>
      <c r="I7736" s="549"/>
      <c r="J7736" s="549"/>
      <c r="K7736" s="549"/>
      <c r="M7736" s="465"/>
      <c r="N7736" s="201"/>
    </row>
    <row r="7737" spans="2:14" hidden="1" outlineLevel="1" x14ac:dyDescent="0.35">
      <c r="B7737" s="200"/>
      <c r="C7737" s="201"/>
      <c r="D7737" s="201"/>
      <c r="E7737" s="201"/>
      <c r="F7737" s="202"/>
      <c r="G7737" s="549"/>
      <c r="H7737" s="549"/>
      <c r="I7737" s="549"/>
      <c r="J7737" s="549"/>
      <c r="K7737" s="549"/>
      <c r="M7737" s="465"/>
      <c r="N7737" s="201"/>
    </row>
    <row r="7738" spans="2:14" hidden="1" outlineLevel="1" x14ac:dyDescent="0.35">
      <c r="B7738" s="200"/>
      <c r="C7738" s="201"/>
      <c r="D7738" s="201"/>
      <c r="E7738" s="201"/>
      <c r="F7738" s="202"/>
      <c r="G7738" s="549"/>
      <c r="H7738" s="549"/>
      <c r="I7738" s="549"/>
      <c r="J7738" s="549"/>
      <c r="K7738" s="549"/>
      <c r="M7738" s="465"/>
      <c r="N7738" s="201"/>
    </row>
    <row r="7739" spans="2:14" hidden="1" outlineLevel="1" x14ac:dyDescent="0.35">
      <c r="B7739" s="200"/>
      <c r="C7739" s="201"/>
      <c r="D7739" s="201"/>
      <c r="E7739" s="201"/>
      <c r="F7739" s="202"/>
      <c r="G7739" s="549"/>
      <c r="H7739" s="549"/>
      <c r="I7739" s="549"/>
      <c r="J7739" s="549"/>
      <c r="K7739" s="549"/>
      <c r="M7739" s="465"/>
      <c r="N7739" s="201"/>
    </row>
    <row r="7740" spans="2:14" hidden="1" outlineLevel="1" x14ac:dyDescent="0.35">
      <c r="B7740" s="200"/>
      <c r="C7740" s="201"/>
      <c r="D7740" s="201"/>
      <c r="E7740" s="201"/>
      <c r="F7740" s="202"/>
      <c r="G7740" s="549"/>
      <c r="H7740" s="549"/>
      <c r="I7740" s="549"/>
      <c r="J7740" s="549"/>
      <c r="K7740" s="549"/>
      <c r="M7740" s="465"/>
      <c r="N7740" s="201"/>
    </row>
    <row r="7741" spans="2:14" hidden="1" outlineLevel="1" x14ac:dyDescent="0.35">
      <c r="B7741" s="200"/>
      <c r="C7741" s="201"/>
      <c r="D7741" s="201"/>
      <c r="E7741" s="201"/>
      <c r="F7741" s="202"/>
      <c r="G7741" s="549"/>
      <c r="H7741" s="549"/>
      <c r="I7741" s="549"/>
      <c r="J7741" s="549"/>
      <c r="K7741" s="549"/>
      <c r="M7741" s="465"/>
      <c r="N7741" s="201"/>
    </row>
    <row r="7742" spans="2:14" hidden="1" outlineLevel="1" x14ac:dyDescent="0.35">
      <c r="B7742" s="200"/>
      <c r="C7742" s="201"/>
      <c r="D7742" s="201"/>
      <c r="E7742" s="201"/>
      <c r="F7742" s="202"/>
      <c r="G7742" s="549"/>
      <c r="H7742" s="549"/>
      <c r="I7742" s="549"/>
      <c r="J7742" s="549"/>
      <c r="K7742" s="549"/>
      <c r="M7742" s="465"/>
      <c r="N7742" s="201"/>
    </row>
    <row r="7743" spans="2:14" hidden="1" outlineLevel="1" x14ac:dyDescent="0.35">
      <c r="B7743" s="200"/>
      <c r="C7743" s="201"/>
      <c r="D7743" s="201"/>
      <c r="E7743" s="201"/>
      <c r="F7743" s="202"/>
      <c r="G7743" s="549"/>
      <c r="H7743" s="549"/>
      <c r="I7743" s="549"/>
      <c r="J7743" s="549"/>
      <c r="K7743" s="549"/>
      <c r="M7743" s="465"/>
      <c r="N7743" s="201"/>
    </row>
    <row r="7744" spans="2:14" hidden="1" outlineLevel="1" x14ac:dyDescent="0.35">
      <c r="B7744" s="200"/>
      <c r="C7744" s="201"/>
      <c r="D7744" s="201"/>
      <c r="E7744" s="201"/>
      <c r="F7744" s="202"/>
      <c r="G7744" s="549"/>
      <c r="H7744" s="549"/>
      <c r="I7744" s="549"/>
      <c r="J7744" s="549"/>
      <c r="K7744" s="549"/>
      <c r="M7744" s="465"/>
      <c r="N7744" s="201"/>
    </row>
    <row r="7745" spans="2:14" hidden="1" outlineLevel="1" x14ac:dyDescent="0.35">
      <c r="B7745" s="200"/>
      <c r="C7745" s="201"/>
      <c r="D7745" s="201"/>
      <c r="E7745" s="201"/>
      <c r="F7745" s="202"/>
      <c r="G7745" s="549"/>
      <c r="H7745" s="549"/>
      <c r="I7745" s="549"/>
      <c r="J7745" s="549"/>
      <c r="K7745" s="549"/>
      <c r="M7745" s="465"/>
      <c r="N7745" s="201"/>
    </row>
    <row r="7746" spans="2:14" hidden="1" outlineLevel="1" x14ac:dyDescent="0.35">
      <c r="B7746" s="200"/>
      <c r="C7746" s="201"/>
      <c r="D7746" s="201"/>
      <c r="E7746" s="201"/>
      <c r="F7746" s="202"/>
      <c r="G7746" s="549"/>
      <c r="H7746" s="549"/>
      <c r="I7746" s="549"/>
      <c r="J7746" s="549"/>
      <c r="K7746" s="549"/>
      <c r="M7746" s="465"/>
      <c r="N7746" s="201"/>
    </row>
    <row r="7747" spans="2:14" hidden="1" outlineLevel="1" x14ac:dyDescent="0.35">
      <c r="B7747" s="200"/>
      <c r="C7747" s="201"/>
      <c r="D7747" s="201"/>
      <c r="E7747" s="201"/>
      <c r="F7747" s="202"/>
      <c r="G7747" s="549"/>
      <c r="H7747" s="549"/>
      <c r="I7747" s="549"/>
      <c r="J7747" s="549"/>
      <c r="K7747" s="549"/>
      <c r="M7747" s="465"/>
      <c r="N7747" s="201"/>
    </row>
    <row r="7748" spans="2:14" hidden="1" outlineLevel="1" x14ac:dyDescent="0.35">
      <c r="B7748" s="200"/>
      <c r="C7748" s="201"/>
      <c r="D7748" s="201"/>
      <c r="E7748" s="201"/>
      <c r="F7748" s="202"/>
      <c r="G7748" s="549"/>
      <c r="H7748" s="549"/>
      <c r="I7748" s="549"/>
      <c r="J7748" s="549"/>
      <c r="K7748" s="549"/>
      <c r="M7748" s="465"/>
      <c r="N7748" s="201"/>
    </row>
    <row r="7749" spans="2:14" hidden="1" outlineLevel="1" x14ac:dyDescent="0.35">
      <c r="B7749" s="200"/>
      <c r="C7749" s="201"/>
      <c r="D7749" s="201"/>
      <c r="E7749" s="201"/>
      <c r="F7749" s="202"/>
      <c r="G7749" s="549"/>
      <c r="H7749" s="549"/>
      <c r="I7749" s="549"/>
      <c r="J7749" s="549"/>
      <c r="K7749" s="549"/>
      <c r="M7749" s="465"/>
      <c r="N7749" s="201"/>
    </row>
    <row r="7750" spans="2:14" hidden="1" outlineLevel="1" x14ac:dyDescent="0.35">
      <c r="B7750" s="200"/>
      <c r="C7750" s="201"/>
      <c r="D7750" s="201"/>
      <c r="E7750" s="201"/>
      <c r="F7750" s="202"/>
      <c r="G7750" s="549"/>
      <c r="H7750" s="549"/>
      <c r="I7750" s="549"/>
      <c r="J7750" s="549"/>
      <c r="K7750" s="549"/>
      <c r="M7750" s="465"/>
      <c r="N7750" s="201"/>
    </row>
    <row r="7751" spans="2:14" hidden="1" outlineLevel="1" x14ac:dyDescent="0.35">
      <c r="B7751" s="200"/>
      <c r="C7751" s="201"/>
      <c r="D7751" s="201"/>
      <c r="E7751" s="201"/>
      <c r="F7751" s="202"/>
      <c r="G7751" s="549"/>
      <c r="H7751" s="549"/>
      <c r="I7751" s="549"/>
      <c r="J7751" s="549"/>
      <c r="K7751" s="549"/>
      <c r="M7751" s="465"/>
      <c r="N7751" s="201"/>
    </row>
    <row r="7752" spans="2:14" hidden="1" outlineLevel="1" x14ac:dyDescent="0.35">
      <c r="B7752" s="200"/>
      <c r="C7752" s="201"/>
      <c r="D7752" s="201"/>
      <c r="E7752" s="201"/>
      <c r="F7752" s="202"/>
      <c r="G7752" s="549"/>
      <c r="H7752" s="549"/>
      <c r="I7752" s="549"/>
      <c r="J7752" s="549"/>
      <c r="K7752" s="549"/>
      <c r="M7752" s="465"/>
      <c r="N7752" s="201"/>
    </row>
    <row r="7753" spans="2:14" hidden="1" outlineLevel="1" x14ac:dyDescent="0.35">
      <c r="B7753" s="200"/>
      <c r="C7753" s="201"/>
      <c r="D7753" s="201"/>
      <c r="E7753" s="201"/>
      <c r="F7753" s="202"/>
      <c r="G7753" s="549"/>
      <c r="H7753" s="549"/>
      <c r="I7753" s="549"/>
      <c r="J7753" s="549"/>
      <c r="K7753" s="549"/>
      <c r="M7753" s="465"/>
      <c r="N7753" s="201"/>
    </row>
    <row r="7754" spans="2:14" hidden="1" outlineLevel="1" x14ac:dyDescent="0.35">
      <c r="B7754" s="200"/>
      <c r="C7754" s="201"/>
      <c r="D7754" s="201"/>
      <c r="E7754" s="201"/>
      <c r="F7754" s="202"/>
      <c r="G7754" s="549"/>
      <c r="H7754" s="549"/>
      <c r="I7754" s="549"/>
      <c r="J7754" s="549"/>
      <c r="K7754" s="549"/>
      <c r="M7754" s="465"/>
      <c r="N7754" s="201"/>
    </row>
    <row r="7755" spans="2:14" hidden="1" outlineLevel="1" x14ac:dyDescent="0.35">
      <c r="B7755" s="200"/>
      <c r="C7755" s="201"/>
      <c r="D7755" s="201"/>
      <c r="E7755" s="201"/>
      <c r="F7755" s="202"/>
      <c r="G7755" s="549"/>
      <c r="H7755" s="549"/>
      <c r="I7755" s="549"/>
      <c r="J7755" s="549"/>
      <c r="K7755" s="549"/>
      <c r="M7755" s="465"/>
      <c r="N7755" s="201"/>
    </row>
    <row r="7756" spans="2:14" hidden="1" outlineLevel="1" x14ac:dyDescent="0.35">
      <c r="B7756" s="200"/>
      <c r="C7756" s="201"/>
      <c r="D7756" s="201"/>
      <c r="E7756" s="201"/>
      <c r="F7756" s="202"/>
      <c r="G7756" s="549"/>
      <c r="H7756" s="549"/>
      <c r="I7756" s="549"/>
      <c r="J7756" s="549"/>
      <c r="K7756" s="549"/>
      <c r="M7756" s="465"/>
      <c r="N7756" s="201"/>
    </row>
    <row r="7757" spans="2:14" hidden="1" outlineLevel="1" x14ac:dyDescent="0.35">
      <c r="B7757" s="200"/>
      <c r="C7757" s="201"/>
      <c r="D7757" s="201"/>
      <c r="E7757" s="201"/>
      <c r="F7757" s="202"/>
      <c r="G7757" s="549"/>
      <c r="H7757" s="549"/>
      <c r="I7757" s="549"/>
      <c r="J7757" s="549"/>
      <c r="K7757" s="549"/>
      <c r="M7757" s="465"/>
      <c r="N7757" s="201"/>
    </row>
    <row r="7758" spans="2:14" hidden="1" outlineLevel="1" x14ac:dyDescent="0.35">
      <c r="B7758" s="200"/>
      <c r="C7758" s="201"/>
      <c r="D7758" s="201"/>
      <c r="E7758" s="201"/>
      <c r="F7758" s="202"/>
      <c r="G7758" s="549"/>
      <c r="H7758" s="549"/>
      <c r="I7758" s="549"/>
      <c r="J7758" s="549"/>
      <c r="K7758" s="549"/>
      <c r="M7758" s="465"/>
      <c r="N7758" s="201"/>
    </row>
    <row r="7759" spans="2:14" hidden="1" outlineLevel="1" x14ac:dyDescent="0.35">
      <c r="B7759" s="200"/>
      <c r="C7759" s="201"/>
      <c r="D7759" s="201"/>
      <c r="E7759" s="201"/>
      <c r="F7759" s="202"/>
      <c r="G7759" s="549"/>
      <c r="H7759" s="549"/>
      <c r="I7759" s="549"/>
      <c r="J7759" s="549"/>
      <c r="K7759" s="549"/>
      <c r="M7759" s="465"/>
      <c r="N7759" s="201"/>
    </row>
    <row r="7760" spans="2:14" hidden="1" outlineLevel="1" x14ac:dyDescent="0.35">
      <c r="B7760" s="200"/>
      <c r="C7760" s="201"/>
      <c r="D7760" s="201"/>
      <c r="E7760" s="201"/>
      <c r="F7760" s="202"/>
      <c r="G7760" s="549"/>
      <c r="H7760" s="549"/>
      <c r="I7760" s="549"/>
      <c r="J7760" s="549"/>
      <c r="K7760" s="549"/>
      <c r="M7760" s="465"/>
      <c r="N7760" s="201"/>
    </row>
    <row r="7761" spans="2:14" hidden="1" outlineLevel="1" x14ac:dyDescent="0.35">
      <c r="B7761" s="200"/>
      <c r="C7761" s="201"/>
      <c r="D7761" s="201"/>
      <c r="E7761" s="201"/>
      <c r="F7761" s="202"/>
      <c r="G7761" s="549"/>
      <c r="H7761" s="549"/>
      <c r="I7761" s="549"/>
      <c r="J7761" s="549"/>
      <c r="K7761" s="549"/>
      <c r="M7761" s="465"/>
      <c r="N7761" s="201"/>
    </row>
    <row r="7762" spans="2:14" hidden="1" outlineLevel="1" x14ac:dyDescent="0.35">
      <c r="B7762" s="200"/>
      <c r="C7762" s="201"/>
      <c r="D7762" s="201"/>
      <c r="E7762" s="201"/>
      <c r="F7762" s="202"/>
      <c r="G7762" s="549"/>
      <c r="H7762" s="549"/>
      <c r="I7762" s="549"/>
      <c r="J7762" s="549"/>
      <c r="K7762" s="549"/>
      <c r="M7762" s="465"/>
      <c r="N7762" s="201"/>
    </row>
    <row r="7763" spans="2:14" hidden="1" outlineLevel="1" x14ac:dyDescent="0.35">
      <c r="B7763" s="200"/>
      <c r="C7763" s="201"/>
      <c r="D7763" s="201"/>
      <c r="E7763" s="201"/>
      <c r="F7763" s="202"/>
      <c r="G7763" s="549"/>
      <c r="H7763" s="549"/>
      <c r="I7763" s="549"/>
      <c r="J7763" s="549"/>
      <c r="K7763" s="549"/>
      <c r="M7763" s="465"/>
      <c r="N7763" s="201"/>
    </row>
    <row r="7764" spans="2:14" hidden="1" outlineLevel="1" x14ac:dyDescent="0.35">
      <c r="B7764" s="200"/>
      <c r="C7764" s="201"/>
      <c r="D7764" s="201"/>
      <c r="E7764" s="201"/>
      <c r="F7764" s="202"/>
      <c r="G7764" s="549"/>
      <c r="H7764" s="549"/>
      <c r="I7764" s="549"/>
      <c r="J7764" s="549"/>
      <c r="K7764" s="549"/>
      <c r="M7764" s="465"/>
      <c r="N7764" s="201"/>
    </row>
    <row r="7765" spans="2:14" hidden="1" outlineLevel="1" x14ac:dyDescent="0.35">
      <c r="B7765" s="200"/>
      <c r="C7765" s="201"/>
      <c r="D7765" s="201"/>
      <c r="E7765" s="201"/>
      <c r="F7765" s="202"/>
      <c r="G7765" s="549"/>
      <c r="H7765" s="549"/>
      <c r="I7765" s="549"/>
      <c r="J7765" s="549"/>
      <c r="K7765" s="549"/>
      <c r="M7765" s="465"/>
      <c r="N7765" s="201"/>
    </row>
    <row r="7766" spans="2:14" hidden="1" outlineLevel="1" x14ac:dyDescent="0.35">
      <c r="B7766" s="200"/>
      <c r="C7766" s="201"/>
      <c r="D7766" s="201"/>
      <c r="E7766" s="201"/>
      <c r="F7766" s="202"/>
      <c r="G7766" s="549"/>
      <c r="H7766" s="549"/>
      <c r="I7766" s="549"/>
      <c r="J7766" s="549"/>
      <c r="K7766" s="549"/>
      <c r="M7766" s="465"/>
      <c r="N7766" s="201"/>
    </row>
    <row r="7767" spans="2:14" hidden="1" outlineLevel="1" x14ac:dyDescent="0.35">
      <c r="B7767" s="200"/>
      <c r="C7767" s="201"/>
      <c r="D7767" s="201"/>
      <c r="E7767" s="201"/>
      <c r="F7767" s="202"/>
      <c r="G7767" s="549"/>
      <c r="H7767" s="549"/>
      <c r="I7767" s="549"/>
      <c r="J7767" s="549"/>
      <c r="K7767" s="549"/>
      <c r="M7767" s="465"/>
      <c r="N7767" s="201"/>
    </row>
    <row r="7768" spans="2:14" hidden="1" outlineLevel="1" x14ac:dyDescent="0.35">
      <c r="B7768" s="200"/>
      <c r="C7768" s="201"/>
      <c r="D7768" s="201"/>
      <c r="E7768" s="201"/>
      <c r="F7768" s="202"/>
      <c r="G7768" s="549"/>
      <c r="H7768" s="549"/>
      <c r="I7768" s="549"/>
      <c r="J7768" s="549"/>
      <c r="K7768" s="549"/>
      <c r="M7768" s="465"/>
      <c r="N7768" s="201"/>
    </row>
    <row r="7769" spans="2:14" hidden="1" outlineLevel="1" x14ac:dyDescent="0.35">
      <c r="B7769" s="200"/>
      <c r="C7769" s="201"/>
      <c r="D7769" s="201"/>
      <c r="E7769" s="201"/>
      <c r="F7769" s="202"/>
      <c r="G7769" s="549"/>
      <c r="H7769" s="549"/>
      <c r="I7769" s="549"/>
      <c r="J7769" s="549"/>
      <c r="K7769" s="549"/>
      <c r="M7769" s="465"/>
      <c r="N7769" s="201"/>
    </row>
    <row r="7770" spans="2:14" hidden="1" outlineLevel="1" x14ac:dyDescent="0.35">
      <c r="B7770" s="200"/>
      <c r="C7770" s="201"/>
      <c r="D7770" s="201"/>
      <c r="E7770" s="201"/>
      <c r="F7770" s="202"/>
      <c r="G7770" s="549"/>
      <c r="H7770" s="549"/>
      <c r="I7770" s="549"/>
      <c r="J7770" s="549"/>
      <c r="K7770" s="549"/>
      <c r="M7770" s="465"/>
      <c r="N7770" s="201"/>
    </row>
    <row r="7771" spans="2:14" hidden="1" outlineLevel="1" x14ac:dyDescent="0.35">
      <c r="B7771" s="200"/>
      <c r="C7771" s="201"/>
      <c r="D7771" s="201"/>
      <c r="E7771" s="201"/>
      <c r="F7771" s="202"/>
      <c r="G7771" s="549"/>
      <c r="H7771" s="549"/>
      <c r="I7771" s="549"/>
      <c r="J7771" s="549"/>
      <c r="K7771" s="549"/>
      <c r="M7771" s="465"/>
      <c r="N7771" s="201"/>
    </row>
    <row r="7772" spans="2:14" hidden="1" outlineLevel="1" x14ac:dyDescent="0.35">
      <c r="B7772" s="200"/>
      <c r="C7772" s="201"/>
      <c r="D7772" s="201"/>
      <c r="E7772" s="201"/>
      <c r="F7772" s="202"/>
      <c r="G7772" s="549"/>
      <c r="H7772" s="549"/>
      <c r="I7772" s="549"/>
      <c r="J7772" s="549"/>
      <c r="K7772" s="549"/>
      <c r="M7772" s="465"/>
      <c r="N7772" s="201"/>
    </row>
    <row r="7773" spans="2:14" hidden="1" outlineLevel="1" x14ac:dyDescent="0.35">
      <c r="B7773" s="200"/>
      <c r="C7773" s="201"/>
      <c r="D7773" s="201"/>
      <c r="E7773" s="201"/>
      <c r="F7773" s="202"/>
      <c r="G7773" s="549"/>
      <c r="H7773" s="549"/>
      <c r="I7773" s="549"/>
      <c r="J7773" s="549"/>
      <c r="K7773" s="549"/>
      <c r="M7773" s="465"/>
      <c r="N7773" s="201"/>
    </row>
    <row r="7774" spans="2:14" hidden="1" outlineLevel="1" x14ac:dyDescent="0.35">
      <c r="B7774" s="200"/>
      <c r="C7774" s="201"/>
      <c r="D7774" s="201"/>
      <c r="E7774" s="201"/>
      <c r="F7774" s="202"/>
      <c r="G7774" s="549"/>
      <c r="H7774" s="549"/>
      <c r="I7774" s="549"/>
      <c r="J7774" s="549"/>
      <c r="K7774" s="549"/>
      <c r="M7774" s="465"/>
      <c r="N7774" s="201"/>
    </row>
    <row r="7775" spans="2:14" hidden="1" outlineLevel="1" x14ac:dyDescent="0.35">
      <c r="B7775" s="200"/>
      <c r="C7775" s="201"/>
      <c r="D7775" s="201"/>
      <c r="E7775" s="201"/>
      <c r="F7775" s="202"/>
      <c r="G7775" s="549"/>
      <c r="H7775" s="549"/>
      <c r="I7775" s="549"/>
      <c r="J7775" s="549"/>
      <c r="K7775" s="549"/>
      <c r="M7775" s="465"/>
      <c r="N7775" s="201"/>
    </row>
    <row r="7776" spans="2:14" hidden="1" outlineLevel="1" x14ac:dyDescent="0.35">
      <c r="B7776" s="200"/>
      <c r="C7776" s="201"/>
      <c r="D7776" s="201"/>
      <c r="E7776" s="201"/>
      <c r="F7776" s="202"/>
      <c r="G7776" s="549"/>
      <c r="H7776" s="549"/>
      <c r="I7776" s="549"/>
      <c r="J7776" s="549"/>
      <c r="K7776" s="549"/>
      <c r="M7776" s="465"/>
      <c r="N7776" s="201"/>
    </row>
    <row r="7777" spans="2:14" hidden="1" outlineLevel="1" x14ac:dyDescent="0.35">
      <c r="B7777" s="200"/>
      <c r="C7777" s="201"/>
      <c r="D7777" s="201"/>
      <c r="E7777" s="201"/>
      <c r="F7777" s="202"/>
      <c r="G7777" s="549"/>
      <c r="H7777" s="549"/>
      <c r="I7777" s="549"/>
      <c r="J7777" s="549"/>
      <c r="K7777" s="549"/>
      <c r="M7777" s="465"/>
      <c r="N7777" s="201"/>
    </row>
    <row r="7778" spans="2:14" hidden="1" outlineLevel="1" x14ac:dyDescent="0.35">
      <c r="B7778" s="200"/>
      <c r="C7778" s="201"/>
      <c r="D7778" s="201"/>
      <c r="E7778" s="201"/>
      <c r="F7778" s="202"/>
      <c r="G7778" s="549"/>
      <c r="H7778" s="549"/>
      <c r="I7778" s="549"/>
      <c r="J7778" s="549"/>
      <c r="K7778" s="549"/>
      <c r="M7778" s="465"/>
      <c r="N7778" s="201"/>
    </row>
    <row r="7779" spans="2:14" hidden="1" outlineLevel="1" x14ac:dyDescent="0.35">
      <c r="B7779" s="200"/>
      <c r="C7779" s="201"/>
      <c r="D7779" s="201"/>
      <c r="E7779" s="201"/>
      <c r="F7779" s="202"/>
      <c r="G7779" s="549"/>
      <c r="H7779" s="549"/>
      <c r="I7779" s="549"/>
      <c r="J7779" s="549"/>
      <c r="K7779" s="549"/>
      <c r="M7779" s="465"/>
      <c r="N7779" s="201"/>
    </row>
    <row r="7780" spans="2:14" hidden="1" outlineLevel="1" x14ac:dyDescent="0.35">
      <c r="B7780" s="200"/>
      <c r="C7780" s="201"/>
      <c r="D7780" s="201"/>
      <c r="E7780" s="201"/>
      <c r="F7780" s="202"/>
      <c r="G7780" s="549"/>
      <c r="H7780" s="549"/>
      <c r="I7780" s="549"/>
      <c r="J7780" s="549"/>
      <c r="K7780" s="549"/>
      <c r="M7780" s="465"/>
      <c r="N7780" s="201"/>
    </row>
    <row r="7781" spans="2:14" hidden="1" outlineLevel="1" x14ac:dyDescent="0.35">
      <c r="B7781" s="200"/>
      <c r="C7781" s="201"/>
      <c r="D7781" s="201"/>
      <c r="E7781" s="201"/>
      <c r="F7781" s="202"/>
      <c r="G7781" s="549"/>
      <c r="H7781" s="549"/>
      <c r="I7781" s="549"/>
      <c r="J7781" s="549"/>
      <c r="K7781" s="549"/>
      <c r="M7781" s="465"/>
      <c r="N7781" s="201"/>
    </row>
    <row r="7782" spans="2:14" hidden="1" outlineLevel="1" x14ac:dyDescent="0.35">
      <c r="B7782" s="200"/>
      <c r="C7782" s="201"/>
      <c r="D7782" s="201"/>
      <c r="E7782" s="201"/>
      <c r="F7782" s="202"/>
      <c r="G7782" s="549"/>
      <c r="H7782" s="549"/>
      <c r="I7782" s="549"/>
      <c r="J7782" s="549"/>
      <c r="K7782" s="549"/>
      <c r="M7782" s="465"/>
      <c r="N7782" s="201"/>
    </row>
    <row r="7783" spans="2:14" hidden="1" outlineLevel="1" x14ac:dyDescent="0.35">
      <c r="B7783" s="200"/>
      <c r="C7783" s="201"/>
      <c r="D7783" s="201"/>
      <c r="E7783" s="201"/>
      <c r="F7783" s="202"/>
      <c r="G7783" s="549"/>
      <c r="H7783" s="549"/>
      <c r="I7783" s="549"/>
      <c r="J7783" s="549"/>
      <c r="K7783" s="549"/>
      <c r="M7783" s="465"/>
      <c r="N7783" s="201"/>
    </row>
    <row r="7784" spans="2:14" hidden="1" outlineLevel="1" x14ac:dyDescent="0.35">
      <c r="B7784" s="200"/>
      <c r="C7784" s="201"/>
      <c r="D7784" s="201"/>
      <c r="E7784" s="201"/>
      <c r="F7784" s="202"/>
      <c r="G7784" s="549"/>
      <c r="H7784" s="549"/>
      <c r="I7784" s="549"/>
      <c r="J7784" s="549"/>
      <c r="K7784" s="549"/>
      <c r="M7784" s="465"/>
      <c r="N7784" s="201"/>
    </row>
    <row r="7785" spans="2:14" hidden="1" outlineLevel="1" x14ac:dyDescent="0.35">
      <c r="B7785" s="200"/>
      <c r="C7785" s="201"/>
      <c r="D7785" s="201"/>
      <c r="E7785" s="201"/>
      <c r="F7785" s="202"/>
      <c r="G7785" s="549"/>
      <c r="H7785" s="549"/>
      <c r="I7785" s="549"/>
      <c r="J7785" s="549"/>
      <c r="K7785" s="549"/>
      <c r="M7785" s="465"/>
      <c r="N7785" s="201"/>
    </row>
    <row r="7786" spans="2:14" hidden="1" outlineLevel="1" x14ac:dyDescent="0.35">
      <c r="B7786" s="200"/>
      <c r="C7786" s="201"/>
      <c r="D7786" s="201"/>
      <c r="E7786" s="201"/>
      <c r="F7786" s="202"/>
      <c r="G7786" s="549"/>
      <c r="H7786" s="549"/>
      <c r="I7786" s="549"/>
      <c r="J7786" s="549"/>
      <c r="K7786" s="549"/>
      <c r="M7786" s="465"/>
      <c r="N7786" s="201"/>
    </row>
    <row r="7787" spans="2:14" hidden="1" outlineLevel="1" x14ac:dyDescent="0.35">
      <c r="B7787" s="200"/>
      <c r="C7787" s="201"/>
      <c r="D7787" s="201"/>
      <c r="E7787" s="201"/>
      <c r="F7787" s="202"/>
      <c r="G7787" s="549"/>
      <c r="H7787" s="549"/>
      <c r="I7787" s="549"/>
      <c r="J7787" s="549"/>
      <c r="K7787" s="549"/>
      <c r="M7787" s="465"/>
      <c r="N7787" s="201"/>
    </row>
    <row r="7788" spans="2:14" hidden="1" outlineLevel="1" x14ac:dyDescent="0.35">
      <c r="B7788" s="200"/>
      <c r="C7788" s="201"/>
      <c r="D7788" s="201"/>
      <c r="E7788" s="201"/>
      <c r="F7788" s="202"/>
      <c r="G7788" s="549"/>
      <c r="H7788" s="549"/>
      <c r="I7788" s="549"/>
      <c r="J7788" s="549"/>
      <c r="K7788" s="549"/>
      <c r="M7788" s="465"/>
      <c r="N7788" s="201"/>
    </row>
    <row r="7789" spans="2:14" hidden="1" outlineLevel="1" x14ac:dyDescent="0.35">
      <c r="B7789" s="200"/>
      <c r="C7789" s="201"/>
      <c r="D7789" s="201"/>
      <c r="E7789" s="201"/>
      <c r="F7789" s="202"/>
      <c r="G7789" s="549"/>
      <c r="H7789" s="549"/>
      <c r="I7789" s="549"/>
      <c r="J7789" s="549"/>
      <c r="K7789" s="549"/>
      <c r="M7789" s="465"/>
      <c r="N7789" s="201"/>
    </row>
    <row r="7790" spans="2:14" hidden="1" outlineLevel="1" x14ac:dyDescent="0.35">
      <c r="B7790" s="200"/>
      <c r="C7790" s="201"/>
      <c r="D7790" s="201"/>
      <c r="E7790" s="201"/>
      <c r="F7790" s="202"/>
      <c r="G7790" s="549"/>
      <c r="H7790" s="549"/>
      <c r="I7790" s="549"/>
      <c r="J7790" s="549"/>
      <c r="K7790" s="549"/>
      <c r="M7790" s="465"/>
      <c r="N7790" s="201"/>
    </row>
    <row r="7791" spans="2:14" hidden="1" outlineLevel="1" x14ac:dyDescent="0.35">
      <c r="B7791" s="200"/>
      <c r="C7791" s="201"/>
      <c r="D7791" s="201"/>
      <c r="E7791" s="201"/>
      <c r="F7791" s="202"/>
      <c r="G7791" s="549"/>
      <c r="H7791" s="549"/>
      <c r="I7791" s="549"/>
      <c r="J7791" s="549"/>
      <c r="K7791" s="549"/>
      <c r="M7791" s="465"/>
      <c r="N7791" s="201"/>
    </row>
    <row r="7792" spans="2:14" hidden="1" outlineLevel="1" x14ac:dyDescent="0.35">
      <c r="B7792" s="200"/>
      <c r="C7792" s="201"/>
      <c r="D7792" s="201"/>
      <c r="E7792" s="201"/>
      <c r="F7792" s="202"/>
      <c r="G7792" s="549"/>
      <c r="H7792" s="549"/>
      <c r="I7792" s="549"/>
      <c r="J7792" s="549"/>
      <c r="K7792" s="549"/>
      <c r="M7792" s="465"/>
      <c r="N7792" s="201"/>
    </row>
    <row r="7793" spans="2:14" hidden="1" outlineLevel="1" x14ac:dyDescent="0.35">
      <c r="B7793" s="200"/>
      <c r="C7793" s="201"/>
      <c r="D7793" s="201"/>
      <c r="E7793" s="201"/>
      <c r="F7793" s="202"/>
      <c r="G7793" s="549"/>
      <c r="H7793" s="549"/>
      <c r="I7793" s="549"/>
      <c r="J7793" s="549"/>
      <c r="K7793" s="549"/>
      <c r="M7793" s="465"/>
      <c r="N7793" s="201"/>
    </row>
    <row r="7794" spans="2:14" hidden="1" outlineLevel="1" x14ac:dyDescent="0.35">
      <c r="B7794" s="200"/>
      <c r="C7794" s="201"/>
      <c r="D7794" s="201"/>
      <c r="E7794" s="201"/>
      <c r="F7794" s="202"/>
      <c r="G7794" s="549"/>
      <c r="H7794" s="549"/>
      <c r="I7794" s="549"/>
      <c r="J7794" s="549"/>
      <c r="K7794" s="549"/>
      <c r="M7794" s="465"/>
      <c r="N7794" s="201"/>
    </row>
    <row r="7795" spans="2:14" hidden="1" outlineLevel="1" x14ac:dyDescent="0.35">
      <c r="B7795" s="200"/>
      <c r="C7795" s="201"/>
      <c r="D7795" s="201"/>
      <c r="E7795" s="201"/>
      <c r="F7795" s="202"/>
      <c r="G7795" s="549"/>
      <c r="H7795" s="549"/>
      <c r="I7795" s="549"/>
      <c r="J7795" s="549"/>
      <c r="K7795" s="549"/>
      <c r="M7795" s="465"/>
      <c r="N7795" s="201"/>
    </row>
    <row r="7796" spans="2:14" hidden="1" outlineLevel="1" x14ac:dyDescent="0.35">
      <c r="B7796" s="200"/>
      <c r="C7796" s="201"/>
      <c r="D7796" s="201"/>
      <c r="E7796" s="201"/>
      <c r="F7796" s="202"/>
      <c r="G7796" s="549"/>
      <c r="H7796" s="549"/>
      <c r="I7796" s="549"/>
      <c r="J7796" s="549"/>
      <c r="K7796" s="549"/>
      <c r="M7796" s="465"/>
      <c r="N7796" s="201"/>
    </row>
    <row r="7797" spans="2:14" hidden="1" outlineLevel="1" x14ac:dyDescent="0.35">
      <c r="B7797" s="200"/>
      <c r="C7797" s="201"/>
      <c r="D7797" s="201"/>
      <c r="E7797" s="201"/>
      <c r="F7797" s="202"/>
      <c r="G7797" s="549"/>
      <c r="H7797" s="549"/>
      <c r="I7797" s="549"/>
      <c r="J7797" s="549"/>
      <c r="K7797" s="549"/>
      <c r="M7797" s="465"/>
      <c r="N7797" s="201"/>
    </row>
    <row r="7798" spans="2:14" hidden="1" outlineLevel="1" x14ac:dyDescent="0.35">
      <c r="B7798" s="200"/>
      <c r="C7798" s="201"/>
      <c r="D7798" s="201"/>
      <c r="E7798" s="201"/>
      <c r="F7798" s="202"/>
      <c r="G7798" s="549"/>
      <c r="H7798" s="549"/>
      <c r="I7798" s="549"/>
      <c r="J7798" s="549"/>
      <c r="K7798" s="549"/>
      <c r="M7798" s="465"/>
      <c r="N7798" s="201"/>
    </row>
    <row r="7799" spans="2:14" hidden="1" outlineLevel="1" x14ac:dyDescent="0.35">
      <c r="B7799" s="200"/>
      <c r="C7799" s="201"/>
      <c r="D7799" s="201"/>
      <c r="E7799" s="201"/>
      <c r="F7799" s="202"/>
      <c r="G7799" s="549"/>
      <c r="H7799" s="549"/>
      <c r="I7799" s="549"/>
      <c r="J7799" s="549"/>
      <c r="K7799" s="549"/>
      <c r="M7799" s="465"/>
      <c r="N7799" s="201"/>
    </row>
    <row r="7800" spans="2:14" hidden="1" outlineLevel="1" x14ac:dyDescent="0.35">
      <c r="B7800" s="200"/>
      <c r="C7800" s="201"/>
      <c r="D7800" s="201"/>
      <c r="E7800" s="201"/>
      <c r="F7800" s="202"/>
      <c r="G7800" s="549"/>
      <c r="H7800" s="549"/>
      <c r="I7800" s="549"/>
      <c r="J7800" s="549"/>
      <c r="K7800" s="549"/>
      <c r="M7800" s="465"/>
      <c r="N7800" s="201"/>
    </row>
    <row r="7801" spans="2:14" hidden="1" outlineLevel="1" x14ac:dyDescent="0.35">
      <c r="B7801" s="200"/>
      <c r="C7801" s="201"/>
      <c r="D7801" s="201"/>
      <c r="E7801" s="201"/>
      <c r="F7801" s="202"/>
      <c r="G7801" s="549"/>
      <c r="H7801" s="549"/>
      <c r="I7801" s="549"/>
      <c r="J7801" s="549"/>
      <c r="K7801" s="549"/>
      <c r="M7801" s="465"/>
      <c r="N7801" s="201"/>
    </row>
    <row r="7802" spans="2:14" hidden="1" outlineLevel="1" x14ac:dyDescent="0.35">
      <c r="B7802" s="200"/>
      <c r="C7802" s="201"/>
      <c r="D7802" s="201"/>
      <c r="E7802" s="201"/>
      <c r="F7802" s="202"/>
      <c r="G7802" s="549"/>
      <c r="H7802" s="549"/>
      <c r="I7802" s="549"/>
      <c r="J7802" s="549"/>
      <c r="K7802" s="549"/>
      <c r="M7802" s="465"/>
      <c r="N7802" s="201"/>
    </row>
    <row r="7803" spans="2:14" hidden="1" outlineLevel="1" x14ac:dyDescent="0.35">
      <c r="B7803" s="200"/>
      <c r="C7803" s="201"/>
      <c r="D7803" s="201"/>
      <c r="E7803" s="201"/>
      <c r="F7803" s="202"/>
      <c r="G7803" s="549"/>
      <c r="H7803" s="549"/>
      <c r="I7803" s="549"/>
      <c r="J7803" s="549"/>
      <c r="K7803" s="549"/>
      <c r="M7803" s="465"/>
      <c r="N7803" s="201"/>
    </row>
    <row r="7804" spans="2:14" hidden="1" outlineLevel="1" x14ac:dyDescent="0.35">
      <c r="B7804" s="200"/>
      <c r="C7804" s="201"/>
      <c r="D7804" s="201"/>
      <c r="E7804" s="201"/>
      <c r="F7804" s="202"/>
      <c r="G7804" s="549"/>
      <c r="H7804" s="549"/>
      <c r="I7804" s="549"/>
      <c r="J7804" s="549"/>
      <c r="K7804" s="549"/>
      <c r="M7804" s="465"/>
      <c r="N7804" s="201"/>
    </row>
    <row r="7805" spans="2:14" hidden="1" outlineLevel="1" x14ac:dyDescent="0.35">
      <c r="B7805" s="200"/>
      <c r="C7805" s="201"/>
      <c r="D7805" s="201"/>
      <c r="E7805" s="201"/>
      <c r="F7805" s="202"/>
      <c r="G7805" s="549"/>
      <c r="H7805" s="549"/>
      <c r="I7805" s="549"/>
      <c r="J7805" s="549"/>
      <c r="K7805" s="549"/>
      <c r="M7805" s="465"/>
      <c r="N7805" s="201"/>
    </row>
    <row r="7806" spans="2:14" hidden="1" outlineLevel="1" x14ac:dyDescent="0.35">
      <c r="B7806" s="200"/>
      <c r="C7806" s="201"/>
      <c r="D7806" s="201"/>
      <c r="E7806" s="201"/>
      <c r="F7806" s="202"/>
      <c r="G7806" s="549"/>
      <c r="H7806" s="549"/>
      <c r="I7806" s="549"/>
      <c r="J7806" s="549"/>
      <c r="K7806" s="549"/>
      <c r="M7806" s="465"/>
      <c r="N7806" s="201"/>
    </row>
    <row r="7807" spans="2:14" hidden="1" outlineLevel="1" x14ac:dyDescent="0.35">
      <c r="B7807" s="200"/>
      <c r="C7807" s="201"/>
      <c r="D7807" s="201"/>
      <c r="E7807" s="201"/>
      <c r="F7807" s="202"/>
      <c r="G7807" s="549"/>
      <c r="H7807" s="549"/>
      <c r="I7807" s="549"/>
      <c r="J7807" s="549"/>
      <c r="K7807" s="549"/>
      <c r="M7807" s="465"/>
      <c r="N7807" s="201"/>
    </row>
    <row r="7808" spans="2:14" hidden="1" outlineLevel="1" x14ac:dyDescent="0.35">
      <c r="B7808" s="200"/>
      <c r="C7808" s="201"/>
      <c r="D7808" s="201"/>
      <c r="E7808" s="201"/>
      <c r="F7808" s="202"/>
      <c r="G7808" s="549"/>
      <c r="H7808" s="549"/>
      <c r="I7808" s="549"/>
      <c r="J7808" s="549"/>
      <c r="K7808" s="549"/>
      <c r="M7808" s="465"/>
      <c r="N7808" s="201"/>
    </row>
    <row r="7809" spans="2:14" hidden="1" outlineLevel="1" x14ac:dyDescent="0.35">
      <c r="B7809" s="200"/>
      <c r="C7809" s="201"/>
      <c r="D7809" s="201"/>
      <c r="E7809" s="201"/>
      <c r="F7809" s="202"/>
      <c r="G7809" s="549"/>
      <c r="H7809" s="549"/>
      <c r="I7809" s="549"/>
      <c r="J7809" s="549"/>
      <c r="K7809" s="549"/>
      <c r="M7809" s="465"/>
      <c r="N7809" s="201"/>
    </row>
    <row r="7810" spans="2:14" hidden="1" outlineLevel="1" x14ac:dyDescent="0.35">
      <c r="B7810" s="200"/>
      <c r="C7810" s="201"/>
      <c r="D7810" s="201"/>
      <c r="E7810" s="201"/>
      <c r="F7810" s="202"/>
      <c r="G7810" s="549"/>
      <c r="H7810" s="549"/>
      <c r="I7810" s="549"/>
      <c r="J7810" s="549"/>
      <c r="K7810" s="549"/>
      <c r="M7810" s="465"/>
      <c r="N7810" s="201"/>
    </row>
    <row r="7811" spans="2:14" hidden="1" outlineLevel="1" x14ac:dyDescent="0.35">
      <c r="B7811" s="200"/>
      <c r="C7811" s="201"/>
      <c r="D7811" s="201"/>
      <c r="E7811" s="201"/>
      <c r="F7811" s="202"/>
      <c r="G7811" s="549"/>
      <c r="H7811" s="549"/>
      <c r="I7811" s="549"/>
      <c r="J7811" s="549"/>
      <c r="K7811" s="549"/>
      <c r="M7811" s="465"/>
      <c r="N7811" s="201"/>
    </row>
    <row r="7812" spans="2:14" hidden="1" outlineLevel="1" x14ac:dyDescent="0.35">
      <c r="B7812" s="200"/>
      <c r="C7812" s="201"/>
      <c r="D7812" s="201"/>
      <c r="E7812" s="201"/>
      <c r="F7812" s="202"/>
      <c r="G7812" s="549"/>
      <c r="H7812" s="549"/>
      <c r="I7812" s="549"/>
      <c r="J7812" s="549"/>
      <c r="K7812" s="549"/>
      <c r="M7812" s="465"/>
      <c r="N7812" s="201"/>
    </row>
    <row r="7813" spans="2:14" hidden="1" outlineLevel="1" x14ac:dyDescent="0.35">
      <c r="B7813" s="200"/>
      <c r="C7813" s="201"/>
      <c r="D7813" s="201"/>
      <c r="E7813" s="201"/>
      <c r="F7813" s="202"/>
      <c r="G7813" s="549"/>
      <c r="H7813" s="549"/>
      <c r="I7813" s="549"/>
      <c r="J7813" s="549"/>
      <c r="K7813" s="549"/>
      <c r="M7813" s="465"/>
      <c r="N7813" s="201"/>
    </row>
    <row r="7814" spans="2:14" hidden="1" outlineLevel="1" x14ac:dyDescent="0.35">
      <c r="B7814" s="200"/>
      <c r="C7814" s="201"/>
      <c r="D7814" s="201"/>
      <c r="E7814" s="201"/>
      <c r="F7814" s="202"/>
      <c r="G7814" s="549"/>
      <c r="H7814" s="549"/>
      <c r="I7814" s="549"/>
      <c r="J7814" s="549"/>
      <c r="K7814" s="549"/>
      <c r="M7814" s="465"/>
      <c r="N7814" s="201"/>
    </row>
    <row r="7815" spans="2:14" hidden="1" outlineLevel="1" x14ac:dyDescent="0.35">
      <c r="B7815" s="200"/>
      <c r="C7815" s="201"/>
      <c r="D7815" s="201"/>
      <c r="E7815" s="201"/>
      <c r="F7815" s="202"/>
      <c r="G7815" s="549"/>
      <c r="H7815" s="549"/>
      <c r="I7815" s="549"/>
      <c r="J7815" s="549"/>
      <c r="K7815" s="549"/>
      <c r="M7815" s="465"/>
      <c r="N7815" s="201"/>
    </row>
    <row r="7816" spans="2:14" hidden="1" outlineLevel="1" x14ac:dyDescent="0.35">
      <c r="B7816" s="200"/>
      <c r="C7816" s="201"/>
      <c r="D7816" s="201"/>
      <c r="E7816" s="201"/>
      <c r="F7816" s="202"/>
      <c r="G7816" s="549"/>
      <c r="H7816" s="549"/>
      <c r="I7816" s="549"/>
      <c r="J7816" s="549"/>
      <c r="K7816" s="549"/>
      <c r="M7816" s="465"/>
      <c r="N7816" s="201"/>
    </row>
    <row r="7817" spans="2:14" hidden="1" outlineLevel="1" x14ac:dyDescent="0.35">
      <c r="B7817" s="200"/>
      <c r="C7817" s="201"/>
      <c r="D7817" s="201"/>
      <c r="E7817" s="201"/>
      <c r="F7817" s="202"/>
      <c r="G7817" s="549"/>
      <c r="H7817" s="549"/>
      <c r="I7817" s="549"/>
      <c r="J7817" s="549"/>
      <c r="K7817" s="549"/>
      <c r="M7817" s="465"/>
      <c r="N7817" s="201"/>
    </row>
    <row r="7818" spans="2:14" hidden="1" outlineLevel="1" x14ac:dyDescent="0.35">
      <c r="B7818" s="200"/>
      <c r="C7818" s="201"/>
      <c r="D7818" s="201"/>
      <c r="E7818" s="201"/>
      <c r="F7818" s="202"/>
      <c r="G7818" s="549"/>
      <c r="H7818" s="549"/>
      <c r="I7818" s="549"/>
      <c r="J7818" s="549"/>
      <c r="K7818" s="549"/>
      <c r="M7818" s="465"/>
      <c r="N7818" s="201"/>
    </row>
    <row r="7819" spans="2:14" hidden="1" outlineLevel="1" x14ac:dyDescent="0.35">
      <c r="B7819" s="200"/>
      <c r="C7819" s="201"/>
      <c r="D7819" s="201"/>
      <c r="E7819" s="201"/>
      <c r="F7819" s="202"/>
      <c r="G7819" s="549"/>
      <c r="H7819" s="549"/>
      <c r="I7819" s="549"/>
      <c r="J7819" s="549"/>
      <c r="K7819" s="549"/>
      <c r="M7819" s="465"/>
      <c r="N7819" s="201"/>
    </row>
    <row r="7820" spans="2:14" hidden="1" outlineLevel="1" x14ac:dyDescent="0.35">
      <c r="B7820" s="200"/>
      <c r="C7820" s="201"/>
      <c r="D7820" s="201"/>
      <c r="E7820" s="201"/>
      <c r="F7820" s="202"/>
      <c r="G7820" s="549"/>
      <c r="H7820" s="549"/>
      <c r="I7820" s="549"/>
      <c r="J7820" s="549"/>
      <c r="K7820" s="549"/>
      <c r="M7820" s="465"/>
      <c r="N7820" s="201"/>
    </row>
    <row r="7821" spans="2:14" hidden="1" outlineLevel="1" x14ac:dyDescent="0.35">
      <c r="B7821" s="200"/>
      <c r="C7821" s="201"/>
      <c r="D7821" s="201"/>
      <c r="E7821" s="201"/>
      <c r="F7821" s="202"/>
      <c r="G7821" s="549"/>
      <c r="H7821" s="549"/>
      <c r="I7821" s="549"/>
      <c r="J7821" s="549"/>
      <c r="K7821" s="549"/>
      <c r="M7821" s="465"/>
      <c r="N7821" s="201"/>
    </row>
    <row r="7822" spans="2:14" hidden="1" outlineLevel="1" x14ac:dyDescent="0.35">
      <c r="B7822" s="200"/>
      <c r="C7822" s="201"/>
      <c r="D7822" s="201"/>
      <c r="E7822" s="201"/>
      <c r="F7822" s="202"/>
      <c r="G7822" s="549"/>
      <c r="H7822" s="549"/>
      <c r="I7822" s="549"/>
      <c r="J7822" s="549"/>
      <c r="K7822" s="549"/>
      <c r="M7822" s="465"/>
      <c r="N7822" s="201"/>
    </row>
    <row r="7823" spans="2:14" hidden="1" outlineLevel="1" x14ac:dyDescent="0.35">
      <c r="B7823" s="200"/>
      <c r="C7823" s="201"/>
      <c r="D7823" s="201"/>
      <c r="E7823" s="201"/>
      <c r="F7823" s="202"/>
      <c r="G7823" s="549"/>
      <c r="H7823" s="549"/>
      <c r="I7823" s="549"/>
      <c r="J7823" s="549"/>
      <c r="K7823" s="549"/>
      <c r="M7823" s="465"/>
      <c r="N7823" s="201"/>
    </row>
    <row r="7824" spans="2:14" hidden="1" outlineLevel="1" x14ac:dyDescent="0.35">
      <c r="B7824" s="200"/>
      <c r="C7824" s="201"/>
      <c r="D7824" s="201"/>
      <c r="E7824" s="201"/>
      <c r="F7824" s="202"/>
      <c r="G7824" s="549"/>
      <c r="H7824" s="549"/>
      <c r="I7824" s="549"/>
      <c r="J7824" s="549"/>
      <c r="K7824" s="549"/>
      <c r="M7824" s="465"/>
      <c r="N7824" s="201"/>
    </row>
    <row r="7825" spans="2:14" hidden="1" outlineLevel="1" x14ac:dyDescent="0.35">
      <c r="B7825" s="200"/>
      <c r="C7825" s="201"/>
      <c r="D7825" s="201"/>
      <c r="E7825" s="201"/>
      <c r="F7825" s="202"/>
      <c r="G7825" s="549"/>
      <c r="H7825" s="549"/>
      <c r="I7825" s="549"/>
      <c r="J7825" s="549"/>
      <c r="K7825" s="549"/>
      <c r="M7825" s="465"/>
      <c r="N7825" s="201"/>
    </row>
    <row r="7826" spans="2:14" hidden="1" outlineLevel="1" x14ac:dyDescent="0.35">
      <c r="B7826" s="200"/>
      <c r="C7826" s="201"/>
      <c r="D7826" s="201"/>
      <c r="E7826" s="201"/>
      <c r="F7826" s="202"/>
      <c r="G7826" s="549"/>
      <c r="H7826" s="549"/>
      <c r="I7826" s="549"/>
      <c r="J7826" s="549"/>
      <c r="K7826" s="549"/>
      <c r="M7826" s="465"/>
      <c r="N7826" s="201"/>
    </row>
    <row r="7827" spans="2:14" hidden="1" outlineLevel="1" x14ac:dyDescent="0.35">
      <c r="B7827" s="200"/>
      <c r="C7827" s="201"/>
      <c r="D7827" s="201"/>
      <c r="E7827" s="201"/>
      <c r="F7827" s="202"/>
      <c r="G7827" s="549"/>
      <c r="H7827" s="549"/>
      <c r="I7827" s="549"/>
      <c r="J7827" s="549"/>
      <c r="K7827" s="549"/>
      <c r="M7827" s="465"/>
      <c r="N7827" s="201"/>
    </row>
    <row r="7828" spans="2:14" hidden="1" outlineLevel="1" x14ac:dyDescent="0.35">
      <c r="B7828" s="200"/>
      <c r="C7828" s="201"/>
      <c r="D7828" s="201"/>
      <c r="E7828" s="201"/>
      <c r="F7828" s="202"/>
      <c r="G7828" s="549"/>
      <c r="H7828" s="549"/>
      <c r="I7828" s="549"/>
      <c r="J7828" s="549"/>
      <c r="K7828" s="549"/>
      <c r="M7828" s="465"/>
      <c r="N7828" s="201"/>
    </row>
    <row r="7829" spans="2:14" hidden="1" outlineLevel="1" x14ac:dyDescent="0.35">
      <c r="B7829" s="200"/>
      <c r="C7829" s="201"/>
      <c r="D7829" s="201"/>
      <c r="E7829" s="201"/>
      <c r="F7829" s="202"/>
      <c r="G7829" s="549"/>
      <c r="H7829" s="549"/>
      <c r="I7829" s="549"/>
      <c r="J7829" s="549"/>
      <c r="K7829" s="549"/>
      <c r="M7829" s="465"/>
      <c r="N7829" s="201"/>
    </row>
    <row r="7830" spans="2:14" hidden="1" outlineLevel="1" x14ac:dyDescent="0.35">
      <c r="B7830" s="200"/>
      <c r="C7830" s="201"/>
      <c r="D7830" s="201"/>
      <c r="E7830" s="201"/>
      <c r="F7830" s="202"/>
      <c r="G7830" s="549"/>
      <c r="H7830" s="549"/>
      <c r="I7830" s="549"/>
      <c r="J7830" s="549"/>
      <c r="K7830" s="549"/>
      <c r="M7830" s="465"/>
      <c r="N7830" s="201"/>
    </row>
    <row r="7831" spans="2:14" hidden="1" outlineLevel="1" x14ac:dyDescent="0.35">
      <c r="B7831" s="200"/>
      <c r="C7831" s="201"/>
      <c r="D7831" s="201"/>
      <c r="E7831" s="201"/>
      <c r="F7831" s="202"/>
      <c r="G7831" s="549"/>
      <c r="H7831" s="549"/>
      <c r="I7831" s="549"/>
      <c r="J7831" s="549"/>
      <c r="K7831" s="549"/>
      <c r="M7831" s="465"/>
      <c r="N7831" s="201"/>
    </row>
    <row r="7832" spans="2:14" hidden="1" outlineLevel="1" x14ac:dyDescent="0.35">
      <c r="B7832" s="200"/>
      <c r="C7832" s="201"/>
      <c r="D7832" s="201"/>
      <c r="E7832" s="201"/>
      <c r="F7832" s="202"/>
      <c r="G7832" s="549"/>
      <c r="H7832" s="549"/>
      <c r="I7832" s="549"/>
      <c r="J7832" s="549"/>
      <c r="K7832" s="549"/>
      <c r="M7832" s="465"/>
      <c r="N7832" s="201"/>
    </row>
    <row r="7833" spans="2:14" hidden="1" outlineLevel="1" x14ac:dyDescent="0.35">
      <c r="B7833" s="200"/>
      <c r="C7833" s="201"/>
      <c r="D7833" s="201"/>
      <c r="E7833" s="201"/>
      <c r="F7833" s="202"/>
      <c r="G7833" s="549"/>
      <c r="H7833" s="549"/>
      <c r="I7833" s="549"/>
      <c r="J7833" s="549"/>
      <c r="K7833" s="549"/>
      <c r="M7833" s="465"/>
      <c r="N7833" s="201"/>
    </row>
    <row r="7834" spans="2:14" hidden="1" outlineLevel="1" x14ac:dyDescent="0.35">
      <c r="B7834" s="200"/>
      <c r="C7834" s="201"/>
      <c r="D7834" s="201"/>
      <c r="E7834" s="201"/>
      <c r="F7834" s="202"/>
      <c r="G7834" s="549"/>
      <c r="H7834" s="549"/>
      <c r="I7834" s="549"/>
      <c r="J7834" s="549"/>
      <c r="K7834" s="549"/>
      <c r="M7834" s="465"/>
      <c r="N7834" s="201"/>
    </row>
    <row r="7835" spans="2:14" hidden="1" outlineLevel="1" x14ac:dyDescent="0.35">
      <c r="B7835" s="200"/>
      <c r="C7835" s="201"/>
      <c r="D7835" s="201"/>
      <c r="E7835" s="201"/>
      <c r="F7835" s="202"/>
      <c r="G7835" s="549"/>
      <c r="H7835" s="549"/>
      <c r="I7835" s="549"/>
      <c r="J7835" s="549"/>
      <c r="K7835" s="549"/>
      <c r="M7835" s="465"/>
      <c r="N7835" s="201"/>
    </row>
    <row r="7836" spans="2:14" hidden="1" outlineLevel="1" x14ac:dyDescent="0.35">
      <c r="B7836" s="200"/>
      <c r="C7836" s="201"/>
      <c r="D7836" s="201"/>
      <c r="E7836" s="201"/>
      <c r="F7836" s="202"/>
      <c r="G7836" s="549"/>
      <c r="H7836" s="549"/>
      <c r="I7836" s="549"/>
      <c r="J7836" s="549"/>
      <c r="K7836" s="549"/>
      <c r="M7836" s="465"/>
      <c r="N7836" s="201"/>
    </row>
    <row r="7837" spans="2:14" hidden="1" outlineLevel="1" x14ac:dyDescent="0.35">
      <c r="B7837" s="200"/>
      <c r="C7837" s="201"/>
      <c r="D7837" s="201"/>
      <c r="E7837" s="201"/>
      <c r="F7837" s="202"/>
      <c r="G7837" s="549"/>
      <c r="H7837" s="549"/>
      <c r="I7837" s="549"/>
      <c r="J7837" s="549"/>
      <c r="K7837" s="549"/>
      <c r="M7837" s="465"/>
      <c r="N7837" s="201"/>
    </row>
    <row r="7838" spans="2:14" hidden="1" outlineLevel="1" x14ac:dyDescent="0.35">
      <c r="B7838" s="200"/>
      <c r="C7838" s="201"/>
      <c r="D7838" s="201"/>
      <c r="E7838" s="201"/>
      <c r="F7838" s="202"/>
      <c r="G7838" s="549"/>
      <c r="H7838" s="549"/>
      <c r="I7838" s="549"/>
      <c r="J7838" s="549"/>
      <c r="K7838" s="549"/>
      <c r="M7838" s="465"/>
      <c r="N7838" s="201"/>
    </row>
    <row r="7839" spans="2:14" hidden="1" outlineLevel="1" x14ac:dyDescent="0.35">
      <c r="B7839" s="200"/>
      <c r="C7839" s="201"/>
      <c r="D7839" s="201"/>
      <c r="E7839" s="201"/>
      <c r="F7839" s="202"/>
      <c r="G7839" s="549"/>
      <c r="H7839" s="549"/>
      <c r="I7839" s="549"/>
      <c r="J7839" s="549"/>
      <c r="K7839" s="549"/>
      <c r="M7839" s="465"/>
      <c r="N7839" s="201"/>
    </row>
    <row r="7840" spans="2:14" hidden="1" outlineLevel="1" x14ac:dyDescent="0.35">
      <c r="B7840" s="200"/>
      <c r="C7840" s="201"/>
      <c r="D7840" s="201"/>
      <c r="E7840" s="201"/>
      <c r="F7840" s="202"/>
      <c r="G7840" s="549"/>
      <c r="H7840" s="549"/>
      <c r="I7840" s="549"/>
      <c r="J7840" s="549"/>
      <c r="K7840" s="549"/>
      <c r="M7840" s="465"/>
      <c r="N7840" s="201"/>
    </row>
    <row r="7841" spans="2:14" hidden="1" outlineLevel="1" x14ac:dyDescent="0.35">
      <c r="B7841" s="200"/>
      <c r="C7841" s="201"/>
      <c r="D7841" s="201"/>
      <c r="E7841" s="201"/>
      <c r="F7841" s="202"/>
      <c r="G7841" s="549"/>
      <c r="H7841" s="549"/>
      <c r="I7841" s="549"/>
      <c r="J7841" s="549"/>
      <c r="K7841" s="549"/>
      <c r="M7841" s="465"/>
      <c r="N7841" s="201"/>
    </row>
    <row r="7842" spans="2:14" hidden="1" outlineLevel="1" x14ac:dyDescent="0.35">
      <c r="B7842" s="200"/>
      <c r="C7842" s="201"/>
      <c r="D7842" s="201"/>
      <c r="E7842" s="201"/>
      <c r="F7842" s="202"/>
      <c r="G7842" s="549"/>
      <c r="H7842" s="549"/>
      <c r="I7842" s="549"/>
      <c r="J7842" s="549"/>
      <c r="K7842" s="549"/>
      <c r="M7842" s="465"/>
      <c r="N7842" s="201"/>
    </row>
    <row r="7843" spans="2:14" hidden="1" outlineLevel="1" x14ac:dyDescent="0.35">
      <c r="B7843" s="200"/>
      <c r="C7843" s="201"/>
      <c r="D7843" s="201"/>
      <c r="E7843" s="201"/>
      <c r="F7843" s="202"/>
      <c r="G7843" s="549"/>
      <c r="H7843" s="549"/>
      <c r="I7843" s="549"/>
      <c r="J7843" s="549"/>
      <c r="K7843" s="549"/>
      <c r="M7843" s="465"/>
      <c r="N7843" s="201"/>
    </row>
    <row r="7844" spans="2:14" hidden="1" outlineLevel="1" x14ac:dyDescent="0.35">
      <c r="B7844" s="200"/>
      <c r="C7844" s="201"/>
      <c r="D7844" s="201"/>
      <c r="E7844" s="201"/>
      <c r="F7844" s="202"/>
      <c r="G7844" s="549"/>
      <c r="H7844" s="549"/>
      <c r="I7844" s="549"/>
      <c r="J7844" s="549"/>
      <c r="K7844" s="549"/>
      <c r="M7844" s="465"/>
      <c r="N7844" s="201"/>
    </row>
    <row r="7845" spans="2:14" hidden="1" outlineLevel="1" x14ac:dyDescent="0.35">
      <c r="B7845" s="200"/>
      <c r="C7845" s="201"/>
      <c r="D7845" s="201"/>
      <c r="E7845" s="201"/>
      <c r="F7845" s="202"/>
      <c r="G7845" s="549"/>
      <c r="H7845" s="549"/>
      <c r="I7845" s="549"/>
      <c r="J7845" s="549"/>
      <c r="K7845" s="549"/>
      <c r="M7845" s="465"/>
      <c r="N7845" s="201"/>
    </row>
    <row r="7846" spans="2:14" hidden="1" outlineLevel="1" x14ac:dyDescent="0.35">
      <c r="B7846" s="200"/>
      <c r="C7846" s="201"/>
      <c r="D7846" s="201"/>
      <c r="E7846" s="201"/>
      <c r="F7846" s="202"/>
      <c r="G7846" s="549"/>
      <c r="H7846" s="549"/>
      <c r="I7846" s="549"/>
      <c r="J7846" s="549"/>
      <c r="K7846" s="549"/>
      <c r="M7846" s="465"/>
      <c r="N7846" s="201"/>
    </row>
    <row r="7847" spans="2:14" hidden="1" outlineLevel="1" x14ac:dyDescent="0.35">
      <c r="B7847" s="200"/>
      <c r="C7847" s="201"/>
      <c r="D7847" s="201"/>
      <c r="E7847" s="201"/>
      <c r="F7847" s="202"/>
      <c r="G7847" s="549"/>
      <c r="H7847" s="549"/>
      <c r="I7847" s="549"/>
      <c r="J7847" s="549"/>
      <c r="K7847" s="549"/>
      <c r="M7847" s="465"/>
      <c r="N7847" s="201"/>
    </row>
    <row r="7848" spans="2:14" hidden="1" outlineLevel="1" x14ac:dyDescent="0.35">
      <c r="B7848" s="200"/>
      <c r="C7848" s="201"/>
      <c r="D7848" s="201"/>
      <c r="E7848" s="201"/>
      <c r="F7848" s="202"/>
      <c r="G7848" s="549"/>
      <c r="H7848" s="549"/>
      <c r="I7848" s="549"/>
      <c r="J7848" s="549"/>
      <c r="K7848" s="549"/>
      <c r="M7848" s="465"/>
      <c r="N7848" s="201"/>
    </row>
    <row r="7849" spans="2:14" hidden="1" outlineLevel="1" x14ac:dyDescent="0.35">
      <c r="B7849" s="200"/>
      <c r="C7849" s="201"/>
      <c r="D7849" s="201"/>
      <c r="E7849" s="201"/>
      <c r="F7849" s="202"/>
      <c r="G7849" s="549"/>
      <c r="H7849" s="549"/>
      <c r="I7849" s="549"/>
      <c r="J7849" s="549"/>
      <c r="K7849" s="549"/>
      <c r="M7849" s="465"/>
      <c r="N7849" s="201"/>
    </row>
    <row r="7850" spans="2:14" hidden="1" outlineLevel="1" x14ac:dyDescent="0.35">
      <c r="B7850" s="200"/>
      <c r="C7850" s="201"/>
      <c r="D7850" s="201"/>
      <c r="E7850" s="201"/>
      <c r="F7850" s="202"/>
      <c r="G7850" s="549"/>
      <c r="H7850" s="549"/>
      <c r="I7850" s="549"/>
      <c r="J7850" s="549"/>
      <c r="K7850" s="549"/>
      <c r="M7850" s="465"/>
      <c r="N7850" s="201"/>
    </row>
    <row r="7851" spans="2:14" hidden="1" outlineLevel="1" x14ac:dyDescent="0.35">
      <c r="B7851" s="200"/>
      <c r="C7851" s="201"/>
      <c r="D7851" s="201"/>
      <c r="E7851" s="201"/>
      <c r="F7851" s="202"/>
      <c r="G7851" s="549"/>
      <c r="H7851" s="549"/>
      <c r="I7851" s="549"/>
      <c r="J7851" s="549"/>
      <c r="K7851" s="549"/>
      <c r="M7851" s="465"/>
      <c r="N7851" s="201"/>
    </row>
    <row r="7852" spans="2:14" hidden="1" outlineLevel="1" x14ac:dyDescent="0.35">
      <c r="B7852" s="200"/>
      <c r="C7852" s="201"/>
      <c r="D7852" s="201"/>
      <c r="E7852" s="201"/>
      <c r="F7852" s="202"/>
      <c r="G7852" s="549"/>
      <c r="H7852" s="549"/>
      <c r="I7852" s="549"/>
      <c r="J7852" s="549"/>
      <c r="K7852" s="549"/>
      <c r="M7852" s="465"/>
      <c r="N7852" s="201"/>
    </row>
    <row r="7853" spans="2:14" hidden="1" outlineLevel="1" x14ac:dyDescent="0.35">
      <c r="B7853" s="200"/>
      <c r="C7853" s="201"/>
      <c r="D7853" s="201"/>
      <c r="E7853" s="201"/>
      <c r="F7853" s="202"/>
      <c r="G7853" s="549"/>
      <c r="H7853" s="549"/>
      <c r="I7853" s="549"/>
      <c r="J7853" s="549"/>
      <c r="K7853" s="549"/>
      <c r="M7853" s="465"/>
      <c r="N7853" s="201"/>
    </row>
    <row r="7854" spans="2:14" hidden="1" outlineLevel="1" x14ac:dyDescent="0.35">
      <c r="B7854" s="200"/>
      <c r="C7854" s="201"/>
      <c r="D7854" s="201"/>
      <c r="E7854" s="201"/>
      <c r="F7854" s="202"/>
      <c r="G7854" s="549"/>
      <c r="H7854" s="549"/>
      <c r="I7854" s="549"/>
      <c r="J7854" s="549"/>
      <c r="K7854" s="549"/>
      <c r="M7854" s="465"/>
      <c r="N7854" s="201"/>
    </row>
    <row r="7855" spans="2:14" hidden="1" outlineLevel="1" x14ac:dyDescent="0.35">
      <c r="B7855" s="200"/>
      <c r="C7855" s="201"/>
      <c r="D7855" s="201"/>
      <c r="E7855" s="201"/>
      <c r="F7855" s="202"/>
      <c r="G7855" s="549"/>
      <c r="H7855" s="549"/>
      <c r="I7855" s="549"/>
      <c r="J7855" s="549"/>
      <c r="K7855" s="549"/>
      <c r="M7855" s="465"/>
      <c r="N7855" s="201"/>
    </row>
    <row r="7856" spans="2:14" hidden="1" outlineLevel="1" x14ac:dyDescent="0.35">
      <c r="B7856" s="200"/>
      <c r="C7856" s="201"/>
      <c r="D7856" s="201"/>
      <c r="E7856" s="201"/>
      <c r="F7856" s="202"/>
      <c r="G7856" s="549"/>
      <c r="H7856" s="549"/>
      <c r="I7856" s="549"/>
      <c r="J7856" s="549"/>
      <c r="K7856" s="549"/>
      <c r="M7856" s="465"/>
      <c r="N7856" s="201"/>
    </row>
    <row r="7857" spans="2:14" hidden="1" outlineLevel="1" x14ac:dyDescent="0.35">
      <c r="B7857" s="200"/>
      <c r="C7857" s="201"/>
      <c r="D7857" s="201"/>
      <c r="E7857" s="201"/>
      <c r="F7857" s="202"/>
      <c r="G7857" s="549"/>
      <c r="H7857" s="549"/>
      <c r="I7857" s="549"/>
      <c r="J7857" s="549"/>
      <c r="K7857" s="549"/>
      <c r="M7857" s="465"/>
      <c r="N7857" s="201"/>
    </row>
    <row r="7858" spans="2:14" hidden="1" outlineLevel="1" x14ac:dyDescent="0.35">
      <c r="B7858" s="200"/>
      <c r="C7858" s="201"/>
      <c r="D7858" s="201"/>
      <c r="E7858" s="201"/>
      <c r="F7858" s="202"/>
      <c r="G7858" s="549"/>
      <c r="H7858" s="549"/>
      <c r="I7858" s="549"/>
      <c r="J7858" s="549"/>
      <c r="K7858" s="549"/>
      <c r="M7858" s="465"/>
      <c r="N7858" s="201"/>
    </row>
    <row r="7859" spans="2:14" hidden="1" outlineLevel="1" x14ac:dyDescent="0.35">
      <c r="B7859" s="200"/>
      <c r="C7859" s="201"/>
      <c r="D7859" s="201"/>
      <c r="E7859" s="201"/>
      <c r="F7859" s="202"/>
      <c r="G7859" s="549"/>
      <c r="H7859" s="549"/>
      <c r="I7859" s="549"/>
      <c r="J7859" s="549"/>
      <c r="K7859" s="549"/>
      <c r="M7859" s="465"/>
      <c r="N7859" s="201"/>
    </row>
    <row r="7860" spans="2:14" hidden="1" outlineLevel="1" x14ac:dyDescent="0.35">
      <c r="B7860" s="200"/>
      <c r="C7860" s="201"/>
      <c r="D7860" s="201"/>
      <c r="E7860" s="201"/>
      <c r="F7860" s="202"/>
      <c r="G7860" s="549"/>
      <c r="H7860" s="549"/>
      <c r="I7860" s="549"/>
      <c r="J7860" s="549"/>
      <c r="K7860" s="549"/>
      <c r="M7860" s="465"/>
      <c r="N7860" s="201"/>
    </row>
    <row r="7861" spans="2:14" hidden="1" outlineLevel="1" x14ac:dyDescent="0.35">
      <c r="B7861" s="200"/>
      <c r="C7861" s="201"/>
      <c r="D7861" s="201"/>
      <c r="E7861" s="201"/>
      <c r="F7861" s="202"/>
      <c r="G7861" s="549"/>
      <c r="H7861" s="549"/>
      <c r="I7861" s="549"/>
      <c r="J7861" s="549"/>
      <c r="K7861" s="549"/>
      <c r="M7861" s="465"/>
      <c r="N7861" s="201"/>
    </row>
    <row r="7862" spans="2:14" hidden="1" outlineLevel="1" x14ac:dyDescent="0.35">
      <c r="B7862" s="200"/>
      <c r="C7862" s="201"/>
      <c r="D7862" s="201"/>
      <c r="E7862" s="201"/>
      <c r="F7862" s="202"/>
      <c r="G7862" s="549"/>
      <c r="H7862" s="549"/>
      <c r="I7862" s="549"/>
      <c r="J7862" s="549"/>
      <c r="K7862" s="549"/>
      <c r="M7862" s="465"/>
      <c r="N7862" s="201"/>
    </row>
    <row r="7863" spans="2:14" hidden="1" outlineLevel="1" x14ac:dyDescent="0.35">
      <c r="B7863" s="200"/>
      <c r="C7863" s="201"/>
      <c r="D7863" s="201"/>
      <c r="E7863" s="201"/>
      <c r="F7863" s="202"/>
      <c r="G7863" s="549"/>
      <c r="H7863" s="549"/>
      <c r="I7863" s="549"/>
      <c r="J7863" s="549"/>
      <c r="K7863" s="549"/>
      <c r="M7863" s="465"/>
      <c r="N7863" s="201"/>
    </row>
    <row r="7864" spans="2:14" hidden="1" outlineLevel="1" x14ac:dyDescent="0.35">
      <c r="B7864" s="200"/>
      <c r="C7864" s="201"/>
      <c r="D7864" s="201"/>
      <c r="E7864" s="201"/>
      <c r="F7864" s="202"/>
      <c r="G7864" s="549"/>
      <c r="H7864" s="549"/>
      <c r="I7864" s="549"/>
      <c r="J7864" s="549"/>
      <c r="K7864" s="549"/>
      <c r="M7864" s="465"/>
      <c r="N7864" s="201"/>
    </row>
    <row r="7865" spans="2:14" hidden="1" outlineLevel="1" x14ac:dyDescent="0.35">
      <c r="B7865" s="200"/>
      <c r="C7865" s="201"/>
      <c r="D7865" s="201"/>
      <c r="E7865" s="201"/>
      <c r="F7865" s="202"/>
      <c r="G7865" s="549"/>
      <c r="H7865" s="549"/>
      <c r="I7865" s="549"/>
      <c r="J7865" s="549"/>
      <c r="K7865" s="549"/>
      <c r="M7865" s="465"/>
      <c r="N7865" s="201"/>
    </row>
    <row r="7866" spans="2:14" hidden="1" outlineLevel="1" x14ac:dyDescent="0.35">
      <c r="B7866" s="200"/>
      <c r="C7866" s="201"/>
      <c r="D7866" s="201"/>
      <c r="E7866" s="201"/>
      <c r="F7866" s="202"/>
      <c r="G7866" s="549"/>
      <c r="H7866" s="549"/>
      <c r="I7866" s="549"/>
      <c r="J7866" s="549"/>
      <c r="K7866" s="549"/>
      <c r="M7866" s="465"/>
      <c r="N7866" s="201"/>
    </row>
    <row r="7867" spans="2:14" hidden="1" outlineLevel="1" x14ac:dyDescent="0.35">
      <c r="B7867" s="200"/>
      <c r="C7867" s="201"/>
      <c r="D7867" s="201"/>
      <c r="E7867" s="201"/>
      <c r="F7867" s="202"/>
      <c r="G7867" s="549"/>
      <c r="H7867" s="549"/>
      <c r="I7867" s="549"/>
      <c r="J7867" s="549"/>
      <c r="K7867" s="549"/>
      <c r="M7867" s="465"/>
      <c r="N7867" s="201"/>
    </row>
    <row r="7868" spans="2:14" hidden="1" outlineLevel="1" x14ac:dyDescent="0.35">
      <c r="B7868" s="200"/>
      <c r="C7868" s="201"/>
      <c r="D7868" s="201"/>
      <c r="E7868" s="201"/>
      <c r="F7868" s="202"/>
      <c r="G7868" s="549"/>
      <c r="H7868" s="549"/>
      <c r="I7868" s="549"/>
      <c r="J7868" s="549"/>
      <c r="K7868" s="549"/>
      <c r="M7868" s="465"/>
      <c r="N7868" s="201"/>
    </row>
    <row r="7869" spans="2:14" hidden="1" outlineLevel="1" x14ac:dyDescent="0.35">
      <c r="B7869" s="200"/>
      <c r="C7869" s="201"/>
      <c r="D7869" s="201"/>
      <c r="E7869" s="201"/>
      <c r="F7869" s="202"/>
      <c r="G7869" s="549"/>
      <c r="H7869" s="549"/>
      <c r="I7869" s="549"/>
      <c r="J7869" s="549"/>
      <c r="K7869" s="549"/>
      <c r="M7869" s="465"/>
      <c r="N7869" s="201"/>
    </row>
    <row r="7870" spans="2:14" hidden="1" outlineLevel="1" x14ac:dyDescent="0.35">
      <c r="B7870" s="200"/>
      <c r="C7870" s="201"/>
      <c r="D7870" s="201"/>
      <c r="E7870" s="201"/>
      <c r="F7870" s="202"/>
      <c r="G7870" s="549"/>
      <c r="H7870" s="549"/>
      <c r="I7870" s="549"/>
      <c r="J7870" s="549"/>
      <c r="K7870" s="549"/>
      <c r="M7870" s="465"/>
      <c r="N7870" s="201"/>
    </row>
    <row r="7871" spans="2:14" hidden="1" outlineLevel="1" x14ac:dyDescent="0.35">
      <c r="B7871" s="200"/>
      <c r="C7871" s="201"/>
      <c r="D7871" s="201"/>
      <c r="E7871" s="201"/>
      <c r="F7871" s="202"/>
      <c r="G7871" s="549"/>
      <c r="H7871" s="549"/>
      <c r="I7871" s="549"/>
      <c r="J7871" s="549"/>
      <c r="K7871" s="549"/>
      <c r="M7871" s="465"/>
      <c r="N7871" s="201"/>
    </row>
    <row r="7872" spans="2:14" hidden="1" outlineLevel="1" x14ac:dyDescent="0.35">
      <c r="B7872" s="200"/>
      <c r="C7872" s="201"/>
      <c r="D7872" s="201"/>
      <c r="E7872" s="201"/>
      <c r="F7872" s="202"/>
      <c r="G7872" s="549"/>
      <c r="H7872" s="549"/>
      <c r="I7872" s="549"/>
      <c r="J7872" s="549"/>
      <c r="K7872" s="549"/>
      <c r="M7872" s="465"/>
      <c r="N7872" s="201"/>
    </row>
    <row r="7873" spans="2:14" hidden="1" outlineLevel="1" x14ac:dyDescent="0.35">
      <c r="B7873" s="200"/>
      <c r="C7873" s="201"/>
      <c r="D7873" s="201"/>
      <c r="E7873" s="201"/>
      <c r="F7873" s="202"/>
      <c r="G7873" s="549"/>
      <c r="H7873" s="549"/>
      <c r="I7873" s="549"/>
      <c r="J7873" s="549"/>
      <c r="K7873" s="549"/>
      <c r="M7873" s="465"/>
      <c r="N7873" s="201"/>
    </row>
    <row r="7874" spans="2:14" hidden="1" outlineLevel="1" x14ac:dyDescent="0.35">
      <c r="B7874" s="200"/>
      <c r="C7874" s="201"/>
      <c r="D7874" s="201"/>
      <c r="E7874" s="201"/>
      <c r="F7874" s="202"/>
      <c r="G7874" s="549"/>
      <c r="H7874" s="549"/>
      <c r="I7874" s="549"/>
      <c r="J7874" s="549"/>
      <c r="K7874" s="549"/>
      <c r="M7874" s="465"/>
      <c r="N7874" s="201"/>
    </row>
    <row r="7875" spans="2:14" hidden="1" outlineLevel="1" x14ac:dyDescent="0.35">
      <c r="B7875" s="200"/>
      <c r="C7875" s="201"/>
      <c r="D7875" s="201"/>
      <c r="E7875" s="201"/>
      <c r="F7875" s="202"/>
      <c r="G7875" s="549"/>
      <c r="H7875" s="549"/>
      <c r="I7875" s="549"/>
      <c r="J7875" s="549"/>
      <c r="K7875" s="549"/>
      <c r="M7875" s="465"/>
      <c r="N7875" s="201"/>
    </row>
    <row r="7876" spans="2:14" hidden="1" outlineLevel="1" x14ac:dyDescent="0.35">
      <c r="B7876" s="200"/>
      <c r="C7876" s="201"/>
      <c r="D7876" s="201"/>
      <c r="E7876" s="201"/>
      <c r="F7876" s="202"/>
      <c r="G7876" s="549"/>
      <c r="H7876" s="549"/>
      <c r="I7876" s="549"/>
      <c r="J7876" s="549"/>
      <c r="K7876" s="549"/>
      <c r="M7876" s="465"/>
      <c r="N7876" s="201"/>
    </row>
    <row r="7877" spans="2:14" hidden="1" outlineLevel="1" x14ac:dyDescent="0.35">
      <c r="B7877" s="200"/>
      <c r="C7877" s="201"/>
      <c r="D7877" s="201"/>
      <c r="E7877" s="201"/>
      <c r="F7877" s="202"/>
      <c r="G7877" s="549"/>
      <c r="H7877" s="549"/>
      <c r="I7877" s="549"/>
      <c r="J7877" s="549"/>
      <c r="K7877" s="549"/>
      <c r="M7877" s="465"/>
      <c r="N7877" s="201"/>
    </row>
    <row r="7878" spans="2:14" hidden="1" outlineLevel="1" x14ac:dyDescent="0.35">
      <c r="B7878" s="200"/>
      <c r="C7878" s="201"/>
      <c r="D7878" s="201"/>
      <c r="E7878" s="201"/>
      <c r="F7878" s="202"/>
      <c r="G7878" s="549"/>
      <c r="H7878" s="549"/>
      <c r="I7878" s="549"/>
      <c r="J7878" s="549"/>
      <c r="K7878" s="549"/>
      <c r="M7878" s="465"/>
      <c r="N7878" s="201"/>
    </row>
    <row r="7879" spans="2:14" hidden="1" outlineLevel="1" x14ac:dyDescent="0.35">
      <c r="B7879" s="200"/>
      <c r="C7879" s="201"/>
      <c r="D7879" s="201"/>
      <c r="E7879" s="201"/>
      <c r="F7879" s="202"/>
      <c r="G7879" s="549"/>
      <c r="H7879" s="549"/>
      <c r="I7879" s="549"/>
      <c r="J7879" s="549"/>
      <c r="K7879" s="549"/>
      <c r="M7879" s="465"/>
      <c r="N7879" s="201"/>
    </row>
    <row r="7880" spans="2:14" hidden="1" outlineLevel="1" x14ac:dyDescent="0.35">
      <c r="B7880" s="200"/>
      <c r="C7880" s="201"/>
      <c r="D7880" s="201"/>
      <c r="E7880" s="201"/>
      <c r="F7880" s="202"/>
      <c r="G7880" s="549"/>
      <c r="H7880" s="549"/>
      <c r="I7880" s="549"/>
      <c r="J7880" s="549"/>
      <c r="K7880" s="549"/>
      <c r="M7880" s="465"/>
      <c r="N7880" s="201"/>
    </row>
    <row r="7881" spans="2:14" hidden="1" outlineLevel="1" x14ac:dyDescent="0.35">
      <c r="B7881" s="200"/>
      <c r="C7881" s="201"/>
      <c r="D7881" s="201"/>
      <c r="E7881" s="201"/>
      <c r="F7881" s="202"/>
      <c r="G7881" s="549"/>
      <c r="H7881" s="549"/>
      <c r="I7881" s="549"/>
      <c r="J7881" s="549"/>
      <c r="K7881" s="549"/>
      <c r="M7881" s="465"/>
      <c r="N7881" s="201"/>
    </row>
    <row r="7882" spans="2:14" hidden="1" outlineLevel="1" x14ac:dyDescent="0.35">
      <c r="B7882" s="200"/>
      <c r="C7882" s="201"/>
      <c r="D7882" s="201"/>
      <c r="E7882" s="201"/>
      <c r="F7882" s="202"/>
      <c r="G7882" s="549"/>
      <c r="H7882" s="549"/>
      <c r="I7882" s="549"/>
      <c r="J7882" s="549"/>
      <c r="K7882" s="549"/>
      <c r="M7882" s="465"/>
      <c r="N7882" s="201"/>
    </row>
    <row r="7883" spans="2:14" hidden="1" outlineLevel="1" x14ac:dyDescent="0.35">
      <c r="B7883" s="200"/>
      <c r="C7883" s="201"/>
      <c r="D7883" s="201"/>
      <c r="E7883" s="201"/>
      <c r="F7883" s="202"/>
      <c r="G7883" s="549"/>
      <c r="H7883" s="549"/>
      <c r="I7883" s="549"/>
      <c r="J7883" s="549"/>
      <c r="K7883" s="549"/>
      <c r="M7883" s="465"/>
      <c r="N7883" s="201"/>
    </row>
    <row r="7884" spans="2:14" hidden="1" outlineLevel="1" x14ac:dyDescent="0.35">
      <c r="B7884" s="200"/>
      <c r="C7884" s="201"/>
      <c r="D7884" s="201"/>
      <c r="E7884" s="201"/>
      <c r="F7884" s="202"/>
      <c r="G7884" s="549"/>
      <c r="H7884" s="549"/>
      <c r="I7884" s="549"/>
      <c r="J7884" s="549"/>
      <c r="K7884" s="549"/>
      <c r="M7884" s="465"/>
      <c r="N7884" s="201"/>
    </row>
    <row r="7885" spans="2:14" hidden="1" outlineLevel="1" x14ac:dyDescent="0.35">
      <c r="B7885" s="200"/>
      <c r="C7885" s="201"/>
      <c r="D7885" s="201"/>
      <c r="E7885" s="201"/>
      <c r="F7885" s="202"/>
      <c r="G7885" s="549"/>
      <c r="H7885" s="549"/>
      <c r="I7885" s="549"/>
      <c r="J7885" s="549"/>
      <c r="K7885" s="549"/>
      <c r="M7885" s="465"/>
      <c r="N7885" s="201"/>
    </row>
    <row r="7886" spans="2:14" hidden="1" outlineLevel="1" x14ac:dyDescent="0.35">
      <c r="B7886" s="200"/>
      <c r="C7886" s="201"/>
      <c r="D7886" s="201"/>
      <c r="E7886" s="201"/>
      <c r="F7886" s="202"/>
      <c r="G7886" s="549"/>
      <c r="H7886" s="549"/>
      <c r="I7886" s="549"/>
      <c r="J7886" s="549"/>
      <c r="K7886" s="549"/>
      <c r="M7886" s="465"/>
      <c r="N7886" s="201"/>
    </row>
    <row r="7887" spans="2:14" hidden="1" outlineLevel="1" x14ac:dyDescent="0.35">
      <c r="B7887" s="200"/>
      <c r="C7887" s="201"/>
      <c r="D7887" s="201"/>
      <c r="E7887" s="201"/>
      <c r="F7887" s="202"/>
      <c r="G7887" s="549"/>
      <c r="H7887" s="549"/>
      <c r="I7887" s="549"/>
      <c r="J7887" s="549"/>
      <c r="K7887" s="549"/>
      <c r="M7887" s="465"/>
      <c r="N7887" s="201"/>
    </row>
    <row r="7888" spans="2:14" hidden="1" outlineLevel="1" x14ac:dyDescent="0.35">
      <c r="B7888" s="200"/>
      <c r="C7888" s="201"/>
      <c r="D7888" s="201"/>
      <c r="E7888" s="201"/>
      <c r="F7888" s="202"/>
      <c r="G7888" s="549"/>
      <c r="H7888" s="549"/>
      <c r="I7888" s="549"/>
      <c r="J7888" s="549"/>
      <c r="K7888" s="549"/>
      <c r="M7888" s="465"/>
      <c r="N7888" s="201"/>
    </row>
    <row r="7889" spans="2:14" hidden="1" outlineLevel="1" x14ac:dyDescent="0.35">
      <c r="B7889" s="200"/>
      <c r="C7889" s="201"/>
      <c r="D7889" s="201"/>
      <c r="E7889" s="201"/>
      <c r="F7889" s="202"/>
      <c r="G7889" s="549"/>
      <c r="H7889" s="549"/>
      <c r="I7889" s="549"/>
      <c r="J7889" s="549"/>
      <c r="K7889" s="549"/>
      <c r="M7889" s="465"/>
      <c r="N7889" s="201"/>
    </row>
    <row r="7890" spans="2:14" hidden="1" outlineLevel="1" x14ac:dyDescent="0.35">
      <c r="B7890" s="200"/>
      <c r="C7890" s="201"/>
      <c r="D7890" s="201"/>
      <c r="E7890" s="201"/>
      <c r="F7890" s="202"/>
      <c r="G7890" s="549"/>
      <c r="H7890" s="549"/>
      <c r="I7890" s="549"/>
      <c r="J7890" s="549"/>
      <c r="K7890" s="549"/>
      <c r="M7890" s="465"/>
      <c r="N7890" s="201"/>
    </row>
    <row r="7891" spans="2:14" hidden="1" outlineLevel="1" x14ac:dyDescent="0.35">
      <c r="B7891" s="200"/>
      <c r="C7891" s="201"/>
      <c r="D7891" s="201"/>
      <c r="E7891" s="201"/>
      <c r="F7891" s="202"/>
      <c r="G7891" s="549"/>
      <c r="H7891" s="549"/>
      <c r="I7891" s="549"/>
      <c r="J7891" s="549"/>
      <c r="K7891" s="549"/>
      <c r="M7891" s="465"/>
      <c r="N7891" s="201"/>
    </row>
    <row r="7892" spans="2:14" hidden="1" outlineLevel="1" x14ac:dyDescent="0.35">
      <c r="B7892" s="200"/>
      <c r="C7892" s="201"/>
      <c r="D7892" s="201"/>
      <c r="E7892" s="201"/>
      <c r="F7892" s="202"/>
      <c r="G7892" s="549"/>
      <c r="H7892" s="549"/>
      <c r="I7892" s="549"/>
      <c r="J7892" s="549"/>
      <c r="K7892" s="549"/>
      <c r="M7892" s="465"/>
      <c r="N7892" s="201"/>
    </row>
    <row r="7893" spans="2:14" hidden="1" outlineLevel="1" x14ac:dyDescent="0.35">
      <c r="B7893" s="200"/>
      <c r="C7893" s="201"/>
      <c r="D7893" s="201"/>
      <c r="E7893" s="201"/>
      <c r="F7893" s="202"/>
      <c r="G7893" s="549"/>
      <c r="H7893" s="549"/>
      <c r="I7893" s="549"/>
      <c r="J7893" s="549"/>
      <c r="K7893" s="549"/>
      <c r="M7893" s="465"/>
      <c r="N7893" s="201"/>
    </row>
    <row r="7894" spans="2:14" hidden="1" outlineLevel="1" x14ac:dyDescent="0.35">
      <c r="B7894" s="200"/>
      <c r="C7894" s="201"/>
      <c r="D7894" s="201"/>
      <c r="E7894" s="201"/>
      <c r="F7894" s="202"/>
      <c r="G7894" s="549"/>
      <c r="H7894" s="549"/>
      <c r="I7894" s="549"/>
      <c r="J7894" s="549"/>
      <c r="K7894" s="549"/>
      <c r="M7894" s="465"/>
      <c r="N7894" s="201"/>
    </row>
    <row r="7895" spans="2:14" hidden="1" outlineLevel="1" x14ac:dyDescent="0.35">
      <c r="B7895" s="200"/>
      <c r="C7895" s="201"/>
      <c r="D7895" s="201"/>
      <c r="E7895" s="201"/>
      <c r="F7895" s="202"/>
      <c r="G7895" s="549"/>
      <c r="H7895" s="549"/>
      <c r="I7895" s="549"/>
      <c r="J7895" s="549"/>
      <c r="K7895" s="549"/>
      <c r="M7895" s="465"/>
      <c r="N7895" s="201"/>
    </row>
    <row r="7896" spans="2:14" hidden="1" outlineLevel="1" x14ac:dyDescent="0.35">
      <c r="B7896" s="200"/>
      <c r="C7896" s="201"/>
      <c r="D7896" s="201"/>
      <c r="E7896" s="201"/>
      <c r="F7896" s="202"/>
      <c r="G7896" s="549"/>
      <c r="H7896" s="549"/>
      <c r="I7896" s="549"/>
      <c r="J7896" s="549"/>
      <c r="K7896" s="549"/>
      <c r="M7896" s="465"/>
      <c r="N7896" s="201"/>
    </row>
    <row r="7897" spans="2:14" hidden="1" outlineLevel="1" x14ac:dyDescent="0.35">
      <c r="B7897" s="200"/>
      <c r="C7897" s="201"/>
      <c r="D7897" s="201"/>
      <c r="E7897" s="201"/>
      <c r="F7897" s="202"/>
      <c r="G7897" s="549"/>
      <c r="H7897" s="549"/>
      <c r="I7897" s="549"/>
      <c r="J7897" s="549"/>
      <c r="K7897" s="549"/>
      <c r="M7897" s="465"/>
      <c r="N7897" s="201"/>
    </row>
    <row r="7898" spans="2:14" hidden="1" outlineLevel="1" x14ac:dyDescent="0.35">
      <c r="B7898" s="200"/>
      <c r="C7898" s="201"/>
      <c r="D7898" s="201"/>
      <c r="E7898" s="201"/>
      <c r="F7898" s="202"/>
      <c r="G7898" s="549"/>
      <c r="H7898" s="549"/>
      <c r="I7898" s="549"/>
      <c r="J7898" s="549"/>
      <c r="K7898" s="549"/>
      <c r="M7898" s="465"/>
      <c r="N7898" s="201"/>
    </row>
    <row r="7899" spans="2:14" hidden="1" outlineLevel="1" x14ac:dyDescent="0.35">
      <c r="B7899" s="200"/>
      <c r="C7899" s="201"/>
      <c r="D7899" s="201"/>
      <c r="E7899" s="201"/>
      <c r="F7899" s="202"/>
      <c r="G7899" s="549"/>
      <c r="H7899" s="549"/>
      <c r="I7899" s="549"/>
      <c r="J7899" s="549"/>
      <c r="K7899" s="549"/>
      <c r="M7899" s="465"/>
      <c r="N7899" s="201"/>
    </row>
    <row r="7900" spans="2:14" hidden="1" outlineLevel="1" x14ac:dyDescent="0.35">
      <c r="B7900" s="200"/>
      <c r="C7900" s="201"/>
      <c r="D7900" s="201"/>
      <c r="E7900" s="201"/>
      <c r="F7900" s="202"/>
      <c r="G7900" s="549"/>
      <c r="H7900" s="549"/>
      <c r="I7900" s="549"/>
      <c r="J7900" s="549"/>
      <c r="K7900" s="549"/>
      <c r="M7900" s="465"/>
      <c r="N7900" s="201"/>
    </row>
    <row r="7901" spans="2:14" hidden="1" outlineLevel="1" x14ac:dyDescent="0.35">
      <c r="B7901" s="200"/>
      <c r="C7901" s="201"/>
      <c r="D7901" s="201"/>
      <c r="E7901" s="201"/>
      <c r="F7901" s="202"/>
      <c r="G7901" s="549"/>
      <c r="H7901" s="549"/>
      <c r="I7901" s="549"/>
      <c r="J7901" s="549"/>
      <c r="K7901" s="549"/>
      <c r="M7901" s="465"/>
      <c r="N7901" s="201"/>
    </row>
    <row r="7902" spans="2:14" hidden="1" outlineLevel="1" x14ac:dyDescent="0.35">
      <c r="B7902" s="200"/>
      <c r="C7902" s="201"/>
      <c r="D7902" s="201"/>
      <c r="E7902" s="201"/>
      <c r="F7902" s="202"/>
      <c r="G7902" s="549"/>
      <c r="H7902" s="549"/>
      <c r="I7902" s="549"/>
      <c r="J7902" s="549"/>
      <c r="K7902" s="549"/>
      <c r="M7902" s="465"/>
      <c r="N7902" s="201"/>
    </row>
    <row r="7903" spans="2:14" hidden="1" outlineLevel="1" x14ac:dyDescent="0.35">
      <c r="B7903" s="200"/>
      <c r="C7903" s="201"/>
      <c r="D7903" s="201"/>
      <c r="E7903" s="201"/>
      <c r="F7903" s="202"/>
      <c r="G7903" s="549"/>
      <c r="H7903" s="549"/>
      <c r="I7903" s="549"/>
      <c r="J7903" s="549"/>
      <c r="K7903" s="549"/>
      <c r="M7903" s="465"/>
      <c r="N7903" s="201"/>
    </row>
    <row r="7904" spans="2:14" hidden="1" outlineLevel="1" x14ac:dyDescent="0.35">
      <c r="B7904" s="200"/>
      <c r="C7904" s="201"/>
      <c r="D7904" s="201"/>
      <c r="E7904" s="201"/>
      <c r="F7904" s="202"/>
      <c r="G7904" s="549"/>
      <c r="H7904" s="549"/>
      <c r="I7904" s="549"/>
      <c r="J7904" s="549"/>
      <c r="K7904" s="549"/>
      <c r="M7904" s="465"/>
      <c r="N7904" s="201"/>
    </row>
    <row r="7905" spans="2:14" hidden="1" outlineLevel="1" x14ac:dyDescent="0.35">
      <c r="B7905" s="200"/>
      <c r="C7905" s="201"/>
      <c r="D7905" s="201"/>
      <c r="E7905" s="201"/>
      <c r="F7905" s="202"/>
      <c r="G7905" s="549"/>
      <c r="H7905" s="549"/>
      <c r="I7905" s="549"/>
      <c r="J7905" s="549"/>
      <c r="K7905" s="549"/>
      <c r="M7905" s="465"/>
      <c r="N7905" s="201"/>
    </row>
    <row r="7906" spans="2:14" hidden="1" outlineLevel="1" x14ac:dyDescent="0.35">
      <c r="B7906" s="200"/>
      <c r="C7906" s="201"/>
      <c r="D7906" s="201"/>
      <c r="E7906" s="201"/>
      <c r="F7906" s="202"/>
      <c r="G7906" s="549"/>
      <c r="H7906" s="549"/>
      <c r="I7906" s="549"/>
      <c r="J7906" s="549"/>
      <c r="K7906" s="549"/>
      <c r="M7906" s="465"/>
      <c r="N7906" s="201"/>
    </row>
    <row r="7907" spans="2:14" hidden="1" outlineLevel="1" x14ac:dyDescent="0.35">
      <c r="B7907" s="200"/>
      <c r="C7907" s="201"/>
      <c r="D7907" s="201"/>
      <c r="E7907" s="201"/>
      <c r="F7907" s="202"/>
      <c r="G7907" s="549"/>
      <c r="H7907" s="549"/>
      <c r="I7907" s="549"/>
      <c r="J7907" s="549"/>
      <c r="K7907" s="549"/>
      <c r="M7907" s="465"/>
      <c r="N7907" s="201"/>
    </row>
    <row r="7908" spans="2:14" hidden="1" outlineLevel="1" x14ac:dyDescent="0.35">
      <c r="B7908" s="200"/>
      <c r="C7908" s="201"/>
      <c r="D7908" s="201"/>
      <c r="E7908" s="201"/>
      <c r="F7908" s="202"/>
      <c r="G7908" s="549"/>
      <c r="H7908" s="549"/>
      <c r="I7908" s="549"/>
      <c r="J7908" s="549"/>
      <c r="K7908" s="549"/>
      <c r="M7908" s="465"/>
      <c r="N7908" s="201"/>
    </row>
    <row r="7909" spans="2:14" hidden="1" outlineLevel="1" x14ac:dyDescent="0.35">
      <c r="B7909" s="200"/>
      <c r="C7909" s="201"/>
      <c r="D7909" s="201"/>
      <c r="E7909" s="201"/>
      <c r="F7909" s="202"/>
      <c r="G7909" s="549"/>
      <c r="H7909" s="549"/>
      <c r="I7909" s="549"/>
      <c r="J7909" s="549"/>
      <c r="K7909" s="549"/>
      <c r="M7909" s="465"/>
      <c r="N7909" s="201"/>
    </row>
    <row r="7910" spans="2:14" hidden="1" outlineLevel="1" x14ac:dyDescent="0.35">
      <c r="B7910" s="200"/>
      <c r="C7910" s="201"/>
      <c r="D7910" s="201"/>
      <c r="E7910" s="201"/>
      <c r="F7910" s="202"/>
      <c r="G7910" s="549"/>
      <c r="H7910" s="549"/>
      <c r="I7910" s="549"/>
      <c r="J7910" s="549"/>
      <c r="K7910" s="549"/>
      <c r="M7910" s="465"/>
      <c r="N7910" s="201"/>
    </row>
    <row r="7911" spans="2:14" hidden="1" outlineLevel="1" x14ac:dyDescent="0.35">
      <c r="B7911" s="200"/>
      <c r="C7911" s="201"/>
      <c r="D7911" s="201"/>
      <c r="E7911" s="201"/>
      <c r="F7911" s="202"/>
      <c r="G7911" s="549"/>
      <c r="H7911" s="549"/>
      <c r="I7911" s="549"/>
      <c r="J7911" s="549"/>
      <c r="K7911" s="549"/>
      <c r="M7911" s="465"/>
      <c r="N7911" s="201"/>
    </row>
    <row r="7912" spans="2:14" hidden="1" outlineLevel="1" x14ac:dyDescent="0.35">
      <c r="B7912" s="200"/>
      <c r="C7912" s="201"/>
      <c r="D7912" s="201"/>
      <c r="E7912" s="201"/>
      <c r="F7912" s="202"/>
      <c r="G7912" s="549"/>
      <c r="H7912" s="549"/>
      <c r="I7912" s="549"/>
      <c r="J7912" s="549"/>
      <c r="K7912" s="549"/>
      <c r="M7912" s="465"/>
      <c r="N7912" s="201"/>
    </row>
    <row r="7913" spans="2:14" hidden="1" outlineLevel="1" x14ac:dyDescent="0.35">
      <c r="B7913" s="200"/>
      <c r="C7913" s="201"/>
      <c r="D7913" s="201"/>
      <c r="E7913" s="201"/>
      <c r="F7913" s="202"/>
      <c r="G7913" s="549"/>
      <c r="H7913" s="549"/>
      <c r="I7913" s="549"/>
      <c r="J7913" s="549"/>
      <c r="K7913" s="549"/>
      <c r="M7913" s="465"/>
      <c r="N7913" s="201"/>
    </row>
    <row r="7914" spans="2:14" hidden="1" outlineLevel="1" x14ac:dyDescent="0.35">
      <c r="B7914" s="200"/>
      <c r="C7914" s="201"/>
      <c r="D7914" s="201"/>
      <c r="E7914" s="201"/>
      <c r="F7914" s="202"/>
      <c r="G7914" s="549"/>
      <c r="H7914" s="549"/>
      <c r="I7914" s="549"/>
      <c r="J7914" s="549"/>
      <c r="K7914" s="549"/>
      <c r="M7914" s="465"/>
      <c r="N7914" s="201"/>
    </row>
    <row r="7915" spans="2:14" hidden="1" outlineLevel="1" x14ac:dyDescent="0.35">
      <c r="B7915" s="200"/>
      <c r="C7915" s="201"/>
      <c r="D7915" s="201"/>
      <c r="E7915" s="201"/>
      <c r="F7915" s="202"/>
      <c r="G7915" s="549"/>
      <c r="H7915" s="549"/>
      <c r="I7915" s="549"/>
      <c r="J7915" s="549"/>
      <c r="K7915" s="549"/>
      <c r="M7915" s="465"/>
      <c r="N7915" s="201"/>
    </row>
    <row r="7916" spans="2:14" hidden="1" outlineLevel="1" x14ac:dyDescent="0.35">
      <c r="B7916" s="200"/>
      <c r="C7916" s="201"/>
      <c r="D7916" s="201"/>
      <c r="E7916" s="201"/>
      <c r="F7916" s="202"/>
      <c r="G7916" s="549"/>
      <c r="H7916" s="549"/>
      <c r="I7916" s="549"/>
      <c r="J7916" s="549"/>
      <c r="K7916" s="549"/>
      <c r="M7916" s="465"/>
      <c r="N7916" s="201"/>
    </row>
    <row r="7917" spans="2:14" hidden="1" outlineLevel="1" x14ac:dyDescent="0.35">
      <c r="B7917" s="200"/>
      <c r="C7917" s="201"/>
      <c r="D7917" s="201"/>
      <c r="E7917" s="201"/>
      <c r="F7917" s="202"/>
      <c r="G7917" s="549"/>
      <c r="H7917" s="549"/>
      <c r="I7917" s="549"/>
      <c r="J7917" s="549"/>
      <c r="K7917" s="549"/>
      <c r="M7917" s="465"/>
      <c r="N7917" s="201"/>
    </row>
    <row r="7918" spans="2:14" hidden="1" outlineLevel="1" x14ac:dyDescent="0.35">
      <c r="B7918" s="200"/>
      <c r="C7918" s="201"/>
      <c r="D7918" s="201"/>
      <c r="E7918" s="201"/>
      <c r="F7918" s="202"/>
      <c r="G7918" s="549"/>
      <c r="H7918" s="549"/>
      <c r="I7918" s="549"/>
      <c r="J7918" s="549"/>
      <c r="K7918" s="549"/>
      <c r="M7918" s="465"/>
      <c r="N7918" s="201"/>
    </row>
    <row r="7919" spans="2:14" hidden="1" outlineLevel="1" x14ac:dyDescent="0.35">
      <c r="B7919" s="200"/>
      <c r="C7919" s="201"/>
      <c r="D7919" s="201"/>
      <c r="E7919" s="201"/>
      <c r="F7919" s="202"/>
      <c r="G7919" s="549"/>
      <c r="H7919" s="549"/>
      <c r="I7919" s="549"/>
      <c r="J7919" s="549"/>
      <c r="K7919" s="549"/>
      <c r="M7919" s="465"/>
      <c r="N7919" s="201"/>
    </row>
    <row r="7920" spans="2:14" hidden="1" outlineLevel="1" x14ac:dyDescent="0.35">
      <c r="B7920" s="200"/>
      <c r="C7920" s="201"/>
      <c r="D7920" s="201"/>
      <c r="E7920" s="201"/>
      <c r="F7920" s="202"/>
      <c r="G7920" s="549"/>
      <c r="H7920" s="549"/>
      <c r="I7920" s="549"/>
      <c r="J7920" s="549"/>
      <c r="K7920" s="549"/>
      <c r="M7920" s="465"/>
      <c r="N7920" s="201"/>
    </row>
    <row r="7921" spans="2:14" hidden="1" outlineLevel="1" x14ac:dyDescent="0.35">
      <c r="B7921" s="200"/>
      <c r="C7921" s="201"/>
      <c r="D7921" s="201"/>
      <c r="E7921" s="201"/>
      <c r="F7921" s="202"/>
      <c r="G7921" s="549"/>
      <c r="H7921" s="549"/>
      <c r="I7921" s="549"/>
      <c r="J7921" s="549"/>
      <c r="K7921" s="549"/>
      <c r="M7921" s="465"/>
      <c r="N7921" s="201"/>
    </row>
    <row r="7922" spans="2:14" hidden="1" outlineLevel="1" x14ac:dyDescent="0.35">
      <c r="B7922" s="200"/>
      <c r="C7922" s="201"/>
      <c r="D7922" s="201"/>
      <c r="E7922" s="201"/>
      <c r="F7922" s="202"/>
      <c r="G7922" s="549"/>
      <c r="H7922" s="549"/>
      <c r="I7922" s="549"/>
      <c r="J7922" s="549"/>
      <c r="K7922" s="549"/>
      <c r="M7922" s="465"/>
      <c r="N7922" s="201"/>
    </row>
    <row r="7923" spans="2:14" hidden="1" outlineLevel="1" x14ac:dyDescent="0.35">
      <c r="B7923" s="200"/>
      <c r="C7923" s="201"/>
      <c r="D7923" s="201"/>
      <c r="E7923" s="201"/>
      <c r="F7923" s="202"/>
      <c r="G7923" s="549"/>
      <c r="H7923" s="549"/>
      <c r="I7923" s="549"/>
      <c r="J7923" s="549"/>
      <c r="K7923" s="549"/>
      <c r="M7923" s="465"/>
      <c r="N7923" s="201"/>
    </row>
    <row r="7924" spans="2:14" hidden="1" outlineLevel="1" x14ac:dyDescent="0.35">
      <c r="B7924" s="200"/>
      <c r="C7924" s="201"/>
      <c r="D7924" s="201"/>
      <c r="E7924" s="201"/>
      <c r="F7924" s="202"/>
      <c r="G7924" s="549"/>
      <c r="H7924" s="549"/>
      <c r="I7924" s="549"/>
      <c r="J7924" s="549"/>
      <c r="K7924" s="549"/>
      <c r="M7924" s="465"/>
      <c r="N7924" s="201"/>
    </row>
    <row r="7925" spans="2:14" hidden="1" outlineLevel="1" x14ac:dyDescent="0.35">
      <c r="B7925" s="200"/>
      <c r="C7925" s="201"/>
      <c r="D7925" s="201"/>
      <c r="E7925" s="201"/>
      <c r="F7925" s="202"/>
      <c r="G7925" s="549"/>
      <c r="H7925" s="549"/>
      <c r="I7925" s="549"/>
      <c r="J7925" s="549"/>
      <c r="K7925" s="549"/>
      <c r="M7925" s="465"/>
      <c r="N7925" s="201"/>
    </row>
    <row r="7926" spans="2:14" hidden="1" outlineLevel="1" x14ac:dyDescent="0.35">
      <c r="B7926" s="200"/>
      <c r="C7926" s="201"/>
      <c r="D7926" s="201"/>
      <c r="E7926" s="201"/>
      <c r="F7926" s="202"/>
      <c r="G7926" s="549"/>
      <c r="H7926" s="549"/>
      <c r="I7926" s="549"/>
      <c r="J7926" s="549"/>
      <c r="K7926" s="549"/>
      <c r="M7926" s="465"/>
      <c r="N7926" s="201"/>
    </row>
    <row r="7927" spans="2:14" hidden="1" outlineLevel="1" x14ac:dyDescent="0.35">
      <c r="B7927" s="200"/>
      <c r="C7927" s="201"/>
      <c r="D7927" s="201"/>
      <c r="E7927" s="201"/>
      <c r="F7927" s="202"/>
      <c r="G7927" s="549"/>
      <c r="H7927" s="549"/>
      <c r="I7927" s="549"/>
      <c r="J7927" s="549"/>
      <c r="K7927" s="549"/>
      <c r="M7927" s="465"/>
      <c r="N7927" s="201"/>
    </row>
    <row r="7928" spans="2:14" hidden="1" outlineLevel="1" x14ac:dyDescent="0.35">
      <c r="B7928" s="200"/>
      <c r="C7928" s="201"/>
      <c r="D7928" s="201"/>
      <c r="E7928" s="201"/>
      <c r="F7928" s="202"/>
      <c r="G7928" s="549"/>
      <c r="H7928" s="549"/>
      <c r="I7928" s="549"/>
      <c r="J7928" s="549"/>
      <c r="K7928" s="549"/>
      <c r="M7928" s="465"/>
      <c r="N7928" s="201"/>
    </row>
    <row r="7929" spans="2:14" hidden="1" outlineLevel="1" x14ac:dyDescent="0.35">
      <c r="B7929" s="200"/>
      <c r="C7929" s="201"/>
      <c r="D7929" s="201"/>
      <c r="E7929" s="201"/>
      <c r="F7929" s="202"/>
      <c r="G7929" s="549"/>
      <c r="H7929" s="549"/>
      <c r="I7929" s="549"/>
      <c r="J7929" s="549"/>
      <c r="K7929" s="549"/>
      <c r="M7929" s="465"/>
      <c r="N7929" s="201"/>
    </row>
    <row r="7930" spans="2:14" hidden="1" outlineLevel="1" x14ac:dyDescent="0.35">
      <c r="B7930" s="200"/>
      <c r="C7930" s="201"/>
      <c r="D7930" s="201"/>
      <c r="E7930" s="201"/>
      <c r="F7930" s="202"/>
      <c r="G7930" s="549"/>
      <c r="H7930" s="549"/>
      <c r="I7930" s="549"/>
      <c r="J7930" s="549"/>
      <c r="K7930" s="549"/>
      <c r="M7930" s="465"/>
      <c r="N7930" s="201"/>
    </row>
    <row r="7931" spans="2:14" hidden="1" outlineLevel="1" x14ac:dyDescent="0.35">
      <c r="B7931" s="200"/>
      <c r="C7931" s="201"/>
      <c r="D7931" s="201"/>
      <c r="E7931" s="201"/>
      <c r="F7931" s="202"/>
      <c r="G7931" s="549"/>
      <c r="H7931" s="549"/>
      <c r="I7931" s="549"/>
      <c r="J7931" s="549"/>
      <c r="K7931" s="549"/>
      <c r="M7931" s="465"/>
      <c r="N7931" s="201"/>
    </row>
    <row r="7932" spans="2:14" hidden="1" outlineLevel="1" x14ac:dyDescent="0.35">
      <c r="B7932" s="200"/>
      <c r="C7932" s="201"/>
      <c r="D7932" s="201"/>
      <c r="E7932" s="201"/>
      <c r="F7932" s="202"/>
      <c r="G7932" s="549"/>
      <c r="H7932" s="549"/>
      <c r="I7932" s="549"/>
      <c r="J7932" s="549"/>
      <c r="K7932" s="549"/>
      <c r="M7932" s="465"/>
      <c r="N7932" s="201"/>
    </row>
    <row r="7933" spans="2:14" hidden="1" outlineLevel="1" x14ac:dyDescent="0.35">
      <c r="B7933" s="200"/>
      <c r="C7933" s="201"/>
      <c r="D7933" s="201"/>
      <c r="E7933" s="201"/>
      <c r="F7933" s="202"/>
      <c r="G7933" s="549"/>
      <c r="H7933" s="549"/>
      <c r="I7933" s="549"/>
      <c r="J7933" s="549"/>
      <c r="K7933" s="549"/>
      <c r="M7933" s="465"/>
      <c r="N7933" s="201"/>
    </row>
    <row r="7934" spans="2:14" hidden="1" outlineLevel="1" x14ac:dyDescent="0.35">
      <c r="B7934" s="200"/>
      <c r="C7934" s="201"/>
      <c r="D7934" s="201"/>
      <c r="E7934" s="201"/>
      <c r="F7934" s="202"/>
      <c r="G7934" s="549"/>
      <c r="H7934" s="549"/>
      <c r="I7934" s="549"/>
      <c r="J7934" s="549"/>
      <c r="K7934" s="549"/>
      <c r="M7934" s="465"/>
      <c r="N7934" s="201"/>
    </row>
    <row r="7935" spans="2:14" hidden="1" outlineLevel="1" x14ac:dyDescent="0.35">
      <c r="B7935" s="200"/>
      <c r="C7935" s="201"/>
      <c r="D7935" s="201"/>
      <c r="E7935" s="201"/>
      <c r="F7935" s="202"/>
      <c r="G7935" s="549"/>
      <c r="H7935" s="549"/>
      <c r="I7935" s="549"/>
      <c r="J7935" s="549"/>
      <c r="K7935" s="549"/>
      <c r="M7935" s="465"/>
      <c r="N7935" s="201"/>
    </row>
    <row r="7936" spans="2:14" hidden="1" outlineLevel="1" x14ac:dyDescent="0.35">
      <c r="B7936" s="200"/>
      <c r="C7936" s="201"/>
      <c r="D7936" s="201"/>
      <c r="E7936" s="201"/>
      <c r="F7936" s="202"/>
      <c r="G7936" s="549"/>
      <c r="H7936" s="549"/>
      <c r="I7936" s="549"/>
      <c r="J7936" s="549"/>
      <c r="K7936" s="549"/>
      <c r="M7936" s="465"/>
      <c r="N7936" s="201"/>
    </row>
    <row r="7937" spans="2:14" hidden="1" outlineLevel="1" x14ac:dyDescent="0.35">
      <c r="B7937" s="200"/>
      <c r="C7937" s="201"/>
      <c r="D7937" s="201"/>
      <c r="E7937" s="201"/>
      <c r="F7937" s="202"/>
      <c r="G7937" s="549"/>
      <c r="H7937" s="549"/>
      <c r="I7937" s="549"/>
      <c r="J7937" s="549"/>
      <c r="K7937" s="549"/>
      <c r="M7937" s="465"/>
      <c r="N7937" s="201"/>
    </row>
    <row r="7938" spans="2:14" hidden="1" outlineLevel="1" x14ac:dyDescent="0.35">
      <c r="B7938" s="200"/>
      <c r="C7938" s="201"/>
      <c r="D7938" s="201"/>
      <c r="E7938" s="201"/>
      <c r="F7938" s="202"/>
      <c r="G7938" s="549"/>
      <c r="H7938" s="549"/>
      <c r="I7938" s="549"/>
      <c r="J7938" s="549"/>
      <c r="K7938" s="549"/>
      <c r="M7938" s="465"/>
      <c r="N7938" s="201"/>
    </row>
    <row r="7939" spans="2:14" hidden="1" outlineLevel="1" x14ac:dyDescent="0.35">
      <c r="B7939" s="200"/>
      <c r="C7939" s="201"/>
      <c r="D7939" s="201"/>
      <c r="E7939" s="201"/>
      <c r="F7939" s="202"/>
      <c r="G7939" s="549"/>
      <c r="H7939" s="549"/>
      <c r="I7939" s="549"/>
      <c r="J7939" s="549"/>
      <c r="K7939" s="549"/>
      <c r="M7939" s="465"/>
      <c r="N7939" s="201"/>
    </row>
    <row r="7940" spans="2:14" hidden="1" outlineLevel="1" x14ac:dyDescent="0.35">
      <c r="B7940" s="200"/>
      <c r="C7940" s="201"/>
      <c r="D7940" s="201"/>
      <c r="E7940" s="201"/>
      <c r="F7940" s="202"/>
      <c r="G7940" s="549"/>
      <c r="H7940" s="549"/>
      <c r="I7940" s="549"/>
      <c r="J7940" s="549"/>
      <c r="K7940" s="549"/>
      <c r="M7940" s="465"/>
      <c r="N7940" s="201"/>
    </row>
    <row r="7941" spans="2:14" hidden="1" outlineLevel="1" x14ac:dyDescent="0.35">
      <c r="B7941" s="200"/>
      <c r="C7941" s="201"/>
      <c r="D7941" s="201"/>
      <c r="E7941" s="201"/>
      <c r="F7941" s="202"/>
      <c r="G7941" s="549"/>
      <c r="H7941" s="549"/>
      <c r="I7941" s="549"/>
      <c r="J7941" s="549"/>
      <c r="K7941" s="549"/>
      <c r="M7941" s="465"/>
      <c r="N7941" s="201"/>
    </row>
    <row r="7942" spans="2:14" hidden="1" outlineLevel="1" x14ac:dyDescent="0.35">
      <c r="B7942" s="200"/>
      <c r="C7942" s="201"/>
      <c r="D7942" s="201"/>
      <c r="E7942" s="201"/>
      <c r="F7942" s="202"/>
      <c r="G7942" s="549"/>
      <c r="H7942" s="549"/>
      <c r="I7942" s="549"/>
      <c r="J7942" s="549"/>
      <c r="K7942" s="549"/>
      <c r="M7942" s="465"/>
      <c r="N7942" s="201"/>
    </row>
    <row r="7943" spans="2:14" hidden="1" outlineLevel="1" x14ac:dyDescent="0.35">
      <c r="B7943" s="200"/>
      <c r="C7943" s="201"/>
      <c r="D7943" s="201"/>
      <c r="E7943" s="201"/>
      <c r="F7943" s="202"/>
      <c r="G7943" s="549"/>
      <c r="H7943" s="549"/>
      <c r="I7943" s="549"/>
      <c r="J7943" s="549"/>
      <c r="K7943" s="549"/>
      <c r="M7943" s="465"/>
      <c r="N7943" s="201"/>
    </row>
    <row r="7944" spans="2:14" hidden="1" outlineLevel="1" x14ac:dyDescent="0.35">
      <c r="B7944" s="200"/>
      <c r="C7944" s="201"/>
      <c r="D7944" s="201"/>
      <c r="E7944" s="201"/>
      <c r="F7944" s="202"/>
      <c r="G7944" s="549"/>
      <c r="H7944" s="549"/>
      <c r="I7944" s="549"/>
      <c r="J7944" s="549"/>
      <c r="K7944" s="549"/>
      <c r="M7944" s="465"/>
      <c r="N7944" s="201"/>
    </row>
    <row r="7945" spans="2:14" hidden="1" outlineLevel="1" x14ac:dyDescent="0.35">
      <c r="B7945" s="200"/>
      <c r="C7945" s="201"/>
      <c r="D7945" s="201"/>
      <c r="E7945" s="201"/>
      <c r="F7945" s="202"/>
      <c r="G7945" s="549"/>
      <c r="H7945" s="549"/>
      <c r="I7945" s="549"/>
      <c r="J7945" s="549"/>
      <c r="K7945" s="549"/>
      <c r="M7945" s="465"/>
      <c r="N7945" s="201"/>
    </row>
    <row r="7946" spans="2:14" hidden="1" outlineLevel="1" x14ac:dyDescent="0.35">
      <c r="B7946" s="200"/>
      <c r="C7946" s="201"/>
      <c r="D7946" s="201"/>
      <c r="E7946" s="201"/>
      <c r="F7946" s="202"/>
      <c r="G7946" s="549"/>
      <c r="H7946" s="549"/>
      <c r="I7946" s="549"/>
      <c r="J7946" s="549"/>
      <c r="K7946" s="549"/>
      <c r="M7946" s="465"/>
      <c r="N7946" s="201"/>
    </row>
    <row r="7947" spans="2:14" hidden="1" outlineLevel="1" x14ac:dyDescent="0.35">
      <c r="B7947" s="200"/>
      <c r="C7947" s="201"/>
      <c r="D7947" s="201"/>
      <c r="E7947" s="201"/>
      <c r="F7947" s="202"/>
      <c r="G7947" s="549"/>
      <c r="H7947" s="549"/>
      <c r="I7947" s="549"/>
      <c r="J7947" s="549"/>
      <c r="K7947" s="549"/>
      <c r="M7947" s="465"/>
      <c r="N7947" s="201"/>
    </row>
    <row r="7948" spans="2:14" hidden="1" outlineLevel="1" x14ac:dyDescent="0.35">
      <c r="B7948" s="200"/>
      <c r="C7948" s="201"/>
      <c r="D7948" s="201"/>
      <c r="E7948" s="201"/>
      <c r="F7948" s="202"/>
      <c r="G7948" s="549"/>
      <c r="H7948" s="549"/>
      <c r="I7948" s="549"/>
      <c r="J7948" s="549"/>
      <c r="K7948" s="549"/>
      <c r="M7948" s="465"/>
      <c r="N7948" s="201"/>
    </row>
    <row r="7949" spans="2:14" hidden="1" outlineLevel="1" x14ac:dyDescent="0.35">
      <c r="B7949" s="200"/>
      <c r="C7949" s="201"/>
      <c r="D7949" s="201"/>
      <c r="E7949" s="201"/>
      <c r="F7949" s="202"/>
      <c r="G7949" s="549"/>
      <c r="H7949" s="549"/>
      <c r="I7949" s="549"/>
      <c r="J7949" s="549"/>
      <c r="K7949" s="549"/>
      <c r="M7949" s="465"/>
      <c r="N7949" s="201"/>
    </row>
    <row r="7950" spans="2:14" hidden="1" outlineLevel="1" x14ac:dyDescent="0.35">
      <c r="B7950" s="200"/>
      <c r="C7950" s="201"/>
      <c r="D7950" s="201"/>
      <c r="E7950" s="201"/>
      <c r="F7950" s="202"/>
      <c r="G7950" s="549"/>
      <c r="H7950" s="549"/>
      <c r="I7950" s="549"/>
      <c r="J7950" s="549"/>
      <c r="K7950" s="549"/>
      <c r="M7950" s="465"/>
      <c r="N7950" s="201"/>
    </row>
    <row r="7951" spans="2:14" hidden="1" outlineLevel="1" x14ac:dyDescent="0.35">
      <c r="B7951" s="200"/>
      <c r="C7951" s="201"/>
      <c r="D7951" s="201"/>
      <c r="E7951" s="201"/>
      <c r="F7951" s="202"/>
      <c r="G7951" s="549"/>
      <c r="H7951" s="549"/>
      <c r="I7951" s="549"/>
      <c r="J7951" s="549"/>
      <c r="K7951" s="549"/>
      <c r="M7951" s="465"/>
      <c r="N7951" s="201"/>
    </row>
    <row r="7952" spans="2:14" hidden="1" outlineLevel="1" x14ac:dyDescent="0.35">
      <c r="B7952" s="200"/>
      <c r="C7952" s="201"/>
      <c r="D7952" s="201"/>
      <c r="E7952" s="201"/>
      <c r="F7952" s="202"/>
      <c r="G7952" s="549"/>
      <c r="H7952" s="549"/>
      <c r="I7952" s="549"/>
      <c r="J7952" s="549"/>
      <c r="K7952" s="549"/>
      <c r="M7952" s="465"/>
      <c r="N7952" s="201"/>
    </row>
    <row r="7953" spans="2:14" hidden="1" outlineLevel="1" x14ac:dyDescent="0.35">
      <c r="B7953" s="200"/>
      <c r="C7953" s="201"/>
      <c r="D7953" s="201"/>
      <c r="E7953" s="201"/>
      <c r="F7953" s="202"/>
      <c r="G7953" s="549"/>
      <c r="H7953" s="549"/>
      <c r="I7953" s="549"/>
      <c r="J7953" s="549"/>
      <c r="K7953" s="549"/>
      <c r="M7953" s="465"/>
      <c r="N7953" s="201"/>
    </row>
    <row r="7954" spans="2:14" hidden="1" outlineLevel="1" x14ac:dyDescent="0.35">
      <c r="B7954" s="200"/>
      <c r="C7954" s="201"/>
      <c r="D7954" s="201"/>
      <c r="E7954" s="201"/>
      <c r="F7954" s="202"/>
      <c r="G7954" s="549"/>
      <c r="H7954" s="549"/>
      <c r="I7954" s="549"/>
      <c r="J7954" s="549"/>
      <c r="K7954" s="549"/>
      <c r="M7954" s="465"/>
      <c r="N7954" s="201"/>
    </row>
    <row r="7955" spans="2:14" hidden="1" outlineLevel="1" x14ac:dyDescent="0.35">
      <c r="B7955" s="200"/>
      <c r="C7955" s="201"/>
      <c r="D7955" s="201"/>
      <c r="E7955" s="201"/>
      <c r="F7955" s="202"/>
      <c r="G7955" s="549"/>
      <c r="H7955" s="549"/>
      <c r="I7955" s="549"/>
      <c r="J7955" s="549"/>
      <c r="K7955" s="549"/>
      <c r="M7955" s="465"/>
      <c r="N7955" s="201"/>
    </row>
    <row r="7956" spans="2:14" hidden="1" outlineLevel="1" x14ac:dyDescent="0.35">
      <c r="B7956" s="200"/>
      <c r="C7956" s="201"/>
      <c r="D7956" s="201"/>
      <c r="E7956" s="201"/>
      <c r="F7956" s="202"/>
      <c r="G7956" s="549"/>
      <c r="H7956" s="549"/>
      <c r="I7956" s="549"/>
      <c r="J7956" s="549"/>
      <c r="K7956" s="549"/>
      <c r="M7956" s="465"/>
      <c r="N7956" s="201"/>
    </row>
    <row r="7957" spans="2:14" hidden="1" outlineLevel="1" x14ac:dyDescent="0.35">
      <c r="B7957" s="200"/>
      <c r="C7957" s="201"/>
      <c r="D7957" s="201"/>
      <c r="E7957" s="201"/>
      <c r="F7957" s="202"/>
      <c r="G7957" s="549"/>
      <c r="H7957" s="549"/>
      <c r="I7957" s="549"/>
      <c r="J7957" s="549"/>
      <c r="K7957" s="549"/>
      <c r="M7957" s="465"/>
      <c r="N7957" s="201"/>
    </row>
    <row r="7958" spans="2:14" hidden="1" outlineLevel="1" x14ac:dyDescent="0.35">
      <c r="B7958" s="200"/>
      <c r="C7958" s="201"/>
      <c r="D7958" s="201"/>
      <c r="E7958" s="201"/>
      <c r="F7958" s="202"/>
      <c r="G7958" s="549"/>
      <c r="H7958" s="549"/>
      <c r="I7958" s="549"/>
      <c r="J7958" s="549"/>
      <c r="K7958" s="549"/>
      <c r="M7958" s="465"/>
      <c r="N7958" s="201"/>
    </row>
    <row r="7959" spans="2:14" hidden="1" outlineLevel="1" x14ac:dyDescent="0.35">
      <c r="B7959" s="200"/>
      <c r="C7959" s="201"/>
      <c r="D7959" s="201"/>
      <c r="E7959" s="201"/>
      <c r="F7959" s="202"/>
      <c r="G7959" s="549"/>
      <c r="H7959" s="549"/>
      <c r="I7959" s="549"/>
      <c r="J7959" s="549"/>
      <c r="K7959" s="549"/>
      <c r="M7959" s="465"/>
      <c r="N7959" s="201"/>
    </row>
    <row r="7960" spans="2:14" hidden="1" outlineLevel="1" x14ac:dyDescent="0.35">
      <c r="B7960" s="200"/>
      <c r="C7960" s="201"/>
      <c r="D7960" s="201"/>
      <c r="E7960" s="201"/>
      <c r="F7960" s="202"/>
      <c r="G7960" s="549"/>
      <c r="H7960" s="549"/>
      <c r="I7960" s="549"/>
      <c r="J7960" s="549"/>
      <c r="K7960" s="549"/>
      <c r="M7960" s="465"/>
      <c r="N7960" s="201"/>
    </row>
    <row r="7961" spans="2:14" hidden="1" outlineLevel="1" x14ac:dyDescent="0.35">
      <c r="B7961" s="200"/>
      <c r="C7961" s="201"/>
      <c r="D7961" s="201"/>
      <c r="E7961" s="201"/>
      <c r="F7961" s="202"/>
      <c r="G7961" s="549"/>
      <c r="H7961" s="549"/>
      <c r="I7961" s="549"/>
      <c r="J7961" s="549"/>
      <c r="K7961" s="549"/>
      <c r="M7961" s="465"/>
      <c r="N7961" s="201"/>
    </row>
    <row r="7962" spans="2:14" hidden="1" outlineLevel="1" x14ac:dyDescent="0.35">
      <c r="B7962" s="200"/>
      <c r="C7962" s="201"/>
      <c r="D7962" s="201"/>
      <c r="E7962" s="201"/>
      <c r="F7962" s="202"/>
      <c r="G7962" s="549"/>
      <c r="H7962" s="549"/>
      <c r="I7962" s="549"/>
      <c r="J7962" s="549"/>
      <c r="K7962" s="549"/>
      <c r="M7962" s="465"/>
      <c r="N7962" s="201"/>
    </row>
    <row r="7963" spans="2:14" hidden="1" outlineLevel="1" x14ac:dyDescent="0.35">
      <c r="B7963" s="200"/>
      <c r="C7963" s="201"/>
      <c r="D7963" s="201"/>
      <c r="E7963" s="201"/>
      <c r="F7963" s="202"/>
      <c r="G7963" s="549"/>
      <c r="H7963" s="549"/>
      <c r="I7963" s="549"/>
      <c r="J7963" s="549"/>
      <c r="K7963" s="549"/>
      <c r="M7963" s="465"/>
      <c r="N7963" s="201"/>
    </row>
    <row r="7964" spans="2:14" hidden="1" outlineLevel="1" x14ac:dyDescent="0.35">
      <c r="B7964" s="200"/>
      <c r="C7964" s="201"/>
      <c r="D7964" s="201"/>
      <c r="E7964" s="201"/>
      <c r="F7964" s="202"/>
      <c r="G7964" s="549"/>
      <c r="H7964" s="549"/>
      <c r="I7964" s="549"/>
      <c r="J7964" s="549"/>
      <c r="K7964" s="549"/>
      <c r="M7964" s="465"/>
      <c r="N7964" s="201"/>
    </row>
    <row r="7965" spans="2:14" hidden="1" outlineLevel="1" x14ac:dyDescent="0.35">
      <c r="B7965" s="200"/>
      <c r="C7965" s="201"/>
      <c r="D7965" s="201"/>
      <c r="E7965" s="201"/>
      <c r="F7965" s="202"/>
      <c r="G7965" s="549"/>
      <c r="H7965" s="549"/>
      <c r="I7965" s="549"/>
      <c r="J7965" s="549"/>
      <c r="K7965" s="549"/>
      <c r="M7965" s="465"/>
      <c r="N7965" s="201"/>
    </row>
    <row r="7966" spans="2:14" hidden="1" outlineLevel="1" x14ac:dyDescent="0.35">
      <c r="B7966" s="200"/>
      <c r="C7966" s="201"/>
      <c r="D7966" s="201"/>
      <c r="E7966" s="201"/>
      <c r="F7966" s="202"/>
      <c r="G7966" s="549"/>
      <c r="H7966" s="549"/>
      <c r="I7966" s="549"/>
      <c r="J7966" s="549"/>
      <c r="K7966" s="549"/>
      <c r="M7966" s="465"/>
      <c r="N7966" s="201"/>
    </row>
    <row r="7967" spans="2:14" hidden="1" outlineLevel="1" x14ac:dyDescent="0.35">
      <c r="B7967" s="200"/>
      <c r="C7967" s="201"/>
      <c r="D7967" s="201"/>
      <c r="E7967" s="201"/>
      <c r="F7967" s="202"/>
      <c r="G7967" s="549"/>
      <c r="H7967" s="549"/>
      <c r="I7967" s="549"/>
      <c r="J7967" s="549"/>
      <c r="K7967" s="549"/>
      <c r="M7967" s="465"/>
      <c r="N7967" s="201"/>
    </row>
    <row r="7968" spans="2:14" hidden="1" outlineLevel="1" x14ac:dyDescent="0.35">
      <c r="B7968" s="200"/>
      <c r="C7968" s="201"/>
      <c r="D7968" s="201"/>
      <c r="E7968" s="201"/>
      <c r="F7968" s="202"/>
      <c r="G7968" s="549"/>
      <c r="H7968" s="549"/>
      <c r="I7968" s="549"/>
      <c r="J7968" s="549"/>
      <c r="K7968" s="549"/>
      <c r="M7968" s="465"/>
      <c r="N7968" s="201"/>
    </row>
    <row r="7969" spans="2:14" hidden="1" outlineLevel="1" x14ac:dyDescent="0.35">
      <c r="B7969" s="200"/>
      <c r="C7969" s="201"/>
      <c r="D7969" s="201"/>
      <c r="E7969" s="201"/>
      <c r="F7969" s="202"/>
      <c r="G7969" s="549"/>
      <c r="H7969" s="549"/>
      <c r="I7969" s="549"/>
      <c r="J7969" s="549"/>
      <c r="K7969" s="549"/>
      <c r="M7969" s="465"/>
      <c r="N7969" s="201"/>
    </row>
    <row r="7970" spans="2:14" hidden="1" outlineLevel="1" x14ac:dyDescent="0.35">
      <c r="B7970" s="200"/>
      <c r="C7970" s="201"/>
      <c r="D7970" s="201"/>
      <c r="E7970" s="201"/>
      <c r="F7970" s="202"/>
      <c r="G7970" s="549"/>
      <c r="H7970" s="549"/>
      <c r="I7970" s="549"/>
      <c r="J7970" s="549"/>
      <c r="K7970" s="549"/>
      <c r="M7970" s="465"/>
      <c r="N7970" s="201"/>
    </row>
    <row r="7971" spans="2:14" hidden="1" outlineLevel="1" x14ac:dyDescent="0.35">
      <c r="B7971" s="200"/>
      <c r="C7971" s="201"/>
      <c r="D7971" s="201"/>
      <c r="E7971" s="201"/>
      <c r="F7971" s="202"/>
      <c r="G7971" s="549"/>
      <c r="H7971" s="549"/>
      <c r="I7971" s="549"/>
      <c r="J7971" s="549"/>
      <c r="K7971" s="549"/>
      <c r="M7971" s="465"/>
      <c r="N7971" s="201"/>
    </row>
    <row r="7972" spans="2:14" hidden="1" outlineLevel="1" x14ac:dyDescent="0.35">
      <c r="B7972" s="200"/>
      <c r="C7972" s="201"/>
      <c r="D7972" s="201"/>
      <c r="E7972" s="201"/>
      <c r="F7972" s="202"/>
      <c r="G7972" s="549"/>
      <c r="H7972" s="549"/>
      <c r="I7972" s="549"/>
      <c r="J7972" s="549"/>
      <c r="K7972" s="549"/>
      <c r="M7972" s="465"/>
      <c r="N7972" s="201"/>
    </row>
    <row r="7973" spans="2:14" hidden="1" outlineLevel="1" x14ac:dyDescent="0.35">
      <c r="B7973" s="200"/>
      <c r="C7973" s="201"/>
      <c r="D7973" s="201"/>
      <c r="E7973" s="201"/>
      <c r="F7973" s="202"/>
      <c r="G7973" s="549"/>
      <c r="H7973" s="549"/>
      <c r="I7973" s="549"/>
      <c r="J7973" s="549"/>
      <c r="K7973" s="549"/>
      <c r="M7973" s="465"/>
      <c r="N7973" s="201"/>
    </row>
    <row r="7974" spans="2:14" hidden="1" outlineLevel="1" x14ac:dyDescent="0.35">
      <c r="B7974" s="200"/>
      <c r="C7974" s="201"/>
      <c r="D7974" s="201"/>
      <c r="E7974" s="201"/>
      <c r="F7974" s="202"/>
      <c r="G7974" s="549"/>
      <c r="H7974" s="549"/>
      <c r="I7974" s="549"/>
      <c r="J7974" s="549"/>
      <c r="K7974" s="549"/>
      <c r="M7974" s="465"/>
      <c r="N7974" s="201"/>
    </row>
    <row r="7975" spans="2:14" hidden="1" outlineLevel="1" x14ac:dyDescent="0.35">
      <c r="B7975" s="200"/>
      <c r="C7975" s="201"/>
      <c r="D7975" s="201"/>
      <c r="E7975" s="201"/>
      <c r="F7975" s="202"/>
      <c r="G7975" s="549"/>
      <c r="H7975" s="549"/>
      <c r="I7975" s="549"/>
      <c r="J7975" s="549"/>
      <c r="K7975" s="549"/>
      <c r="M7975" s="465"/>
      <c r="N7975" s="201"/>
    </row>
    <row r="7976" spans="2:14" hidden="1" outlineLevel="1" x14ac:dyDescent="0.35">
      <c r="B7976" s="200"/>
      <c r="C7976" s="201"/>
      <c r="D7976" s="201"/>
      <c r="E7976" s="201"/>
      <c r="F7976" s="202"/>
      <c r="G7976" s="549"/>
      <c r="H7976" s="549"/>
      <c r="I7976" s="549"/>
      <c r="J7976" s="549"/>
      <c r="K7976" s="549"/>
      <c r="M7976" s="465"/>
      <c r="N7976" s="201"/>
    </row>
    <row r="7977" spans="2:14" hidden="1" outlineLevel="1" x14ac:dyDescent="0.35">
      <c r="B7977" s="200"/>
      <c r="C7977" s="201"/>
      <c r="D7977" s="201"/>
      <c r="E7977" s="201"/>
      <c r="F7977" s="202"/>
      <c r="G7977" s="549"/>
      <c r="H7977" s="549"/>
      <c r="I7977" s="549"/>
      <c r="J7977" s="549"/>
      <c r="K7977" s="549"/>
      <c r="M7977" s="465"/>
      <c r="N7977" s="201"/>
    </row>
    <row r="7978" spans="2:14" hidden="1" outlineLevel="1" x14ac:dyDescent="0.35">
      <c r="B7978" s="200"/>
      <c r="C7978" s="201"/>
      <c r="D7978" s="201"/>
      <c r="E7978" s="201"/>
      <c r="F7978" s="202"/>
      <c r="G7978" s="549"/>
      <c r="H7978" s="549"/>
      <c r="I7978" s="549"/>
      <c r="J7978" s="549"/>
      <c r="K7978" s="549"/>
      <c r="M7978" s="465"/>
      <c r="N7978" s="201"/>
    </row>
    <row r="7979" spans="2:14" hidden="1" outlineLevel="1" x14ac:dyDescent="0.35">
      <c r="B7979" s="200"/>
      <c r="C7979" s="201"/>
      <c r="D7979" s="201"/>
      <c r="E7979" s="201"/>
      <c r="F7979" s="202"/>
      <c r="G7979" s="549"/>
      <c r="H7979" s="549"/>
      <c r="I7979" s="549"/>
      <c r="J7979" s="549"/>
      <c r="K7979" s="549"/>
      <c r="M7979" s="465"/>
      <c r="N7979" s="201"/>
    </row>
    <row r="7980" spans="2:14" hidden="1" outlineLevel="1" x14ac:dyDescent="0.35">
      <c r="B7980" s="200"/>
      <c r="C7980" s="201"/>
      <c r="D7980" s="201"/>
      <c r="E7980" s="201"/>
      <c r="F7980" s="202"/>
      <c r="G7980" s="549"/>
      <c r="H7980" s="549"/>
      <c r="I7980" s="549"/>
      <c r="J7980" s="549"/>
      <c r="K7980" s="549"/>
      <c r="M7980" s="465"/>
      <c r="N7980" s="201"/>
    </row>
    <row r="7981" spans="2:14" hidden="1" outlineLevel="1" x14ac:dyDescent="0.35">
      <c r="B7981" s="200"/>
      <c r="C7981" s="201"/>
      <c r="D7981" s="201"/>
      <c r="E7981" s="201"/>
      <c r="F7981" s="202"/>
      <c r="G7981" s="549"/>
      <c r="H7981" s="549"/>
      <c r="I7981" s="549"/>
      <c r="J7981" s="549"/>
      <c r="K7981" s="549"/>
      <c r="M7981" s="465"/>
      <c r="N7981" s="201"/>
    </row>
    <row r="7982" spans="2:14" hidden="1" outlineLevel="1" x14ac:dyDescent="0.35">
      <c r="B7982" s="200"/>
      <c r="C7982" s="201"/>
      <c r="D7982" s="201"/>
      <c r="E7982" s="201"/>
      <c r="F7982" s="202"/>
      <c r="G7982" s="549"/>
      <c r="H7982" s="549"/>
      <c r="I7982" s="549"/>
      <c r="J7982" s="549"/>
      <c r="K7982" s="549"/>
      <c r="M7982" s="465"/>
      <c r="N7982" s="201"/>
    </row>
    <row r="7983" spans="2:14" hidden="1" outlineLevel="1" x14ac:dyDescent="0.35">
      <c r="B7983" s="200"/>
      <c r="C7983" s="201"/>
      <c r="D7983" s="201"/>
      <c r="E7983" s="201"/>
      <c r="F7983" s="202"/>
      <c r="G7983" s="549"/>
      <c r="H7983" s="549"/>
      <c r="I7983" s="549"/>
      <c r="J7983" s="549"/>
      <c r="K7983" s="549"/>
      <c r="M7983" s="465"/>
      <c r="N7983" s="201"/>
    </row>
    <row r="7984" spans="2:14" hidden="1" outlineLevel="1" x14ac:dyDescent="0.35">
      <c r="B7984" s="200"/>
      <c r="C7984" s="201"/>
      <c r="D7984" s="201"/>
      <c r="E7984" s="201"/>
      <c r="F7984" s="202"/>
      <c r="G7984" s="549"/>
      <c r="H7984" s="549"/>
      <c r="I7984" s="549"/>
      <c r="J7984" s="549"/>
      <c r="K7984" s="549"/>
      <c r="M7984" s="465"/>
      <c r="N7984" s="201"/>
    </row>
    <row r="7985" spans="2:14" hidden="1" outlineLevel="1" x14ac:dyDescent="0.35">
      <c r="B7985" s="200"/>
      <c r="C7985" s="201"/>
      <c r="D7985" s="201"/>
      <c r="E7985" s="201"/>
      <c r="F7985" s="202"/>
      <c r="G7985" s="549"/>
      <c r="H7985" s="549"/>
      <c r="I7985" s="549"/>
      <c r="J7985" s="549"/>
      <c r="K7985" s="549"/>
      <c r="M7985" s="465"/>
      <c r="N7985" s="201"/>
    </row>
    <row r="7986" spans="2:14" hidden="1" outlineLevel="1" x14ac:dyDescent="0.35">
      <c r="B7986" s="200"/>
      <c r="C7986" s="201"/>
      <c r="D7986" s="201"/>
      <c r="E7986" s="201"/>
      <c r="F7986" s="202"/>
      <c r="G7986" s="549"/>
      <c r="H7986" s="549"/>
      <c r="I7986" s="549"/>
      <c r="J7986" s="549"/>
      <c r="K7986" s="549"/>
      <c r="M7986" s="465"/>
      <c r="N7986" s="201"/>
    </row>
    <row r="7987" spans="2:14" hidden="1" outlineLevel="1" x14ac:dyDescent="0.35">
      <c r="B7987" s="200"/>
      <c r="C7987" s="201"/>
      <c r="D7987" s="201"/>
      <c r="E7987" s="201"/>
      <c r="F7987" s="202"/>
      <c r="G7987" s="549"/>
      <c r="H7987" s="549"/>
      <c r="I7987" s="549"/>
      <c r="J7987" s="549"/>
      <c r="K7987" s="549"/>
      <c r="M7987" s="465"/>
      <c r="N7987" s="201"/>
    </row>
    <row r="7988" spans="2:14" hidden="1" outlineLevel="1" x14ac:dyDescent="0.35">
      <c r="B7988" s="200"/>
      <c r="C7988" s="201"/>
      <c r="D7988" s="201"/>
      <c r="E7988" s="201"/>
      <c r="F7988" s="202"/>
      <c r="G7988" s="549"/>
      <c r="H7988" s="549"/>
      <c r="I7988" s="549"/>
      <c r="J7988" s="549"/>
      <c r="K7988" s="549"/>
      <c r="M7988" s="465"/>
      <c r="N7988" s="201"/>
    </row>
    <row r="7989" spans="2:14" hidden="1" outlineLevel="1" x14ac:dyDescent="0.35">
      <c r="B7989" s="200"/>
      <c r="C7989" s="201"/>
      <c r="D7989" s="201"/>
      <c r="E7989" s="201"/>
      <c r="F7989" s="202"/>
      <c r="G7989" s="549"/>
      <c r="H7989" s="549"/>
      <c r="I7989" s="549"/>
      <c r="J7989" s="549"/>
      <c r="K7989" s="549"/>
      <c r="M7989" s="465"/>
      <c r="N7989" s="201"/>
    </row>
    <row r="7990" spans="2:14" hidden="1" outlineLevel="1" x14ac:dyDescent="0.35">
      <c r="B7990" s="200"/>
      <c r="C7990" s="201"/>
      <c r="D7990" s="201"/>
      <c r="E7990" s="201"/>
      <c r="F7990" s="202"/>
      <c r="G7990" s="549"/>
      <c r="H7990" s="549"/>
      <c r="I7990" s="549"/>
      <c r="J7990" s="549"/>
      <c r="K7990" s="549"/>
      <c r="M7990" s="465"/>
      <c r="N7990" s="201"/>
    </row>
    <row r="7991" spans="2:14" hidden="1" outlineLevel="1" x14ac:dyDescent="0.35">
      <c r="B7991" s="200"/>
      <c r="C7991" s="201"/>
      <c r="D7991" s="201"/>
      <c r="E7991" s="201"/>
      <c r="F7991" s="202"/>
      <c r="G7991" s="549"/>
      <c r="H7991" s="549"/>
      <c r="I7991" s="549"/>
      <c r="J7991" s="549"/>
      <c r="K7991" s="549"/>
      <c r="M7991" s="465"/>
      <c r="N7991" s="201"/>
    </row>
    <row r="7992" spans="2:14" hidden="1" outlineLevel="1" x14ac:dyDescent="0.35">
      <c r="B7992" s="200"/>
      <c r="C7992" s="201"/>
      <c r="D7992" s="201"/>
      <c r="E7992" s="201"/>
      <c r="F7992" s="202"/>
      <c r="G7992" s="549"/>
      <c r="H7992" s="549"/>
      <c r="I7992" s="549"/>
      <c r="J7992" s="549"/>
      <c r="K7992" s="549"/>
      <c r="M7992" s="465"/>
      <c r="N7992" s="201"/>
    </row>
    <row r="7993" spans="2:14" hidden="1" outlineLevel="1" x14ac:dyDescent="0.35">
      <c r="B7993" s="200"/>
      <c r="C7993" s="201"/>
      <c r="D7993" s="201"/>
      <c r="E7993" s="201"/>
      <c r="F7993" s="202"/>
      <c r="G7993" s="549"/>
      <c r="H7993" s="549"/>
      <c r="I7993" s="549"/>
      <c r="J7993" s="549"/>
      <c r="K7993" s="549"/>
      <c r="M7993" s="465"/>
      <c r="N7993" s="201"/>
    </row>
    <row r="7994" spans="2:14" hidden="1" outlineLevel="1" x14ac:dyDescent="0.35">
      <c r="B7994" s="200"/>
      <c r="C7994" s="201"/>
      <c r="D7994" s="201"/>
      <c r="E7994" s="201"/>
      <c r="F7994" s="202"/>
      <c r="G7994" s="549"/>
      <c r="H7994" s="549"/>
      <c r="I7994" s="549"/>
      <c r="J7994" s="549"/>
      <c r="K7994" s="549"/>
      <c r="M7994" s="465"/>
      <c r="N7994" s="201"/>
    </row>
    <row r="7995" spans="2:14" hidden="1" outlineLevel="1" x14ac:dyDescent="0.35">
      <c r="B7995" s="200"/>
      <c r="C7995" s="201"/>
      <c r="D7995" s="201"/>
      <c r="E7995" s="201"/>
      <c r="F7995" s="202"/>
      <c r="G7995" s="549"/>
      <c r="H7995" s="549"/>
      <c r="I7995" s="549"/>
      <c r="J7995" s="549"/>
      <c r="K7995" s="549"/>
      <c r="M7995" s="465"/>
      <c r="N7995" s="201"/>
    </row>
    <row r="7996" spans="2:14" hidden="1" outlineLevel="1" x14ac:dyDescent="0.35">
      <c r="B7996" s="200"/>
      <c r="C7996" s="201"/>
      <c r="D7996" s="201"/>
      <c r="E7996" s="201"/>
      <c r="F7996" s="202"/>
      <c r="G7996" s="549"/>
      <c r="H7996" s="549"/>
      <c r="I7996" s="549"/>
      <c r="J7996" s="549"/>
      <c r="K7996" s="549"/>
      <c r="M7996" s="465"/>
      <c r="N7996" s="201"/>
    </row>
    <row r="7997" spans="2:14" hidden="1" outlineLevel="1" x14ac:dyDescent="0.35">
      <c r="B7997" s="200"/>
      <c r="C7997" s="201"/>
      <c r="D7997" s="201"/>
      <c r="E7997" s="201"/>
      <c r="F7997" s="202"/>
      <c r="G7997" s="549"/>
      <c r="H7997" s="549"/>
      <c r="I7997" s="549"/>
      <c r="J7997" s="549"/>
      <c r="K7997" s="549"/>
      <c r="M7997" s="465"/>
      <c r="N7997" s="201"/>
    </row>
    <row r="7998" spans="2:14" hidden="1" outlineLevel="1" x14ac:dyDescent="0.35">
      <c r="B7998" s="200"/>
      <c r="C7998" s="201"/>
      <c r="D7998" s="201"/>
      <c r="E7998" s="201"/>
      <c r="F7998" s="202"/>
      <c r="G7998" s="549"/>
      <c r="H7998" s="549"/>
      <c r="I7998" s="549"/>
      <c r="J7998" s="549"/>
      <c r="K7998" s="549"/>
      <c r="M7998" s="465"/>
      <c r="N7998" s="201"/>
    </row>
    <row r="7999" spans="2:14" hidden="1" outlineLevel="1" x14ac:dyDescent="0.35">
      <c r="B7999" s="200"/>
      <c r="C7999" s="201"/>
      <c r="D7999" s="201"/>
      <c r="E7999" s="201"/>
      <c r="F7999" s="202"/>
      <c r="G7999" s="549"/>
      <c r="H7999" s="549"/>
      <c r="I7999" s="549"/>
      <c r="J7999" s="549"/>
      <c r="K7999" s="549"/>
      <c r="M7999" s="465"/>
      <c r="N7999" s="201"/>
    </row>
    <row r="8000" spans="2:14" hidden="1" outlineLevel="1" x14ac:dyDescent="0.35">
      <c r="B8000" s="200"/>
      <c r="C8000" s="201"/>
      <c r="D8000" s="201"/>
      <c r="E8000" s="201"/>
      <c r="F8000" s="202"/>
      <c r="G8000" s="549"/>
      <c r="H8000" s="549"/>
      <c r="I8000" s="549"/>
      <c r="J8000" s="549"/>
      <c r="K8000" s="549"/>
      <c r="M8000" s="465"/>
      <c r="N8000" s="201"/>
    </row>
    <row r="8001" spans="2:14" hidden="1" outlineLevel="1" x14ac:dyDescent="0.35">
      <c r="B8001" s="200"/>
      <c r="C8001" s="201"/>
      <c r="D8001" s="201"/>
      <c r="E8001" s="201"/>
      <c r="F8001" s="202"/>
      <c r="G8001" s="549"/>
      <c r="H8001" s="549"/>
      <c r="I8001" s="549"/>
      <c r="J8001" s="549"/>
      <c r="K8001" s="549"/>
      <c r="M8001" s="465"/>
      <c r="N8001" s="201"/>
    </row>
    <row r="8002" spans="2:14" hidden="1" outlineLevel="1" x14ac:dyDescent="0.35">
      <c r="B8002" s="200"/>
      <c r="C8002" s="201"/>
      <c r="D8002" s="201"/>
      <c r="E8002" s="201"/>
      <c r="F8002" s="202"/>
      <c r="G8002" s="549"/>
      <c r="H8002" s="549"/>
      <c r="I8002" s="549"/>
      <c r="J8002" s="549"/>
      <c r="K8002" s="549"/>
      <c r="M8002" s="465"/>
      <c r="N8002" s="201"/>
    </row>
    <row r="8003" spans="2:14" hidden="1" outlineLevel="1" x14ac:dyDescent="0.35">
      <c r="B8003" s="200"/>
      <c r="C8003" s="201"/>
      <c r="D8003" s="201"/>
      <c r="E8003" s="201"/>
      <c r="F8003" s="202"/>
      <c r="G8003" s="549"/>
      <c r="H8003" s="549"/>
      <c r="I8003" s="549"/>
      <c r="J8003" s="549"/>
      <c r="K8003" s="549"/>
      <c r="M8003" s="465"/>
      <c r="N8003" s="201"/>
    </row>
    <row r="8004" spans="2:14" hidden="1" outlineLevel="1" x14ac:dyDescent="0.35">
      <c r="B8004" s="200"/>
      <c r="C8004" s="201"/>
      <c r="D8004" s="201"/>
      <c r="E8004" s="201"/>
      <c r="F8004" s="202"/>
      <c r="G8004" s="549"/>
      <c r="H8004" s="549"/>
      <c r="I8004" s="549"/>
      <c r="J8004" s="549"/>
      <c r="K8004" s="549"/>
      <c r="M8004" s="465"/>
      <c r="N8004" s="201"/>
    </row>
    <row r="8005" spans="2:14" hidden="1" outlineLevel="1" x14ac:dyDescent="0.35">
      <c r="B8005" s="200"/>
      <c r="C8005" s="201"/>
      <c r="D8005" s="201"/>
      <c r="E8005" s="201"/>
      <c r="F8005" s="202"/>
      <c r="G8005" s="549"/>
      <c r="H8005" s="549"/>
      <c r="I8005" s="549"/>
      <c r="J8005" s="549"/>
      <c r="K8005" s="549"/>
      <c r="M8005" s="465"/>
      <c r="N8005" s="201"/>
    </row>
    <row r="8006" spans="2:14" hidden="1" outlineLevel="1" x14ac:dyDescent="0.35">
      <c r="B8006" s="200"/>
      <c r="C8006" s="201"/>
      <c r="D8006" s="201"/>
      <c r="E8006" s="201"/>
      <c r="F8006" s="202"/>
      <c r="G8006" s="549"/>
      <c r="H8006" s="549"/>
      <c r="I8006" s="549"/>
      <c r="J8006" s="549"/>
      <c r="K8006" s="549"/>
      <c r="M8006" s="465"/>
      <c r="N8006" s="201"/>
    </row>
    <row r="8007" spans="2:14" hidden="1" outlineLevel="1" x14ac:dyDescent="0.35">
      <c r="B8007" s="200"/>
      <c r="C8007" s="201"/>
      <c r="D8007" s="201"/>
      <c r="E8007" s="201"/>
      <c r="F8007" s="202"/>
      <c r="G8007" s="549"/>
      <c r="H8007" s="549"/>
      <c r="I8007" s="549"/>
      <c r="J8007" s="549"/>
      <c r="K8007" s="549"/>
      <c r="M8007" s="465"/>
      <c r="N8007" s="201"/>
    </row>
    <row r="8008" spans="2:14" hidden="1" outlineLevel="1" x14ac:dyDescent="0.35">
      <c r="B8008" s="200"/>
      <c r="C8008" s="201"/>
      <c r="D8008" s="201"/>
      <c r="E8008" s="201"/>
      <c r="F8008" s="202"/>
      <c r="G8008" s="549"/>
      <c r="H8008" s="549"/>
      <c r="I8008" s="549"/>
      <c r="J8008" s="549"/>
      <c r="K8008" s="549"/>
      <c r="M8008" s="465"/>
      <c r="N8008" s="201"/>
    </row>
    <row r="8009" spans="2:14" hidden="1" outlineLevel="1" x14ac:dyDescent="0.35">
      <c r="B8009" s="200"/>
      <c r="C8009" s="201"/>
      <c r="D8009" s="201"/>
      <c r="E8009" s="201"/>
      <c r="F8009" s="202"/>
      <c r="G8009" s="549"/>
      <c r="H8009" s="549"/>
      <c r="I8009" s="549"/>
      <c r="J8009" s="549"/>
      <c r="K8009" s="549"/>
      <c r="M8009" s="465"/>
      <c r="N8009" s="201"/>
    </row>
    <row r="8010" spans="2:14" hidden="1" outlineLevel="1" x14ac:dyDescent="0.35">
      <c r="B8010" s="200"/>
      <c r="C8010" s="201"/>
      <c r="D8010" s="201"/>
      <c r="E8010" s="201"/>
      <c r="F8010" s="202"/>
      <c r="G8010" s="549"/>
      <c r="H8010" s="549"/>
      <c r="I8010" s="549"/>
      <c r="J8010" s="549"/>
      <c r="K8010" s="549"/>
      <c r="M8010" s="465"/>
      <c r="N8010" s="201"/>
    </row>
    <row r="8011" spans="2:14" hidden="1" outlineLevel="1" x14ac:dyDescent="0.35">
      <c r="B8011" s="200"/>
      <c r="C8011" s="201"/>
      <c r="D8011" s="201"/>
      <c r="E8011" s="201"/>
      <c r="F8011" s="202"/>
      <c r="G8011" s="549"/>
      <c r="H8011" s="549"/>
      <c r="I8011" s="549"/>
      <c r="J8011" s="549"/>
      <c r="K8011" s="549"/>
      <c r="M8011" s="465"/>
      <c r="N8011" s="201"/>
    </row>
    <row r="8012" spans="2:14" hidden="1" outlineLevel="1" x14ac:dyDescent="0.35">
      <c r="B8012" s="200"/>
      <c r="C8012" s="201"/>
      <c r="D8012" s="201"/>
      <c r="E8012" s="201"/>
      <c r="F8012" s="202"/>
      <c r="G8012" s="549"/>
      <c r="H8012" s="549"/>
      <c r="I8012" s="549"/>
      <c r="J8012" s="549"/>
      <c r="K8012" s="549"/>
      <c r="M8012" s="465"/>
      <c r="N8012" s="201"/>
    </row>
    <row r="8013" spans="2:14" hidden="1" outlineLevel="1" x14ac:dyDescent="0.35">
      <c r="B8013" s="200"/>
      <c r="C8013" s="201"/>
      <c r="D8013" s="201"/>
      <c r="E8013" s="201"/>
      <c r="F8013" s="202"/>
      <c r="G8013" s="549"/>
      <c r="H8013" s="549"/>
      <c r="I8013" s="549"/>
      <c r="J8013" s="549"/>
      <c r="K8013" s="549"/>
      <c r="M8013" s="465"/>
      <c r="N8013" s="201"/>
    </row>
    <row r="8014" spans="2:14" hidden="1" outlineLevel="1" x14ac:dyDescent="0.35">
      <c r="B8014" s="200"/>
      <c r="C8014" s="201"/>
      <c r="D8014" s="201"/>
      <c r="E8014" s="201"/>
      <c r="F8014" s="202"/>
      <c r="G8014" s="549"/>
      <c r="H8014" s="549"/>
      <c r="I8014" s="549"/>
      <c r="J8014" s="549"/>
      <c r="K8014" s="549"/>
      <c r="M8014" s="465"/>
      <c r="N8014" s="201"/>
    </row>
    <row r="8015" spans="2:14" hidden="1" outlineLevel="1" x14ac:dyDescent="0.35">
      <c r="B8015" s="200"/>
      <c r="C8015" s="201"/>
      <c r="D8015" s="201"/>
      <c r="E8015" s="201"/>
      <c r="F8015" s="202"/>
      <c r="G8015" s="549"/>
      <c r="H8015" s="549"/>
      <c r="I8015" s="549"/>
      <c r="J8015" s="549"/>
      <c r="K8015" s="549"/>
      <c r="M8015" s="465"/>
      <c r="N8015" s="201"/>
    </row>
    <row r="8016" spans="2:14" hidden="1" outlineLevel="1" x14ac:dyDescent="0.35">
      <c r="B8016" s="200"/>
      <c r="C8016" s="201"/>
      <c r="D8016" s="201"/>
      <c r="E8016" s="201"/>
      <c r="F8016" s="202"/>
      <c r="G8016" s="549"/>
      <c r="H8016" s="549"/>
      <c r="I8016" s="549"/>
      <c r="J8016" s="549"/>
      <c r="K8016" s="549"/>
      <c r="M8016" s="465"/>
      <c r="N8016" s="201"/>
    </row>
    <row r="8017" spans="2:14" hidden="1" outlineLevel="1" x14ac:dyDescent="0.35">
      <c r="B8017" s="200"/>
      <c r="C8017" s="201"/>
      <c r="D8017" s="201"/>
      <c r="E8017" s="201"/>
      <c r="F8017" s="202"/>
      <c r="G8017" s="549"/>
      <c r="H8017" s="549"/>
      <c r="I8017" s="549"/>
      <c r="J8017" s="549"/>
      <c r="K8017" s="549"/>
      <c r="M8017" s="465"/>
      <c r="N8017" s="201"/>
    </row>
    <row r="8018" spans="2:14" hidden="1" outlineLevel="1" x14ac:dyDescent="0.35">
      <c r="B8018" s="200"/>
      <c r="C8018" s="201"/>
      <c r="D8018" s="201"/>
      <c r="E8018" s="201"/>
      <c r="F8018" s="202"/>
      <c r="G8018" s="549"/>
      <c r="H8018" s="549"/>
      <c r="I8018" s="549"/>
      <c r="J8018" s="549"/>
      <c r="K8018" s="549"/>
      <c r="M8018" s="465"/>
      <c r="N8018" s="201"/>
    </row>
    <row r="8019" spans="2:14" hidden="1" outlineLevel="1" x14ac:dyDescent="0.35">
      <c r="B8019" s="200"/>
      <c r="C8019" s="201"/>
      <c r="D8019" s="201"/>
      <c r="E8019" s="201"/>
      <c r="F8019" s="202"/>
      <c r="G8019" s="549"/>
      <c r="H8019" s="549"/>
      <c r="I8019" s="549"/>
      <c r="J8019" s="549"/>
      <c r="K8019" s="549"/>
      <c r="M8019" s="465"/>
      <c r="N8019" s="201"/>
    </row>
    <row r="8020" spans="2:14" hidden="1" outlineLevel="1" x14ac:dyDescent="0.35">
      <c r="B8020" s="200"/>
      <c r="C8020" s="201"/>
      <c r="D8020" s="201"/>
      <c r="E8020" s="201"/>
      <c r="F8020" s="202"/>
      <c r="G8020" s="549"/>
      <c r="H8020" s="549"/>
      <c r="I8020" s="549"/>
      <c r="J8020" s="549"/>
      <c r="K8020" s="549"/>
      <c r="M8020" s="465"/>
      <c r="N8020" s="201"/>
    </row>
    <row r="8021" spans="2:14" hidden="1" outlineLevel="1" x14ac:dyDescent="0.35">
      <c r="B8021" s="200"/>
      <c r="C8021" s="201"/>
      <c r="D8021" s="201"/>
      <c r="E8021" s="201"/>
      <c r="F8021" s="202"/>
      <c r="G8021" s="549"/>
      <c r="H8021" s="549"/>
      <c r="I8021" s="549"/>
      <c r="J8021" s="549"/>
      <c r="K8021" s="549"/>
      <c r="M8021" s="465"/>
      <c r="N8021" s="201"/>
    </row>
    <row r="8022" spans="2:14" hidden="1" outlineLevel="1" x14ac:dyDescent="0.35">
      <c r="B8022" s="200"/>
      <c r="C8022" s="201"/>
      <c r="D8022" s="201"/>
      <c r="E8022" s="201"/>
      <c r="F8022" s="202"/>
      <c r="G8022" s="549"/>
      <c r="H8022" s="549"/>
      <c r="I8022" s="549"/>
      <c r="J8022" s="549"/>
      <c r="K8022" s="549"/>
      <c r="M8022" s="465"/>
      <c r="N8022" s="201"/>
    </row>
    <row r="8023" spans="2:14" hidden="1" outlineLevel="1" x14ac:dyDescent="0.35">
      <c r="B8023" s="200"/>
      <c r="C8023" s="201"/>
      <c r="D8023" s="201"/>
      <c r="E8023" s="201"/>
      <c r="F8023" s="202"/>
      <c r="G8023" s="549"/>
      <c r="H8023" s="549"/>
      <c r="I8023" s="549"/>
      <c r="J8023" s="549"/>
      <c r="K8023" s="549"/>
      <c r="M8023" s="465"/>
      <c r="N8023" s="201"/>
    </row>
    <row r="8024" spans="2:14" hidden="1" outlineLevel="1" x14ac:dyDescent="0.35">
      <c r="B8024" s="200"/>
      <c r="C8024" s="201"/>
      <c r="D8024" s="201"/>
      <c r="E8024" s="201"/>
      <c r="F8024" s="202"/>
      <c r="G8024" s="549"/>
      <c r="H8024" s="549"/>
      <c r="I8024" s="549"/>
      <c r="J8024" s="549"/>
      <c r="K8024" s="549"/>
      <c r="M8024" s="465"/>
      <c r="N8024" s="201"/>
    </row>
    <row r="8025" spans="2:14" hidden="1" outlineLevel="1" x14ac:dyDescent="0.35">
      <c r="B8025" s="200"/>
      <c r="C8025" s="201"/>
      <c r="D8025" s="201"/>
      <c r="E8025" s="201"/>
      <c r="F8025" s="202"/>
      <c r="G8025" s="549"/>
      <c r="H8025" s="549"/>
      <c r="I8025" s="549"/>
      <c r="J8025" s="549"/>
      <c r="K8025" s="549"/>
      <c r="M8025" s="465"/>
      <c r="N8025" s="201"/>
    </row>
    <row r="8026" spans="2:14" hidden="1" outlineLevel="1" x14ac:dyDescent="0.35">
      <c r="B8026" s="200"/>
      <c r="C8026" s="201"/>
      <c r="D8026" s="201"/>
      <c r="E8026" s="201"/>
      <c r="F8026" s="202"/>
      <c r="G8026" s="549"/>
      <c r="H8026" s="549"/>
      <c r="I8026" s="549"/>
      <c r="J8026" s="549"/>
      <c r="K8026" s="549"/>
      <c r="M8026" s="465"/>
      <c r="N8026" s="201"/>
    </row>
    <row r="8027" spans="2:14" hidden="1" outlineLevel="1" x14ac:dyDescent="0.35">
      <c r="B8027" s="200"/>
      <c r="C8027" s="201"/>
      <c r="D8027" s="201"/>
      <c r="E8027" s="201"/>
      <c r="F8027" s="202"/>
      <c r="G8027" s="549"/>
      <c r="H8027" s="549"/>
      <c r="I8027" s="549"/>
      <c r="J8027" s="549"/>
      <c r="K8027" s="549"/>
      <c r="M8027" s="465"/>
      <c r="N8027" s="201"/>
    </row>
    <row r="8028" spans="2:14" hidden="1" outlineLevel="1" x14ac:dyDescent="0.35">
      <c r="B8028" s="200"/>
      <c r="C8028" s="201"/>
      <c r="D8028" s="201"/>
      <c r="E8028" s="201"/>
      <c r="F8028" s="202"/>
      <c r="G8028" s="549"/>
      <c r="H8028" s="549"/>
      <c r="I8028" s="549"/>
      <c r="J8028" s="549"/>
      <c r="K8028" s="549"/>
      <c r="M8028" s="465"/>
      <c r="N8028" s="201"/>
    </row>
    <row r="8029" spans="2:14" hidden="1" outlineLevel="1" x14ac:dyDescent="0.35">
      <c r="B8029" s="200"/>
      <c r="C8029" s="201"/>
      <c r="D8029" s="201"/>
      <c r="E8029" s="201"/>
      <c r="F8029" s="202"/>
      <c r="G8029" s="549"/>
      <c r="H8029" s="549"/>
      <c r="I8029" s="549"/>
      <c r="J8029" s="549"/>
      <c r="K8029" s="549"/>
      <c r="M8029" s="465"/>
      <c r="N8029" s="201"/>
    </row>
    <row r="8030" spans="2:14" hidden="1" outlineLevel="1" x14ac:dyDescent="0.35">
      <c r="B8030" s="200"/>
      <c r="C8030" s="201"/>
      <c r="D8030" s="201"/>
      <c r="E8030" s="201"/>
      <c r="F8030" s="202"/>
      <c r="G8030" s="549"/>
      <c r="H8030" s="549"/>
      <c r="I8030" s="549"/>
      <c r="J8030" s="549"/>
      <c r="K8030" s="549"/>
      <c r="M8030" s="465"/>
      <c r="N8030" s="201"/>
    </row>
    <row r="8031" spans="2:14" hidden="1" outlineLevel="1" x14ac:dyDescent="0.35">
      <c r="B8031" s="200"/>
      <c r="C8031" s="201"/>
      <c r="D8031" s="201"/>
      <c r="E8031" s="201"/>
      <c r="F8031" s="202"/>
      <c r="G8031" s="549"/>
      <c r="H8031" s="549"/>
      <c r="I8031" s="549"/>
      <c r="J8031" s="549"/>
      <c r="K8031" s="549"/>
      <c r="M8031" s="465"/>
      <c r="N8031" s="201"/>
    </row>
    <row r="8032" spans="2:14" hidden="1" outlineLevel="1" x14ac:dyDescent="0.35">
      <c r="B8032" s="200"/>
      <c r="C8032" s="201"/>
      <c r="D8032" s="201"/>
      <c r="E8032" s="201"/>
      <c r="F8032" s="202"/>
      <c r="G8032" s="549"/>
      <c r="H8032" s="549"/>
      <c r="I8032" s="549"/>
      <c r="J8032" s="549"/>
      <c r="K8032" s="549"/>
      <c r="M8032" s="465"/>
      <c r="N8032" s="201"/>
    </row>
    <row r="8033" spans="2:14" hidden="1" outlineLevel="1" x14ac:dyDescent="0.35">
      <c r="B8033" s="200"/>
      <c r="C8033" s="201"/>
      <c r="D8033" s="201"/>
      <c r="E8033" s="201"/>
      <c r="F8033" s="202"/>
      <c r="G8033" s="549"/>
      <c r="H8033" s="549"/>
      <c r="I8033" s="549"/>
      <c r="J8033" s="549"/>
      <c r="K8033" s="549"/>
      <c r="M8033" s="465"/>
      <c r="N8033" s="201"/>
    </row>
    <row r="8034" spans="2:14" hidden="1" outlineLevel="1" x14ac:dyDescent="0.35">
      <c r="B8034" s="200"/>
      <c r="C8034" s="201"/>
      <c r="D8034" s="201"/>
      <c r="E8034" s="201"/>
      <c r="F8034" s="202"/>
      <c r="G8034" s="549"/>
      <c r="H8034" s="549"/>
      <c r="I8034" s="549"/>
      <c r="J8034" s="549"/>
      <c r="K8034" s="549"/>
      <c r="M8034" s="465"/>
      <c r="N8034" s="201"/>
    </row>
    <row r="8035" spans="2:14" hidden="1" outlineLevel="1" x14ac:dyDescent="0.35">
      <c r="B8035" s="200"/>
      <c r="C8035" s="201"/>
      <c r="D8035" s="201"/>
      <c r="E8035" s="201"/>
      <c r="F8035" s="202"/>
      <c r="G8035" s="549"/>
      <c r="H8035" s="549"/>
      <c r="I8035" s="549"/>
      <c r="J8035" s="549"/>
      <c r="K8035" s="549"/>
      <c r="M8035" s="465"/>
      <c r="N8035" s="201"/>
    </row>
    <row r="8036" spans="2:14" hidden="1" outlineLevel="1" x14ac:dyDescent="0.35">
      <c r="B8036" s="200"/>
      <c r="C8036" s="201"/>
      <c r="D8036" s="201"/>
      <c r="E8036" s="201"/>
      <c r="F8036" s="202"/>
      <c r="G8036" s="549"/>
      <c r="H8036" s="549"/>
      <c r="I8036" s="549"/>
      <c r="J8036" s="549"/>
      <c r="K8036" s="549"/>
      <c r="M8036" s="465"/>
      <c r="N8036" s="201"/>
    </row>
    <row r="8037" spans="2:14" hidden="1" outlineLevel="1" x14ac:dyDescent="0.35">
      <c r="B8037" s="200"/>
      <c r="C8037" s="201"/>
      <c r="D8037" s="201"/>
      <c r="E8037" s="201"/>
      <c r="F8037" s="202"/>
      <c r="G8037" s="549"/>
      <c r="H8037" s="549"/>
      <c r="I8037" s="549"/>
      <c r="J8037" s="549"/>
      <c r="K8037" s="549"/>
      <c r="M8037" s="465"/>
      <c r="N8037" s="201"/>
    </row>
    <row r="8038" spans="2:14" hidden="1" outlineLevel="1" x14ac:dyDescent="0.35">
      <c r="B8038" s="200"/>
      <c r="C8038" s="201"/>
      <c r="D8038" s="201"/>
      <c r="E8038" s="201"/>
      <c r="F8038" s="202"/>
      <c r="G8038" s="549"/>
      <c r="H8038" s="549"/>
      <c r="I8038" s="549"/>
      <c r="J8038" s="549"/>
      <c r="K8038" s="549"/>
      <c r="M8038" s="465"/>
      <c r="N8038" s="201"/>
    </row>
    <row r="8039" spans="2:14" hidden="1" outlineLevel="1" x14ac:dyDescent="0.35">
      <c r="B8039" s="200"/>
      <c r="C8039" s="201"/>
      <c r="D8039" s="201"/>
      <c r="E8039" s="201"/>
      <c r="F8039" s="202"/>
      <c r="G8039" s="549"/>
      <c r="H8039" s="549"/>
      <c r="I8039" s="549"/>
      <c r="J8039" s="549"/>
      <c r="K8039" s="549"/>
      <c r="M8039" s="465"/>
      <c r="N8039" s="201"/>
    </row>
    <row r="8040" spans="2:14" hidden="1" outlineLevel="1" x14ac:dyDescent="0.35">
      <c r="B8040" s="200"/>
      <c r="C8040" s="201"/>
      <c r="D8040" s="201"/>
      <c r="E8040" s="201"/>
      <c r="F8040" s="202"/>
      <c r="G8040" s="549"/>
      <c r="H8040" s="549"/>
      <c r="I8040" s="549"/>
      <c r="J8040" s="549"/>
      <c r="K8040" s="549"/>
      <c r="M8040" s="465"/>
      <c r="N8040" s="201"/>
    </row>
    <row r="8041" spans="2:14" hidden="1" outlineLevel="1" x14ac:dyDescent="0.35">
      <c r="B8041" s="200"/>
      <c r="C8041" s="201"/>
      <c r="D8041" s="201"/>
      <c r="E8041" s="201"/>
      <c r="F8041" s="202"/>
      <c r="G8041" s="549"/>
      <c r="H8041" s="549"/>
      <c r="I8041" s="549"/>
      <c r="J8041" s="549"/>
      <c r="K8041" s="549"/>
      <c r="M8041" s="465"/>
      <c r="N8041" s="201"/>
    </row>
    <row r="8042" spans="2:14" hidden="1" outlineLevel="1" x14ac:dyDescent="0.35">
      <c r="B8042" s="200"/>
      <c r="C8042" s="201"/>
      <c r="D8042" s="201"/>
      <c r="E8042" s="201"/>
      <c r="F8042" s="202"/>
      <c r="G8042" s="549"/>
      <c r="H8042" s="549"/>
      <c r="I8042" s="549"/>
      <c r="J8042" s="549"/>
      <c r="K8042" s="549"/>
      <c r="M8042" s="465"/>
      <c r="N8042" s="201"/>
    </row>
    <row r="8043" spans="2:14" hidden="1" outlineLevel="1" x14ac:dyDescent="0.35">
      <c r="B8043" s="200"/>
      <c r="C8043" s="201"/>
      <c r="D8043" s="201"/>
      <c r="E8043" s="201"/>
      <c r="F8043" s="202"/>
      <c r="G8043" s="549"/>
      <c r="H8043" s="549"/>
      <c r="I8043" s="549"/>
      <c r="J8043" s="549"/>
      <c r="K8043" s="549"/>
      <c r="M8043" s="465"/>
      <c r="N8043" s="201"/>
    </row>
    <row r="8044" spans="2:14" hidden="1" outlineLevel="1" x14ac:dyDescent="0.35">
      <c r="B8044" s="200"/>
      <c r="C8044" s="201"/>
      <c r="D8044" s="201"/>
      <c r="E8044" s="201"/>
      <c r="F8044" s="202"/>
      <c r="G8044" s="549"/>
      <c r="H8044" s="549"/>
      <c r="I8044" s="549"/>
      <c r="J8044" s="549"/>
      <c r="K8044" s="549"/>
      <c r="M8044" s="465"/>
      <c r="N8044" s="201"/>
    </row>
    <row r="8045" spans="2:14" hidden="1" outlineLevel="1" x14ac:dyDescent="0.35">
      <c r="B8045" s="200"/>
      <c r="C8045" s="201"/>
      <c r="D8045" s="201"/>
      <c r="E8045" s="201"/>
      <c r="F8045" s="202"/>
      <c r="G8045" s="549"/>
      <c r="H8045" s="549"/>
      <c r="I8045" s="549"/>
      <c r="J8045" s="549"/>
      <c r="K8045" s="549"/>
      <c r="M8045" s="465"/>
      <c r="N8045" s="201"/>
    </row>
    <row r="8046" spans="2:14" hidden="1" outlineLevel="1" x14ac:dyDescent="0.35">
      <c r="B8046" s="200"/>
      <c r="C8046" s="201"/>
      <c r="D8046" s="201"/>
      <c r="E8046" s="201"/>
      <c r="F8046" s="202"/>
      <c r="G8046" s="549"/>
      <c r="H8046" s="549"/>
      <c r="I8046" s="549"/>
      <c r="J8046" s="549"/>
      <c r="K8046" s="549"/>
      <c r="M8046" s="465"/>
      <c r="N8046" s="201"/>
    </row>
    <row r="8047" spans="2:14" hidden="1" outlineLevel="1" x14ac:dyDescent="0.35">
      <c r="B8047" s="200"/>
      <c r="C8047" s="201"/>
      <c r="D8047" s="201"/>
      <c r="E8047" s="201"/>
      <c r="F8047" s="202"/>
      <c r="G8047" s="549"/>
      <c r="H8047" s="549"/>
      <c r="I8047" s="549"/>
      <c r="J8047" s="549"/>
      <c r="K8047" s="549"/>
      <c r="M8047" s="465"/>
      <c r="N8047" s="201"/>
    </row>
    <row r="8048" spans="2:14" hidden="1" outlineLevel="1" x14ac:dyDescent="0.35">
      <c r="B8048" s="200"/>
      <c r="C8048" s="201"/>
      <c r="D8048" s="201"/>
      <c r="E8048" s="201"/>
      <c r="F8048" s="202"/>
      <c r="G8048" s="549"/>
      <c r="H8048" s="549"/>
      <c r="I8048" s="549"/>
      <c r="J8048" s="549"/>
      <c r="K8048" s="549"/>
      <c r="M8048" s="465"/>
      <c r="N8048" s="201"/>
    </row>
    <row r="8049" spans="2:14" hidden="1" outlineLevel="1" x14ac:dyDescent="0.35">
      <c r="B8049" s="200"/>
      <c r="C8049" s="201"/>
      <c r="D8049" s="201"/>
      <c r="E8049" s="201"/>
      <c r="F8049" s="202"/>
      <c r="G8049" s="549"/>
      <c r="H8049" s="549"/>
      <c r="I8049" s="549"/>
      <c r="J8049" s="549"/>
      <c r="K8049" s="549"/>
      <c r="M8049" s="465"/>
      <c r="N8049" s="201"/>
    </row>
    <row r="8050" spans="2:14" hidden="1" outlineLevel="1" x14ac:dyDescent="0.35">
      <c r="B8050" s="200"/>
      <c r="C8050" s="201"/>
      <c r="D8050" s="201"/>
      <c r="E8050" s="201"/>
      <c r="F8050" s="202"/>
      <c r="G8050" s="549"/>
      <c r="H8050" s="549"/>
      <c r="I8050" s="549"/>
      <c r="J8050" s="549"/>
      <c r="K8050" s="549"/>
      <c r="M8050" s="465"/>
      <c r="N8050" s="201"/>
    </row>
    <row r="8051" spans="2:14" hidden="1" outlineLevel="1" x14ac:dyDescent="0.35">
      <c r="B8051" s="200"/>
      <c r="C8051" s="201"/>
      <c r="D8051" s="201"/>
      <c r="E8051" s="201"/>
      <c r="F8051" s="202"/>
      <c r="G8051" s="549"/>
      <c r="H8051" s="549"/>
      <c r="I8051" s="549"/>
      <c r="J8051" s="549"/>
      <c r="K8051" s="549"/>
      <c r="M8051" s="465"/>
      <c r="N8051" s="201"/>
    </row>
    <row r="8052" spans="2:14" hidden="1" outlineLevel="1" x14ac:dyDescent="0.35">
      <c r="B8052" s="200"/>
      <c r="C8052" s="201"/>
      <c r="D8052" s="201"/>
      <c r="E8052" s="201"/>
      <c r="F8052" s="202"/>
      <c r="G8052" s="549"/>
      <c r="H8052" s="549"/>
      <c r="I8052" s="549"/>
      <c r="J8052" s="549"/>
      <c r="K8052" s="549"/>
      <c r="M8052" s="465"/>
      <c r="N8052" s="201"/>
    </row>
    <row r="8053" spans="2:14" hidden="1" outlineLevel="1" x14ac:dyDescent="0.35">
      <c r="B8053" s="200"/>
      <c r="C8053" s="201"/>
      <c r="D8053" s="201"/>
      <c r="E8053" s="201"/>
      <c r="F8053" s="202"/>
      <c r="G8053" s="549"/>
      <c r="H8053" s="549"/>
      <c r="I8053" s="549"/>
      <c r="J8053" s="549"/>
      <c r="K8053" s="549"/>
      <c r="M8053" s="465"/>
      <c r="N8053" s="201"/>
    </row>
    <row r="8054" spans="2:14" hidden="1" outlineLevel="1" x14ac:dyDescent="0.35">
      <c r="B8054" s="200"/>
      <c r="C8054" s="201"/>
      <c r="D8054" s="201"/>
      <c r="E8054" s="201"/>
      <c r="F8054" s="202"/>
      <c r="G8054" s="549"/>
      <c r="H8054" s="549"/>
      <c r="I8054" s="549"/>
      <c r="J8054" s="549"/>
      <c r="K8054" s="549"/>
      <c r="M8054" s="465"/>
      <c r="N8054" s="201"/>
    </row>
    <row r="8055" spans="2:14" hidden="1" outlineLevel="1" x14ac:dyDescent="0.35">
      <c r="B8055" s="200"/>
      <c r="C8055" s="201"/>
      <c r="D8055" s="201"/>
      <c r="E8055" s="201"/>
      <c r="F8055" s="202"/>
      <c r="G8055" s="549"/>
      <c r="H8055" s="549"/>
      <c r="I8055" s="549"/>
      <c r="J8055" s="549"/>
      <c r="K8055" s="549"/>
      <c r="M8055" s="465"/>
      <c r="N8055" s="201"/>
    </row>
    <row r="8056" spans="2:14" hidden="1" outlineLevel="1" x14ac:dyDescent="0.35">
      <c r="B8056" s="200"/>
      <c r="C8056" s="201"/>
      <c r="D8056" s="201"/>
      <c r="E8056" s="201"/>
      <c r="F8056" s="202"/>
      <c r="G8056" s="549"/>
      <c r="H8056" s="549"/>
      <c r="I8056" s="549"/>
      <c r="J8056" s="549"/>
      <c r="K8056" s="549"/>
      <c r="M8056" s="465"/>
      <c r="N8056" s="201"/>
    </row>
    <row r="8057" spans="2:14" hidden="1" outlineLevel="1" x14ac:dyDescent="0.35">
      <c r="B8057" s="200"/>
      <c r="C8057" s="201"/>
      <c r="D8057" s="201"/>
      <c r="E8057" s="201"/>
      <c r="F8057" s="202"/>
      <c r="G8057" s="549"/>
      <c r="H8057" s="549"/>
      <c r="I8057" s="549"/>
      <c r="J8057" s="549"/>
      <c r="K8057" s="549"/>
      <c r="M8057" s="465"/>
      <c r="N8057" s="201"/>
    </row>
    <row r="8058" spans="2:14" hidden="1" outlineLevel="1" x14ac:dyDescent="0.35">
      <c r="B8058" s="200"/>
      <c r="C8058" s="201"/>
      <c r="D8058" s="201"/>
      <c r="E8058" s="201"/>
      <c r="F8058" s="202"/>
      <c r="G8058" s="549"/>
      <c r="H8058" s="549"/>
      <c r="I8058" s="549"/>
      <c r="J8058" s="549"/>
      <c r="K8058" s="549"/>
      <c r="M8058" s="465"/>
      <c r="N8058" s="201"/>
    </row>
    <row r="8059" spans="2:14" hidden="1" outlineLevel="1" x14ac:dyDescent="0.35">
      <c r="B8059" s="200"/>
      <c r="C8059" s="201"/>
      <c r="D8059" s="201"/>
      <c r="E8059" s="201"/>
      <c r="F8059" s="202"/>
      <c r="G8059" s="549"/>
      <c r="H8059" s="549"/>
      <c r="I8059" s="549"/>
      <c r="J8059" s="549"/>
      <c r="K8059" s="549"/>
      <c r="M8059" s="465"/>
      <c r="N8059" s="201"/>
    </row>
    <row r="8060" spans="2:14" hidden="1" outlineLevel="1" x14ac:dyDescent="0.35">
      <c r="B8060" s="200"/>
      <c r="C8060" s="201"/>
      <c r="D8060" s="201"/>
      <c r="E8060" s="201"/>
      <c r="F8060" s="202"/>
      <c r="G8060" s="549"/>
      <c r="H8060" s="549"/>
      <c r="I8060" s="549"/>
      <c r="J8060" s="549"/>
      <c r="K8060" s="549"/>
      <c r="M8060" s="465"/>
      <c r="N8060" s="201"/>
    </row>
    <row r="8061" spans="2:14" hidden="1" outlineLevel="1" x14ac:dyDescent="0.35">
      <c r="B8061" s="200"/>
      <c r="C8061" s="201"/>
      <c r="D8061" s="201"/>
      <c r="E8061" s="201"/>
      <c r="F8061" s="202"/>
      <c r="G8061" s="549"/>
      <c r="H8061" s="549"/>
      <c r="I8061" s="549"/>
      <c r="J8061" s="549"/>
      <c r="K8061" s="549"/>
      <c r="M8061" s="465"/>
      <c r="N8061" s="201"/>
    </row>
    <row r="8062" spans="2:14" hidden="1" outlineLevel="1" x14ac:dyDescent="0.35">
      <c r="B8062" s="200"/>
      <c r="C8062" s="201"/>
      <c r="D8062" s="201"/>
      <c r="E8062" s="201"/>
      <c r="F8062" s="202"/>
      <c r="G8062" s="549"/>
      <c r="H8062" s="549"/>
      <c r="I8062" s="549"/>
      <c r="J8062" s="549"/>
      <c r="K8062" s="549"/>
      <c r="M8062" s="465"/>
      <c r="N8062" s="201"/>
    </row>
    <row r="8063" spans="2:14" hidden="1" outlineLevel="1" x14ac:dyDescent="0.35">
      <c r="B8063" s="200"/>
      <c r="C8063" s="201"/>
      <c r="D8063" s="201"/>
      <c r="E8063" s="201"/>
      <c r="F8063" s="202"/>
      <c r="G8063" s="549"/>
      <c r="H8063" s="549"/>
      <c r="I8063" s="549"/>
      <c r="J8063" s="549"/>
      <c r="K8063" s="549"/>
      <c r="M8063" s="465"/>
      <c r="N8063" s="201"/>
    </row>
    <row r="8064" spans="2:14" hidden="1" outlineLevel="1" x14ac:dyDescent="0.35">
      <c r="B8064" s="200"/>
      <c r="C8064" s="201"/>
      <c r="D8064" s="201"/>
      <c r="E8064" s="201"/>
      <c r="F8064" s="202"/>
      <c r="G8064" s="549"/>
      <c r="H8064" s="549"/>
      <c r="I8064" s="549"/>
      <c r="J8064" s="549"/>
      <c r="K8064" s="549"/>
      <c r="M8064" s="465"/>
      <c r="N8064" s="201"/>
    </row>
    <row r="8065" spans="2:14" hidden="1" outlineLevel="1" x14ac:dyDescent="0.35">
      <c r="B8065" s="200"/>
      <c r="C8065" s="201"/>
      <c r="D8065" s="201"/>
      <c r="E8065" s="201"/>
      <c r="F8065" s="202"/>
      <c r="G8065" s="549"/>
      <c r="H8065" s="549"/>
      <c r="I8065" s="549"/>
      <c r="J8065" s="549"/>
      <c r="K8065" s="549"/>
      <c r="M8065" s="465"/>
      <c r="N8065" s="201"/>
    </row>
    <row r="8066" spans="2:14" hidden="1" outlineLevel="1" x14ac:dyDescent="0.35">
      <c r="B8066" s="200"/>
      <c r="C8066" s="201"/>
      <c r="D8066" s="201"/>
      <c r="E8066" s="201"/>
      <c r="F8066" s="202"/>
      <c r="G8066" s="549"/>
      <c r="H8066" s="549"/>
      <c r="I8066" s="549"/>
      <c r="J8066" s="549"/>
      <c r="K8066" s="549"/>
      <c r="M8066" s="465"/>
      <c r="N8066" s="201"/>
    </row>
    <row r="8067" spans="2:14" hidden="1" outlineLevel="1" x14ac:dyDescent="0.35">
      <c r="B8067" s="200"/>
      <c r="C8067" s="201"/>
      <c r="D8067" s="201"/>
      <c r="E8067" s="201"/>
      <c r="F8067" s="202"/>
      <c r="G8067" s="549"/>
      <c r="H8067" s="549"/>
      <c r="I8067" s="549"/>
      <c r="J8067" s="549"/>
      <c r="K8067" s="549"/>
      <c r="M8067" s="465"/>
      <c r="N8067" s="201"/>
    </row>
    <row r="8068" spans="2:14" hidden="1" outlineLevel="1" x14ac:dyDescent="0.35">
      <c r="B8068" s="200"/>
      <c r="C8068" s="201"/>
      <c r="D8068" s="201"/>
      <c r="E8068" s="201"/>
      <c r="F8068" s="202"/>
      <c r="G8068" s="549"/>
      <c r="H8068" s="549"/>
      <c r="I8068" s="549"/>
      <c r="J8068" s="549"/>
      <c r="K8068" s="549"/>
      <c r="M8068" s="465"/>
      <c r="N8068" s="201"/>
    </row>
    <row r="8069" spans="2:14" hidden="1" outlineLevel="1" x14ac:dyDescent="0.35">
      <c r="B8069" s="200"/>
      <c r="C8069" s="201"/>
      <c r="D8069" s="201"/>
      <c r="E8069" s="201"/>
      <c r="F8069" s="202"/>
      <c r="G8069" s="549"/>
      <c r="H8069" s="549"/>
      <c r="I8069" s="549"/>
      <c r="J8069" s="549"/>
      <c r="K8069" s="549"/>
      <c r="M8069" s="465"/>
      <c r="N8069" s="201"/>
    </row>
    <row r="8070" spans="2:14" hidden="1" outlineLevel="1" x14ac:dyDescent="0.35">
      <c r="B8070" s="200"/>
      <c r="C8070" s="201"/>
      <c r="D8070" s="201"/>
      <c r="E8070" s="201"/>
      <c r="F8070" s="202"/>
      <c r="G8070" s="549"/>
      <c r="H8070" s="549"/>
      <c r="I8070" s="549"/>
      <c r="J8070" s="549"/>
      <c r="K8070" s="549"/>
      <c r="M8070" s="465"/>
      <c r="N8070" s="201"/>
    </row>
    <row r="8071" spans="2:14" hidden="1" outlineLevel="1" x14ac:dyDescent="0.35">
      <c r="B8071" s="200"/>
      <c r="C8071" s="201"/>
      <c r="D8071" s="201"/>
      <c r="E8071" s="201"/>
      <c r="F8071" s="202"/>
      <c r="G8071" s="549"/>
      <c r="H8071" s="549"/>
      <c r="I8071" s="549"/>
      <c r="J8071" s="549"/>
      <c r="K8071" s="549"/>
      <c r="M8071" s="465"/>
      <c r="N8071" s="201"/>
    </row>
    <row r="8072" spans="2:14" hidden="1" outlineLevel="1" x14ac:dyDescent="0.35">
      <c r="B8072" s="200"/>
      <c r="C8072" s="201"/>
      <c r="D8072" s="201"/>
      <c r="E8072" s="201"/>
      <c r="F8072" s="202"/>
      <c r="G8072" s="549"/>
      <c r="H8072" s="549"/>
      <c r="I8072" s="549"/>
      <c r="J8072" s="549"/>
      <c r="K8072" s="549"/>
      <c r="M8072" s="465"/>
      <c r="N8072" s="201"/>
    </row>
    <row r="8073" spans="2:14" hidden="1" outlineLevel="1" x14ac:dyDescent="0.35">
      <c r="B8073" s="200"/>
      <c r="C8073" s="201"/>
      <c r="D8073" s="201"/>
      <c r="E8073" s="201"/>
      <c r="F8073" s="202"/>
      <c r="G8073" s="549"/>
      <c r="H8073" s="549"/>
      <c r="I8073" s="549"/>
      <c r="J8073" s="549"/>
      <c r="K8073" s="549"/>
      <c r="M8073" s="465"/>
      <c r="N8073" s="201"/>
    </row>
    <row r="8074" spans="2:14" hidden="1" outlineLevel="1" x14ac:dyDescent="0.35">
      <c r="B8074" s="200"/>
      <c r="C8074" s="201"/>
      <c r="D8074" s="201"/>
      <c r="E8074" s="201"/>
      <c r="F8074" s="202"/>
      <c r="G8074" s="549"/>
      <c r="H8074" s="549"/>
      <c r="I8074" s="549"/>
      <c r="J8074" s="549"/>
      <c r="K8074" s="549"/>
      <c r="M8074" s="465"/>
      <c r="N8074" s="201"/>
    </row>
    <row r="8075" spans="2:14" hidden="1" outlineLevel="1" x14ac:dyDescent="0.35">
      <c r="B8075" s="200"/>
      <c r="C8075" s="201"/>
      <c r="D8075" s="201"/>
      <c r="E8075" s="201"/>
      <c r="F8075" s="202"/>
      <c r="G8075" s="549"/>
      <c r="H8075" s="549"/>
      <c r="I8075" s="549"/>
      <c r="J8075" s="549"/>
      <c r="K8075" s="549"/>
      <c r="M8075" s="465"/>
      <c r="N8075" s="201"/>
    </row>
    <row r="8076" spans="2:14" hidden="1" outlineLevel="1" x14ac:dyDescent="0.35">
      <c r="B8076" s="200"/>
      <c r="C8076" s="201"/>
      <c r="D8076" s="201"/>
      <c r="E8076" s="201"/>
      <c r="F8076" s="202"/>
      <c r="G8076" s="549"/>
      <c r="H8076" s="549"/>
      <c r="I8076" s="549"/>
      <c r="J8076" s="549"/>
      <c r="K8076" s="549"/>
      <c r="M8076" s="465"/>
      <c r="N8076" s="201"/>
    </row>
    <row r="8077" spans="2:14" hidden="1" outlineLevel="1" x14ac:dyDescent="0.35">
      <c r="B8077" s="200"/>
      <c r="C8077" s="201"/>
      <c r="D8077" s="201"/>
      <c r="E8077" s="201"/>
      <c r="F8077" s="202"/>
      <c r="G8077" s="549"/>
      <c r="H8077" s="549"/>
      <c r="I8077" s="549"/>
      <c r="J8077" s="549"/>
      <c r="K8077" s="549"/>
      <c r="M8077" s="465"/>
      <c r="N8077" s="201"/>
    </row>
    <row r="8078" spans="2:14" hidden="1" outlineLevel="1" x14ac:dyDescent="0.35">
      <c r="B8078" s="200"/>
      <c r="C8078" s="201"/>
      <c r="D8078" s="201"/>
      <c r="E8078" s="201"/>
      <c r="F8078" s="202"/>
      <c r="G8078" s="549"/>
      <c r="H8078" s="549"/>
      <c r="I8078" s="549"/>
      <c r="J8078" s="549"/>
      <c r="K8078" s="549"/>
      <c r="M8078" s="465"/>
      <c r="N8078" s="201"/>
    </row>
    <row r="8079" spans="2:14" hidden="1" outlineLevel="1" x14ac:dyDescent="0.35">
      <c r="B8079" s="200"/>
      <c r="C8079" s="201"/>
      <c r="D8079" s="201"/>
      <c r="E8079" s="201"/>
      <c r="F8079" s="202"/>
      <c r="G8079" s="549"/>
      <c r="H8079" s="549"/>
      <c r="I8079" s="549"/>
      <c r="J8079" s="549"/>
      <c r="K8079" s="549"/>
      <c r="M8079" s="465"/>
      <c r="N8079" s="201"/>
    </row>
    <row r="8080" spans="2:14" hidden="1" outlineLevel="1" x14ac:dyDescent="0.35">
      <c r="B8080" s="200"/>
      <c r="C8080" s="201"/>
      <c r="D8080" s="201"/>
      <c r="E8080" s="201"/>
      <c r="F8080" s="202"/>
      <c r="G8080" s="549"/>
      <c r="H8080" s="549"/>
      <c r="I8080" s="549"/>
      <c r="J8080" s="549"/>
      <c r="K8080" s="549"/>
      <c r="M8080" s="465"/>
      <c r="N8080" s="201"/>
    </row>
    <row r="8081" spans="2:14" hidden="1" outlineLevel="1" x14ac:dyDescent="0.35">
      <c r="B8081" s="200"/>
      <c r="C8081" s="201"/>
      <c r="D8081" s="201"/>
      <c r="E8081" s="201"/>
      <c r="F8081" s="202"/>
      <c r="G8081" s="549"/>
      <c r="H8081" s="549"/>
      <c r="I8081" s="549"/>
      <c r="J8081" s="549"/>
      <c r="K8081" s="549"/>
      <c r="M8081" s="465"/>
      <c r="N8081" s="201"/>
    </row>
    <row r="8082" spans="2:14" hidden="1" outlineLevel="1" x14ac:dyDescent="0.35">
      <c r="B8082" s="200"/>
      <c r="C8082" s="201"/>
      <c r="D8082" s="201"/>
      <c r="E8082" s="201"/>
      <c r="F8082" s="202"/>
      <c r="G8082" s="549"/>
      <c r="H8082" s="549"/>
      <c r="I8082" s="549"/>
      <c r="J8082" s="549"/>
      <c r="K8082" s="549"/>
      <c r="M8082" s="465"/>
      <c r="N8082" s="201"/>
    </row>
    <row r="8083" spans="2:14" hidden="1" outlineLevel="1" x14ac:dyDescent="0.35">
      <c r="B8083" s="200"/>
      <c r="C8083" s="201"/>
      <c r="D8083" s="201"/>
      <c r="E8083" s="201"/>
      <c r="F8083" s="202"/>
      <c r="G8083" s="549"/>
      <c r="H8083" s="549"/>
      <c r="I8083" s="549"/>
      <c r="J8083" s="549"/>
      <c r="K8083" s="549"/>
      <c r="M8083" s="465"/>
      <c r="N8083" s="201"/>
    </row>
    <row r="8084" spans="2:14" hidden="1" outlineLevel="1" x14ac:dyDescent="0.35">
      <c r="B8084" s="200"/>
      <c r="C8084" s="201"/>
      <c r="D8084" s="201"/>
      <c r="E8084" s="201"/>
      <c r="F8084" s="202"/>
      <c r="G8084" s="549"/>
      <c r="H8084" s="549"/>
      <c r="I8084" s="549"/>
      <c r="J8084" s="549"/>
      <c r="K8084" s="549"/>
      <c r="M8084" s="465"/>
      <c r="N8084" s="201"/>
    </row>
    <row r="8085" spans="2:14" hidden="1" outlineLevel="1" x14ac:dyDescent="0.35">
      <c r="B8085" s="200"/>
      <c r="C8085" s="201"/>
      <c r="D8085" s="201"/>
      <c r="E8085" s="201"/>
      <c r="F8085" s="202"/>
      <c r="G8085" s="549"/>
      <c r="H8085" s="549"/>
      <c r="I8085" s="549"/>
      <c r="J8085" s="549"/>
      <c r="K8085" s="549"/>
      <c r="M8085" s="465"/>
      <c r="N8085" s="201"/>
    </row>
    <row r="8086" spans="2:14" hidden="1" outlineLevel="1" x14ac:dyDescent="0.35">
      <c r="B8086" s="200"/>
      <c r="C8086" s="201"/>
      <c r="D8086" s="201"/>
      <c r="E8086" s="201"/>
      <c r="F8086" s="202"/>
      <c r="G8086" s="549"/>
      <c r="H8086" s="549"/>
      <c r="I8086" s="549"/>
      <c r="J8086" s="549"/>
      <c r="K8086" s="549"/>
      <c r="M8086" s="465"/>
      <c r="N8086" s="201"/>
    </row>
    <row r="8087" spans="2:14" hidden="1" outlineLevel="1" x14ac:dyDescent="0.35">
      <c r="B8087" s="200"/>
      <c r="C8087" s="201"/>
      <c r="D8087" s="201"/>
      <c r="E8087" s="201"/>
      <c r="F8087" s="202"/>
      <c r="G8087" s="549"/>
      <c r="H8087" s="549"/>
      <c r="I8087" s="549"/>
      <c r="J8087" s="549"/>
      <c r="K8087" s="549"/>
      <c r="M8087" s="465"/>
      <c r="N8087" s="201"/>
    </row>
    <row r="8088" spans="2:14" hidden="1" outlineLevel="1" x14ac:dyDescent="0.35">
      <c r="B8088" s="200"/>
      <c r="C8088" s="201"/>
      <c r="D8088" s="201"/>
      <c r="E8088" s="201"/>
      <c r="F8088" s="202"/>
      <c r="G8088" s="549"/>
      <c r="H8088" s="549"/>
      <c r="I8088" s="549"/>
      <c r="J8088" s="549"/>
      <c r="K8088" s="549"/>
      <c r="M8088" s="465"/>
      <c r="N8088" s="201"/>
    </row>
    <row r="8089" spans="2:14" hidden="1" outlineLevel="1" x14ac:dyDescent="0.35">
      <c r="B8089" s="200"/>
      <c r="C8089" s="201"/>
      <c r="D8089" s="201"/>
      <c r="E8089" s="201"/>
      <c r="F8089" s="202"/>
      <c r="G8089" s="549"/>
      <c r="H8089" s="549"/>
      <c r="I8089" s="549"/>
      <c r="J8089" s="549"/>
      <c r="K8089" s="549"/>
      <c r="M8089" s="465"/>
      <c r="N8089" s="201"/>
    </row>
    <row r="8090" spans="2:14" hidden="1" outlineLevel="1" x14ac:dyDescent="0.35">
      <c r="B8090" s="200"/>
      <c r="C8090" s="201"/>
      <c r="D8090" s="201"/>
      <c r="E8090" s="201"/>
      <c r="F8090" s="202"/>
      <c r="G8090" s="549"/>
      <c r="H8090" s="549"/>
      <c r="I8090" s="549"/>
      <c r="J8090" s="549"/>
      <c r="K8090" s="549"/>
      <c r="M8090" s="465"/>
      <c r="N8090" s="201"/>
    </row>
    <row r="8091" spans="2:14" hidden="1" outlineLevel="1" x14ac:dyDescent="0.35">
      <c r="B8091" s="200"/>
      <c r="C8091" s="201"/>
      <c r="D8091" s="201"/>
      <c r="E8091" s="201"/>
      <c r="F8091" s="202"/>
      <c r="G8091" s="549"/>
      <c r="H8091" s="549"/>
      <c r="I8091" s="549"/>
      <c r="J8091" s="549"/>
      <c r="K8091" s="549"/>
      <c r="M8091" s="465"/>
      <c r="N8091" s="201"/>
    </row>
    <row r="8092" spans="2:14" hidden="1" outlineLevel="1" x14ac:dyDescent="0.35">
      <c r="B8092" s="200"/>
      <c r="C8092" s="201"/>
      <c r="D8092" s="201"/>
      <c r="E8092" s="201"/>
      <c r="F8092" s="202"/>
      <c r="G8092" s="549"/>
      <c r="H8092" s="549"/>
      <c r="I8092" s="549"/>
      <c r="J8092" s="549"/>
      <c r="K8092" s="549"/>
      <c r="M8092" s="465"/>
      <c r="N8092" s="201"/>
    </row>
    <row r="8093" spans="2:14" hidden="1" outlineLevel="1" x14ac:dyDescent="0.35">
      <c r="B8093" s="200"/>
      <c r="C8093" s="201"/>
      <c r="D8093" s="201"/>
      <c r="E8093" s="201"/>
      <c r="F8093" s="202"/>
      <c r="G8093" s="549"/>
      <c r="H8093" s="549"/>
      <c r="I8093" s="549"/>
      <c r="J8093" s="549"/>
      <c r="K8093" s="549"/>
      <c r="M8093" s="465"/>
      <c r="N8093" s="201"/>
    </row>
    <row r="8094" spans="2:14" hidden="1" outlineLevel="1" x14ac:dyDescent="0.35">
      <c r="B8094" s="200"/>
      <c r="C8094" s="201"/>
      <c r="D8094" s="201"/>
      <c r="E8094" s="201"/>
      <c r="F8094" s="202"/>
      <c r="G8094" s="549"/>
      <c r="H8094" s="549"/>
      <c r="I8094" s="549"/>
      <c r="J8094" s="549"/>
      <c r="K8094" s="549"/>
      <c r="M8094" s="465"/>
      <c r="N8094" s="201"/>
    </row>
    <row r="8095" spans="2:14" hidden="1" outlineLevel="1" x14ac:dyDescent="0.35">
      <c r="B8095" s="200"/>
      <c r="C8095" s="201"/>
      <c r="D8095" s="201"/>
      <c r="E8095" s="201"/>
      <c r="F8095" s="202"/>
      <c r="G8095" s="549"/>
      <c r="H8095" s="549"/>
      <c r="I8095" s="549"/>
      <c r="J8095" s="549"/>
      <c r="K8095" s="549"/>
      <c r="M8095" s="465"/>
      <c r="N8095" s="201"/>
    </row>
    <row r="8096" spans="2:14" hidden="1" outlineLevel="1" x14ac:dyDescent="0.35">
      <c r="B8096" s="200"/>
      <c r="C8096" s="201"/>
      <c r="D8096" s="201"/>
      <c r="E8096" s="201"/>
      <c r="F8096" s="202"/>
      <c r="G8096" s="549"/>
      <c r="H8096" s="549"/>
      <c r="I8096" s="549"/>
      <c r="J8096" s="549"/>
      <c r="K8096" s="549"/>
      <c r="M8096" s="465"/>
      <c r="N8096" s="201"/>
    </row>
    <row r="8097" spans="2:14" hidden="1" outlineLevel="1" x14ac:dyDescent="0.35">
      <c r="B8097" s="200"/>
      <c r="C8097" s="201"/>
      <c r="D8097" s="201"/>
      <c r="E8097" s="201"/>
      <c r="F8097" s="202"/>
      <c r="G8097" s="549"/>
      <c r="H8097" s="549"/>
      <c r="I8097" s="549"/>
      <c r="J8097" s="549"/>
      <c r="K8097" s="549"/>
      <c r="M8097" s="465"/>
      <c r="N8097" s="201"/>
    </row>
    <row r="8098" spans="2:14" hidden="1" outlineLevel="1" x14ac:dyDescent="0.35">
      <c r="B8098" s="200"/>
      <c r="C8098" s="201"/>
      <c r="D8098" s="201"/>
      <c r="E8098" s="201"/>
      <c r="F8098" s="202"/>
      <c r="G8098" s="549"/>
      <c r="H8098" s="549"/>
      <c r="I8098" s="549"/>
      <c r="J8098" s="549"/>
      <c r="K8098" s="549"/>
      <c r="M8098" s="465"/>
      <c r="N8098" s="201"/>
    </row>
    <row r="8099" spans="2:14" hidden="1" outlineLevel="1" x14ac:dyDescent="0.35">
      <c r="B8099" s="200"/>
      <c r="C8099" s="201"/>
      <c r="D8099" s="201"/>
      <c r="E8099" s="201"/>
      <c r="F8099" s="202"/>
      <c r="G8099" s="549"/>
      <c r="H8099" s="549"/>
      <c r="I8099" s="549"/>
      <c r="J8099" s="549"/>
      <c r="K8099" s="549"/>
      <c r="M8099" s="465"/>
      <c r="N8099" s="201"/>
    </row>
    <row r="8100" spans="2:14" hidden="1" outlineLevel="1" x14ac:dyDescent="0.35">
      <c r="B8100" s="200"/>
      <c r="C8100" s="201"/>
      <c r="D8100" s="201"/>
      <c r="E8100" s="201"/>
      <c r="F8100" s="202"/>
      <c r="G8100" s="549"/>
      <c r="H8100" s="549"/>
      <c r="I8100" s="549"/>
      <c r="J8100" s="549"/>
      <c r="K8100" s="549"/>
      <c r="M8100" s="465"/>
      <c r="N8100" s="201"/>
    </row>
    <row r="8101" spans="2:14" hidden="1" outlineLevel="1" x14ac:dyDescent="0.35">
      <c r="B8101" s="200"/>
      <c r="C8101" s="201"/>
      <c r="D8101" s="201"/>
      <c r="E8101" s="201"/>
      <c r="F8101" s="202"/>
      <c r="G8101" s="549"/>
      <c r="H8101" s="549"/>
      <c r="I8101" s="549"/>
      <c r="J8101" s="549"/>
      <c r="K8101" s="549"/>
      <c r="M8101" s="465"/>
      <c r="N8101" s="201"/>
    </row>
    <row r="8102" spans="2:14" hidden="1" outlineLevel="1" x14ac:dyDescent="0.35">
      <c r="B8102" s="200"/>
      <c r="C8102" s="201"/>
      <c r="D8102" s="201"/>
      <c r="E8102" s="201"/>
      <c r="F8102" s="202"/>
      <c r="G8102" s="549"/>
      <c r="H8102" s="549"/>
      <c r="I8102" s="549"/>
      <c r="J8102" s="549"/>
      <c r="K8102" s="549"/>
      <c r="M8102" s="465"/>
      <c r="N8102" s="201"/>
    </row>
    <row r="8103" spans="2:14" hidden="1" outlineLevel="1" x14ac:dyDescent="0.35">
      <c r="B8103" s="200"/>
      <c r="C8103" s="201"/>
      <c r="D8103" s="201"/>
      <c r="E8103" s="201"/>
      <c r="F8103" s="202"/>
      <c r="G8103" s="549"/>
      <c r="H8103" s="549"/>
      <c r="I8103" s="549"/>
      <c r="J8103" s="549"/>
      <c r="K8103" s="549"/>
      <c r="M8103" s="465"/>
      <c r="N8103" s="201"/>
    </row>
    <row r="8104" spans="2:14" hidden="1" outlineLevel="1" x14ac:dyDescent="0.35">
      <c r="B8104" s="200"/>
      <c r="C8104" s="201"/>
      <c r="D8104" s="201"/>
      <c r="E8104" s="201"/>
      <c r="F8104" s="202"/>
      <c r="G8104" s="549"/>
      <c r="H8104" s="549"/>
      <c r="I8104" s="549"/>
      <c r="J8104" s="549"/>
      <c r="K8104" s="549"/>
      <c r="M8104" s="465"/>
      <c r="N8104" s="201"/>
    </row>
    <row r="8105" spans="2:14" hidden="1" outlineLevel="1" x14ac:dyDescent="0.35">
      <c r="B8105" s="200"/>
      <c r="C8105" s="201"/>
      <c r="D8105" s="201"/>
      <c r="E8105" s="201"/>
      <c r="F8105" s="202"/>
      <c r="G8105" s="549"/>
      <c r="H8105" s="549"/>
      <c r="I8105" s="549"/>
      <c r="J8105" s="549"/>
      <c r="K8105" s="549"/>
      <c r="M8105" s="465"/>
      <c r="N8105" s="201"/>
    </row>
    <row r="8106" spans="2:14" hidden="1" outlineLevel="1" x14ac:dyDescent="0.35">
      <c r="B8106" s="200"/>
      <c r="C8106" s="201"/>
      <c r="D8106" s="201"/>
      <c r="E8106" s="201"/>
      <c r="F8106" s="202"/>
      <c r="G8106" s="549"/>
      <c r="H8106" s="549"/>
      <c r="I8106" s="549"/>
      <c r="J8106" s="549"/>
      <c r="K8106" s="549"/>
      <c r="M8106" s="465"/>
      <c r="N8106" s="201"/>
    </row>
    <row r="8107" spans="2:14" hidden="1" outlineLevel="1" x14ac:dyDescent="0.35">
      <c r="B8107" s="200"/>
      <c r="C8107" s="201"/>
      <c r="D8107" s="201"/>
      <c r="E8107" s="201"/>
      <c r="F8107" s="202"/>
      <c r="G8107" s="549"/>
      <c r="H8107" s="549"/>
      <c r="I8107" s="549"/>
      <c r="J8107" s="549"/>
      <c r="K8107" s="549"/>
      <c r="M8107" s="465"/>
      <c r="N8107" s="201"/>
    </row>
    <row r="8108" spans="2:14" hidden="1" outlineLevel="1" x14ac:dyDescent="0.35">
      <c r="B8108" s="200"/>
      <c r="C8108" s="201"/>
      <c r="D8108" s="201"/>
      <c r="E8108" s="201"/>
      <c r="F8108" s="202"/>
      <c r="G8108" s="549"/>
      <c r="H8108" s="549"/>
      <c r="I8108" s="549"/>
      <c r="J8108" s="549"/>
      <c r="K8108" s="549"/>
      <c r="M8108" s="465"/>
      <c r="N8108" s="201"/>
    </row>
    <row r="8109" spans="2:14" hidden="1" outlineLevel="1" x14ac:dyDescent="0.35">
      <c r="B8109" s="200"/>
      <c r="C8109" s="201"/>
      <c r="D8109" s="201"/>
      <c r="E8109" s="201"/>
      <c r="F8109" s="202"/>
      <c r="G8109" s="549"/>
      <c r="H8109" s="549"/>
      <c r="I8109" s="549"/>
      <c r="J8109" s="549"/>
      <c r="K8109" s="549"/>
      <c r="M8109" s="465"/>
      <c r="N8109" s="201"/>
    </row>
    <row r="8110" spans="2:14" hidden="1" outlineLevel="1" x14ac:dyDescent="0.35">
      <c r="B8110" s="200"/>
      <c r="C8110" s="201"/>
      <c r="D8110" s="201"/>
      <c r="E8110" s="201"/>
      <c r="F8110" s="202"/>
      <c r="G8110" s="549"/>
      <c r="H8110" s="549"/>
      <c r="I8110" s="549"/>
      <c r="J8110" s="549"/>
      <c r="K8110" s="549"/>
      <c r="M8110" s="465"/>
      <c r="N8110" s="201"/>
    </row>
    <row r="8111" spans="2:14" hidden="1" outlineLevel="1" x14ac:dyDescent="0.35">
      <c r="B8111" s="200"/>
      <c r="C8111" s="201"/>
      <c r="D8111" s="201"/>
      <c r="E8111" s="201"/>
      <c r="F8111" s="202"/>
      <c r="G8111" s="549"/>
      <c r="H8111" s="549"/>
      <c r="I8111" s="549"/>
      <c r="J8111" s="549"/>
      <c r="K8111" s="549"/>
      <c r="M8111" s="465"/>
      <c r="N8111" s="201"/>
    </row>
    <row r="8112" spans="2:14" hidden="1" outlineLevel="1" x14ac:dyDescent="0.35">
      <c r="B8112" s="200"/>
      <c r="C8112" s="201"/>
      <c r="D8112" s="201"/>
      <c r="E8112" s="201"/>
      <c r="F8112" s="202"/>
      <c r="G8112" s="549"/>
      <c r="H8112" s="549"/>
      <c r="I8112" s="549"/>
      <c r="J8112" s="549"/>
      <c r="K8112" s="549"/>
      <c r="M8112" s="465"/>
      <c r="N8112" s="201"/>
    </row>
    <row r="8113" spans="2:14" hidden="1" outlineLevel="1" x14ac:dyDescent="0.35">
      <c r="B8113" s="200"/>
      <c r="C8113" s="201"/>
      <c r="D8113" s="201"/>
      <c r="E8113" s="201"/>
      <c r="F8113" s="202"/>
      <c r="G8113" s="549"/>
      <c r="H8113" s="549"/>
      <c r="I8113" s="549"/>
      <c r="J8113" s="549"/>
      <c r="K8113" s="549"/>
      <c r="M8113" s="465"/>
      <c r="N8113" s="201"/>
    </row>
    <row r="8114" spans="2:14" hidden="1" outlineLevel="1" x14ac:dyDescent="0.35">
      <c r="B8114" s="200"/>
      <c r="C8114" s="201"/>
      <c r="D8114" s="201"/>
      <c r="E8114" s="201"/>
      <c r="F8114" s="202"/>
      <c r="G8114" s="549"/>
      <c r="H8114" s="549"/>
      <c r="I8114" s="549"/>
      <c r="J8114" s="549"/>
      <c r="K8114" s="549"/>
      <c r="M8114" s="465"/>
      <c r="N8114" s="201"/>
    </row>
    <row r="8115" spans="2:14" hidden="1" outlineLevel="1" x14ac:dyDescent="0.35">
      <c r="B8115" s="200"/>
      <c r="C8115" s="201"/>
      <c r="D8115" s="201"/>
      <c r="E8115" s="201"/>
      <c r="F8115" s="202"/>
      <c r="G8115" s="549"/>
      <c r="H8115" s="549"/>
      <c r="I8115" s="549"/>
      <c r="J8115" s="549"/>
      <c r="K8115" s="549"/>
      <c r="M8115" s="465"/>
      <c r="N8115" s="201"/>
    </row>
    <row r="8116" spans="2:14" hidden="1" outlineLevel="1" x14ac:dyDescent="0.35">
      <c r="B8116" s="200"/>
      <c r="C8116" s="201"/>
      <c r="D8116" s="201"/>
      <c r="E8116" s="201"/>
      <c r="F8116" s="202"/>
      <c r="G8116" s="549"/>
      <c r="H8116" s="549"/>
      <c r="I8116" s="549"/>
      <c r="J8116" s="549"/>
      <c r="K8116" s="549"/>
      <c r="M8116" s="465"/>
      <c r="N8116" s="201"/>
    </row>
    <row r="8117" spans="2:14" hidden="1" outlineLevel="1" x14ac:dyDescent="0.35">
      <c r="B8117" s="200"/>
      <c r="C8117" s="201"/>
      <c r="D8117" s="201"/>
      <c r="E8117" s="201"/>
      <c r="F8117" s="202"/>
      <c r="G8117" s="549"/>
      <c r="H8117" s="549"/>
      <c r="I8117" s="549"/>
      <c r="J8117" s="549"/>
      <c r="K8117" s="549"/>
      <c r="M8117" s="465"/>
      <c r="N8117" s="201"/>
    </row>
    <row r="8118" spans="2:14" hidden="1" outlineLevel="1" x14ac:dyDescent="0.35">
      <c r="B8118" s="200"/>
      <c r="C8118" s="201"/>
      <c r="D8118" s="201"/>
      <c r="E8118" s="201"/>
      <c r="F8118" s="202"/>
      <c r="G8118" s="549"/>
      <c r="H8118" s="549"/>
      <c r="I8118" s="549"/>
      <c r="J8118" s="549"/>
      <c r="K8118" s="549"/>
      <c r="M8118" s="465"/>
      <c r="N8118" s="201"/>
    </row>
    <row r="8119" spans="2:14" hidden="1" outlineLevel="1" x14ac:dyDescent="0.35">
      <c r="B8119" s="200"/>
      <c r="C8119" s="201"/>
      <c r="D8119" s="201"/>
      <c r="E8119" s="201"/>
      <c r="F8119" s="202"/>
      <c r="G8119" s="549"/>
      <c r="H8119" s="549"/>
      <c r="I8119" s="549"/>
      <c r="J8119" s="549"/>
      <c r="K8119" s="549"/>
      <c r="M8119" s="465"/>
      <c r="N8119" s="201"/>
    </row>
    <row r="8120" spans="2:14" hidden="1" outlineLevel="1" x14ac:dyDescent="0.35">
      <c r="B8120" s="200"/>
      <c r="C8120" s="201"/>
      <c r="D8120" s="201"/>
      <c r="E8120" s="201"/>
      <c r="F8120" s="202"/>
      <c r="G8120" s="549"/>
      <c r="H8120" s="549"/>
      <c r="I8120" s="549"/>
      <c r="J8120" s="549"/>
      <c r="K8120" s="549"/>
      <c r="M8120" s="465"/>
      <c r="N8120" s="201"/>
    </row>
    <row r="8121" spans="2:14" hidden="1" outlineLevel="1" x14ac:dyDescent="0.35">
      <c r="B8121" s="200"/>
      <c r="C8121" s="201"/>
      <c r="D8121" s="201"/>
      <c r="E8121" s="201"/>
      <c r="F8121" s="202"/>
      <c r="G8121" s="549"/>
      <c r="H8121" s="549"/>
      <c r="I8121" s="549"/>
      <c r="J8121" s="549"/>
      <c r="K8121" s="549"/>
      <c r="M8121" s="465"/>
      <c r="N8121" s="201"/>
    </row>
    <row r="8122" spans="2:14" hidden="1" outlineLevel="1" x14ac:dyDescent="0.35">
      <c r="B8122" s="200"/>
      <c r="C8122" s="201"/>
      <c r="D8122" s="201"/>
      <c r="E8122" s="201"/>
      <c r="F8122" s="202"/>
      <c r="G8122" s="549"/>
      <c r="H8122" s="549"/>
      <c r="I8122" s="549"/>
      <c r="J8122" s="549"/>
      <c r="K8122" s="549"/>
      <c r="M8122" s="465"/>
      <c r="N8122" s="201"/>
    </row>
    <row r="8123" spans="2:14" hidden="1" outlineLevel="1" x14ac:dyDescent="0.35">
      <c r="B8123" s="200"/>
      <c r="C8123" s="201"/>
      <c r="D8123" s="201"/>
      <c r="E8123" s="201"/>
      <c r="F8123" s="202"/>
      <c r="G8123" s="549"/>
      <c r="H8123" s="549"/>
      <c r="I8123" s="549"/>
      <c r="J8123" s="549"/>
      <c r="K8123" s="549"/>
      <c r="M8123" s="465"/>
      <c r="N8123" s="201"/>
    </row>
    <row r="8124" spans="2:14" hidden="1" outlineLevel="1" x14ac:dyDescent="0.35">
      <c r="B8124" s="200"/>
      <c r="C8124" s="201"/>
      <c r="D8124" s="201"/>
      <c r="E8124" s="201"/>
      <c r="F8124" s="202"/>
      <c r="G8124" s="549"/>
      <c r="H8124" s="549"/>
      <c r="I8124" s="549"/>
      <c r="J8124" s="549"/>
      <c r="K8124" s="549"/>
      <c r="M8124" s="465"/>
      <c r="N8124" s="201"/>
    </row>
    <row r="8125" spans="2:14" hidden="1" outlineLevel="1" x14ac:dyDescent="0.35">
      <c r="B8125" s="200"/>
      <c r="C8125" s="201"/>
      <c r="D8125" s="201"/>
      <c r="E8125" s="201"/>
      <c r="F8125" s="202"/>
      <c r="G8125" s="549"/>
      <c r="H8125" s="549"/>
      <c r="I8125" s="549"/>
      <c r="J8125" s="549"/>
      <c r="K8125" s="549"/>
      <c r="M8125" s="465"/>
      <c r="N8125" s="201"/>
    </row>
    <row r="8126" spans="2:14" hidden="1" outlineLevel="1" x14ac:dyDescent="0.35">
      <c r="B8126" s="200"/>
      <c r="C8126" s="201"/>
      <c r="D8126" s="201"/>
      <c r="E8126" s="201"/>
      <c r="F8126" s="202"/>
      <c r="G8126" s="549"/>
      <c r="H8126" s="549"/>
      <c r="I8126" s="549"/>
      <c r="J8126" s="549"/>
      <c r="K8126" s="549"/>
      <c r="M8126" s="465"/>
      <c r="N8126" s="201"/>
    </row>
    <row r="8127" spans="2:14" hidden="1" outlineLevel="1" x14ac:dyDescent="0.35">
      <c r="B8127" s="200"/>
      <c r="C8127" s="201"/>
      <c r="D8127" s="201"/>
      <c r="E8127" s="201"/>
      <c r="F8127" s="202"/>
      <c r="G8127" s="549"/>
      <c r="H8127" s="549"/>
      <c r="I8127" s="549"/>
      <c r="J8127" s="549"/>
      <c r="K8127" s="549"/>
      <c r="M8127" s="465"/>
      <c r="N8127" s="201"/>
    </row>
    <row r="8128" spans="2:14" hidden="1" outlineLevel="1" x14ac:dyDescent="0.35">
      <c r="B8128" s="200"/>
      <c r="C8128" s="201"/>
      <c r="D8128" s="201"/>
      <c r="E8128" s="201"/>
      <c r="F8128" s="202"/>
      <c r="G8128" s="549"/>
      <c r="H8128" s="549"/>
      <c r="I8128" s="549"/>
      <c r="J8128" s="549"/>
      <c r="K8128" s="549"/>
      <c r="M8128" s="465"/>
      <c r="N8128" s="201"/>
    </row>
    <row r="8129" spans="2:14" hidden="1" outlineLevel="1" x14ac:dyDescent="0.35">
      <c r="B8129" s="200"/>
      <c r="C8129" s="201"/>
      <c r="D8129" s="201"/>
      <c r="E8129" s="201"/>
      <c r="F8129" s="202"/>
      <c r="G8129" s="549"/>
      <c r="H8129" s="549"/>
      <c r="I8129" s="549"/>
      <c r="J8129" s="549"/>
      <c r="K8129" s="549"/>
      <c r="M8129" s="465"/>
      <c r="N8129" s="201"/>
    </row>
    <row r="8130" spans="2:14" hidden="1" outlineLevel="1" x14ac:dyDescent="0.35">
      <c r="B8130" s="200"/>
      <c r="C8130" s="201"/>
      <c r="D8130" s="201"/>
      <c r="E8130" s="201"/>
      <c r="F8130" s="202"/>
      <c r="G8130" s="549"/>
      <c r="H8130" s="549"/>
      <c r="I8130" s="549"/>
      <c r="J8130" s="549"/>
      <c r="K8130" s="549"/>
      <c r="M8130" s="465"/>
      <c r="N8130" s="201"/>
    </row>
    <row r="8131" spans="2:14" hidden="1" outlineLevel="1" x14ac:dyDescent="0.35">
      <c r="B8131" s="200"/>
      <c r="C8131" s="201"/>
      <c r="D8131" s="201"/>
      <c r="E8131" s="201"/>
      <c r="F8131" s="202"/>
      <c r="G8131" s="549"/>
      <c r="H8131" s="549"/>
      <c r="I8131" s="549"/>
      <c r="J8131" s="549"/>
      <c r="K8131" s="549"/>
      <c r="M8131" s="465"/>
      <c r="N8131" s="201"/>
    </row>
    <row r="8132" spans="2:14" hidden="1" outlineLevel="1" x14ac:dyDescent="0.35">
      <c r="B8132" s="200"/>
      <c r="C8132" s="201"/>
      <c r="D8132" s="201"/>
      <c r="E8132" s="201"/>
      <c r="F8132" s="202"/>
      <c r="G8132" s="549"/>
      <c r="H8132" s="549"/>
      <c r="I8132" s="549"/>
      <c r="J8132" s="549"/>
      <c r="K8132" s="549"/>
      <c r="M8132" s="465"/>
      <c r="N8132" s="201"/>
    </row>
    <row r="8133" spans="2:14" hidden="1" outlineLevel="1" x14ac:dyDescent="0.35">
      <c r="B8133" s="200"/>
      <c r="C8133" s="201"/>
      <c r="D8133" s="201"/>
      <c r="E8133" s="201"/>
      <c r="F8133" s="202"/>
      <c r="G8133" s="549"/>
      <c r="H8133" s="549"/>
      <c r="I8133" s="549"/>
      <c r="J8133" s="549"/>
      <c r="K8133" s="549"/>
      <c r="M8133" s="465"/>
      <c r="N8133" s="201"/>
    </row>
    <row r="8134" spans="2:14" hidden="1" outlineLevel="1" x14ac:dyDescent="0.35">
      <c r="B8134" s="200"/>
      <c r="C8134" s="201"/>
      <c r="D8134" s="201"/>
      <c r="E8134" s="201"/>
      <c r="F8134" s="202"/>
      <c r="G8134" s="549"/>
      <c r="H8134" s="549"/>
      <c r="I8134" s="549"/>
      <c r="J8134" s="549"/>
      <c r="K8134" s="549"/>
      <c r="M8134" s="465"/>
      <c r="N8134" s="201"/>
    </row>
    <row r="8135" spans="2:14" hidden="1" outlineLevel="1" x14ac:dyDescent="0.35">
      <c r="B8135" s="200"/>
      <c r="C8135" s="201"/>
      <c r="D8135" s="201"/>
      <c r="E8135" s="201"/>
      <c r="F8135" s="202"/>
      <c r="G8135" s="549"/>
      <c r="H8135" s="549"/>
      <c r="I8135" s="549"/>
      <c r="J8135" s="549"/>
      <c r="K8135" s="549"/>
      <c r="M8135" s="465"/>
      <c r="N8135" s="201"/>
    </row>
    <row r="8136" spans="2:14" hidden="1" outlineLevel="1" x14ac:dyDescent="0.35">
      <c r="B8136" s="200"/>
      <c r="C8136" s="201"/>
      <c r="D8136" s="201"/>
      <c r="E8136" s="201"/>
      <c r="F8136" s="202"/>
      <c r="G8136" s="549"/>
      <c r="H8136" s="549"/>
      <c r="I8136" s="549"/>
      <c r="J8136" s="549"/>
      <c r="K8136" s="549"/>
      <c r="M8136" s="465"/>
      <c r="N8136" s="201"/>
    </row>
    <row r="8137" spans="2:14" hidden="1" outlineLevel="1" x14ac:dyDescent="0.35">
      <c r="B8137" s="200"/>
      <c r="C8137" s="201"/>
      <c r="D8137" s="201"/>
      <c r="E8137" s="201"/>
      <c r="F8137" s="202"/>
      <c r="G8137" s="549"/>
      <c r="H8137" s="549"/>
      <c r="I8137" s="549"/>
      <c r="J8137" s="549"/>
      <c r="K8137" s="549"/>
      <c r="M8137" s="465"/>
      <c r="N8137" s="201"/>
    </row>
    <row r="8138" spans="2:14" hidden="1" outlineLevel="1" x14ac:dyDescent="0.35">
      <c r="B8138" s="200"/>
      <c r="C8138" s="201"/>
      <c r="D8138" s="201"/>
      <c r="E8138" s="201"/>
      <c r="F8138" s="202"/>
      <c r="G8138" s="549"/>
      <c r="H8138" s="549"/>
      <c r="I8138" s="549"/>
      <c r="J8138" s="549"/>
      <c r="K8138" s="549"/>
      <c r="M8138" s="465"/>
      <c r="N8138" s="201"/>
    </row>
    <row r="8139" spans="2:14" hidden="1" outlineLevel="1" x14ac:dyDescent="0.35">
      <c r="B8139" s="200"/>
      <c r="C8139" s="201"/>
      <c r="D8139" s="201"/>
      <c r="E8139" s="201"/>
      <c r="F8139" s="202"/>
      <c r="G8139" s="549"/>
      <c r="H8139" s="549"/>
      <c r="I8139" s="549"/>
      <c r="J8139" s="549"/>
      <c r="K8139" s="549"/>
      <c r="M8139" s="465"/>
      <c r="N8139" s="201"/>
    </row>
    <row r="8140" spans="2:14" hidden="1" outlineLevel="1" x14ac:dyDescent="0.35">
      <c r="B8140" s="200"/>
      <c r="C8140" s="201"/>
      <c r="D8140" s="201"/>
      <c r="E8140" s="201"/>
      <c r="F8140" s="202"/>
      <c r="G8140" s="549"/>
      <c r="H8140" s="549"/>
      <c r="I8140" s="549"/>
      <c r="J8140" s="549"/>
      <c r="K8140" s="549"/>
      <c r="M8140" s="465"/>
      <c r="N8140" s="201"/>
    </row>
    <row r="8141" spans="2:14" hidden="1" outlineLevel="1" x14ac:dyDescent="0.35">
      <c r="B8141" s="200"/>
      <c r="C8141" s="201"/>
      <c r="D8141" s="201"/>
      <c r="E8141" s="201"/>
      <c r="F8141" s="202"/>
      <c r="G8141" s="549"/>
      <c r="H8141" s="549"/>
      <c r="I8141" s="549"/>
      <c r="J8141" s="549"/>
      <c r="K8141" s="549"/>
      <c r="M8141" s="465"/>
      <c r="N8141" s="201"/>
    </row>
    <row r="8142" spans="2:14" hidden="1" outlineLevel="1" x14ac:dyDescent="0.35">
      <c r="B8142" s="200"/>
      <c r="C8142" s="201"/>
      <c r="D8142" s="201"/>
      <c r="E8142" s="201"/>
      <c r="F8142" s="202"/>
      <c r="G8142" s="549"/>
      <c r="H8142" s="549"/>
      <c r="I8142" s="549"/>
      <c r="J8142" s="549"/>
      <c r="K8142" s="549"/>
      <c r="M8142" s="465"/>
      <c r="N8142" s="201"/>
    </row>
    <row r="8143" spans="2:14" hidden="1" outlineLevel="1" x14ac:dyDescent="0.35">
      <c r="B8143" s="200"/>
      <c r="C8143" s="201"/>
      <c r="D8143" s="201"/>
      <c r="E8143" s="201"/>
      <c r="F8143" s="202"/>
      <c r="G8143" s="549"/>
      <c r="H8143" s="549"/>
      <c r="I8143" s="549"/>
      <c r="J8143" s="549"/>
      <c r="K8143" s="549"/>
      <c r="M8143" s="465"/>
      <c r="N8143" s="201"/>
    </row>
    <row r="8144" spans="2:14" hidden="1" outlineLevel="1" x14ac:dyDescent="0.35">
      <c r="B8144" s="200"/>
      <c r="C8144" s="201"/>
      <c r="D8144" s="201"/>
      <c r="E8144" s="201"/>
      <c r="F8144" s="202"/>
      <c r="G8144" s="549"/>
      <c r="H8144" s="549"/>
      <c r="I8144" s="549"/>
      <c r="J8144" s="549"/>
      <c r="K8144" s="549"/>
      <c r="M8144" s="465"/>
      <c r="N8144" s="201"/>
    </row>
    <row r="8145" spans="2:14" hidden="1" outlineLevel="1" x14ac:dyDescent="0.35">
      <c r="B8145" s="200"/>
      <c r="C8145" s="201"/>
      <c r="D8145" s="201"/>
      <c r="E8145" s="201"/>
      <c r="F8145" s="202"/>
      <c r="G8145" s="549"/>
      <c r="H8145" s="549"/>
      <c r="I8145" s="549"/>
      <c r="J8145" s="549"/>
      <c r="K8145" s="549"/>
      <c r="M8145" s="465"/>
      <c r="N8145" s="201"/>
    </row>
    <row r="8146" spans="2:14" hidden="1" outlineLevel="1" x14ac:dyDescent="0.35">
      <c r="B8146" s="200"/>
      <c r="C8146" s="201"/>
      <c r="D8146" s="201"/>
      <c r="E8146" s="201"/>
      <c r="F8146" s="202"/>
      <c r="G8146" s="549"/>
      <c r="H8146" s="549"/>
      <c r="I8146" s="549"/>
      <c r="J8146" s="549"/>
      <c r="K8146" s="549"/>
      <c r="M8146" s="465"/>
      <c r="N8146" s="201"/>
    </row>
    <row r="8147" spans="2:14" hidden="1" outlineLevel="1" x14ac:dyDescent="0.35">
      <c r="B8147" s="200"/>
      <c r="C8147" s="201"/>
      <c r="D8147" s="201"/>
      <c r="E8147" s="201"/>
      <c r="F8147" s="202"/>
      <c r="G8147" s="549"/>
      <c r="H8147" s="549"/>
      <c r="I8147" s="549"/>
      <c r="J8147" s="549"/>
      <c r="K8147" s="549"/>
      <c r="M8147" s="465"/>
      <c r="N8147" s="201"/>
    </row>
    <row r="8148" spans="2:14" hidden="1" outlineLevel="1" x14ac:dyDescent="0.35">
      <c r="B8148" s="200"/>
      <c r="C8148" s="201"/>
      <c r="D8148" s="201"/>
      <c r="E8148" s="201"/>
      <c r="F8148" s="202"/>
      <c r="G8148" s="549"/>
      <c r="H8148" s="549"/>
      <c r="I8148" s="549"/>
      <c r="J8148" s="549"/>
      <c r="K8148" s="549"/>
      <c r="M8148" s="465"/>
      <c r="N8148" s="201"/>
    </row>
    <row r="8149" spans="2:14" hidden="1" outlineLevel="1" x14ac:dyDescent="0.35">
      <c r="B8149" s="200"/>
      <c r="C8149" s="201"/>
      <c r="D8149" s="201"/>
      <c r="E8149" s="201"/>
      <c r="F8149" s="202"/>
      <c r="G8149" s="549"/>
      <c r="H8149" s="549"/>
      <c r="I8149" s="549"/>
      <c r="J8149" s="549"/>
      <c r="K8149" s="549"/>
      <c r="M8149" s="465"/>
      <c r="N8149" s="201"/>
    </row>
    <row r="8150" spans="2:14" hidden="1" outlineLevel="1" x14ac:dyDescent="0.35">
      <c r="B8150" s="200"/>
      <c r="C8150" s="201"/>
      <c r="D8150" s="201"/>
      <c r="E8150" s="201"/>
      <c r="F8150" s="202"/>
      <c r="G8150" s="549"/>
      <c r="H8150" s="549"/>
      <c r="I8150" s="549"/>
      <c r="J8150" s="549"/>
      <c r="K8150" s="549"/>
      <c r="M8150" s="465"/>
      <c r="N8150" s="201"/>
    </row>
    <row r="8151" spans="2:14" hidden="1" outlineLevel="1" x14ac:dyDescent="0.35">
      <c r="B8151" s="200"/>
      <c r="C8151" s="201"/>
      <c r="D8151" s="201"/>
      <c r="E8151" s="201"/>
      <c r="F8151" s="202"/>
      <c r="G8151" s="549"/>
      <c r="H8151" s="549"/>
      <c r="I8151" s="549"/>
      <c r="J8151" s="549"/>
      <c r="K8151" s="549"/>
      <c r="M8151" s="465"/>
      <c r="N8151" s="201"/>
    </row>
    <row r="8152" spans="2:14" hidden="1" outlineLevel="1" x14ac:dyDescent="0.35">
      <c r="B8152" s="200"/>
      <c r="C8152" s="201"/>
      <c r="D8152" s="201"/>
      <c r="E8152" s="201"/>
      <c r="F8152" s="202"/>
      <c r="G8152" s="549"/>
      <c r="H8152" s="549"/>
      <c r="I8152" s="549"/>
      <c r="J8152" s="549"/>
      <c r="K8152" s="549"/>
      <c r="M8152" s="465"/>
      <c r="N8152" s="201"/>
    </row>
    <row r="8153" spans="2:14" hidden="1" outlineLevel="1" x14ac:dyDescent="0.35">
      <c r="B8153" s="200"/>
      <c r="C8153" s="201"/>
      <c r="D8153" s="201"/>
      <c r="E8153" s="201"/>
      <c r="F8153" s="202"/>
      <c r="G8153" s="549"/>
      <c r="H8153" s="549"/>
      <c r="I8153" s="549"/>
      <c r="J8153" s="549"/>
      <c r="K8153" s="549"/>
      <c r="M8153" s="465"/>
      <c r="N8153" s="201"/>
    </row>
    <row r="8154" spans="2:14" hidden="1" outlineLevel="1" x14ac:dyDescent="0.35">
      <c r="B8154" s="200"/>
      <c r="C8154" s="201"/>
      <c r="D8154" s="201"/>
      <c r="E8154" s="201"/>
      <c r="F8154" s="202"/>
      <c r="G8154" s="549"/>
      <c r="H8154" s="549"/>
      <c r="I8154" s="549"/>
      <c r="J8154" s="549"/>
      <c r="K8154" s="549"/>
      <c r="M8154" s="465"/>
      <c r="N8154" s="201"/>
    </row>
    <row r="8155" spans="2:14" hidden="1" outlineLevel="1" x14ac:dyDescent="0.35">
      <c r="B8155" s="200"/>
      <c r="C8155" s="201"/>
      <c r="D8155" s="201"/>
      <c r="E8155" s="201"/>
      <c r="F8155" s="202"/>
      <c r="G8155" s="549"/>
      <c r="H8155" s="549"/>
      <c r="I8155" s="549"/>
      <c r="J8155" s="549"/>
      <c r="K8155" s="549"/>
      <c r="M8155" s="465"/>
      <c r="N8155" s="201"/>
    </row>
    <row r="8156" spans="2:14" hidden="1" outlineLevel="1" x14ac:dyDescent="0.35">
      <c r="B8156" s="200"/>
      <c r="C8156" s="201"/>
      <c r="D8156" s="201"/>
      <c r="E8156" s="201"/>
      <c r="F8156" s="202"/>
      <c r="G8156" s="549"/>
      <c r="H8156" s="549"/>
      <c r="I8156" s="549"/>
      <c r="J8156" s="549"/>
      <c r="K8156" s="549"/>
      <c r="M8156" s="465"/>
      <c r="N8156" s="201"/>
    </row>
    <row r="8157" spans="2:14" hidden="1" outlineLevel="1" x14ac:dyDescent="0.35">
      <c r="B8157" s="200"/>
      <c r="C8157" s="201"/>
      <c r="D8157" s="201"/>
      <c r="E8157" s="201"/>
      <c r="F8157" s="202"/>
      <c r="G8157" s="549"/>
      <c r="H8157" s="549"/>
      <c r="I8157" s="549"/>
      <c r="J8157" s="549"/>
      <c r="K8157" s="549"/>
      <c r="M8157" s="465"/>
      <c r="N8157" s="201"/>
    </row>
    <row r="8158" spans="2:14" hidden="1" outlineLevel="1" x14ac:dyDescent="0.35">
      <c r="B8158" s="200"/>
      <c r="C8158" s="201"/>
      <c r="D8158" s="201"/>
      <c r="E8158" s="201"/>
      <c r="F8158" s="202"/>
      <c r="G8158" s="549"/>
      <c r="H8158" s="549"/>
      <c r="I8158" s="549"/>
      <c r="J8158" s="549"/>
      <c r="K8158" s="549"/>
      <c r="M8158" s="465"/>
      <c r="N8158" s="201"/>
    </row>
    <row r="8159" spans="2:14" hidden="1" outlineLevel="1" x14ac:dyDescent="0.35">
      <c r="B8159" s="200"/>
      <c r="C8159" s="201"/>
      <c r="D8159" s="201"/>
      <c r="E8159" s="201"/>
      <c r="F8159" s="202"/>
      <c r="G8159" s="549"/>
      <c r="H8159" s="549"/>
      <c r="I8159" s="549"/>
      <c r="J8159" s="549"/>
      <c r="K8159" s="549"/>
      <c r="M8159" s="465"/>
      <c r="N8159" s="201"/>
    </row>
    <row r="8160" spans="2:14" hidden="1" outlineLevel="1" x14ac:dyDescent="0.35">
      <c r="B8160" s="200"/>
      <c r="C8160" s="201"/>
      <c r="D8160" s="201"/>
      <c r="E8160" s="201"/>
      <c r="F8160" s="202"/>
      <c r="G8160" s="549"/>
      <c r="H8160" s="549"/>
      <c r="I8160" s="549"/>
      <c r="J8160" s="549"/>
      <c r="K8160" s="549"/>
      <c r="M8160" s="465"/>
      <c r="N8160" s="201"/>
    </row>
    <row r="8161" spans="2:14" hidden="1" outlineLevel="1" x14ac:dyDescent="0.35">
      <c r="B8161" s="200"/>
      <c r="C8161" s="201"/>
      <c r="D8161" s="201"/>
      <c r="E8161" s="201"/>
      <c r="F8161" s="202"/>
      <c r="G8161" s="549"/>
      <c r="H8161" s="549"/>
      <c r="I8161" s="549"/>
      <c r="J8161" s="549"/>
      <c r="K8161" s="549"/>
      <c r="M8161" s="465"/>
      <c r="N8161" s="201"/>
    </row>
    <row r="8162" spans="2:14" hidden="1" outlineLevel="1" x14ac:dyDescent="0.35">
      <c r="B8162" s="200"/>
      <c r="C8162" s="201"/>
      <c r="D8162" s="201"/>
      <c r="E8162" s="201"/>
      <c r="F8162" s="202"/>
      <c r="G8162" s="549"/>
      <c r="H8162" s="549"/>
      <c r="I8162" s="549"/>
      <c r="J8162" s="549"/>
      <c r="K8162" s="549"/>
      <c r="M8162" s="465"/>
      <c r="N8162" s="201"/>
    </row>
    <row r="8163" spans="2:14" hidden="1" outlineLevel="1" x14ac:dyDescent="0.35">
      <c r="B8163" s="200"/>
      <c r="C8163" s="201"/>
      <c r="D8163" s="201"/>
      <c r="E8163" s="201"/>
      <c r="F8163" s="202"/>
      <c r="G8163" s="549"/>
      <c r="H8163" s="549"/>
      <c r="I8163" s="549"/>
      <c r="J8163" s="549"/>
      <c r="K8163" s="549"/>
      <c r="M8163" s="465"/>
      <c r="N8163" s="201"/>
    </row>
    <row r="8164" spans="2:14" hidden="1" outlineLevel="1" x14ac:dyDescent="0.35">
      <c r="B8164" s="200"/>
      <c r="C8164" s="201"/>
      <c r="D8164" s="201"/>
      <c r="E8164" s="201"/>
      <c r="F8164" s="202"/>
      <c r="G8164" s="549"/>
      <c r="H8164" s="549"/>
      <c r="I8164" s="549"/>
      <c r="J8164" s="549"/>
      <c r="K8164" s="549"/>
      <c r="M8164" s="465"/>
      <c r="N8164" s="201"/>
    </row>
    <row r="8165" spans="2:14" hidden="1" outlineLevel="1" x14ac:dyDescent="0.35">
      <c r="B8165" s="200"/>
      <c r="C8165" s="201"/>
      <c r="D8165" s="201"/>
      <c r="E8165" s="201"/>
      <c r="F8165" s="202"/>
      <c r="G8165" s="549"/>
      <c r="H8165" s="549"/>
      <c r="I8165" s="549"/>
      <c r="J8165" s="549"/>
      <c r="K8165" s="549"/>
      <c r="M8165" s="465"/>
      <c r="N8165" s="201"/>
    </row>
    <row r="8166" spans="2:14" hidden="1" outlineLevel="1" x14ac:dyDescent="0.35">
      <c r="B8166" s="200"/>
      <c r="C8166" s="201"/>
      <c r="D8166" s="201"/>
      <c r="E8166" s="201"/>
      <c r="F8166" s="202"/>
      <c r="G8166" s="549"/>
      <c r="H8166" s="549"/>
      <c r="I8166" s="549"/>
      <c r="J8166" s="549"/>
      <c r="K8166" s="549"/>
      <c r="M8166" s="465"/>
      <c r="N8166" s="201"/>
    </row>
    <row r="8167" spans="2:14" hidden="1" outlineLevel="1" x14ac:dyDescent="0.35">
      <c r="B8167" s="200"/>
      <c r="C8167" s="201"/>
      <c r="D8167" s="201"/>
      <c r="E8167" s="201"/>
      <c r="F8167" s="202"/>
      <c r="G8167" s="549"/>
      <c r="H8167" s="549"/>
      <c r="I8167" s="549"/>
      <c r="J8167" s="549"/>
      <c r="K8167" s="549"/>
      <c r="M8167" s="465"/>
      <c r="N8167" s="201"/>
    </row>
    <row r="8168" spans="2:14" hidden="1" outlineLevel="1" x14ac:dyDescent="0.35">
      <c r="B8168" s="200"/>
      <c r="C8168" s="201"/>
      <c r="D8168" s="201"/>
      <c r="E8168" s="201"/>
      <c r="F8168" s="202"/>
      <c r="G8168" s="549"/>
      <c r="H8168" s="549"/>
      <c r="I8168" s="549"/>
      <c r="J8168" s="549"/>
      <c r="K8168" s="549"/>
      <c r="M8168" s="465"/>
      <c r="N8168" s="201"/>
    </row>
    <row r="8169" spans="2:14" hidden="1" outlineLevel="1" x14ac:dyDescent="0.35">
      <c r="B8169" s="200"/>
      <c r="C8169" s="201"/>
      <c r="D8169" s="201"/>
      <c r="E8169" s="201"/>
      <c r="F8169" s="202"/>
      <c r="G8169" s="549"/>
      <c r="H8169" s="549"/>
      <c r="I8169" s="549"/>
      <c r="J8169" s="549"/>
      <c r="K8169" s="549"/>
      <c r="M8169" s="465"/>
      <c r="N8169" s="201"/>
    </row>
    <row r="8170" spans="2:14" hidden="1" outlineLevel="1" x14ac:dyDescent="0.35">
      <c r="B8170" s="200"/>
      <c r="C8170" s="201"/>
      <c r="D8170" s="201"/>
      <c r="E8170" s="201"/>
      <c r="F8170" s="202"/>
      <c r="G8170" s="549"/>
      <c r="H8170" s="549"/>
      <c r="I8170" s="549"/>
      <c r="J8170" s="549"/>
      <c r="K8170" s="549"/>
      <c r="M8170" s="465"/>
      <c r="N8170" s="201"/>
    </row>
    <row r="8171" spans="2:14" hidden="1" outlineLevel="1" x14ac:dyDescent="0.35">
      <c r="B8171" s="200"/>
      <c r="C8171" s="201"/>
      <c r="D8171" s="201"/>
      <c r="E8171" s="201"/>
      <c r="F8171" s="202"/>
      <c r="G8171" s="549"/>
      <c r="H8171" s="549"/>
      <c r="I8171" s="549"/>
      <c r="J8171" s="549"/>
      <c r="K8171" s="549"/>
      <c r="M8171" s="465"/>
      <c r="N8171" s="201"/>
    </row>
    <row r="8172" spans="2:14" hidden="1" outlineLevel="1" x14ac:dyDescent="0.35">
      <c r="B8172" s="200"/>
      <c r="C8172" s="201"/>
      <c r="D8172" s="201"/>
      <c r="E8172" s="201"/>
      <c r="F8172" s="202"/>
      <c r="G8172" s="549"/>
      <c r="H8172" s="549"/>
      <c r="I8172" s="549"/>
      <c r="J8172" s="549"/>
      <c r="K8172" s="549"/>
      <c r="M8172" s="465"/>
      <c r="N8172" s="201"/>
    </row>
    <row r="8173" spans="2:14" hidden="1" outlineLevel="1" x14ac:dyDescent="0.35">
      <c r="B8173" s="200"/>
      <c r="C8173" s="201"/>
      <c r="D8173" s="201"/>
      <c r="E8173" s="201"/>
      <c r="F8173" s="202"/>
      <c r="G8173" s="549"/>
      <c r="H8173" s="549"/>
      <c r="I8173" s="549"/>
      <c r="J8173" s="549"/>
      <c r="K8173" s="549"/>
      <c r="M8173" s="465"/>
      <c r="N8173" s="201"/>
    </row>
    <row r="8174" spans="2:14" hidden="1" outlineLevel="1" x14ac:dyDescent="0.35">
      <c r="B8174" s="200"/>
      <c r="C8174" s="201"/>
      <c r="D8174" s="201"/>
      <c r="E8174" s="201"/>
      <c r="F8174" s="202"/>
      <c r="G8174" s="549"/>
      <c r="H8174" s="549"/>
      <c r="I8174" s="549"/>
      <c r="J8174" s="549"/>
      <c r="K8174" s="549"/>
      <c r="M8174" s="465"/>
      <c r="N8174" s="201"/>
    </row>
    <row r="8175" spans="2:14" hidden="1" outlineLevel="1" x14ac:dyDescent="0.35">
      <c r="B8175" s="200"/>
      <c r="C8175" s="201"/>
      <c r="D8175" s="201"/>
      <c r="E8175" s="201"/>
      <c r="F8175" s="202"/>
      <c r="G8175" s="549"/>
      <c r="H8175" s="549"/>
      <c r="I8175" s="549"/>
      <c r="J8175" s="549"/>
      <c r="K8175" s="549"/>
      <c r="M8175" s="465"/>
      <c r="N8175" s="201"/>
    </row>
    <row r="8176" spans="2:14" hidden="1" outlineLevel="1" x14ac:dyDescent="0.35">
      <c r="B8176" s="200"/>
      <c r="C8176" s="201"/>
      <c r="D8176" s="201"/>
      <c r="E8176" s="201"/>
      <c r="F8176" s="202"/>
      <c r="G8176" s="549"/>
      <c r="H8176" s="549"/>
      <c r="I8176" s="549"/>
      <c r="J8176" s="549"/>
      <c r="K8176" s="549"/>
      <c r="M8176" s="465"/>
      <c r="N8176" s="201"/>
    </row>
    <row r="8177" spans="2:14" hidden="1" outlineLevel="1" x14ac:dyDescent="0.35">
      <c r="B8177" s="200"/>
      <c r="C8177" s="201"/>
      <c r="D8177" s="201"/>
      <c r="E8177" s="201"/>
      <c r="F8177" s="202"/>
      <c r="G8177" s="549"/>
      <c r="H8177" s="549"/>
      <c r="I8177" s="549"/>
      <c r="J8177" s="549"/>
      <c r="K8177" s="549"/>
      <c r="M8177" s="465"/>
      <c r="N8177" s="201"/>
    </row>
    <row r="8178" spans="2:14" hidden="1" outlineLevel="1" x14ac:dyDescent="0.35">
      <c r="B8178" s="200"/>
      <c r="C8178" s="201"/>
      <c r="D8178" s="201"/>
      <c r="E8178" s="201"/>
      <c r="F8178" s="202"/>
      <c r="G8178" s="549"/>
      <c r="H8178" s="549"/>
      <c r="I8178" s="549"/>
      <c r="J8178" s="549"/>
      <c r="K8178" s="549"/>
      <c r="M8178" s="465"/>
      <c r="N8178" s="201"/>
    </row>
    <row r="8179" spans="2:14" hidden="1" outlineLevel="1" x14ac:dyDescent="0.35">
      <c r="B8179" s="200"/>
      <c r="C8179" s="201"/>
      <c r="D8179" s="201"/>
      <c r="E8179" s="201"/>
      <c r="F8179" s="202"/>
      <c r="G8179" s="549"/>
      <c r="H8179" s="549"/>
      <c r="I8179" s="549"/>
      <c r="J8179" s="549"/>
      <c r="K8179" s="549"/>
      <c r="M8179" s="465"/>
      <c r="N8179" s="201"/>
    </row>
    <row r="8180" spans="2:14" hidden="1" outlineLevel="1" x14ac:dyDescent="0.35">
      <c r="B8180" s="200"/>
      <c r="C8180" s="201"/>
      <c r="D8180" s="201"/>
      <c r="E8180" s="201"/>
      <c r="F8180" s="202"/>
      <c r="G8180" s="549"/>
      <c r="H8180" s="549"/>
      <c r="I8180" s="549"/>
      <c r="J8180" s="549"/>
      <c r="K8180" s="549"/>
      <c r="M8180" s="465"/>
      <c r="N8180" s="201"/>
    </row>
    <row r="8181" spans="2:14" hidden="1" outlineLevel="1" x14ac:dyDescent="0.35">
      <c r="B8181" s="200"/>
      <c r="C8181" s="201"/>
      <c r="D8181" s="201"/>
      <c r="E8181" s="201"/>
      <c r="F8181" s="202"/>
      <c r="G8181" s="549"/>
      <c r="H8181" s="549"/>
      <c r="I8181" s="549"/>
      <c r="J8181" s="549"/>
      <c r="K8181" s="549"/>
      <c r="M8181" s="465"/>
      <c r="N8181" s="201"/>
    </row>
    <row r="8182" spans="2:14" hidden="1" outlineLevel="1" x14ac:dyDescent="0.35">
      <c r="B8182" s="200"/>
      <c r="C8182" s="201"/>
      <c r="D8182" s="201"/>
      <c r="E8182" s="201"/>
      <c r="F8182" s="202"/>
      <c r="G8182" s="549"/>
      <c r="H8182" s="549"/>
      <c r="I8182" s="549"/>
      <c r="J8182" s="549"/>
      <c r="K8182" s="549"/>
      <c r="M8182" s="465"/>
      <c r="N8182" s="201"/>
    </row>
    <row r="8183" spans="2:14" hidden="1" outlineLevel="1" x14ac:dyDescent="0.35">
      <c r="B8183" s="200"/>
      <c r="C8183" s="201"/>
      <c r="D8183" s="201"/>
      <c r="E8183" s="201"/>
      <c r="F8183" s="202"/>
      <c r="G8183" s="549"/>
      <c r="H8183" s="549"/>
      <c r="I8183" s="549"/>
      <c r="J8183" s="549"/>
      <c r="K8183" s="549"/>
      <c r="M8183" s="465"/>
      <c r="N8183" s="201"/>
    </row>
    <row r="8184" spans="2:14" hidden="1" outlineLevel="1" x14ac:dyDescent="0.35">
      <c r="B8184" s="200"/>
      <c r="C8184" s="201"/>
      <c r="D8184" s="201"/>
      <c r="E8184" s="201"/>
      <c r="F8184" s="202"/>
      <c r="G8184" s="549"/>
      <c r="H8184" s="549"/>
      <c r="I8184" s="549"/>
      <c r="J8184" s="549"/>
      <c r="K8184" s="549"/>
      <c r="M8184" s="465"/>
      <c r="N8184" s="201"/>
    </row>
    <row r="8185" spans="2:14" hidden="1" outlineLevel="1" x14ac:dyDescent="0.35">
      <c r="B8185" s="200"/>
      <c r="C8185" s="201"/>
      <c r="D8185" s="201"/>
      <c r="E8185" s="201"/>
      <c r="F8185" s="202"/>
      <c r="G8185" s="549"/>
      <c r="H8185" s="549"/>
      <c r="I8185" s="549"/>
      <c r="J8185" s="549"/>
      <c r="K8185" s="549"/>
      <c r="M8185" s="465"/>
      <c r="N8185" s="201"/>
    </row>
    <row r="8186" spans="2:14" hidden="1" outlineLevel="1" x14ac:dyDescent="0.35">
      <c r="B8186" s="200"/>
      <c r="C8186" s="201"/>
      <c r="D8186" s="201"/>
      <c r="E8186" s="201"/>
      <c r="F8186" s="202"/>
      <c r="G8186" s="549"/>
      <c r="H8186" s="549"/>
      <c r="I8186" s="549"/>
      <c r="J8186" s="549"/>
      <c r="K8186" s="549"/>
      <c r="M8186" s="465"/>
      <c r="N8186" s="201"/>
    </row>
    <row r="8187" spans="2:14" hidden="1" outlineLevel="1" x14ac:dyDescent="0.35">
      <c r="B8187" s="200"/>
      <c r="C8187" s="201"/>
      <c r="D8187" s="201"/>
      <c r="E8187" s="201"/>
      <c r="F8187" s="202"/>
      <c r="G8187" s="549"/>
      <c r="H8187" s="549"/>
      <c r="I8187" s="549"/>
      <c r="J8187" s="549"/>
      <c r="K8187" s="549"/>
      <c r="M8187" s="465"/>
      <c r="N8187" s="201"/>
    </row>
    <row r="8188" spans="2:14" hidden="1" outlineLevel="1" x14ac:dyDescent="0.35">
      <c r="B8188" s="200"/>
      <c r="C8188" s="201"/>
      <c r="D8188" s="201"/>
      <c r="E8188" s="201"/>
      <c r="F8188" s="202"/>
      <c r="G8188" s="549"/>
      <c r="H8188" s="549"/>
      <c r="I8188" s="549"/>
      <c r="J8188" s="549"/>
      <c r="K8188" s="549"/>
      <c r="M8188" s="465"/>
      <c r="N8188" s="201"/>
    </row>
    <row r="8189" spans="2:14" hidden="1" outlineLevel="1" x14ac:dyDescent="0.35">
      <c r="B8189" s="200"/>
      <c r="C8189" s="201"/>
      <c r="D8189" s="201"/>
      <c r="E8189" s="201"/>
      <c r="F8189" s="202"/>
      <c r="G8189" s="549"/>
      <c r="H8189" s="549"/>
      <c r="I8189" s="549"/>
      <c r="J8189" s="549"/>
      <c r="K8189" s="549"/>
      <c r="M8189" s="465"/>
      <c r="N8189" s="201"/>
    </row>
    <row r="8190" spans="2:14" hidden="1" outlineLevel="1" x14ac:dyDescent="0.35">
      <c r="B8190" s="200"/>
      <c r="C8190" s="201"/>
      <c r="D8190" s="201"/>
      <c r="E8190" s="201"/>
      <c r="F8190" s="202"/>
      <c r="G8190" s="549"/>
      <c r="H8190" s="549"/>
      <c r="I8190" s="549"/>
      <c r="J8190" s="549"/>
      <c r="K8190" s="549"/>
      <c r="M8190" s="465"/>
      <c r="N8190" s="201"/>
    </row>
    <row r="8191" spans="2:14" hidden="1" outlineLevel="1" x14ac:dyDescent="0.35">
      <c r="B8191" s="200"/>
      <c r="C8191" s="201"/>
      <c r="D8191" s="201"/>
      <c r="E8191" s="201"/>
      <c r="F8191" s="202"/>
      <c r="G8191" s="549"/>
      <c r="H8191" s="549"/>
      <c r="I8191" s="549"/>
      <c r="J8191" s="549"/>
      <c r="K8191" s="549"/>
      <c r="M8191" s="465"/>
      <c r="N8191" s="201"/>
    </row>
    <row r="8192" spans="2:14" hidden="1" outlineLevel="1" x14ac:dyDescent="0.35">
      <c r="B8192" s="200"/>
      <c r="C8192" s="201"/>
      <c r="D8192" s="201"/>
      <c r="E8192" s="201"/>
      <c r="F8192" s="202"/>
      <c r="G8192" s="549"/>
      <c r="H8192" s="549"/>
      <c r="I8192" s="549"/>
      <c r="J8192" s="549"/>
      <c r="K8192" s="549"/>
      <c r="M8192" s="465"/>
      <c r="N8192" s="201"/>
    </row>
    <row r="8193" spans="2:14" hidden="1" outlineLevel="1" x14ac:dyDescent="0.35">
      <c r="B8193" s="200"/>
      <c r="C8193" s="201"/>
      <c r="D8193" s="201"/>
      <c r="E8193" s="201"/>
      <c r="F8193" s="202"/>
      <c r="G8193" s="549"/>
      <c r="H8193" s="549"/>
      <c r="I8193" s="549"/>
      <c r="J8193" s="549"/>
      <c r="K8193" s="549"/>
      <c r="M8193" s="465"/>
      <c r="N8193" s="201"/>
    </row>
    <row r="8194" spans="2:14" hidden="1" outlineLevel="1" x14ac:dyDescent="0.35">
      <c r="B8194" s="200"/>
      <c r="C8194" s="201"/>
      <c r="D8194" s="201"/>
      <c r="E8194" s="201"/>
      <c r="F8194" s="202"/>
      <c r="G8194" s="549"/>
      <c r="H8194" s="549"/>
      <c r="I8194" s="549"/>
      <c r="J8194" s="549"/>
      <c r="K8194" s="549"/>
      <c r="M8194" s="465"/>
      <c r="N8194" s="201"/>
    </row>
    <row r="8195" spans="2:14" hidden="1" outlineLevel="1" x14ac:dyDescent="0.35">
      <c r="B8195" s="200"/>
      <c r="C8195" s="201"/>
      <c r="D8195" s="201"/>
      <c r="E8195" s="201"/>
      <c r="F8195" s="202"/>
      <c r="G8195" s="549"/>
      <c r="H8195" s="549"/>
      <c r="I8195" s="549"/>
      <c r="J8195" s="549"/>
      <c r="K8195" s="549"/>
      <c r="M8195" s="465"/>
      <c r="N8195" s="201"/>
    </row>
    <row r="8196" spans="2:14" hidden="1" outlineLevel="1" x14ac:dyDescent="0.35">
      <c r="B8196" s="200"/>
      <c r="C8196" s="201"/>
      <c r="D8196" s="201"/>
      <c r="E8196" s="201"/>
      <c r="F8196" s="202"/>
      <c r="G8196" s="549"/>
      <c r="H8196" s="549"/>
      <c r="I8196" s="549"/>
      <c r="J8196" s="549"/>
      <c r="K8196" s="549"/>
      <c r="M8196" s="465"/>
      <c r="N8196" s="201"/>
    </row>
    <row r="8197" spans="2:14" hidden="1" outlineLevel="1" x14ac:dyDescent="0.35">
      <c r="B8197" s="200"/>
      <c r="C8197" s="201"/>
      <c r="D8197" s="201"/>
      <c r="E8197" s="201"/>
      <c r="F8197" s="202"/>
      <c r="G8197" s="549"/>
      <c r="H8197" s="549"/>
      <c r="I8197" s="549"/>
      <c r="J8197" s="549"/>
      <c r="K8197" s="549"/>
      <c r="M8197" s="465"/>
      <c r="N8197" s="201"/>
    </row>
    <row r="8198" spans="2:14" hidden="1" outlineLevel="1" x14ac:dyDescent="0.35">
      <c r="B8198" s="200"/>
      <c r="C8198" s="201"/>
      <c r="D8198" s="201"/>
      <c r="E8198" s="201"/>
      <c r="F8198" s="202"/>
      <c r="G8198" s="549"/>
      <c r="H8198" s="549"/>
      <c r="I8198" s="549"/>
      <c r="J8198" s="549"/>
      <c r="K8198" s="549"/>
      <c r="M8198" s="465"/>
      <c r="N8198" s="201"/>
    </row>
    <row r="8199" spans="2:14" hidden="1" outlineLevel="1" x14ac:dyDescent="0.35">
      <c r="B8199" s="200"/>
      <c r="C8199" s="201"/>
      <c r="D8199" s="201"/>
      <c r="E8199" s="201"/>
      <c r="F8199" s="202"/>
      <c r="G8199" s="549"/>
      <c r="H8199" s="549"/>
      <c r="I8199" s="549"/>
      <c r="J8199" s="549"/>
      <c r="K8199" s="549"/>
      <c r="M8199" s="465"/>
      <c r="N8199" s="201"/>
    </row>
    <row r="8200" spans="2:14" hidden="1" outlineLevel="1" x14ac:dyDescent="0.35">
      <c r="B8200" s="200"/>
      <c r="C8200" s="201"/>
      <c r="D8200" s="201"/>
      <c r="E8200" s="201"/>
      <c r="F8200" s="202"/>
      <c r="G8200" s="549"/>
      <c r="H8200" s="549"/>
      <c r="I8200" s="549"/>
      <c r="J8200" s="549"/>
      <c r="K8200" s="549"/>
      <c r="M8200" s="465"/>
      <c r="N8200" s="201"/>
    </row>
    <row r="8201" spans="2:14" hidden="1" outlineLevel="1" x14ac:dyDescent="0.35">
      <c r="B8201" s="200"/>
      <c r="C8201" s="201"/>
      <c r="D8201" s="201"/>
      <c r="E8201" s="201"/>
      <c r="F8201" s="202"/>
      <c r="G8201" s="549"/>
      <c r="H8201" s="549"/>
      <c r="I8201" s="549"/>
      <c r="J8201" s="549"/>
      <c r="K8201" s="549"/>
      <c r="M8201" s="465"/>
      <c r="N8201" s="201"/>
    </row>
    <row r="8202" spans="2:14" hidden="1" outlineLevel="1" x14ac:dyDescent="0.35">
      <c r="B8202" s="200"/>
      <c r="C8202" s="201"/>
      <c r="D8202" s="201"/>
      <c r="E8202" s="201"/>
      <c r="F8202" s="202"/>
      <c r="G8202" s="549"/>
      <c r="H8202" s="549"/>
      <c r="I8202" s="549"/>
      <c r="J8202" s="549"/>
      <c r="K8202" s="549"/>
      <c r="M8202" s="465"/>
      <c r="N8202" s="201"/>
    </row>
    <row r="8203" spans="2:14" hidden="1" outlineLevel="1" x14ac:dyDescent="0.35">
      <c r="B8203" s="200"/>
      <c r="C8203" s="201"/>
      <c r="D8203" s="201"/>
      <c r="E8203" s="201"/>
      <c r="F8203" s="202"/>
      <c r="G8203" s="549"/>
      <c r="H8203" s="549"/>
      <c r="I8203" s="549"/>
      <c r="J8203" s="549"/>
      <c r="K8203" s="549"/>
      <c r="M8203" s="465"/>
      <c r="N8203" s="201"/>
    </row>
    <row r="8204" spans="2:14" hidden="1" outlineLevel="1" x14ac:dyDescent="0.35">
      <c r="B8204" s="200"/>
      <c r="C8204" s="201"/>
      <c r="D8204" s="201"/>
      <c r="E8204" s="201"/>
      <c r="F8204" s="202"/>
      <c r="G8204" s="549"/>
      <c r="H8204" s="549"/>
      <c r="I8204" s="549"/>
      <c r="J8204" s="549"/>
      <c r="K8204" s="549"/>
      <c r="M8204" s="465"/>
      <c r="N8204" s="201"/>
    </row>
    <row r="8205" spans="2:14" hidden="1" outlineLevel="1" x14ac:dyDescent="0.35">
      <c r="B8205" s="200"/>
      <c r="C8205" s="201"/>
      <c r="D8205" s="201"/>
      <c r="E8205" s="201"/>
      <c r="F8205" s="202"/>
      <c r="G8205" s="549"/>
      <c r="H8205" s="549"/>
      <c r="I8205" s="549"/>
      <c r="J8205" s="549"/>
      <c r="K8205" s="549"/>
      <c r="M8205" s="465"/>
      <c r="N8205" s="201"/>
    </row>
    <row r="8206" spans="2:14" hidden="1" outlineLevel="1" x14ac:dyDescent="0.35">
      <c r="B8206" s="200"/>
      <c r="C8206" s="201"/>
      <c r="D8206" s="201"/>
      <c r="E8206" s="201"/>
      <c r="F8206" s="202"/>
      <c r="G8206" s="549"/>
      <c r="H8206" s="549"/>
      <c r="I8206" s="549"/>
      <c r="J8206" s="549"/>
      <c r="K8206" s="549"/>
      <c r="M8206" s="465"/>
      <c r="N8206" s="201"/>
    </row>
    <row r="8207" spans="2:14" hidden="1" outlineLevel="1" x14ac:dyDescent="0.35">
      <c r="B8207" s="200"/>
      <c r="C8207" s="201"/>
      <c r="D8207" s="201"/>
      <c r="E8207" s="201"/>
      <c r="F8207" s="202"/>
      <c r="G8207" s="549"/>
      <c r="H8207" s="549"/>
      <c r="I8207" s="549"/>
      <c r="J8207" s="549"/>
      <c r="K8207" s="549"/>
      <c r="M8207" s="465"/>
      <c r="N8207" s="201"/>
    </row>
    <row r="8208" spans="2:14" hidden="1" outlineLevel="1" x14ac:dyDescent="0.35">
      <c r="B8208" s="200"/>
      <c r="C8208" s="201"/>
      <c r="D8208" s="201"/>
      <c r="E8208" s="201"/>
      <c r="F8208" s="202"/>
      <c r="G8208" s="549"/>
      <c r="H8208" s="549"/>
      <c r="I8208" s="549"/>
      <c r="J8208" s="549"/>
      <c r="K8208" s="549"/>
      <c r="M8208" s="465"/>
      <c r="N8208" s="201"/>
    </row>
    <row r="8209" spans="2:14" hidden="1" outlineLevel="1" x14ac:dyDescent="0.35">
      <c r="B8209" s="200"/>
      <c r="C8209" s="201"/>
      <c r="D8209" s="201"/>
      <c r="E8209" s="201"/>
      <c r="F8209" s="202"/>
      <c r="G8209" s="549"/>
      <c r="H8209" s="549"/>
      <c r="I8209" s="549"/>
      <c r="J8209" s="549"/>
      <c r="K8209" s="549"/>
      <c r="M8209" s="465"/>
      <c r="N8209" s="201"/>
    </row>
    <row r="8210" spans="2:14" hidden="1" outlineLevel="1" x14ac:dyDescent="0.35">
      <c r="B8210" s="200"/>
      <c r="C8210" s="201"/>
      <c r="D8210" s="201"/>
      <c r="E8210" s="201"/>
      <c r="F8210" s="202"/>
      <c r="G8210" s="549"/>
      <c r="H8210" s="549"/>
      <c r="I8210" s="549"/>
      <c r="J8210" s="549"/>
      <c r="K8210" s="549"/>
      <c r="M8210" s="465"/>
      <c r="N8210" s="201"/>
    </row>
    <row r="8211" spans="2:14" hidden="1" outlineLevel="1" x14ac:dyDescent="0.35">
      <c r="B8211" s="200"/>
      <c r="C8211" s="201"/>
      <c r="D8211" s="201"/>
      <c r="E8211" s="201"/>
      <c r="F8211" s="202"/>
      <c r="G8211" s="549"/>
      <c r="H8211" s="549"/>
      <c r="I8211" s="549"/>
      <c r="J8211" s="549"/>
      <c r="K8211" s="549"/>
      <c r="M8211" s="465"/>
      <c r="N8211" s="201"/>
    </row>
    <row r="8212" spans="2:14" hidden="1" outlineLevel="1" x14ac:dyDescent="0.35">
      <c r="B8212" s="200"/>
      <c r="C8212" s="201"/>
      <c r="D8212" s="201"/>
      <c r="E8212" s="201"/>
      <c r="F8212" s="202"/>
      <c r="G8212" s="549"/>
      <c r="H8212" s="549"/>
      <c r="I8212" s="549"/>
      <c r="J8212" s="549"/>
      <c r="K8212" s="549"/>
      <c r="M8212" s="465"/>
      <c r="N8212" s="201"/>
    </row>
    <row r="8213" spans="2:14" hidden="1" outlineLevel="1" x14ac:dyDescent="0.35">
      <c r="B8213" s="200"/>
      <c r="C8213" s="201"/>
      <c r="D8213" s="201"/>
      <c r="E8213" s="201"/>
      <c r="F8213" s="202"/>
      <c r="G8213" s="549"/>
      <c r="H8213" s="549"/>
      <c r="I8213" s="549"/>
      <c r="J8213" s="549"/>
      <c r="K8213" s="549"/>
      <c r="M8213" s="465"/>
      <c r="N8213" s="201"/>
    </row>
    <row r="8214" spans="2:14" hidden="1" outlineLevel="1" x14ac:dyDescent="0.35">
      <c r="B8214" s="200"/>
      <c r="C8214" s="201"/>
      <c r="D8214" s="201"/>
      <c r="E8214" s="201"/>
      <c r="F8214" s="202"/>
      <c r="G8214" s="549"/>
      <c r="H8214" s="549"/>
      <c r="I8214" s="549"/>
      <c r="J8214" s="549"/>
      <c r="K8214" s="549"/>
      <c r="M8214" s="465"/>
      <c r="N8214" s="201"/>
    </row>
    <row r="8215" spans="2:14" hidden="1" outlineLevel="1" x14ac:dyDescent="0.35">
      <c r="B8215" s="200"/>
      <c r="C8215" s="201"/>
      <c r="D8215" s="201"/>
      <c r="E8215" s="201"/>
      <c r="F8215" s="202"/>
      <c r="G8215" s="549"/>
      <c r="H8215" s="549"/>
      <c r="I8215" s="549"/>
      <c r="J8215" s="549"/>
      <c r="K8215" s="549"/>
      <c r="M8215" s="465"/>
      <c r="N8215" s="201"/>
    </row>
    <row r="8216" spans="2:14" hidden="1" outlineLevel="1" x14ac:dyDescent="0.35">
      <c r="B8216" s="200"/>
      <c r="C8216" s="201"/>
      <c r="D8216" s="201"/>
      <c r="E8216" s="201"/>
      <c r="F8216" s="202"/>
      <c r="G8216" s="549"/>
      <c r="H8216" s="549"/>
      <c r="I8216" s="549"/>
      <c r="J8216" s="549"/>
      <c r="K8216" s="549"/>
      <c r="M8216" s="465"/>
      <c r="N8216" s="201"/>
    </row>
    <row r="8217" spans="2:14" hidden="1" outlineLevel="1" x14ac:dyDescent="0.35">
      <c r="B8217" s="200"/>
      <c r="C8217" s="201"/>
      <c r="D8217" s="201"/>
      <c r="E8217" s="201"/>
      <c r="F8217" s="202"/>
      <c r="G8217" s="549"/>
      <c r="H8217" s="549"/>
      <c r="I8217" s="549"/>
      <c r="J8217" s="549"/>
      <c r="K8217" s="549"/>
      <c r="M8217" s="465"/>
      <c r="N8217" s="201"/>
    </row>
    <row r="8218" spans="2:14" hidden="1" outlineLevel="1" x14ac:dyDescent="0.35">
      <c r="B8218" s="200"/>
      <c r="C8218" s="201"/>
      <c r="D8218" s="201"/>
      <c r="E8218" s="201"/>
      <c r="F8218" s="202"/>
      <c r="G8218" s="549"/>
      <c r="H8218" s="549"/>
      <c r="I8218" s="549"/>
      <c r="J8218" s="549"/>
      <c r="K8218" s="549"/>
      <c r="M8218" s="465"/>
      <c r="N8218" s="201"/>
    </row>
    <row r="8219" spans="2:14" hidden="1" outlineLevel="1" x14ac:dyDescent="0.35">
      <c r="B8219" s="200"/>
      <c r="C8219" s="201"/>
      <c r="D8219" s="201"/>
      <c r="E8219" s="201"/>
      <c r="F8219" s="202"/>
      <c r="G8219" s="549"/>
      <c r="H8219" s="549"/>
      <c r="I8219" s="549"/>
      <c r="J8219" s="549"/>
      <c r="K8219" s="549"/>
      <c r="M8219" s="465"/>
      <c r="N8219" s="201"/>
    </row>
    <row r="8220" spans="2:14" hidden="1" outlineLevel="1" x14ac:dyDescent="0.35">
      <c r="B8220" s="200"/>
      <c r="C8220" s="201"/>
      <c r="D8220" s="201"/>
      <c r="E8220" s="201"/>
      <c r="F8220" s="202"/>
      <c r="G8220" s="549"/>
      <c r="H8220" s="549"/>
      <c r="I8220" s="549"/>
      <c r="J8220" s="549"/>
      <c r="K8220" s="549"/>
      <c r="M8220" s="465"/>
      <c r="N8220" s="201"/>
    </row>
    <row r="8221" spans="2:14" hidden="1" outlineLevel="1" x14ac:dyDescent="0.35">
      <c r="B8221" s="200"/>
      <c r="C8221" s="201"/>
      <c r="D8221" s="201"/>
      <c r="E8221" s="201"/>
      <c r="F8221" s="202"/>
      <c r="G8221" s="549"/>
      <c r="H8221" s="549"/>
      <c r="I8221" s="549"/>
      <c r="J8221" s="549"/>
      <c r="K8221" s="549"/>
      <c r="M8221" s="465"/>
      <c r="N8221" s="201"/>
    </row>
    <row r="8222" spans="2:14" hidden="1" outlineLevel="1" x14ac:dyDescent="0.35">
      <c r="B8222" s="200"/>
      <c r="C8222" s="201"/>
      <c r="D8222" s="201"/>
      <c r="E8222" s="201"/>
      <c r="F8222" s="202"/>
      <c r="G8222" s="549"/>
      <c r="H8222" s="549"/>
      <c r="I8222" s="549"/>
      <c r="J8222" s="549"/>
      <c r="K8222" s="549"/>
      <c r="M8222" s="465"/>
      <c r="N8222" s="201"/>
    </row>
    <row r="8223" spans="2:14" hidden="1" outlineLevel="1" x14ac:dyDescent="0.35">
      <c r="B8223" s="200"/>
      <c r="C8223" s="201"/>
      <c r="D8223" s="201"/>
      <c r="E8223" s="201"/>
      <c r="F8223" s="202"/>
      <c r="G8223" s="549"/>
      <c r="H8223" s="549"/>
      <c r="I8223" s="549"/>
      <c r="J8223" s="549"/>
      <c r="K8223" s="549"/>
      <c r="M8223" s="465"/>
      <c r="N8223" s="201"/>
    </row>
    <row r="8224" spans="2:14" hidden="1" outlineLevel="1" x14ac:dyDescent="0.35">
      <c r="B8224" s="200"/>
      <c r="C8224" s="201"/>
      <c r="D8224" s="201"/>
      <c r="E8224" s="201"/>
      <c r="F8224" s="202"/>
      <c r="G8224" s="549"/>
      <c r="H8224" s="549"/>
      <c r="I8224" s="549"/>
      <c r="J8224" s="549"/>
      <c r="K8224" s="549"/>
      <c r="M8224" s="465"/>
      <c r="N8224" s="201"/>
    </row>
    <row r="8225" spans="2:14" hidden="1" outlineLevel="1" x14ac:dyDescent="0.35">
      <c r="B8225" s="200"/>
      <c r="C8225" s="201"/>
      <c r="D8225" s="201"/>
      <c r="E8225" s="201"/>
      <c r="F8225" s="202"/>
      <c r="G8225" s="549"/>
      <c r="H8225" s="549"/>
      <c r="I8225" s="549"/>
      <c r="J8225" s="549"/>
      <c r="K8225" s="549"/>
      <c r="M8225" s="465"/>
      <c r="N8225" s="201"/>
    </row>
    <row r="8226" spans="2:14" hidden="1" outlineLevel="1" x14ac:dyDescent="0.35">
      <c r="B8226" s="200"/>
      <c r="C8226" s="201"/>
      <c r="D8226" s="201"/>
      <c r="E8226" s="201"/>
      <c r="F8226" s="202"/>
      <c r="G8226" s="549"/>
      <c r="H8226" s="549"/>
      <c r="I8226" s="549"/>
      <c r="J8226" s="549"/>
      <c r="K8226" s="549"/>
      <c r="M8226" s="465"/>
      <c r="N8226" s="201"/>
    </row>
    <row r="8227" spans="2:14" hidden="1" outlineLevel="1" x14ac:dyDescent="0.35">
      <c r="B8227" s="200"/>
      <c r="C8227" s="201"/>
      <c r="D8227" s="201"/>
      <c r="E8227" s="201"/>
      <c r="F8227" s="202"/>
      <c r="G8227" s="549"/>
      <c r="H8227" s="549"/>
      <c r="I8227" s="549"/>
      <c r="J8227" s="549"/>
      <c r="K8227" s="549"/>
      <c r="M8227" s="465"/>
      <c r="N8227" s="201"/>
    </row>
    <row r="8228" spans="2:14" hidden="1" outlineLevel="1" x14ac:dyDescent="0.35">
      <c r="B8228" s="200"/>
      <c r="C8228" s="201"/>
      <c r="D8228" s="201"/>
      <c r="E8228" s="201"/>
      <c r="F8228" s="202"/>
      <c r="G8228" s="549"/>
      <c r="H8228" s="549"/>
      <c r="I8228" s="549"/>
      <c r="J8228" s="549"/>
      <c r="K8228" s="549"/>
      <c r="M8228" s="465"/>
      <c r="N8228" s="201"/>
    </row>
    <row r="8229" spans="2:14" hidden="1" outlineLevel="1" x14ac:dyDescent="0.35">
      <c r="B8229" s="200"/>
      <c r="C8229" s="201"/>
      <c r="D8229" s="201"/>
      <c r="E8229" s="201"/>
      <c r="F8229" s="202"/>
      <c r="G8229" s="549"/>
      <c r="H8229" s="549"/>
      <c r="I8229" s="549"/>
      <c r="J8229" s="549"/>
      <c r="K8229" s="549"/>
      <c r="M8229" s="465"/>
      <c r="N8229" s="201"/>
    </row>
    <row r="8230" spans="2:14" hidden="1" outlineLevel="1" x14ac:dyDescent="0.35">
      <c r="B8230" s="200"/>
      <c r="C8230" s="201"/>
      <c r="D8230" s="201"/>
      <c r="E8230" s="201"/>
      <c r="F8230" s="202"/>
      <c r="G8230" s="549"/>
      <c r="H8230" s="549"/>
      <c r="I8230" s="549"/>
      <c r="J8230" s="549"/>
      <c r="K8230" s="549"/>
      <c r="M8230" s="465"/>
      <c r="N8230" s="201"/>
    </row>
    <row r="8231" spans="2:14" hidden="1" outlineLevel="1" x14ac:dyDescent="0.35">
      <c r="B8231" s="200"/>
      <c r="C8231" s="201"/>
      <c r="D8231" s="201"/>
      <c r="E8231" s="201"/>
      <c r="F8231" s="202"/>
      <c r="G8231" s="549"/>
      <c r="H8231" s="549"/>
      <c r="I8231" s="549"/>
      <c r="J8231" s="549"/>
      <c r="K8231" s="549"/>
      <c r="M8231" s="465"/>
      <c r="N8231" s="201"/>
    </row>
    <row r="8232" spans="2:14" hidden="1" outlineLevel="1" x14ac:dyDescent="0.35">
      <c r="B8232" s="200"/>
      <c r="C8232" s="201"/>
      <c r="D8232" s="201"/>
      <c r="E8232" s="201"/>
      <c r="F8232" s="202"/>
      <c r="G8232" s="549"/>
      <c r="H8232" s="549"/>
      <c r="I8232" s="549"/>
      <c r="J8232" s="549"/>
      <c r="K8232" s="549"/>
      <c r="M8232" s="465"/>
      <c r="N8232" s="201"/>
    </row>
    <row r="8233" spans="2:14" hidden="1" outlineLevel="1" x14ac:dyDescent="0.35">
      <c r="B8233" s="200"/>
      <c r="C8233" s="201"/>
      <c r="D8233" s="201"/>
      <c r="E8233" s="201"/>
      <c r="F8233" s="202"/>
      <c r="G8233" s="549"/>
      <c r="H8233" s="549"/>
      <c r="I8233" s="549"/>
      <c r="J8233" s="549"/>
      <c r="K8233" s="549"/>
      <c r="M8233" s="465"/>
      <c r="N8233" s="201"/>
    </row>
    <row r="8234" spans="2:14" hidden="1" outlineLevel="1" x14ac:dyDescent="0.35">
      <c r="B8234" s="200"/>
      <c r="C8234" s="201"/>
      <c r="D8234" s="201"/>
      <c r="E8234" s="201"/>
      <c r="F8234" s="202"/>
      <c r="G8234" s="549"/>
      <c r="H8234" s="549"/>
      <c r="I8234" s="549"/>
      <c r="J8234" s="549"/>
      <c r="K8234" s="549"/>
      <c r="M8234" s="465"/>
      <c r="N8234" s="201"/>
    </row>
    <row r="8235" spans="2:14" hidden="1" outlineLevel="1" x14ac:dyDescent="0.35">
      <c r="B8235" s="200"/>
      <c r="C8235" s="201"/>
      <c r="D8235" s="201"/>
      <c r="E8235" s="201"/>
      <c r="F8235" s="202"/>
      <c r="G8235" s="549"/>
      <c r="H8235" s="549"/>
      <c r="I8235" s="549"/>
      <c r="J8235" s="549"/>
      <c r="K8235" s="549"/>
      <c r="M8235" s="465"/>
      <c r="N8235" s="201"/>
    </row>
    <row r="8236" spans="2:14" hidden="1" outlineLevel="1" x14ac:dyDescent="0.35">
      <c r="B8236" s="200"/>
      <c r="C8236" s="201"/>
      <c r="D8236" s="201"/>
      <c r="E8236" s="201"/>
      <c r="F8236" s="202"/>
      <c r="G8236" s="549"/>
      <c r="H8236" s="549"/>
      <c r="I8236" s="549"/>
      <c r="J8236" s="549"/>
      <c r="K8236" s="549"/>
      <c r="M8236" s="465"/>
      <c r="N8236" s="201"/>
    </row>
    <row r="8237" spans="2:14" hidden="1" outlineLevel="1" x14ac:dyDescent="0.35">
      <c r="B8237" s="200"/>
      <c r="C8237" s="201"/>
      <c r="D8237" s="201"/>
      <c r="E8237" s="201"/>
      <c r="F8237" s="202"/>
      <c r="G8237" s="549"/>
      <c r="H8237" s="549"/>
      <c r="I8237" s="549"/>
      <c r="J8237" s="549"/>
      <c r="K8237" s="549"/>
      <c r="M8237" s="465"/>
      <c r="N8237" s="201"/>
    </row>
    <row r="8238" spans="2:14" hidden="1" outlineLevel="1" x14ac:dyDescent="0.35">
      <c r="B8238" s="200"/>
      <c r="C8238" s="201"/>
      <c r="D8238" s="201"/>
      <c r="E8238" s="201"/>
      <c r="F8238" s="202"/>
      <c r="G8238" s="549"/>
      <c r="H8238" s="549"/>
      <c r="I8238" s="549"/>
      <c r="J8238" s="549"/>
      <c r="K8238" s="549"/>
      <c r="M8238" s="465"/>
      <c r="N8238" s="201"/>
    </row>
    <row r="8239" spans="2:14" hidden="1" outlineLevel="1" x14ac:dyDescent="0.35">
      <c r="B8239" s="200"/>
      <c r="C8239" s="201"/>
      <c r="D8239" s="201"/>
      <c r="E8239" s="201"/>
      <c r="F8239" s="202"/>
      <c r="G8239" s="549"/>
      <c r="H8239" s="549"/>
      <c r="I8239" s="549"/>
      <c r="J8239" s="549"/>
      <c r="K8239" s="549"/>
      <c r="M8239" s="465"/>
      <c r="N8239" s="201"/>
    </row>
    <row r="8240" spans="2:14" hidden="1" outlineLevel="1" x14ac:dyDescent="0.35">
      <c r="B8240" s="200"/>
      <c r="C8240" s="201"/>
      <c r="D8240" s="201"/>
      <c r="E8240" s="201"/>
      <c r="F8240" s="202"/>
      <c r="G8240" s="549"/>
      <c r="H8240" s="549"/>
      <c r="I8240" s="549"/>
      <c r="J8240" s="549"/>
      <c r="K8240" s="549"/>
      <c r="M8240" s="465"/>
      <c r="N8240" s="201"/>
    </row>
    <row r="8241" spans="2:14" hidden="1" outlineLevel="1" x14ac:dyDescent="0.35">
      <c r="B8241" s="200"/>
      <c r="C8241" s="201"/>
      <c r="D8241" s="201"/>
      <c r="E8241" s="201"/>
      <c r="F8241" s="202"/>
      <c r="G8241" s="549"/>
      <c r="H8241" s="549"/>
      <c r="I8241" s="549"/>
      <c r="J8241" s="549"/>
      <c r="K8241" s="549"/>
      <c r="M8241" s="465"/>
      <c r="N8241" s="201"/>
    </row>
    <row r="8242" spans="2:14" hidden="1" outlineLevel="1" x14ac:dyDescent="0.35">
      <c r="B8242" s="200"/>
      <c r="C8242" s="201"/>
      <c r="D8242" s="201"/>
      <c r="E8242" s="201"/>
      <c r="F8242" s="202"/>
      <c r="G8242" s="549"/>
      <c r="H8242" s="549"/>
      <c r="I8242" s="549"/>
      <c r="J8242" s="549"/>
      <c r="K8242" s="549"/>
      <c r="M8242" s="465"/>
      <c r="N8242" s="201"/>
    </row>
    <row r="8243" spans="2:14" hidden="1" outlineLevel="1" x14ac:dyDescent="0.35">
      <c r="B8243" s="200"/>
      <c r="C8243" s="201"/>
      <c r="D8243" s="201"/>
      <c r="E8243" s="201"/>
      <c r="F8243" s="202"/>
      <c r="G8243" s="549"/>
      <c r="H8243" s="549"/>
      <c r="I8243" s="549"/>
      <c r="J8243" s="549"/>
      <c r="K8243" s="549"/>
      <c r="M8243" s="465"/>
      <c r="N8243" s="201"/>
    </row>
    <row r="8244" spans="2:14" hidden="1" outlineLevel="1" x14ac:dyDescent="0.35">
      <c r="B8244" s="200"/>
      <c r="C8244" s="201"/>
      <c r="D8244" s="201"/>
      <c r="E8244" s="201"/>
      <c r="F8244" s="202"/>
      <c r="G8244" s="549"/>
      <c r="H8244" s="549"/>
      <c r="I8244" s="549"/>
      <c r="J8244" s="549"/>
      <c r="K8244" s="549"/>
      <c r="M8244" s="465"/>
      <c r="N8244" s="201"/>
    </row>
    <row r="8245" spans="2:14" hidden="1" outlineLevel="1" x14ac:dyDescent="0.35">
      <c r="B8245" s="200"/>
      <c r="C8245" s="201"/>
      <c r="D8245" s="201"/>
      <c r="E8245" s="201"/>
      <c r="F8245" s="202"/>
      <c r="G8245" s="549"/>
      <c r="H8245" s="549"/>
      <c r="I8245" s="549"/>
      <c r="J8245" s="549"/>
      <c r="K8245" s="549"/>
      <c r="M8245" s="465"/>
      <c r="N8245" s="201"/>
    </row>
    <row r="8246" spans="2:14" hidden="1" outlineLevel="1" x14ac:dyDescent="0.35">
      <c r="B8246" s="200"/>
      <c r="C8246" s="201"/>
      <c r="D8246" s="201"/>
      <c r="E8246" s="201"/>
      <c r="F8246" s="202"/>
      <c r="G8246" s="549"/>
      <c r="H8246" s="549"/>
      <c r="I8246" s="549"/>
      <c r="J8246" s="549"/>
      <c r="K8246" s="549"/>
      <c r="M8246" s="465"/>
      <c r="N8246" s="201"/>
    </row>
    <row r="8247" spans="2:14" hidden="1" outlineLevel="1" x14ac:dyDescent="0.35">
      <c r="B8247" s="200"/>
      <c r="C8247" s="201"/>
      <c r="D8247" s="201"/>
      <c r="E8247" s="201"/>
      <c r="F8247" s="202"/>
      <c r="G8247" s="549"/>
      <c r="H8247" s="549"/>
      <c r="I8247" s="549"/>
      <c r="J8247" s="549"/>
      <c r="K8247" s="549"/>
      <c r="M8247" s="465"/>
      <c r="N8247" s="201"/>
    </row>
    <row r="8248" spans="2:14" hidden="1" outlineLevel="1" x14ac:dyDescent="0.35">
      <c r="B8248" s="200"/>
      <c r="C8248" s="201"/>
      <c r="D8248" s="201"/>
      <c r="E8248" s="201"/>
      <c r="F8248" s="202"/>
      <c r="G8248" s="549"/>
      <c r="H8248" s="549"/>
      <c r="I8248" s="549"/>
      <c r="J8248" s="549"/>
      <c r="K8248" s="549"/>
      <c r="M8248" s="465"/>
      <c r="N8248" s="201"/>
    </row>
    <row r="8249" spans="2:14" hidden="1" outlineLevel="1" x14ac:dyDescent="0.35">
      <c r="B8249" s="200"/>
      <c r="C8249" s="201"/>
      <c r="D8249" s="201"/>
      <c r="E8249" s="201"/>
      <c r="F8249" s="202"/>
      <c r="G8249" s="549"/>
      <c r="H8249" s="549"/>
      <c r="I8249" s="549"/>
      <c r="J8249" s="549"/>
      <c r="K8249" s="549"/>
      <c r="M8249" s="465"/>
      <c r="N8249" s="201"/>
    </row>
    <row r="8250" spans="2:14" hidden="1" outlineLevel="1" x14ac:dyDescent="0.35">
      <c r="B8250" s="200"/>
      <c r="C8250" s="201"/>
      <c r="D8250" s="201"/>
      <c r="E8250" s="201"/>
      <c r="F8250" s="202"/>
      <c r="G8250" s="549"/>
      <c r="H8250" s="549"/>
      <c r="I8250" s="549"/>
      <c r="J8250" s="549"/>
      <c r="K8250" s="549"/>
      <c r="M8250" s="465"/>
      <c r="N8250" s="201"/>
    </row>
    <row r="8251" spans="2:14" hidden="1" outlineLevel="1" x14ac:dyDescent="0.35">
      <c r="B8251" s="200"/>
      <c r="C8251" s="201"/>
      <c r="D8251" s="201"/>
      <c r="E8251" s="201"/>
      <c r="F8251" s="202"/>
      <c r="G8251" s="549"/>
      <c r="H8251" s="549"/>
      <c r="I8251" s="549"/>
      <c r="J8251" s="549"/>
      <c r="K8251" s="549"/>
      <c r="M8251" s="465"/>
      <c r="N8251" s="201"/>
    </row>
    <row r="8252" spans="2:14" hidden="1" outlineLevel="1" x14ac:dyDescent="0.35">
      <c r="B8252" s="200"/>
      <c r="C8252" s="201"/>
      <c r="D8252" s="201"/>
      <c r="E8252" s="201"/>
      <c r="F8252" s="202"/>
      <c r="G8252" s="549"/>
      <c r="H8252" s="549"/>
      <c r="I8252" s="549"/>
      <c r="J8252" s="549"/>
      <c r="K8252" s="549"/>
      <c r="M8252" s="465"/>
      <c r="N8252" s="201"/>
    </row>
    <row r="8253" spans="2:14" hidden="1" outlineLevel="1" x14ac:dyDescent="0.35">
      <c r="B8253" s="200"/>
      <c r="C8253" s="201"/>
      <c r="D8253" s="201"/>
      <c r="E8253" s="201"/>
      <c r="F8253" s="202"/>
      <c r="G8253" s="549"/>
      <c r="H8253" s="549"/>
      <c r="I8253" s="549"/>
      <c r="J8253" s="549"/>
      <c r="K8253" s="549"/>
      <c r="M8253" s="465"/>
      <c r="N8253" s="201"/>
    </row>
    <row r="8254" spans="2:14" hidden="1" outlineLevel="1" x14ac:dyDescent="0.35">
      <c r="B8254" s="200"/>
      <c r="C8254" s="201"/>
      <c r="D8254" s="201"/>
      <c r="E8254" s="201"/>
      <c r="F8254" s="202"/>
      <c r="G8254" s="549"/>
      <c r="H8254" s="549"/>
      <c r="I8254" s="549"/>
      <c r="J8254" s="549"/>
      <c r="K8254" s="549"/>
      <c r="M8254" s="465"/>
      <c r="N8254" s="201"/>
    </row>
    <row r="8255" spans="2:14" hidden="1" outlineLevel="1" x14ac:dyDescent="0.35">
      <c r="B8255" s="200"/>
      <c r="C8255" s="201"/>
      <c r="D8255" s="201"/>
      <c r="E8255" s="201"/>
      <c r="F8255" s="202"/>
      <c r="G8255" s="549"/>
      <c r="H8255" s="549"/>
      <c r="I8255" s="549"/>
      <c r="J8255" s="549"/>
      <c r="K8255" s="549"/>
      <c r="M8255" s="465"/>
      <c r="N8255" s="201"/>
    </row>
    <row r="8256" spans="2:14" hidden="1" outlineLevel="1" x14ac:dyDescent="0.35">
      <c r="B8256" s="200"/>
      <c r="C8256" s="201"/>
      <c r="D8256" s="201"/>
      <c r="E8256" s="201"/>
      <c r="F8256" s="202"/>
      <c r="G8256" s="549"/>
      <c r="H8256" s="549"/>
      <c r="I8256" s="549"/>
      <c r="J8256" s="549"/>
      <c r="K8256" s="549"/>
      <c r="M8256" s="465"/>
      <c r="N8256" s="201"/>
    </row>
    <row r="8257" spans="2:14" hidden="1" outlineLevel="1" x14ac:dyDescent="0.35">
      <c r="B8257" s="200"/>
      <c r="C8257" s="201"/>
      <c r="D8257" s="201"/>
      <c r="E8257" s="201"/>
      <c r="F8257" s="202"/>
      <c r="G8257" s="549"/>
      <c r="H8257" s="549"/>
      <c r="I8257" s="549"/>
      <c r="J8257" s="549"/>
      <c r="K8257" s="549"/>
      <c r="M8257" s="465"/>
      <c r="N8257" s="201"/>
    </row>
    <row r="8258" spans="2:14" hidden="1" outlineLevel="1" x14ac:dyDescent="0.35">
      <c r="B8258" s="200"/>
      <c r="C8258" s="201"/>
      <c r="D8258" s="201"/>
      <c r="E8258" s="201"/>
      <c r="F8258" s="202"/>
      <c r="G8258" s="549"/>
      <c r="H8258" s="549"/>
      <c r="I8258" s="549"/>
      <c r="J8258" s="549"/>
      <c r="K8258" s="549"/>
      <c r="M8258" s="465"/>
      <c r="N8258" s="201"/>
    </row>
    <row r="8259" spans="2:14" hidden="1" outlineLevel="1" x14ac:dyDescent="0.35">
      <c r="B8259" s="200"/>
      <c r="C8259" s="201"/>
      <c r="D8259" s="201"/>
      <c r="E8259" s="201"/>
      <c r="F8259" s="202"/>
      <c r="G8259" s="549"/>
      <c r="H8259" s="549"/>
      <c r="I8259" s="549"/>
      <c r="J8259" s="549"/>
      <c r="K8259" s="549"/>
      <c r="M8259" s="465"/>
      <c r="N8259" s="201"/>
    </row>
    <row r="8260" spans="2:14" hidden="1" outlineLevel="1" x14ac:dyDescent="0.35">
      <c r="B8260" s="200"/>
      <c r="C8260" s="201"/>
      <c r="D8260" s="201"/>
      <c r="E8260" s="201"/>
      <c r="F8260" s="202"/>
      <c r="G8260" s="549"/>
      <c r="H8260" s="549"/>
      <c r="I8260" s="549"/>
      <c r="J8260" s="549"/>
      <c r="K8260" s="549"/>
      <c r="M8260" s="465"/>
      <c r="N8260" s="201"/>
    </row>
    <row r="8261" spans="2:14" hidden="1" outlineLevel="1" x14ac:dyDescent="0.35">
      <c r="B8261" s="200"/>
      <c r="C8261" s="201"/>
      <c r="D8261" s="201"/>
      <c r="E8261" s="201"/>
      <c r="F8261" s="202"/>
      <c r="G8261" s="549"/>
      <c r="H8261" s="549"/>
      <c r="I8261" s="549"/>
      <c r="J8261" s="549"/>
      <c r="K8261" s="549"/>
      <c r="M8261" s="465"/>
      <c r="N8261" s="201"/>
    </row>
    <row r="8262" spans="2:14" hidden="1" outlineLevel="1" x14ac:dyDescent="0.35">
      <c r="B8262" s="200"/>
      <c r="C8262" s="201"/>
      <c r="D8262" s="201"/>
      <c r="E8262" s="201"/>
      <c r="F8262" s="202"/>
      <c r="G8262" s="549"/>
      <c r="H8262" s="549"/>
      <c r="I8262" s="549"/>
      <c r="J8262" s="549"/>
      <c r="K8262" s="549"/>
      <c r="M8262" s="465"/>
      <c r="N8262" s="201"/>
    </row>
    <row r="8263" spans="2:14" hidden="1" outlineLevel="1" x14ac:dyDescent="0.35">
      <c r="B8263" s="200"/>
      <c r="C8263" s="201"/>
      <c r="D8263" s="201"/>
      <c r="E8263" s="201"/>
      <c r="F8263" s="202"/>
      <c r="G8263" s="549"/>
      <c r="H8263" s="549"/>
      <c r="I8263" s="549"/>
      <c r="J8263" s="549"/>
      <c r="K8263" s="549"/>
      <c r="M8263" s="465"/>
      <c r="N8263" s="201"/>
    </row>
    <row r="8264" spans="2:14" hidden="1" outlineLevel="1" x14ac:dyDescent="0.35">
      <c r="B8264" s="200"/>
      <c r="C8264" s="201"/>
      <c r="D8264" s="201"/>
      <c r="E8264" s="201"/>
      <c r="F8264" s="202"/>
      <c r="G8264" s="549"/>
      <c r="H8264" s="549"/>
      <c r="I8264" s="549"/>
      <c r="J8264" s="549"/>
      <c r="K8264" s="549"/>
      <c r="M8264" s="465"/>
      <c r="N8264" s="201"/>
    </row>
    <row r="8265" spans="2:14" hidden="1" outlineLevel="1" x14ac:dyDescent="0.35">
      <c r="B8265" s="200"/>
      <c r="C8265" s="201"/>
      <c r="D8265" s="201"/>
      <c r="E8265" s="201"/>
      <c r="F8265" s="202"/>
      <c r="G8265" s="549"/>
      <c r="H8265" s="549"/>
      <c r="I8265" s="549"/>
      <c r="J8265" s="549"/>
      <c r="K8265" s="549"/>
      <c r="M8265" s="465"/>
      <c r="N8265" s="201"/>
    </row>
    <row r="8266" spans="2:14" hidden="1" outlineLevel="1" x14ac:dyDescent="0.35">
      <c r="B8266" s="200"/>
      <c r="C8266" s="201"/>
      <c r="D8266" s="201"/>
      <c r="E8266" s="201"/>
      <c r="F8266" s="202"/>
      <c r="G8266" s="549"/>
      <c r="H8266" s="549"/>
      <c r="I8266" s="549"/>
      <c r="J8266" s="549"/>
      <c r="K8266" s="549"/>
      <c r="M8266" s="465"/>
      <c r="N8266" s="201"/>
    </row>
    <row r="8267" spans="2:14" hidden="1" outlineLevel="1" x14ac:dyDescent="0.35">
      <c r="B8267" s="200"/>
      <c r="C8267" s="201"/>
      <c r="D8267" s="201"/>
      <c r="E8267" s="201"/>
      <c r="F8267" s="202"/>
      <c r="G8267" s="549"/>
      <c r="H8267" s="549"/>
      <c r="I8267" s="549"/>
      <c r="J8267" s="549"/>
      <c r="K8267" s="549"/>
      <c r="M8267" s="465"/>
      <c r="N8267" s="201"/>
    </row>
    <row r="8268" spans="2:14" hidden="1" outlineLevel="1" x14ac:dyDescent="0.35">
      <c r="B8268" s="200"/>
      <c r="C8268" s="201"/>
      <c r="D8268" s="201"/>
      <c r="E8268" s="201"/>
      <c r="F8268" s="202"/>
      <c r="G8268" s="549"/>
      <c r="H8268" s="549"/>
      <c r="I8268" s="549"/>
      <c r="J8268" s="549"/>
      <c r="K8268" s="549"/>
      <c r="M8268" s="465"/>
      <c r="N8268" s="201"/>
    </row>
    <row r="8269" spans="2:14" hidden="1" outlineLevel="1" x14ac:dyDescent="0.35">
      <c r="B8269" s="200"/>
      <c r="C8269" s="201"/>
      <c r="D8269" s="201"/>
      <c r="E8269" s="201"/>
      <c r="F8269" s="202"/>
      <c r="G8269" s="549"/>
      <c r="H8269" s="549"/>
      <c r="I8269" s="549"/>
      <c r="J8269" s="549"/>
      <c r="K8269" s="549"/>
      <c r="M8269" s="465"/>
      <c r="N8269" s="201"/>
    </row>
    <row r="8270" spans="2:14" hidden="1" outlineLevel="1" x14ac:dyDescent="0.35">
      <c r="B8270" s="200"/>
      <c r="C8270" s="201"/>
      <c r="D8270" s="201"/>
      <c r="E8270" s="201"/>
      <c r="F8270" s="202"/>
      <c r="G8270" s="549"/>
      <c r="H8270" s="549"/>
      <c r="I8270" s="549"/>
      <c r="J8270" s="549"/>
      <c r="K8270" s="549"/>
      <c r="M8270" s="465"/>
      <c r="N8270" s="201"/>
    </row>
    <row r="8271" spans="2:14" hidden="1" outlineLevel="1" x14ac:dyDescent="0.35">
      <c r="B8271" s="200"/>
      <c r="C8271" s="201"/>
      <c r="D8271" s="201"/>
      <c r="E8271" s="201"/>
      <c r="F8271" s="202"/>
      <c r="G8271" s="549"/>
      <c r="H8271" s="549"/>
      <c r="I8271" s="549"/>
      <c r="J8271" s="549"/>
      <c r="K8271" s="549"/>
      <c r="M8271" s="465"/>
      <c r="N8271" s="201"/>
    </row>
    <row r="8272" spans="2:14" hidden="1" outlineLevel="1" x14ac:dyDescent="0.35">
      <c r="B8272" s="200"/>
      <c r="C8272" s="201"/>
      <c r="D8272" s="201"/>
      <c r="E8272" s="201"/>
      <c r="F8272" s="202"/>
      <c r="G8272" s="549"/>
      <c r="H8272" s="549"/>
      <c r="I8272" s="549"/>
      <c r="J8272" s="549"/>
      <c r="K8272" s="549"/>
      <c r="M8272" s="465"/>
      <c r="N8272" s="201"/>
    </row>
    <row r="8273" spans="2:14" hidden="1" outlineLevel="1" x14ac:dyDescent="0.35">
      <c r="B8273" s="200"/>
      <c r="C8273" s="201"/>
      <c r="D8273" s="201"/>
      <c r="E8273" s="201"/>
      <c r="F8273" s="202"/>
      <c r="G8273" s="549"/>
      <c r="H8273" s="549"/>
      <c r="I8273" s="549"/>
      <c r="J8273" s="549"/>
      <c r="K8273" s="549"/>
      <c r="M8273" s="465"/>
      <c r="N8273" s="201"/>
    </row>
    <row r="8274" spans="2:14" hidden="1" outlineLevel="1" x14ac:dyDescent="0.35">
      <c r="B8274" s="200"/>
      <c r="C8274" s="201"/>
      <c r="D8274" s="201"/>
      <c r="E8274" s="201"/>
      <c r="F8274" s="202"/>
      <c r="G8274" s="549"/>
      <c r="H8274" s="549"/>
      <c r="I8274" s="549"/>
      <c r="J8274" s="549"/>
      <c r="K8274" s="549"/>
      <c r="M8274" s="465"/>
      <c r="N8274" s="201"/>
    </row>
    <row r="8275" spans="2:14" hidden="1" outlineLevel="1" x14ac:dyDescent="0.35">
      <c r="B8275" s="200"/>
      <c r="C8275" s="201"/>
      <c r="D8275" s="201"/>
      <c r="E8275" s="201"/>
      <c r="F8275" s="202"/>
      <c r="G8275" s="549"/>
      <c r="H8275" s="549"/>
      <c r="I8275" s="549"/>
      <c r="J8275" s="549"/>
      <c r="K8275" s="549"/>
      <c r="M8275" s="465"/>
      <c r="N8275" s="201"/>
    </row>
    <row r="8276" spans="2:14" hidden="1" outlineLevel="1" x14ac:dyDescent="0.35">
      <c r="B8276" s="200"/>
      <c r="C8276" s="201"/>
      <c r="D8276" s="201"/>
      <c r="E8276" s="201"/>
      <c r="F8276" s="202"/>
      <c r="G8276" s="549"/>
      <c r="H8276" s="549"/>
      <c r="I8276" s="549"/>
      <c r="J8276" s="549"/>
      <c r="K8276" s="549"/>
      <c r="M8276" s="465"/>
      <c r="N8276" s="201"/>
    </row>
    <row r="8277" spans="2:14" hidden="1" outlineLevel="1" x14ac:dyDescent="0.35">
      <c r="B8277" s="200"/>
      <c r="C8277" s="201"/>
      <c r="D8277" s="201"/>
      <c r="E8277" s="201"/>
      <c r="F8277" s="202"/>
      <c r="G8277" s="549"/>
      <c r="H8277" s="549"/>
      <c r="I8277" s="549"/>
      <c r="J8277" s="549"/>
      <c r="K8277" s="549"/>
      <c r="M8277" s="465"/>
      <c r="N8277" s="201"/>
    </row>
    <row r="8278" spans="2:14" hidden="1" outlineLevel="1" x14ac:dyDescent="0.35">
      <c r="B8278" s="200"/>
      <c r="C8278" s="201"/>
      <c r="D8278" s="201"/>
      <c r="E8278" s="201"/>
      <c r="F8278" s="202"/>
      <c r="G8278" s="549"/>
      <c r="H8278" s="549"/>
      <c r="I8278" s="549"/>
      <c r="J8278" s="549"/>
      <c r="K8278" s="549"/>
      <c r="M8278" s="465"/>
      <c r="N8278" s="201"/>
    </row>
    <row r="8279" spans="2:14" hidden="1" outlineLevel="1" x14ac:dyDescent="0.35">
      <c r="B8279" s="200"/>
      <c r="C8279" s="201"/>
      <c r="D8279" s="201"/>
      <c r="E8279" s="201"/>
      <c r="F8279" s="202"/>
      <c r="G8279" s="549"/>
      <c r="H8279" s="549"/>
      <c r="I8279" s="549"/>
      <c r="J8279" s="549"/>
      <c r="K8279" s="549"/>
      <c r="M8279" s="465"/>
      <c r="N8279" s="201"/>
    </row>
    <row r="8280" spans="2:14" hidden="1" outlineLevel="1" x14ac:dyDescent="0.35">
      <c r="B8280" s="200"/>
      <c r="C8280" s="201"/>
      <c r="D8280" s="201"/>
      <c r="E8280" s="201"/>
      <c r="F8280" s="202"/>
      <c r="G8280" s="549"/>
      <c r="H8280" s="549"/>
      <c r="I8280" s="549"/>
      <c r="J8280" s="549"/>
      <c r="K8280" s="549"/>
      <c r="M8280" s="465"/>
      <c r="N8280" s="201"/>
    </row>
    <row r="8281" spans="2:14" hidden="1" outlineLevel="1" x14ac:dyDescent="0.35">
      <c r="B8281" s="200"/>
      <c r="C8281" s="201"/>
      <c r="D8281" s="201"/>
      <c r="E8281" s="201"/>
      <c r="F8281" s="202"/>
      <c r="G8281" s="549"/>
      <c r="H8281" s="549"/>
      <c r="I8281" s="549"/>
      <c r="J8281" s="549"/>
      <c r="K8281" s="549"/>
      <c r="M8281" s="465"/>
      <c r="N8281" s="201"/>
    </row>
    <row r="8282" spans="2:14" hidden="1" outlineLevel="1" x14ac:dyDescent="0.35">
      <c r="B8282" s="200"/>
      <c r="C8282" s="201"/>
      <c r="D8282" s="201"/>
      <c r="E8282" s="201"/>
      <c r="F8282" s="202"/>
      <c r="G8282" s="549"/>
      <c r="H8282" s="549"/>
      <c r="I8282" s="549"/>
      <c r="J8282" s="549"/>
      <c r="K8282" s="549"/>
      <c r="M8282" s="465"/>
      <c r="N8282" s="201"/>
    </row>
    <row r="8283" spans="2:14" hidden="1" outlineLevel="1" x14ac:dyDescent="0.35">
      <c r="B8283" s="200"/>
      <c r="C8283" s="201"/>
      <c r="D8283" s="201"/>
      <c r="E8283" s="201"/>
      <c r="F8283" s="202"/>
      <c r="G8283" s="549"/>
      <c r="H8283" s="549"/>
      <c r="I8283" s="549"/>
      <c r="J8283" s="549"/>
      <c r="K8283" s="549"/>
      <c r="M8283" s="465"/>
      <c r="N8283" s="201"/>
    </row>
    <row r="8284" spans="2:14" hidden="1" outlineLevel="1" x14ac:dyDescent="0.35">
      <c r="B8284" s="200"/>
      <c r="C8284" s="201"/>
      <c r="D8284" s="201"/>
      <c r="E8284" s="201"/>
      <c r="F8284" s="202"/>
      <c r="G8284" s="549"/>
      <c r="H8284" s="549"/>
      <c r="I8284" s="549"/>
      <c r="J8284" s="549"/>
      <c r="K8284" s="549"/>
      <c r="M8284" s="465"/>
      <c r="N8284" s="201"/>
    </row>
    <row r="8285" spans="2:14" hidden="1" outlineLevel="1" x14ac:dyDescent="0.35">
      <c r="B8285" s="200"/>
      <c r="C8285" s="201"/>
      <c r="D8285" s="201"/>
      <c r="E8285" s="201"/>
      <c r="F8285" s="202"/>
      <c r="G8285" s="549"/>
      <c r="H8285" s="549"/>
      <c r="I8285" s="549"/>
      <c r="J8285" s="549"/>
      <c r="K8285" s="549"/>
      <c r="M8285" s="465"/>
      <c r="N8285" s="201"/>
    </row>
    <row r="8286" spans="2:14" hidden="1" outlineLevel="1" x14ac:dyDescent="0.35">
      <c r="B8286" s="200"/>
      <c r="C8286" s="201"/>
      <c r="D8286" s="201"/>
      <c r="E8286" s="201"/>
      <c r="F8286" s="202"/>
      <c r="G8286" s="549"/>
      <c r="H8286" s="549"/>
      <c r="I8286" s="549"/>
      <c r="J8286" s="549"/>
      <c r="K8286" s="549"/>
      <c r="M8286" s="465"/>
      <c r="N8286" s="201"/>
    </row>
    <row r="8287" spans="2:14" hidden="1" outlineLevel="1" x14ac:dyDescent="0.35">
      <c r="B8287" s="200"/>
      <c r="C8287" s="201"/>
      <c r="D8287" s="201"/>
      <c r="E8287" s="201"/>
      <c r="F8287" s="202"/>
      <c r="G8287" s="549"/>
      <c r="H8287" s="549"/>
      <c r="I8287" s="549"/>
      <c r="J8287" s="549"/>
      <c r="K8287" s="549"/>
      <c r="M8287" s="465"/>
      <c r="N8287" s="201"/>
    </row>
    <row r="8288" spans="2:14" hidden="1" outlineLevel="1" x14ac:dyDescent="0.35">
      <c r="B8288" s="200"/>
      <c r="C8288" s="201"/>
      <c r="D8288" s="201"/>
      <c r="E8288" s="201"/>
      <c r="F8288" s="202"/>
      <c r="G8288" s="549"/>
      <c r="H8288" s="549"/>
      <c r="I8288" s="549"/>
      <c r="J8288" s="549"/>
      <c r="K8288" s="549"/>
      <c r="M8288" s="465"/>
      <c r="N8288" s="201"/>
    </row>
    <row r="8289" spans="2:14" hidden="1" outlineLevel="1" x14ac:dyDescent="0.35">
      <c r="B8289" s="200"/>
      <c r="C8289" s="201"/>
      <c r="D8289" s="201"/>
      <c r="E8289" s="201"/>
      <c r="F8289" s="202"/>
      <c r="G8289" s="549"/>
      <c r="H8289" s="549"/>
      <c r="I8289" s="549"/>
      <c r="J8289" s="549"/>
      <c r="K8289" s="549"/>
      <c r="M8289" s="465"/>
      <c r="N8289" s="201"/>
    </row>
    <row r="8290" spans="2:14" hidden="1" outlineLevel="1" x14ac:dyDescent="0.35">
      <c r="B8290" s="200"/>
      <c r="C8290" s="201"/>
      <c r="D8290" s="201"/>
      <c r="E8290" s="201"/>
      <c r="F8290" s="202"/>
      <c r="G8290" s="549"/>
      <c r="H8290" s="549"/>
      <c r="I8290" s="549"/>
      <c r="J8290" s="549"/>
      <c r="K8290" s="549"/>
      <c r="M8290" s="465"/>
      <c r="N8290" s="201"/>
    </row>
    <row r="8291" spans="2:14" hidden="1" outlineLevel="1" x14ac:dyDescent="0.35">
      <c r="B8291" s="200"/>
      <c r="C8291" s="201"/>
      <c r="D8291" s="201"/>
      <c r="E8291" s="201"/>
      <c r="F8291" s="202"/>
      <c r="G8291" s="549"/>
      <c r="H8291" s="549"/>
      <c r="I8291" s="549"/>
      <c r="J8291" s="549"/>
      <c r="K8291" s="549"/>
      <c r="M8291" s="465"/>
      <c r="N8291" s="201"/>
    </row>
    <row r="8292" spans="2:14" hidden="1" outlineLevel="1" x14ac:dyDescent="0.35">
      <c r="B8292" s="200"/>
      <c r="C8292" s="201"/>
      <c r="D8292" s="201"/>
      <c r="E8292" s="201"/>
      <c r="F8292" s="202"/>
      <c r="G8292" s="549"/>
      <c r="H8292" s="549"/>
      <c r="I8292" s="549"/>
      <c r="J8292" s="549"/>
      <c r="K8292" s="549"/>
      <c r="M8292" s="465"/>
      <c r="N8292" s="201"/>
    </row>
    <row r="8293" spans="2:14" hidden="1" outlineLevel="1" x14ac:dyDescent="0.35">
      <c r="B8293" s="200"/>
      <c r="C8293" s="201"/>
      <c r="D8293" s="201"/>
      <c r="E8293" s="201"/>
      <c r="F8293" s="202"/>
      <c r="G8293" s="549"/>
      <c r="H8293" s="549"/>
      <c r="I8293" s="549"/>
      <c r="J8293" s="549"/>
      <c r="K8293" s="549"/>
      <c r="M8293" s="465"/>
      <c r="N8293" s="201"/>
    </row>
    <row r="8294" spans="2:14" hidden="1" outlineLevel="1" x14ac:dyDescent="0.35">
      <c r="B8294" s="200"/>
      <c r="C8294" s="201"/>
      <c r="D8294" s="201"/>
      <c r="E8294" s="201"/>
      <c r="F8294" s="202"/>
      <c r="G8294" s="549"/>
      <c r="H8294" s="549"/>
      <c r="I8294" s="549"/>
      <c r="J8294" s="549"/>
      <c r="K8294" s="549"/>
      <c r="M8294" s="465"/>
      <c r="N8294" s="201"/>
    </row>
    <row r="8295" spans="2:14" hidden="1" outlineLevel="1" x14ac:dyDescent="0.35">
      <c r="B8295" s="200"/>
      <c r="C8295" s="201"/>
      <c r="D8295" s="201"/>
      <c r="E8295" s="201"/>
      <c r="F8295" s="202"/>
      <c r="G8295" s="549"/>
      <c r="H8295" s="549"/>
      <c r="I8295" s="549"/>
      <c r="J8295" s="549"/>
      <c r="K8295" s="549"/>
      <c r="M8295" s="465"/>
      <c r="N8295" s="201"/>
    </row>
    <row r="8296" spans="2:14" hidden="1" outlineLevel="1" x14ac:dyDescent="0.35">
      <c r="B8296" s="200"/>
      <c r="C8296" s="201"/>
      <c r="D8296" s="201"/>
      <c r="E8296" s="201"/>
      <c r="F8296" s="202"/>
      <c r="G8296" s="549"/>
      <c r="H8296" s="549"/>
      <c r="I8296" s="549"/>
      <c r="J8296" s="549"/>
      <c r="K8296" s="549"/>
      <c r="M8296" s="465"/>
      <c r="N8296" s="201"/>
    </row>
    <row r="8297" spans="2:14" hidden="1" outlineLevel="1" x14ac:dyDescent="0.35">
      <c r="B8297" s="200"/>
      <c r="C8297" s="201"/>
      <c r="D8297" s="201"/>
      <c r="E8297" s="201"/>
      <c r="F8297" s="202"/>
      <c r="G8297" s="549"/>
      <c r="H8297" s="549"/>
      <c r="I8297" s="549"/>
      <c r="J8297" s="549"/>
      <c r="K8297" s="549"/>
      <c r="M8297" s="465"/>
      <c r="N8297" s="201"/>
    </row>
    <row r="8298" spans="2:14" hidden="1" outlineLevel="1" x14ac:dyDescent="0.35">
      <c r="B8298" s="200"/>
      <c r="C8298" s="201"/>
      <c r="D8298" s="201"/>
      <c r="E8298" s="201"/>
      <c r="F8298" s="202"/>
      <c r="G8298" s="549"/>
      <c r="H8298" s="549"/>
      <c r="I8298" s="549"/>
      <c r="J8298" s="549"/>
      <c r="K8298" s="549"/>
      <c r="M8298" s="465"/>
      <c r="N8298" s="201"/>
    </row>
    <row r="8299" spans="2:14" hidden="1" outlineLevel="1" x14ac:dyDescent="0.35">
      <c r="B8299" s="200"/>
      <c r="C8299" s="201"/>
      <c r="D8299" s="201"/>
      <c r="E8299" s="201"/>
      <c r="F8299" s="202"/>
      <c r="G8299" s="549"/>
      <c r="H8299" s="549"/>
      <c r="I8299" s="549"/>
      <c r="J8299" s="549"/>
      <c r="K8299" s="549"/>
      <c r="M8299" s="465"/>
      <c r="N8299" s="201"/>
    </row>
    <row r="8300" spans="2:14" hidden="1" outlineLevel="1" x14ac:dyDescent="0.35">
      <c r="B8300" s="200"/>
      <c r="C8300" s="201"/>
      <c r="D8300" s="201"/>
      <c r="E8300" s="201"/>
      <c r="F8300" s="202"/>
      <c r="G8300" s="549"/>
      <c r="H8300" s="549"/>
      <c r="I8300" s="549"/>
      <c r="J8300" s="549"/>
      <c r="K8300" s="549"/>
      <c r="M8300" s="465"/>
      <c r="N8300" s="201"/>
    </row>
    <row r="8301" spans="2:14" hidden="1" outlineLevel="1" x14ac:dyDescent="0.35">
      <c r="B8301" s="200"/>
      <c r="C8301" s="201"/>
      <c r="D8301" s="201"/>
      <c r="E8301" s="201"/>
      <c r="F8301" s="202"/>
      <c r="G8301" s="549"/>
      <c r="H8301" s="549"/>
      <c r="I8301" s="549"/>
      <c r="J8301" s="549"/>
      <c r="K8301" s="549"/>
      <c r="M8301" s="465"/>
      <c r="N8301" s="201"/>
    </row>
    <row r="8302" spans="2:14" hidden="1" outlineLevel="1" x14ac:dyDescent="0.35">
      <c r="B8302" s="200"/>
      <c r="C8302" s="201"/>
      <c r="D8302" s="201"/>
      <c r="E8302" s="201"/>
      <c r="F8302" s="202"/>
      <c r="G8302" s="549"/>
      <c r="H8302" s="549"/>
      <c r="I8302" s="549"/>
      <c r="J8302" s="549"/>
      <c r="K8302" s="549"/>
      <c r="M8302" s="465"/>
      <c r="N8302" s="201"/>
    </row>
    <row r="8303" spans="2:14" hidden="1" outlineLevel="1" x14ac:dyDescent="0.35">
      <c r="B8303" s="200"/>
      <c r="C8303" s="201"/>
      <c r="D8303" s="201"/>
      <c r="E8303" s="201"/>
      <c r="F8303" s="202"/>
      <c r="G8303" s="549"/>
      <c r="H8303" s="549"/>
      <c r="I8303" s="549"/>
      <c r="J8303" s="549"/>
      <c r="K8303" s="549"/>
      <c r="M8303" s="465"/>
      <c r="N8303" s="201"/>
    </row>
    <row r="8304" spans="2:14" hidden="1" outlineLevel="1" x14ac:dyDescent="0.35">
      <c r="B8304" s="200"/>
      <c r="C8304" s="201"/>
      <c r="D8304" s="201"/>
      <c r="E8304" s="201"/>
      <c r="F8304" s="202"/>
      <c r="G8304" s="549"/>
      <c r="H8304" s="549"/>
      <c r="I8304" s="549"/>
      <c r="J8304" s="549"/>
      <c r="K8304" s="549"/>
      <c r="M8304" s="465"/>
      <c r="N8304" s="201"/>
    </row>
    <row r="8305" spans="2:14" hidden="1" outlineLevel="1" x14ac:dyDescent="0.35">
      <c r="B8305" s="200"/>
      <c r="C8305" s="201"/>
      <c r="D8305" s="201"/>
      <c r="E8305" s="201"/>
      <c r="F8305" s="202"/>
      <c r="G8305" s="549"/>
      <c r="H8305" s="549"/>
      <c r="I8305" s="549"/>
      <c r="J8305" s="549"/>
      <c r="K8305" s="549"/>
      <c r="M8305" s="465"/>
      <c r="N8305" s="201"/>
    </row>
    <row r="8306" spans="2:14" hidden="1" outlineLevel="1" x14ac:dyDescent="0.35">
      <c r="B8306" s="200"/>
      <c r="C8306" s="201"/>
      <c r="D8306" s="201"/>
      <c r="E8306" s="201"/>
      <c r="F8306" s="202"/>
      <c r="G8306" s="549"/>
      <c r="H8306" s="549"/>
      <c r="I8306" s="549"/>
      <c r="J8306" s="549"/>
      <c r="K8306" s="549"/>
      <c r="M8306" s="465"/>
      <c r="N8306" s="201"/>
    </row>
    <row r="8307" spans="2:14" hidden="1" outlineLevel="1" x14ac:dyDescent="0.35">
      <c r="B8307" s="200"/>
      <c r="C8307" s="201"/>
      <c r="D8307" s="201"/>
      <c r="E8307" s="201"/>
      <c r="F8307" s="202"/>
      <c r="G8307" s="549"/>
      <c r="H8307" s="549"/>
      <c r="I8307" s="549"/>
      <c r="J8307" s="549"/>
      <c r="K8307" s="549"/>
      <c r="M8307" s="465"/>
      <c r="N8307" s="201"/>
    </row>
    <row r="8308" spans="2:14" hidden="1" outlineLevel="1" x14ac:dyDescent="0.35">
      <c r="B8308" s="200"/>
      <c r="C8308" s="201"/>
      <c r="D8308" s="201"/>
      <c r="E8308" s="201"/>
      <c r="F8308" s="202"/>
      <c r="G8308" s="549"/>
      <c r="H8308" s="549"/>
      <c r="I8308" s="549"/>
      <c r="J8308" s="549"/>
      <c r="K8308" s="549"/>
      <c r="M8308" s="465"/>
      <c r="N8308" s="201"/>
    </row>
    <row r="8309" spans="2:14" hidden="1" outlineLevel="1" x14ac:dyDescent="0.35">
      <c r="B8309" s="200"/>
      <c r="C8309" s="201"/>
      <c r="D8309" s="201"/>
      <c r="E8309" s="201"/>
      <c r="F8309" s="202"/>
      <c r="G8309" s="549"/>
      <c r="H8309" s="549"/>
      <c r="I8309" s="549"/>
      <c r="J8309" s="549"/>
      <c r="K8309" s="549"/>
      <c r="M8309" s="465"/>
      <c r="N8309" s="201"/>
    </row>
    <row r="8310" spans="2:14" hidden="1" outlineLevel="1" x14ac:dyDescent="0.35">
      <c r="B8310" s="200"/>
      <c r="C8310" s="201"/>
      <c r="D8310" s="201"/>
      <c r="E8310" s="201"/>
      <c r="F8310" s="202"/>
      <c r="G8310" s="549"/>
      <c r="H8310" s="549"/>
      <c r="I8310" s="549"/>
      <c r="J8310" s="549"/>
      <c r="K8310" s="549"/>
      <c r="M8310" s="465"/>
      <c r="N8310" s="201"/>
    </row>
    <row r="8311" spans="2:14" hidden="1" outlineLevel="1" x14ac:dyDescent="0.35">
      <c r="B8311" s="200"/>
      <c r="C8311" s="201"/>
      <c r="D8311" s="201"/>
      <c r="E8311" s="201"/>
      <c r="F8311" s="202"/>
      <c r="G8311" s="549"/>
      <c r="H8311" s="549"/>
      <c r="I8311" s="549"/>
      <c r="J8311" s="549"/>
      <c r="K8311" s="549"/>
      <c r="M8311" s="465"/>
      <c r="N8311" s="201"/>
    </row>
    <row r="8312" spans="2:14" hidden="1" outlineLevel="1" x14ac:dyDescent="0.35">
      <c r="B8312" s="200"/>
      <c r="C8312" s="201"/>
      <c r="D8312" s="201"/>
      <c r="E8312" s="201"/>
      <c r="F8312" s="202"/>
      <c r="G8312" s="549"/>
      <c r="H8312" s="549"/>
      <c r="I8312" s="549"/>
      <c r="J8312" s="549"/>
      <c r="K8312" s="549"/>
      <c r="M8312" s="465"/>
      <c r="N8312" s="201"/>
    </row>
    <row r="8313" spans="2:14" hidden="1" outlineLevel="1" x14ac:dyDescent="0.35">
      <c r="B8313" s="200"/>
      <c r="C8313" s="201"/>
      <c r="D8313" s="201"/>
      <c r="E8313" s="201"/>
      <c r="F8313" s="202"/>
      <c r="G8313" s="549"/>
      <c r="H8313" s="549"/>
      <c r="I8313" s="549"/>
      <c r="J8313" s="549"/>
      <c r="K8313" s="549"/>
      <c r="M8313" s="465"/>
      <c r="N8313" s="201"/>
    </row>
    <row r="8314" spans="2:14" hidden="1" outlineLevel="1" x14ac:dyDescent="0.35">
      <c r="B8314" s="200"/>
      <c r="C8314" s="201"/>
      <c r="D8314" s="201"/>
      <c r="E8314" s="201"/>
      <c r="F8314" s="202"/>
      <c r="G8314" s="549"/>
      <c r="H8314" s="549"/>
      <c r="I8314" s="549"/>
      <c r="J8314" s="549"/>
      <c r="K8314" s="549"/>
      <c r="M8314" s="465"/>
      <c r="N8314" s="201"/>
    </row>
    <row r="8315" spans="2:14" hidden="1" outlineLevel="1" x14ac:dyDescent="0.35">
      <c r="B8315" s="200"/>
      <c r="C8315" s="201"/>
      <c r="D8315" s="201"/>
      <c r="E8315" s="201"/>
      <c r="F8315" s="202"/>
      <c r="G8315" s="549"/>
      <c r="H8315" s="549"/>
      <c r="I8315" s="549"/>
      <c r="J8315" s="549"/>
      <c r="K8315" s="549"/>
      <c r="M8315" s="465"/>
      <c r="N8315" s="201"/>
    </row>
    <row r="8316" spans="2:14" hidden="1" outlineLevel="1" x14ac:dyDescent="0.35">
      <c r="B8316" s="200"/>
      <c r="C8316" s="201"/>
      <c r="D8316" s="201"/>
      <c r="E8316" s="201"/>
      <c r="F8316" s="202"/>
      <c r="G8316" s="549"/>
      <c r="H8316" s="549"/>
      <c r="I8316" s="549"/>
      <c r="J8316" s="549"/>
      <c r="K8316" s="549"/>
      <c r="M8316" s="465"/>
      <c r="N8316" s="201"/>
    </row>
    <row r="8317" spans="2:14" hidden="1" outlineLevel="1" x14ac:dyDescent="0.35">
      <c r="B8317" s="200"/>
      <c r="C8317" s="201"/>
      <c r="D8317" s="201"/>
      <c r="E8317" s="201"/>
      <c r="F8317" s="202"/>
      <c r="G8317" s="549"/>
      <c r="H8317" s="549"/>
      <c r="I8317" s="549"/>
      <c r="J8317" s="549"/>
      <c r="K8317" s="549"/>
      <c r="M8317" s="465"/>
      <c r="N8317" s="201"/>
    </row>
    <row r="8318" spans="2:14" hidden="1" outlineLevel="1" x14ac:dyDescent="0.35">
      <c r="B8318" s="200"/>
      <c r="C8318" s="201"/>
      <c r="D8318" s="201"/>
      <c r="E8318" s="201"/>
      <c r="F8318" s="202"/>
      <c r="G8318" s="549"/>
      <c r="H8318" s="549"/>
      <c r="I8318" s="549"/>
      <c r="J8318" s="549"/>
      <c r="K8318" s="549"/>
      <c r="M8318" s="465"/>
      <c r="N8318" s="201"/>
    </row>
    <row r="8319" spans="2:14" hidden="1" outlineLevel="1" x14ac:dyDescent="0.35">
      <c r="B8319" s="200"/>
      <c r="C8319" s="201"/>
      <c r="D8319" s="201"/>
      <c r="E8319" s="201"/>
      <c r="F8319" s="202"/>
      <c r="G8319" s="549"/>
      <c r="H8319" s="549"/>
      <c r="I8319" s="549"/>
      <c r="J8319" s="549"/>
      <c r="K8319" s="549"/>
      <c r="M8319" s="465"/>
      <c r="N8319" s="201"/>
    </row>
    <row r="8320" spans="2:14" hidden="1" outlineLevel="1" x14ac:dyDescent="0.35">
      <c r="B8320" s="200"/>
      <c r="C8320" s="201"/>
      <c r="D8320" s="201"/>
      <c r="E8320" s="201"/>
      <c r="F8320" s="202"/>
      <c r="G8320" s="549"/>
      <c r="H8320" s="549"/>
      <c r="I8320" s="549"/>
      <c r="J8320" s="549"/>
      <c r="K8320" s="549"/>
      <c r="M8320" s="465"/>
      <c r="N8320" s="201"/>
    </row>
    <row r="8321" spans="2:14" hidden="1" outlineLevel="1" x14ac:dyDescent="0.35">
      <c r="B8321" s="200"/>
      <c r="C8321" s="201"/>
      <c r="D8321" s="201"/>
      <c r="E8321" s="201"/>
      <c r="F8321" s="202"/>
      <c r="G8321" s="549"/>
      <c r="H8321" s="549"/>
      <c r="I8321" s="549"/>
      <c r="J8321" s="549"/>
      <c r="K8321" s="549"/>
      <c r="M8321" s="465"/>
      <c r="N8321" s="201"/>
    </row>
    <row r="8322" spans="2:14" hidden="1" outlineLevel="1" x14ac:dyDescent="0.35">
      <c r="B8322" s="200"/>
      <c r="C8322" s="201"/>
      <c r="D8322" s="201"/>
      <c r="E8322" s="201"/>
      <c r="F8322" s="202"/>
      <c r="G8322" s="549"/>
      <c r="H8322" s="549"/>
      <c r="I8322" s="549"/>
      <c r="J8322" s="549"/>
      <c r="K8322" s="549"/>
      <c r="M8322" s="465"/>
      <c r="N8322" s="201"/>
    </row>
    <row r="8323" spans="2:14" hidden="1" outlineLevel="1" x14ac:dyDescent="0.35">
      <c r="B8323" s="200"/>
      <c r="C8323" s="201"/>
      <c r="D8323" s="201"/>
      <c r="E8323" s="201"/>
      <c r="F8323" s="202"/>
      <c r="G8323" s="549"/>
      <c r="H8323" s="549"/>
      <c r="I8323" s="549"/>
      <c r="J8323" s="549"/>
      <c r="K8323" s="549"/>
      <c r="M8323" s="465"/>
      <c r="N8323" s="201"/>
    </row>
    <row r="8324" spans="2:14" hidden="1" outlineLevel="1" x14ac:dyDescent="0.35">
      <c r="B8324" s="200"/>
      <c r="C8324" s="201"/>
      <c r="D8324" s="201"/>
      <c r="E8324" s="201"/>
      <c r="F8324" s="202"/>
      <c r="G8324" s="549"/>
      <c r="H8324" s="549"/>
      <c r="I8324" s="549"/>
      <c r="J8324" s="549"/>
      <c r="K8324" s="549"/>
      <c r="M8324" s="465"/>
      <c r="N8324" s="201"/>
    </row>
    <row r="8325" spans="2:14" hidden="1" outlineLevel="1" x14ac:dyDescent="0.35">
      <c r="B8325" s="200"/>
      <c r="C8325" s="201"/>
      <c r="D8325" s="201"/>
      <c r="E8325" s="201"/>
      <c r="F8325" s="202"/>
      <c r="G8325" s="549"/>
      <c r="H8325" s="549"/>
      <c r="I8325" s="549"/>
      <c r="J8325" s="549"/>
      <c r="K8325" s="549"/>
      <c r="M8325" s="465"/>
      <c r="N8325" s="201"/>
    </row>
    <row r="8326" spans="2:14" hidden="1" outlineLevel="1" x14ac:dyDescent="0.35">
      <c r="B8326" s="200"/>
      <c r="C8326" s="201"/>
      <c r="D8326" s="201"/>
      <c r="E8326" s="201"/>
      <c r="F8326" s="202"/>
      <c r="G8326" s="549"/>
      <c r="H8326" s="549"/>
      <c r="I8326" s="549"/>
      <c r="J8326" s="549"/>
      <c r="K8326" s="549"/>
      <c r="M8326" s="465"/>
      <c r="N8326" s="201"/>
    </row>
    <row r="8327" spans="2:14" hidden="1" outlineLevel="1" x14ac:dyDescent="0.35">
      <c r="B8327" s="200"/>
      <c r="C8327" s="201"/>
      <c r="D8327" s="201"/>
      <c r="E8327" s="201"/>
      <c r="F8327" s="202"/>
      <c r="G8327" s="549"/>
      <c r="H8327" s="549"/>
      <c r="I8327" s="549"/>
      <c r="J8327" s="549"/>
      <c r="K8327" s="549"/>
      <c r="M8327" s="465"/>
      <c r="N8327" s="201"/>
    </row>
    <row r="8328" spans="2:14" hidden="1" outlineLevel="1" x14ac:dyDescent="0.35">
      <c r="B8328" s="200"/>
      <c r="C8328" s="201"/>
      <c r="D8328" s="201"/>
      <c r="E8328" s="201"/>
      <c r="F8328" s="202"/>
      <c r="G8328" s="549"/>
      <c r="H8328" s="549"/>
      <c r="I8328" s="549"/>
      <c r="J8328" s="549"/>
      <c r="K8328" s="549"/>
      <c r="M8328" s="465"/>
      <c r="N8328" s="201"/>
    </row>
    <row r="8329" spans="2:14" hidden="1" outlineLevel="1" x14ac:dyDescent="0.35">
      <c r="B8329" s="200"/>
      <c r="C8329" s="201"/>
      <c r="D8329" s="201"/>
      <c r="E8329" s="201"/>
      <c r="F8329" s="202"/>
      <c r="G8329" s="549"/>
      <c r="H8329" s="549"/>
      <c r="I8329" s="549"/>
      <c r="J8329" s="549"/>
      <c r="K8329" s="549"/>
      <c r="M8329" s="465"/>
      <c r="N8329" s="201"/>
    </row>
    <row r="8330" spans="2:14" hidden="1" outlineLevel="1" x14ac:dyDescent="0.35">
      <c r="B8330" s="200"/>
      <c r="C8330" s="201"/>
      <c r="D8330" s="201"/>
      <c r="E8330" s="201"/>
      <c r="F8330" s="202"/>
      <c r="G8330" s="549"/>
      <c r="H8330" s="549"/>
      <c r="I8330" s="549"/>
      <c r="J8330" s="549"/>
      <c r="K8330" s="549"/>
      <c r="M8330" s="465"/>
      <c r="N8330" s="201"/>
    </row>
    <row r="8331" spans="2:14" hidden="1" outlineLevel="1" x14ac:dyDescent="0.35">
      <c r="B8331" s="200"/>
      <c r="C8331" s="201"/>
      <c r="D8331" s="201"/>
      <c r="E8331" s="201"/>
      <c r="F8331" s="202"/>
      <c r="G8331" s="549"/>
      <c r="H8331" s="549"/>
      <c r="I8331" s="549"/>
      <c r="J8331" s="549"/>
      <c r="K8331" s="549"/>
      <c r="M8331" s="465"/>
      <c r="N8331" s="201"/>
    </row>
    <row r="8332" spans="2:14" hidden="1" outlineLevel="1" x14ac:dyDescent="0.35">
      <c r="B8332" s="200"/>
      <c r="C8332" s="201"/>
      <c r="D8332" s="201"/>
      <c r="E8332" s="201"/>
      <c r="F8332" s="202"/>
      <c r="G8332" s="549"/>
      <c r="H8332" s="549"/>
      <c r="I8332" s="549"/>
      <c r="J8332" s="549"/>
      <c r="K8332" s="549"/>
      <c r="M8332" s="465"/>
      <c r="N8332" s="201"/>
    </row>
    <row r="8333" spans="2:14" hidden="1" outlineLevel="1" x14ac:dyDescent="0.35">
      <c r="B8333" s="200"/>
      <c r="C8333" s="201"/>
      <c r="D8333" s="201"/>
      <c r="E8333" s="201"/>
      <c r="F8333" s="202"/>
      <c r="G8333" s="549"/>
      <c r="H8333" s="549"/>
      <c r="I8333" s="549"/>
      <c r="J8333" s="549"/>
      <c r="K8333" s="549"/>
      <c r="M8333" s="465"/>
      <c r="N8333" s="201"/>
    </row>
    <row r="8334" spans="2:14" hidden="1" outlineLevel="1" x14ac:dyDescent="0.35">
      <c r="B8334" s="200"/>
      <c r="C8334" s="201"/>
      <c r="D8334" s="201"/>
      <c r="E8334" s="201"/>
      <c r="F8334" s="202"/>
      <c r="G8334" s="549"/>
      <c r="H8334" s="549"/>
      <c r="I8334" s="549"/>
      <c r="J8334" s="549"/>
      <c r="K8334" s="549"/>
      <c r="M8334" s="465"/>
      <c r="N8334" s="201"/>
    </row>
    <row r="8335" spans="2:14" hidden="1" outlineLevel="1" x14ac:dyDescent="0.35">
      <c r="B8335" s="200"/>
      <c r="C8335" s="201"/>
      <c r="D8335" s="201"/>
      <c r="E8335" s="201"/>
      <c r="F8335" s="202"/>
      <c r="G8335" s="549"/>
      <c r="H8335" s="549"/>
      <c r="I8335" s="549"/>
      <c r="J8335" s="549"/>
      <c r="K8335" s="549"/>
      <c r="M8335" s="465"/>
      <c r="N8335" s="201"/>
    </row>
    <row r="8336" spans="2:14" hidden="1" outlineLevel="1" x14ac:dyDescent="0.35">
      <c r="B8336" s="200"/>
      <c r="C8336" s="201"/>
      <c r="D8336" s="201"/>
      <c r="E8336" s="201"/>
      <c r="F8336" s="202"/>
      <c r="G8336" s="549"/>
      <c r="H8336" s="549"/>
      <c r="I8336" s="549"/>
      <c r="J8336" s="549"/>
      <c r="K8336" s="549"/>
      <c r="M8336" s="465"/>
      <c r="N8336" s="201"/>
    </row>
    <row r="8337" spans="2:14" hidden="1" outlineLevel="1" x14ac:dyDescent="0.35">
      <c r="B8337" s="200"/>
      <c r="C8337" s="201"/>
      <c r="D8337" s="201"/>
      <c r="E8337" s="201"/>
      <c r="F8337" s="202"/>
      <c r="G8337" s="549"/>
      <c r="H8337" s="549"/>
      <c r="I8337" s="549"/>
      <c r="J8337" s="549"/>
      <c r="K8337" s="549"/>
      <c r="M8337" s="465"/>
      <c r="N8337" s="201"/>
    </row>
    <row r="8338" spans="2:14" hidden="1" outlineLevel="1" x14ac:dyDescent="0.35">
      <c r="B8338" s="200"/>
      <c r="C8338" s="201"/>
      <c r="D8338" s="201"/>
      <c r="E8338" s="201"/>
      <c r="F8338" s="202"/>
      <c r="G8338" s="549"/>
      <c r="H8338" s="549"/>
      <c r="I8338" s="549"/>
      <c r="J8338" s="549"/>
      <c r="K8338" s="549"/>
      <c r="M8338" s="465"/>
      <c r="N8338" s="201"/>
    </row>
    <row r="8339" spans="2:14" hidden="1" outlineLevel="1" x14ac:dyDescent="0.35">
      <c r="B8339" s="200"/>
      <c r="C8339" s="201"/>
      <c r="D8339" s="201"/>
      <c r="E8339" s="201"/>
      <c r="F8339" s="202"/>
      <c r="G8339" s="549"/>
      <c r="H8339" s="549"/>
      <c r="I8339" s="549"/>
      <c r="J8339" s="549"/>
      <c r="K8339" s="549"/>
      <c r="M8339" s="465"/>
      <c r="N8339" s="201"/>
    </row>
    <row r="8340" spans="2:14" hidden="1" outlineLevel="1" x14ac:dyDescent="0.35">
      <c r="B8340" s="200"/>
      <c r="C8340" s="201"/>
      <c r="D8340" s="201"/>
      <c r="E8340" s="201"/>
      <c r="F8340" s="202"/>
      <c r="G8340" s="549"/>
      <c r="H8340" s="549"/>
      <c r="I8340" s="549"/>
      <c r="J8340" s="549"/>
      <c r="K8340" s="549"/>
      <c r="M8340" s="465"/>
      <c r="N8340" s="201"/>
    </row>
    <row r="8341" spans="2:14" hidden="1" outlineLevel="1" x14ac:dyDescent="0.35">
      <c r="B8341" s="200"/>
      <c r="C8341" s="201"/>
      <c r="D8341" s="201"/>
      <c r="E8341" s="201"/>
      <c r="F8341" s="202"/>
      <c r="G8341" s="549"/>
      <c r="H8341" s="549"/>
      <c r="I8341" s="549"/>
      <c r="J8341" s="549"/>
      <c r="K8341" s="549"/>
      <c r="M8341" s="465"/>
      <c r="N8341" s="201"/>
    </row>
    <row r="8342" spans="2:14" hidden="1" outlineLevel="1" x14ac:dyDescent="0.35">
      <c r="B8342" s="200"/>
      <c r="C8342" s="201"/>
      <c r="D8342" s="201"/>
      <c r="E8342" s="201"/>
      <c r="F8342" s="202"/>
      <c r="G8342" s="549"/>
      <c r="H8342" s="549"/>
      <c r="I8342" s="549"/>
      <c r="J8342" s="549"/>
      <c r="K8342" s="549"/>
      <c r="M8342" s="465"/>
      <c r="N8342" s="201"/>
    </row>
    <row r="8343" spans="2:14" hidden="1" outlineLevel="1" x14ac:dyDescent="0.35">
      <c r="B8343" s="200"/>
      <c r="C8343" s="201"/>
      <c r="D8343" s="201"/>
      <c r="E8343" s="201"/>
      <c r="F8343" s="202"/>
      <c r="G8343" s="549"/>
      <c r="H8343" s="549"/>
      <c r="I8343" s="549"/>
      <c r="J8343" s="549"/>
      <c r="K8343" s="549"/>
      <c r="M8343" s="465"/>
      <c r="N8343" s="201"/>
    </row>
    <row r="8344" spans="2:14" hidden="1" outlineLevel="1" x14ac:dyDescent="0.35">
      <c r="B8344" s="200"/>
      <c r="C8344" s="201"/>
      <c r="D8344" s="201"/>
      <c r="E8344" s="201"/>
      <c r="F8344" s="202"/>
      <c r="G8344" s="549"/>
      <c r="H8344" s="549"/>
      <c r="I8344" s="549"/>
      <c r="J8344" s="549"/>
      <c r="K8344" s="549"/>
      <c r="M8344" s="465"/>
      <c r="N8344" s="201"/>
    </row>
    <row r="8345" spans="2:14" hidden="1" outlineLevel="1" x14ac:dyDescent="0.35">
      <c r="B8345" s="200"/>
      <c r="C8345" s="201"/>
      <c r="D8345" s="201"/>
      <c r="E8345" s="201"/>
      <c r="F8345" s="202"/>
      <c r="G8345" s="549"/>
      <c r="H8345" s="549"/>
      <c r="I8345" s="549"/>
      <c r="J8345" s="549"/>
      <c r="K8345" s="549"/>
      <c r="M8345" s="465"/>
      <c r="N8345" s="201"/>
    </row>
    <row r="8346" spans="2:14" hidden="1" outlineLevel="1" x14ac:dyDescent="0.35">
      <c r="B8346" s="200"/>
      <c r="C8346" s="201"/>
      <c r="D8346" s="201"/>
      <c r="E8346" s="201"/>
      <c r="F8346" s="202"/>
      <c r="G8346" s="549"/>
      <c r="H8346" s="549"/>
      <c r="I8346" s="549"/>
      <c r="J8346" s="549"/>
      <c r="K8346" s="549"/>
      <c r="M8346" s="465"/>
      <c r="N8346" s="201"/>
    </row>
    <row r="8347" spans="2:14" hidden="1" outlineLevel="1" x14ac:dyDescent="0.35">
      <c r="B8347" s="200"/>
      <c r="C8347" s="201"/>
      <c r="D8347" s="201"/>
      <c r="E8347" s="201"/>
      <c r="F8347" s="202"/>
      <c r="G8347" s="549"/>
      <c r="H8347" s="549"/>
      <c r="I8347" s="549"/>
      <c r="J8347" s="549"/>
      <c r="K8347" s="549"/>
      <c r="M8347" s="465"/>
      <c r="N8347" s="201"/>
    </row>
    <row r="8348" spans="2:14" hidden="1" outlineLevel="1" x14ac:dyDescent="0.35">
      <c r="B8348" s="200"/>
      <c r="C8348" s="201"/>
      <c r="D8348" s="201"/>
      <c r="E8348" s="201"/>
      <c r="F8348" s="202"/>
      <c r="G8348" s="549"/>
      <c r="H8348" s="549"/>
      <c r="I8348" s="549"/>
      <c r="J8348" s="549"/>
      <c r="K8348" s="549"/>
      <c r="M8348" s="465"/>
      <c r="N8348" s="201"/>
    </row>
    <row r="8349" spans="2:14" hidden="1" outlineLevel="1" x14ac:dyDescent="0.35">
      <c r="B8349" s="200"/>
      <c r="C8349" s="201"/>
      <c r="D8349" s="201"/>
      <c r="E8349" s="201"/>
      <c r="F8349" s="202"/>
      <c r="G8349" s="549"/>
      <c r="H8349" s="549"/>
      <c r="I8349" s="549"/>
      <c r="J8349" s="549"/>
      <c r="K8349" s="549"/>
      <c r="M8349" s="465"/>
      <c r="N8349" s="201"/>
    </row>
    <row r="8350" spans="2:14" hidden="1" outlineLevel="1" x14ac:dyDescent="0.35">
      <c r="B8350" s="200"/>
      <c r="C8350" s="201"/>
      <c r="D8350" s="201"/>
      <c r="E8350" s="201"/>
      <c r="F8350" s="202"/>
      <c r="G8350" s="549"/>
      <c r="H8350" s="549"/>
      <c r="I8350" s="549"/>
      <c r="J8350" s="549"/>
      <c r="K8350" s="549"/>
      <c r="M8350" s="465"/>
      <c r="N8350" s="201"/>
    </row>
    <row r="8351" spans="2:14" hidden="1" outlineLevel="1" x14ac:dyDescent="0.35">
      <c r="B8351" s="200"/>
      <c r="C8351" s="201"/>
      <c r="D8351" s="201"/>
      <c r="E8351" s="201"/>
      <c r="F8351" s="202"/>
      <c r="G8351" s="549"/>
      <c r="H8351" s="549"/>
      <c r="I8351" s="549"/>
      <c r="J8351" s="549"/>
      <c r="K8351" s="549"/>
      <c r="M8351" s="465"/>
      <c r="N8351" s="201"/>
    </row>
    <row r="8352" spans="2:14" hidden="1" outlineLevel="1" x14ac:dyDescent="0.35">
      <c r="B8352" s="200"/>
      <c r="C8352" s="201"/>
      <c r="D8352" s="201"/>
      <c r="E8352" s="201"/>
      <c r="F8352" s="202"/>
      <c r="G8352" s="549"/>
      <c r="H8352" s="549"/>
      <c r="I8352" s="549"/>
      <c r="J8352" s="549"/>
      <c r="K8352" s="549"/>
      <c r="M8352" s="465"/>
      <c r="N8352" s="201"/>
    </row>
    <row r="8353" spans="2:14" hidden="1" outlineLevel="1" x14ac:dyDescent="0.35">
      <c r="B8353" s="200"/>
      <c r="C8353" s="201"/>
      <c r="D8353" s="201"/>
      <c r="E8353" s="201"/>
      <c r="F8353" s="202"/>
      <c r="G8353" s="549"/>
      <c r="H8353" s="549"/>
      <c r="I8353" s="549"/>
      <c r="J8353" s="549"/>
      <c r="K8353" s="549"/>
      <c r="M8353" s="465"/>
      <c r="N8353" s="201"/>
    </row>
    <row r="8354" spans="2:14" hidden="1" outlineLevel="1" x14ac:dyDescent="0.35">
      <c r="B8354" s="200"/>
      <c r="C8354" s="201"/>
      <c r="D8354" s="201"/>
      <c r="E8354" s="201"/>
      <c r="F8354" s="202"/>
      <c r="G8354" s="549"/>
      <c r="H8354" s="549"/>
      <c r="I8354" s="549"/>
      <c r="J8354" s="549"/>
      <c r="K8354" s="549"/>
      <c r="M8354" s="465"/>
      <c r="N8354" s="201"/>
    </row>
    <row r="8355" spans="2:14" hidden="1" outlineLevel="1" x14ac:dyDescent="0.35">
      <c r="B8355" s="200"/>
      <c r="C8355" s="201"/>
      <c r="D8355" s="201"/>
      <c r="E8355" s="201"/>
      <c r="F8355" s="202"/>
      <c r="G8355" s="549"/>
      <c r="H8355" s="549"/>
      <c r="I8355" s="549"/>
      <c r="J8355" s="549"/>
      <c r="K8355" s="549"/>
      <c r="M8355" s="465"/>
      <c r="N8355" s="201"/>
    </row>
    <row r="8356" spans="2:14" hidden="1" outlineLevel="1" x14ac:dyDescent="0.35">
      <c r="B8356" s="200"/>
      <c r="C8356" s="201"/>
      <c r="D8356" s="201"/>
      <c r="E8356" s="201"/>
      <c r="F8356" s="202"/>
      <c r="G8356" s="549"/>
      <c r="H8356" s="549"/>
      <c r="I8356" s="549"/>
      <c r="J8356" s="549"/>
      <c r="K8356" s="549"/>
      <c r="M8356" s="465"/>
      <c r="N8356" s="201"/>
    </row>
    <row r="8357" spans="2:14" hidden="1" outlineLevel="1" x14ac:dyDescent="0.35">
      <c r="B8357" s="200"/>
      <c r="C8357" s="201"/>
      <c r="D8357" s="201"/>
      <c r="E8357" s="201"/>
      <c r="F8357" s="202"/>
      <c r="G8357" s="549"/>
      <c r="H8357" s="549"/>
      <c r="I8357" s="549"/>
      <c r="J8357" s="549"/>
      <c r="K8357" s="549"/>
      <c r="M8357" s="465"/>
      <c r="N8357" s="201"/>
    </row>
    <row r="8358" spans="2:14" hidden="1" outlineLevel="1" x14ac:dyDescent="0.35">
      <c r="B8358" s="200"/>
      <c r="C8358" s="201"/>
      <c r="D8358" s="201"/>
      <c r="E8358" s="201"/>
      <c r="F8358" s="202"/>
      <c r="G8358" s="549"/>
      <c r="H8358" s="549"/>
      <c r="I8358" s="549"/>
      <c r="J8358" s="549"/>
      <c r="K8358" s="549"/>
      <c r="M8358" s="465"/>
      <c r="N8358" s="201"/>
    </row>
    <row r="8359" spans="2:14" hidden="1" outlineLevel="1" x14ac:dyDescent="0.35">
      <c r="B8359" s="200"/>
      <c r="C8359" s="201"/>
      <c r="D8359" s="201"/>
      <c r="E8359" s="201"/>
      <c r="F8359" s="202"/>
      <c r="G8359" s="549"/>
      <c r="H8359" s="549"/>
      <c r="I8359" s="549"/>
      <c r="J8359" s="549"/>
      <c r="K8359" s="549"/>
      <c r="M8359" s="465"/>
      <c r="N8359" s="201"/>
    </row>
    <row r="8360" spans="2:14" hidden="1" outlineLevel="1" x14ac:dyDescent="0.35">
      <c r="B8360" s="200"/>
      <c r="C8360" s="201"/>
      <c r="D8360" s="201"/>
      <c r="E8360" s="201"/>
      <c r="F8360" s="202"/>
      <c r="G8360" s="549"/>
      <c r="H8360" s="549"/>
      <c r="I8360" s="549"/>
      <c r="J8360" s="549"/>
      <c r="K8360" s="549"/>
      <c r="M8360" s="465"/>
      <c r="N8360" s="201"/>
    </row>
    <row r="8361" spans="2:14" hidden="1" outlineLevel="1" x14ac:dyDescent="0.35">
      <c r="B8361" s="200"/>
      <c r="C8361" s="201"/>
      <c r="D8361" s="201"/>
      <c r="E8361" s="201"/>
      <c r="F8361" s="202"/>
      <c r="G8361" s="549"/>
      <c r="H8361" s="549"/>
      <c r="I8361" s="549"/>
      <c r="J8361" s="549"/>
      <c r="K8361" s="549"/>
      <c r="M8361" s="465"/>
      <c r="N8361" s="201"/>
    </row>
    <row r="8362" spans="2:14" hidden="1" outlineLevel="1" x14ac:dyDescent="0.35">
      <c r="B8362" s="200"/>
      <c r="C8362" s="201"/>
      <c r="D8362" s="201"/>
      <c r="E8362" s="201"/>
      <c r="F8362" s="202"/>
      <c r="G8362" s="549"/>
      <c r="H8362" s="549"/>
      <c r="I8362" s="549"/>
      <c r="J8362" s="549"/>
      <c r="K8362" s="549"/>
      <c r="M8362" s="465"/>
      <c r="N8362" s="201"/>
    </row>
    <row r="8363" spans="2:14" hidden="1" outlineLevel="1" x14ac:dyDescent="0.35">
      <c r="B8363" s="200"/>
      <c r="C8363" s="201"/>
      <c r="D8363" s="201"/>
      <c r="E8363" s="201"/>
      <c r="F8363" s="202"/>
      <c r="G8363" s="549"/>
      <c r="H8363" s="549"/>
      <c r="I8363" s="549"/>
      <c r="J8363" s="549"/>
      <c r="K8363" s="549"/>
      <c r="M8363" s="465"/>
      <c r="N8363" s="201"/>
    </row>
    <row r="8364" spans="2:14" hidden="1" outlineLevel="1" x14ac:dyDescent="0.35">
      <c r="B8364" s="200"/>
      <c r="C8364" s="201"/>
      <c r="D8364" s="201"/>
      <c r="E8364" s="201"/>
      <c r="F8364" s="202"/>
      <c r="G8364" s="549"/>
      <c r="H8364" s="549"/>
      <c r="I8364" s="549"/>
      <c r="J8364" s="549"/>
      <c r="K8364" s="549"/>
      <c r="M8364" s="465"/>
      <c r="N8364" s="201"/>
    </row>
    <row r="8365" spans="2:14" hidden="1" outlineLevel="1" x14ac:dyDescent="0.35">
      <c r="B8365" s="200"/>
      <c r="C8365" s="201"/>
      <c r="D8365" s="201"/>
      <c r="E8365" s="201"/>
      <c r="F8365" s="202"/>
      <c r="G8365" s="549"/>
      <c r="H8365" s="549"/>
      <c r="I8365" s="549"/>
      <c r="J8365" s="549"/>
      <c r="K8365" s="549"/>
      <c r="M8365" s="465"/>
      <c r="N8365" s="201"/>
    </row>
    <row r="8366" spans="2:14" hidden="1" outlineLevel="1" x14ac:dyDescent="0.35">
      <c r="B8366" s="200"/>
      <c r="C8366" s="201"/>
      <c r="D8366" s="201"/>
      <c r="E8366" s="201"/>
      <c r="F8366" s="202"/>
      <c r="G8366" s="549"/>
      <c r="H8366" s="549"/>
      <c r="I8366" s="549"/>
      <c r="J8366" s="549"/>
      <c r="K8366" s="549"/>
      <c r="M8366" s="465"/>
      <c r="N8366" s="201"/>
    </row>
    <row r="8367" spans="2:14" hidden="1" outlineLevel="1" x14ac:dyDescent="0.35">
      <c r="B8367" s="200"/>
      <c r="C8367" s="201"/>
      <c r="D8367" s="201"/>
      <c r="E8367" s="201"/>
      <c r="F8367" s="202"/>
      <c r="G8367" s="549"/>
      <c r="H8367" s="549"/>
      <c r="I8367" s="549"/>
      <c r="J8367" s="549"/>
      <c r="K8367" s="549"/>
      <c r="M8367" s="465"/>
      <c r="N8367" s="201"/>
    </row>
    <row r="8368" spans="2:14" hidden="1" outlineLevel="1" x14ac:dyDescent="0.35">
      <c r="B8368" s="200"/>
      <c r="C8368" s="201"/>
      <c r="D8368" s="201"/>
      <c r="E8368" s="201"/>
      <c r="F8368" s="202"/>
      <c r="G8368" s="549"/>
      <c r="H8368" s="549"/>
      <c r="I8368" s="549"/>
      <c r="J8368" s="549"/>
      <c r="K8368" s="549"/>
      <c r="M8368" s="465"/>
      <c r="N8368" s="201"/>
    </row>
    <row r="8369" spans="2:14" hidden="1" outlineLevel="1" x14ac:dyDescent="0.35">
      <c r="B8369" s="200"/>
      <c r="C8369" s="201"/>
      <c r="D8369" s="201"/>
      <c r="E8369" s="201"/>
      <c r="F8369" s="202"/>
      <c r="G8369" s="549"/>
      <c r="H8369" s="549"/>
      <c r="I8369" s="549"/>
      <c r="J8369" s="549"/>
      <c r="K8369" s="549"/>
      <c r="M8369" s="465"/>
      <c r="N8369" s="201"/>
    </row>
    <row r="8370" spans="2:14" hidden="1" outlineLevel="1" x14ac:dyDescent="0.35">
      <c r="B8370" s="200"/>
      <c r="C8370" s="201"/>
      <c r="D8370" s="201"/>
      <c r="E8370" s="201"/>
      <c r="F8370" s="202"/>
      <c r="G8370" s="549"/>
      <c r="H8370" s="549"/>
      <c r="I8370" s="549"/>
      <c r="J8370" s="549"/>
      <c r="K8370" s="549"/>
      <c r="M8370" s="465"/>
      <c r="N8370" s="201"/>
    </row>
    <row r="8371" spans="2:14" hidden="1" outlineLevel="1" x14ac:dyDescent="0.35">
      <c r="B8371" s="200"/>
      <c r="C8371" s="201"/>
      <c r="D8371" s="201"/>
      <c r="E8371" s="201"/>
      <c r="F8371" s="202"/>
      <c r="G8371" s="549"/>
      <c r="H8371" s="549"/>
      <c r="I8371" s="549"/>
      <c r="J8371" s="549"/>
      <c r="K8371" s="549"/>
      <c r="M8371" s="465"/>
      <c r="N8371" s="201"/>
    </row>
    <row r="8372" spans="2:14" hidden="1" outlineLevel="1" x14ac:dyDescent="0.35">
      <c r="B8372" s="200"/>
      <c r="C8372" s="201"/>
      <c r="D8372" s="201"/>
      <c r="E8372" s="201"/>
      <c r="F8372" s="202"/>
      <c r="G8372" s="549"/>
      <c r="H8372" s="549"/>
      <c r="I8372" s="549"/>
      <c r="J8372" s="549"/>
      <c r="K8372" s="549"/>
      <c r="M8372" s="465"/>
      <c r="N8372" s="201"/>
    </row>
    <row r="8373" spans="2:14" hidden="1" outlineLevel="1" x14ac:dyDescent="0.35">
      <c r="B8373" s="200"/>
      <c r="C8373" s="201"/>
      <c r="D8373" s="201"/>
      <c r="E8373" s="201"/>
      <c r="F8373" s="202"/>
      <c r="G8373" s="549"/>
      <c r="H8373" s="549"/>
      <c r="I8373" s="549"/>
      <c r="J8373" s="549"/>
      <c r="K8373" s="549"/>
      <c r="M8373" s="465"/>
      <c r="N8373" s="201"/>
    </row>
    <row r="8374" spans="2:14" hidden="1" outlineLevel="1" x14ac:dyDescent="0.35">
      <c r="B8374" s="200"/>
      <c r="C8374" s="201"/>
      <c r="D8374" s="201"/>
      <c r="E8374" s="201"/>
      <c r="F8374" s="202"/>
      <c r="G8374" s="549"/>
      <c r="H8374" s="549"/>
      <c r="I8374" s="549"/>
      <c r="J8374" s="549"/>
      <c r="K8374" s="549"/>
      <c r="M8374" s="465"/>
      <c r="N8374" s="201"/>
    </row>
    <row r="8375" spans="2:14" hidden="1" outlineLevel="1" x14ac:dyDescent="0.35">
      <c r="B8375" s="200"/>
      <c r="C8375" s="201"/>
      <c r="D8375" s="201"/>
      <c r="E8375" s="201"/>
      <c r="F8375" s="202"/>
      <c r="G8375" s="549"/>
      <c r="H8375" s="549"/>
      <c r="I8375" s="549"/>
      <c r="J8375" s="549"/>
      <c r="K8375" s="549"/>
      <c r="M8375" s="465"/>
      <c r="N8375" s="201"/>
    </row>
    <row r="8376" spans="2:14" hidden="1" outlineLevel="1" x14ac:dyDescent="0.35">
      <c r="B8376" s="200"/>
      <c r="C8376" s="201"/>
      <c r="D8376" s="201"/>
      <c r="E8376" s="201"/>
      <c r="F8376" s="202"/>
      <c r="G8376" s="549"/>
      <c r="H8376" s="549"/>
      <c r="I8376" s="549"/>
      <c r="J8376" s="549"/>
      <c r="K8376" s="549"/>
      <c r="M8376" s="465"/>
      <c r="N8376" s="201"/>
    </row>
    <row r="8377" spans="2:14" hidden="1" outlineLevel="1" x14ac:dyDescent="0.35">
      <c r="B8377" s="200"/>
      <c r="C8377" s="201"/>
      <c r="D8377" s="201"/>
      <c r="E8377" s="201"/>
      <c r="F8377" s="202"/>
      <c r="G8377" s="549"/>
      <c r="H8377" s="549"/>
      <c r="I8377" s="549"/>
      <c r="J8377" s="549"/>
      <c r="K8377" s="549"/>
      <c r="M8377" s="465"/>
      <c r="N8377" s="201"/>
    </row>
    <row r="8378" spans="2:14" hidden="1" outlineLevel="1" x14ac:dyDescent="0.35">
      <c r="B8378" s="200"/>
      <c r="C8378" s="201"/>
      <c r="D8378" s="201"/>
      <c r="E8378" s="201"/>
      <c r="F8378" s="202"/>
      <c r="G8378" s="549"/>
      <c r="H8378" s="549"/>
      <c r="I8378" s="549"/>
      <c r="J8378" s="549"/>
      <c r="K8378" s="549"/>
      <c r="M8378" s="465"/>
      <c r="N8378" s="201"/>
    </row>
    <row r="8379" spans="2:14" hidden="1" outlineLevel="1" x14ac:dyDescent="0.35">
      <c r="B8379" s="200"/>
      <c r="C8379" s="201"/>
      <c r="D8379" s="201"/>
      <c r="E8379" s="201"/>
      <c r="F8379" s="202"/>
      <c r="G8379" s="549"/>
      <c r="H8379" s="549"/>
      <c r="I8379" s="549"/>
      <c r="J8379" s="549"/>
      <c r="K8379" s="549"/>
      <c r="M8379" s="465"/>
      <c r="N8379" s="201"/>
    </row>
    <row r="8380" spans="2:14" hidden="1" outlineLevel="1" x14ac:dyDescent="0.35">
      <c r="B8380" s="200"/>
      <c r="C8380" s="201"/>
      <c r="D8380" s="201"/>
      <c r="E8380" s="201"/>
      <c r="F8380" s="202"/>
      <c r="G8380" s="549"/>
      <c r="H8380" s="549"/>
      <c r="I8380" s="549"/>
      <c r="J8380" s="549"/>
      <c r="K8380" s="549"/>
      <c r="M8380" s="465"/>
      <c r="N8380" s="201"/>
    </row>
    <row r="8381" spans="2:14" hidden="1" outlineLevel="1" x14ac:dyDescent="0.35">
      <c r="B8381" s="200"/>
      <c r="C8381" s="201"/>
      <c r="D8381" s="201"/>
      <c r="E8381" s="201"/>
      <c r="F8381" s="202"/>
      <c r="G8381" s="549"/>
      <c r="H8381" s="549"/>
      <c r="I8381" s="549"/>
      <c r="J8381" s="549"/>
      <c r="K8381" s="549"/>
      <c r="M8381" s="465"/>
      <c r="N8381" s="201"/>
    </row>
    <row r="8382" spans="2:14" hidden="1" outlineLevel="1" x14ac:dyDescent="0.35">
      <c r="B8382" s="200"/>
      <c r="C8382" s="201"/>
      <c r="D8382" s="201"/>
      <c r="E8382" s="201"/>
      <c r="F8382" s="202"/>
      <c r="G8382" s="549"/>
      <c r="H8382" s="549"/>
      <c r="I8382" s="549"/>
      <c r="J8382" s="549"/>
      <c r="K8382" s="549"/>
      <c r="M8382" s="465"/>
      <c r="N8382" s="201"/>
    </row>
    <row r="8383" spans="2:14" hidden="1" outlineLevel="1" x14ac:dyDescent="0.35">
      <c r="B8383" s="200"/>
      <c r="C8383" s="201"/>
      <c r="D8383" s="201"/>
      <c r="E8383" s="201"/>
      <c r="F8383" s="202"/>
      <c r="G8383" s="549"/>
      <c r="H8383" s="549"/>
      <c r="I8383" s="549"/>
      <c r="J8383" s="549"/>
      <c r="K8383" s="549"/>
      <c r="M8383" s="465"/>
      <c r="N8383" s="201"/>
    </row>
    <row r="8384" spans="2:14" hidden="1" outlineLevel="1" x14ac:dyDescent="0.35">
      <c r="B8384" s="200"/>
      <c r="C8384" s="201"/>
      <c r="D8384" s="201"/>
      <c r="E8384" s="201"/>
      <c r="F8384" s="202"/>
      <c r="G8384" s="549"/>
      <c r="H8384" s="549"/>
      <c r="I8384" s="549"/>
      <c r="J8384" s="549"/>
      <c r="K8384" s="549"/>
      <c r="M8384" s="465"/>
      <c r="N8384" s="201"/>
    </row>
    <row r="8385" spans="2:14" hidden="1" outlineLevel="1" x14ac:dyDescent="0.35">
      <c r="B8385" s="200"/>
      <c r="C8385" s="201"/>
      <c r="D8385" s="201"/>
      <c r="E8385" s="201"/>
      <c r="F8385" s="202"/>
      <c r="G8385" s="549"/>
      <c r="H8385" s="549"/>
      <c r="I8385" s="549"/>
      <c r="J8385" s="549"/>
      <c r="K8385" s="549"/>
      <c r="M8385" s="465"/>
      <c r="N8385" s="201"/>
    </row>
    <row r="8386" spans="2:14" hidden="1" outlineLevel="1" x14ac:dyDescent="0.35">
      <c r="B8386" s="200"/>
      <c r="C8386" s="201"/>
      <c r="D8386" s="201"/>
      <c r="E8386" s="201"/>
      <c r="F8386" s="202"/>
      <c r="G8386" s="549"/>
      <c r="H8386" s="549"/>
      <c r="I8386" s="549"/>
      <c r="J8386" s="549"/>
      <c r="K8386" s="549"/>
      <c r="M8386" s="465"/>
      <c r="N8386" s="201"/>
    </row>
    <row r="8387" spans="2:14" hidden="1" outlineLevel="1" x14ac:dyDescent="0.35">
      <c r="B8387" s="200"/>
      <c r="C8387" s="201"/>
      <c r="D8387" s="201"/>
      <c r="E8387" s="201"/>
      <c r="F8387" s="202"/>
      <c r="G8387" s="549"/>
      <c r="H8387" s="549"/>
      <c r="I8387" s="549"/>
      <c r="J8387" s="549"/>
      <c r="K8387" s="549"/>
      <c r="M8387" s="465"/>
      <c r="N8387" s="201"/>
    </row>
    <row r="8388" spans="2:14" hidden="1" outlineLevel="1" x14ac:dyDescent="0.35">
      <c r="B8388" s="200"/>
      <c r="C8388" s="201"/>
      <c r="D8388" s="201"/>
      <c r="E8388" s="201"/>
      <c r="F8388" s="202"/>
      <c r="G8388" s="549"/>
      <c r="H8388" s="549"/>
      <c r="I8388" s="549"/>
      <c r="J8388" s="549"/>
      <c r="K8388" s="549"/>
      <c r="M8388" s="465"/>
      <c r="N8388" s="201"/>
    </row>
    <row r="8389" spans="2:14" hidden="1" outlineLevel="1" x14ac:dyDescent="0.35">
      <c r="B8389" s="200"/>
      <c r="C8389" s="201"/>
      <c r="D8389" s="201"/>
      <c r="E8389" s="201"/>
      <c r="F8389" s="202"/>
      <c r="G8389" s="549"/>
      <c r="H8389" s="549"/>
      <c r="I8389" s="549"/>
      <c r="J8389" s="549"/>
      <c r="K8389" s="549"/>
      <c r="M8389" s="465"/>
      <c r="N8389" s="201"/>
    </row>
    <row r="8390" spans="2:14" hidden="1" outlineLevel="1" x14ac:dyDescent="0.35">
      <c r="B8390" s="200"/>
      <c r="C8390" s="201"/>
      <c r="D8390" s="201"/>
      <c r="E8390" s="201"/>
      <c r="F8390" s="202"/>
      <c r="G8390" s="549"/>
      <c r="H8390" s="549"/>
      <c r="I8390" s="549"/>
      <c r="J8390" s="549"/>
      <c r="K8390" s="549"/>
      <c r="M8390" s="465"/>
      <c r="N8390" s="201"/>
    </row>
    <row r="8391" spans="2:14" hidden="1" outlineLevel="1" x14ac:dyDescent="0.35">
      <c r="B8391" s="200"/>
      <c r="C8391" s="201"/>
      <c r="D8391" s="201"/>
      <c r="E8391" s="201"/>
      <c r="F8391" s="202"/>
      <c r="G8391" s="549"/>
      <c r="H8391" s="549"/>
      <c r="I8391" s="549"/>
      <c r="J8391" s="549"/>
      <c r="K8391" s="549"/>
      <c r="M8391" s="465"/>
      <c r="N8391" s="201"/>
    </row>
    <row r="8392" spans="2:14" hidden="1" outlineLevel="1" x14ac:dyDescent="0.35">
      <c r="B8392" s="200"/>
      <c r="C8392" s="201"/>
      <c r="D8392" s="201"/>
      <c r="E8392" s="201"/>
      <c r="F8392" s="202"/>
      <c r="G8392" s="549"/>
      <c r="H8392" s="549"/>
      <c r="I8392" s="549"/>
      <c r="J8392" s="549"/>
      <c r="K8392" s="549"/>
      <c r="M8392" s="465"/>
      <c r="N8392" s="201"/>
    </row>
    <row r="8393" spans="2:14" hidden="1" outlineLevel="1" x14ac:dyDescent="0.35">
      <c r="B8393" s="200"/>
      <c r="C8393" s="201"/>
      <c r="D8393" s="201"/>
      <c r="E8393" s="201"/>
      <c r="F8393" s="202"/>
      <c r="G8393" s="549"/>
      <c r="H8393" s="549"/>
      <c r="I8393" s="549"/>
      <c r="J8393" s="549"/>
      <c r="K8393" s="549"/>
      <c r="M8393" s="465"/>
      <c r="N8393" s="201"/>
    </row>
    <row r="8394" spans="2:14" hidden="1" outlineLevel="1" x14ac:dyDescent="0.35">
      <c r="B8394" s="200"/>
      <c r="C8394" s="201"/>
      <c r="D8394" s="201"/>
      <c r="E8394" s="201"/>
      <c r="F8394" s="202"/>
      <c r="G8394" s="549"/>
      <c r="H8394" s="549"/>
      <c r="I8394" s="549"/>
      <c r="J8394" s="549"/>
      <c r="K8394" s="549"/>
      <c r="M8394" s="465"/>
      <c r="N8394" s="201"/>
    </row>
    <row r="8395" spans="2:14" hidden="1" outlineLevel="1" x14ac:dyDescent="0.35">
      <c r="B8395" s="200"/>
      <c r="C8395" s="201"/>
      <c r="D8395" s="201"/>
      <c r="E8395" s="201"/>
      <c r="F8395" s="202"/>
      <c r="G8395" s="549"/>
      <c r="H8395" s="549"/>
      <c r="I8395" s="549"/>
      <c r="J8395" s="549"/>
      <c r="K8395" s="549"/>
      <c r="M8395" s="465"/>
      <c r="N8395" s="201"/>
    </row>
    <row r="8396" spans="2:14" hidden="1" outlineLevel="1" x14ac:dyDescent="0.35">
      <c r="B8396" s="200"/>
      <c r="C8396" s="201"/>
      <c r="D8396" s="201"/>
      <c r="E8396" s="201"/>
      <c r="F8396" s="202"/>
      <c r="G8396" s="549"/>
      <c r="H8396" s="549"/>
      <c r="I8396" s="549"/>
      <c r="J8396" s="549"/>
      <c r="K8396" s="549"/>
      <c r="M8396" s="465"/>
      <c r="N8396" s="201"/>
    </row>
    <row r="8397" spans="2:14" hidden="1" outlineLevel="1" x14ac:dyDescent="0.35">
      <c r="B8397" s="200"/>
      <c r="C8397" s="201"/>
      <c r="D8397" s="201"/>
      <c r="E8397" s="201"/>
      <c r="F8397" s="202"/>
      <c r="G8397" s="549"/>
      <c r="H8397" s="549"/>
      <c r="I8397" s="549"/>
      <c r="J8397" s="549"/>
      <c r="K8397" s="549"/>
      <c r="M8397" s="465"/>
      <c r="N8397" s="201"/>
    </row>
    <row r="8398" spans="2:14" hidden="1" outlineLevel="1" x14ac:dyDescent="0.35">
      <c r="B8398" s="200"/>
      <c r="C8398" s="201"/>
      <c r="D8398" s="201"/>
      <c r="E8398" s="201"/>
      <c r="F8398" s="202"/>
      <c r="G8398" s="549"/>
      <c r="H8398" s="549"/>
      <c r="I8398" s="549"/>
      <c r="J8398" s="549"/>
      <c r="K8398" s="549"/>
      <c r="M8398" s="465"/>
      <c r="N8398" s="201"/>
    </row>
    <row r="8399" spans="2:14" hidden="1" outlineLevel="1" x14ac:dyDescent="0.35">
      <c r="B8399" s="200"/>
      <c r="C8399" s="201"/>
      <c r="D8399" s="201"/>
      <c r="E8399" s="201"/>
      <c r="F8399" s="202"/>
      <c r="G8399" s="549"/>
      <c r="H8399" s="549"/>
      <c r="I8399" s="549"/>
      <c r="J8399" s="549"/>
      <c r="K8399" s="549"/>
      <c r="M8399" s="465"/>
      <c r="N8399" s="201"/>
    </row>
    <row r="8400" spans="2:14" hidden="1" outlineLevel="1" x14ac:dyDescent="0.35">
      <c r="B8400" s="200"/>
      <c r="C8400" s="201"/>
      <c r="D8400" s="201"/>
      <c r="E8400" s="201"/>
      <c r="F8400" s="202"/>
      <c r="G8400" s="549"/>
      <c r="H8400" s="549"/>
      <c r="I8400" s="549"/>
      <c r="J8400" s="549"/>
      <c r="K8400" s="549"/>
      <c r="M8400" s="465"/>
      <c r="N8400" s="201"/>
    </row>
    <row r="8401" spans="2:14" hidden="1" outlineLevel="1" x14ac:dyDescent="0.35">
      <c r="B8401" s="200"/>
      <c r="C8401" s="201"/>
      <c r="D8401" s="201"/>
      <c r="E8401" s="201"/>
      <c r="F8401" s="202"/>
      <c r="G8401" s="549"/>
      <c r="H8401" s="549"/>
      <c r="I8401" s="549"/>
      <c r="J8401" s="549"/>
      <c r="K8401" s="549"/>
      <c r="M8401" s="465"/>
      <c r="N8401" s="201"/>
    </row>
    <row r="8402" spans="2:14" hidden="1" outlineLevel="1" x14ac:dyDescent="0.35">
      <c r="B8402" s="200"/>
      <c r="C8402" s="201"/>
      <c r="D8402" s="201"/>
      <c r="E8402" s="201"/>
      <c r="F8402" s="202"/>
      <c r="G8402" s="549"/>
      <c r="H8402" s="549"/>
      <c r="I8402" s="549"/>
      <c r="J8402" s="549"/>
      <c r="K8402" s="549"/>
      <c r="M8402" s="465"/>
      <c r="N8402" s="201"/>
    </row>
    <row r="8403" spans="2:14" hidden="1" outlineLevel="1" x14ac:dyDescent="0.35">
      <c r="B8403" s="200"/>
      <c r="C8403" s="201"/>
      <c r="D8403" s="201"/>
      <c r="E8403" s="201"/>
      <c r="F8403" s="202"/>
      <c r="G8403" s="549"/>
      <c r="H8403" s="549"/>
      <c r="I8403" s="549"/>
      <c r="J8403" s="549"/>
      <c r="K8403" s="549"/>
      <c r="M8403" s="465"/>
      <c r="N8403" s="201"/>
    </row>
    <row r="8404" spans="2:14" hidden="1" outlineLevel="1" x14ac:dyDescent="0.35">
      <c r="B8404" s="200"/>
      <c r="C8404" s="201"/>
      <c r="D8404" s="201"/>
      <c r="E8404" s="201"/>
      <c r="F8404" s="202"/>
      <c r="G8404" s="549"/>
      <c r="H8404" s="549"/>
      <c r="I8404" s="549"/>
      <c r="J8404" s="549"/>
      <c r="K8404" s="549"/>
      <c r="M8404" s="465"/>
      <c r="N8404" s="201"/>
    </row>
    <row r="8405" spans="2:14" hidden="1" outlineLevel="1" x14ac:dyDescent="0.35">
      <c r="B8405" s="200"/>
      <c r="C8405" s="201"/>
      <c r="D8405" s="201"/>
      <c r="E8405" s="201"/>
      <c r="F8405" s="202"/>
      <c r="G8405" s="549"/>
      <c r="H8405" s="549"/>
      <c r="I8405" s="549"/>
      <c r="J8405" s="549"/>
      <c r="K8405" s="549"/>
      <c r="M8405" s="465"/>
      <c r="N8405" s="201"/>
    </row>
    <row r="8406" spans="2:14" hidden="1" outlineLevel="1" x14ac:dyDescent="0.35">
      <c r="B8406" s="200"/>
      <c r="C8406" s="201"/>
      <c r="D8406" s="201"/>
      <c r="E8406" s="201"/>
      <c r="F8406" s="202"/>
      <c r="G8406" s="549"/>
      <c r="H8406" s="549"/>
      <c r="I8406" s="549"/>
      <c r="J8406" s="549"/>
      <c r="K8406" s="549"/>
      <c r="M8406" s="465"/>
      <c r="N8406" s="201"/>
    </row>
    <row r="8407" spans="2:14" hidden="1" outlineLevel="1" x14ac:dyDescent="0.35">
      <c r="B8407" s="200"/>
      <c r="C8407" s="201"/>
      <c r="D8407" s="201"/>
      <c r="E8407" s="201"/>
      <c r="F8407" s="202"/>
      <c r="G8407" s="549"/>
      <c r="H8407" s="549"/>
      <c r="I8407" s="549"/>
      <c r="J8407" s="549"/>
      <c r="K8407" s="549"/>
      <c r="M8407" s="465"/>
      <c r="N8407" s="201"/>
    </row>
    <row r="8408" spans="2:14" hidden="1" outlineLevel="1" x14ac:dyDescent="0.35">
      <c r="B8408" s="200"/>
      <c r="C8408" s="201"/>
      <c r="D8408" s="201"/>
      <c r="E8408" s="201"/>
      <c r="F8408" s="202"/>
      <c r="G8408" s="549"/>
      <c r="H8408" s="549"/>
      <c r="I8408" s="549"/>
      <c r="J8408" s="549"/>
      <c r="K8408" s="549"/>
      <c r="M8408" s="465"/>
      <c r="N8408" s="201"/>
    </row>
    <row r="8409" spans="2:14" hidden="1" outlineLevel="1" x14ac:dyDescent="0.35">
      <c r="B8409" s="200"/>
      <c r="C8409" s="201"/>
      <c r="D8409" s="201"/>
      <c r="E8409" s="201"/>
      <c r="F8409" s="202"/>
      <c r="G8409" s="549"/>
      <c r="H8409" s="549"/>
      <c r="I8409" s="549"/>
      <c r="J8409" s="549"/>
      <c r="K8409" s="549"/>
      <c r="M8409" s="465"/>
      <c r="N8409" s="201"/>
    </row>
    <row r="8410" spans="2:14" hidden="1" outlineLevel="1" x14ac:dyDescent="0.35">
      <c r="B8410" s="200"/>
      <c r="C8410" s="201"/>
      <c r="D8410" s="201"/>
      <c r="E8410" s="201"/>
      <c r="F8410" s="202"/>
      <c r="G8410" s="549"/>
      <c r="H8410" s="549"/>
      <c r="I8410" s="549"/>
      <c r="J8410" s="549"/>
      <c r="K8410" s="549"/>
      <c r="M8410" s="465"/>
      <c r="N8410" s="201"/>
    </row>
    <row r="8411" spans="2:14" hidden="1" outlineLevel="1" x14ac:dyDescent="0.35">
      <c r="B8411" s="200"/>
      <c r="C8411" s="201"/>
      <c r="D8411" s="201"/>
      <c r="E8411" s="201"/>
      <c r="F8411" s="202"/>
      <c r="G8411" s="549"/>
      <c r="H8411" s="549"/>
      <c r="I8411" s="549"/>
      <c r="J8411" s="549"/>
      <c r="K8411" s="549"/>
      <c r="M8411" s="465"/>
      <c r="N8411" s="201"/>
    </row>
    <row r="8412" spans="2:14" hidden="1" outlineLevel="1" x14ac:dyDescent="0.35">
      <c r="B8412" s="200"/>
      <c r="C8412" s="201"/>
      <c r="D8412" s="201"/>
      <c r="E8412" s="201"/>
      <c r="F8412" s="202"/>
      <c r="G8412" s="549"/>
      <c r="H8412" s="549"/>
      <c r="I8412" s="549"/>
      <c r="J8412" s="549"/>
      <c r="K8412" s="549"/>
      <c r="M8412" s="465"/>
      <c r="N8412" s="201"/>
    </row>
    <row r="8413" spans="2:14" hidden="1" outlineLevel="1" x14ac:dyDescent="0.35">
      <c r="B8413" s="200"/>
      <c r="C8413" s="201"/>
      <c r="D8413" s="201"/>
      <c r="E8413" s="201"/>
      <c r="F8413" s="202"/>
      <c r="G8413" s="549"/>
      <c r="H8413" s="549"/>
      <c r="I8413" s="549"/>
      <c r="J8413" s="549"/>
      <c r="K8413" s="549"/>
      <c r="M8413" s="465"/>
      <c r="N8413" s="201"/>
    </row>
    <row r="8414" spans="2:14" hidden="1" outlineLevel="1" x14ac:dyDescent="0.35">
      <c r="B8414" s="200"/>
      <c r="C8414" s="201"/>
      <c r="D8414" s="201"/>
      <c r="E8414" s="201"/>
      <c r="F8414" s="202"/>
      <c r="G8414" s="549"/>
      <c r="H8414" s="549"/>
      <c r="I8414" s="549"/>
      <c r="J8414" s="549"/>
      <c r="K8414" s="549"/>
      <c r="M8414" s="465"/>
      <c r="N8414" s="201"/>
    </row>
    <row r="8415" spans="2:14" hidden="1" outlineLevel="1" x14ac:dyDescent="0.35">
      <c r="B8415" s="200"/>
      <c r="C8415" s="201"/>
      <c r="D8415" s="201"/>
      <c r="E8415" s="201"/>
      <c r="F8415" s="202"/>
      <c r="G8415" s="549"/>
      <c r="H8415" s="549"/>
      <c r="I8415" s="549"/>
      <c r="J8415" s="549"/>
      <c r="K8415" s="549"/>
      <c r="M8415" s="465"/>
      <c r="N8415" s="201"/>
    </row>
    <row r="8416" spans="2:14" hidden="1" outlineLevel="1" x14ac:dyDescent="0.35">
      <c r="B8416" s="200"/>
      <c r="C8416" s="201"/>
      <c r="D8416" s="201"/>
      <c r="E8416" s="201"/>
      <c r="F8416" s="202"/>
      <c r="G8416" s="549"/>
      <c r="H8416" s="549"/>
      <c r="I8416" s="549"/>
      <c r="J8416" s="549"/>
      <c r="K8416" s="549"/>
      <c r="M8416" s="465"/>
      <c r="N8416" s="201"/>
    </row>
    <row r="8417" spans="2:14" hidden="1" outlineLevel="1" x14ac:dyDescent="0.35">
      <c r="B8417" s="200"/>
      <c r="C8417" s="201"/>
      <c r="D8417" s="201"/>
      <c r="E8417" s="201"/>
      <c r="F8417" s="202"/>
      <c r="G8417" s="549"/>
      <c r="H8417" s="549"/>
      <c r="I8417" s="549"/>
      <c r="J8417" s="549"/>
      <c r="K8417" s="549"/>
      <c r="M8417" s="465"/>
      <c r="N8417" s="201"/>
    </row>
    <row r="8418" spans="2:14" hidden="1" outlineLevel="1" x14ac:dyDescent="0.35">
      <c r="B8418" s="200"/>
      <c r="C8418" s="201"/>
      <c r="D8418" s="201"/>
      <c r="E8418" s="201"/>
      <c r="F8418" s="202"/>
      <c r="G8418" s="549"/>
      <c r="H8418" s="549"/>
      <c r="I8418" s="549"/>
      <c r="J8418" s="549"/>
      <c r="K8418" s="549"/>
      <c r="M8418" s="465"/>
      <c r="N8418" s="201"/>
    </row>
    <row r="8419" spans="2:14" hidden="1" outlineLevel="1" x14ac:dyDescent="0.35">
      <c r="B8419" s="200"/>
      <c r="C8419" s="201"/>
      <c r="D8419" s="201"/>
      <c r="E8419" s="201"/>
      <c r="F8419" s="202"/>
      <c r="G8419" s="549"/>
      <c r="H8419" s="549"/>
      <c r="I8419" s="549"/>
      <c r="J8419" s="549"/>
      <c r="K8419" s="549"/>
      <c r="M8419" s="465"/>
      <c r="N8419" s="201"/>
    </row>
    <row r="8420" spans="2:14" hidden="1" outlineLevel="1" x14ac:dyDescent="0.35">
      <c r="B8420" s="200"/>
      <c r="C8420" s="201"/>
      <c r="D8420" s="201"/>
      <c r="E8420" s="201"/>
      <c r="F8420" s="202"/>
      <c r="G8420" s="549"/>
      <c r="H8420" s="549"/>
      <c r="I8420" s="549"/>
      <c r="J8420" s="549"/>
      <c r="K8420" s="549"/>
      <c r="M8420" s="465"/>
      <c r="N8420" s="201"/>
    </row>
    <row r="8421" spans="2:14" hidden="1" outlineLevel="1" x14ac:dyDescent="0.35">
      <c r="B8421" s="200"/>
      <c r="C8421" s="201"/>
      <c r="D8421" s="201"/>
      <c r="E8421" s="201"/>
      <c r="F8421" s="202"/>
      <c r="G8421" s="549"/>
      <c r="H8421" s="549"/>
      <c r="I8421" s="549"/>
      <c r="J8421" s="549"/>
      <c r="K8421" s="549"/>
      <c r="M8421" s="465"/>
      <c r="N8421" s="201"/>
    </row>
    <row r="8422" spans="2:14" hidden="1" outlineLevel="1" x14ac:dyDescent="0.35">
      <c r="B8422" s="200"/>
      <c r="C8422" s="201"/>
      <c r="D8422" s="201"/>
      <c r="E8422" s="201"/>
      <c r="F8422" s="202"/>
      <c r="G8422" s="549"/>
      <c r="H8422" s="549"/>
      <c r="I8422" s="549"/>
      <c r="J8422" s="549"/>
      <c r="K8422" s="549"/>
      <c r="M8422" s="465"/>
      <c r="N8422" s="201"/>
    </row>
    <row r="8423" spans="2:14" hidden="1" outlineLevel="1" x14ac:dyDescent="0.35">
      <c r="B8423" s="200"/>
      <c r="C8423" s="201"/>
      <c r="D8423" s="201"/>
      <c r="E8423" s="201"/>
      <c r="F8423" s="202"/>
      <c r="G8423" s="549"/>
      <c r="H8423" s="549"/>
      <c r="I8423" s="549"/>
      <c r="J8423" s="549"/>
      <c r="K8423" s="549"/>
      <c r="M8423" s="465"/>
      <c r="N8423" s="201"/>
    </row>
    <row r="8424" spans="2:14" hidden="1" outlineLevel="1" x14ac:dyDescent="0.35">
      <c r="B8424" s="200"/>
      <c r="C8424" s="201"/>
      <c r="D8424" s="201"/>
      <c r="E8424" s="201"/>
      <c r="F8424" s="202"/>
      <c r="G8424" s="549"/>
      <c r="H8424" s="549"/>
      <c r="I8424" s="549"/>
      <c r="J8424" s="549"/>
      <c r="K8424" s="549"/>
      <c r="M8424" s="465"/>
      <c r="N8424" s="201"/>
    </row>
    <row r="8425" spans="2:14" hidden="1" outlineLevel="1" x14ac:dyDescent="0.35">
      <c r="B8425" s="200"/>
      <c r="C8425" s="201"/>
      <c r="D8425" s="201"/>
      <c r="E8425" s="201"/>
      <c r="F8425" s="202"/>
      <c r="G8425" s="549"/>
      <c r="H8425" s="549"/>
      <c r="I8425" s="549"/>
      <c r="J8425" s="549"/>
      <c r="K8425" s="549"/>
      <c r="M8425" s="465"/>
      <c r="N8425" s="201"/>
    </row>
    <row r="8426" spans="2:14" hidden="1" outlineLevel="1" x14ac:dyDescent="0.35">
      <c r="B8426" s="200"/>
      <c r="C8426" s="201"/>
      <c r="D8426" s="201"/>
      <c r="E8426" s="201"/>
      <c r="F8426" s="202"/>
      <c r="G8426" s="549"/>
      <c r="H8426" s="549"/>
      <c r="I8426" s="549"/>
      <c r="J8426" s="549"/>
      <c r="K8426" s="549"/>
      <c r="M8426" s="465"/>
      <c r="N8426" s="201"/>
    </row>
    <row r="8427" spans="2:14" hidden="1" outlineLevel="1" x14ac:dyDescent="0.35">
      <c r="B8427" s="200"/>
      <c r="C8427" s="201"/>
      <c r="D8427" s="201"/>
      <c r="E8427" s="201"/>
      <c r="F8427" s="202"/>
      <c r="G8427" s="549"/>
      <c r="H8427" s="549"/>
      <c r="I8427" s="549"/>
      <c r="J8427" s="549"/>
      <c r="K8427" s="549"/>
      <c r="M8427" s="465"/>
      <c r="N8427" s="201"/>
    </row>
    <row r="8428" spans="2:14" hidden="1" outlineLevel="1" x14ac:dyDescent="0.35">
      <c r="B8428" s="200"/>
      <c r="C8428" s="201"/>
      <c r="D8428" s="201"/>
      <c r="E8428" s="201"/>
      <c r="F8428" s="202"/>
      <c r="G8428" s="549"/>
      <c r="H8428" s="549"/>
      <c r="I8428" s="549"/>
      <c r="J8428" s="549"/>
      <c r="K8428" s="549"/>
      <c r="M8428" s="465"/>
      <c r="N8428" s="201"/>
    </row>
    <row r="8429" spans="2:14" hidden="1" outlineLevel="1" x14ac:dyDescent="0.35">
      <c r="B8429" s="200"/>
      <c r="C8429" s="201"/>
      <c r="D8429" s="201"/>
      <c r="E8429" s="201"/>
      <c r="F8429" s="202"/>
      <c r="G8429" s="549"/>
      <c r="H8429" s="549"/>
      <c r="I8429" s="549"/>
      <c r="J8429" s="549"/>
      <c r="K8429" s="549"/>
      <c r="M8429" s="465"/>
      <c r="N8429" s="201"/>
    </row>
    <row r="8430" spans="2:14" hidden="1" outlineLevel="1" x14ac:dyDescent="0.35">
      <c r="B8430" s="200"/>
      <c r="C8430" s="201"/>
      <c r="D8430" s="201"/>
      <c r="E8430" s="201"/>
      <c r="F8430" s="202"/>
      <c r="G8430" s="549"/>
      <c r="H8430" s="549"/>
      <c r="I8430" s="549"/>
      <c r="J8430" s="549"/>
      <c r="K8430" s="549"/>
      <c r="M8430" s="465"/>
      <c r="N8430" s="201"/>
    </row>
    <row r="8431" spans="2:14" hidden="1" outlineLevel="1" x14ac:dyDescent="0.35">
      <c r="B8431" s="200"/>
      <c r="C8431" s="201"/>
      <c r="D8431" s="201"/>
      <c r="E8431" s="201"/>
      <c r="F8431" s="202"/>
      <c r="G8431" s="549"/>
      <c r="H8431" s="549"/>
      <c r="I8431" s="549"/>
      <c r="J8431" s="549"/>
      <c r="K8431" s="549"/>
      <c r="M8431" s="465"/>
      <c r="N8431" s="201"/>
    </row>
    <row r="8432" spans="2:14" hidden="1" outlineLevel="1" x14ac:dyDescent="0.35">
      <c r="B8432" s="200"/>
      <c r="C8432" s="201"/>
      <c r="D8432" s="201"/>
      <c r="E8432" s="201"/>
      <c r="F8432" s="202"/>
      <c r="G8432" s="549"/>
      <c r="H8432" s="549"/>
      <c r="I8432" s="549"/>
      <c r="J8432" s="549"/>
      <c r="K8432" s="549"/>
      <c r="M8432" s="465"/>
      <c r="N8432" s="201"/>
    </row>
    <row r="8433" spans="2:14" hidden="1" outlineLevel="1" x14ac:dyDescent="0.35">
      <c r="B8433" s="200"/>
      <c r="C8433" s="201"/>
      <c r="D8433" s="201"/>
      <c r="E8433" s="201"/>
      <c r="F8433" s="202"/>
      <c r="G8433" s="549"/>
      <c r="H8433" s="549"/>
      <c r="I8433" s="549"/>
      <c r="J8433" s="549"/>
      <c r="K8433" s="549"/>
      <c r="M8433" s="465"/>
      <c r="N8433" s="201"/>
    </row>
    <row r="8434" spans="2:14" hidden="1" outlineLevel="1" x14ac:dyDescent="0.35">
      <c r="B8434" s="200"/>
      <c r="C8434" s="201"/>
      <c r="D8434" s="201"/>
      <c r="E8434" s="201"/>
      <c r="F8434" s="202"/>
      <c r="G8434" s="549"/>
      <c r="H8434" s="549"/>
      <c r="I8434" s="549"/>
      <c r="J8434" s="549"/>
      <c r="K8434" s="549"/>
      <c r="M8434" s="465"/>
      <c r="N8434" s="201"/>
    </row>
    <row r="8435" spans="2:14" hidden="1" outlineLevel="1" x14ac:dyDescent="0.35">
      <c r="B8435" s="200"/>
      <c r="C8435" s="201"/>
      <c r="D8435" s="201"/>
      <c r="E8435" s="201"/>
      <c r="F8435" s="202"/>
      <c r="G8435" s="549"/>
      <c r="H8435" s="549"/>
      <c r="I8435" s="549"/>
      <c r="J8435" s="549"/>
      <c r="K8435" s="549"/>
      <c r="M8435" s="465"/>
      <c r="N8435" s="201"/>
    </row>
    <row r="8436" spans="2:14" hidden="1" outlineLevel="1" x14ac:dyDescent="0.35">
      <c r="B8436" s="200"/>
      <c r="C8436" s="201"/>
      <c r="D8436" s="201"/>
      <c r="E8436" s="201"/>
      <c r="F8436" s="202"/>
      <c r="G8436" s="549"/>
      <c r="H8436" s="549"/>
      <c r="I8436" s="549"/>
      <c r="J8436" s="549"/>
      <c r="K8436" s="549"/>
      <c r="M8436" s="465"/>
      <c r="N8436" s="201"/>
    </row>
    <row r="8437" spans="2:14" hidden="1" outlineLevel="1" x14ac:dyDescent="0.35">
      <c r="B8437" s="200"/>
      <c r="C8437" s="201"/>
      <c r="D8437" s="201"/>
      <c r="E8437" s="201"/>
      <c r="F8437" s="202"/>
      <c r="G8437" s="549"/>
      <c r="H8437" s="549"/>
      <c r="I8437" s="549"/>
      <c r="J8437" s="549"/>
      <c r="K8437" s="549"/>
      <c r="M8437" s="465"/>
      <c r="N8437" s="201"/>
    </row>
    <row r="8438" spans="2:14" hidden="1" outlineLevel="1" x14ac:dyDescent="0.35">
      <c r="B8438" s="200"/>
      <c r="C8438" s="201"/>
      <c r="D8438" s="201"/>
      <c r="E8438" s="201"/>
      <c r="F8438" s="202"/>
      <c r="G8438" s="549"/>
      <c r="H8438" s="549"/>
      <c r="I8438" s="549"/>
      <c r="J8438" s="549"/>
      <c r="K8438" s="549"/>
      <c r="M8438" s="465"/>
      <c r="N8438" s="201"/>
    </row>
    <row r="8439" spans="2:14" hidden="1" outlineLevel="1" x14ac:dyDescent="0.35">
      <c r="B8439" s="200"/>
      <c r="C8439" s="201"/>
      <c r="D8439" s="201"/>
      <c r="E8439" s="201"/>
      <c r="F8439" s="202"/>
      <c r="G8439" s="549"/>
      <c r="H8439" s="549"/>
      <c r="I8439" s="549"/>
      <c r="J8439" s="549"/>
      <c r="K8439" s="549"/>
      <c r="M8439" s="465"/>
      <c r="N8439" s="201"/>
    </row>
    <row r="8440" spans="2:14" hidden="1" outlineLevel="1" x14ac:dyDescent="0.35">
      <c r="B8440" s="200"/>
      <c r="C8440" s="201"/>
      <c r="D8440" s="201"/>
      <c r="E8440" s="201"/>
      <c r="F8440" s="202"/>
      <c r="G8440" s="549"/>
      <c r="H8440" s="549"/>
      <c r="I8440" s="549"/>
      <c r="J8440" s="549"/>
      <c r="K8440" s="549"/>
      <c r="M8440" s="465"/>
      <c r="N8440" s="201"/>
    </row>
    <row r="8441" spans="2:14" hidden="1" outlineLevel="1" x14ac:dyDescent="0.35">
      <c r="B8441" s="200"/>
      <c r="C8441" s="201"/>
      <c r="D8441" s="201"/>
      <c r="E8441" s="201"/>
      <c r="F8441" s="202"/>
      <c r="G8441" s="549"/>
      <c r="H8441" s="549"/>
      <c r="I8441" s="549"/>
      <c r="J8441" s="549"/>
      <c r="K8441" s="549"/>
      <c r="M8441" s="465"/>
      <c r="N8441" s="201"/>
    </row>
    <row r="8442" spans="2:14" hidden="1" outlineLevel="1" x14ac:dyDescent="0.35">
      <c r="B8442" s="200"/>
      <c r="C8442" s="201"/>
      <c r="D8442" s="201"/>
      <c r="E8442" s="201"/>
      <c r="F8442" s="202"/>
      <c r="G8442" s="549"/>
      <c r="H8442" s="549"/>
      <c r="I8442" s="549"/>
      <c r="J8442" s="549"/>
      <c r="K8442" s="549"/>
      <c r="M8442" s="465"/>
      <c r="N8442" s="201"/>
    </row>
    <row r="8443" spans="2:14" hidden="1" outlineLevel="1" x14ac:dyDescent="0.35">
      <c r="B8443" s="200"/>
      <c r="C8443" s="201"/>
      <c r="D8443" s="201"/>
      <c r="E8443" s="201"/>
      <c r="F8443" s="202"/>
      <c r="G8443" s="549"/>
      <c r="H8443" s="549"/>
      <c r="I8443" s="549"/>
      <c r="J8443" s="549"/>
      <c r="K8443" s="549"/>
      <c r="M8443" s="465"/>
      <c r="N8443" s="201"/>
    </row>
    <row r="8444" spans="2:14" hidden="1" outlineLevel="1" x14ac:dyDescent="0.35">
      <c r="B8444" s="200"/>
      <c r="C8444" s="201"/>
      <c r="D8444" s="201"/>
      <c r="E8444" s="201"/>
      <c r="F8444" s="202"/>
      <c r="G8444" s="549"/>
      <c r="H8444" s="549"/>
      <c r="I8444" s="549"/>
      <c r="J8444" s="549"/>
      <c r="K8444" s="549"/>
      <c r="M8444" s="465"/>
      <c r="N8444" s="201"/>
    </row>
    <row r="8445" spans="2:14" hidden="1" outlineLevel="1" x14ac:dyDescent="0.35">
      <c r="B8445" s="200"/>
      <c r="C8445" s="201"/>
      <c r="D8445" s="201"/>
      <c r="E8445" s="201"/>
      <c r="F8445" s="202"/>
      <c r="G8445" s="549"/>
      <c r="H8445" s="549"/>
      <c r="I8445" s="549"/>
      <c r="J8445" s="549"/>
      <c r="K8445" s="549"/>
      <c r="M8445" s="465"/>
      <c r="N8445" s="201"/>
    </row>
    <row r="8446" spans="2:14" hidden="1" outlineLevel="1" x14ac:dyDescent="0.35">
      <c r="B8446" s="200"/>
      <c r="C8446" s="201"/>
      <c r="D8446" s="201"/>
      <c r="E8446" s="201"/>
      <c r="F8446" s="202"/>
      <c r="G8446" s="549"/>
      <c r="H8446" s="549"/>
      <c r="I8446" s="549"/>
      <c r="J8446" s="549"/>
      <c r="K8446" s="549"/>
      <c r="M8446" s="465"/>
      <c r="N8446" s="201"/>
    </row>
    <row r="8447" spans="2:14" hidden="1" outlineLevel="1" x14ac:dyDescent="0.35">
      <c r="B8447" s="200"/>
      <c r="C8447" s="201"/>
      <c r="D8447" s="201"/>
      <c r="E8447" s="201"/>
      <c r="F8447" s="202"/>
      <c r="G8447" s="549"/>
      <c r="H8447" s="549"/>
      <c r="I8447" s="549"/>
      <c r="J8447" s="549"/>
      <c r="K8447" s="549"/>
      <c r="M8447" s="465"/>
      <c r="N8447" s="201"/>
    </row>
    <row r="8448" spans="2:14" hidden="1" outlineLevel="1" x14ac:dyDescent="0.35">
      <c r="B8448" s="200"/>
      <c r="C8448" s="201"/>
      <c r="D8448" s="201"/>
      <c r="E8448" s="201"/>
      <c r="F8448" s="202"/>
      <c r="G8448" s="549"/>
      <c r="H8448" s="549"/>
      <c r="I8448" s="549"/>
      <c r="J8448" s="549"/>
      <c r="K8448" s="549"/>
      <c r="M8448" s="465"/>
      <c r="N8448" s="201"/>
    </row>
    <row r="8449" spans="2:14" hidden="1" outlineLevel="1" x14ac:dyDescent="0.35">
      <c r="B8449" s="200"/>
      <c r="C8449" s="201"/>
      <c r="D8449" s="201"/>
      <c r="E8449" s="201"/>
      <c r="F8449" s="202"/>
      <c r="G8449" s="549"/>
      <c r="H8449" s="549"/>
      <c r="I8449" s="549"/>
      <c r="J8449" s="549"/>
      <c r="K8449" s="549"/>
      <c r="M8449" s="465"/>
      <c r="N8449" s="201"/>
    </row>
    <row r="8450" spans="2:14" hidden="1" outlineLevel="1" x14ac:dyDescent="0.35">
      <c r="B8450" s="200"/>
      <c r="C8450" s="201"/>
      <c r="D8450" s="201"/>
      <c r="E8450" s="201"/>
      <c r="F8450" s="202"/>
      <c r="G8450" s="549"/>
      <c r="H8450" s="549"/>
      <c r="I8450" s="549"/>
      <c r="J8450" s="549"/>
      <c r="K8450" s="549"/>
      <c r="M8450" s="465"/>
      <c r="N8450" s="201"/>
    </row>
    <row r="8451" spans="2:14" hidden="1" outlineLevel="1" x14ac:dyDescent="0.35">
      <c r="B8451" s="200"/>
      <c r="C8451" s="201"/>
      <c r="D8451" s="201"/>
      <c r="E8451" s="201"/>
      <c r="F8451" s="202"/>
      <c r="G8451" s="549"/>
      <c r="H8451" s="549"/>
      <c r="I8451" s="549"/>
      <c r="J8451" s="549"/>
      <c r="K8451" s="549"/>
      <c r="M8451" s="465"/>
      <c r="N8451" s="201"/>
    </row>
    <row r="8452" spans="2:14" hidden="1" outlineLevel="1" x14ac:dyDescent="0.35">
      <c r="B8452" s="200"/>
      <c r="C8452" s="201"/>
      <c r="D8452" s="201"/>
      <c r="E8452" s="201"/>
      <c r="F8452" s="202"/>
      <c r="G8452" s="549"/>
      <c r="H8452" s="549"/>
      <c r="I8452" s="549"/>
      <c r="J8452" s="549"/>
      <c r="K8452" s="549"/>
      <c r="M8452" s="465"/>
      <c r="N8452" s="201"/>
    </row>
    <row r="8453" spans="2:14" hidden="1" outlineLevel="1" x14ac:dyDescent="0.35">
      <c r="B8453" s="200"/>
      <c r="C8453" s="201"/>
      <c r="D8453" s="201"/>
      <c r="E8453" s="201"/>
      <c r="F8453" s="202"/>
      <c r="G8453" s="549"/>
      <c r="H8453" s="549"/>
      <c r="I8453" s="549"/>
      <c r="J8453" s="549"/>
      <c r="K8453" s="549"/>
      <c r="M8453" s="465"/>
      <c r="N8453" s="201"/>
    </row>
    <row r="8454" spans="2:14" hidden="1" outlineLevel="1" x14ac:dyDescent="0.35">
      <c r="B8454" s="200"/>
      <c r="C8454" s="201"/>
      <c r="D8454" s="201"/>
      <c r="E8454" s="201"/>
      <c r="F8454" s="202"/>
      <c r="G8454" s="549"/>
      <c r="H8454" s="549"/>
      <c r="I8454" s="549"/>
      <c r="J8454" s="549"/>
      <c r="K8454" s="549"/>
      <c r="M8454" s="465"/>
      <c r="N8454" s="201"/>
    </row>
    <row r="8455" spans="2:14" hidden="1" outlineLevel="1" x14ac:dyDescent="0.35">
      <c r="B8455" s="200"/>
      <c r="C8455" s="201"/>
      <c r="D8455" s="201"/>
      <c r="E8455" s="201"/>
      <c r="F8455" s="202"/>
      <c r="G8455" s="549"/>
      <c r="H8455" s="549"/>
      <c r="I8455" s="549"/>
      <c r="J8455" s="549"/>
      <c r="K8455" s="549"/>
      <c r="M8455" s="465"/>
      <c r="N8455" s="201"/>
    </row>
    <row r="8456" spans="2:14" hidden="1" outlineLevel="1" x14ac:dyDescent="0.35">
      <c r="B8456" s="200"/>
      <c r="C8456" s="201"/>
      <c r="D8456" s="201"/>
      <c r="E8456" s="201"/>
      <c r="F8456" s="202"/>
      <c r="G8456" s="549"/>
      <c r="H8456" s="549"/>
      <c r="I8456" s="549"/>
      <c r="J8456" s="549"/>
      <c r="K8456" s="549"/>
      <c r="M8456" s="465"/>
      <c r="N8456" s="201"/>
    </row>
    <row r="8457" spans="2:14" hidden="1" outlineLevel="1" x14ac:dyDescent="0.35">
      <c r="B8457" s="200"/>
      <c r="C8457" s="201"/>
      <c r="D8457" s="201"/>
      <c r="E8457" s="201"/>
      <c r="F8457" s="202"/>
      <c r="G8457" s="549"/>
      <c r="H8457" s="549"/>
      <c r="I8457" s="549"/>
      <c r="J8457" s="549"/>
      <c r="K8457" s="549"/>
      <c r="M8457" s="465"/>
      <c r="N8457" s="201"/>
    </row>
    <row r="8458" spans="2:14" hidden="1" outlineLevel="1" x14ac:dyDescent="0.35">
      <c r="B8458" s="200"/>
      <c r="C8458" s="201"/>
      <c r="D8458" s="201"/>
      <c r="E8458" s="201"/>
      <c r="F8458" s="202"/>
      <c r="G8458" s="549"/>
      <c r="H8458" s="549"/>
      <c r="I8458" s="549"/>
      <c r="J8458" s="549"/>
      <c r="K8458" s="549"/>
      <c r="M8458" s="465"/>
      <c r="N8458" s="201"/>
    </row>
    <row r="8459" spans="2:14" hidden="1" outlineLevel="1" x14ac:dyDescent="0.35">
      <c r="B8459" s="200"/>
      <c r="C8459" s="201"/>
      <c r="D8459" s="201"/>
      <c r="E8459" s="201"/>
      <c r="F8459" s="202"/>
      <c r="G8459" s="549"/>
      <c r="H8459" s="549"/>
      <c r="I8459" s="549"/>
      <c r="J8459" s="549"/>
      <c r="K8459" s="549"/>
      <c r="M8459" s="465"/>
      <c r="N8459" s="201"/>
    </row>
    <row r="8460" spans="2:14" hidden="1" outlineLevel="1" x14ac:dyDescent="0.35">
      <c r="B8460" s="200"/>
      <c r="C8460" s="201"/>
      <c r="D8460" s="201"/>
      <c r="E8460" s="201"/>
      <c r="F8460" s="202"/>
      <c r="G8460" s="549"/>
      <c r="H8460" s="549"/>
      <c r="I8460" s="549"/>
      <c r="J8460" s="549"/>
      <c r="K8460" s="549"/>
      <c r="M8460" s="465"/>
      <c r="N8460" s="201"/>
    </row>
    <row r="8461" spans="2:14" hidden="1" outlineLevel="1" x14ac:dyDescent="0.35">
      <c r="B8461" s="200"/>
      <c r="C8461" s="201"/>
      <c r="D8461" s="201"/>
      <c r="E8461" s="201"/>
      <c r="F8461" s="202"/>
      <c r="G8461" s="549"/>
      <c r="H8461" s="549"/>
      <c r="I8461" s="549"/>
      <c r="J8461" s="549"/>
      <c r="K8461" s="549"/>
      <c r="M8461" s="465"/>
      <c r="N8461" s="201"/>
    </row>
    <row r="8462" spans="2:14" hidden="1" outlineLevel="1" x14ac:dyDescent="0.35">
      <c r="B8462" s="200"/>
      <c r="C8462" s="201"/>
      <c r="D8462" s="201"/>
      <c r="E8462" s="201"/>
      <c r="F8462" s="202"/>
      <c r="G8462" s="549"/>
      <c r="H8462" s="549"/>
      <c r="I8462" s="549"/>
      <c r="J8462" s="549"/>
      <c r="K8462" s="549"/>
      <c r="M8462" s="465"/>
      <c r="N8462" s="201"/>
    </row>
    <row r="8463" spans="2:14" hidden="1" outlineLevel="1" x14ac:dyDescent="0.35">
      <c r="B8463" s="200"/>
      <c r="C8463" s="201"/>
      <c r="D8463" s="201"/>
      <c r="E8463" s="201"/>
      <c r="F8463" s="202"/>
      <c r="G8463" s="549"/>
      <c r="H8463" s="549"/>
      <c r="I8463" s="549"/>
      <c r="J8463" s="549"/>
      <c r="K8463" s="549"/>
      <c r="M8463" s="465"/>
      <c r="N8463" s="201"/>
    </row>
    <row r="8464" spans="2:14" hidden="1" outlineLevel="1" x14ac:dyDescent="0.35">
      <c r="B8464" s="200"/>
      <c r="C8464" s="201"/>
      <c r="D8464" s="201"/>
      <c r="E8464" s="201"/>
      <c r="F8464" s="202"/>
      <c r="G8464" s="549"/>
      <c r="H8464" s="549"/>
      <c r="I8464" s="549"/>
      <c r="J8464" s="549"/>
      <c r="K8464" s="549"/>
      <c r="M8464" s="465"/>
      <c r="N8464" s="201"/>
    </row>
    <row r="8465" spans="2:14" hidden="1" outlineLevel="1" x14ac:dyDescent="0.35">
      <c r="B8465" s="200"/>
      <c r="C8465" s="201"/>
      <c r="D8465" s="201"/>
      <c r="E8465" s="201"/>
      <c r="F8465" s="202"/>
      <c r="G8465" s="549"/>
      <c r="H8465" s="549"/>
      <c r="I8465" s="549"/>
      <c r="J8465" s="549"/>
      <c r="K8465" s="549"/>
      <c r="M8465" s="465"/>
      <c r="N8465" s="201"/>
    </row>
    <row r="8466" spans="2:14" hidden="1" outlineLevel="1" x14ac:dyDescent="0.35">
      <c r="B8466" s="200"/>
      <c r="C8466" s="201"/>
      <c r="D8466" s="201"/>
      <c r="E8466" s="201"/>
      <c r="F8466" s="202"/>
      <c r="G8466" s="549"/>
      <c r="H8466" s="549"/>
      <c r="I8466" s="549"/>
      <c r="J8466" s="549"/>
      <c r="K8466" s="549"/>
      <c r="M8466" s="465"/>
      <c r="N8466" s="201"/>
    </row>
    <row r="8467" spans="2:14" hidden="1" outlineLevel="1" x14ac:dyDescent="0.35">
      <c r="B8467" s="200"/>
      <c r="C8467" s="201"/>
      <c r="D8467" s="201"/>
      <c r="E8467" s="201"/>
      <c r="F8467" s="202"/>
      <c r="G8467" s="549"/>
      <c r="H8467" s="549"/>
      <c r="I8467" s="549"/>
      <c r="J8467" s="549"/>
      <c r="K8467" s="549"/>
      <c r="M8467" s="465"/>
      <c r="N8467" s="201"/>
    </row>
    <row r="8468" spans="2:14" hidden="1" outlineLevel="1" x14ac:dyDescent="0.35">
      <c r="B8468" s="200"/>
      <c r="C8468" s="201"/>
      <c r="D8468" s="201"/>
      <c r="E8468" s="201"/>
      <c r="F8468" s="202"/>
      <c r="G8468" s="549"/>
      <c r="H8468" s="549"/>
      <c r="I8468" s="549"/>
      <c r="J8468" s="549"/>
      <c r="K8468" s="549"/>
      <c r="M8468" s="465"/>
      <c r="N8468" s="201"/>
    </row>
    <row r="8469" spans="2:14" hidden="1" outlineLevel="1" x14ac:dyDescent="0.35">
      <c r="B8469" s="200"/>
      <c r="C8469" s="201"/>
      <c r="D8469" s="201"/>
      <c r="E8469" s="201"/>
      <c r="F8469" s="202"/>
      <c r="G8469" s="549"/>
      <c r="H8469" s="549"/>
      <c r="I8469" s="549"/>
      <c r="J8469" s="549"/>
      <c r="K8469" s="549"/>
      <c r="M8469" s="465"/>
      <c r="N8469" s="201"/>
    </row>
    <row r="8470" spans="2:14" hidden="1" outlineLevel="1" x14ac:dyDescent="0.35">
      <c r="B8470" s="200"/>
      <c r="C8470" s="201"/>
      <c r="D8470" s="201"/>
      <c r="E8470" s="201"/>
      <c r="F8470" s="202"/>
      <c r="G8470" s="549"/>
      <c r="H8470" s="549"/>
      <c r="I8470" s="549"/>
      <c r="J8470" s="549"/>
      <c r="K8470" s="549"/>
      <c r="M8470" s="465"/>
      <c r="N8470" s="201"/>
    </row>
    <row r="8471" spans="2:14" hidden="1" outlineLevel="1" x14ac:dyDescent="0.35">
      <c r="B8471" s="200"/>
      <c r="C8471" s="201"/>
      <c r="D8471" s="201"/>
      <c r="E8471" s="201"/>
      <c r="F8471" s="202"/>
      <c r="G8471" s="549"/>
      <c r="H8471" s="549"/>
      <c r="I8471" s="549"/>
      <c r="J8471" s="549"/>
      <c r="K8471" s="549"/>
      <c r="M8471" s="465"/>
      <c r="N8471" s="201"/>
    </row>
    <row r="8472" spans="2:14" hidden="1" outlineLevel="1" x14ac:dyDescent="0.35">
      <c r="B8472" s="200"/>
      <c r="C8472" s="201"/>
      <c r="D8472" s="201"/>
      <c r="E8472" s="201"/>
      <c r="F8472" s="202"/>
      <c r="G8472" s="549"/>
      <c r="H8472" s="549"/>
      <c r="I8472" s="549"/>
      <c r="J8472" s="549"/>
      <c r="K8472" s="549"/>
      <c r="M8472" s="465"/>
      <c r="N8472" s="201"/>
    </row>
    <row r="8473" spans="2:14" hidden="1" outlineLevel="1" x14ac:dyDescent="0.35">
      <c r="B8473" s="200"/>
      <c r="C8473" s="201"/>
      <c r="D8473" s="201"/>
      <c r="E8473" s="201"/>
      <c r="F8473" s="202"/>
      <c r="G8473" s="549"/>
      <c r="H8473" s="549"/>
      <c r="I8473" s="549"/>
      <c r="J8473" s="549"/>
      <c r="K8473" s="549"/>
      <c r="M8473" s="465"/>
      <c r="N8473" s="201"/>
    </row>
    <row r="8474" spans="2:14" hidden="1" outlineLevel="1" x14ac:dyDescent="0.35">
      <c r="B8474" s="200"/>
      <c r="C8474" s="201"/>
      <c r="D8474" s="201"/>
      <c r="E8474" s="201"/>
      <c r="F8474" s="202"/>
      <c r="G8474" s="549"/>
      <c r="H8474" s="549"/>
      <c r="I8474" s="549"/>
      <c r="J8474" s="549"/>
      <c r="K8474" s="549"/>
      <c r="M8474" s="465"/>
      <c r="N8474" s="201"/>
    </row>
    <row r="8475" spans="2:14" hidden="1" outlineLevel="1" x14ac:dyDescent="0.35">
      <c r="B8475" s="200"/>
      <c r="C8475" s="201"/>
      <c r="D8475" s="201"/>
      <c r="E8475" s="201"/>
      <c r="F8475" s="202"/>
      <c r="G8475" s="549"/>
      <c r="H8475" s="549"/>
      <c r="I8475" s="549"/>
      <c r="J8475" s="549"/>
      <c r="K8475" s="549"/>
      <c r="M8475" s="465"/>
      <c r="N8475" s="201"/>
    </row>
    <row r="8476" spans="2:14" hidden="1" outlineLevel="1" x14ac:dyDescent="0.35">
      <c r="B8476" s="200"/>
      <c r="C8476" s="201"/>
      <c r="D8476" s="201"/>
      <c r="E8476" s="201"/>
      <c r="F8476" s="202"/>
      <c r="G8476" s="549"/>
      <c r="H8476" s="549"/>
      <c r="I8476" s="549"/>
      <c r="J8476" s="549"/>
      <c r="K8476" s="549"/>
      <c r="M8476" s="465"/>
      <c r="N8476" s="201"/>
    </row>
    <row r="8477" spans="2:14" hidden="1" outlineLevel="1" x14ac:dyDescent="0.35">
      <c r="B8477" s="200"/>
      <c r="C8477" s="201"/>
      <c r="D8477" s="201"/>
      <c r="E8477" s="201"/>
      <c r="F8477" s="202"/>
      <c r="G8477" s="549"/>
      <c r="H8477" s="549"/>
      <c r="I8477" s="549"/>
      <c r="J8477" s="549"/>
      <c r="K8477" s="549"/>
      <c r="M8477" s="465"/>
      <c r="N8477" s="201"/>
    </row>
    <row r="8478" spans="2:14" hidden="1" outlineLevel="1" x14ac:dyDescent="0.35">
      <c r="B8478" s="200"/>
      <c r="C8478" s="201"/>
      <c r="D8478" s="201"/>
      <c r="E8478" s="201"/>
      <c r="F8478" s="202"/>
      <c r="G8478" s="549"/>
      <c r="H8478" s="549"/>
      <c r="I8478" s="549"/>
      <c r="J8478" s="549"/>
      <c r="K8478" s="549"/>
      <c r="M8478" s="465"/>
      <c r="N8478" s="201"/>
    </row>
    <row r="8479" spans="2:14" hidden="1" outlineLevel="1" x14ac:dyDescent="0.35">
      <c r="B8479" s="200"/>
      <c r="C8479" s="201"/>
      <c r="D8479" s="201"/>
      <c r="E8479" s="201"/>
      <c r="F8479" s="202"/>
      <c r="G8479" s="549"/>
      <c r="H8479" s="549"/>
      <c r="I8479" s="549"/>
      <c r="J8479" s="549"/>
      <c r="K8479" s="549"/>
      <c r="M8479" s="465"/>
      <c r="N8479" s="201"/>
    </row>
    <row r="8480" spans="2:14" hidden="1" outlineLevel="1" x14ac:dyDescent="0.35">
      <c r="B8480" s="200"/>
      <c r="C8480" s="201"/>
      <c r="D8480" s="201"/>
      <c r="E8480" s="201"/>
      <c r="F8480" s="202"/>
      <c r="G8480" s="549"/>
      <c r="H8480" s="549"/>
      <c r="I8480" s="549"/>
      <c r="J8480" s="549"/>
      <c r="K8480" s="549"/>
      <c r="M8480" s="465"/>
      <c r="N8480" s="201"/>
    </row>
    <row r="8481" spans="2:14" hidden="1" outlineLevel="1" x14ac:dyDescent="0.35">
      <c r="B8481" s="200"/>
      <c r="C8481" s="201"/>
      <c r="D8481" s="201"/>
      <c r="E8481" s="201"/>
      <c r="F8481" s="202"/>
      <c r="G8481" s="549"/>
      <c r="H8481" s="549"/>
      <c r="I8481" s="549"/>
      <c r="J8481" s="549"/>
      <c r="K8481" s="549"/>
      <c r="M8481" s="465"/>
      <c r="N8481" s="201"/>
    </row>
    <row r="8482" spans="2:14" hidden="1" outlineLevel="1" x14ac:dyDescent="0.35">
      <c r="B8482" s="200"/>
      <c r="C8482" s="201"/>
      <c r="D8482" s="201"/>
      <c r="E8482" s="201"/>
      <c r="F8482" s="202"/>
      <c r="G8482" s="549"/>
      <c r="H8482" s="549"/>
      <c r="I8482" s="549"/>
      <c r="J8482" s="549"/>
      <c r="K8482" s="549"/>
      <c r="M8482" s="465"/>
      <c r="N8482" s="201"/>
    </row>
    <row r="8483" spans="2:14" hidden="1" outlineLevel="1" x14ac:dyDescent="0.35">
      <c r="B8483" s="200"/>
      <c r="C8483" s="201"/>
      <c r="D8483" s="201"/>
      <c r="E8483" s="201"/>
      <c r="F8483" s="202"/>
      <c r="G8483" s="549"/>
      <c r="H8483" s="549"/>
      <c r="I8483" s="549"/>
      <c r="J8483" s="549"/>
      <c r="K8483" s="549"/>
      <c r="M8483" s="465"/>
      <c r="N8483" s="201"/>
    </row>
    <row r="8484" spans="2:14" hidden="1" outlineLevel="1" x14ac:dyDescent="0.35">
      <c r="B8484" s="200"/>
      <c r="C8484" s="201"/>
      <c r="D8484" s="201"/>
      <c r="E8484" s="201"/>
      <c r="F8484" s="202"/>
      <c r="G8484" s="549"/>
      <c r="H8484" s="549"/>
      <c r="I8484" s="549"/>
      <c r="J8484" s="549"/>
      <c r="K8484" s="549"/>
      <c r="M8484" s="465"/>
      <c r="N8484" s="201"/>
    </row>
    <row r="8485" spans="2:14" hidden="1" outlineLevel="1" x14ac:dyDescent="0.35">
      <c r="B8485" s="200"/>
      <c r="C8485" s="201"/>
      <c r="D8485" s="201"/>
      <c r="E8485" s="201"/>
      <c r="F8485" s="202"/>
      <c r="G8485" s="549"/>
      <c r="H8485" s="549"/>
      <c r="I8485" s="549"/>
      <c r="J8485" s="549"/>
      <c r="K8485" s="549"/>
      <c r="M8485" s="465"/>
      <c r="N8485" s="201"/>
    </row>
    <row r="8486" spans="2:14" hidden="1" outlineLevel="1" x14ac:dyDescent="0.35">
      <c r="B8486" s="200"/>
      <c r="C8486" s="201"/>
      <c r="D8486" s="201"/>
      <c r="E8486" s="201"/>
      <c r="F8486" s="202"/>
      <c r="G8486" s="549"/>
      <c r="H8486" s="549"/>
      <c r="I8486" s="549"/>
      <c r="J8486" s="549"/>
      <c r="K8486" s="549"/>
      <c r="M8486" s="465"/>
      <c r="N8486" s="201"/>
    </row>
    <row r="8487" spans="2:14" hidden="1" outlineLevel="1" x14ac:dyDescent="0.35">
      <c r="B8487" s="200"/>
      <c r="C8487" s="201"/>
      <c r="D8487" s="201"/>
      <c r="E8487" s="201"/>
      <c r="F8487" s="202"/>
      <c r="G8487" s="549"/>
      <c r="H8487" s="549"/>
      <c r="I8487" s="549"/>
      <c r="J8487" s="549"/>
      <c r="K8487" s="549"/>
      <c r="M8487" s="465"/>
      <c r="N8487" s="201"/>
    </row>
    <row r="8488" spans="2:14" hidden="1" outlineLevel="1" x14ac:dyDescent="0.35">
      <c r="B8488" s="200"/>
      <c r="C8488" s="201"/>
      <c r="D8488" s="201"/>
      <c r="E8488" s="201"/>
      <c r="F8488" s="202"/>
      <c r="G8488" s="549"/>
      <c r="H8488" s="549"/>
      <c r="I8488" s="549"/>
      <c r="J8488" s="549"/>
      <c r="K8488" s="549"/>
      <c r="M8488" s="465"/>
      <c r="N8488" s="201"/>
    </row>
    <row r="8489" spans="2:14" hidden="1" outlineLevel="1" x14ac:dyDescent="0.35">
      <c r="B8489" s="200"/>
      <c r="C8489" s="201"/>
      <c r="D8489" s="201"/>
      <c r="E8489" s="201"/>
      <c r="F8489" s="202"/>
      <c r="G8489" s="549"/>
      <c r="H8489" s="549"/>
      <c r="I8489" s="549"/>
      <c r="J8489" s="549"/>
      <c r="K8489" s="549"/>
      <c r="M8489" s="465"/>
      <c r="N8489" s="201"/>
    </row>
    <row r="8490" spans="2:14" hidden="1" outlineLevel="1" x14ac:dyDescent="0.35">
      <c r="B8490" s="200"/>
      <c r="C8490" s="201"/>
      <c r="D8490" s="201"/>
      <c r="E8490" s="201"/>
      <c r="F8490" s="202"/>
      <c r="G8490" s="549"/>
      <c r="H8490" s="549"/>
      <c r="I8490" s="549"/>
      <c r="J8490" s="549"/>
      <c r="K8490" s="549"/>
      <c r="M8490" s="465"/>
      <c r="N8490" s="201"/>
    </row>
    <row r="8491" spans="2:14" hidden="1" outlineLevel="1" x14ac:dyDescent="0.35">
      <c r="B8491" s="200"/>
      <c r="C8491" s="201"/>
      <c r="D8491" s="201"/>
      <c r="E8491" s="201"/>
      <c r="F8491" s="202"/>
      <c r="G8491" s="549"/>
      <c r="H8491" s="549"/>
      <c r="I8491" s="549"/>
      <c r="J8491" s="549"/>
      <c r="K8491" s="549"/>
      <c r="M8491" s="465"/>
      <c r="N8491" s="201"/>
    </row>
    <row r="8492" spans="2:14" hidden="1" outlineLevel="1" x14ac:dyDescent="0.35">
      <c r="B8492" s="200"/>
      <c r="C8492" s="201"/>
      <c r="D8492" s="201"/>
      <c r="E8492" s="201"/>
      <c r="F8492" s="202"/>
      <c r="G8492" s="549"/>
      <c r="H8492" s="549"/>
      <c r="I8492" s="549"/>
      <c r="J8492" s="549"/>
      <c r="K8492" s="549"/>
      <c r="M8492" s="465"/>
      <c r="N8492" s="201"/>
    </row>
    <row r="8493" spans="2:14" hidden="1" outlineLevel="1" x14ac:dyDescent="0.35">
      <c r="B8493" s="200"/>
      <c r="C8493" s="201"/>
      <c r="D8493" s="201"/>
      <c r="E8493" s="201"/>
      <c r="F8493" s="202"/>
      <c r="G8493" s="549"/>
      <c r="H8493" s="549"/>
      <c r="I8493" s="549"/>
      <c r="J8493" s="549"/>
      <c r="K8493" s="549"/>
      <c r="M8493" s="465"/>
      <c r="N8493" s="201"/>
    </row>
    <row r="8494" spans="2:14" hidden="1" outlineLevel="1" x14ac:dyDescent="0.35">
      <c r="B8494" s="200"/>
      <c r="C8494" s="201"/>
      <c r="D8494" s="201"/>
      <c r="E8494" s="201"/>
      <c r="F8494" s="202"/>
      <c r="G8494" s="549"/>
      <c r="H8494" s="549"/>
      <c r="I8494" s="549"/>
      <c r="J8494" s="549"/>
      <c r="K8494" s="549"/>
      <c r="M8494" s="465"/>
      <c r="N8494" s="201"/>
    </row>
    <row r="8495" spans="2:14" hidden="1" outlineLevel="1" x14ac:dyDescent="0.35">
      <c r="B8495" s="200"/>
      <c r="C8495" s="201"/>
      <c r="D8495" s="201"/>
      <c r="E8495" s="201"/>
      <c r="F8495" s="202"/>
      <c r="G8495" s="549"/>
      <c r="H8495" s="549"/>
      <c r="I8495" s="549"/>
      <c r="J8495" s="549"/>
      <c r="K8495" s="549"/>
      <c r="M8495" s="465"/>
      <c r="N8495" s="201"/>
    </row>
    <row r="8496" spans="2:14" hidden="1" outlineLevel="1" x14ac:dyDescent="0.35">
      <c r="B8496" s="200"/>
      <c r="C8496" s="201"/>
      <c r="D8496" s="201"/>
      <c r="E8496" s="201"/>
      <c r="F8496" s="202"/>
      <c r="G8496" s="549"/>
      <c r="H8496" s="549"/>
      <c r="I8496" s="549"/>
      <c r="J8496" s="549"/>
      <c r="K8496" s="549"/>
      <c r="M8496" s="465"/>
      <c r="N8496" s="201"/>
    </row>
    <row r="8497" spans="2:14" hidden="1" outlineLevel="1" x14ac:dyDescent="0.35">
      <c r="B8497" s="200"/>
      <c r="C8497" s="201"/>
      <c r="D8497" s="201"/>
      <c r="E8497" s="201"/>
      <c r="F8497" s="202"/>
      <c r="G8497" s="549"/>
      <c r="H8497" s="549"/>
      <c r="I8497" s="549"/>
      <c r="J8497" s="549"/>
      <c r="K8497" s="549"/>
      <c r="M8497" s="465"/>
      <c r="N8497" s="201"/>
    </row>
    <row r="8498" spans="2:14" hidden="1" outlineLevel="1" x14ac:dyDescent="0.35">
      <c r="B8498" s="200"/>
      <c r="C8498" s="201"/>
      <c r="D8498" s="201"/>
      <c r="E8498" s="201"/>
      <c r="F8498" s="202"/>
      <c r="G8498" s="549"/>
      <c r="H8498" s="549"/>
      <c r="I8498" s="549"/>
      <c r="J8498" s="549"/>
      <c r="K8498" s="549"/>
      <c r="M8498" s="465"/>
      <c r="N8498" s="201"/>
    </row>
    <row r="8499" spans="2:14" hidden="1" outlineLevel="1" x14ac:dyDescent="0.35">
      <c r="B8499" s="200"/>
      <c r="C8499" s="201"/>
      <c r="D8499" s="201"/>
      <c r="E8499" s="201"/>
      <c r="F8499" s="202"/>
      <c r="G8499" s="549"/>
      <c r="H8499" s="549"/>
      <c r="I8499" s="549"/>
      <c r="J8499" s="549"/>
      <c r="K8499" s="549"/>
      <c r="M8499" s="465"/>
      <c r="N8499" s="201"/>
    </row>
    <row r="8500" spans="2:14" hidden="1" outlineLevel="1" x14ac:dyDescent="0.35">
      <c r="B8500" s="200"/>
      <c r="C8500" s="201"/>
      <c r="D8500" s="201"/>
      <c r="E8500" s="201"/>
      <c r="F8500" s="202"/>
      <c r="G8500" s="549"/>
      <c r="H8500" s="549"/>
      <c r="I8500" s="549"/>
      <c r="J8500" s="549"/>
      <c r="K8500" s="549"/>
      <c r="M8500" s="465"/>
      <c r="N8500" s="201"/>
    </row>
    <row r="8501" spans="2:14" hidden="1" outlineLevel="1" x14ac:dyDescent="0.35">
      <c r="B8501" s="200"/>
      <c r="C8501" s="201"/>
      <c r="D8501" s="201"/>
      <c r="E8501" s="201"/>
      <c r="F8501" s="202"/>
      <c r="G8501" s="549"/>
      <c r="H8501" s="549"/>
      <c r="I8501" s="549"/>
      <c r="J8501" s="549"/>
      <c r="K8501" s="549"/>
      <c r="M8501" s="465"/>
      <c r="N8501" s="201"/>
    </row>
    <row r="8502" spans="2:14" hidden="1" outlineLevel="1" x14ac:dyDescent="0.35">
      <c r="B8502" s="200"/>
      <c r="C8502" s="201"/>
      <c r="D8502" s="201"/>
      <c r="E8502" s="201"/>
      <c r="F8502" s="202"/>
      <c r="G8502" s="549"/>
      <c r="H8502" s="549"/>
      <c r="I8502" s="549"/>
      <c r="J8502" s="549"/>
      <c r="K8502" s="549"/>
      <c r="M8502" s="465"/>
      <c r="N8502" s="201"/>
    </row>
    <row r="8503" spans="2:14" hidden="1" outlineLevel="1" x14ac:dyDescent="0.35">
      <c r="B8503" s="200"/>
      <c r="C8503" s="201"/>
      <c r="D8503" s="201"/>
      <c r="E8503" s="201"/>
      <c r="F8503" s="202"/>
      <c r="G8503" s="549"/>
      <c r="H8503" s="549"/>
      <c r="I8503" s="549"/>
      <c r="J8503" s="549"/>
      <c r="K8503" s="549"/>
      <c r="M8503" s="465"/>
      <c r="N8503" s="201"/>
    </row>
    <row r="8504" spans="2:14" hidden="1" outlineLevel="1" x14ac:dyDescent="0.35">
      <c r="B8504" s="200"/>
      <c r="C8504" s="201"/>
      <c r="D8504" s="201"/>
      <c r="E8504" s="201"/>
      <c r="F8504" s="202"/>
      <c r="G8504" s="549"/>
      <c r="H8504" s="549"/>
      <c r="I8504" s="549"/>
      <c r="J8504" s="549"/>
      <c r="K8504" s="549"/>
      <c r="M8504" s="465"/>
      <c r="N8504" s="201"/>
    </row>
    <row r="8505" spans="2:14" hidden="1" outlineLevel="1" x14ac:dyDescent="0.35">
      <c r="B8505" s="200"/>
      <c r="C8505" s="201"/>
      <c r="D8505" s="201"/>
      <c r="E8505" s="201"/>
      <c r="F8505" s="202"/>
      <c r="G8505" s="549"/>
      <c r="H8505" s="549"/>
      <c r="I8505" s="549"/>
      <c r="J8505" s="549"/>
      <c r="K8505" s="549"/>
      <c r="M8505" s="465"/>
      <c r="N8505" s="201"/>
    </row>
    <row r="8506" spans="2:14" hidden="1" outlineLevel="1" x14ac:dyDescent="0.35">
      <c r="B8506" s="200"/>
      <c r="C8506" s="201"/>
      <c r="D8506" s="201"/>
      <c r="E8506" s="201"/>
      <c r="F8506" s="202"/>
      <c r="G8506" s="549"/>
      <c r="H8506" s="549"/>
      <c r="I8506" s="549"/>
      <c r="J8506" s="549"/>
      <c r="K8506" s="549"/>
      <c r="M8506" s="465"/>
      <c r="N8506" s="201"/>
    </row>
    <row r="8507" spans="2:14" hidden="1" outlineLevel="1" x14ac:dyDescent="0.35">
      <c r="B8507" s="200"/>
      <c r="C8507" s="201"/>
      <c r="D8507" s="201"/>
      <c r="E8507" s="201"/>
      <c r="F8507" s="202"/>
      <c r="G8507" s="549"/>
      <c r="H8507" s="549"/>
      <c r="I8507" s="549"/>
      <c r="J8507" s="549"/>
      <c r="K8507" s="549"/>
      <c r="M8507" s="465"/>
      <c r="N8507" s="201"/>
    </row>
    <row r="8508" spans="2:14" hidden="1" outlineLevel="1" x14ac:dyDescent="0.35">
      <c r="B8508" s="200"/>
      <c r="C8508" s="201"/>
      <c r="D8508" s="201"/>
      <c r="E8508" s="201"/>
      <c r="F8508" s="202"/>
      <c r="G8508" s="549"/>
      <c r="H8508" s="549"/>
      <c r="I8508" s="549"/>
      <c r="J8508" s="549"/>
      <c r="K8508" s="549"/>
      <c r="M8508" s="465"/>
      <c r="N8508" s="201"/>
    </row>
    <row r="8509" spans="2:14" hidden="1" outlineLevel="1" x14ac:dyDescent="0.35">
      <c r="B8509" s="200"/>
      <c r="C8509" s="201"/>
      <c r="D8509" s="201"/>
      <c r="E8509" s="201"/>
      <c r="F8509" s="202"/>
      <c r="G8509" s="549"/>
      <c r="H8509" s="549"/>
      <c r="I8509" s="549"/>
      <c r="J8509" s="549"/>
      <c r="K8509" s="549"/>
      <c r="M8509" s="465"/>
      <c r="N8509" s="201"/>
    </row>
    <row r="8510" spans="2:14" hidden="1" outlineLevel="1" x14ac:dyDescent="0.35">
      <c r="B8510" s="200"/>
      <c r="C8510" s="201"/>
      <c r="D8510" s="201"/>
      <c r="E8510" s="201"/>
      <c r="F8510" s="202"/>
      <c r="G8510" s="549"/>
      <c r="H8510" s="549"/>
      <c r="I8510" s="549"/>
      <c r="J8510" s="549"/>
      <c r="K8510" s="549"/>
      <c r="M8510" s="465"/>
      <c r="N8510" s="201"/>
    </row>
    <row r="8511" spans="2:14" hidden="1" outlineLevel="1" x14ac:dyDescent="0.35">
      <c r="B8511" s="200"/>
      <c r="C8511" s="201"/>
      <c r="D8511" s="201"/>
      <c r="E8511" s="201"/>
      <c r="F8511" s="202"/>
      <c r="G8511" s="549"/>
      <c r="H8511" s="549"/>
      <c r="I8511" s="549"/>
      <c r="J8511" s="549"/>
      <c r="K8511" s="549"/>
      <c r="M8511" s="465"/>
      <c r="N8511" s="201"/>
    </row>
    <row r="8512" spans="2:14" hidden="1" outlineLevel="1" x14ac:dyDescent="0.35">
      <c r="B8512" s="200"/>
      <c r="C8512" s="201"/>
      <c r="D8512" s="201"/>
      <c r="E8512" s="201"/>
      <c r="F8512" s="202"/>
      <c r="G8512" s="549"/>
      <c r="H8512" s="549"/>
      <c r="I8512" s="549"/>
      <c r="J8512" s="549"/>
      <c r="K8512" s="549"/>
      <c r="M8512" s="465"/>
      <c r="N8512" s="201"/>
    </row>
    <row r="8513" spans="2:14" hidden="1" outlineLevel="1" x14ac:dyDescent="0.35">
      <c r="B8513" s="200"/>
      <c r="C8513" s="201"/>
      <c r="D8513" s="201"/>
      <c r="E8513" s="201"/>
      <c r="F8513" s="202"/>
      <c r="G8513" s="549"/>
      <c r="H8513" s="549"/>
      <c r="I8513" s="549"/>
      <c r="J8513" s="549"/>
      <c r="K8513" s="549"/>
      <c r="M8513" s="465"/>
      <c r="N8513" s="201"/>
    </row>
    <row r="8514" spans="2:14" hidden="1" outlineLevel="1" x14ac:dyDescent="0.35">
      <c r="B8514" s="200"/>
      <c r="C8514" s="201"/>
      <c r="D8514" s="201"/>
      <c r="E8514" s="201"/>
      <c r="F8514" s="202"/>
      <c r="G8514" s="549"/>
      <c r="H8514" s="549"/>
      <c r="I8514" s="549"/>
      <c r="J8514" s="549"/>
      <c r="K8514" s="549"/>
      <c r="M8514" s="465"/>
      <c r="N8514" s="201"/>
    </row>
    <row r="8515" spans="2:14" hidden="1" outlineLevel="1" x14ac:dyDescent="0.35">
      <c r="B8515" s="200"/>
      <c r="C8515" s="201"/>
      <c r="D8515" s="201"/>
      <c r="E8515" s="201"/>
      <c r="F8515" s="202"/>
      <c r="G8515" s="549"/>
      <c r="H8515" s="549"/>
      <c r="I8515" s="549"/>
      <c r="J8515" s="549"/>
      <c r="K8515" s="549"/>
      <c r="M8515" s="465"/>
      <c r="N8515" s="201"/>
    </row>
    <row r="8516" spans="2:14" hidden="1" outlineLevel="1" x14ac:dyDescent="0.35">
      <c r="B8516" s="200"/>
      <c r="C8516" s="201"/>
      <c r="D8516" s="201"/>
      <c r="E8516" s="201"/>
      <c r="F8516" s="202"/>
      <c r="G8516" s="549"/>
      <c r="H8516" s="549"/>
      <c r="I8516" s="549"/>
      <c r="J8516" s="549"/>
      <c r="K8516" s="549"/>
      <c r="M8516" s="465"/>
      <c r="N8516" s="201"/>
    </row>
    <row r="8517" spans="2:14" hidden="1" outlineLevel="1" x14ac:dyDescent="0.35">
      <c r="B8517" s="200"/>
      <c r="C8517" s="201"/>
      <c r="D8517" s="201"/>
      <c r="E8517" s="201"/>
      <c r="F8517" s="202"/>
      <c r="G8517" s="549"/>
      <c r="H8517" s="549"/>
      <c r="I8517" s="549"/>
      <c r="J8517" s="549"/>
      <c r="K8517" s="549"/>
      <c r="M8517" s="465"/>
      <c r="N8517" s="201"/>
    </row>
    <row r="8518" spans="2:14" hidden="1" outlineLevel="1" x14ac:dyDescent="0.35">
      <c r="B8518" s="200"/>
      <c r="C8518" s="201"/>
      <c r="D8518" s="201"/>
      <c r="E8518" s="201"/>
      <c r="F8518" s="202"/>
      <c r="G8518" s="549"/>
      <c r="H8518" s="549"/>
      <c r="I8518" s="549"/>
      <c r="J8518" s="549"/>
      <c r="K8518" s="549"/>
      <c r="M8518" s="465"/>
      <c r="N8518" s="201"/>
    </row>
    <row r="8519" spans="2:14" hidden="1" outlineLevel="1" x14ac:dyDescent="0.35">
      <c r="B8519" s="200"/>
      <c r="C8519" s="201"/>
      <c r="D8519" s="201"/>
      <c r="E8519" s="201"/>
      <c r="F8519" s="202"/>
      <c r="G8519" s="549"/>
      <c r="H8519" s="549"/>
      <c r="I8519" s="549"/>
      <c r="J8519" s="549"/>
      <c r="K8519" s="549"/>
      <c r="M8519" s="465"/>
      <c r="N8519" s="201"/>
    </row>
    <row r="8520" spans="2:14" hidden="1" outlineLevel="1" x14ac:dyDescent="0.35">
      <c r="B8520" s="200"/>
      <c r="C8520" s="201"/>
      <c r="D8520" s="201"/>
      <c r="E8520" s="201"/>
      <c r="F8520" s="202"/>
      <c r="G8520" s="549"/>
      <c r="H8520" s="549"/>
      <c r="I8520" s="549"/>
      <c r="J8520" s="549"/>
      <c r="K8520" s="549"/>
      <c r="M8520" s="465"/>
      <c r="N8520" s="201"/>
    </row>
    <row r="8521" spans="2:14" hidden="1" outlineLevel="1" x14ac:dyDescent="0.35">
      <c r="B8521" s="200"/>
      <c r="C8521" s="201"/>
      <c r="D8521" s="201"/>
      <c r="E8521" s="201"/>
      <c r="F8521" s="202"/>
      <c r="G8521" s="549"/>
      <c r="H8521" s="549"/>
      <c r="I8521" s="549"/>
      <c r="J8521" s="549"/>
      <c r="K8521" s="549"/>
      <c r="M8521" s="465"/>
      <c r="N8521" s="201"/>
    </row>
    <row r="8522" spans="2:14" hidden="1" outlineLevel="1" x14ac:dyDescent="0.35">
      <c r="B8522" s="200"/>
      <c r="C8522" s="201"/>
      <c r="D8522" s="201"/>
      <c r="E8522" s="201"/>
      <c r="F8522" s="202"/>
      <c r="G8522" s="549"/>
      <c r="H8522" s="549"/>
      <c r="I8522" s="549"/>
      <c r="J8522" s="549"/>
      <c r="K8522" s="549"/>
      <c r="M8522" s="465"/>
      <c r="N8522" s="201"/>
    </row>
    <row r="8523" spans="2:14" hidden="1" outlineLevel="1" x14ac:dyDescent="0.35">
      <c r="B8523" s="200"/>
      <c r="C8523" s="201"/>
      <c r="D8523" s="201"/>
      <c r="E8523" s="201"/>
      <c r="F8523" s="202"/>
      <c r="G8523" s="549"/>
      <c r="H8523" s="549"/>
      <c r="I8523" s="549"/>
      <c r="J8523" s="549"/>
      <c r="K8523" s="549"/>
      <c r="M8523" s="465"/>
      <c r="N8523" s="201"/>
    </row>
    <row r="8524" spans="2:14" hidden="1" outlineLevel="1" x14ac:dyDescent="0.35">
      <c r="B8524" s="200"/>
      <c r="C8524" s="201"/>
      <c r="D8524" s="201"/>
      <c r="E8524" s="201"/>
      <c r="F8524" s="202"/>
      <c r="G8524" s="549"/>
      <c r="H8524" s="549"/>
      <c r="I8524" s="549"/>
      <c r="J8524" s="549"/>
      <c r="K8524" s="549"/>
      <c r="M8524" s="465"/>
      <c r="N8524" s="201"/>
    </row>
    <row r="8525" spans="2:14" hidden="1" outlineLevel="1" x14ac:dyDescent="0.35">
      <c r="B8525" s="200"/>
      <c r="C8525" s="201"/>
      <c r="D8525" s="201"/>
      <c r="E8525" s="201"/>
      <c r="F8525" s="202"/>
      <c r="G8525" s="549"/>
      <c r="H8525" s="549"/>
      <c r="I8525" s="549"/>
      <c r="J8525" s="549"/>
      <c r="K8525" s="549"/>
      <c r="M8525" s="465"/>
      <c r="N8525" s="201"/>
    </row>
    <row r="8526" spans="2:14" hidden="1" outlineLevel="1" x14ac:dyDescent="0.35">
      <c r="B8526" s="200"/>
      <c r="C8526" s="201"/>
      <c r="D8526" s="201"/>
      <c r="E8526" s="201"/>
      <c r="F8526" s="202"/>
      <c r="G8526" s="549"/>
      <c r="H8526" s="549"/>
      <c r="I8526" s="549"/>
      <c r="J8526" s="549"/>
      <c r="K8526" s="549"/>
      <c r="M8526" s="465"/>
      <c r="N8526" s="201"/>
    </row>
    <row r="8527" spans="2:14" hidden="1" outlineLevel="1" x14ac:dyDescent="0.35">
      <c r="B8527" s="200"/>
      <c r="C8527" s="201"/>
      <c r="D8527" s="201"/>
      <c r="E8527" s="201"/>
      <c r="F8527" s="202"/>
      <c r="G8527" s="549"/>
      <c r="H8527" s="549"/>
      <c r="I8527" s="549"/>
      <c r="J8527" s="549"/>
      <c r="K8527" s="549"/>
      <c r="M8527" s="465"/>
      <c r="N8527" s="201"/>
    </row>
    <row r="8528" spans="2:14" hidden="1" outlineLevel="1" x14ac:dyDescent="0.35">
      <c r="B8528" s="200"/>
      <c r="C8528" s="201"/>
      <c r="D8528" s="201"/>
      <c r="E8528" s="201"/>
      <c r="F8528" s="202"/>
      <c r="G8528" s="549"/>
      <c r="H8528" s="549"/>
      <c r="I8528" s="549"/>
      <c r="J8528" s="549"/>
      <c r="K8528" s="549"/>
      <c r="M8528" s="465"/>
      <c r="N8528" s="201"/>
    </row>
    <row r="8529" spans="2:14" hidden="1" outlineLevel="1" x14ac:dyDescent="0.35">
      <c r="B8529" s="200"/>
      <c r="C8529" s="201"/>
      <c r="D8529" s="201"/>
      <c r="E8529" s="201"/>
      <c r="F8529" s="202"/>
      <c r="G8529" s="549"/>
      <c r="H8529" s="549"/>
      <c r="I8529" s="549"/>
      <c r="J8529" s="549"/>
      <c r="K8529" s="549"/>
      <c r="M8529" s="465"/>
      <c r="N8529" s="201"/>
    </row>
    <row r="8530" spans="2:14" hidden="1" outlineLevel="1" x14ac:dyDescent="0.35">
      <c r="B8530" s="200"/>
      <c r="C8530" s="201"/>
      <c r="D8530" s="201"/>
      <c r="E8530" s="201"/>
      <c r="F8530" s="202"/>
      <c r="G8530" s="549"/>
      <c r="H8530" s="549"/>
      <c r="I8530" s="549"/>
      <c r="J8530" s="549"/>
      <c r="K8530" s="549"/>
      <c r="M8530" s="465"/>
      <c r="N8530" s="201"/>
    </row>
    <row r="8531" spans="2:14" hidden="1" outlineLevel="1" x14ac:dyDescent="0.35">
      <c r="B8531" s="200"/>
      <c r="C8531" s="201"/>
      <c r="D8531" s="201"/>
      <c r="E8531" s="201"/>
      <c r="F8531" s="202"/>
      <c r="G8531" s="549"/>
      <c r="H8531" s="549"/>
      <c r="I8531" s="549"/>
      <c r="J8531" s="549"/>
      <c r="K8531" s="549"/>
      <c r="M8531" s="465"/>
      <c r="N8531" s="201"/>
    </row>
    <row r="8532" spans="2:14" hidden="1" outlineLevel="1" x14ac:dyDescent="0.35">
      <c r="B8532" s="200"/>
      <c r="C8532" s="201"/>
      <c r="D8532" s="201"/>
      <c r="E8532" s="201"/>
      <c r="F8532" s="202"/>
      <c r="G8532" s="549"/>
      <c r="H8532" s="549"/>
      <c r="I8532" s="549"/>
      <c r="J8532" s="549"/>
      <c r="K8532" s="549"/>
      <c r="M8532" s="465"/>
      <c r="N8532" s="201"/>
    </row>
    <row r="8533" spans="2:14" hidden="1" outlineLevel="1" x14ac:dyDescent="0.35">
      <c r="B8533" s="200"/>
      <c r="C8533" s="201"/>
      <c r="D8533" s="201"/>
      <c r="E8533" s="201"/>
      <c r="F8533" s="202"/>
      <c r="G8533" s="549"/>
      <c r="H8533" s="549"/>
      <c r="I8533" s="549"/>
      <c r="J8533" s="549"/>
      <c r="K8533" s="549"/>
      <c r="M8533" s="465"/>
      <c r="N8533" s="201"/>
    </row>
    <row r="8534" spans="2:14" hidden="1" outlineLevel="1" x14ac:dyDescent="0.35">
      <c r="B8534" s="200"/>
      <c r="C8534" s="201"/>
      <c r="D8534" s="201"/>
      <c r="E8534" s="201"/>
      <c r="F8534" s="202"/>
      <c r="G8534" s="549"/>
      <c r="H8534" s="549"/>
      <c r="I8534" s="549"/>
      <c r="J8534" s="549"/>
      <c r="K8534" s="549"/>
      <c r="M8534" s="465"/>
      <c r="N8534" s="201"/>
    </row>
    <row r="8535" spans="2:14" hidden="1" outlineLevel="1" x14ac:dyDescent="0.35">
      <c r="B8535" s="200"/>
      <c r="C8535" s="201"/>
      <c r="D8535" s="201"/>
      <c r="E8535" s="201"/>
      <c r="F8535" s="202"/>
      <c r="G8535" s="549"/>
      <c r="H8535" s="549"/>
      <c r="I8535" s="549"/>
      <c r="J8535" s="549"/>
      <c r="K8535" s="549"/>
      <c r="M8535" s="465"/>
      <c r="N8535" s="201"/>
    </row>
    <row r="8536" spans="2:14" hidden="1" outlineLevel="1" x14ac:dyDescent="0.35">
      <c r="B8536" s="200"/>
      <c r="C8536" s="201"/>
      <c r="D8536" s="201"/>
      <c r="E8536" s="201"/>
      <c r="F8536" s="202"/>
      <c r="G8536" s="549"/>
      <c r="H8536" s="549"/>
      <c r="I8536" s="549"/>
      <c r="J8536" s="549"/>
      <c r="K8536" s="549"/>
      <c r="M8536" s="465"/>
      <c r="N8536" s="201"/>
    </row>
    <row r="8537" spans="2:14" hidden="1" outlineLevel="1" x14ac:dyDescent="0.35">
      <c r="B8537" s="200"/>
      <c r="C8537" s="201"/>
      <c r="D8537" s="201"/>
      <c r="E8537" s="201"/>
      <c r="F8537" s="202"/>
      <c r="G8537" s="549"/>
      <c r="H8537" s="549"/>
      <c r="I8537" s="549"/>
      <c r="J8537" s="549"/>
      <c r="K8537" s="549"/>
      <c r="M8537" s="465"/>
      <c r="N8537" s="201"/>
    </row>
    <row r="8538" spans="2:14" hidden="1" outlineLevel="1" x14ac:dyDescent="0.35">
      <c r="B8538" s="200"/>
      <c r="C8538" s="201"/>
      <c r="D8538" s="201"/>
      <c r="E8538" s="201"/>
      <c r="F8538" s="202"/>
      <c r="G8538" s="549"/>
      <c r="H8538" s="549"/>
      <c r="I8538" s="549"/>
      <c r="J8538" s="549"/>
      <c r="K8538" s="549"/>
      <c r="M8538" s="465"/>
      <c r="N8538" s="201"/>
    </row>
    <row r="8539" spans="2:14" hidden="1" outlineLevel="1" x14ac:dyDescent="0.35">
      <c r="B8539" s="200"/>
      <c r="C8539" s="201"/>
      <c r="D8539" s="201"/>
      <c r="E8539" s="201"/>
      <c r="F8539" s="202"/>
      <c r="G8539" s="549"/>
      <c r="H8539" s="549"/>
      <c r="I8539" s="549"/>
      <c r="J8539" s="549"/>
      <c r="K8539" s="549"/>
      <c r="M8539" s="465"/>
      <c r="N8539" s="201"/>
    </row>
    <row r="8540" spans="2:14" hidden="1" outlineLevel="1" x14ac:dyDescent="0.35">
      <c r="B8540" s="200"/>
      <c r="C8540" s="201"/>
      <c r="D8540" s="201"/>
      <c r="E8540" s="201"/>
      <c r="F8540" s="202"/>
      <c r="G8540" s="549"/>
      <c r="H8540" s="549"/>
      <c r="I8540" s="549"/>
      <c r="J8540" s="549"/>
      <c r="K8540" s="549"/>
      <c r="M8540" s="465"/>
      <c r="N8540" s="201"/>
    </row>
    <row r="8541" spans="2:14" hidden="1" outlineLevel="1" x14ac:dyDescent="0.35">
      <c r="B8541" s="200"/>
      <c r="C8541" s="201"/>
      <c r="D8541" s="201"/>
      <c r="E8541" s="201"/>
      <c r="F8541" s="202"/>
      <c r="G8541" s="549"/>
      <c r="H8541" s="549"/>
      <c r="I8541" s="549"/>
      <c r="J8541" s="549"/>
      <c r="K8541" s="549"/>
      <c r="M8541" s="465"/>
      <c r="N8541" s="201"/>
    </row>
    <row r="8542" spans="2:14" hidden="1" outlineLevel="1" x14ac:dyDescent="0.35">
      <c r="B8542" s="200"/>
      <c r="C8542" s="201"/>
      <c r="D8542" s="201"/>
      <c r="E8542" s="201"/>
      <c r="F8542" s="202"/>
      <c r="G8542" s="549"/>
      <c r="H8542" s="549"/>
      <c r="I8542" s="549"/>
      <c r="J8542" s="549"/>
      <c r="K8542" s="549"/>
      <c r="M8542" s="465"/>
      <c r="N8542" s="201"/>
    </row>
    <row r="8543" spans="2:14" hidden="1" outlineLevel="1" x14ac:dyDescent="0.35">
      <c r="B8543" s="200"/>
      <c r="C8543" s="201"/>
      <c r="D8543" s="201"/>
      <c r="E8543" s="201"/>
      <c r="F8543" s="202"/>
      <c r="G8543" s="549"/>
      <c r="H8543" s="549"/>
      <c r="I8543" s="549"/>
      <c r="J8543" s="549"/>
      <c r="K8543" s="549"/>
      <c r="M8543" s="465"/>
      <c r="N8543" s="201"/>
    </row>
    <row r="8544" spans="2:14" hidden="1" outlineLevel="1" x14ac:dyDescent="0.35">
      <c r="B8544" s="200"/>
      <c r="C8544" s="201"/>
      <c r="D8544" s="201"/>
      <c r="E8544" s="201"/>
      <c r="F8544" s="202"/>
      <c r="G8544" s="549"/>
      <c r="H8544" s="549"/>
      <c r="I8544" s="549"/>
      <c r="J8544" s="549"/>
      <c r="K8544" s="549"/>
      <c r="M8544" s="465"/>
      <c r="N8544" s="201"/>
    </row>
    <row r="8545" spans="2:14" hidden="1" outlineLevel="1" x14ac:dyDescent="0.35">
      <c r="B8545" s="200"/>
      <c r="C8545" s="201"/>
      <c r="D8545" s="201"/>
      <c r="E8545" s="201"/>
      <c r="F8545" s="202"/>
      <c r="G8545" s="549"/>
      <c r="H8545" s="549"/>
      <c r="I8545" s="549"/>
      <c r="J8545" s="549"/>
      <c r="K8545" s="549"/>
      <c r="M8545" s="465"/>
      <c r="N8545" s="201"/>
    </row>
    <row r="8546" spans="2:14" hidden="1" outlineLevel="1" x14ac:dyDescent="0.35">
      <c r="B8546" s="200"/>
      <c r="C8546" s="201"/>
      <c r="D8546" s="201"/>
      <c r="E8546" s="201"/>
      <c r="F8546" s="202"/>
      <c r="G8546" s="549"/>
      <c r="H8546" s="549"/>
      <c r="I8546" s="549"/>
      <c r="J8546" s="549"/>
      <c r="K8546" s="549"/>
      <c r="M8546" s="465"/>
      <c r="N8546" s="201"/>
    </row>
    <row r="8547" spans="2:14" hidden="1" outlineLevel="1" x14ac:dyDescent="0.35">
      <c r="B8547" s="200"/>
      <c r="C8547" s="201"/>
      <c r="D8547" s="201"/>
      <c r="E8547" s="201"/>
      <c r="F8547" s="202"/>
      <c r="G8547" s="549"/>
      <c r="H8547" s="549"/>
      <c r="I8547" s="549"/>
      <c r="J8547" s="549"/>
      <c r="K8547" s="549"/>
      <c r="M8547" s="465"/>
      <c r="N8547" s="201"/>
    </row>
    <row r="8548" spans="2:14" hidden="1" outlineLevel="1" x14ac:dyDescent="0.35">
      <c r="B8548" s="200"/>
      <c r="C8548" s="201"/>
      <c r="D8548" s="201"/>
      <c r="E8548" s="201"/>
      <c r="F8548" s="202"/>
      <c r="G8548" s="549"/>
      <c r="H8548" s="549"/>
      <c r="I8548" s="549"/>
      <c r="J8548" s="549"/>
      <c r="K8548" s="549"/>
      <c r="M8548" s="465"/>
      <c r="N8548" s="201"/>
    </row>
    <row r="8549" spans="2:14" hidden="1" outlineLevel="1" x14ac:dyDescent="0.35">
      <c r="B8549" s="200"/>
      <c r="C8549" s="201"/>
      <c r="D8549" s="201"/>
      <c r="E8549" s="201"/>
      <c r="F8549" s="202"/>
      <c r="G8549" s="549"/>
      <c r="H8549" s="549"/>
      <c r="I8549" s="549"/>
      <c r="J8549" s="549"/>
      <c r="K8549" s="549"/>
      <c r="M8549" s="465"/>
      <c r="N8549" s="201"/>
    </row>
    <row r="8550" spans="2:14" hidden="1" outlineLevel="1" x14ac:dyDescent="0.35">
      <c r="B8550" s="200"/>
      <c r="C8550" s="201"/>
      <c r="D8550" s="201"/>
      <c r="E8550" s="201"/>
      <c r="F8550" s="202"/>
      <c r="G8550" s="549"/>
      <c r="H8550" s="549"/>
      <c r="I8550" s="549"/>
      <c r="J8550" s="549"/>
      <c r="K8550" s="549"/>
      <c r="M8550" s="465"/>
      <c r="N8550" s="201"/>
    </row>
    <row r="8551" spans="2:14" hidden="1" outlineLevel="1" x14ac:dyDescent="0.35">
      <c r="B8551" s="200"/>
      <c r="C8551" s="201"/>
      <c r="D8551" s="201"/>
      <c r="E8551" s="201"/>
      <c r="F8551" s="202"/>
      <c r="G8551" s="549"/>
      <c r="H8551" s="549"/>
      <c r="I8551" s="549"/>
      <c r="J8551" s="549"/>
      <c r="K8551" s="549"/>
      <c r="M8551" s="465"/>
      <c r="N8551" s="201"/>
    </row>
    <row r="8552" spans="2:14" hidden="1" outlineLevel="1" x14ac:dyDescent="0.35">
      <c r="B8552" s="200"/>
      <c r="C8552" s="201"/>
      <c r="D8552" s="201"/>
      <c r="E8552" s="201"/>
      <c r="F8552" s="202"/>
      <c r="G8552" s="549"/>
      <c r="H8552" s="549"/>
      <c r="I8552" s="549"/>
      <c r="J8552" s="549"/>
      <c r="K8552" s="549"/>
      <c r="M8552" s="465"/>
      <c r="N8552" s="201"/>
    </row>
    <row r="8553" spans="2:14" hidden="1" outlineLevel="1" x14ac:dyDescent="0.35">
      <c r="B8553" s="200"/>
      <c r="C8553" s="201"/>
      <c r="D8553" s="201"/>
      <c r="E8553" s="201"/>
      <c r="F8553" s="202"/>
      <c r="G8553" s="549"/>
      <c r="H8553" s="549"/>
      <c r="I8553" s="549"/>
      <c r="J8553" s="549"/>
      <c r="K8553" s="549"/>
      <c r="M8553" s="465"/>
      <c r="N8553" s="201"/>
    </row>
    <row r="8554" spans="2:14" hidden="1" outlineLevel="1" x14ac:dyDescent="0.35">
      <c r="B8554" s="200"/>
      <c r="C8554" s="201"/>
      <c r="D8554" s="201"/>
      <c r="E8554" s="201"/>
      <c r="F8554" s="202"/>
      <c r="G8554" s="549"/>
      <c r="H8554" s="549"/>
      <c r="I8554" s="549"/>
      <c r="J8554" s="549"/>
      <c r="K8554" s="549"/>
      <c r="M8554" s="465"/>
      <c r="N8554" s="201"/>
    </row>
    <row r="8555" spans="2:14" hidden="1" outlineLevel="1" x14ac:dyDescent="0.35">
      <c r="B8555" s="200"/>
      <c r="C8555" s="201"/>
      <c r="D8555" s="201"/>
      <c r="E8555" s="201"/>
      <c r="F8555" s="202"/>
      <c r="G8555" s="549"/>
      <c r="H8555" s="549"/>
      <c r="I8555" s="549"/>
      <c r="J8555" s="549"/>
      <c r="K8555" s="549"/>
      <c r="M8555" s="465"/>
      <c r="N8555" s="201"/>
    </row>
    <row r="8556" spans="2:14" hidden="1" outlineLevel="1" x14ac:dyDescent="0.35">
      <c r="B8556" s="200"/>
      <c r="C8556" s="201"/>
      <c r="D8556" s="201"/>
      <c r="E8556" s="201"/>
      <c r="F8556" s="202"/>
      <c r="G8556" s="549"/>
      <c r="H8556" s="549"/>
      <c r="I8556" s="549"/>
      <c r="J8556" s="549"/>
      <c r="K8556" s="549"/>
      <c r="M8556" s="465"/>
      <c r="N8556" s="201"/>
    </row>
    <row r="8557" spans="2:14" hidden="1" outlineLevel="1" x14ac:dyDescent="0.35">
      <c r="B8557" s="200"/>
      <c r="C8557" s="201"/>
      <c r="D8557" s="201"/>
      <c r="E8557" s="201"/>
      <c r="F8557" s="202"/>
      <c r="G8557" s="549"/>
      <c r="H8557" s="549"/>
      <c r="I8557" s="549"/>
      <c r="J8557" s="549"/>
      <c r="K8557" s="549"/>
      <c r="M8557" s="465"/>
      <c r="N8557" s="201"/>
    </row>
    <row r="8558" spans="2:14" hidden="1" outlineLevel="1" x14ac:dyDescent="0.35">
      <c r="B8558" s="200"/>
      <c r="C8558" s="201"/>
      <c r="D8558" s="201"/>
      <c r="E8558" s="201"/>
      <c r="F8558" s="202"/>
      <c r="G8558" s="549"/>
      <c r="H8558" s="549"/>
      <c r="I8558" s="549"/>
      <c r="J8558" s="549"/>
      <c r="K8558" s="549"/>
      <c r="M8558" s="465"/>
      <c r="N8558" s="201"/>
    </row>
    <row r="8559" spans="2:14" hidden="1" outlineLevel="1" x14ac:dyDescent="0.35">
      <c r="B8559" s="200"/>
      <c r="C8559" s="201"/>
      <c r="D8559" s="201"/>
      <c r="E8559" s="201"/>
      <c r="F8559" s="202"/>
      <c r="G8559" s="549"/>
      <c r="H8559" s="549"/>
      <c r="I8559" s="549"/>
      <c r="J8559" s="549"/>
      <c r="K8559" s="549"/>
      <c r="M8559" s="465"/>
      <c r="N8559" s="201"/>
    </row>
    <row r="8560" spans="2:14" hidden="1" outlineLevel="1" x14ac:dyDescent="0.35">
      <c r="B8560" s="200"/>
      <c r="C8560" s="201"/>
      <c r="D8560" s="201"/>
      <c r="E8560" s="201"/>
      <c r="F8560" s="202"/>
      <c r="G8560" s="549"/>
      <c r="H8560" s="549"/>
      <c r="I8560" s="549"/>
      <c r="J8560" s="549"/>
      <c r="K8560" s="549"/>
      <c r="M8560" s="465"/>
      <c r="N8560" s="201"/>
    </row>
    <row r="8561" spans="2:14" hidden="1" outlineLevel="1" x14ac:dyDescent="0.35">
      <c r="B8561" s="200"/>
      <c r="C8561" s="201"/>
      <c r="D8561" s="201"/>
      <c r="E8561" s="201"/>
      <c r="F8561" s="202"/>
      <c r="G8561" s="549"/>
      <c r="H8561" s="549"/>
      <c r="I8561" s="549"/>
      <c r="J8561" s="549"/>
      <c r="K8561" s="549"/>
      <c r="M8561" s="465"/>
      <c r="N8561" s="201"/>
    </row>
    <row r="8562" spans="2:14" hidden="1" outlineLevel="1" x14ac:dyDescent="0.35">
      <c r="B8562" s="200"/>
      <c r="C8562" s="201"/>
      <c r="D8562" s="201"/>
      <c r="E8562" s="201"/>
      <c r="F8562" s="202"/>
      <c r="G8562" s="549"/>
      <c r="H8562" s="549"/>
      <c r="I8562" s="549"/>
      <c r="J8562" s="549"/>
      <c r="K8562" s="549"/>
      <c r="M8562" s="465"/>
      <c r="N8562" s="201"/>
    </row>
    <row r="8563" spans="2:14" hidden="1" outlineLevel="1" x14ac:dyDescent="0.35">
      <c r="B8563" s="200"/>
      <c r="C8563" s="201"/>
      <c r="D8563" s="201"/>
      <c r="E8563" s="201"/>
      <c r="F8563" s="202"/>
      <c r="G8563" s="549"/>
      <c r="H8563" s="549"/>
      <c r="I8563" s="549"/>
      <c r="J8563" s="549"/>
      <c r="K8563" s="549"/>
      <c r="M8563" s="465"/>
      <c r="N8563" s="201"/>
    </row>
    <row r="8564" spans="2:14" hidden="1" outlineLevel="1" x14ac:dyDescent="0.35">
      <c r="B8564" s="200"/>
      <c r="C8564" s="201"/>
      <c r="D8564" s="201"/>
      <c r="E8564" s="201"/>
      <c r="F8564" s="202"/>
      <c r="G8564" s="549"/>
      <c r="H8564" s="549"/>
      <c r="I8564" s="549"/>
      <c r="J8564" s="549"/>
      <c r="K8564" s="549"/>
      <c r="M8564" s="465"/>
      <c r="N8564" s="201"/>
    </row>
    <row r="8565" spans="2:14" hidden="1" outlineLevel="1" x14ac:dyDescent="0.35">
      <c r="B8565" s="200"/>
      <c r="C8565" s="201"/>
      <c r="D8565" s="201"/>
      <c r="E8565" s="201"/>
      <c r="F8565" s="202"/>
      <c r="G8565" s="549"/>
      <c r="H8565" s="549"/>
      <c r="I8565" s="549"/>
      <c r="J8565" s="549"/>
      <c r="K8565" s="549"/>
      <c r="M8565" s="465"/>
      <c r="N8565" s="201"/>
    </row>
    <row r="8566" spans="2:14" hidden="1" outlineLevel="1" x14ac:dyDescent="0.35">
      <c r="B8566" s="200"/>
      <c r="C8566" s="201"/>
      <c r="D8566" s="201"/>
      <c r="E8566" s="201"/>
      <c r="F8566" s="202"/>
      <c r="G8566" s="549"/>
      <c r="H8566" s="549"/>
      <c r="I8566" s="549"/>
      <c r="J8566" s="549"/>
      <c r="K8566" s="549"/>
      <c r="M8566" s="465"/>
      <c r="N8566" s="201"/>
    </row>
    <row r="8567" spans="2:14" hidden="1" outlineLevel="1" x14ac:dyDescent="0.35">
      <c r="B8567" s="200"/>
      <c r="C8567" s="201"/>
      <c r="D8567" s="201"/>
      <c r="E8567" s="201"/>
      <c r="F8567" s="202"/>
      <c r="G8567" s="549"/>
      <c r="H8567" s="549"/>
      <c r="I8567" s="549"/>
      <c r="J8567" s="549"/>
      <c r="K8567" s="549"/>
      <c r="M8567" s="465"/>
      <c r="N8567" s="201"/>
    </row>
    <row r="8568" spans="2:14" hidden="1" outlineLevel="1" x14ac:dyDescent="0.35">
      <c r="B8568" s="200"/>
      <c r="C8568" s="201"/>
      <c r="D8568" s="201"/>
      <c r="E8568" s="201"/>
      <c r="F8568" s="202"/>
      <c r="G8568" s="549"/>
      <c r="H8568" s="549"/>
      <c r="I8568" s="549"/>
      <c r="J8568" s="549"/>
      <c r="K8568" s="549"/>
      <c r="M8568" s="465"/>
      <c r="N8568" s="201"/>
    </row>
    <row r="8569" spans="2:14" hidden="1" outlineLevel="1" x14ac:dyDescent="0.35">
      <c r="B8569" s="200"/>
      <c r="C8569" s="201"/>
      <c r="D8569" s="201"/>
      <c r="E8569" s="201"/>
      <c r="F8569" s="202"/>
      <c r="G8569" s="549"/>
      <c r="H8569" s="549"/>
      <c r="I8569" s="549"/>
      <c r="J8569" s="549"/>
      <c r="K8569" s="549"/>
      <c r="M8569" s="465"/>
      <c r="N8569" s="201"/>
    </row>
    <row r="8570" spans="2:14" hidden="1" outlineLevel="1" x14ac:dyDescent="0.35">
      <c r="B8570" s="200"/>
      <c r="C8570" s="201"/>
      <c r="D8570" s="201"/>
      <c r="E8570" s="201"/>
      <c r="F8570" s="202"/>
      <c r="G8570" s="549"/>
      <c r="H8570" s="549"/>
      <c r="I8570" s="549"/>
      <c r="J8570" s="549"/>
      <c r="K8570" s="549"/>
      <c r="M8570" s="465"/>
      <c r="N8570" s="201"/>
    </row>
    <row r="8571" spans="2:14" hidden="1" outlineLevel="1" x14ac:dyDescent="0.35">
      <c r="B8571" s="200"/>
      <c r="C8571" s="201"/>
      <c r="D8571" s="201"/>
      <c r="E8571" s="201"/>
      <c r="F8571" s="202"/>
      <c r="G8571" s="549"/>
      <c r="H8571" s="549"/>
      <c r="I8571" s="549"/>
      <c r="J8571" s="549"/>
      <c r="K8571" s="549"/>
      <c r="M8571" s="465"/>
      <c r="N8571" s="201"/>
    </row>
    <row r="8572" spans="2:14" hidden="1" outlineLevel="1" x14ac:dyDescent="0.35">
      <c r="B8572" s="200"/>
      <c r="C8572" s="201"/>
      <c r="D8572" s="201"/>
      <c r="E8572" s="201"/>
      <c r="F8572" s="202"/>
      <c r="G8572" s="549"/>
      <c r="H8572" s="549"/>
      <c r="I8572" s="549"/>
      <c r="J8572" s="549"/>
      <c r="K8572" s="549"/>
      <c r="M8572" s="465"/>
      <c r="N8572" s="201"/>
    </row>
    <row r="8573" spans="2:14" hidden="1" outlineLevel="1" x14ac:dyDescent="0.35">
      <c r="B8573" s="200"/>
      <c r="C8573" s="201"/>
      <c r="D8573" s="201"/>
      <c r="E8573" s="201"/>
      <c r="F8573" s="202"/>
      <c r="G8573" s="549"/>
      <c r="H8573" s="549"/>
      <c r="I8573" s="549"/>
      <c r="J8573" s="549"/>
      <c r="K8573" s="549"/>
      <c r="M8573" s="465"/>
      <c r="N8573" s="201"/>
    </row>
    <row r="8574" spans="2:14" hidden="1" outlineLevel="1" x14ac:dyDescent="0.35">
      <c r="B8574" s="200"/>
      <c r="C8574" s="201"/>
      <c r="D8574" s="201"/>
      <c r="E8574" s="201"/>
      <c r="F8574" s="202"/>
      <c r="G8574" s="549"/>
      <c r="H8574" s="549"/>
      <c r="I8574" s="549"/>
      <c r="J8574" s="549"/>
      <c r="K8574" s="549"/>
      <c r="M8574" s="465"/>
      <c r="N8574" s="201"/>
    </row>
    <row r="8575" spans="2:14" hidden="1" outlineLevel="1" x14ac:dyDescent="0.35">
      <c r="B8575" s="200"/>
      <c r="C8575" s="201"/>
      <c r="D8575" s="201"/>
      <c r="E8575" s="201"/>
      <c r="F8575" s="202"/>
      <c r="G8575" s="549"/>
      <c r="H8575" s="549"/>
      <c r="I8575" s="549"/>
      <c r="J8575" s="549"/>
      <c r="K8575" s="549"/>
      <c r="M8575" s="465"/>
      <c r="N8575" s="201"/>
    </row>
    <row r="8576" spans="2:14" hidden="1" outlineLevel="1" x14ac:dyDescent="0.35">
      <c r="B8576" s="200"/>
      <c r="C8576" s="201"/>
      <c r="D8576" s="201"/>
      <c r="E8576" s="201"/>
      <c r="F8576" s="202"/>
      <c r="G8576" s="549"/>
      <c r="H8576" s="549"/>
      <c r="I8576" s="549"/>
      <c r="J8576" s="549"/>
      <c r="K8576" s="549"/>
      <c r="M8576" s="465"/>
      <c r="N8576" s="201"/>
    </row>
    <row r="8577" spans="2:14" hidden="1" outlineLevel="1" x14ac:dyDescent="0.35">
      <c r="B8577" s="200"/>
      <c r="C8577" s="201"/>
      <c r="D8577" s="201"/>
      <c r="E8577" s="201"/>
      <c r="F8577" s="202"/>
      <c r="G8577" s="549"/>
      <c r="H8577" s="549"/>
      <c r="I8577" s="549"/>
      <c r="J8577" s="549"/>
      <c r="K8577" s="549"/>
      <c r="M8577" s="465"/>
      <c r="N8577" s="201"/>
    </row>
    <row r="8578" spans="2:14" hidden="1" outlineLevel="1" x14ac:dyDescent="0.35">
      <c r="B8578" s="200"/>
      <c r="C8578" s="201"/>
      <c r="D8578" s="201"/>
      <c r="E8578" s="201"/>
      <c r="F8578" s="202"/>
      <c r="G8578" s="549"/>
      <c r="H8578" s="549"/>
      <c r="I8578" s="549"/>
      <c r="J8578" s="549"/>
      <c r="K8578" s="549"/>
      <c r="M8578" s="465"/>
      <c r="N8578" s="201"/>
    </row>
    <row r="8579" spans="2:14" hidden="1" outlineLevel="1" x14ac:dyDescent="0.35">
      <c r="B8579" s="200"/>
      <c r="C8579" s="201"/>
      <c r="D8579" s="201"/>
      <c r="E8579" s="201"/>
      <c r="F8579" s="202"/>
      <c r="G8579" s="549"/>
      <c r="H8579" s="549"/>
      <c r="I8579" s="549"/>
      <c r="J8579" s="549"/>
      <c r="K8579" s="549"/>
      <c r="M8579" s="465"/>
      <c r="N8579" s="201"/>
    </row>
    <row r="8580" spans="2:14" hidden="1" outlineLevel="1" x14ac:dyDescent="0.35">
      <c r="B8580" s="200"/>
      <c r="C8580" s="201"/>
      <c r="D8580" s="201"/>
      <c r="E8580" s="201"/>
      <c r="F8580" s="202"/>
      <c r="G8580" s="549"/>
      <c r="H8580" s="549"/>
      <c r="I8580" s="549"/>
      <c r="J8580" s="549"/>
      <c r="K8580" s="549"/>
      <c r="M8580" s="465"/>
      <c r="N8580" s="201"/>
    </row>
    <row r="8581" spans="2:14" hidden="1" outlineLevel="1" x14ac:dyDescent="0.35">
      <c r="B8581" s="200"/>
      <c r="C8581" s="201"/>
      <c r="D8581" s="201"/>
      <c r="E8581" s="201"/>
      <c r="F8581" s="202"/>
      <c r="G8581" s="549"/>
      <c r="H8581" s="549"/>
      <c r="I8581" s="549"/>
      <c r="J8581" s="549"/>
      <c r="K8581" s="549"/>
      <c r="M8581" s="465"/>
      <c r="N8581" s="201"/>
    </row>
    <row r="8582" spans="2:14" hidden="1" outlineLevel="1" x14ac:dyDescent="0.35">
      <c r="B8582" s="200"/>
      <c r="C8582" s="201"/>
      <c r="D8582" s="201"/>
      <c r="E8582" s="201"/>
      <c r="F8582" s="202"/>
      <c r="G8582" s="549"/>
      <c r="H8582" s="549"/>
      <c r="I8582" s="549"/>
      <c r="J8582" s="549"/>
      <c r="K8582" s="549"/>
      <c r="M8582" s="465"/>
      <c r="N8582" s="201"/>
    </row>
    <row r="8583" spans="2:14" hidden="1" outlineLevel="1" x14ac:dyDescent="0.35">
      <c r="B8583" s="200"/>
      <c r="C8583" s="201"/>
      <c r="D8583" s="201"/>
      <c r="E8583" s="201"/>
      <c r="F8583" s="202"/>
      <c r="G8583" s="549"/>
      <c r="H8583" s="549"/>
      <c r="I8583" s="549"/>
      <c r="J8583" s="549"/>
      <c r="K8583" s="549"/>
      <c r="M8583" s="465"/>
      <c r="N8583" s="201"/>
    </row>
    <row r="8584" spans="2:14" hidden="1" outlineLevel="1" x14ac:dyDescent="0.35">
      <c r="B8584" s="200"/>
      <c r="C8584" s="201"/>
      <c r="D8584" s="201"/>
      <c r="E8584" s="201"/>
      <c r="F8584" s="202"/>
      <c r="G8584" s="549"/>
      <c r="H8584" s="549"/>
      <c r="I8584" s="549"/>
      <c r="J8584" s="549"/>
      <c r="K8584" s="549"/>
      <c r="M8584" s="465"/>
      <c r="N8584" s="201"/>
    </row>
    <row r="8585" spans="2:14" hidden="1" outlineLevel="1" x14ac:dyDescent="0.35">
      <c r="B8585" s="200"/>
      <c r="C8585" s="201"/>
      <c r="D8585" s="201"/>
      <c r="E8585" s="201"/>
      <c r="F8585" s="202"/>
      <c r="G8585" s="549"/>
      <c r="H8585" s="549"/>
      <c r="I8585" s="549"/>
      <c r="J8585" s="549"/>
      <c r="K8585" s="549"/>
      <c r="M8585" s="465"/>
      <c r="N8585" s="201"/>
    </row>
    <row r="8586" spans="2:14" hidden="1" outlineLevel="1" x14ac:dyDescent="0.35">
      <c r="B8586" s="200"/>
      <c r="C8586" s="201"/>
      <c r="D8586" s="201"/>
      <c r="E8586" s="201"/>
      <c r="F8586" s="202"/>
      <c r="G8586" s="549"/>
      <c r="H8586" s="549"/>
      <c r="I8586" s="549"/>
      <c r="J8586" s="549"/>
      <c r="K8586" s="549"/>
      <c r="M8586" s="465"/>
      <c r="N8586" s="201"/>
    </row>
    <row r="8587" spans="2:14" hidden="1" outlineLevel="1" x14ac:dyDescent="0.35">
      <c r="B8587" s="200"/>
      <c r="C8587" s="201"/>
      <c r="D8587" s="201"/>
      <c r="E8587" s="201"/>
      <c r="F8587" s="202"/>
      <c r="G8587" s="549"/>
      <c r="H8587" s="549"/>
      <c r="I8587" s="549"/>
      <c r="J8587" s="549"/>
      <c r="K8587" s="549"/>
      <c r="M8587" s="465"/>
      <c r="N8587" s="201"/>
    </row>
    <row r="8588" spans="2:14" hidden="1" outlineLevel="1" x14ac:dyDescent="0.35">
      <c r="B8588" s="200"/>
      <c r="C8588" s="201"/>
      <c r="D8588" s="201"/>
      <c r="E8588" s="201"/>
      <c r="F8588" s="202"/>
      <c r="G8588" s="549"/>
      <c r="H8588" s="549"/>
      <c r="I8588" s="549"/>
      <c r="J8588" s="549"/>
      <c r="K8588" s="549"/>
      <c r="M8588" s="465"/>
      <c r="N8588" s="201"/>
    </row>
    <row r="8589" spans="2:14" hidden="1" outlineLevel="1" x14ac:dyDescent="0.35">
      <c r="B8589" s="200"/>
      <c r="C8589" s="201"/>
      <c r="D8589" s="201"/>
      <c r="E8589" s="201"/>
      <c r="F8589" s="202"/>
      <c r="G8589" s="549"/>
      <c r="H8589" s="549"/>
      <c r="I8589" s="549"/>
      <c r="J8589" s="549"/>
      <c r="K8589" s="549"/>
      <c r="M8589" s="465"/>
      <c r="N8589" s="201"/>
    </row>
    <row r="8590" spans="2:14" hidden="1" outlineLevel="1" x14ac:dyDescent="0.35">
      <c r="B8590" s="200"/>
      <c r="C8590" s="201"/>
      <c r="D8590" s="201"/>
      <c r="E8590" s="201"/>
      <c r="F8590" s="202"/>
      <c r="G8590" s="549"/>
      <c r="H8590" s="549"/>
      <c r="I8590" s="549"/>
      <c r="J8590" s="549"/>
      <c r="K8590" s="549"/>
      <c r="M8590" s="465"/>
      <c r="N8590" s="201"/>
    </row>
    <row r="8591" spans="2:14" hidden="1" outlineLevel="1" x14ac:dyDescent="0.35">
      <c r="B8591" s="200"/>
      <c r="C8591" s="201"/>
      <c r="D8591" s="201"/>
      <c r="E8591" s="201"/>
      <c r="F8591" s="202"/>
      <c r="G8591" s="549"/>
      <c r="H8591" s="549"/>
      <c r="I8591" s="549"/>
      <c r="J8591" s="549"/>
      <c r="K8591" s="549"/>
      <c r="M8591" s="465"/>
      <c r="N8591" s="201"/>
    </row>
    <row r="8592" spans="2:14" hidden="1" outlineLevel="1" x14ac:dyDescent="0.35">
      <c r="B8592" s="200"/>
      <c r="C8592" s="201"/>
      <c r="D8592" s="201"/>
      <c r="E8592" s="201"/>
      <c r="F8592" s="202"/>
      <c r="G8592" s="549"/>
      <c r="H8592" s="549"/>
      <c r="I8592" s="549"/>
      <c r="J8592" s="549"/>
      <c r="K8592" s="549"/>
      <c r="M8592" s="465"/>
      <c r="N8592" s="201"/>
    </row>
    <row r="8593" spans="2:14" hidden="1" outlineLevel="1" x14ac:dyDescent="0.35">
      <c r="B8593" s="200"/>
      <c r="C8593" s="201"/>
      <c r="D8593" s="201"/>
      <c r="E8593" s="201"/>
      <c r="F8593" s="202"/>
      <c r="G8593" s="549"/>
      <c r="H8593" s="549"/>
      <c r="I8593" s="549"/>
      <c r="J8593" s="549"/>
      <c r="K8593" s="549"/>
      <c r="M8593" s="465"/>
      <c r="N8593" s="201"/>
    </row>
    <row r="8594" spans="2:14" hidden="1" outlineLevel="1" x14ac:dyDescent="0.35">
      <c r="B8594" s="200"/>
      <c r="C8594" s="201"/>
      <c r="D8594" s="201"/>
      <c r="E8594" s="201"/>
      <c r="F8594" s="202"/>
      <c r="G8594" s="549"/>
      <c r="H8594" s="549"/>
      <c r="I8594" s="549"/>
      <c r="J8594" s="549"/>
      <c r="K8594" s="549"/>
      <c r="M8594" s="465"/>
      <c r="N8594" s="201"/>
    </row>
    <row r="8595" spans="2:14" hidden="1" outlineLevel="1" x14ac:dyDescent="0.35">
      <c r="B8595" s="200"/>
      <c r="C8595" s="201"/>
      <c r="D8595" s="201"/>
      <c r="E8595" s="201"/>
      <c r="F8595" s="202"/>
      <c r="G8595" s="549"/>
      <c r="H8595" s="549"/>
      <c r="I8595" s="549"/>
      <c r="J8595" s="549"/>
      <c r="K8595" s="549"/>
      <c r="M8595" s="465"/>
      <c r="N8595" s="201"/>
    </row>
    <row r="8596" spans="2:14" hidden="1" outlineLevel="1" x14ac:dyDescent="0.35">
      <c r="B8596" s="200"/>
      <c r="C8596" s="201"/>
      <c r="D8596" s="201"/>
      <c r="E8596" s="201"/>
      <c r="F8596" s="202"/>
      <c r="G8596" s="549"/>
      <c r="H8596" s="549"/>
      <c r="I8596" s="549"/>
      <c r="J8596" s="549"/>
      <c r="K8596" s="549"/>
      <c r="M8596" s="465"/>
      <c r="N8596" s="201"/>
    </row>
    <row r="8597" spans="2:14" hidden="1" outlineLevel="1" x14ac:dyDescent="0.35">
      <c r="B8597" s="200"/>
      <c r="C8597" s="201"/>
      <c r="D8597" s="201"/>
      <c r="E8597" s="201"/>
      <c r="F8597" s="202"/>
      <c r="G8597" s="549"/>
      <c r="H8597" s="549"/>
      <c r="I8597" s="549"/>
      <c r="J8597" s="549"/>
      <c r="K8597" s="549"/>
      <c r="M8597" s="465"/>
      <c r="N8597" s="201"/>
    </row>
    <row r="8598" spans="2:14" hidden="1" outlineLevel="1" x14ac:dyDescent="0.35">
      <c r="B8598" s="200"/>
      <c r="C8598" s="201"/>
      <c r="D8598" s="201"/>
      <c r="E8598" s="201"/>
      <c r="F8598" s="202"/>
      <c r="G8598" s="549"/>
      <c r="H8598" s="549"/>
      <c r="I8598" s="549"/>
      <c r="J8598" s="549"/>
      <c r="K8598" s="549"/>
      <c r="M8598" s="465"/>
      <c r="N8598" s="201"/>
    </row>
    <row r="8599" spans="2:14" hidden="1" outlineLevel="1" x14ac:dyDescent="0.35">
      <c r="B8599" s="200"/>
      <c r="C8599" s="201"/>
      <c r="D8599" s="201"/>
      <c r="E8599" s="201"/>
      <c r="F8599" s="202"/>
      <c r="G8599" s="549"/>
      <c r="H8599" s="549"/>
      <c r="I8599" s="549"/>
      <c r="J8599" s="549"/>
      <c r="K8599" s="549"/>
      <c r="M8599" s="465"/>
      <c r="N8599" s="201"/>
    </row>
    <row r="8600" spans="2:14" hidden="1" outlineLevel="1" x14ac:dyDescent="0.35">
      <c r="B8600" s="200"/>
      <c r="C8600" s="201"/>
      <c r="D8600" s="201"/>
      <c r="E8600" s="201"/>
      <c r="F8600" s="202"/>
      <c r="G8600" s="549"/>
      <c r="H8600" s="549"/>
      <c r="I8600" s="549"/>
      <c r="J8600" s="549"/>
      <c r="K8600" s="549"/>
      <c r="M8600" s="465"/>
      <c r="N8600" s="201"/>
    </row>
    <row r="8601" spans="2:14" hidden="1" outlineLevel="1" x14ac:dyDescent="0.35">
      <c r="B8601" s="200"/>
      <c r="C8601" s="201"/>
      <c r="D8601" s="201"/>
      <c r="E8601" s="201"/>
      <c r="F8601" s="202"/>
      <c r="G8601" s="549"/>
      <c r="H8601" s="549"/>
      <c r="I8601" s="549"/>
      <c r="J8601" s="549"/>
      <c r="K8601" s="549"/>
      <c r="M8601" s="465"/>
      <c r="N8601" s="201"/>
    </row>
    <row r="8602" spans="2:14" hidden="1" outlineLevel="1" x14ac:dyDescent="0.35">
      <c r="B8602" s="200"/>
      <c r="C8602" s="201"/>
      <c r="D8602" s="201"/>
      <c r="E8602" s="201"/>
      <c r="F8602" s="202"/>
      <c r="G8602" s="549"/>
      <c r="H8602" s="549"/>
      <c r="I8602" s="549"/>
      <c r="J8602" s="549"/>
      <c r="K8602" s="549"/>
      <c r="M8602" s="465"/>
      <c r="N8602" s="201"/>
    </row>
    <row r="8603" spans="2:14" hidden="1" outlineLevel="1" x14ac:dyDescent="0.35">
      <c r="B8603" s="200"/>
      <c r="C8603" s="201"/>
      <c r="D8603" s="201"/>
      <c r="E8603" s="201"/>
      <c r="F8603" s="202"/>
      <c r="G8603" s="549"/>
      <c r="H8603" s="549"/>
      <c r="I8603" s="549"/>
      <c r="J8603" s="549"/>
      <c r="K8603" s="549"/>
      <c r="M8603" s="465"/>
      <c r="N8603" s="201"/>
    </row>
    <row r="8604" spans="2:14" hidden="1" outlineLevel="1" x14ac:dyDescent="0.35">
      <c r="B8604" s="200"/>
      <c r="C8604" s="201"/>
      <c r="D8604" s="201"/>
      <c r="E8604" s="201"/>
      <c r="F8604" s="202"/>
      <c r="G8604" s="549"/>
      <c r="H8604" s="549"/>
      <c r="I8604" s="549"/>
      <c r="J8604" s="549"/>
      <c r="K8604" s="549"/>
      <c r="M8604" s="465"/>
      <c r="N8604" s="201"/>
    </row>
    <row r="8605" spans="2:14" hidden="1" outlineLevel="1" x14ac:dyDescent="0.35">
      <c r="B8605" s="200"/>
      <c r="C8605" s="201"/>
      <c r="D8605" s="201"/>
      <c r="E8605" s="201"/>
      <c r="F8605" s="202"/>
      <c r="G8605" s="549"/>
      <c r="H8605" s="549"/>
      <c r="I8605" s="549"/>
      <c r="J8605" s="549"/>
      <c r="K8605" s="549"/>
      <c r="M8605" s="465"/>
      <c r="N8605" s="201"/>
    </row>
    <row r="8606" spans="2:14" hidden="1" outlineLevel="1" x14ac:dyDescent="0.35">
      <c r="B8606" s="200"/>
      <c r="C8606" s="201"/>
      <c r="D8606" s="201"/>
      <c r="E8606" s="201"/>
      <c r="F8606" s="202"/>
      <c r="G8606" s="549"/>
      <c r="H8606" s="549"/>
      <c r="I8606" s="549"/>
      <c r="J8606" s="549"/>
      <c r="K8606" s="549"/>
      <c r="M8606" s="465"/>
      <c r="N8606" s="201"/>
    </row>
    <row r="8607" spans="2:14" hidden="1" outlineLevel="1" x14ac:dyDescent="0.35">
      <c r="B8607" s="200"/>
      <c r="C8607" s="201"/>
      <c r="D8607" s="201"/>
      <c r="E8607" s="201"/>
      <c r="F8607" s="202"/>
      <c r="G8607" s="549"/>
      <c r="H8607" s="549"/>
      <c r="I8607" s="549"/>
      <c r="J8607" s="549"/>
      <c r="K8607" s="549"/>
      <c r="M8607" s="465"/>
      <c r="N8607" s="201"/>
    </row>
    <row r="8608" spans="2:14" hidden="1" outlineLevel="1" x14ac:dyDescent="0.35">
      <c r="B8608" s="200"/>
      <c r="C8608" s="201"/>
      <c r="D8608" s="201"/>
      <c r="E8608" s="201"/>
      <c r="F8608" s="202"/>
      <c r="G8608" s="549"/>
      <c r="H8608" s="549"/>
      <c r="I8608" s="549"/>
      <c r="J8608" s="549"/>
      <c r="K8608" s="549"/>
      <c r="M8608" s="465"/>
      <c r="N8608" s="201"/>
    </row>
    <row r="8609" spans="2:14" hidden="1" outlineLevel="1" x14ac:dyDescent="0.35">
      <c r="B8609" s="200"/>
      <c r="C8609" s="201"/>
      <c r="D8609" s="201"/>
      <c r="E8609" s="201"/>
      <c r="F8609" s="202"/>
      <c r="G8609" s="549"/>
      <c r="H8609" s="549"/>
      <c r="I8609" s="549"/>
      <c r="J8609" s="549"/>
      <c r="K8609" s="549"/>
      <c r="M8609" s="465"/>
      <c r="N8609" s="201"/>
    </row>
    <row r="8610" spans="2:14" hidden="1" outlineLevel="1" x14ac:dyDescent="0.35">
      <c r="B8610" s="200"/>
      <c r="C8610" s="201"/>
      <c r="D8610" s="201"/>
      <c r="E8610" s="201"/>
      <c r="F8610" s="202"/>
      <c r="G8610" s="549"/>
      <c r="H8610" s="549"/>
      <c r="I8610" s="549"/>
      <c r="J8610" s="549"/>
      <c r="K8610" s="549"/>
      <c r="M8610" s="465"/>
      <c r="N8610" s="201"/>
    </row>
    <row r="8611" spans="2:14" hidden="1" outlineLevel="1" x14ac:dyDescent="0.35">
      <c r="B8611" s="200"/>
      <c r="C8611" s="201"/>
      <c r="D8611" s="201"/>
      <c r="E8611" s="201"/>
      <c r="F8611" s="202"/>
      <c r="G8611" s="549"/>
      <c r="H8611" s="549"/>
      <c r="I8611" s="549"/>
      <c r="J8611" s="549"/>
      <c r="K8611" s="549"/>
      <c r="M8611" s="465"/>
      <c r="N8611" s="201"/>
    </row>
    <row r="8612" spans="2:14" hidden="1" outlineLevel="1" x14ac:dyDescent="0.35">
      <c r="B8612" s="200"/>
      <c r="C8612" s="201"/>
      <c r="D8612" s="201"/>
      <c r="E8612" s="201"/>
      <c r="F8612" s="202"/>
      <c r="G8612" s="549"/>
      <c r="H8612" s="549"/>
      <c r="I8612" s="549"/>
      <c r="J8612" s="549"/>
      <c r="K8612" s="549"/>
      <c r="M8612" s="465"/>
      <c r="N8612" s="201"/>
    </row>
    <row r="8613" spans="2:14" hidden="1" outlineLevel="1" x14ac:dyDescent="0.35">
      <c r="B8613" s="200"/>
      <c r="C8613" s="201"/>
      <c r="D8613" s="201"/>
      <c r="E8613" s="201"/>
      <c r="F8613" s="202"/>
      <c r="G8613" s="549"/>
      <c r="H8613" s="549"/>
      <c r="I8613" s="549"/>
      <c r="J8613" s="549"/>
      <c r="K8613" s="549"/>
      <c r="M8613" s="465"/>
      <c r="N8613" s="201"/>
    </row>
    <row r="8614" spans="2:14" hidden="1" outlineLevel="1" x14ac:dyDescent="0.35">
      <c r="B8614" s="200"/>
      <c r="C8614" s="201"/>
      <c r="D8614" s="201"/>
      <c r="E8614" s="201"/>
      <c r="F8614" s="202"/>
      <c r="G8614" s="549"/>
      <c r="H8614" s="549"/>
      <c r="I8614" s="549"/>
      <c r="J8614" s="549"/>
      <c r="K8614" s="549"/>
      <c r="M8614" s="465"/>
      <c r="N8614" s="201"/>
    </row>
    <row r="8615" spans="2:14" hidden="1" outlineLevel="1" x14ac:dyDescent="0.35">
      <c r="B8615" s="200"/>
      <c r="C8615" s="201"/>
      <c r="D8615" s="201"/>
      <c r="E8615" s="201"/>
      <c r="F8615" s="202"/>
      <c r="G8615" s="549"/>
      <c r="H8615" s="549"/>
      <c r="I8615" s="549"/>
      <c r="J8615" s="549"/>
      <c r="K8615" s="549"/>
      <c r="M8615" s="465"/>
      <c r="N8615" s="201"/>
    </row>
    <row r="8616" spans="2:14" hidden="1" outlineLevel="1" x14ac:dyDescent="0.35">
      <c r="B8616" s="200"/>
      <c r="C8616" s="201"/>
      <c r="D8616" s="201"/>
      <c r="E8616" s="201"/>
      <c r="F8616" s="202"/>
      <c r="G8616" s="549"/>
      <c r="H8616" s="549"/>
      <c r="I8616" s="549"/>
      <c r="J8616" s="549"/>
      <c r="K8616" s="549"/>
      <c r="M8616" s="465"/>
      <c r="N8616" s="201"/>
    </row>
    <row r="8617" spans="2:14" hidden="1" outlineLevel="1" x14ac:dyDescent="0.35">
      <c r="B8617" s="200"/>
      <c r="C8617" s="201"/>
      <c r="D8617" s="201"/>
      <c r="E8617" s="201"/>
      <c r="F8617" s="202"/>
      <c r="G8617" s="549"/>
      <c r="H8617" s="549"/>
      <c r="I8617" s="549"/>
      <c r="J8617" s="549"/>
      <c r="K8617" s="549"/>
      <c r="M8617" s="465"/>
      <c r="N8617" s="201"/>
    </row>
    <row r="8618" spans="2:14" hidden="1" outlineLevel="1" x14ac:dyDescent="0.35">
      <c r="B8618" s="200"/>
      <c r="C8618" s="201"/>
      <c r="D8618" s="201"/>
      <c r="E8618" s="201"/>
      <c r="F8618" s="202"/>
      <c r="G8618" s="549"/>
      <c r="H8618" s="549"/>
      <c r="I8618" s="549"/>
      <c r="J8618" s="549"/>
      <c r="K8618" s="549"/>
      <c r="M8618" s="465"/>
      <c r="N8618" s="201"/>
    </row>
    <row r="8619" spans="2:14" hidden="1" outlineLevel="1" x14ac:dyDescent="0.35">
      <c r="B8619" s="200"/>
      <c r="C8619" s="201"/>
      <c r="D8619" s="201"/>
      <c r="E8619" s="201"/>
      <c r="F8619" s="202"/>
      <c r="G8619" s="549"/>
      <c r="H8619" s="549"/>
      <c r="I8619" s="549"/>
      <c r="J8619" s="549"/>
      <c r="K8619" s="549"/>
      <c r="M8619" s="465"/>
      <c r="N8619" s="201"/>
    </row>
    <row r="8620" spans="2:14" hidden="1" outlineLevel="1" x14ac:dyDescent="0.35">
      <c r="B8620" s="200"/>
      <c r="C8620" s="201"/>
      <c r="D8620" s="201"/>
      <c r="E8620" s="201"/>
      <c r="F8620" s="202"/>
      <c r="G8620" s="549"/>
      <c r="H8620" s="549"/>
      <c r="I8620" s="549"/>
      <c r="J8620" s="549"/>
      <c r="K8620" s="549"/>
      <c r="M8620" s="465"/>
      <c r="N8620" s="201"/>
    </row>
    <row r="8621" spans="2:14" hidden="1" outlineLevel="1" x14ac:dyDescent="0.35">
      <c r="B8621" s="200"/>
      <c r="C8621" s="201"/>
      <c r="D8621" s="201"/>
      <c r="E8621" s="201"/>
      <c r="F8621" s="202"/>
      <c r="G8621" s="549"/>
      <c r="H8621" s="549"/>
      <c r="I8621" s="549"/>
      <c r="J8621" s="549"/>
      <c r="K8621" s="549"/>
      <c r="M8621" s="465"/>
      <c r="N8621" s="201"/>
    </row>
    <row r="8622" spans="2:14" hidden="1" outlineLevel="1" x14ac:dyDescent="0.35">
      <c r="B8622" s="200"/>
      <c r="C8622" s="201"/>
      <c r="D8622" s="201"/>
      <c r="E8622" s="201"/>
      <c r="F8622" s="202"/>
      <c r="G8622" s="549"/>
      <c r="H8622" s="549"/>
      <c r="I8622" s="549"/>
      <c r="J8622" s="549"/>
      <c r="K8622" s="549"/>
      <c r="M8622" s="465"/>
      <c r="N8622" s="201"/>
    </row>
    <row r="8623" spans="2:14" hidden="1" outlineLevel="1" x14ac:dyDescent="0.35">
      <c r="B8623" s="200"/>
      <c r="C8623" s="201"/>
      <c r="D8623" s="201"/>
      <c r="E8623" s="201"/>
      <c r="F8623" s="202"/>
      <c r="G8623" s="549"/>
      <c r="H8623" s="549"/>
      <c r="I8623" s="549"/>
      <c r="J8623" s="549"/>
      <c r="K8623" s="549"/>
      <c r="M8623" s="465"/>
      <c r="N8623" s="201"/>
    </row>
    <row r="8624" spans="2:14" hidden="1" outlineLevel="1" x14ac:dyDescent="0.35">
      <c r="B8624" s="200"/>
      <c r="C8624" s="201"/>
      <c r="D8624" s="201"/>
      <c r="E8624" s="201"/>
      <c r="F8624" s="202"/>
      <c r="G8624" s="549"/>
      <c r="H8624" s="549"/>
      <c r="I8624" s="549"/>
      <c r="J8624" s="549"/>
      <c r="K8624" s="549"/>
      <c r="M8624" s="465"/>
      <c r="N8624" s="201"/>
    </row>
    <row r="8625" spans="2:14" hidden="1" outlineLevel="1" x14ac:dyDescent="0.35">
      <c r="B8625" s="200"/>
      <c r="C8625" s="201"/>
      <c r="D8625" s="201"/>
      <c r="E8625" s="201"/>
      <c r="F8625" s="202"/>
      <c r="G8625" s="549"/>
      <c r="H8625" s="549"/>
      <c r="I8625" s="549"/>
      <c r="J8625" s="549"/>
      <c r="K8625" s="549"/>
      <c r="M8625" s="465"/>
      <c r="N8625" s="201"/>
    </row>
    <row r="8626" spans="2:14" hidden="1" outlineLevel="1" x14ac:dyDescent="0.35">
      <c r="B8626" s="200"/>
      <c r="C8626" s="201"/>
      <c r="D8626" s="201"/>
      <c r="E8626" s="201"/>
      <c r="F8626" s="202"/>
      <c r="G8626" s="549"/>
      <c r="H8626" s="549"/>
      <c r="I8626" s="549"/>
      <c r="J8626" s="549"/>
      <c r="K8626" s="549"/>
      <c r="M8626" s="465"/>
      <c r="N8626" s="201"/>
    </row>
    <row r="8627" spans="2:14" hidden="1" outlineLevel="1" x14ac:dyDescent="0.35">
      <c r="B8627" s="200"/>
      <c r="C8627" s="201"/>
      <c r="D8627" s="201"/>
      <c r="E8627" s="201"/>
      <c r="F8627" s="202"/>
      <c r="G8627" s="549"/>
      <c r="H8627" s="549"/>
      <c r="I8627" s="549"/>
      <c r="J8627" s="549"/>
      <c r="K8627" s="549"/>
      <c r="M8627" s="465"/>
      <c r="N8627" s="201"/>
    </row>
    <row r="8628" spans="2:14" hidden="1" outlineLevel="1" x14ac:dyDescent="0.35">
      <c r="B8628" s="200"/>
      <c r="C8628" s="201"/>
      <c r="D8628" s="201"/>
      <c r="E8628" s="201"/>
      <c r="F8628" s="202"/>
      <c r="G8628" s="549"/>
      <c r="H8628" s="549"/>
      <c r="I8628" s="549"/>
      <c r="J8628" s="549"/>
      <c r="K8628" s="549"/>
      <c r="M8628" s="465"/>
      <c r="N8628" s="201"/>
    </row>
    <row r="8629" spans="2:14" hidden="1" outlineLevel="1" x14ac:dyDescent="0.35">
      <c r="B8629" s="200"/>
      <c r="C8629" s="201"/>
      <c r="D8629" s="201"/>
      <c r="E8629" s="201"/>
      <c r="F8629" s="202"/>
      <c r="G8629" s="549"/>
      <c r="H8629" s="549"/>
      <c r="I8629" s="549"/>
      <c r="J8629" s="549"/>
      <c r="K8629" s="549"/>
      <c r="M8629" s="465"/>
      <c r="N8629" s="201"/>
    </row>
    <row r="8630" spans="2:14" hidden="1" outlineLevel="1" x14ac:dyDescent="0.35">
      <c r="B8630" s="200"/>
      <c r="C8630" s="201"/>
      <c r="D8630" s="201"/>
      <c r="E8630" s="201"/>
      <c r="F8630" s="202"/>
      <c r="G8630" s="549"/>
      <c r="H8630" s="549"/>
      <c r="I8630" s="549"/>
      <c r="J8630" s="549"/>
      <c r="K8630" s="549"/>
      <c r="M8630" s="465"/>
      <c r="N8630" s="201"/>
    </row>
    <row r="8631" spans="2:14" hidden="1" outlineLevel="1" x14ac:dyDescent="0.35">
      <c r="B8631" s="200"/>
      <c r="C8631" s="201"/>
      <c r="D8631" s="201"/>
      <c r="E8631" s="201"/>
      <c r="F8631" s="202"/>
      <c r="G8631" s="549"/>
      <c r="H8631" s="549"/>
      <c r="I8631" s="549"/>
      <c r="J8631" s="549"/>
      <c r="K8631" s="549"/>
      <c r="M8631" s="465"/>
      <c r="N8631" s="201"/>
    </row>
    <row r="8632" spans="2:14" hidden="1" outlineLevel="1" x14ac:dyDescent="0.35">
      <c r="B8632" s="200"/>
      <c r="C8632" s="201"/>
      <c r="D8632" s="201"/>
      <c r="E8632" s="201"/>
      <c r="F8632" s="202"/>
      <c r="G8632" s="549"/>
      <c r="H8632" s="549"/>
      <c r="I8632" s="549"/>
      <c r="J8632" s="549"/>
      <c r="K8632" s="549"/>
      <c r="M8632" s="465"/>
      <c r="N8632" s="201"/>
    </row>
    <row r="8633" spans="2:14" hidden="1" outlineLevel="1" x14ac:dyDescent="0.35">
      <c r="B8633" s="200"/>
      <c r="C8633" s="201"/>
      <c r="D8633" s="201"/>
      <c r="E8633" s="201"/>
      <c r="F8633" s="202"/>
      <c r="G8633" s="549"/>
      <c r="H8633" s="549"/>
      <c r="I8633" s="549"/>
      <c r="J8633" s="549"/>
      <c r="K8633" s="549"/>
      <c r="M8633" s="465"/>
      <c r="N8633" s="201"/>
    </row>
    <row r="8634" spans="2:14" hidden="1" outlineLevel="1" x14ac:dyDescent="0.35">
      <c r="B8634" s="200"/>
      <c r="C8634" s="201"/>
      <c r="D8634" s="201"/>
      <c r="E8634" s="201"/>
      <c r="F8634" s="202"/>
      <c r="G8634" s="549"/>
      <c r="H8634" s="549"/>
      <c r="I8634" s="549"/>
      <c r="J8634" s="549"/>
      <c r="K8634" s="549"/>
      <c r="M8634" s="465"/>
      <c r="N8634" s="201"/>
    </row>
    <row r="8635" spans="2:14" hidden="1" outlineLevel="1" x14ac:dyDescent="0.35">
      <c r="B8635" s="200"/>
      <c r="C8635" s="201"/>
      <c r="D8635" s="201"/>
      <c r="E8635" s="201"/>
      <c r="F8635" s="202"/>
      <c r="G8635" s="549"/>
      <c r="H8635" s="549"/>
      <c r="I8635" s="549"/>
      <c r="J8635" s="549"/>
      <c r="K8635" s="549"/>
      <c r="M8635" s="465"/>
      <c r="N8635" s="201"/>
    </row>
    <row r="8636" spans="2:14" hidden="1" outlineLevel="1" x14ac:dyDescent="0.35">
      <c r="B8636" s="200"/>
      <c r="C8636" s="201"/>
      <c r="D8636" s="201"/>
      <c r="E8636" s="201"/>
      <c r="F8636" s="202"/>
      <c r="G8636" s="549"/>
      <c r="H8636" s="549"/>
      <c r="I8636" s="549"/>
      <c r="J8636" s="549"/>
      <c r="K8636" s="549"/>
      <c r="M8636" s="465"/>
      <c r="N8636" s="201"/>
    </row>
    <row r="8637" spans="2:14" hidden="1" outlineLevel="1" x14ac:dyDescent="0.35">
      <c r="B8637" s="200"/>
      <c r="C8637" s="201"/>
      <c r="D8637" s="201"/>
      <c r="E8637" s="201"/>
      <c r="F8637" s="202"/>
      <c r="G8637" s="549"/>
      <c r="H8637" s="549"/>
      <c r="I8637" s="549"/>
      <c r="J8637" s="549"/>
      <c r="K8637" s="549"/>
      <c r="M8637" s="465"/>
      <c r="N8637" s="201"/>
    </row>
    <row r="8638" spans="2:14" hidden="1" outlineLevel="1" x14ac:dyDescent="0.35">
      <c r="B8638" s="200"/>
      <c r="C8638" s="201"/>
      <c r="D8638" s="201"/>
      <c r="E8638" s="201"/>
      <c r="F8638" s="202"/>
      <c r="G8638" s="549"/>
      <c r="H8638" s="549"/>
      <c r="I8638" s="549"/>
      <c r="J8638" s="549"/>
      <c r="K8638" s="549"/>
      <c r="M8638" s="465"/>
      <c r="N8638" s="201"/>
    </row>
    <row r="8639" spans="2:14" hidden="1" outlineLevel="1" x14ac:dyDescent="0.35">
      <c r="B8639" s="200"/>
      <c r="C8639" s="201"/>
      <c r="D8639" s="201"/>
      <c r="E8639" s="201"/>
      <c r="F8639" s="202"/>
      <c r="G8639" s="549"/>
      <c r="H8639" s="549"/>
      <c r="I8639" s="549"/>
      <c r="J8639" s="549"/>
      <c r="K8639" s="549"/>
      <c r="M8639" s="465"/>
      <c r="N8639" s="201"/>
    </row>
    <row r="8640" spans="2:14" hidden="1" outlineLevel="1" x14ac:dyDescent="0.35">
      <c r="B8640" s="200"/>
      <c r="C8640" s="201"/>
      <c r="D8640" s="201"/>
      <c r="E8640" s="201"/>
      <c r="F8640" s="202"/>
      <c r="G8640" s="549"/>
      <c r="H8640" s="549"/>
      <c r="I8640" s="549"/>
      <c r="J8640" s="549"/>
      <c r="K8640" s="549"/>
      <c r="M8640" s="465"/>
      <c r="N8640" s="201"/>
    </row>
    <row r="8641" spans="2:14" hidden="1" outlineLevel="1" x14ac:dyDescent="0.35">
      <c r="B8641" s="200"/>
      <c r="C8641" s="201"/>
      <c r="D8641" s="201"/>
      <c r="E8641" s="201"/>
      <c r="F8641" s="202"/>
      <c r="G8641" s="549"/>
      <c r="H8641" s="549"/>
      <c r="I8641" s="549"/>
      <c r="J8641" s="549"/>
      <c r="K8641" s="549"/>
      <c r="M8641" s="465"/>
      <c r="N8641" s="201"/>
    </row>
    <row r="8642" spans="2:14" hidden="1" outlineLevel="1" x14ac:dyDescent="0.35">
      <c r="B8642" s="200"/>
      <c r="C8642" s="201"/>
      <c r="D8642" s="201"/>
      <c r="E8642" s="201"/>
      <c r="F8642" s="202"/>
      <c r="G8642" s="549"/>
      <c r="H8642" s="549"/>
      <c r="I8642" s="549"/>
      <c r="J8642" s="549"/>
      <c r="K8642" s="549"/>
      <c r="M8642" s="465"/>
      <c r="N8642" s="201"/>
    </row>
    <row r="8643" spans="2:14" hidden="1" outlineLevel="1" x14ac:dyDescent="0.35">
      <c r="B8643" s="200"/>
      <c r="C8643" s="201"/>
      <c r="D8643" s="201"/>
      <c r="E8643" s="201"/>
      <c r="F8643" s="202"/>
      <c r="G8643" s="549"/>
      <c r="H8643" s="549"/>
      <c r="I8643" s="549"/>
      <c r="J8643" s="549"/>
      <c r="K8643" s="549"/>
      <c r="M8643" s="465"/>
      <c r="N8643" s="201"/>
    </row>
    <row r="8644" spans="2:14" hidden="1" outlineLevel="1" x14ac:dyDescent="0.35">
      <c r="B8644" s="200"/>
      <c r="C8644" s="201"/>
      <c r="D8644" s="201"/>
      <c r="E8644" s="201"/>
      <c r="F8644" s="202"/>
      <c r="G8644" s="549"/>
      <c r="H8644" s="549"/>
      <c r="I8644" s="549"/>
      <c r="J8644" s="549"/>
      <c r="K8644" s="549"/>
      <c r="M8644" s="465"/>
      <c r="N8644" s="201"/>
    </row>
    <row r="8645" spans="2:14" hidden="1" outlineLevel="1" x14ac:dyDescent="0.35">
      <c r="B8645" s="200"/>
      <c r="C8645" s="201"/>
      <c r="D8645" s="201"/>
      <c r="E8645" s="201"/>
      <c r="F8645" s="202"/>
      <c r="G8645" s="549"/>
      <c r="H8645" s="549"/>
      <c r="I8645" s="549"/>
      <c r="J8645" s="549"/>
      <c r="K8645" s="549"/>
      <c r="M8645" s="465"/>
      <c r="N8645" s="201"/>
    </row>
    <row r="8646" spans="2:14" hidden="1" outlineLevel="1" x14ac:dyDescent="0.35">
      <c r="B8646" s="200"/>
      <c r="C8646" s="201"/>
      <c r="D8646" s="201"/>
      <c r="E8646" s="201"/>
      <c r="F8646" s="202"/>
      <c r="G8646" s="549"/>
      <c r="H8646" s="549"/>
      <c r="I8646" s="549"/>
      <c r="J8646" s="549"/>
      <c r="K8646" s="549"/>
      <c r="M8646" s="465"/>
      <c r="N8646" s="201"/>
    </row>
    <row r="8647" spans="2:14" hidden="1" outlineLevel="1" x14ac:dyDescent="0.35">
      <c r="B8647" s="200"/>
      <c r="C8647" s="201"/>
      <c r="D8647" s="201"/>
      <c r="E8647" s="201"/>
      <c r="F8647" s="202"/>
      <c r="G8647" s="549"/>
      <c r="H8647" s="549"/>
      <c r="I8647" s="549"/>
      <c r="J8647" s="549"/>
      <c r="K8647" s="549"/>
      <c r="M8647" s="465"/>
      <c r="N8647" s="201"/>
    </row>
    <row r="8648" spans="2:14" hidden="1" outlineLevel="1" x14ac:dyDescent="0.35">
      <c r="B8648" s="200"/>
      <c r="C8648" s="201"/>
      <c r="D8648" s="201"/>
      <c r="E8648" s="201"/>
      <c r="F8648" s="202"/>
      <c r="G8648" s="549"/>
      <c r="H8648" s="549"/>
      <c r="I8648" s="549"/>
      <c r="J8648" s="549"/>
      <c r="K8648" s="549"/>
      <c r="M8648" s="465"/>
      <c r="N8648" s="201"/>
    </row>
    <row r="8649" spans="2:14" hidden="1" outlineLevel="1" x14ac:dyDescent="0.35">
      <c r="B8649" s="200"/>
      <c r="C8649" s="201"/>
      <c r="D8649" s="201"/>
      <c r="E8649" s="201"/>
      <c r="F8649" s="202"/>
      <c r="G8649" s="549"/>
      <c r="H8649" s="549"/>
      <c r="I8649" s="549"/>
      <c r="J8649" s="549"/>
      <c r="K8649" s="549"/>
      <c r="M8649" s="465"/>
      <c r="N8649" s="201"/>
    </row>
    <row r="8650" spans="2:14" hidden="1" outlineLevel="1" x14ac:dyDescent="0.35">
      <c r="B8650" s="200"/>
      <c r="C8650" s="201"/>
      <c r="D8650" s="201"/>
      <c r="E8650" s="201"/>
      <c r="F8650" s="202"/>
      <c r="G8650" s="549"/>
      <c r="H8650" s="549"/>
      <c r="I8650" s="549"/>
      <c r="J8650" s="549"/>
      <c r="K8650" s="549"/>
      <c r="M8650" s="465"/>
      <c r="N8650" s="201"/>
    </row>
    <row r="8651" spans="2:14" hidden="1" outlineLevel="1" x14ac:dyDescent="0.35">
      <c r="B8651" s="200"/>
      <c r="C8651" s="201"/>
      <c r="D8651" s="201"/>
      <c r="E8651" s="201"/>
      <c r="F8651" s="202"/>
      <c r="G8651" s="549"/>
      <c r="H8651" s="549"/>
      <c r="I8651" s="549"/>
      <c r="J8651" s="549"/>
      <c r="K8651" s="549"/>
      <c r="M8651" s="465"/>
      <c r="N8651" s="201"/>
    </row>
    <row r="8652" spans="2:14" hidden="1" outlineLevel="1" x14ac:dyDescent="0.35">
      <c r="B8652" s="200"/>
      <c r="C8652" s="201"/>
      <c r="D8652" s="201"/>
      <c r="E8652" s="201"/>
      <c r="F8652" s="202"/>
      <c r="G8652" s="549"/>
      <c r="H8652" s="549"/>
      <c r="I8652" s="549"/>
      <c r="J8652" s="549"/>
      <c r="K8652" s="549"/>
      <c r="M8652" s="465"/>
      <c r="N8652" s="201"/>
    </row>
    <row r="8653" spans="2:14" hidden="1" outlineLevel="1" x14ac:dyDescent="0.35">
      <c r="B8653" s="200"/>
      <c r="C8653" s="201"/>
      <c r="D8653" s="201"/>
      <c r="E8653" s="201"/>
      <c r="F8653" s="202"/>
      <c r="G8653" s="549"/>
      <c r="H8653" s="549"/>
      <c r="I8653" s="549"/>
      <c r="J8653" s="549"/>
      <c r="K8653" s="549"/>
      <c r="M8653" s="465"/>
      <c r="N8653" s="201"/>
    </row>
    <row r="8654" spans="2:14" hidden="1" outlineLevel="1" x14ac:dyDescent="0.35">
      <c r="B8654" s="200"/>
      <c r="C8654" s="201"/>
      <c r="D8654" s="201"/>
      <c r="E8654" s="201"/>
      <c r="F8654" s="202"/>
      <c r="G8654" s="549"/>
      <c r="H8654" s="549"/>
      <c r="I8654" s="549"/>
      <c r="J8654" s="549"/>
      <c r="K8654" s="549"/>
      <c r="M8654" s="465"/>
      <c r="N8654" s="201"/>
    </row>
    <row r="8655" spans="2:14" hidden="1" outlineLevel="1" x14ac:dyDescent="0.35">
      <c r="B8655" s="200"/>
      <c r="C8655" s="201"/>
      <c r="D8655" s="201"/>
      <c r="E8655" s="201"/>
      <c r="F8655" s="202"/>
      <c r="G8655" s="549"/>
      <c r="H8655" s="549"/>
      <c r="I8655" s="549"/>
      <c r="J8655" s="549"/>
      <c r="K8655" s="549"/>
      <c r="M8655" s="465"/>
      <c r="N8655" s="201"/>
    </row>
    <row r="8656" spans="2:14" hidden="1" outlineLevel="1" x14ac:dyDescent="0.35">
      <c r="B8656" s="200"/>
      <c r="C8656" s="201"/>
      <c r="D8656" s="201"/>
      <c r="E8656" s="201"/>
      <c r="F8656" s="202"/>
      <c r="G8656" s="549"/>
      <c r="H8656" s="549"/>
      <c r="I8656" s="549"/>
      <c r="J8656" s="549"/>
      <c r="K8656" s="549"/>
      <c r="M8656" s="465"/>
      <c r="N8656" s="201"/>
    </row>
    <row r="8657" spans="2:14" hidden="1" outlineLevel="1" x14ac:dyDescent="0.35">
      <c r="B8657" s="200"/>
      <c r="C8657" s="201"/>
      <c r="D8657" s="201"/>
      <c r="E8657" s="201"/>
      <c r="F8657" s="202"/>
      <c r="G8657" s="549"/>
      <c r="H8657" s="549"/>
      <c r="I8657" s="549"/>
      <c r="J8657" s="549"/>
      <c r="K8657" s="549"/>
      <c r="M8657" s="465"/>
      <c r="N8657" s="201"/>
    </row>
    <row r="8658" spans="2:14" hidden="1" outlineLevel="1" x14ac:dyDescent="0.35">
      <c r="B8658" s="200"/>
      <c r="C8658" s="201"/>
      <c r="D8658" s="201"/>
      <c r="E8658" s="201"/>
      <c r="F8658" s="202"/>
      <c r="G8658" s="549"/>
      <c r="H8658" s="549"/>
      <c r="I8658" s="549"/>
      <c r="J8658" s="549"/>
      <c r="K8658" s="549"/>
      <c r="M8658" s="465"/>
      <c r="N8658" s="201"/>
    </row>
    <row r="8659" spans="2:14" hidden="1" outlineLevel="1" x14ac:dyDescent="0.35">
      <c r="B8659" s="200"/>
      <c r="C8659" s="201"/>
      <c r="D8659" s="201"/>
      <c r="E8659" s="201"/>
      <c r="F8659" s="202"/>
      <c r="G8659" s="549"/>
      <c r="H8659" s="549"/>
      <c r="I8659" s="549"/>
      <c r="J8659" s="549"/>
      <c r="K8659" s="549"/>
      <c r="M8659" s="465"/>
      <c r="N8659" s="201"/>
    </row>
    <row r="8660" spans="2:14" hidden="1" outlineLevel="1" x14ac:dyDescent="0.35">
      <c r="B8660" s="200"/>
      <c r="C8660" s="201"/>
      <c r="D8660" s="201"/>
      <c r="E8660" s="201"/>
      <c r="F8660" s="202"/>
      <c r="G8660" s="549"/>
      <c r="H8660" s="549"/>
      <c r="I8660" s="549"/>
      <c r="J8660" s="549"/>
      <c r="K8660" s="549"/>
      <c r="M8660" s="465"/>
      <c r="N8660" s="201"/>
    </row>
    <row r="8661" spans="2:14" hidden="1" outlineLevel="1" x14ac:dyDescent="0.35">
      <c r="B8661" s="200"/>
      <c r="C8661" s="201"/>
      <c r="D8661" s="201"/>
      <c r="E8661" s="201"/>
      <c r="F8661" s="202"/>
      <c r="G8661" s="549"/>
      <c r="H8661" s="549"/>
      <c r="I8661" s="549"/>
      <c r="J8661" s="549"/>
      <c r="K8661" s="549"/>
      <c r="M8661" s="465"/>
      <c r="N8661" s="201"/>
    </row>
    <row r="8662" spans="2:14" hidden="1" outlineLevel="1" x14ac:dyDescent="0.35">
      <c r="B8662" s="200"/>
      <c r="C8662" s="201"/>
      <c r="D8662" s="201"/>
      <c r="E8662" s="201"/>
      <c r="F8662" s="202"/>
      <c r="G8662" s="549"/>
      <c r="H8662" s="549"/>
      <c r="I8662" s="549"/>
      <c r="J8662" s="549"/>
      <c r="K8662" s="549"/>
      <c r="M8662" s="465"/>
      <c r="N8662" s="201"/>
    </row>
    <row r="8663" spans="2:14" hidden="1" outlineLevel="1" x14ac:dyDescent="0.35">
      <c r="B8663" s="200"/>
      <c r="C8663" s="201"/>
      <c r="D8663" s="201"/>
      <c r="E8663" s="201"/>
      <c r="F8663" s="202"/>
      <c r="G8663" s="549"/>
      <c r="H8663" s="549"/>
      <c r="I8663" s="549"/>
      <c r="J8663" s="549"/>
      <c r="K8663" s="549"/>
      <c r="M8663" s="465"/>
      <c r="N8663" s="201"/>
    </row>
    <row r="8664" spans="2:14" hidden="1" outlineLevel="1" x14ac:dyDescent="0.35">
      <c r="B8664" s="200"/>
      <c r="C8664" s="201"/>
      <c r="D8664" s="201"/>
      <c r="E8664" s="201"/>
      <c r="F8664" s="202"/>
      <c r="G8664" s="549"/>
      <c r="H8664" s="549"/>
      <c r="I8664" s="549"/>
      <c r="J8664" s="549"/>
      <c r="K8664" s="549"/>
      <c r="M8664" s="465"/>
      <c r="N8664" s="201"/>
    </row>
    <row r="8665" spans="2:14" hidden="1" outlineLevel="1" x14ac:dyDescent="0.35">
      <c r="B8665" s="200"/>
      <c r="C8665" s="201"/>
      <c r="D8665" s="201"/>
      <c r="E8665" s="201"/>
      <c r="F8665" s="202"/>
      <c r="G8665" s="549"/>
      <c r="H8665" s="549"/>
      <c r="I8665" s="549"/>
      <c r="J8665" s="549"/>
      <c r="K8665" s="549"/>
      <c r="M8665" s="465"/>
      <c r="N8665" s="201"/>
    </row>
    <row r="8666" spans="2:14" hidden="1" outlineLevel="1" x14ac:dyDescent="0.35">
      <c r="B8666" s="200"/>
      <c r="C8666" s="201"/>
      <c r="D8666" s="201"/>
      <c r="E8666" s="201"/>
      <c r="F8666" s="202"/>
      <c r="G8666" s="549"/>
      <c r="H8666" s="549"/>
      <c r="I8666" s="549"/>
      <c r="J8666" s="549"/>
      <c r="K8666" s="549"/>
      <c r="M8666" s="465"/>
      <c r="N8666" s="201"/>
    </row>
    <row r="8667" spans="2:14" hidden="1" outlineLevel="1" x14ac:dyDescent="0.35">
      <c r="B8667" s="200"/>
      <c r="C8667" s="201"/>
      <c r="D8667" s="201"/>
      <c r="E8667" s="201"/>
      <c r="F8667" s="202"/>
      <c r="G8667" s="549"/>
      <c r="H8667" s="549"/>
      <c r="I8667" s="549"/>
      <c r="J8667" s="549"/>
      <c r="K8667" s="549"/>
      <c r="M8667" s="465"/>
      <c r="N8667" s="201"/>
    </row>
    <row r="8668" spans="2:14" hidden="1" outlineLevel="1" x14ac:dyDescent="0.35">
      <c r="B8668" s="200"/>
      <c r="C8668" s="201"/>
      <c r="D8668" s="201"/>
      <c r="E8668" s="201"/>
      <c r="F8668" s="202"/>
      <c r="G8668" s="549"/>
      <c r="H8668" s="549"/>
      <c r="I8668" s="549"/>
      <c r="J8668" s="549"/>
      <c r="K8668" s="549"/>
      <c r="M8668" s="465"/>
      <c r="N8668" s="201"/>
    </row>
    <row r="8669" spans="2:14" hidden="1" outlineLevel="1" x14ac:dyDescent="0.35">
      <c r="B8669" s="200"/>
      <c r="C8669" s="201"/>
      <c r="D8669" s="201"/>
      <c r="E8669" s="201"/>
      <c r="F8669" s="202"/>
      <c r="G8669" s="549"/>
      <c r="H8669" s="549"/>
      <c r="I8669" s="549"/>
      <c r="J8669" s="549"/>
      <c r="K8669" s="549"/>
      <c r="M8669" s="465"/>
      <c r="N8669" s="201"/>
    </row>
    <row r="8670" spans="2:14" hidden="1" outlineLevel="1" x14ac:dyDescent="0.35">
      <c r="B8670" s="200"/>
      <c r="C8670" s="201"/>
      <c r="D8670" s="201"/>
      <c r="E8670" s="201"/>
      <c r="F8670" s="202"/>
      <c r="G8670" s="549"/>
      <c r="H8670" s="549"/>
      <c r="I8670" s="549"/>
      <c r="J8670" s="549"/>
      <c r="K8670" s="549"/>
      <c r="M8670" s="465"/>
      <c r="N8670" s="201"/>
    </row>
    <row r="8671" spans="2:14" hidden="1" outlineLevel="1" x14ac:dyDescent="0.35">
      <c r="B8671" s="200"/>
      <c r="C8671" s="201"/>
      <c r="D8671" s="201"/>
      <c r="E8671" s="201"/>
      <c r="F8671" s="202"/>
      <c r="G8671" s="549"/>
      <c r="H8671" s="549"/>
      <c r="I8671" s="549"/>
      <c r="J8671" s="549"/>
      <c r="K8671" s="549"/>
      <c r="M8671" s="465"/>
      <c r="N8671" s="201"/>
    </row>
    <row r="8672" spans="2:14" hidden="1" outlineLevel="1" x14ac:dyDescent="0.35">
      <c r="B8672" s="200"/>
      <c r="C8672" s="201"/>
      <c r="D8672" s="201"/>
      <c r="E8672" s="201"/>
      <c r="F8672" s="202"/>
      <c r="G8672" s="549"/>
      <c r="H8672" s="549"/>
      <c r="I8672" s="549"/>
      <c r="J8672" s="549"/>
      <c r="K8672" s="549"/>
      <c r="M8672" s="465"/>
      <c r="N8672" s="201"/>
    </row>
    <row r="8673" spans="2:14" hidden="1" outlineLevel="1" x14ac:dyDescent="0.35">
      <c r="B8673" s="200"/>
      <c r="C8673" s="201"/>
      <c r="D8673" s="201"/>
      <c r="E8673" s="201"/>
      <c r="F8673" s="202"/>
      <c r="G8673" s="549"/>
      <c r="H8673" s="549"/>
      <c r="I8673" s="549"/>
      <c r="J8673" s="549"/>
      <c r="K8673" s="549"/>
      <c r="M8673" s="465"/>
      <c r="N8673" s="201"/>
    </row>
    <row r="8674" spans="2:14" hidden="1" outlineLevel="1" x14ac:dyDescent="0.35">
      <c r="B8674" s="200"/>
      <c r="C8674" s="201"/>
      <c r="D8674" s="201"/>
      <c r="E8674" s="201"/>
      <c r="F8674" s="202"/>
      <c r="G8674" s="549"/>
      <c r="H8674" s="549"/>
      <c r="I8674" s="549"/>
      <c r="J8674" s="549"/>
      <c r="K8674" s="549"/>
      <c r="M8674" s="465"/>
      <c r="N8674" s="201"/>
    </row>
    <row r="8675" spans="2:14" hidden="1" outlineLevel="1" x14ac:dyDescent="0.35">
      <c r="B8675" s="200"/>
      <c r="C8675" s="201"/>
      <c r="D8675" s="201"/>
      <c r="E8675" s="201"/>
      <c r="F8675" s="202"/>
      <c r="G8675" s="549"/>
      <c r="H8675" s="549"/>
      <c r="I8675" s="549"/>
      <c r="J8675" s="549"/>
      <c r="K8675" s="549"/>
      <c r="M8675" s="465"/>
      <c r="N8675" s="201"/>
    </row>
    <row r="8676" spans="2:14" hidden="1" outlineLevel="1" x14ac:dyDescent="0.35">
      <c r="B8676" s="200"/>
      <c r="C8676" s="201"/>
      <c r="D8676" s="201"/>
      <c r="E8676" s="201"/>
      <c r="F8676" s="202"/>
      <c r="G8676" s="549"/>
      <c r="H8676" s="549"/>
      <c r="I8676" s="549"/>
      <c r="J8676" s="549"/>
      <c r="K8676" s="549"/>
      <c r="M8676" s="465"/>
      <c r="N8676" s="201"/>
    </row>
    <row r="8677" spans="2:14" hidden="1" outlineLevel="1" x14ac:dyDescent="0.35">
      <c r="B8677" s="200"/>
      <c r="C8677" s="201"/>
      <c r="D8677" s="201"/>
      <c r="E8677" s="201"/>
      <c r="F8677" s="202"/>
      <c r="G8677" s="549"/>
      <c r="H8677" s="549"/>
      <c r="I8677" s="549"/>
      <c r="J8677" s="549"/>
      <c r="K8677" s="549"/>
      <c r="M8677" s="465"/>
      <c r="N8677" s="201"/>
    </row>
    <row r="8678" spans="2:14" hidden="1" outlineLevel="1" x14ac:dyDescent="0.35">
      <c r="B8678" s="200"/>
      <c r="C8678" s="201"/>
      <c r="D8678" s="201"/>
      <c r="E8678" s="201"/>
      <c r="F8678" s="202"/>
      <c r="G8678" s="549"/>
      <c r="H8678" s="549"/>
      <c r="I8678" s="549"/>
      <c r="J8678" s="549"/>
      <c r="K8678" s="549"/>
      <c r="M8678" s="465"/>
      <c r="N8678" s="201"/>
    </row>
    <row r="8679" spans="2:14" hidden="1" outlineLevel="1" x14ac:dyDescent="0.35">
      <c r="B8679" s="200"/>
      <c r="C8679" s="201"/>
      <c r="D8679" s="201"/>
      <c r="E8679" s="201"/>
      <c r="F8679" s="202"/>
      <c r="G8679" s="549"/>
      <c r="H8679" s="549"/>
      <c r="I8679" s="549"/>
      <c r="J8679" s="549"/>
      <c r="K8679" s="549"/>
      <c r="M8679" s="465"/>
      <c r="N8679" s="201"/>
    </row>
    <row r="8680" spans="2:14" hidden="1" outlineLevel="1" x14ac:dyDescent="0.35">
      <c r="B8680" s="200"/>
      <c r="C8680" s="201"/>
      <c r="D8680" s="201"/>
      <c r="E8680" s="201"/>
      <c r="F8680" s="202"/>
      <c r="G8680" s="549"/>
      <c r="H8680" s="549"/>
      <c r="I8680" s="549"/>
      <c r="J8680" s="549"/>
      <c r="K8680" s="549"/>
      <c r="M8680" s="465"/>
      <c r="N8680" s="201"/>
    </row>
    <row r="8681" spans="2:14" hidden="1" outlineLevel="1" x14ac:dyDescent="0.35">
      <c r="B8681" s="200"/>
      <c r="C8681" s="201"/>
      <c r="D8681" s="201"/>
      <c r="E8681" s="201"/>
      <c r="F8681" s="202"/>
      <c r="G8681" s="549"/>
      <c r="H8681" s="549"/>
      <c r="I8681" s="549"/>
      <c r="J8681" s="549"/>
      <c r="K8681" s="549"/>
      <c r="M8681" s="465"/>
      <c r="N8681" s="201"/>
    </row>
    <row r="8682" spans="2:14" hidden="1" outlineLevel="1" x14ac:dyDescent="0.35">
      <c r="B8682" s="200"/>
      <c r="C8682" s="201"/>
      <c r="D8682" s="201"/>
      <c r="E8682" s="201"/>
      <c r="F8682" s="202"/>
      <c r="G8682" s="549"/>
      <c r="H8682" s="549"/>
      <c r="I8682" s="549"/>
      <c r="J8682" s="549"/>
      <c r="K8682" s="549"/>
      <c r="M8682" s="465"/>
      <c r="N8682" s="201"/>
    </row>
    <row r="8683" spans="2:14" hidden="1" outlineLevel="1" x14ac:dyDescent="0.35">
      <c r="B8683" s="200"/>
      <c r="C8683" s="201"/>
      <c r="D8683" s="201"/>
      <c r="E8683" s="201"/>
      <c r="F8683" s="202"/>
      <c r="G8683" s="549"/>
      <c r="H8683" s="549"/>
      <c r="I8683" s="549"/>
      <c r="J8683" s="549"/>
      <c r="K8683" s="549"/>
      <c r="M8683" s="465"/>
      <c r="N8683" s="201"/>
    </row>
    <row r="8684" spans="2:14" hidden="1" outlineLevel="1" x14ac:dyDescent="0.35">
      <c r="B8684" s="200"/>
      <c r="C8684" s="201"/>
      <c r="D8684" s="201"/>
      <c r="E8684" s="201"/>
      <c r="F8684" s="202"/>
      <c r="G8684" s="549"/>
      <c r="H8684" s="549"/>
      <c r="I8684" s="549"/>
      <c r="J8684" s="549"/>
      <c r="K8684" s="549"/>
      <c r="M8684" s="465"/>
      <c r="N8684" s="201"/>
    </row>
    <row r="8685" spans="2:14" hidden="1" outlineLevel="1" x14ac:dyDescent="0.35">
      <c r="B8685" s="200"/>
      <c r="C8685" s="201"/>
      <c r="D8685" s="201"/>
      <c r="E8685" s="201"/>
      <c r="F8685" s="202"/>
      <c r="G8685" s="549"/>
      <c r="H8685" s="549"/>
      <c r="I8685" s="549"/>
      <c r="J8685" s="549"/>
      <c r="K8685" s="549"/>
      <c r="M8685" s="465"/>
      <c r="N8685" s="201"/>
    </row>
    <row r="8686" spans="2:14" hidden="1" outlineLevel="1" x14ac:dyDescent="0.35">
      <c r="B8686" s="200"/>
      <c r="C8686" s="201"/>
      <c r="D8686" s="201"/>
      <c r="E8686" s="201"/>
      <c r="F8686" s="202"/>
      <c r="G8686" s="549"/>
      <c r="H8686" s="549"/>
      <c r="I8686" s="549"/>
      <c r="J8686" s="549"/>
      <c r="K8686" s="549"/>
      <c r="M8686" s="465"/>
      <c r="N8686" s="201"/>
    </row>
    <row r="8687" spans="2:14" hidden="1" outlineLevel="1" x14ac:dyDescent="0.35">
      <c r="B8687" s="200"/>
      <c r="C8687" s="201"/>
      <c r="D8687" s="201"/>
      <c r="E8687" s="201"/>
      <c r="F8687" s="202"/>
      <c r="G8687" s="549"/>
      <c r="H8687" s="549"/>
      <c r="I8687" s="549"/>
      <c r="J8687" s="549"/>
      <c r="K8687" s="549"/>
      <c r="M8687" s="465"/>
      <c r="N8687" s="201"/>
    </row>
    <row r="8688" spans="2:14" hidden="1" outlineLevel="1" x14ac:dyDescent="0.35">
      <c r="B8688" s="200"/>
      <c r="C8688" s="201"/>
      <c r="D8688" s="201"/>
      <c r="E8688" s="201"/>
      <c r="F8688" s="202"/>
      <c r="G8688" s="549"/>
      <c r="H8688" s="549"/>
      <c r="I8688" s="549"/>
      <c r="J8688" s="549"/>
      <c r="K8688" s="549"/>
      <c r="M8688" s="465"/>
      <c r="N8688" s="201"/>
    </row>
    <row r="8689" spans="2:14" hidden="1" outlineLevel="1" x14ac:dyDescent="0.35">
      <c r="B8689" s="200"/>
      <c r="C8689" s="201"/>
      <c r="D8689" s="201"/>
      <c r="E8689" s="201"/>
      <c r="F8689" s="202"/>
      <c r="G8689" s="549"/>
      <c r="H8689" s="549"/>
      <c r="I8689" s="549"/>
      <c r="J8689" s="549"/>
      <c r="K8689" s="549"/>
      <c r="M8689" s="465"/>
      <c r="N8689" s="201"/>
    </row>
    <row r="8690" spans="2:14" hidden="1" outlineLevel="1" x14ac:dyDescent="0.35">
      <c r="B8690" s="200"/>
      <c r="C8690" s="201"/>
      <c r="D8690" s="201"/>
      <c r="E8690" s="201"/>
      <c r="F8690" s="202"/>
      <c r="G8690" s="549"/>
      <c r="H8690" s="549"/>
      <c r="I8690" s="549"/>
      <c r="J8690" s="549"/>
      <c r="K8690" s="549"/>
      <c r="M8690" s="465"/>
      <c r="N8690" s="201"/>
    </row>
    <row r="8691" spans="2:14" hidden="1" outlineLevel="1" x14ac:dyDescent="0.35">
      <c r="B8691" s="200"/>
      <c r="C8691" s="201"/>
      <c r="D8691" s="201"/>
      <c r="E8691" s="201"/>
      <c r="F8691" s="202"/>
      <c r="G8691" s="549"/>
      <c r="H8691" s="549"/>
      <c r="I8691" s="549"/>
      <c r="J8691" s="549"/>
      <c r="K8691" s="549"/>
      <c r="M8691" s="465"/>
      <c r="N8691" s="201"/>
    </row>
    <row r="8692" spans="2:14" hidden="1" outlineLevel="1" x14ac:dyDescent="0.35">
      <c r="B8692" s="200"/>
      <c r="C8692" s="201"/>
      <c r="D8692" s="201"/>
      <c r="E8692" s="201"/>
      <c r="F8692" s="202"/>
      <c r="G8692" s="549"/>
      <c r="H8692" s="549"/>
      <c r="I8692" s="549"/>
      <c r="J8692" s="549"/>
      <c r="K8692" s="549"/>
      <c r="M8692" s="465"/>
      <c r="N8692" s="201"/>
    </row>
    <row r="8693" spans="2:14" hidden="1" outlineLevel="1" x14ac:dyDescent="0.35">
      <c r="B8693" s="200"/>
      <c r="C8693" s="201"/>
      <c r="D8693" s="201"/>
      <c r="E8693" s="201"/>
      <c r="F8693" s="202"/>
      <c r="G8693" s="549"/>
      <c r="H8693" s="549"/>
      <c r="I8693" s="549"/>
      <c r="J8693" s="549"/>
      <c r="K8693" s="549"/>
      <c r="M8693" s="465"/>
      <c r="N8693" s="201"/>
    </row>
    <row r="8694" spans="2:14" hidden="1" outlineLevel="1" x14ac:dyDescent="0.35">
      <c r="B8694" s="200"/>
      <c r="C8694" s="201"/>
      <c r="D8694" s="201"/>
      <c r="E8694" s="201"/>
      <c r="F8694" s="202"/>
      <c r="G8694" s="549"/>
      <c r="H8694" s="549"/>
      <c r="I8694" s="549"/>
      <c r="J8694" s="549"/>
      <c r="K8694" s="549"/>
      <c r="M8694" s="465"/>
      <c r="N8694" s="201"/>
    </row>
    <row r="8695" spans="2:14" hidden="1" outlineLevel="1" x14ac:dyDescent="0.35">
      <c r="B8695" s="200"/>
      <c r="C8695" s="201"/>
      <c r="D8695" s="201"/>
      <c r="E8695" s="201"/>
      <c r="F8695" s="202"/>
      <c r="G8695" s="549"/>
      <c r="H8695" s="549"/>
      <c r="I8695" s="549"/>
      <c r="J8695" s="549"/>
      <c r="K8695" s="549"/>
      <c r="M8695" s="465"/>
      <c r="N8695" s="201"/>
    </row>
    <row r="8696" spans="2:14" hidden="1" outlineLevel="1" x14ac:dyDescent="0.35">
      <c r="B8696" s="200"/>
      <c r="C8696" s="201"/>
      <c r="D8696" s="201"/>
      <c r="E8696" s="201"/>
      <c r="F8696" s="202"/>
      <c r="G8696" s="549"/>
      <c r="H8696" s="549"/>
      <c r="I8696" s="549"/>
      <c r="J8696" s="549"/>
      <c r="K8696" s="549"/>
      <c r="M8696" s="465"/>
      <c r="N8696" s="201"/>
    </row>
    <row r="8697" spans="2:14" hidden="1" outlineLevel="1" x14ac:dyDescent="0.35">
      <c r="B8697" s="200"/>
      <c r="C8697" s="201"/>
      <c r="D8697" s="201"/>
      <c r="E8697" s="201"/>
      <c r="F8697" s="202"/>
      <c r="G8697" s="549"/>
      <c r="H8697" s="549"/>
      <c r="I8697" s="549"/>
      <c r="J8697" s="549"/>
      <c r="K8697" s="549"/>
      <c r="M8697" s="465"/>
      <c r="N8697" s="201"/>
    </row>
    <row r="8698" spans="2:14" hidden="1" outlineLevel="1" x14ac:dyDescent="0.35">
      <c r="B8698" s="200"/>
      <c r="C8698" s="201"/>
      <c r="D8698" s="201"/>
      <c r="E8698" s="201"/>
      <c r="F8698" s="202"/>
      <c r="G8698" s="549"/>
      <c r="H8698" s="549"/>
      <c r="I8698" s="549"/>
      <c r="J8698" s="549"/>
      <c r="K8698" s="549"/>
      <c r="M8698" s="465"/>
      <c r="N8698" s="201"/>
    </row>
    <row r="8699" spans="2:14" hidden="1" outlineLevel="1" x14ac:dyDescent="0.35">
      <c r="B8699" s="200"/>
      <c r="C8699" s="201"/>
      <c r="D8699" s="201"/>
      <c r="E8699" s="201"/>
      <c r="F8699" s="202"/>
      <c r="G8699" s="549"/>
      <c r="H8699" s="549"/>
      <c r="I8699" s="549"/>
      <c r="J8699" s="549"/>
      <c r="K8699" s="549"/>
      <c r="M8699" s="465"/>
      <c r="N8699" s="201"/>
    </row>
    <row r="8700" spans="2:14" hidden="1" outlineLevel="1" x14ac:dyDescent="0.35">
      <c r="B8700" s="200"/>
      <c r="C8700" s="201"/>
      <c r="D8700" s="201"/>
      <c r="E8700" s="201"/>
      <c r="F8700" s="202"/>
      <c r="G8700" s="549"/>
      <c r="H8700" s="549"/>
      <c r="I8700" s="549"/>
      <c r="J8700" s="549"/>
      <c r="K8700" s="549"/>
      <c r="M8700" s="465"/>
      <c r="N8700" s="201"/>
    </row>
    <row r="8701" spans="2:14" hidden="1" outlineLevel="1" x14ac:dyDescent="0.35">
      <c r="B8701" s="200"/>
      <c r="C8701" s="201"/>
      <c r="D8701" s="201"/>
      <c r="E8701" s="201"/>
      <c r="F8701" s="202"/>
      <c r="G8701" s="549"/>
      <c r="H8701" s="549"/>
      <c r="I8701" s="549"/>
      <c r="J8701" s="549"/>
      <c r="K8701" s="549"/>
      <c r="M8701" s="465"/>
      <c r="N8701" s="201"/>
    </row>
    <row r="8702" spans="2:14" hidden="1" outlineLevel="1" x14ac:dyDescent="0.35">
      <c r="B8702" s="200"/>
      <c r="C8702" s="201"/>
      <c r="D8702" s="201"/>
      <c r="E8702" s="201"/>
      <c r="F8702" s="202"/>
      <c r="G8702" s="549"/>
      <c r="H8702" s="549"/>
      <c r="I8702" s="549"/>
      <c r="J8702" s="549"/>
      <c r="K8702" s="549"/>
      <c r="M8702" s="465"/>
      <c r="N8702" s="201"/>
    </row>
    <row r="8703" spans="2:14" hidden="1" outlineLevel="1" x14ac:dyDescent="0.35">
      <c r="B8703" s="200"/>
      <c r="C8703" s="201"/>
      <c r="D8703" s="201"/>
      <c r="E8703" s="201"/>
      <c r="F8703" s="202"/>
      <c r="G8703" s="549"/>
      <c r="H8703" s="549"/>
      <c r="I8703" s="549"/>
      <c r="J8703" s="549"/>
      <c r="K8703" s="549"/>
      <c r="M8703" s="465"/>
      <c r="N8703" s="201"/>
    </row>
    <row r="8704" spans="2:14" hidden="1" outlineLevel="1" x14ac:dyDescent="0.35">
      <c r="B8704" s="200"/>
      <c r="C8704" s="201"/>
      <c r="D8704" s="201"/>
      <c r="E8704" s="201"/>
      <c r="F8704" s="202"/>
      <c r="G8704" s="549"/>
      <c r="H8704" s="549"/>
      <c r="I8704" s="549"/>
      <c r="J8704" s="549"/>
      <c r="K8704" s="549"/>
      <c r="M8704" s="465"/>
      <c r="N8704" s="201"/>
    </row>
    <row r="8705" spans="2:14" hidden="1" outlineLevel="1" x14ac:dyDescent="0.35">
      <c r="B8705" s="200"/>
      <c r="C8705" s="201"/>
      <c r="D8705" s="201"/>
      <c r="E8705" s="201"/>
      <c r="F8705" s="202"/>
      <c r="G8705" s="549"/>
      <c r="H8705" s="549"/>
      <c r="I8705" s="549"/>
      <c r="J8705" s="549"/>
      <c r="K8705" s="549"/>
      <c r="M8705" s="465"/>
      <c r="N8705" s="201"/>
    </row>
    <row r="8706" spans="2:14" hidden="1" outlineLevel="1" x14ac:dyDescent="0.35">
      <c r="B8706" s="200"/>
      <c r="C8706" s="201"/>
      <c r="D8706" s="201"/>
      <c r="E8706" s="201"/>
      <c r="F8706" s="202"/>
      <c r="G8706" s="549"/>
      <c r="H8706" s="549"/>
      <c r="I8706" s="549"/>
      <c r="J8706" s="549"/>
      <c r="K8706" s="549"/>
      <c r="M8706" s="465"/>
      <c r="N8706" s="201"/>
    </row>
    <row r="8707" spans="2:14" hidden="1" outlineLevel="1" x14ac:dyDescent="0.35">
      <c r="B8707" s="200"/>
      <c r="C8707" s="201"/>
      <c r="D8707" s="201"/>
      <c r="E8707" s="201"/>
      <c r="F8707" s="202"/>
      <c r="G8707" s="549"/>
      <c r="H8707" s="549"/>
      <c r="I8707" s="549"/>
      <c r="J8707" s="549"/>
      <c r="K8707" s="549"/>
      <c r="M8707" s="465"/>
      <c r="N8707" s="201"/>
    </row>
    <row r="8708" spans="2:14" hidden="1" outlineLevel="1" x14ac:dyDescent="0.35">
      <c r="B8708" s="200"/>
      <c r="C8708" s="201"/>
      <c r="D8708" s="201"/>
      <c r="E8708" s="201"/>
      <c r="F8708" s="202"/>
      <c r="G8708" s="549"/>
      <c r="H8708" s="549"/>
      <c r="I8708" s="549"/>
      <c r="J8708" s="549"/>
      <c r="K8708" s="549"/>
      <c r="M8708" s="465"/>
      <c r="N8708" s="201"/>
    </row>
    <row r="8709" spans="2:14" hidden="1" outlineLevel="1" x14ac:dyDescent="0.35">
      <c r="B8709" s="200"/>
      <c r="C8709" s="201"/>
      <c r="D8709" s="201"/>
      <c r="E8709" s="201"/>
      <c r="F8709" s="202"/>
      <c r="G8709" s="549"/>
      <c r="H8709" s="549"/>
      <c r="I8709" s="549"/>
      <c r="J8709" s="549"/>
      <c r="K8709" s="549"/>
      <c r="M8709" s="465"/>
      <c r="N8709" s="201"/>
    </row>
    <row r="8710" spans="2:14" hidden="1" outlineLevel="1" x14ac:dyDescent="0.35">
      <c r="B8710" s="200"/>
      <c r="C8710" s="201"/>
      <c r="D8710" s="201"/>
      <c r="E8710" s="201"/>
      <c r="F8710" s="202"/>
      <c r="G8710" s="549"/>
      <c r="H8710" s="549"/>
      <c r="I8710" s="549"/>
      <c r="J8710" s="549"/>
      <c r="K8710" s="549"/>
      <c r="M8710" s="465"/>
      <c r="N8710" s="201"/>
    </row>
    <row r="8711" spans="2:14" hidden="1" outlineLevel="1" x14ac:dyDescent="0.35">
      <c r="B8711" s="200"/>
      <c r="C8711" s="201"/>
      <c r="D8711" s="201"/>
      <c r="E8711" s="201"/>
      <c r="F8711" s="202"/>
      <c r="G8711" s="549"/>
      <c r="H8711" s="549"/>
      <c r="I8711" s="549"/>
      <c r="J8711" s="549"/>
      <c r="K8711" s="549"/>
      <c r="M8711" s="465"/>
      <c r="N8711" s="201"/>
    </row>
    <row r="8712" spans="2:14" hidden="1" outlineLevel="1" x14ac:dyDescent="0.35">
      <c r="B8712" s="200"/>
      <c r="C8712" s="201"/>
      <c r="D8712" s="201"/>
      <c r="E8712" s="201"/>
      <c r="F8712" s="202"/>
      <c r="G8712" s="549"/>
      <c r="H8712" s="549"/>
      <c r="I8712" s="549"/>
      <c r="J8712" s="549"/>
      <c r="K8712" s="549"/>
      <c r="M8712" s="465"/>
      <c r="N8712" s="201"/>
    </row>
    <row r="8713" spans="2:14" hidden="1" outlineLevel="1" x14ac:dyDescent="0.35">
      <c r="B8713" s="200"/>
      <c r="C8713" s="201"/>
      <c r="D8713" s="201"/>
      <c r="E8713" s="201"/>
      <c r="F8713" s="202"/>
      <c r="G8713" s="549"/>
      <c r="H8713" s="549"/>
      <c r="I8713" s="549"/>
      <c r="J8713" s="549"/>
      <c r="K8713" s="549"/>
      <c r="M8713" s="465"/>
      <c r="N8713" s="201"/>
    </row>
    <row r="8714" spans="2:14" hidden="1" outlineLevel="1" x14ac:dyDescent="0.35">
      <c r="B8714" s="200"/>
      <c r="C8714" s="201"/>
      <c r="D8714" s="201"/>
      <c r="E8714" s="201"/>
      <c r="F8714" s="202"/>
      <c r="G8714" s="549"/>
      <c r="H8714" s="549"/>
      <c r="I8714" s="549"/>
      <c r="J8714" s="549"/>
      <c r="K8714" s="549"/>
      <c r="M8714" s="465"/>
      <c r="N8714" s="201"/>
    </row>
    <row r="8715" spans="2:14" hidden="1" outlineLevel="1" x14ac:dyDescent="0.35">
      <c r="B8715" s="200"/>
      <c r="C8715" s="201"/>
      <c r="D8715" s="201"/>
      <c r="E8715" s="201"/>
      <c r="F8715" s="202"/>
      <c r="G8715" s="549"/>
      <c r="H8715" s="549"/>
      <c r="I8715" s="549"/>
      <c r="J8715" s="549"/>
      <c r="K8715" s="549"/>
      <c r="M8715" s="465"/>
      <c r="N8715" s="201"/>
    </row>
    <row r="8716" spans="2:14" hidden="1" outlineLevel="1" x14ac:dyDescent="0.35">
      <c r="B8716" s="200"/>
      <c r="C8716" s="201"/>
      <c r="D8716" s="201"/>
      <c r="E8716" s="201"/>
      <c r="F8716" s="202"/>
      <c r="G8716" s="549"/>
      <c r="H8716" s="549"/>
      <c r="I8716" s="549"/>
      <c r="J8716" s="549"/>
      <c r="K8716" s="549"/>
      <c r="M8716" s="465"/>
      <c r="N8716" s="201"/>
    </row>
    <row r="8717" spans="2:14" hidden="1" outlineLevel="1" x14ac:dyDescent="0.35">
      <c r="B8717" s="200"/>
      <c r="C8717" s="201"/>
      <c r="D8717" s="201"/>
      <c r="E8717" s="201"/>
      <c r="F8717" s="202"/>
      <c r="G8717" s="549"/>
      <c r="H8717" s="549"/>
      <c r="I8717" s="549"/>
      <c r="J8717" s="549"/>
      <c r="K8717" s="549"/>
      <c r="M8717" s="465"/>
      <c r="N8717" s="201"/>
    </row>
    <row r="8718" spans="2:14" hidden="1" outlineLevel="1" x14ac:dyDescent="0.35">
      <c r="B8718" s="200"/>
      <c r="C8718" s="201"/>
      <c r="D8718" s="201"/>
      <c r="E8718" s="201"/>
      <c r="F8718" s="202"/>
      <c r="G8718" s="549"/>
      <c r="H8718" s="549"/>
      <c r="I8718" s="549"/>
      <c r="J8718" s="549"/>
      <c r="K8718" s="549"/>
      <c r="M8718" s="465"/>
      <c r="N8718" s="201"/>
    </row>
    <row r="8719" spans="2:14" hidden="1" outlineLevel="1" x14ac:dyDescent="0.35">
      <c r="B8719" s="200"/>
      <c r="C8719" s="201"/>
      <c r="D8719" s="201"/>
      <c r="E8719" s="201"/>
      <c r="F8719" s="202"/>
      <c r="G8719" s="549"/>
      <c r="H8719" s="549"/>
      <c r="I8719" s="549"/>
      <c r="J8719" s="549"/>
      <c r="K8719" s="549"/>
      <c r="M8719" s="465"/>
      <c r="N8719" s="201"/>
    </row>
    <row r="8720" spans="2:14" hidden="1" outlineLevel="1" x14ac:dyDescent="0.35">
      <c r="B8720" s="200"/>
      <c r="C8720" s="201"/>
      <c r="D8720" s="201"/>
      <c r="E8720" s="201"/>
      <c r="F8720" s="202"/>
      <c r="G8720" s="549"/>
      <c r="H8720" s="549"/>
      <c r="I8720" s="549"/>
      <c r="J8720" s="549"/>
      <c r="K8720" s="549"/>
      <c r="M8720" s="465"/>
      <c r="N8720" s="201"/>
    </row>
    <row r="8721" spans="2:14" hidden="1" outlineLevel="1" x14ac:dyDescent="0.35">
      <c r="B8721" s="200"/>
      <c r="C8721" s="201"/>
      <c r="D8721" s="201"/>
      <c r="E8721" s="201"/>
      <c r="F8721" s="202"/>
      <c r="G8721" s="549"/>
      <c r="H8721" s="549"/>
      <c r="I8721" s="549"/>
      <c r="J8721" s="549"/>
      <c r="K8721" s="549"/>
      <c r="M8721" s="465"/>
      <c r="N8721" s="201"/>
    </row>
    <row r="8722" spans="2:14" hidden="1" outlineLevel="1" x14ac:dyDescent="0.35">
      <c r="B8722" s="200"/>
      <c r="C8722" s="201"/>
      <c r="D8722" s="201"/>
      <c r="E8722" s="201"/>
      <c r="F8722" s="202"/>
      <c r="G8722" s="549"/>
      <c r="H8722" s="549"/>
      <c r="I8722" s="549"/>
      <c r="J8722" s="549"/>
      <c r="K8722" s="549"/>
      <c r="M8722" s="465"/>
      <c r="N8722" s="201"/>
    </row>
    <row r="8723" spans="2:14" hidden="1" outlineLevel="1" x14ac:dyDescent="0.35">
      <c r="B8723" s="200"/>
      <c r="C8723" s="201"/>
      <c r="D8723" s="201"/>
      <c r="E8723" s="201"/>
      <c r="F8723" s="202"/>
      <c r="G8723" s="549"/>
      <c r="H8723" s="549"/>
      <c r="I8723" s="549"/>
      <c r="J8723" s="549"/>
      <c r="K8723" s="549"/>
      <c r="M8723" s="465"/>
      <c r="N8723" s="201"/>
    </row>
    <row r="8724" spans="2:14" hidden="1" outlineLevel="1" x14ac:dyDescent="0.35">
      <c r="B8724" s="200"/>
      <c r="C8724" s="201"/>
      <c r="D8724" s="201"/>
      <c r="E8724" s="201"/>
      <c r="F8724" s="202"/>
      <c r="G8724" s="549"/>
      <c r="H8724" s="549"/>
      <c r="I8724" s="549"/>
      <c r="J8724" s="549"/>
      <c r="K8724" s="549"/>
      <c r="M8724" s="465"/>
      <c r="N8724" s="201"/>
    </row>
    <row r="8725" spans="2:14" hidden="1" outlineLevel="1" x14ac:dyDescent="0.35">
      <c r="B8725" s="200"/>
      <c r="C8725" s="201"/>
      <c r="D8725" s="201"/>
      <c r="E8725" s="201"/>
      <c r="F8725" s="202"/>
      <c r="G8725" s="549"/>
      <c r="H8725" s="549"/>
      <c r="I8725" s="549"/>
      <c r="J8725" s="549"/>
      <c r="K8725" s="549"/>
      <c r="M8725" s="465"/>
      <c r="N8725" s="201"/>
    </row>
    <row r="8726" spans="2:14" hidden="1" outlineLevel="1" x14ac:dyDescent="0.35">
      <c r="B8726" s="200"/>
      <c r="C8726" s="201"/>
      <c r="D8726" s="201"/>
      <c r="E8726" s="201"/>
      <c r="F8726" s="202"/>
      <c r="G8726" s="549"/>
      <c r="H8726" s="549"/>
      <c r="I8726" s="549"/>
      <c r="J8726" s="549"/>
      <c r="K8726" s="549"/>
      <c r="M8726" s="465"/>
      <c r="N8726" s="201"/>
    </row>
    <row r="8727" spans="2:14" hidden="1" outlineLevel="1" x14ac:dyDescent="0.35">
      <c r="B8727" s="200"/>
      <c r="C8727" s="201"/>
      <c r="D8727" s="201"/>
      <c r="E8727" s="201"/>
      <c r="F8727" s="202"/>
      <c r="G8727" s="549"/>
      <c r="H8727" s="549"/>
      <c r="I8727" s="549"/>
      <c r="J8727" s="549"/>
      <c r="K8727" s="549"/>
      <c r="M8727" s="465"/>
      <c r="N8727" s="201"/>
    </row>
    <row r="8728" spans="2:14" hidden="1" outlineLevel="1" x14ac:dyDescent="0.35">
      <c r="B8728" s="200"/>
      <c r="C8728" s="201"/>
      <c r="D8728" s="201"/>
      <c r="E8728" s="201"/>
      <c r="F8728" s="202"/>
      <c r="G8728" s="549"/>
      <c r="H8728" s="549"/>
      <c r="I8728" s="549"/>
      <c r="J8728" s="549"/>
      <c r="K8728" s="549"/>
      <c r="M8728" s="465"/>
      <c r="N8728" s="201"/>
    </row>
    <row r="8729" spans="2:14" hidden="1" outlineLevel="1" x14ac:dyDescent="0.35">
      <c r="B8729" s="200"/>
      <c r="C8729" s="201"/>
      <c r="D8729" s="201"/>
      <c r="E8729" s="201"/>
      <c r="F8729" s="202"/>
      <c r="G8729" s="549"/>
      <c r="H8729" s="549"/>
      <c r="I8729" s="549"/>
      <c r="J8729" s="549"/>
      <c r="K8729" s="549"/>
      <c r="M8729" s="465"/>
      <c r="N8729" s="201"/>
    </row>
    <row r="8730" spans="2:14" hidden="1" outlineLevel="1" x14ac:dyDescent="0.35">
      <c r="B8730" s="200"/>
      <c r="C8730" s="201"/>
      <c r="D8730" s="201"/>
      <c r="E8730" s="201"/>
      <c r="F8730" s="202"/>
      <c r="G8730" s="549"/>
      <c r="H8730" s="549"/>
      <c r="I8730" s="549"/>
      <c r="J8730" s="549"/>
      <c r="K8730" s="549"/>
      <c r="M8730" s="465"/>
      <c r="N8730" s="201"/>
    </row>
    <row r="8731" spans="2:14" hidden="1" outlineLevel="1" x14ac:dyDescent="0.35">
      <c r="B8731" s="200"/>
      <c r="C8731" s="201"/>
      <c r="D8731" s="201"/>
      <c r="E8731" s="201"/>
      <c r="F8731" s="202"/>
      <c r="G8731" s="549"/>
      <c r="H8731" s="549"/>
      <c r="I8731" s="549"/>
      <c r="J8731" s="549"/>
      <c r="K8731" s="549"/>
      <c r="M8731" s="465"/>
      <c r="N8731" s="201"/>
    </row>
    <row r="8732" spans="2:14" hidden="1" outlineLevel="1" x14ac:dyDescent="0.35">
      <c r="B8732" s="200"/>
      <c r="C8732" s="201"/>
      <c r="D8732" s="201"/>
      <c r="E8732" s="201"/>
      <c r="F8732" s="202"/>
      <c r="G8732" s="549"/>
      <c r="H8732" s="549"/>
      <c r="I8732" s="549"/>
      <c r="J8732" s="549"/>
      <c r="K8732" s="549"/>
      <c r="M8732" s="465"/>
      <c r="N8732" s="201"/>
    </row>
    <row r="8733" spans="2:14" hidden="1" outlineLevel="1" x14ac:dyDescent="0.35">
      <c r="B8733" s="200"/>
      <c r="C8733" s="201"/>
      <c r="D8733" s="201"/>
      <c r="E8733" s="201"/>
      <c r="F8733" s="202"/>
      <c r="G8733" s="549"/>
      <c r="H8733" s="549"/>
      <c r="I8733" s="549"/>
      <c r="J8733" s="549"/>
      <c r="K8733" s="549"/>
      <c r="M8733" s="465"/>
      <c r="N8733" s="201"/>
    </row>
    <row r="8734" spans="2:14" hidden="1" outlineLevel="1" x14ac:dyDescent="0.35">
      <c r="B8734" s="200"/>
      <c r="C8734" s="201"/>
      <c r="D8734" s="201"/>
      <c r="E8734" s="201"/>
      <c r="F8734" s="202"/>
      <c r="G8734" s="549"/>
      <c r="H8734" s="549"/>
      <c r="I8734" s="549"/>
      <c r="J8734" s="549"/>
      <c r="K8734" s="549"/>
      <c r="M8734" s="465"/>
      <c r="N8734" s="201"/>
    </row>
    <row r="8735" spans="2:14" hidden="1" outlineLevel="1" x14ac:dyDescent="0.35">
      <c r="B8735" s="200"/>
      <c r="C8735" s="201"/>
      <c r="D8735" s="201"/>
      <c r="E8735" s="201"/>
      <c r="F8735" s="202"/>
      <c r="G8735" s="549"/>
      <c r="H8735" s="549"/>
      <c r="I8735" s="549"/>
      <c r="J8735" s="549"/>
      <c r="K8735" s="549"/>
      <c r="M8735" s="465"/>
      <c r="N8735" s="201"/>
    </row>
    <row r="8736" spans="2:14" hidden="1" outlineLevel="1" x14ac:dyDescent="0.35">
      <c r="B8736" s="200"/>
      <c r="C8736" s="201"/>
      <c r="D8736" s="201"/>
      <c r="E8736" s="201"/>
      <c r="F8736" s="202"/>
      <c r="G8736" s="549"/>
      <c r="H8736" s="549"/>
      <c r="I8736" s="549"/>
      <c r="J8736" s="549"/>
      <c r="K8736" s="549"/>
      <c r="M8736" s="465"/>
      <c r="N8736" s="201"/>
    </row>
    <row r="8737" spans="2:14" hidden="1" outlineLevel="1" x14ac:dyDescent="0.35">
      <c r="B8737" s="200"/>
      <c r="C8737" s="201"/>
      <c r="D8737" s="201"/>
      <c r="E8737" s="201"/>
      <c r="F8737" s="202"/>
      <c r="G8737" s="549"/>
      <c r="H8737" s="549"/>
      <c r="I8737" s="549"/>
      <c r="J8737" s="549"/>
      <c r="K8737" s="549"/>
      <c r="M8737" s="465"/>
      <c r="N8737" s="201"/>
    </row>
    <row r="8738" spans="2:14" hidden="1" outlineLevel="1" x14ac:dyDescent="0.35">
      <c r="B8738" s="200"/>
      <c r="C8738" s="201"/>
      <c r="D8738" s="201"/>
      <c r="E8738" s="201"/>
      <c r="F8738" s="202"/>
      <c r="G8738" s="549"/>
      <c r="H8738" s="549"/>
      <c r="I8738" s="549"/>
      <c r="J8738" s="549"/>
      <c r="K8738" s="549"/>
      <c r="M8738" s="465"/>
      <c r="N8738" s="201"/>
    </row>
    <row r="8739" spans="2:14" hidden="1" outlineLevel="1" x14ac:dyDescent="0.35">
      <c r="B8739" s="200"/>
      <c r="C8739" s="201"/>
      <c r="D8739" s="201"/>
      <c r="E8739" s="201"/>
      <c r="F8739" s="202"/>
      <c r="G8739" s="549"/>
      <c r="H8739" s="549"/>
      <c r="I8739" s="549"/>
      <c r="J8739" s="549"/>
      <c r="K8739" s="549"/>
      <c r="M8739" s="465"/>
      <c r="N8739" s="201"/>
    </row>
    <row r="8740" spans="2:14" hidden="1" outlineLevel="1" x14ac:dyDescent="0.35">
      <c r="B8740" s="200"/>
      <c r="C8740" s="201"/>
      <c r="D8740" s="201"/>
      <c r="E8740" s="201"/>
      <c r="F8740" s="202"/>
      <c r="G8740" s="549"/>
      <c r="H8740" s="549"/>
      <c r="I8740" s="549"/>
      <c r="J8740" s="549"/>
      <c r="K8740" s="549"/>
      <c r="M8740" s="465"/>
      <c r="N8740" s="201"/>
    </row>
    <row r="8741" spans="2:14" hidden="1" outlineLevel="1" x14ac:dyDescent="0.35">
      <c r="B8741" s="200"/>
      <c r="C8741" s="201"/>
      <c r="D8741" s="201"/>
      <c r="E8741" s="201"/>
      <c r="F8741" s="202"/>
      <c r="G8741" s="549"/>
      <c r="H8741" s="549"/>
      <c r="I8741" s="549"/>
      <c r="J8741" s="549"/>
      <c r="K8741" s="549"/>
      <c r="M8741" s="465"/>
      <c r="N8741" s="201"/>
    </row>
    <row r="8742" spans="2:14" hidden="1" outlineLevel="1" x14ac:dyDescent="0.35">
      <c r="B8742" s="200"/>
      <c r="C8742" s="201"/>
      <c r="D8742" s="201"/>
      <c r="E8742" s="201"/>
      <c r="F8742" s="202"/>
      <c r="G8742" s="549"/>
      <c r="H8742" s="549"/>
      <c r="I8742" s="549"/>
      <c r="J8742" s="549"/>
      <c r="K8742" s="549"/>
      <c r="M8742" s="465"/>
      <c r="N8742" s="201"/>
    </row>
    <row r="8743" spans="2:14" hidden="1" outlineLevel="1" x14ac:dyDescent="0.35">
      <c r="B8743" s="200"/>
      <c r="C8743" s="201"/>
      <c r="D8743" s="201"/>
      <c r="E8743" s="201"/>
      <c r="F8743" s="202"/>
      <c r="G8743" s="549"/>
      <c r="H8743" s="549"/>
      <c r="I8743" s="549"/>
      <c r="J8743" s="549"/>
      <c r="K8743" s="549"/>
      <c r="M8743" s="465"/>
      <c r="N8743" s="201"/>
    </row>
    <row r="8744" spans="2:14" hidden="1" outlineLevel="1" x14ac:dyDescent="0.35">
      <c r="B8744" s="200"/>
      <c r="C8744" s="201"/>
      <c r="D8744" s="201"/>
      <c r="E8744" s="201"/>
      <c r="F8744" s="202"/>
      <c r="G8744" s="549"/>
      <c r="H8744" s="549"/>
      <c r="I8744" s="549"/>
      <c r="J8744" s="549"/>
      <c r="K8744" s="549"/>
      <c r="M8744" s="465"/>
      <c r="N8744" s="201"/>
    </row>
    <row r="8745" spans="2:14" hidden="1" outlineLevel="1" x14ac:dyDescent="0.35">
      <c r="B8745" s="200"/>
      <c r="C8745" s="201"/>
      <c r="D8745" s="201"/>
      <c r="E8745" s="201"/>
      <c r="F8745" s="202"/>
      <c r="G8745" s="549"/>
      <c r="H8745" s="549"/>
      <c r="I8745" s="549"/>
      <c r="J8745" s="549"/>
      <c r="K8745" s="549"/>
      <c r="M8745" s="465"/>
      <c r="N8745" s="201"/>
    </row>
    <row r="8746" spans="2:14" hidden="1" outlineLevel="1" x14ac:dyDescent="0.35">
      <c r="B8746" s="200"/>
      <c r="C8746" s="201"/>
      <c r="D8746" s="201"/>
      <c r="E8746" s="201"/>
      <c r="F8746" s="202"/>
      <c r="G8746" s="549"/>
      <c r="H8746" s="549"/>
      <c r="I8746" s="549"/>
      <c r="J8746" s="549"/>
      <c r="K8746" s="549"/>
      <c r="M8746" s="465"/>
      <c r="N8746" s="201"/>
    </row>
    <row r="8747" spans="2:14" hidden="1" outlineLevel="1" x14ac:dyDescent="0.35">
      <c r="B8747" s="200"/>
      <c r="C8747" s="201"/>
      <c r="D8747" s="201"/>
      <c r="E8747" s="201"/>
      <c r="F8747" s="202"/>
      <c r="G8747" s="549"/>
      <c r="H8747" s="549"/>
      <c r="I8747" s="549"/>
      <c r="J8747" s="549"/>
      <c r="K8747" s="549"/>
      <c r="M8747" s="465"/>
      <c r="N8747" s="201"/>
    </row>
    <row r="8748" spans="2:14" hidden="1" outlineLevel="1" x14ac:dyDescent="0.35">
      <c r="B8748" s="200"/>
      <c r="C8748" s="201"/>
      <c r="D8748" s="201"/>
      <c r="E8748" s="201"/>
      <c r="F8748" s="202"/>
      <c r="G8748" s="549"/>
      <c r="H8748" s="549"/>
      <c r="I8748" s="549"/>
      <c r="J8748" s="549"/>
      <c r="K8748" s="549"/>
      <c r="M8748" s="465"/>
      <c r="N8748" s="201"/>
    </row>
    <row r="8749" spans="2:14" hidden="1" outlineLevel="1" x14ac:dyDescent="0.35">
      <c r="B8749" s="200"/>
      <c r="C8749" s="201"/>
      <c r="D8749" s="201"/>
      <c r="E8749" s="201"/>
      <c r="F8749" s="202"/>
      <c r="G8749" s="549"/>
      <c r="H8749" s="549"/>
      <c r="I8749" s="549"/>
      <c r="J8749" s="549"/>
      <c r="K8749" s="549"/>
      <c r="M8749" s="465"/>
      <c r="N8749" s="201"/>
    </row>
    <row r="8750" spans="2:14" hidden="1" outlineLevel="1" x14ac:dyDescent="0.35">
      <c r="B8750" s="200"/>
      <c r="C8750" s="201"/>
      <c r="D8750" s="201"/>
      <c r="E8750" s="201"/>
      <c r="F8750" s="202"/>
      <c r="G8750" s="549"/>
      <c r="H8750" s="549"/>
      <c r="I8750" s="549"/>
      <c r="J8750" s="549"/>
      <c r="K8750" s="549"/>
      <c r="M8750" s="465"/>
      <c r="N8750" s="201"/>
    </row>
    <row r="8751" spans="2:14" hidden="1" outlineLevel="1" x14ac:dyDescent="0.35">
      <c r="B8751" s="200"/>
      <c r="C8751" s="201"/>
      <c r="D8751" s="201"/>
      <c r="E8751" s="201"/>
      <c r="F8751" s="202"/>
      <c r="G8751" s="549"/>
      <c r="H8751" s="549"/>
      <c r="I8751" s="549"/>
      <c r="J8751" s="549"/>
      <c r="K8751" s="549"/>
      <c r="M8751" s="465"/>
      <c r="N8751" s="201"/>
    </row>
    <row r="8752" spans="2:14" hidden="1" outlineLevel="1" x14ac:dyDescent="0.35">
      <c r="B8752" s="200"/>
      <c r="C8752" s="201"/>
      <c r="D8752" s="201"/>
      <c r="E8752" s="201"/>
      <c r="F8752" s="202"/>
      <c r="G8752" s="549"/>
      <c r="H8752" s="549"/>
      <c r="I8752" s="549"/>
      <c r="J8752" s="549"/>
      <c r="K8752" s="549"/>
      <c r="M8752" s="465"/>
      <c r="N8752" s="201"/>
    </row>
    <row r="8753" spans="2:14" hidden="1" outlineLevel="1" x14ac:dyDescent="0.35">
      <c r="B8753" s="200"/>
      <c r="C8753" s="201"/>
      <c r="D8753" s="201"/>
      <c r="E8753" s="201"/>
      <c r="F8753" s="202"/>
      <c r="G8753" s="549"/>
      <c r="H8753" s="549"/>
      <c r="I8753" s="549"/>
      <c r="J8753" s="549"/>
      <c r="K8753" s="549"/>
      <c r="M8753" s="465"/>
      <c r="N8753" s="201"/>
    </row>
    <row r="8754" spans="2:14" hidden="1" outlineLevel="1" x14ac:dyDescent="0.35">
      <c r="B8754" s="200"/>
      <c r="C8754" s="201"/>
      <c r="D8754" s="201"/>
      <c r="E8754" s="201"/>
      <c r="F8754" s="202"/>
      <c r="G8754" s="549"/>
      <c r="H8754" s="549"/>
      <c r="I8754" s="549"/>
      <c r="J8754" s="549"/>
      <c r="K8754" s="549"/>
      <c r="M8754" s="465"/>
      <c r="N8754" s="201"/>
    </row>
    <row r="8755" spans="2:14" hidden="1" outlineLevel="1" x14ac:dyDescent="0.35">
      <c r="B8755" s="200"/>
      <c r="C8755" s="201"/>
      <c r="D8755" s="201"/>
      <c r="E8755" s="201"/>
      <c r="F8755" s="202"/>
      <c r="G8755" s="549"/>
      <c r="H8755" s="549"/>
      <c r="I8755" s="549"/>
      <c r="J8755" s="549"/>
      <c r="K8755" s="549"/>
      <c r="M8755" s="465"/>
      <c r="N8755" s="201"/>
    </row>
    <row r="8756" spans="2:14" hidden="1" outlineLevel="1" x14ac:dyDescent="0.35">
      <c r="B8756" s="200"/>
      <c r="C8756" s="201"/>
      <c r="D8756" s="201"/>
      <c r="E8756" s="201"/>
      <c r="F8756" s="202"/>
      <c r="G8756" s="549"/>
      <c r="H8756" s="549"/>
      <c r="I8756" s="549"/>
      <c r="J8756" s="549"/>
      <c r="K8756" s="549"/>
      <c r="M8756" s="465"/>
      <c r="N8756" s="201"/>
    </row>
    <row r="8757" spans="2:14" hidden="1" outlineLevel="1" x14ac:dyDescent="0.35">
      <c r="B8757" s="200"/>
      <c r="C8757" s="201"/>
      <c r="D8757" s="201"/>
      <c r="E8757" s="201"/>
      <c r="F8757" s="202"/>
      <c r="G8757" s="549"/>
      <c r="H8757" s="549"/>
      <c r="I8757" s="549"/>
      <c r="J8757" s="549"/>
      <c r="K8757" s="549"/>
      <c r="M8757" s="465"/>
      <c r="N8757" s="201"/>
    </row>
    <row r="8758" spans="2:14" hidden="1" outlineLevel="1" x14ac:dyDescent="0.35">
      <c r="B8758" s="200"/>
      <c r="C8758" s="201"/>
      <c r="D8758" s="201"/>
      <c r="E8758" s="201"/>
      <c r="F8758" s="202"/>
      <c r="G8758" s="549"/>
      <c r="H8758" s="549"/>
      <c r="I8758" s="549"/>
      <c r="J8758" s="549"/>
      <c r="K8758" s="549"/>
      <c r="M8758" s="465"/>
      <c r="N8758" s="201"/>
    </row>
    <row r="8759" spans="2:14" hidden="1" outlineLevel="1" x14ac:dyDescent="0.35">
      <c r="B8759" s="200"/>
      <c r="C8759" s="201"/>
      <c r="D8759" s="201"/>
      <c r="E8759" s="201"/>
      <c r="F8759" s="202"/>
      <c r="G8759" s="549"/>
      <c r="H8759" s="549"/>
      <c r="I8759" s="549"/>
      <c r="J8759" s="549"/>
      <c r="K8759" s="549"/>
      <c r="M8759" s="465"/>
      <c r="N8759" s="201"/>
    </row>
    <row r="8760" spans="2:14" hidden="1" outlineLevel="1" x14ac:dyDescent="0.35">
      <c r="B8760" s="200"/>
      <c r="C8760" s="201"/>
      <c r="D8760" s="201"/>
      <c r="E8760" s="201"/>
      <c r="F8760" s="202"/>
      <c r="G8760" s="549"/>
      <c r="H8760" s="549"/>
      <c r="I8760" s="549"/>
      <c r="J8760" s="549"/>
      <c r="K8760" s="549"/>
      <c r="M8760" s="465"/>
      <c r="N8760" s="201"/>
    </row>
    <row r="8761" spans="2:14" hidden="1" outlineLevel="1" x14ac:dyDescent="0.35">
      <c r="B8761" s="200"/>
      <c r="C8761" s="201"/>
      <c r="D8761" s="201"/>
      <c r="E8761" s="201"/>
      <c r="F8761" s="202"/>
      <c r="G8761" s="549"/>
      <c r="H8761" s="549"/>
      <c r="I8761" s="549"/>
      <c r="J8761" s="549"/>
      <c r="K8761" s="549"/>
      <c r="M8761" s="465"/>
      <c r="N8761" s="201"/>
    </row>
    <row r="8762" spans="2:14" hidden="1" outlineLevel="1" x14ac:dyDescent="0.35">
      <c r="B8762" s="200"/>
      <c r="C8762" s="201"/>
      <c r="D8762" s="201"/>
      <c r="E8762" s="201"/>
      <c r="F8762" s="202"/>
      <c r="G8762" s="549"/>
      <c r="H8762" s="549"/>
      <c r="I8762" s="549"/>
      <c r="J8762" s="549"/>
      <c r="K8762" s="549"/>
      <c r="M8762" s="465"/>
      <c r="N8762" s="201"/>
    </row>
    <row r="8763" spans="2:14" hidden="1" outlineLevel="1" x14ac:dyDescent="0.35">
      <c r="B8763" s="200"/>
      <c r="C8763" s="201"/>
      <c r="D8763" s="201"/>
      <c r="E8763" s="201"/>
      <c r="F8763" s="202"/>
      <c r="G8763" s="549"/>
      <c r="H8763" s="549"/>
      <c r="I8763" s="549"/>
      <c r="J8763" s="549"/>
      <c r="K8763" s="549"/>
      <c r="M8763" s="465"/>
      <c r="N8763" s="201"/>
    </row>
    <row r="8764" spans="2:14" hidden="1" outlineLevel="1" x14ac:dyDescent="0.35">
      <c r="B8764" s="200"/>
      <c r="C8764" s="201"/>
      <c r="D8764" s="201"/>
      <c r="E8764" s="201"/>
      <c r="F8764" s="202"/>
      <c r="G8764" s="549"/>
      <c r="H8764" s="549"/>
      <c r="I8764" s="549"/>
      <c r="J8764" s="549"/>
      <c r="K8764" s="549"/>
      <c r="M8764" s="465"/>
      <c r="N8764" s="201"/>
    </row>
    <row r="8765" spans="2:14" hidden="1" outlineLevel="1" x14ac:dyDescent="0.35">
      <c r="B8765" s="200"/>
      <c r="C8765" s="201"/>
      <c r="D8765" s="201"/>
      <c r="E8765" s="201"/>
      <c r="F8765" s="202"/>
      <c r="G8765" s="549"/>
      <c r="H8765" s="549"/>
      <c r="I8765" s="549"/>
      <c r="J8765" s="549"/>
      <c r="K8765" s="549"/>
      <c r="M8765" s="465"/>
      <c r="N8765" s="201"/>
    </row>
    <row r="8766" spans="2:14" hidden="1" outlineLevel="1" x14ac:dyDescent="0.35">
      <c r="B8766" s="200"/>
      <c r="C8766" s="201"/>
      <c r="D8766" s="201"/>
      <c r="E8766" s="201"/>
      <c r="F8766" s="202"/>
      <c r="G8766" s="549"/>
      <c r="H8766" s="549"/>
      <c r="I8766" s="549"/>
      <c r="J8766" s="549"/>
      <c r="K8766" s="549"/>
      <c r="M8766" s="465"/>
      <c r="N8766" s="201"/>
    </row>
    <row r="8767" spans="2:14" hidden="1" outlineLevel="1" x14ac:dyDescent="0.35">
      <c r="B8767" s="200"/>
      <c r="C8767" s="201"/>
      <c r="D8767" s="201"/>
      <c r="E8767" s="201"/>
      <c r="F8767" s="202"/>
      <c r="G8767" s="549"/>
      <c r="H8767" s="549"/>
      <c r="I8767" s="549"/>
      <c r="J8767" s="549"/>
      <c r="K8767" s="549"/>
      <c r="M8767" s="465"/>
      <c r="N8767" s="201"/>
    </row>
    <row r="8768" spans="2:14" hidden="1" outlineLevel="1" x14ac:dyDescent="0.35">
      <c r="B8768" s="200"/>
      <c r="C8768" s="201"/>
      <c r="D8768" s="201"/>
      <c r="E8768" s="201"/>
      <c r="F8768" s="202"/>
      <c r="G8768" s="549"/>
      <c r="H8768" s="549"/>
      <c r="I8768" s="549"/>
      <c r="J8768" s="549"/>
      <c r="K8768" s="549"/>
      <c r="M8768" s="465"/>
      <c r="N8768" s="201"/>
    </row>
    <row r="8769" spans="2:14" hidden="1" outlineLevel="1" x14ac:dyDescent="0.35">
      <c r="B8769" s="200"/>
      <c r="C8769" s="201"/>
      <c r="D8769" s="201"/>
      <c r="E8769" s="201"/>
      <c r="F8769" s="202"/>
      <c r="G8769" s="549"/>
      <c r="H8769" s="549"/>
      <c r="I8769" s="549"/>
      <c r="J8769" s="549"/>
      <c r="K8769" s="549"/>
      <c r="M8769" s="465"/>
      <c r="N8769" s="201"/>
    </row>
    <row r="8770" spans="2:14" hidden="1" outlineLevel="1" x14ac:dyDescent="0.35">
      <c r="B8770" s="200"/>
      <c r="C8770" s="201"/>
      <c r="D8770" s="201"/>
      <c r="E8770" s="201"/>
      <c r="F8770" s="202"/>
      <c r="G8770" s="549"/>
      <c r="H8770" s="549"/>
      <c r="I8770" s="549"/>
      <c r="J8770" s="549"/>
      <c r="K8770" s="549"/>
      <c r="M8770" s="465"/>
      <c r="N8770" s="201"/>
    </row>
    <row r="8771" spans="2:14" hidden="1" outlineLevel="1" x14ac:dyDescent="0.35">
      <c r="B8771" s="200"/>
      <c r="C8771" s="201"/>
      <c r="D8771" s="201"/>
      <c r="E8771" s="201"/>
      <c r="F8771" s="202"/>
      <c r="G8771" s="549"/>
      <c r="H8771" s="549"/>
      <c r="I8771" s="549"/>
      <c r="J8771" s="549"/>
      <c r="K8771" s="549"/>
      <c r="M8771" s="465"/>
      <c r="N8771" s="201"/>
    </row>
    <row r="8772" spans="2:14" hidden="1" outlineLevel="1" x14ac:dyDescent="0.35">
      <c r="B8772" s="200"/>
      <c r="C8772" s="201"/>
      <c r="D8772" s="201"/>
      <c r="E8772" s="201"/>
      <c r="F8772" s="202"/>
      <c r="G8772" s="549"/>
      <c r="H8772" s="549"/>
      <c r="I8772" s="549"/>
      <c r="J8772" s="549"/>
      <c r="K8772" s="549"/>
      <c r="M8772" s="465"/>
      <c r="N8772" s="201"/>
    </row>
    <row r="8773" spans="2:14" hidden="1" outlineLevel="1" x14ac:dyDescent="0.35">
      <c r="B8773" s="200"/>
      <c r="C8773" s="201"/>
      <c r="D8773" s="201"/>
      <c r="E8773" s="201"/>
      <c r="F8773" s="202"/>
      <c r="G8773" s="549"/>
      <c r="H8773" s="549"/>
      <c r="I8773" s="549"/>
      <c r="J8773" s="549"/>
      <c r="K8773" s="549"/>
      <c r="M8773" s="465"/>
      <c r="N8773" s="201"/>
    </row>
    <row r="8774" spans="2:14" hidden="1" outlineLevel="1" x14ac:dyDescent="0.35">
      <c r="B8774" s="200"/>
      <c r="C8774" s="201"/>
      <c r="D8774" s="201"/>
      <c r="E8774" s="201"/>
      <c r="F8774" s="202"/>
      <c r="G8774" s="549"/>
      <c r="H8774" s="549"/>
      <c r="I8774" s="549"/>
      <c r="J8774" s="549"/>
      <c r="K8774" s="549"/>
      <c r="M8774" s="465"/>
      <c r="N8774" s="201"/>
    </row>
    <row r="8775" spans="2:14" hidden="1" outlineLevel="1" x14ac:dyDescent="0.35">
      <c r="B8775" s="200"/>
      <c r="C8775" s="201"/>
      <c r="D8775" s="201"/>
      <c r="E8775" s="201"/>
      <c r="F8775" s="202"/>
      <c r="G8775" s="549"/>
      <c r="H8775" s="549"/>
      <c r="I8775" s="549"/>
      <c r="J8775" s="549"/>
      <c r="K8775" s="549"/>
      <c r="M8775" s="465"/>
      <c r="N8775" s="201"/>
    </row>
    <row r="8776" spans="2:14" hidden="1" outlineLevel="1" x14ac:dyDescent="0.35">
      <c r="B8776" s="200"/>
      <c r="C8776" s="201"/>
      <c r="D8776" s="201"/>
      <c r="E8776" s="201"/>
      <c r="F8776" s="202"/>
      <c r="G8776" s="549"/>
      <c r="H8776" s="549"/>
      <c r="I8776" s="549"/>
      <c r="J8776" s="549"/>
      <c r="K8776" s="549"/>
      <c r="M8776" s="465"/>
      <c r="N8776" s="201"/>
    </row>
    <row r="8777" spans="2:14" hidden="1" outlineLevel="1" x14ac:dyDescent="0.35">
      <c r="B8777" s="200"/>
      <c r="C8777" s="201"/>
      <c r="D8777" s="201"/>
      <c r="E8777" s="201"/>
      <c r="F8777" s="202"/>
      <c r="G8777" s="549"/>
      <c r="H8777" s="549"/>
      <c r="I8777" s="549"/>
      <c r="J8777" s="549"/>
      <c r="K8777" s="549"/>
      <c r="M8777" s="465"/>
      <c r="N8777" s="201"/>
    </row>
    <row r="8778" spans="2:14" hidden="1" outlineLevel="1" x14ac:dyDescent="0.35">
      <c r="B8778" s="200"/>
      <c r="C8778" s="201"/>
      <c r="D8778" s="201"/>
      <c r="E8778" s="201"/>
      <c r="F8778" s="202"/>
      <c r="G8778" s="549"/>
      <c r="H8778" s="549"/>
      <c r="I8778" s="549"/>
      <c r="J8778" s="549"/>
      <c r="K8778" s="549"/>
      <c r="M8778" s="465"/>
      <c r="N8778" s="201"/>
    </row>
    <row r="8779" spans="2:14" hidden="1" outlineLevel="1" x14ac:dyDescent="0.35">
      <c r="B8779" s="200"/>
      <c r="C8779" s="201"/>
      <c r="D8779" s="201"/>
      <c r="E8779" s="201"/>
      <c r="F8779" s="202"/>
      <c r="G8779" s="549"/>
      <c r="H8779" s="549"/>
      <c r="I8779" s="549"/>
      <c r="J8779" s="549"/>
      <c r="K8779" s="549"/>
      <c r="M8779" s="465"/>
      <c r="N8779" s="201"/>
    </row>
    <row r="8780" spans="2:14" hidden="1" outlineLevel="1" x14ac:dyDescent="0.35">
      <c r="B8780" s="200"/>
      <c r="C8780" s="201"/>
      <c r="D8780" s="201"/>
      <c r="E8780" s="201"/>
      <c r="F8780" s="202"/>
      <c r="G8780" s="549"/>
      <c r="H8780" s="549"/>
      <c r="I8780" s="549"/>
      <c r="J8780" s="549"/>
      <c r="K8780" s="549"/>
      <c r="M8780" s="465"/>
      <c r="N8780" s="201"/>
    </row>
    <row r="8781" spans="2:14" hidden="1" outlineLevel="1" x14ac:dyDescent="0.35">
      <c r="B8781" s="200"/>
      <c r="C8781" s="201"/>
      <c r="D8781" s="201"/>
      <c r="E8781" s="201"/>
      <c r="F8781" s="202"/>
      <c r="G8781" s="549"/>
      <c r="H8781" s="549"/>
      <c r="I8781" s="549"/>
      <c r="J8781" s="549"/>
      <c r="K8781" s="549"/>
      <c r="M8781" s="465"/>
      <c r="N8781" s="201"/>
    </row>
    <row r="8782" spans="2:14" hidden="1" outlineLevel="1" x14ac:dyDescent="0.35">
      <c r="B8782" s="200"/>
      <c r="C8782" s="201"/>
      <c r="D8782" s="201"/>
      <c r="E8782" s="201"/>
      <c r="F8782" s="202"/>
      <c r="G8782" s="549"/>
      <c r="H8782" s="549"/>
      <c r="I8782" s="549"/>
      <c r="J8782" s="549"/>
      <c r="K8782" s="549"/>
      <c r="M8782" s="465"/>
      <c r="N8782" s="201"/>
    </row>
    <row r="8783" spans="2:14" hidden="1" outlineLevel="1" x14ac:dyDescent="0.35">
      <c r="B8783" s="200"/>
      <c r="C8783" s="201"/>
      <c r="D8783" s="201"/>
      <c r="E8783" s="201"/>
      <c r="F8783" s="202"/>
      <c r="G8783" s="549"/>
      <c r="H8783" s="549"/>
      <c r="I8783" s="549"/>
      <c r="J8783" s="549"/>
      <c r="K8783" s="549"/>
      <c r="M8783" s="465"/>
      <c r="N8783" s="201"/>
    </row>
    <row r="8784" spans="2:14" hidden="1" outlineLevel="1" x14ac:dyDescent="0.35">
      <c r="B8784" s="200"/>
      <c r="C8784" s="201"/>
      <c r="D8784" s="201"/>
      <c r="E8784" s="201"/>
      <c r="F8784" s="202"/>
      <c r="G8784" s="549"/>
      <c r="H8784" s="549"/>
      <c r="I8784" s="549"/>
      <c r="J8784" s="549"/>
      <c r="K8784" s="549"/>
      <c r="M8784" s="465"/>
      <c r="N8784" s="201"/>
    </row>
    <row r="8785" spans="2:14" hidden="1" outlineLevel="1" x14ac:dyDescent="0.35">
      <c r="B8785" s="200"/>
      <c r="C8785" s="201"/>
      <c r="D8785" s="201"/>
      <c r="E8785" s="201"/>
      <c r="F8785" s="202"/>
      <c r="G8785" s="549"/>
      <c r="H8785" s="549"/>
      <c r="I8785" s="549"/>
      <c r="J8785" s="549"/>
      <c r="K8785" s="549"/>
      <c r="M8785" s="465"/>
      <c r="N8785" s="201"/>
    </row>
    <row r="8786" spans="2:14" hidden="1" outlineLevel="1" x14ac:dyDescent="0.35">
      <c r="B8786" s="200"/>
      <c r="C8786" s="201"/>
      <c r="D8786" s="201"/>
      <c r="E8786" s="201"/>
      <c r="F8786" s="202"/>
      <c r="G8786" s="549"/>
      <c r="H8786" s="549"/>
      <c r="I8786" s="549"/>
      <c r="J8786" s="549"/>
      <c r="K8786" s="549"/>
      <c r="M8786" s="465"/>
      <c r="N8786" s="201"/>
    </row>
    <row r="8787" spans="2:14" hidden="1" outlineLevel="1" x14ac:dyDescent="0.35">
      <c r="B8787" s="200"/>
      <c r="C8787" s="201"/>
      <c r="D8787" s="201"/>
      <c r="E8787" s="201"/>
      <c r="F8787" s="202"/>
      <c r="G8787" s="549"/>
      <c r="H8787" s="549"/>
      <c r="I8787" s="549"/>
      <c r="J8787" s="549"/>
      <c r="K8787" s="549"/>
      <c r="M8787" s="465"/>
      <c r="N8787" s="201"/>
    </row>
    <row r="8788" spans="2:14" hidden="1" outlineLevel="1" x14ac:dyDescent="0.35">
      <c r="B8788" s="200"/>
      <c r="C8788" s="201"/>
      <c r="D8788" s="201"/>
      <c r="E8788" s="201"/>
      <c r="F8788" s="202"/>
      <c r="G8788" s="549"/>
      <c r="H8788" s="549"/>
      <c r="I8788" s="549"/>
      <c r="J8788" s="549"/>
      <c r="K8788" s="549"/>
      <c r="M8788" s="465"/>
      <c r="N8788" s="201"/>
    </row>
    <row r="8789" spans="2:14" hidden="1" outlineLevel="1" x14ac:dyDescent="0.35">
      <c r="B8789" s="200"/>
      <c r="C8789" s="201"/>
      <c r="D8789" s="201"/>
      <c r="E8789" s="201"/>
      <c r="F8789" s="202"/>
      <c r="G8789" s="549"/>
      <c r="H8789" s="549"/>
      <c r="I8789" s="549"/>
      <c r="J8789" s="549"/>
      <c r="K8789" s="549"/>
      <c r="M8789" s="465"/>
      <c r="N8789" s="201"/>
    </row>
    <row r="8790" spans="2:14" hidden="1" outlineLevel="1" x14ac:dyDescent="0.35">
      <c r="B8790" s="200"/>
      <c r="C8790" s="201"/>
      <c r="D8790" s="201"/>
      <c r="E8790" s="201"/>
      <c r="F8790" s="202"/>
      <c r="G8790" s="549"/>
      <c r="H8790" s="549"/>
      <c r="I8790" s="549"/>
      <c r="J8790" s="549"/>
      <c r="K8790" s="549"/>
      <c r="M8790" s="465"/>
      <c r="N8790" s="201"/>
    </row>
    <row r="8791" spans="2:14" hidden="1" outlineLevel="1" x14ac:dyDescent="0.35">
      <c r="B8791" s="200"/>
      <c r="C8791" s="201"/>
      <c r="D8791" s="201"/>
      <c r="E8791" s="201"/>
      <c r="F8791" s="202"/>
      <c r="G8791" s="549"/>
      <c r="H8791" s="549"/>
      <c r="I8791" s="549"/>
      <c r="J8791" s="549"/>
      <c r="K8791" s="549"/>
      <c r="M8791" s="465"/>
      <c r="N8791" s="201"/>
    </row>
    <row r="8792" spans="2:14" hidden="1" outlineLevel="1" x14ac:dyDescent="0.35">
      <c r="B8792" s="200"/>
      <c r="C8792" s="201"/>
      <c r="D8792" s="201"/>
      <c r="E8792" s="201"/>
      <c r="F8792" s="202"/>
      <c r="G8792" s="549"/>
      <c r="H8792" s="549"/>
      <c r="I8792" s="549"/>
      <c r="J8792" s="549"/>
      <c r="K8792" s="549"/>
      <c r="M8792" s="465"/>
      <c r="N8792" s="201"/>
    </row>
    <row r="8793" spans="2:14" hidden="1" outlineLevel="1" x14ac:dyDescent="0.35">
      <c r="B8793" s="200"/>
      <c r="C8793" s="201"/>
      <c r="D8793" s="201"/>
      <c r="E8793" s="201"/>
      <c r="F8793" s="202"/>
      <c r="G8793" s="549"/>
      <c r="H8793" s="549"/>
      <c r="I8793" s="549"/>
      <c r="J8793" s="549"/>
      <c r="K8793" s="549"/>
      <c r="M8793" s="465"/>
      <c r="N8793" s="201"/>
    </row>
    <row r="8794" spans="2:14" hidden="1" outlineLevel="1" x14ac:dyDescent="0.35">
      <c r="B8794" s="200"/>
      <c r="C8794" s="201"/>
      <c r="D8794" s="201"/>
      <c r="E8794" s="201"/>
      <c r="F8794" s="202"/>
      <c r="G8794" s="549"/>
      <c r="H8794" s="549"/>
      <c r="I8794" s="549"/>
      <c r="J8794" s="549"/>
      <c r="K8794" s="549"/>
      <c r="M8794" s="465"/>
      <c r="N8794" s="201"/>
    </row>
    <row r="8795" spans="2:14" hidden="1" outlineLevel="1" x14ac:dyDescent="0.35">
      <c r="B8795" s="200"/>
      <c r="C8795" s="201"/>
      <c r="D8795" s="201"/>
      <c r="E8795" s="201"/>
      <c r="F8795" s="202"/>
      <c r="G8795" s="549"/>
      <c r="H8795" s="549"/>
      <c r="I8795" s="549"/>
      <c r="J8795" s="549"/>
      <c r="K8795" s="549"/>
      <c r="M8795" s="465"/>
      <c r="N8795" s="201"/>
    </row>
    <row r="8796" spans="2:14" hidden="1" outlineLevel="1" x14ac:dyDescent="0.35">
      <c r="B8796" s="200"/>
      <c r="C8796" s="201"/>
      <c r="D8796" s="201"/>
      <c r="E8796" s="201"/>
      <c r="F8796" s="202"/>
      <c r="G8796" s="549"/>
      <c r="H8796" s="549"/>
      <c r="I8796" s="549"/>
      <c r="J8796" s="549"/>
      <c r="K8796" s="549"/>
      <c r="M8796" s="465"/>
      <c r="N8796" s="201"/>
    </row>
    <row r="8797" spans="2:14" hidden="1" outlineLevel="1" x14ac:dyDescent="0.35">
      <c r="B8797" s="200"/>
      <c r="C8797" s="201"/>
      <c r="D8797" s="201"/>
      <c r="E8797" s="201"/>
      <c r="F8797" s="202"/>
      <c r="G8797" s="549"/>
      <c r="H8797" s="549"/>
      <c r="I8797" s="549"/>
      <c r="J8797" s="549"/>
      <c r="K8797" s="549"/>
      <c r="M8797" s="465"/>
      <c r="N8797" s="201"/>
    </row>
    <row r="8798" spans="2:14" hidden="1" outlineLevel="1" x14ac:dyDescent="0.35">
      <c r="B8798" s="200"/>
      <c r="C8798" s="201"/>
      <c r="D8798" s="201"/>
      <c r="E8798" s="201"/>
      <c r="F8798" s="202"/>
      <c r="G8798" s="549"/>
      <c r="H8798" s="549"/>
      <c r="I8798" s="549"/>
      <c r="J8798" s="549"/>
      <c r="K8798" s="549"/>
      <c r="M8798" s="465"/>
      <c r="N8798" s="201"/>
    </row>
    <row r="8799" spans="2:14" hidden="1" outlineLevel="1" x14ac:dyDescent="0.35">
      <c r="B8799" s="200"/>
      <c r="C8799" s="201"/>
      <c r="D8799" s="201"/>
      <c r="E8799" s="201"/>
      <c r="F8799" s="202"/>
      <c r="G8799" s="549"/>
      <c r="H8799" s="549"/>
      <c r="I8799" s="549"/>
      <c r="J8799" s="549"/>
      <c r="K8799" s="549"/>
      <c r="M8799" s="465"/>
      <c r="N8799" s="201"/>
    </row>
    <row r="8800" spans="2:14" hidden="1" outlineLevel="1" x14ac:dyDescent="0.35">
      <c r="B8800" s="200"/>
      <c r="C8800" s="201"/>
      <c r="D8800" s="201"/>
      <c r="E8800" s="201"/>
      <c r="F8800" s="202"/>
      <c r="G8800" s="549"/>
      <c r="H8800" s="549"/>
      <c r="I8800" s="549"/>
      <c r="J8800" s="549"/>
      <c r="K8800" s="549"/>
      <c r="M8800" s="465"/>
      <c r="N8800" s="201"/>
    </row>
    <row r="8801" spans="2:14" hidden="1" outlineLevel="1" x14ac:dyDescent="0.35">
      <c r="B8801" s="200"/>
      <c r="C8801" s="201"/>
      <c r="D8801" s="201"/>
      <c r="E8801" s="201"/>
      <c r="F8801" s="202"/>
      <c r="G8801" s="549"/>
      <c r="H8801" s="549"/>
      <c r="I8801" s="549"/>
      <c r="J8801" s="549"/>
      <c r="K8801" s="549"/>
      <c r="M8801" s="465"/>
      <c r="N8801" s="201"/>
    </row>
    <row r="8802" spans="2:14" hidden="1" outlineLevel="1" x14ac:dyDescent="0.35">
      <c r="B8802" s="200"/>
      <c r="C8802" s="201"/>
      <c r="D8802" s="201"/>
      <c r="E8802" s="201"/>
      <c r="F8802" s="202"/>
      <c r="G8802" s="549"/>
      <c r="H8802" s="549"/>
      <c r="I8802" s="549"/>
      <c r="J8802" s="549"/>
      <c r="K8802" s="549"/>
      <c r="M8802" s="465"/>
      <c r="N8802" s="201"/>
    </row>
    <row r="8803" spans="2:14" hidden="1" outlineLevel="1" x14ac:dyDescent="0.35">
      <c r="B8803" s="200"/>
      <c r="C8803" s="201"/>
      <c r="D8803" s="201"/>
      <c r="E8803" s="201"/>
      <c r="F8803" s="202"/>
      <c r="G8803" s="549"/>
      <c r="H8803" s="549"/>
      <c r="I8803" s="549"/>
      <c r="J8803" s="549"/>
      <c r="K8803" s="549"/>
      <c r="M8803" s="465"/>
      <c r="N8803" s="201"/>
    </row>
    <row r="8804" spans="2:14" hidden="1" outlineLevel="1" x14ac:dyDescent="0.35">
      <c r="B8804" s="200"/>
      <c r="C8804" s="201"/>
      <c r="D8804" s="201"/>
      <c r="E8804" s="201"/>
      <c r="F8804" s="202"/>
      <c r="G8804" s="549"/>
      <c r="H8804" s="549"/>
      <c r="I8804" s="549"/>
      <c r="J8804" s="549"/>
      <c r="K8804" s="549"/>
      <c r="M8804" s="465"/>
      <c r="N8804" s="201"/>
    </row>
    <row r="8805" spans="2:14" hidden="1" outlineLevel="1" x14ac:dyDescent="0.35">
      <c r="B8805" s="200"/>
      <c r="C8805" s="201"/>
      <c r="D8805" s="201"/>
      <c r="E8805" s="201"/>
      <c r="F8805" s="202"/>
      <c r="G8805" s="549"/>
      <c r="H8805" s="549"/>
      <c r="I8805" s="549"/>
      <c r="J8805" s="549"/>
      <c r="K8805" s="549"/>
      <c r="M8805" s="465"/>
      <c r="N8805" s="201"/>
    </row>
    <row r="8806" spans="2:14" hidden="1" outlineLevel="1" x14ac:dyDescent="0.35">
      <c r="B8806" s="200"/>
      <c r="C8806" s="201"/>
      <c r="D8806" s="201"/>
      <c r="E8806" s="201"/>
      <c r="F8806" s="202"/>
      <c r="G8806" s="549"/>
      <c r="H8806" s="549"/>
      <c r="I8806" s="549"/>
      <c r="J8806" s="549"/>
      <c r="K8806" s="549"/>
      <c r="M8806" s="465"/>
      <c r="N8806" s="201"/>
    </row>
    <row r="8807" spans="2:14" hidden="1" outlineLevel="1" x14ac:dyDescent="0.35">
      <c r="B8807" s="200"/>
      <c r="C8807" s="201"/>
      <c r="D8807" s="201"/>
      <c r="E8807" s="201"/>
      <c r="F8807" s="202"/>
      <c r="G8807" s="549"/>
      <c r="H8807" s="549"/>
      <c r="I8807" s="549"/>
      <c r="J8807" s="549"/>
      <c r="K8807" s="549"/>
      <c r="M8807" s="465"/>
      <c r="N8807" s="201"/>
    </row>
    <row r="8808" spans="2:14" hidden="1" outlineLevel="1" x14ac:dyDescent="0.35">
      <c r="B8808" s="200"/>
      <c r="C8808" s="201"/>
      <c r="D8808" s="201"/>
      <c r="E8808" s="201"/>
      <c r="F8808" s="202"/>
      <c r="G8808" s="549"/>
      <c r="H8808" s="549"/>
      <c r="I8808" s="549"/>
      <c r="J8808" s="549"/>
      <c r="K8808" s="549"/>
      <c r="M8808" s="465"/>
      <c r="N8808" s="201"/>
    </row>
    <row r="8809" spans="2:14" hidden="1" outlineLevel="1" x14ac:dyDescent="0.35">
      <c r="B8809" s="200"/>
      <c r="C8809" s="201"/>
      <c r="D8809" s="201"/>
      <c r="E8809" s="201"/>
      <c r="F8809" s="202"/>
      <c r="G8809" s="549"/>
      <c r="H8809" s="549"/>
      <c r="I8809" s="549"/>
      <c r="J8809" s="549"/>
      <c r="K8809" s="549"/>
      <c r="M8809" s="465"/>
      <c r="N8809" s="201"/>
    </row>
    <row r="8810" spans="2:14" hidden="1" outlineLevel="1" x14ac:dyDescent="0.35">
      <c r="B8810" s="200"/>
      <c r="C8810" s="201"/>
      <c r="D8810" s="201"/>
      <c r="E8810" s="201"/>
      <c r="F8810" s="202"/>
      <c r="G8810" s="549"/>
      <c r="H8810" s="549"/>
      <c r="I8810" s="549"/>
      <c r="J8810" s="549"/>
      <c r="K8810" s="549"/>
      <c r="M8810" s="465"/>
      <c r="N8810" s="201"/>
    </row>
    <row r="8811" spans="2:14" hidden="1" outlineLevel="1" x14ac:dyDescent="0.35">
      <c r="B8811" s="200"/>
      <c r="C8811" s="201"/>
      <c r="D8811" s="201"/>
      <c r="E8811" s="201"/>
      <c r="F8811" s="202"/>
      <c r="G8811" s="549"/>
      <c r="H8811" s="549"/>
      <c r="I8811" s="549"/>
      <c r="J8811" s="549"/>
      <c r="K8811" s="549"/>
      <c r="M8811" s="465"/>
      <c r="N8811" s="201"/>
    </row>
    <row r="8812" spans="2:14" hidden="1" outlineLevel="1" x14ac:dyDescent="0.35">
      <c r="B8812" s="200"/>
      <c r="C8812" s="201"/>
      <c r="D8812" s="201"/>
      <c r="E8812" s="201"/>
      <c r="F8812" s="202"/>
      <c r="G8812" s="549"/>
      <c r="H8812" s="549"/>
      <c r="I8812" s="549"/>
      <c r="J8812" s="549"/>
      <c r="K8812" s="549"/>
      <c r="M8812" s="465"/>
      <c r="N8812" s="201"/>
    </row>
    <row r="8813" spans="2:14" hidden="1" outlineLevel="1" x14ac:dyDescent="0.35">
      <c r="B8813" s="200"/>
      <c r="C8813" s="201"/>
      <c r="D8813" s="201"/>
      <c r="E8813" s="201"/>
      <c r="F8813" s="202"/>
      <c r="G8813" s="549"/>
      <c r="H8813" s="549"/>
      <c r="I8813" s="549"/>
      <c r="J8813" s="549"/>
      <c r="K8813" s="549"/>
      <c r="M8813" s="465"/>
      <c r="N8813" s="201"/>
    </row>
    <row r="8814" spans="2:14" hidden="1" outlineLevel="1" x14ac:dyDescent="0.35">
      <c r="B8814" s="200"/>
      <c r="C8814" s="201"/>
      <c r="D8814" s="201"/>
      <c r="E8814" s="201"/>
      <c r="F8814" s="202"/>
      <c r="G8814" s="549"/>
      <c r="H8814" s="549"/>
      <c r="I8814" s="549"/>
      <c r="J8814" s="549"/>
      <c r="K8814" s="549"/>
      <c r="M8814" s="465"/>
      <c r="N8814" s="201"/>
    </row>
    <row r="8815" spans="2:14" hidden="1" outlineLevel="1" x14ac:dyDescent="0.35">
      <c r="B8815" s="200"/>
      <c r="C8815" s="201"/>
      <c r="D8815" s="201"/>
      <c r="E8815" s="201"/>
      <c r="F8815" s="202"/>
      <c r="G8815" s="549"/>
      <c r="H8815" s="549"/>
      <c r="I8815" s="549"/>
      <c r="J8815" s="549"/>
      <c r="K8815" s="549"/>
      <c r="M8815" s="465"/>
      <c r="N8815" s="201"/>
    </row>
    <row r="8816" spans="2:14" hidden="1" outlineLevel="1" x14ac:dyDescent="0.35">
      <c r="B8816" s="200"/>
      <c r="C8816" s="201"/>
      <c r="D8816" s="201"/>
      <c r="E8816" s="201"/>
      <c r="F8816" s="202"/>
      <c r="G8816" s="549"/>
      <c r="H8816" s="549"/>
      <c r="I8816" s="549"/>
      <c r="J8816" s="549"/>
      <c r="K8816" s="549"/>
      <c r="M8816" s="465"/>
      <c r="N8816" s="201"/>
    </row>
    <row r="8817" spans="2:14" hidden="1" outlineLevel="1" x14ac:dyDescent="0.35">
      <c r="B8817" s="200"/>
      <c r="C8817" s="201"/>
      <c r="D8817" s="201"/>
      <c r="E8817" s="201"/>
      <c r="F8817" s="202"/>
      <c r="G8817" s="549"/>
      <c r="H8817" s="549"/>
      <c r="I8817" s="549"/>
      <c r="J8817" s="549"/>
      <c r="K8817" s="549"/>
      <c r="M8817" s="465"/>
      <c r="N8817" s="201"/>
    </row>
    <row r="8818" spans="2:14" hidden="1" outlineLevel="1" x14ac:dyDescent="0.35">
      <c r="B8818" s="200"/>
      <c r="C8818" s="201"/>
      <c r="D8818" s="201"/>
      <c r="E8818" s="201"/>
      <c r="F8818" s="202"/>
      <c r="G8818" s="549"/>
      <c r="H8818" s="549"/>
      <c r="I8818" s="549"/>
      <c r="J8818" s="549"/>
      <c r="K8818" s="549"/>
      <c r="M8818" s="465"/>
      <c r="N8818" s="201"/>
    </row>
    <row r="8819" spans="2:14" hidden="1" outlineLevel="1" x14ac:dyDescent="0.35">
      <c r="B8819" s="200"/>
      <c r="C8819" s="201"/>
      <c r="D8819" s="201"/>
      <c r="E8819" s="201"/>
      <c r="F8819" s="202"/>
      <c r="G8819" s="549"/>
      <c r="H8819" s="549"/>
      <c r="I8819" s="549"/>
      <c r="J8819" s="549"/>
      <c r="K8819" s="549"/>
      <c r="M8819" s="465"/>
      <c r="N8819" s="201"/>
    </row>
    <row r="8820" spans="2:14" hidden="1" outlineLevel="1" x14ac:dyDescent="0.35">
      <c r="B8820" s="200"/>
      <c r="C8820" s="201"/>
      <c r="D8820" s="201"/>
      <c r="E8820" s="201"/>
      <c r="F8820" s="202"/>
      <c r="G8820" s="549"/>
      <c r="H8820" s="549"/>
      <c r="I8820" s="549"/>
      <c r="J8820" s="549"/>
      <c r="K8820" s="549"/>
      <c r="M8820" s="465"/>
      <c r="N8820" s="201"/>
    </row>
    <row r="8821" spans="2:14" hidden="1" outlineLevel="1" x14ac:dyDescent="0.35">
      <c r="B8821" s="200"/>
      <c r="C8821" s="201"/>
      <c r="D8821" s="201"/>
      <c r="E8821" s="201"/>
      <c r="F8821" s="202"/>
      <c r="G8821" s="549"/>
      <c r="H8821" s="549"/>
      <c r="I8821" s="549"/>
      <c r="J8821" s="549"/>
      <c r="K8821" s="549"/>
      <c r="M8821" s="465"/>
      <c r="N8821" s="201"/>
    </row>
    <row r="8822" spans="2:14" hidden="1" outlineLevel="1" x14ac:dyDescent="0.35">
      <c r="B8822" s="200"/>
      <c r="C8822" s="201"/>
      <c r="D8822" s="201"/>
      <c r="E8822" s="201"/>
      <c r="F8822" s="202"/>
      <c r="G8822" s="549"/>
      <c r="H8822" s="549"/>
      <c r="I8822" s="549"/>
      <c r="J8822" s="549"/>
      <c r="K8822" s="549"/>
      <c r="M8822" s="465"/>
      <c r="N8822" s="201"/>
    </row>
    <row r="8823" spans="2:14" hidden="1" outlineLevel="1" x14ac:dyDescent="0.35">
      <c r="B8823" s="200"/>
      <c r="C8823" s="201"/>
      <c r="D8823" s="201"/>
      <c r="E8823" s="201"/>
      <c r="F8823" s="202"/>
      <c r="G8823" s="549"/>
      <c r="H8823" s="549"/>
      <c r="I8823" s="549"/>
      <c r="J8823" s="549"/>
      <c r="K8823" s="549"/>
      <c r="M8823" s="465"/>
      <c r="N8823" s="201"/>
    </row>
    <row r="8824" spans="2:14" hidden="1" outlineLevel="1" x14ac:dyDescent="0.35">
      <c r="B8824" s="200"/>
      <c r="C8824" s="201"/>
      <c r="D8824" s="201"/>
      <c r="E8824" s="201"/>
      <c r="F8824" s="202"/>
      <c r="G8824" s="549"/>
      <c r="H8824" s="549"/>
      <c r="I8824" s="549"/>
      <c r="J8824" s="549"/>
      <c r="K8824" s="549"/>
      <c r="M8824" s="465"/>
      <c r="N8824" s="201"/>
    </row>
    <row r="8825" spans="2:14" hidden="1" outlineLevel="1" x14ac:dyDescent="0.35">
      <c r="B8825" s="200"/>
      <c r="C8825" s="201"/>
      <c r="D8825" s="201"/>
      <c r="E8825" s="201"/>
      <c r="F8825" s="202"/>
      <c r="G8825" s="549"/>
      <c r="H8825" s="549"/>
      <c r="I8825" s="549"/>
      <c r="J8825" s="549"/>
      <c r="K8825" s="549"/>
      <c r="M8825" s="465"/>
      <c r="N8825" s="201"/>
    </row>
    <row r="8826" spans="2:14" hidden="1" outlineLevel="1" x14ac:dyDescent="0.35">
      <c r="B8826" s="200"/>
      <c r="C8826" s="201"/>
      <c r="D8826" s="201"/>
      <c r="E8826" s="201"/>
      <c r="F8826" s="202"/>
      <c r="G8826" s="549"/>
      <c r="H8826" s="549"/>
      <c r="I8826" s="549"/>
      <c r="J8826" s="549"/>
      <c r="K8826" s="549"/>
      <c r="M8826" s="465"/>
      <c r="N8826" s="201"/>
    </row>
    <row r="8827" spans="2:14" hidden="1" outlineLevel="1" x14ac:dyDescent="0.35">
      <c r="B8827" s="200"/>
      <c r="C8827" s="201"/>
      <c r="D8827" s="201"/>
      <c r="E8827" s="201"/>
      <c r="F8827" s="202"/>
      <c r="G8827" s="549"/>
      <c r="H8827" s="549"/>
      <c r="I8827" s="549"/>
      <c r="J8827" s="549"/>
      <c r="K8827" s="549"/>
      <c r="M8827" s="465"/>
      <c r="N8827" s="201"/>
    </row>
    <row r="8828" spans="2:14" hidden="1" outlineLevel="1" x14ac:dyDescent="0.35">
      <c r="B8828" s="200"/>
      <c r="C8828" s="201"/>
      <c r="D8828" s="201"/>
      <c r="E8828" s="201"/>
      <c r="F8828" s="202"/>
      <c r="G8828" s="549"/>
      <c r="H8828" s="549"/>
      <c r="I8828" s="549"/>
      <c r="J8828" s="549"/>
      <c r="K8828" s="549"/>
      <c r="M8828" s="465"/>
      <c r="N8828" s="201"/>
    </row>
    <row r="8829" spans="2:14" hidden="1" outlineLevel="1" x14ac:dyDescent="0.35">
      <c r="B8829" s="200"/>
      <c r="C8829" s="201"/>
      <c r="D8829" s="201"/>
      <c r="E8829" s="201"/>
      <c r="F8829" s="202"/>
      <c r="G8829" s="549"/>
      <c r="H8829" s="549"/>
      <c r="I8829" s="549"/>
      <c r="J8829" s="549"/>
      <c r="K8829" s="549"/>
      <c r="M8829" s="465"/>
      <c r="N8829" s="201"/>
    </row>
    <row r="8830" spans="2:14" hidden="1" outlineLevel="1" x14ac:dyDescent="0.35">
      <c r="B8830" s="200"/>
      <c r="C8830" s="201"/>
      <c r="D8830" s="201"/>
      <c r="E8830" s="201"/>
      <c r="F8830" s="202"/>
      <c r="G8830" s="549"/>
      <c r="H8830" s="549"/>
      <c r="I8830" s="549"/>
      <c r="J8830" s="549"/>
      <c r="K8830" s="549"/>
      <c r="M8830" s="465"/>
      <c r="N8830" s="201"/>
    </row>
    <row r="8831" spans="2:14" hidden="1" outlineLevel="1" x14ac:dyDescent="0.35">
      <c r="B8831" s="200"/>
      <c r="C8831" s="201"/>
      <c r="D8831" s="201"/>
      <c r="E8831" s="201"/>
      <c r="F8831" s="202"/>
      <c r="G8831" s="549"/>
      <c r="H8831" s="549"/>
      <c r="I8831" s="549"/>
      <c r="J8831" s="549"/>
      <c r="K8831" s="549"/>
      <c r="M8831" s="465"/>
      <c r="N8831" s="201"/>
    </row>
    <row r="8832" spans="2:14" hidden="1" outlineLevel="1" x14ac:dyDescent="0.35">
      <c r="B8832" s="200"/>
      <c r="C8832" s="201"/>
      <c r="D8832" s="201"/>
      <c r="E8832" s="201"/>
      <c r="F8832" s="202"/>
      <c r="G8832" s="549"/>
      <c r="H8832" s="549"/>
      <c r="I8832" s="549"/>
      <c r="J8832" s="549"/>
      <c r="K8832" s="549"/>
      <c r="M8832" s="465"/>
      <c r="N8832" s="201"/>
    </row>
    <row r="8833" spans="2:14" hidden="1" outlineLevel="1" x14ac:dyDescent="0.35">
      <c r="B8833" s="200"/>
      <c r="C8833" s="201"/>
      <c r="D8833" s="201"/>
      <c r="E8833" s="201"/>
      <c r="F8833" s="202"/>
      <c r="G8833" s="549"/>
      <c r="H8833" s="549"/>
      <c r="I8833" s="549"/>
      <c r="J8833" s="549"/>
      <c r="K8833" s="549"/>
      <c r="M8833" s="465"/>
      <c r="N8833" s="201"/>
    </row>
    <row r="8834" spans="2:14" hidden="1" outlineLevel="1" x14ac:dyDescent="0.35">
      <c r="B8834" s="200"/>
      <c r="C8834" s="201"/>
      <c r="D8834" s="201"/>
      <c r="E8834" s="201"/>
      <c r="F8834" s="202"/>
      <c r="G8834" s="549"/>
      <c r="H8834" s="549"/>
      <c r="I8834" s="549"/>
      <c r="J8834" s="549"/>
      <c r="K8834" s="549"/>
      <c r="M8834" s="465"/>
      <c r="N8834" s="201"/>
    </row>
    <row r="8835" spans="2:14" hidden="1" outlineLevel="1" x14ac:dyDescent="0.35">
      <c r="B8835" s="200"/>
      <c r="C8835" s="201"/>
      <c r="D8835" s="201"/>
      <c r="E8835" s="201"/>
      <c r="F8835" s="202"/>
      <c r="G8835" s="549"/>
      <c r="H8835" s="549"/>
      <c r="I8835" s="549"/>
      <c r="J8835" s="549"/>
      <c r="K8835" s="549"/>
      <c r="M8835" s="465"/>
      <c r="N8835" s="201"/>
    </row>
    <row r="8836" spans="2:14" hidden="1" outlineLevel="1" x14ac:dyDescent="0.35">
      <c r="B8836" s="200"/>
      <c r="C8836" s="201"/>
      <c r="D8836" s="201"/>
      <c r="E8836" s="201"/>
      <c r="F8836" s="202"/>
      <c r="G8836" s="549"/>
      <c r="H8836" s="549"/>
      <c r="I8836" s="549"/>
      <c r="J8836" s="549"/>
      <c r="K8836" s="549"/>
      <c r="M8836" s="465"/>
      <c r="N8836" s="201"/>
    </row>
    <row r="8837" spans="2:14" hidden="1" outlineLevel="1" x14ac:dyDescent="0.35">
      <c r="B8837" s="200"/>
      <c r="C8837" s="201"/>
      <c r="D8837" s="201"/>
      <c r="E8837" s="201"/>
      <c r="F8837" s="202"/>
      <c r="G8837" s="549"/>
      <c r="H8837" s="549"/>
      <c r="I8837" s="549"/>
      <c r="J8837" s="549"/>
      <c r="K8837" s="549"/>
      <c r="M8837" s="465"/>
      <c r="N8837" s="201"/>
    </row>
    <row r="8838" spans="2:14" hidden="1" outlineLevel="1" x14ac:dyDescent="0.35">
      <c r="B8838" s="200"/>
      <c r="C8838" s="201"/>
      <c r="D8838" s="201"/>
      <c r="E8838" s="201"/>
      <c r="F8838" s="202"/>
      <c r="G8838" s="549"/>
      <c r="H8838" s="549"/>
      <c r="I8838" s="549"/>
      <c r="J8838" s="549"/>
      <c r="K8838" s="549"/>
      <c r="M8838" s="465"/>
      <c r="N8838" s="201"/>
    </row>
    <row r="8839" spans="2:14" hidden="1" outlineLevel="1" x14ac:dyDescent="0.35">
      <c r="B8839" s="200"/>
      <c r="C8839" s="201"/>
      <c r="D8839" s="201"/>
      <c r="E8839" s="201"/>
      <c r="F8839" s="202"/>
      <c r="G8839" s="549"/>
      <c r="H8839" s="549"/>
      <c r="I8839" s="549"/>
      <c r="J8839" s="549"/>
      <c r="K8839" s="549"/>
      <c r="M8839" s="465"/>
      <c r="N8839" s="201"/>
    </row>
    <row r="8840" spans="2:14" hidden="1" outlineLevel="1" x14ac:dyDescent="0.35">
      <c r="B8840" s="200"/>
      <c r="C8840" s="201"/>
      <c r="D8840" s="201"/>
      <c r="E8840" s="201"/>
      <c r="F8840" s="202"/>
      <c r="G8840" s="549"/>
      <c r="H8840" s="549"/>
      <c r="I8840" s="549"/>
      <c r="J8840" s="549"/>
      <c r="K8840" s="549"/>
      <c r="M8840" s="465"/>
      <c r="N8840" s="201"/>
    </row>
    <row r="8841" spans="2:14" hidden="1" outlineLevel="1" x14ac:dyDescent="0.35">
      <c r="B8841" s="200"/>
      <c r="C8841" s="201"/>
      <c r="D8841" s="201"/>
      <c r="E8841" s="201"/>
      <c r="F8841" s="202"/>
      <c r="G8841" s="549"/>
      <c r="H8841" s="549"/>
      <c r="I8841" s="549"/>
      <c r="J8841" s="549"/>
      <c r="K8841" s="549"/>
      <c r="M8841" s="465"/>
      <c r="N8841" s="201"/>
    </row>
    <row r="8842" spans="2:14" hidden="1" outlineLevel="1" x14ac:dyDescent="0.35">
      <c r="B8842" s="200"/>
      <c r="C8842" s="201"/>
      <c r="D8842" s="201"/>
      <c r="E8842" s="201"/>
      <c r="F8842" s="202"/>
      <c r="G8842" s="549"/>
      <c r="H8842" s="549"/>
      <c r="I8842" s="549"/>
      <c r="J8842" s="549"/>
      <c r="K8842" s="549"/>
      <c r="M8842" s="465"/>
      <c r="N8842" s="201"/>
    </row>
    <row r="8843" spans="2:14" hidden="1" outlineLevel="1" x14ac:dyDescent="0.35">
      <c r="B8843" s="200"/>
      <c r="C8843" s="201"/>
      <c r="D8843" s="201"/>
      <c r="E8843" s="201"/>
      <c r="F8843" s="202"/>
      <c r="G8843" s="549"/>
      <c r="H8843" s="549"/>
      <c r="I8843" s="549"/>
      <c r="J8843" s="549"/>
      <c r="K8843" s="549"/>
      <c r="M8843" s="465"/>
      <c r="N8843" s="201"/>
    </row>
    <row r="8844" spans="2:14" hidden="1" outlineLevel="1" x14ac:dyDescent="0.35">
      <c r="B8844" s="200"/>
      <c r="C8844" s="201"/>
      <c r="D8844" s="201"/>
      <c r="E8844" s="201"/>
      <c r="F8844" s="202"/>
      <c r="G8844" s="549"/>
      <c r="H8844" s="549"/>
      <c r="I8844" s="549"/>
      <c r="J8844" s="549"/>
      <c r="K8844" s="549"/>
      <c r="M8844" s="465"/>
      <c r="N8844" s="201"/>
    </row>
    <row r="8845" spans="2:14" hidden="1" outlineLevel="1" x14ac:dyDescent="0.35">
      <c r="B8845" s="200"/>
      <c r="C8845" s="201"/>
      <c r="D8845" s="201"/>
      <c r="E8845" s="201"/>
      <c r="F8845" s="202"/>
      <c r="G8845" s="549"/>
      <c r="H8845" s="549"/>
      <c r="I8845" s="549"/>
      <c r="J8845" s="549"/>
      <c r="K8845" s="549"/>
      <c r="M8845" s="465"/>
      <c r="N8845" s="201"/>
    </row>
    <row r="8846" spans="2:14" hidden="1" outlineLevel="1" x14ac:dyDescent="0.35">
      <c r="B8846" s="200"/>
      <c r="C8846" s="201"/>
      <c r="D8846" s="201"/>
      <c r="E8846" s="201"/>
      <c r="F8846" s="202"/>
      <c r="G8846" s="549"/>
      <c r="H8846" s="549"/>
      <c r="I8846" s="549"/>
      <c r="J8846" s="549"/>
      <c r="K8846" s="549"/>
      <c r="M8846" s="465"/>
      <c r="N8846" s="201"/>
    </row>
    <row r="8847" spans="2:14" hidden="1" outlineLevel="1" x14ac:dyDescent="0.35">
      <c r="B8847" s="200"/>
      <c r="C8847" s="201"/>
      <c r="D8847" s="201"/>
      <c r="E8847" s="201"/>
      <c r="F8847" s="202"/>
      <c r="G8847" s="549"/>
      <c r="H8847" s="549"/>
      <c r="I8847" s="549"/>
      <c r="J8847" s="549"/>
      <c r="K8847" s="549"/>
      <c r="M8847" s="465"/>
      <c r="N8847" s="201"/>
    </row>
    <row r="8848" spans="2:14" hidden="1" outlineLevel="1" x14ac:dyDescent="0.35">
      <c r="B8848" s="200"/>
      <c r="C8848" s="201"/>
      <c r="D8848" s="201"/>
      <c r="E8848" s="201"/>
      <c r="F8848" s="202"/>
      <c r="G8848" s="549"/>
      <c r="H8848" s="549"/>
      <c r="I8848" s="549"/>
      <c r="J8848" s="549"/>
      <c r="K8848" s="549"/>
      <c r="M8848" s="465"/>
      <c r="N8848" s="201"/>
    </row>
    <row r="8849" spans="2:14" hidden="1" outlineLevel="1" x14ac:dyDescent="0.35">
      <c r="B8849" s="200"/>
      <c r="C8849" s="201"/>
      <c r="D8849" s="201"/>
      <c r="E8849" s="201"/>
      <c r="F8849" s="202"/>
      <c r="G8849" s="549"/>
      <c r="H8849" s="549"/>
      <c r="I8849" s="549"/>
      <c r="J8849" s="549"/>
      <c r="K8849" s="549"/>
      <c r="M8849" s="465"/>
      <c r="N8849" s="201"/>
    </row>
    <row r="8850" spans="2:14" hidden="1" outlineLevel="1" x14ac:dyDescent="0.35">
      <c r="B8850" s="200"/>
      <c r="C8850" s="201"/>
      <c r="D8850" s="201"/>
      <c r="E8850" s="201"/>
      <c r="F8850" s="202"/>
      <c r="G8850" s="549"/>
      <c r="H8850" s="549"/>
      <c r="I8850" s="549"/>
      <c r="J8850" s="549"/>
      <c r="K8850" s="549"/>
      <c r="M8850" s="465"/>
      <c r="N8850" s="201"/>
    </row>
    <row r="8851" spans="2:14" hidden="1" outlineLevel="1" x14ac:dyDescent="0.35">
      <c r="B8851" s="200"/>
      <c r="C8851" s="201"/>
      <c r="D8851" s="201"/>
      <c r="E8851" s="201"/>
      <c r="F8851" s="202"/>
      <c r="G8851" s="549"/>
      <c r="H8851" s="549"/>
      <c r="I8851" s="549"/>
      <c r="J8851" s="549"/>
      <c r="K8851" s="549"/>
      <c r="M8851" s="465"/>
      <c r="N8851" s="201"/>
    </row>
    <row r="8852" spans="2:14" hidden="1" outlineLevel="1" x14ac:dyDescent="0.35">
      <c r="B8852" s="200"/>
      <c r="C8852" s="201"/>
      <c r="D8852" s="201"/>
      <c r="E8852" s="201"/>
      <c r="F8852" s="202"/>
      <c r="G8852" s="549"/>
      <c r="H8852" s="549"/>
      <c r="I8852" s="549"/>
      <c r="J8852" s="549"/>
      <c r="K8852" s="549"/>
      <c r="M8852" s="465"/>
      <c r="N8852" s="201"/>
    </row>
    <row r="8853" spans="2:14" hidden="1" outlineLevel="1" x14ac:dyDescent="0.35">
      <c r="B8853" s="200"/>
      <c r="C8853" s="201"/>
      <c r="D8853" s="201"/>
      <c r="E8853" s="201"/>
      <c r="F8853" s="202"/>
      <c r="G8853" s="549"/>
      <c r="H8853" s="549"/>
      <c r="I8853" s="549"/>
      <c r="J8853" s="549"/>
      <c r="K8853" s="549"/>
      <c r="M8853" s="465"/>
      <c r="N8853" s="201"/>
    </row>
    <row r="8854" spans="2:14" hidden="1" outlineLevel="1" x14ac:dyDescent="0.35">
      <c r="B8854" s="200"/>
      <c r="C8854" s="201"/>
      <c r="D8854" s="201"/>
      <c r="E8854" s="201"/>
      <c r="F8854" s="202"/>
      <c r="G8854" s="549"/>
      <c r="H8854" s="549"/>
      <c r="I8854" s="549"/>
      <c r="J8854" s="549"/>
      <c r="K8854" s="549"/>
      <c r="M8854" s="465"/>
      <c r="N8854" s="201"/>
    </row>
    <row r="8855" spans="2:14" hidden="1" outlineLevel="1" x14ac:dyDescent="0.35">
      <c r="B8855" s="200"/>
      <c r="C8855" s="201"/>
      <c r="D8855" s="201"/>
      <c r="E8855" s="201"/>
      <c r="F8855" s="202"/>
      <c r="G8855" s="549"/>
      <c r="H8855" s="549"/>
      <c r="I8855" s="549"/>
      <c r="J8855" s="549"/>
      <c r="K8855" s="549"/>
      <c r="M8855" s="465"/>
      <c r="N8855" s="201"/>
    </row>
    <row r="8856" spans="2:14" hidden="1" outlineLevel="1" x14ac:dyDescent="0.35">
      <c r="B8856" s="200"/>
      <c r="C8856" s="201"/>
      <c r="D8856" s="201"/>
      <c r="E8856" s="201"/>
      <c r="F8856" s="202"/>
      <c r="G8856" s="549"/>
      <c r="H8856" s="549"/>
      <c r="I8856" s="549"/>
      <c r="J8856" s="549"/>
      <c r="K8856" s="549"/>
      <c r="M8856" s="465"/>
      <c r="N8856" s="201"/>
    </row>
    <row r="8857" spans="2:14" hidden="1" outlineLevel="1" x14ac:dyDescent="0.35">
      <c r="B8857" s="200"/>
      <c r="C8857" s="201"/>
      <c r="D8857" s="201"/>
      <c r="E8857" s="201"/>
      <c r="F8857" s="202"/>
      <c r="G8857" s="549"/>
      <c r="H8857" s="549"/>
      <c r="I8857" s="549"/>
      <c r="J8857" s="549"/>
      <c r="K8857" s="549"/>
      <c r="M8857" s="465"/>
      <c r="N8857" s="201"/>
    </row>
    <row r="8858" spans="2:14" hidden="1" outlineLevel="1" x14ac:dyDescent="0.35">
      <c r="B8858" s="200"/>
      <c r="C8858" s="201"/>
      <c r="D8858" s="201"/>
      <c r="E8858" s="201"/>
      <c r="F8858" s="202"/>
      <c r="G8858" s="549"/>
      <c r="H8858" s="549"/>
      <c r="I8858" s="549"/>
      <c r="J8858" s="549"/>
      <c r="K8858" s="549"/>
      <c r="M8858" s="465"/>
      <c r="N8858" s="201"/>
    </row>
    <row r="8859" spans="2:14" hidden="1" outlineLevel="1" x14ac:dyDescent="0.35">
      <c r="B8859" s="200"/>
      <c r="C8859" s="201"/>
      <c r="D8859" s="201"/>
      <c r="E8859" s="201"/>
      <c r="F8859" s="202"/>
      <c r="G8859" s="549"/>
      <c r="H8859" s="549"/>
      <c r="I8859" s="549"/>
      <c r="J8859" s="549"/>
      <c r="K8859" s="549"/>
      <c r="M8859" s="465"/>
      <c r="N8859" s="201"/>
    </row>
    <row r="8860" spans="2:14" hidden="1" outlineLevel="1" x14ac:dyDescent="0.35">
      <c r="B8860" s="200"/>
      <c r="C8860" s="201"/>
      <c r="D8860" s="201"/>
      <c r="E8860" s="201"/>
      <c r="F8860" s="202"/>
      <c r="G8860" s="549"/>
      <c r="H8860" s="549"/>
      <c r="I8860" s="549"/>
      <c r="J8860" s="549"/>
      <c r="K8860" s="549"/>
      <c r="M8860" s="465"/>
      <c r="N8860" s="201"/>
    </row>
    <row r="8861" spans="2:14" hidden="1" outlineLevel="1" x14ac:dyDescent="0.35">
      <c r="B8861" s="200"/>
      <c r="C8861" s="201"/>
      <c r="D8861" s="201"/>
      <c r="E8861" s="201"/>
      <c r="F8861" s="202"/>
      <c r="G8861" s="549"/>
      <c r="H8861" s="549"/>
      <c r="I8861" s="549"/>
      <c r="J8861" s="549"/>
      <c r="K8861" s="549"/>
      <c r="M8861" s="465"/>
      <c r="N8861" s="201"/>
    </row>
    <row r="8862" spans="2:14" hidden="1" outlineLevel="1" x14ac:dyDescent="0.35">
      <c r="B8862" s="200"/>
      <c r="C8862" s="201"/>
      <c r="D8862" s="201"/>
      <c r="E8862" s="201"/>
      <c r="F8862" s="202"/>
      <c r="G8862" s="549"/>
      <c r="H8862" s="549"/>
      <c r="I8862" s="549"/>
      <c r="J8862" s="549"/>
      <c r="K8862" s="549"/>
      <c r="M8862" s="465"/>
      <c r="N8862" s="201"/>
    </row>
    <row r="8863" spans="2:14" hidden="1" outlineLevel="1" x14ac:dyDescent="0.35">
      <c r="B8863" s="200"/>
      <c r="C8863" s="201"/>
      <c r="D8863" s="201"/>
      <c r="E8863" s="201"/>
      <c r="F8863" s="202"/>
      <c r="G8863" s="549"/>
      <c r="H8863" s="549"/>
      <c r="I8863" s="549"/>
      <c r="J8863" s="549"/>
      <c r="K8863" s="549"/>
      <c r="M8863" s="465"/>
      <c r="N8863" s="201"/>
    </row>
    <row r="8864" spans="2:14" hidden="1" outlineLevel="1" x14ac:dyDescent="0.35">
      <c r="B8864" s="200"/>
      <c r="C8864" s="201"/>
      <c r="D8864" s="201"/>
      <c r="E8864" s="201"/>
      <c r="F8864" s="202"/>
      <c r="G8864" s="549"/>
      <c r="H8864" s="549"/>
      <c r="I8864" s="549"/>
      <c r="J8864" s="549"/>
      <c r="K8864" s="549"/>
      <c r="M8864" s="465"/>
      <c r="N8864" s="201"/>
    </row>
    <row r="8865" spans="2:14" hidden="1" outlineLevel="1" x14ac:dyDescent="0.35">
      <c r="B8865" s="200"/>
      <c r="C8865" s="201"/>
      <c r="D8865" s="201"/>
      <c r="E8865" s="201"/>
      <c r="F8865" s="202"/>
      <c r="G8865" s="549"/>
      <c r="H8865" s="549"/>
      <c r="I8865" s="549"/>
      <c r="J8865" s="549"/>
      <c r="K8865" s="549"/>
      <c r="M8865" s="465"/>
      <c r="N8865" s="201"/>
    </row>
    <row r="8866" spans="2:14" hidden="1" outlineLevel="1" x14ac:dyDescent="0.35">
      <c r="B8866" s="200"/>
      <c r="C8866" s="201"/>
      <c r="D8866" s="201"/>
      <c r="E8866" s="201"/>
      <c r="F8866" s="202"/>
      <c r="G8866" s="549"/>
      <c r="H8866" s="549"/>
      <c r="I8866" s="549"/>
      <c r="J8866" s="549"/>
      <c r="K8866" s="549"/>
      <c r="M8866" s="465"/>
      <c r="N8866" s="201"/>
    </row>
    <row r="8867" spans="2:14" hidden="1" outlineLevel="1" x14ac:dyDescent="0.35">
      <c r="B8867" s="200"/>
      <c r="C8867" s="201"/>
      <c r="D8867" s="201"/>
      <c r="E8867" s="201"/>
      <c r="F8867" s="202"/>
      <c r="G8867" s="549"/>
      <c r="H8867" s="549"/>
      <c r="I8867" s="549"/>
      <c r="J8867" s="549"/>
      <c r="K8867" s="549"/>
      <c r="M8867" s="465"/>
      <c r="N8867" s="201"/>
    </row>
    <row r="8868" spans="2:14" hidden="1" outlineLevel="1" x14ac:dyDescent="0.35">
      <c r="B8868" s="200"/>
      <c r="C8868" s="201"/>
      <c r="D8868" s="201"/>
      <c r="E8868" s="201"/>
      <c r="F8868" s="202"/>
      <c r="G8868" s="549"/>
      <c r="H8868" s="549"/>
      <c r="I8868" s="549"/>
      <c r="J8868" s="549"/>
      <c r="K8868" s="549"/>
      <c r="M8868" s="465"/>
      <c r="N8868" s="201"/>
    </row>
    <row r="8869" spans="2:14" hidden="1" outlineLevel="1" x14ac:dyDescent="0.35">
      <c r="B8869" s="200"/>
      <c r="C8869" s="201"/>
      <c r="D8869" s="201"/>
      <c r="E8869" s="201"/>
      <c r="F8869" s="202"/>
      <c r="G8869" s="549"/>
      <c r="H8869" s="549"/>
      <c r="I8869" s="549"/>
      <c r="J8869" s="549"/>
      <c r="K8869" s="549"/>
      <c r="M8869" s="465"/>
      <c r="N8869" s="201"/>
    </row>
    <row r="8870" spans="2:14" hidden="1" outlineLevel="1" x14ac:dyDescent="0.35">
      <c r="B8870" s="200"/>
      <c r="C8870" s="201"/>
      <c r="D8870" s="201"/>
      <c r="E8870" s="201"/>
      <c r="F8870" s="202"/>
      <c r="G8870" s="549"/>
      <c r="H8870" s="549"/>
      <c r="I8870" s="549"/>
      <c r="J8870" s="549"/>
      <c r="K8870" s="549"/>
      <c r="M8870" s="465"/>
      <c r="N8870" s="201"/>
    </row>
    <row r="8871" spans="2:14" hidden="1" outlineLevel="1" x14ac:dyDescent="0.35">
      <c r="B8871" s="200"/>
      <c r="C8871" s="201"/>
      <c r="D8871" s="201"/>
      <c r="E8871" s="201"/>
      <c r="F8871" s="202"/>
      <c r="G8871" s="549"/>
      <c r="H8871" s="549"/>
      <c r="I8871" s="549"/>
      <c r="J8871" s="549"/>
      <c r="K8871" s="549"/>
      <c r="M8871" s="465"/>
      <c r="N8871" s="201"/>
    </row>
    <row r="8872" spans="2:14" hidden="1" outlineLevel="1" x14ac:dyDescent="0.35">
      <c r="B8872" s="200"/>
      <c r="C8872" s="201"/>
      <c r="D8872" s="201"/>
      <c r="E8872" s="201"/>
      <c r="F8872" s="202"/>
      <c r="G8872" s="549"/>
      <c r="H8872" s="549"/>
      <c r="I8872" s="549"/>
      <c r="J8872" s="549"/>
      <c r="K8872" s="549"/>
      <c r="M8872" s="465"/>
      <c r="N8872" s="201"/>
    </row>
    <row r="8873" spans="2:14" hidden="1" outlineLevel="1" x14ac:dyDescent="0.35">
      <c r="B8873" s="200"/>
      <c r="C8873" s="201"/>
      <c r="D8873" s="201"/>
      <c r="E8873" s="201"/>
      <c r="F8873" s="202"/>
      <c r="G8873" s="549"/>
      <c r="H8873" s="549"/>
      <c r="I8873" s="549"/>
      <c r="J8873" s="549"/>
      <c r="K8873" s="549"/>
      <c r="M8873" s="465"/>
      <c r="N8873" s="201"/>
    </row>
    <row r="8874" spans="2:14" hidden="1" outlineLevel="1" x14ac:dyDescent="0.35">
      <c r="B8874" s="200"/>
      <c r="C8874" s="201"/>
      <c r="D8874" s="201"/>
      <c r="E8874" s="201"/>
      <c r="F8874" s="202"/>
      <c r="G8874" s="549"/>
      <c r="H8874" s="549"/>
      <c r="I8874" s="549"/>
      <c r="J8874" s="549"/>
      <c r="K8874" s="549"/>
      <c r="M8874" s="465"/>
      <c r="N8874" s="201"/>
    </row>
    <row r="8875" spans="2:14" hidden="1" outlineLevel="1" x14ac:dyDescent="0.35">
      <c r="B8875" s="200"/>
      <c r="C8875" s="201"/>
      <c r="D8875" s="201"/>
      <c r="E8875" s="201"/>
      <c r="F8875" s="202"/>
      <c r="G8875" s="549"/>
      <c r="H8875" s="549"/>
      <c r="I8875" s="549"/>
      <c r="J8875" s="549"/>
      <c r="K8875" s="549"/>
      <c r="M8875" s="465"/>
      <c r="N8875" s="201"/>
    </row>
    <row r="8876" spans="2:14" hidden="1" outlineLevel="1" x14ac:dyDescent="0.35">
      <c r="B8876" s="200"/>
      <c r="C8876" s="201"/>
      <c r="D8876" s="201"/>
      <c r="E8876" s="201"/>
      <c r="F8876" s="202"/>
      <c r="G8876" s="549"/>
      <c r="H8876" s="549"/>
      <c r="I8876" s="549"/>
      <c r="J8876" s="549"/>
      <c r="K8876" s="549"/>
      <c r="M8876" s="465"/>
      <c r="N8876" s="201"/>
    </row>
    <row r="8877" spans="2:14" hidden="1" outlineLevel="1" x14ac:dyDescent="0.35">
      <c r="B8877" s="200"/>
      <c r="C8877" s="201"/>
      <c r="D8877" s="201"/>
      <c r="E8877" s="201"/>
      <c r="F8877" s="202"/>
      <c r="G8877" s="549"/>
      <c r="H8877" s="549"/>
      <c r="I8877" s="549"/>
      <c r="J8877" s="549"/>
      <c r="K8877" s="549"/>
      <c r="M8877" s="465"/>
      <c r="N8877" s="201"/>
    </row>
    <row r="8878" spans="2:14" hidden="1" outlineLevel="1" x14ac:dyDescent="0.35">
      <c r="B8878" s="200"/>
      <c r="C8878" s="201"/>
      <c r="D8878" s="201"/>
      <c r="E8878" s="201"/>
      <c r="F8878" s="202"/>
      <c r="G8878" s="549"/>
      <c r="H8878" s="549"/>
      <c r="I8878" s="549"/>
      <c r="J8878" s="549"/>
      <c r="K8878" s="549"/>
      <c r="M8878" s="465"/>
      <c r="N8878" s="201"/>
    </row>
    <row r="8879" spans="2:14" hidden="1" outlineLevel="1" x14ac:dyDescent="0.35">
      <c r="B8879" s="200"/>
      <c r="C8879" s="201"/>
      <c r="D8879" s="201"/>
      <c r="E8879" s="201"/>
      <c r="F8879" s="202"/>
      <c r="G8879" s="549"/>
      <c r="H8879" s="549"/>
      <c r="I8879" s="549"/>
      <c r="J8879" s="549"/>
      <c r="K8879" s="549"/>
      <c r="M8879" s="465"/>
      <c r="N8879" s="201"/>
    </row>
    <row r="8880" spans="2:14" hidden="1" outlineLevel="1" x14ac:dyDescent="0.35">
      <c r="B8880" s="200"/>
      <c r="C8880" s="201"/>
      <c r="D8880" s="201"/>
      <c r="E8880" s="201"/>
      <c r="F8880" s="202"/>
      <c r="G8880" s="549"/>
      <c r="H8880" s="549"/>
      <c r="I8880" s="549"/>
      <c r="J8880" s="549"/>
      <c r="K8880" s="549"/>
      <c r="M8880" s="465"/>
      <c r="N8880" s="201"/>
    </row>
    <row r="8881" spans="2:14" hidden="1" outlineLevel="1" x14ac:dyDescent="0.35">
      <c r="B8881" s="200"/>
      <c r="C8881" s="201"/>
      <c r="D8881" s="201"/>
      <c r="E8881" s="201"/>
      <c r="F8881" s="202"/>
      <c r="G8881" s="549"/>
      <c r="H8881" s="549"/>
      <c r="I8881" s="549"/>
      <c r="J8881" s="549"/>
      <c r="K8881" s="549"/>
      <c r="M8881" s="465"/>
      <c r="N8881" s="201"/>
    </row>
    <row r="8882" spans="2:14" hidden="1" outlineLevel="1" x14ac:dyDescent="0.35">
      <c r="B8882" s="200"/>
      <c r="C8882" s="201"/>
      <c r="D8882" s="201"/>
      <c r="E8882" s="201"/>
      <c r="F8882" s="202"/>
      <c r="G8882" s="549"/>
      <c r="H8882" s="549"/>
      <c r="I8882" s="549"/>
      <c r="J8882" s="549"/>
      <c r="K8882" s="549"/>
      <c r="M8882" s="465"/>
      <c r="N8882" s="201"/>
    </row>
    <row r="8883" spans="2:14" hidden="1" outlineLevel="1" x14ac:dyDescent="0.35">
      <c r="B8883" s="200"/>
      <c r="C8883" s="201"/>
      <c r="D8883" s="201"/>
      <c r="E8883" s="201"/>
      <c r="F8883" s="202"/>
      <c r="G8883" s="549"/>
      <c r="H8883" s="549"/>
      <c r="I8883" s="549"/>
      <c r="J8883" s="549"/>
      <c r="K8883" s="549"/>
      <c r="M8883" s="465"/>
      <c r="N8883" s="201"/>
    </row>
    <row r="8884" spans="2:14" hidden="1" outlineLevel="1" x14ac:dyDescent="0.35">
      <c r="B8884" s="200"/>
      <c r="C8884" s="201"/>
      <c r="D8884" s="201"/>
      <c r="E8884" s="201"/>
      <c r="F8884" s="202"/>
      <c r="G8884" s="549"/>
      <c r="H8884" s="549"/>
      <c r="I8884" s="549"/>
      <c r="J8884" s="549"/>
      <c r="K8884" s="549"/>
      <c r="M8884" s="465"/>
      <c r="N8884" s="201"/>
    </row>
    <row r="8885" spans="2:14" hidden="1" outlineLevel="1" x14ac:dyDescent="0.35">
      <c r="B8885" s="200"/>
      <c r="C8885" s="201"/>
      <c r="D8885" s="201"/>
      <c r="E8885" s="201"/>
      <c r="F8885" s="202"/>
      <c r="G8885" s="549"/>
      <c r="H8885" s="549"/>
      <c r="I8885" s="549"/>
      <c r="J8885" s="549"/>
      <c r="K8885" s="549"/>
      <c r="M8885" s="465"/>
      <c r="N8885" s="201"/>
    </row>
    <row r="8886" spans="2:14" hidden="1" outlineLevel="1" x14ac:dyDescent="0.35">
      <c r="B8886" s="200"/>
      <c r="C8886" s="201"/>
      <c r="D8886" s="201"/>
      <c r="E8886" s="201"/>
      <c r="F8886" s="202"/>
      <c r="G8886" s="549"/>
      <c r="H8886" s="549"/>
      <c r="I8886" s="549"/>
      <c r="J8886" s="549"/>
      <c r="K8886" s="549"/>
      <c r="M8886" s="465"/>
      <c r="N8886" s="201"/>
    </row>
    <row r="8887" spans="2:14" hidden="1" outlineLevel="1" x14ac:dyDescent="0.35">
      <c r="B8887" s="200"/>
      <c r="C8887" s="201"/>
      <c r="D8887" s="201"/>
      <c r="E8887" s="201"/>
      <c r="F8887" s="202"/>
      <c r="G8887" s="549"/>
      <c r="H8887" s="549"/>
      <c r="I8887" s="549"/>
      <c r="J8887" s="549"/>
      <c r="K8887" s="549"/>
      <c r="M8887" s="465"/>
      <c r="N8887" s="201"/>
    </row>
    <row r="8888" spans="2:14" hidden="1" outlineLevel="1" x14ac:dyDescent="0.35">
      <c r="B8888" s="200"/>
      <c r="C8888" s="201"/>
      <c r="D8888" s="201"/>
      <c r="E8888" s="201"/>
      <c r="F8888" s="202"/>
      <c r="G8888" s="549"/>
      <c r="H8888" s="549"/>
      <c r="I8888" s="549"/>
      <c r="J8888" s="549"/>
      <c r="K8888" s="549"/>
      <c r="M8888" s="465"/>
      <c r="N8888" s="201"/>
    </row>
    <row r="8889" spans="2:14" hidden="1" outlineLevel="1" x14ac:dyDescent="0.35">
      <c r="B8889" s="200"/>
      <c r="C8889" s="201"/>
      <c r="D8889" s="201"/>
      <c r="E8889" s="201"/>
      <c r="F8889" s="202"/>
      <c r="G8889" s="549"/>
      <c r="H8889" s="549"/>
      <c r="I8889" s="549"/>
      <c r="J8889" s="549"/>
      <c r="K8889" s="549"/>
      <c r="M8889" s="465"/>
      <c r="N8889" s="201"/>
    </row>
    <row r="8890" spans="2:14" hidden="1" outlineLevel="1" x14ac:dyDescent="0.35">
      <c r="B8890" s="200"/>
      <c r="C8890" s="201"/>
      <c r="D8890" s="201"/>
      <c r="E8890" s="201"/>
      <c r="F8890" s="202"/>
      <c r="G8890" s="549"/>
      <c r="H8890" s="549"/>
      <c r="I8890" s="549"/>
      <c r="J8890" s="549"/>
      <c r="K8890" s="549"/>
      <c r="M8890" s="465"/>
      <c r="N8890" s="201"/>
    </row>
    <row r="8891" spans="2:14" hidden="1" outlineLevel="1" x14ac:dyDescent="0.35">
      <c r="B8891" s="200"/>
      <c r="C8891" s="201"/>
      <c r="D8891" s="201"/>
      <c r="E8891" s="201"/>
      <c r="F8891" s="202"/>
      <c r="G8891" s="549"/>
      <c r="H8891" s="549"/>
      <c r="I8891" s="549"/>
      <c r="J8891" s="549"/>
      <c r="K8891" s="549"/>
      <c r="M8891" s="465"/>
      <c r="N8891" s="201"/>
    </row>
    <row r="8892" spans="2:14" hidden="1" outlineLevel="1" x14ac:dyDescent="0.35">
      <c r="B8892" s="200"/>
      <c r="C8892" s="201"/>
      <c r="D8892" s="201"/>
      <c r="E8892" s="201"/>
      <c r="F8892" s="202"/>
      <c r="G8892" s="549"/>
      <c r="H8892" s="549"/>
      <c r="I8892" s="549"/>
      <c r="J8892" s="549"/>
      <c r="K8892" s="549"/>
      <c r="M8892" s="465"/>
      <c r="N8892" s="201"/>
    </row>
    <row r="8893" spans="2:14" hidden="1" outlineLevel="1" x14ac:dyDescent="0.35">
      <c r="B8893" s="200"/>
      <c r="C8893" s="201"/>
      <c r="D8893" s="201"/>
      <c r="E8893" s="201"/>
      <c r="F8893" s="202"/>
      <c r="G8893" s="549"/>
      <c r="H8893" s="549"/>
      <c r="I8893" s="549"/>
      <c r="J8893" s="549"/>
      <c r="K8893" s="549"/>
      <c r="M8893" s="465"/>
      <c r="N8893" s="201"/>
    </row>
    <row r="8894" spans="2:14" hidden="1" outlineLevel="1" x14ac:dyDescent="0.35">
      <c r="B8894" s="200"/>
      <c r="C8894" s="201"/>
      <c r="D8894" s="201"/>
      <c r="E8894" s="201"/>
      <c r="F8894" s="202"/>
      <c r="G8894" s="549"/>
      <c r="H8894" s="549"/>
      <c r="I8894" s="549"/>
      <c r="J8894" s="549"/>
      <c r="K8894" s="549"/>
      <c r="M8894" s="465"/>
      <c r="N8894" s="201"/>
    </row>
    <row r="8895" spans="2:14" hidden="1" outlineLevel="1" x14ac:dyDescent="0.35">
      <c r="B8895" s="200"/>
      <c r="C8895" s="201"/>
      <c r="D8895" s="201"/>
      <c r="E8895" s="201"/>
      <c r="F8895" s="202"/>
      <c r="G8895" s="549"/>
      <c r="H8895" s="549"/>
      <c r="I8895" s="549"/>
      <c r="J8895" s="549"/>
      <c r="K8895" s="549"/>
      <c r="M8895" s="465"/>
      <c r="N8895" s="201"/>
    </row>
    <row r="8896" spans="2:14" hidden="1" outlineLevel="1" x14ac:dyDescent="0.35">
      <c r="B8896" s="200"/>
      <c r="C8896" s="201"/>
      <c r="D8896" s="201"/>
      <c r="E8896" s="201"/>
      <c r="F8896" s="202"/>
      <c r="G8896" s="549"/>
      <c r="H8896" s="549"/>
      <c r="I8896" s="549"/>
      <c r="J8896" s="549"/>
      <c r="K8896" s="549"/>
      <c r="M8896" s="465"/>
      <c r="N8896" s="201"/>
    </row>
    <row r="8897" spans="2:14" hidden="1" outlineLevel="1" x14ac:dyDescent="0.35">
      <c r="B8897" s="200"/>
      <c r="C8897" s="201"/>
      <c r="D8897" s="201"/>
      <c r="E8897" s="201"/>
      <c r="F8897" s="202"/>
      <c r="G8897" s="549"/>
      <c r="H8897" s="549"/>
      <c r="I8897" s="549"/>
      <c r="J8897" s="549"/>
      <c r="K8897" s="549"/>
      <c r="M8897" s="465"/>
      <c r="N8897" s="201"/>
    </row>
    <row r="8898" spans="2:14" hidden="1" outlineLevel="1" x14ac:dyDescent="0.35">
      <c r="B8898" s="200"/>
      <c r="C8898" s="201"/>
      <c r="D8898" s="201"/>
      <c r="E8898" s="201"/>
      <c r="F8898" s="202"/>
      <c r="G8898" s="549"/>
      <c r="H8898" s="549"/>
      <c r="I8898" s="549"/>
      <c r="J8898" s="549"/>
      <c r="K8898" s="549"/>
      <c r="M8898" s="465"/>
      <c r="N8898" s="201"/>
    </row>
    <row r="8899" spans="2:14" hidden="1" outlineLevel="1" x14ac:dyDescent="0.35">
      <c r="B8899" s="200"/>
      <c r="C8899" s="201"/>
      <c r="D8899" s="201"/>
      <c r="E8899" s="201"/>
      <c r="F8899" s="202"/>
      <c r="G8899" s="549"/>
      <c r="H8899" s="549"/>
      <c r="I8899" s="549"/>
      <c r="J8899" s="549"/>
      <c r="K8899" s="549"/>
      <c r="M8899" s="465"/>
      <c r="N8899" s="201"/>
    </row>
    <row r="8900" spans="2:14" hidden="1" outlineLevel="1" x14ac:dyDescent="0.35">
      <c r="B8900" s="200"/>
      <c r="C8900" s="201"/>
      <c r="D8900" s="201"/>
      <c r="E8900" s="201"/>
      <c r="F8900" s="202"/>
      <c r="G8900" s="549"/>
      <c r="H8900" s="549"/>
      <c r="I8900" s="549"/>
      <c r="J8900" s="549"/>
      <c r="K8900" s="549"/>
      <c r="M8900" s="465"/>
      <c r="N8900" s="201"/>
    </row>
    <row r="8901" spans="2:14" hidden="1" outlineLevel="1" x14ac:dyDescent="0.35">
      <c r="B8901" s="200"/>
      <c r="C8901" s="201"/>
      <c r="D8901" s="201"/>
      <c r="E8901" s="201"/>
      <c r="F8901" s="202"/>
      <c r="G8901" s="549"/>
      <c r="H8901" s="549"/>
      <c r="I8901" s="549"/>
      <c r="J8901" s="549"/>
      <c r="K8901" s="549"/>
      <c r="M8901" s="465"/>
      <c r="N8901" s="201"/>
    </row>
    <row r="8902" spans="2:14" hidden="1" outlineLevel="1" x14ac:dyDescent="0.35">
      <c r="B8902" s="200"/>
      <c r="C8902" s="201"/>
      <c r="D8902" s="201"/>
      <c r="E8902" s="201"/>
      <c r="F8902" s="202"/>
      <c r="G8902" s="549"/>
      <c r="H8902" s="549"/>
      <c r="I8902" s="549"/>
      <c r="J8902" s="549"/>
      <c r="K8902" s="549"/>
      <c r="M8902" s="465"/>
      <c r="N8902" s="201"/>
    </row>
    <row r="8903" spans="2:14" hidden="1" outlineLevel="1" x14ac:dyDescent="0.35">
      <c r="B8903" s="200"/>
      <c r="C8903" s="201"/>
      <c r="D8903" s="201"/>
      <c r="E8903" s="201"/>
      <c r="F8903" s="202"/>
      <c r="G8903" s="549"/>
      <c r="H8903" s="549"/>
      <c r="I8903" s="549"/>
      <c r="J8903" s="549"/>
      <c r="K8903" s="549"/>
      <c r="M8903" s="465"/>
      <c r="N8903" s="201"/>
    </row>
    <row r="8904" spans="2:14" hidden="1" outlineLevel="1" x14ac:dyDescent="0.35">
      <c r="B8904" s="200"/>
      <c r="C8904" s="201"/>
      <c r="D8904" s="201"/>
      <c r="E8904" s="201"/>
      <c r="F8904" s="202"/>
      <c r="G8904" s="549"/>
      <c r="H8904" s="549"/>
      <c r="I8904" s="549"/>
      <c r="J8904" s="549"/>
      <c r="K8904" s="549"/>
      <c r="M8904" s="465"/>
      <c r="N8904" s="201"/>
    </row>
    <row r="8905" spans="2:14" hidden="1" outlineLevel="1" x14ac:dyDescent="0.35">
      <c r="B8905" s="200"/>
      <c r="C8905" s="201"/>
      <c r="D8905" s="201"/>
      <c r="E8905" s="201"/>
      <c r="F8905" s="202"/>
      <c r="G8905" s="549"/>
      <c r="H8905" s="549"/>
      <c r="I8905" s="549"/>
      <c r="J8905" s="549"/>
      <c r="K8905" s="549"/>
      <c r="M8905" s="465"/>
      <c r="N8905" s="201"/>
    </row>
    <row r="8906" spans="2:14" hidden="1" outlineLevel="1" x14ac:dyDescent="0.35">
      <c r="B8906" s="200"/>
      <c r="C8906" s="201"/>
      <c r="D8906" s="201"/>
      <c r="E8906" s="201"/>
      <c r="F8906" s="202"/>
      <c r="G8906" s="549"/>
      <c r="H8906" s="549"/>
      <c r="I8906" s="549"/>
      <c r="J8906" s="549"/>
      <c r="K8906" s="549"/>
      <c r="M8906" s="465"/>
      <c r="N8906" s="201"/>
    </row>
    <row r="8907" spans="2:14" hidden="1" outlineLevel="1" x14ac:dyDescent="0.35">
      <c r="B8907" s="200"/>
      <c r="C8907" s="201"/>
      <c r="D8907" s="201"/>
      <c r="E8907" s="201"/>
      <c r="F8907" s="202"/>
      <c r="G8907" s="549"/>
      <c r="H8907" s="549"/>
      <c r="I8907" s="549"/>
      <c r="J8907" s="549"/>
      <c r="K8907" s="549"/>
      <c r="M8907" s="465"/>
      <c r="N8907" s="201"/>
    </row>
    <row r="8908" spans="2:14" hidden="1" outlineLevel="1" x14ac:dyDescent="0.35">
      <c r="B8908" s="200"/>
      <c r="C8908" s="201"/>
      <c r="D8908" s="201"/>
      <c r="E8908" s="201"/>
      <c r="F8908" s="202"/>
      <c r="G8908" s="549"/>
      <c r="H8908" s="549"/>
      <c r="I8908" s="549"/>
      <c r="J8908" s="549"/>
      <c r="K8908" s="549"/>
      <c r="M8908" s="465"/>
      <c r="N8908" s="201"/>
    </row>
    <row r="8909" spans="2:14" hidden="1" outlineLevel="1" x14ac:dyDescent="0.35">
      <c r="B8909" s="200"/>
      <c r="C8909" s="201"/>
      <c r="D8909" s="201"/>
      <c r="E8909" s="201"/>
      <c r="F8909" s="202"/>
      <c r="G8909" s="549"/>
      <c r="H8909" s="549"/>
      <c r="I8909" s="549"/>
      <c r="J8909" s="549"/>
      <c r="K8909" s="549"/>
      <c r="M8909" s="465"/>
      <c r="N8909" s="201"/>
    </row>
    <row r="8910" spans="2:14" hidden="1" outlineLevel="1" x14ac:dyDescent="0.35">
      <c r="B8910" s="200"/>
      <c r="C8910" s="201"/>
      <c r="D8910" s="201"/>
      <c r="E8910" s="201"/>
      <c r="F8910" s="202"/>
      <c r="G8910" s="549"/>
      <c r="H8910" s="549"/>
      <c r="I8910" s="549"/>
      <c r="J8910" s="549"/>
      <c r="K8910" s="549"/>
      <c r="M8910" s="465"/>
      <c r="N8910" s="201"/>
    </row>
    <row r="8911" spans="2:14" hidden="1" outlineLevel="1" x14ac:dyDescent="0.35">
      <c r="B8911" s="200"/>
      <c r="C8911" s="201"/>
      <c r="D8911" s="201"/>
      <c r="E8911" s="201"/>
      <c r="F8911" s="202"/>
      <c r="G8911" s="549"/>
      <c r="H8911" s="549"/>
      <c r="I8911" s="549"/>
      <c r="J8911" s="549"/>
      <c r="K8911" s="549"/>
      <c r="M8911" s="465"/>
      <c r="N8911" s="201"/>
    </row>
    <row r="8912" spans="2:14" hidden="1" outlineLevel="1" x14ac:dyDescent="0.35">
      <c r="B8912" s="200"/>
      <c r="C8912" s="201"/>
      <c r="D8912" s="201"/>
      <c r="E8912" s="201"/>
      <c r="F8912" s="202"/>
      <c r="G8912" s="549"/>
      <c r="H8912" s="549"/>
      <c r="I8912" s="549"/>
      <c r="J8912" s="549"/>
      <c r="K8912" s="549"/>
      <c r="M8912" s="465"/>
      <c r="N8912" s="201"/>
    </row>
    <row r="8913" spans="2:14" hidden="1" outlineLevel="1" x14ac:dyDescent="0.35">
      <c r="B8913" s="200"/>
      <c r="C8913" s="201"/>
      <c r="D8913" s="201"/>
      <c r="E8913" s="201"/>
      <c r="F8913" s="202"/>
      <c r="G8913" s="549"/>
      <c r="H8913" s="549"/>
      <c r="I8913" s="549"/>
      <c r="J8913" s="549"/>
      <c r="K8913" s="549"/>
      <c r="M8913" s="465"/>
      <c r="N8913" s="201"/>
    </row>
    <row r="8914" spans="2:14" hidden="1" outlineLevel="1" x14ac:dyDescent="0.35">
      <c r="B8914" s="200"/>
      <c r="C8914" s="201"/>
      <c r="D8914" s="201"/>
      <c r="E8914" s="201"/>
      <c r="F8914" s="202"/>
      <c r="G8914" s="549"/>
      <c r="H8914" s="549"/>
      <c r="I8914" s="549"/>
      <c r="J8914" s="549"/>
      <c r="K8914" s="549"/>
      <c r="M8914" s="465"/>
      <c r="N8914" s="201"/>
    </row>
    <row r="8915" spans="2:14" hidden="1" outlineLevel="1" x14ac:dyDescent="0.35">
      <c r="B8915" s="200"/>
      <c r="C8915" s="201"/>
      <c r="D8915" s="201"/>
      <c r="E8915" s="201"/>
      <c r="F8915" s="202"/>
      <c r="G8915" s="549"/>
      <c r="H8915" s="549"/>
      <c r="I8915" s="549"/>
      <c r="J8915" s="549"/>
      <c r="K8915" s="549"/>
      <c r="M8915" s="465"/>
      <c r="N8915" s="201"/>
    </row>
    <row r="8916" spans="2:14" hidden="1" outlineLevel="1" x14ac:dyDescent="0.35">
      <c r="B8916" s="200"/>
      <c r="C8916" s="201"/>
      <c r="D8916" s="201"/>
      <c r="E8916" s="201"/>
      <c r="F8916" s="202"/>
      <c r="G8916" s="549"/>
      <c r="H8916" s="549"/>
      <c r="I8916" s="549"/>
      <c r="J8916" s="549"/>
      <c r="K8916" s="549"/>
      <c r="M8916" s="465"/>
      <c r="N8916" s="201"/>
    </row>
    <row r="8917" spans="2:14" hidden="1" outlineLevel="1" x14ac:dyDescent="0.35">
      <c r="B8917" s="200"/>
      <c r="C8917" s="201"/>
      <c r="D8917" s="201"/>
      <c r="E8917" s="201"/>
      <c r="F8917" s="202"/>
      <c r="G8917" s="549"/>
      <c r="H8917" s="549"/>
      <c r="I8917" s="549"/>
      <c r="J8917" s="549"/>
      <c r="K8917" s="549"/>
      <c r="M8917" s="465"/>
      <c r="N8917" s="201"/>
    </row>
    <row r="8918" spans="2:14" hidden="1" outlineLevel="1" x14ac:dyDescent="0.35">
      <c r="B8918" s="200"/>
      <c r="C8918" s="201"/>
      <c r="D8918" s="201"/>
      <c r="E8918" s="201"/>
      <c r="F8918" s="202"/>
      <c r="G8918" s="549"/>
      <c r="H8918" s="549"/>
      <c r="I8918" s="549"/>
      <c r="J8918" s="549"/>
      <c r="K8918" s="549"/>
      <c r="M8918" s="465"/>
      <c r="N8918" s="201"/>
    </row>
    <row r="8919" spans="2:14" hidden="1" outlineLevel="1" x14ac:dyDescent="0.35">
      <c r="B8919" s="200"/>
      <c r="C8919" s="201"/>
      <c r="D8919" s="201"/>
      <c r="E8919" s="201"/>
      <c r="F8919" s="202"/>
      <c r="G8919" s="549"/>
      <c r="H8919" s="549"/>
      <c r="I8919" s="549"/>
      <c r="J8919" s="549"/>
      <c r="K8919" s="549"/>
      <c r="M8919" s="465"/>
      <c r="N8919" s="201"/>
    </row>
    <row r="8920" spans="2:14" hidden="1" outlineLevel="1" x14ac:dyDescent="0.35">
      <c r="B8920" s="200"/>
      <c r="C8920" s="201"/>
      <c r="D8920" s="201"/>
      <c r="E8920" s="201"/>
      <c r="F8920" s="202"/>
      <c r="G8920" s="549"/>
      <c r="H8920" s="549"/>
      <c r="I8920" s="549"/>
      <c r="J8920" s="549"/>
      <c r="K8920" s="549"/>
      <c r="M8920" s="465"/>
      <c r="N8920" s="201"/>
    </row>
    <row r="8921" spans="2:14" hidden="1" outlineLevel="1" x14ac:dyDescent="0.35">
      <c r="B8921" s="200"/>
      <c r="C8921" s="201"/>
      <c r="D8921" s="201"/>
      <c r="E8921" s="201"/>
      <c r="F8921" s="202"/>
      <c r="G8921" s="549"/>
      <c r="H8921" s="549"/>
      <c r="I8921" s="549"/>
      <c r="J8921" s="549"/>
      <c r="K8921" s="549"/>
      <c r="M8921" s="465"/>
      <c r="N8921" s="201"/>
    </row>
    <row r="8922" spans="2:14" hidden="1" outlineLevel="1" x14ac:dyDescent="0.35">
      <c r="B8922" s="200"/>
      <c r="C8922" s="201"/>
      <c r="D8922" s="201"/>
      <c r="E8922" s="201"/>
      <c r="F8922" s="202"/>
      <c r="G8922" s="549"/>
      <c r="H8922" s="549"/>
      <c r="I8922" s="549"/>
      <c r="J8922" s="549"/>
      <c r="K8922" s="549"/>
      <c r="M8922" s="465"/>
      <c r="N8922" s="201"/>
    </row>
    <row r="8923" spans="2:14" hidden="1" outlineLevel="1" x14ac:dyDescent="0.35">
      <c r="B8923" s="200"/>
      <c r="C8923" s="201"/>
      <c r="D8923" s="201"/>
      <c r="E8923" s="201"/>
      <c r="F8923" s="202"/>
      <c r="G8923" s="549"/>
      <c r="H8923" s="549"/>
      <c r="I8923" s="549"/>
      <c r="J8923" s="549"/>
      <c r="K8923" s="549"/>
      <c r="M8923" s="465"/>
      <c r="N8923" s="201"/>
    </row>
    <row r="8924" spans="2:14" hidden="1" outlineLevel="1" x14ac:dyDescent="0.35">
      <c r="B8924" s="200"/>
      <c r="C8924" s="201"/>
      <c r="D8924" s="201"/>
      <c r="E8924" s="201"/>
      <c r="F8924" s="202"/>
      <c r="G8924" s="549"/>
      <c r="H8924" s="549"/>
      <c r="I8924" s="549"/>
      <c r="J8924" s="549"/>
      <c r="K8924" s="549"/>
      <c r="M8924" s="465"/>
      <c r="N8924" s="201"/>
    </row>
    <row r="8925" spans="2:14" hidden="1" outlineLevel="1" x14ac:dyDescent="0.35">
      <c r="B8925" s="200"/>
      <c r="C8925" s="201"/>
      <c r="D8925" s="201"/>
      <c r="E8925" s="201"/>
      <c r="F8925" s="202"/>
      <c r="G8925" s="549"/>
      <c r="H8925" s="549"/>
      <c r="I8925" s="549"/>
      <c r="J8925" s="549"/>
      <c r="K8925" s="549"/>
      <c r="M8925" s="465"/>
      <c r="N8925" s="201"/>
    </row>
    <row r="8926" spans="2:14" hidden="1" outlineLevel="1" x14ac:dyDescent="0.35">
      <c r="B8926" s="200"/>
      <c r="C8926" s="201"/>
      <c r="D8926" s="201"/>
      <c r="E8926" s="201"/>
      <c r="F8926" s="202"/>
      <c r="G8926" s="549"/>
      <c r="H8926" s="549"/>
      <c r="I8926" s="549"/>
      <c r="J8926" s="549"/>
      <c r="K8926" s="549"/>
      <c r="M8926" s="465"/>
      <c r="N8926" s="201"/>
    </row>
    <row r="8927" spans="2:14" hidden="1" outlineLevel="1" x14ac:dyDescent="0.35">
      <c r="B8927" s="200"/>
      <c r="C8927" s="201"/>
      <c r="D8927" s="201"/>
      <c r="E8927" s="201"/>
      <c r="F8927" s="202"/>
      <c r="G8927" s="549"/>
      <c r="H8927" s="549"/>
      <c r="I8927" s="549"/>
      <c r="J8927" s="549"/>
      <c r="K8927" s="549"/>
      <c r="M8927" s="465"/>
      <c r="N8927" s="201"/>
    </row>
    <row r="8928" spans="2:14" hidden="1" outlineLevel="1" x14ac:dyDescent="0.35">
      <c r="B8928" s="200"/>
      <c r="C8928" s="201"/>
      <c r="D8928" s="201"/>
      <c r="E8928" s="201"/>
      <c r="F8928" s="202"/>
      <c r="G8928" s="549"/>
      <c r="H8928" s="549"/>
      <c r="I8928" s="549"/>
      <c r="J8928" s="549"/>
      <c r="K8928" s="549"/>
      <c r="M8928" s="465"/>
      <c r="N8928" s="201"/>
    </row>
    <row r="8929" spans="2:14" hidden="1" outlineLevel="1" x14ac:dyDescent="0.35">
      <c r="B8929" s="200"/>
      <c r="C8929" s="201"/>
      <c r="D8929" s="201"/>
      <c r="E8929" s="201"/>
      <c r="F8929" s="202"/>
      <c r="G8929" s="549"/>
      <c r="H8929" s="549"/>
      <c r="I8929" s="549"/>
      <c r="J8929" s="549"/>
      <c r="K8929" s="549"/>
      <c r="M8929" s="465"/>
      <c r="N8929" s="201"/>
    </row>
    <row r="8930" spans="2:14" hidden="1" outlineLevel="1" x14ac:dyDescent="0.35">
      <c r="B8930" s="200"/>
      <c r="C8930" s="201"/>
      <c r="D8930" s="201"/>
      <c r="E8930" s="201"/>
      <c r="F8930" s="202"/>
      <c r="G8930" s="549"/>
      <c r="H8930" s="549"/>
      <c r="I8930" s="549"/>
      <c r="J8930" s="549"/>
      <c r="K8930" s="549"/>
      <c r="M8930" s="465"/>
      <c r="N8930" s="201"/>
    </row>
    <row r="8931" spans="2:14" hidden="1" outlineLevel="1" x14ac:dyDescent="0.35">
      <c r="B8931" s="200"/>
      <c r="C8931" s="201"/>
      <c r="D8931" s="201"/>
      <c r="E8931" s="201"/>
      <c r="F8931" s="202"/>
      <c r="G8931" s="549"/>
      <c r="H8931" s="549"/>
      <c r="I8931" s="549"/>
      <c r="J8931" s="549"/>
      <c r="K8931" s="549"/>
      <c r="M8931" s="465"/>
      <c r="N8931" s="201"/>
    </row>
    <row r="8932" spans="2:14" hidden="1" outlineLevel="1" x14ac:dyDescent="0.35">
      <c r="B8932" s="200"/>
      <c r="C8932" s="201"/>
      <c r="D8932" s="201"/>
      <c r="E8932" s="201"/>
      <c r="F8932" s="202"/>
      <c r="G8932" s="549"/>
      <c r="H8932" s="549"/>
      <c r="I8932" s="549"/>
      <c r="J8932" s="549"/>
      <c r="K8932" s="549"/>
      <c r="M8932" s="465"/>
      <c r="N8932" s="201"/>
    </row>
    <row r="8933" spans="2:14" hidden="1" outlineLevel="1" x14ac:dyDescent="0.35">
      <c r="B8933" s="200"/>
      <c r="C8933" s="201"/>
      <c r="D8933" s="201"/>
      <c r="E8933" s="201"/>
      <c r="F8933" s="202"/>
      <c r="G8933" s="549"/>
      <c r="H8933" s="549"/>
      <c r="I8933" s="549"/>
      <c r="J8933" s="549"/>
      <c r="K8933" s="549"/>
      <c r="M8933" s="465"/>
      <c r="N8933" s="201"/>
    </row>
    <row r="8934" spans="2:14" hidden="1" outlineLevel="1" x14ac:dyDescent="0.35">
      <c r="B8934" s="200"/>
      <c r="C8934" s="201"/>
      <c r="D8934" s="201"/>
      <c r="E8934" s="201"/>
      <c r="F8934" s="202"/>
      <c r="G8934" s="549"/>
      <c r="H8934" s="549"/>
      <c r="I8934" s="549"/>
      <c r="J8934" s="549"/>
      <c r="K8934" s="549"/>
      <c r="M8934" s="465"/>
      <c r="N8934" s="201"/>
    </row>
    <row r="8935" spans="2:14" hidden="1" outlineLevel="1" x14ac:dyDescent="0.35">
      <c r="B8935" s="200"/>
      <c r="C8935" s="201"/>
      <c r="D8935" s="201"/>
      <c r="E8935" s="201"/>
      <c r="F8935" s="202"/>
      <c r="G8935" s="549"/>
      <c r="H8935" s="549"/>
      <c r="I8935" s="549"/>
      <c r="J8935" s="549"/>
      <c r="K8935" s="549"/>
      <c r="M8935" s="465"/>
      <c r="N8935" s="201"/>
    </row>
    <row r="8936" spans="2:14" hidden="1" outlineLevel="1" x14ac:dyDescent="0.35">
      <c r="B8936" s="200"/>
      <c r="C8936" s="201"/>
      <c r="D8936" s="201"/>
      <c r="E8936" s="201"/>
      <c r="F8936" s="202"/>
      <c r="G8936" s="549"/>
      <c r="H8936" s="549"/>
      <c r="I8936" s="549"/>
      <c r="J8936" s="549"/>
      <c r="K8936" s="549"/>
      <c r="M8936" s="465"/>
      <c r="N8936" s="201"/>
    </row>
    <row r="8937" spans="2:14" hidden="1" outlineLevel="1" x14ac:dyDescent="0.35">
      <c r="B8937" s="200"/>
      <c r="C8937" s="201"/>
      <c r="D8937" s="201"/>
      <c r="E8937" s="201"/>
      <c r="F8937" s="202"/>
      <c r="G8937" s="549"/>
      <c r="H8937" s="549"/>
      <c r="I8937" s="549"/>
      <c r="J8937" s="549"/>
      <c r="K8937" s="549"/>
      <c r="M8937" s="465"/>
      <c r="N8937" s="201"/>
    </row>
    <row r="8938" spans="2:14" hidden="1" outlineLevel="1" x14ac:dyDescent="0.35">
      <c r="B8938" s="200"/>
      <c r="C8938" s="201"/>
      <c r="D8938" s="201"/>
      <c r="E8938" s="201"/>
      <c r="F8938" s="202"/>
      <c r="G8938" s="549"/>
      <c r="H8938" s="549"/>
      <c r="I8938" s="549"/>
      <c r="J8938" s="549"/>
      <c r="K8938" s="549"/>
      <c r="M8938" s="465"/>
      <c r="N8938" s="201"/>
    </row>
    <row r="8939" spans="2:14" hidden="1" outlineLevel="1" x14ac:dyDescent="0.35">
      <c r="B8939" s="200"/>
      <c r="C8939" s="201"/>
      <c r="D8939" s="201"/>
      <c r="E8939" s="201"/>
      <c r="F8939" s="202"/>
      <c r="G8939" s="549"/>
      <c r="H8939" s="549"/>
      <c r="I8939" s="549"/>
      <c r="J8939" s="549"/>
      <c r="K8939" s="549"/>
      <c r="M8939" s="465"/>
      <c r="N8939" s="201"/>
    </row>
    <row r="8940" spans="2:14" hidden="1" outlineLevel="1" x14ac:dyDescent="0.35">
      <c r="B8940" s="200"/>
      <c r="C8940" s="201"/>
      <c r="D8940" s="201"/>
      <c r="E8940" s="201"/>
      <c r="F8940" s="202"/>
      <c r="G8940" s="549"/>
      <c r="H8940" s="549"/>
      <c r="I8940" s="549"/>
      <c r="J8940" s="549"/>
      <c r="K8940" s="549"/>
      <c r="M8940" s="465"/>
      <c r="N8940" s="201"/>
    </row>
    <row r="8941" spans="2:14" hidden="1" outlineLevel="1" x14ac:dyDescent="0.35">
      <c r="B8941" s="200"/>
      <c r="C8941" s="201"/>
      <c r="D8941" s="201"/>
      <c r="E8941" s="201"/>
      <c r="F8941" s="202"/>
      <c r="G8941" s="549"/>
      <c r="H8941" s="549"/>
      <c r="I8941" s="549"/>
      <c r="J8941" s="549"/>
      <c r="K8941" s="549"/>
      <c r="M8941" s="465"/>
      <c r="N8941" s="201"/>
    </row>
    <row r="8942" spans="2:14" hidden="1" outlineLevel="1" x14ac:dyDescent="0.35">
      <c r="B8942" s="200"/>
      <c r="C8942" s="201"/>
      <c r="D8942" s="201"/>
      <c r="E8942" s="201"/>
      <c r="F8942" s="202"/>
      <c r="G8942" s="549"/>
      <c r="H8942" s="549"/>
      <c r="I8942" s="549"/>
      <c r="J8942" s="549"/>
      <c r="K8942" s="549"/>
      <c r="M8942" s="465"/>
      <c r="N8942" s="201"/>
    </row>
    <row r="8943" spans="2:14" hidden="1" outlineLevel="1" x14ac:dyDescent="0.35">
      <c r="B8943" s="200"/>
      <c r="C8943" s="201"/>
      <c r="D8943" s="201"/>
      <c r="E8943" s="201"/>
      <c r="F8943" s="202"/>
      <c r="G8943" s="549"/>
      <c r="H8943" s="549"/>
      <c r="I8943" s="549"/>
      <c r="J8943" s="549"/>
      <c r="K8943" s="549"/>
      <c r="M8943" s="465"/>
      <c r="N8943" s="201"/>
    </row>
    <row r="8944" spans="2:14" hidden="1" outlineLevel="1" x14ac:dyDescent="0.35">
      <c r="B8944" s="200"/>
      <c r="C8944" s="201"/>
      <c r="D8944" s="201"/>
      <c r="E8944" s="201"/>
      <c r="F8944" s="202"/>
      <c r="G8944" s="549"/>
      <c r="H8944" s="549"/>
      <c r="I8944" s="549"/>
      <c r="J8944" s="549"/>
      <c r="K8944" s="549"/>
      <c r="M8944" s="465"/>
      <c r="N8944" s="201"/>
    </row>
    <row r="8945" spans="2:14" hidden="1" outlineLevel="1" x14ac:dyDescent="0.35">
      <c r="B8945" s="200"/>
      <c r="C8945" s="201"/>
      <c r="D8945" s="201"/>
      <c r="E8945" s="201"/>
      <c r="F8945" s="202"/>
      <c r="G8945" s="549"/>
      <c r="H8945" s="549"/>
      <c r="I8945" s="549"/>
      <c r="J8945" s="549"/>
      <c r="K8945" s="549"/>
      <c r="M8945" s="465"/>
      <c r="N8945" s="201"/>
    </row>
    <row r="8946" spans="2:14" hidden="1" outlineLevel="1" x14ac:dyDescent="0.35">
      <c r="B8946" s="200"/>
      <c r="C8946" s="201"/>
      <c r="D8946" s="201"/>
      <c r="E8946" s="201"/>
      <c r="F8946" s="202"/>
      <c r="G8946" s="549"/>
      <c r="H8946" s="549"/>
      <c r="I8946" s="549"/>
      <c r="J8946" s="549"/>
      <c r="K8946" s="549"/>
      <c r="M8946" s="465"/>
      <c r="N8946" s="201"/>
    </row>
    <row r="8947" spans="2:14" hidden="1" outlineLevel="1" x14ac:dyDescent="0.35">
      <c r="B8947" s="200"/>
      <c r="C8947" s="201"/>
      <c r="D8947" s="201"/>
      <c r="E8947" s="201"/>
      <c r="F8947" s="202"/>
      <c r="G8947" s="549"/>
      <c r="H8947" s="549"/>
      <c r="I8947" s="549"/>
      <c r="J8947" s="549"/>
      <c r="K8947" s="549"/>
      <c r="M8947" s="465"/>
      <c r="N8947" s="201"/>
    </row>
    <row r="8948" spans="2:14" hidden="1" outlineLevel="1" x14ac:dyDescent="0.35">
      <c r="B8948" s="200"/>
      <c r="C8948" s="201"/>
      <c r="D8948" s="201"/>
      <c r="E8948" s="201"/>
      <c r="F8948" s="202"/>
      <c r="G8948" s="549"/>
      <c r="H8948" s="549"/>
      <c r="I8948" s="549"/>
      <c r="J8948" s="549"/>
      <c r="K8948" s="549"/>
      <c r="M8948" s="465"/>
      <c r="N8948" s="201"/>
    </row>
    <row r="8949" spans="2:14" hidden="1" outlineLevel="1" x14ac:dyDescent="0.35">
      <c r="B8949" s="200"/>
      <c r="C8949" s="201"/>
      <c r="D8949" s="201"/>
      <c r="E8949" s="201"/>
      <c r="F8949" s="202"/>
      <c r="G8949" s="549"/>
      <c r="H8949" s="549"/>
      <c r="I8949" s="549"/>
      <c r="J8949" s="549"/>
      <c r="K8949" s="549"/>
      <c r="M8949" s="465"/>
      <c r="N8949" s="201"/>
    </row>
    <row r="8950" spans="2:14" hidden="1" outlineLevel="1" x14ac:dyDescent="0.35">
      <c r="B8950" s="200"/>
      <c r="C8950" s="201"/>
      <c r="D8950" s="201"/>
      <c r="E8950" s="201"/>
      <c r="F8950" s="202"/>
      <c r="G8950" s="549"/>
      <c r="H8950" s="549"/>
      <c r="I8950" s="549"/>
      <c r="J8950" s="549"/>
      <c r="K8950" s="549"/>
      <c r="M8950" s="465"/>
      <c r="N8950" s="201"/>
    </row>
    <row r="8951" spans="2:14" hidden="1" outlineLevel="1" x14ac:dyDescent="0.35">
      <c r="B8951" s="200"/>
      <c r="C8951" s="201"/>
      <c r="D8951" s="201"/>
      <c r="E8951" s="201"/>
      <c r="F8951" s="202"/>
      <c r="G8951" s="549"/>
      <c r="H8951" s="549"/>
      <c r="I8951" s="549"/>
      <c r="J8951" s="549"/>
      <c r="K8951" s="549"/>
      <c r="M8951" s="465"/>
      <c r="N8951" s="201"/>
    </row>
    <row r="8952" spans="2:14" hidden="1" outlineLevel="1" x14ac:dyDescent="0.35">
      <c r="B8952" s="200"/>
      <c r="C8952" s="201"/>
      <c r="D8952" s="201"/>
      <c r="E8952" s="201"/>
      <c r="F8952" s="202"/>
      <c r="G8952" s="549"/>
      <c r="H8952" s="549"/>
      <c r="I8952" s="549"/>
      <c r="J8952" s="549"/>
      <c r="K8952" s="549"/>
      <c r="M8952" s="465"/>
      <c r="N8952" s="201"/>
    </row>
    <row r="8953" spans="2:14" hidden="1" outlineLevel="1" x14ac:dyDescent="0.35">
      <c r="B8953" s="200"/>
      <c r="C8953" s="201"/>
      <c r="D8953" s="201"/>
      <c r="E8953" s="201"/>
      <c r="F8953" s="202"/>
      <c r="G8953" s="549"/>
      <c r="H8953" s="549"/>
      <c r="I8953" s="549"/>
      <c r="J8953" s="549"/>
      <c r="K8953" s="549"/>
      <c r="M8953" s="465"/>
      <c r="N8953" s="201"/>
    </row>
    <row r="8954" spans="2:14" hidden="1" outlineLevel="1" x14ac:dyDescent="0.35">
      <c r="B8954" s="200"/>
      <c r="C8954" s="201"/>
      <c r="D8954" s="201"/>
      <c r="E8954" s="201"/>
      <c r="F8954" s="202"/>
      <c r="G8954" s="549"/>
      <c r="H8954" s="549"/>
      <c r="I8954" s="549"/>
      <c r="J8954" s="549"/>
      <c r="K8954" s="549"/>
      <c r="M8954" s="465"/>
      <c r="N8954" s="201"/>
    </row>
    <row r="8955" spans="2:14" hidden="1" outlineLevel="1" x14ac:dyDescent="0.35">
      <c r="B8955" s="200"/>
      <c r="C8955" s="201"/>
      <c r="D8955" s="201"/>
      <c r="E8955" s="201"/>
      <c r="F8955" s="202"/>
      <c r="G8955" s="549"/>
      <c r="H8955" s="549"/>
      <c r="I8955" s="549"/>
      <c r="J8955" s="549"/>
      <c r="K8955" s="549"/>
      <c r="M8955" s="465"/>
      <c r="N8955" s="201"/>
    </row>
    <row r="8956" spans="2:14" hidden="1" outlineLevel="1" x14ac:dyDescent="0.35">
      <c r="B8956" s="200"/>
      <c r="C8956" s="201"/>
      <c r="D8956" s="201"/>
      <c r="E8956" s="201"/>
      <c r="F8956" s="202"/>
      <c r="G8956" s="549"/>
      <c r="H8956" s="549"/>
      <c r="I8956" s="549"/>
      <c r="J8956" s="549"/>
      <c r="K8956" s="549"/>
      <c r="M8956" s="465"/>
      <c r="N8956" s="201"/>
    </row>
    <row r="8957" spans="2:14" hidden="1" outlineLevel="1" x14ac:dyDescent="0.35">
      <c r="B8957" s="200"/>
      <c r="C8957" s="201"/>
      <c r="D8957" s="201"/>
      <c r="E8957" s="201"/>
      <c r="F8957" s="202"/>
      <c r="G8957" s="549"/>
      <c r="H8957" s="549"/>
      <c r="I8957" s="549"/>
      <c r="J8957" s="549"/>
      <c r="K8957" s="549"/>
      <c r="M8957" s="465"/>
      <c r="N8957" s="201"/>
    </row>
    <row r="8958" spans="2:14" hidden="1" outlineLevel="1" x14ac:dyDescent="0.35">
      <c r="B8958" s="200"/>
      <c r="C8958" s="201"/>
      <c r="D8958" s="201"/>
      <c r="E8958" s="201"/>
      <c r="F8958" s="202"/>
      <c r="G8958" s="549"/>
      <c r="H8958" s="549"/>
      <c r="I8958" s="549"/>
      <c r="J8958" s="549"/>
      <c r="K8958" s="549"/>
      <c r="M8958" s="465"/>
      <c r="N8958" s="201"/>
    </row>
    <row r="8959" spans="2:14" hidden="1" outlineLevel="1" x14ac:dyDescent="0.35">
      <c r="B8959" s="200"/>
      <c r="C8959" s="201"/>
      <c r="D8959" s="201"/>
      <c r="E8959" s="201"/>
      <c r="F8959" s="202"/>
      <c r="G8959" s="549"/>
      <c r="H8959" s="549"/>
      <c r="I8959" s="549"/>
      <c r="J8959" s="549"/>
      <c r="K8959" s="549"/>
      <c r="M8959" s="465"/>
      <c r="N8959" s="201"/>
    </row>
    <row r="8960" spans="2:14" hidden="1" outlineLevel="1" x14ac:dyDescent="0.35">
      <c r="B8960" s="200"/>
      <c r="C8960" s="201"/>
      <c r="D8960" s="201"/>
      <c r="E8960" s="201"/>
      <c r="F8960" s="202"/>
      <c r="G8960" s="549"/>
      <c r="H8960" s="549"/>
      <c r="I8960" s="549"/>
      <c r="J8960" s="549"/>
      <c r="K8960" s="549"/>
      <c r="M8960" s="465"/>
      <c r="N8960" s="201"/>
    </row>
    <row r="8961" spans="2:14" hidden="1" outlineLevel="1" x14ac:dyDescent="0.35">
      <c r="B8961" s="200"/>
      <c r="C8961" s="201"/>
      <c r="D8961" s="201"/>
      <c r="E8961" s="201"/>
      <c r="F8961" s="202"/>
      <c r="G8961" s="549"/>
      <c r="H8961" s="549"/>
      <c r="I8961" s="549"/>
      <c r="J8961" s="549"/>
      <c r="K8961" s="549"/>
      <c r="M8961" s="465"/>
      <c r="N8961" s="201"/>
    </row>
    <row r="8962" spans="2:14" hidden="1" outlineLevel="1" x14ac:dyDescent="0.35">
      <c r="B8962" s="200"/>
      <c r="C8962" s="201"/>
      <c r="D8962" s="201"/>
      <c r="E8962" s="201"/>
      <c r="F8962" s="202"/>
      <c r="G8962" s="549"/>
      <c r="H8962" s="549"/>
      <c r="I8962" s="549"/>
      <c r="J8962" s="549"/>
      <c r="K8962" s="549"/>
      <c r="M8962" s="465"/>
      <c r="N8962" s="201"/>
    </row>
    <row r="8963" spans="2:14" hidden="1" outlineLevel="1" x14ac:dyDescent="0.35">
      <c r="B8963" s="200"/>
      <c r="C8963" s="201"/>
      <c r="D8963" s="201"/>
      <c r="E8963" s="201"/>
      <c r="F8963" s="202"/>
      <c r="G8963" s="549"/>
      <c r="H8963" s="549"/>
      <c r="I8963" s="549"/>
      <c r="J8963" s="549"/>
      <c r="K8963" s="549"/>
      <c r="M8963" s="465"/>
      <c r="N8963" s="201"/>
    </row>
    <row r="8964" spans="2:14" hidden="1" outlineLevel="1" x14ac:dyDescent="0.35">
      <c r="B8964" s="200"/>
      <c r="C8964" s="201"/>
      <c r="D8964" s="201"/>
      <c r="E8964" s="201"/>
      <c r="F8964" s="202"/>
      <c r="G8964" s="549"/>
      <c r="H8964" s="549"/>
      <c r="I8964" s="549"/>
      <c r="J8964" s="549"/>
      <c r="K8964" s="549"/>
      <c r="M8964" s="465"/>
      <c r="N8964" s="201"/>
    </row>
    <row r="8965" spans="2:14" hidden="1" outlineLevel="1" x14ac:dyDescent="0.35">
      <c r="B8965" s="200"/>
      <c r="C8965" s="201"/>
      <c r="D8965" s="201"/>
      <c r="E8965" s="201"/>
      <c r="F8965" s="202"/>
      <c r="G8965" s="549"/>
      <c r="H8965" s="549"/>
      <c r="I8965" s="549"/>
      <c r="J8965" s="549"/>
      <c r="K8965" s="549"/>
      <c r="M8965" s="465"/>
      <c r="N8965" s="201"/>
    </row>
    <row r="8966" spans="2:14" hidden="1" outlineLevel="1" x14ac:dyDescent="0.35">
      <c r="B8966" s="200"/>
      <c r="C8966" s="201"/>
      <c r="D8966" s="201"/>
      <c r="E8966" s="201"/>
      <c r="F8966" s="202"/>
      <c r="G8966" s="549"/>
      <c r="H8966" s="549"/>
      <c r="I8966" s="549"/>
      <c r="J8966" s="549"/>
      <c r="K8966" s="549"/>
      <c r="M8966" s="465"/>
      <c r="N8966" s="201"/>
    </row>
    <row r="8967" spans="2:14" hidden="1" outlineLevel="1" x14ac:dyDescent="0.35">
      <c r="B8967" s="200"/>
      <c r="C8967" s="201"/>
      <c r="D8967" s="201"/>
      <c r="E8967" s="201"/>
      <c r="F8967" s="202"/>
      <c r="G8967" s="549"/>
      <c r="H8967" s="549"/>
      <c r="I8967" s="549"/>
      <c r="J8967" s="549"/>
      <c r="K8967" s="549"/>
      <c r="M8967" s="465"/>
      <c r="N8967" s="201"/>
    </row>
    <row r="8968" spans="2:14" hidden="1" outlineLevel="1" x14ac:dyDescent="0.35">
      <c r="B8968" s="200"/>
      <c r="C8968" s="201"/>
      <c r="D8968" s="201"/>
      <c r="E8968" s="201"/>
      <c r="F8968" s="202"/>
      <c r="G8968" s="549"/>
      <c r="H8968" s="549"/>
      <c r="I8968" s="549"/>
      <c r="J8968" s="549"/>
      <c r="K8968" s="549"/>
      <c r="M8968" s="465"/>
      <c r="N8968" s="201"/>
    </row>
    <row r="8969" spans="2:14" hidden="1" outlineLevel="1" x14ac:dyDescent="0.35">
      <c r="B8969" s="200"/>
      <c r="C8969" s="201"/>
      <c r="D8969" s="201"/>
      <c r="E8969" s="201"/>
      <c r="F8969" s="202"/>
      <c r="G8969" s="549"/>
      <c r="H8969" s="549"/>
      <c r="I8969" s="549"/>
      <c r="J8969" s="549"/>
      <c r="K8969" s="549"/>
      <c r="M8969" s="465"/>
      <c r="N8969" s="201"/>
    </row>
    <row r="8970" spans="2:14" hidden="1" outlineLevel="1" x14ac:dyDescent="0.35">
      <c r="B8970" s="200"/>
      <c r="C8970" s="201"/>
      <c r="D8970" s="201"/>
      <c r="E8970" s="201"/>
      <c r="F8970" s="202"/>
      <c r="G8970" s="549"/>
      <c r="H8970" s="549"/>
      <c r="I8970" s="549"/>
      <c r="J8970" s="549"/>
      <c r="K8970" s="549"/>
      <c r="M8970" s="465"/>
      <c r="N8970" s="201"/>
    </row>
    <row r="8971" spans="2:14" hidden="1" outlineLevel="1" x14ac:dyDescent="0.35">
      <c r="B8971" s="200"/>
      <c r="C8971" s="201"/>
      <c r="D8971" s="201"/>
      <c r="E8971" s="201"/>
      <c r="F8971" s="202"/>
      <c r="G8971" s="549"/>
      <c r="H8971" s="549"/>
      <c r="I8971" s="549"/>
      <c r="J8971" s="549"/>
      <c r="K8971" s="549"/>
      <c r="M8971" s="465"/>
      <c r="N8971" s="201"/>
    </row>
    <row r="8972" spans="2:14" hidden="1" outlineLevel="1" x14ac:dyDescent="0.35">
      <c r="B8972" s="200"/>
      <c r="C8972" s="201"/>
      <c r="D8972" s="201"/>
      <c r="E8972" s="201"/>
      <c r="F8972" s="202"/>
      <c r="G8972" s="549"/>
      <c r="H8972" s="549"/>
      <c r="I8972" s="549"/>
      <c r="J8972" s="549"/>
      <c r="K8972" s="549"/>
      <c r="M8972" s="465"/>
      <c r="N8972" s="201"/>
    </row>
    <row r="8973" spans="2:14" hidden="1" outlineLevel="1" x14ac:dyDescent="0.35">
      <c r="B8973" s="200"/>
      <c r="C8973" s="201"/>
      <c r="D8973" s="201"/>
      <c r="E8973" s="201"/>
      <c r="F8973" s="202"/>
      <c r="G8973" s="549"/>
      <c r="H8973" s="549"/>
      <c r="I8973" s="549"/>
      <c r="J8973" s="549"/>
      <c r="K8973" s="549"/>
      <c r="M8973" s="465"/>
      <c r="N8973" s="201"/>
    </row>
    <row r="8974" spans="2:14" hidden="1" outlineLevel="1" x14ac:dyDescent="0.35">
      <c r="B8974" s="200"/>
      <c r="C8974" s="201"/>
      <c r="D8974" s="201"/>
      <c r="E8974" s="201"/>
      <c r="F8974" s="202"/>
      <c r="G8974" s="549"/>
      <c r="H8974" s="549"/>
      <c r="I8974" s="549"/>
      <c r="J8974" s="549"/>
      <c r="K8974" s="549"/>
      <c r="M8974" s="465"/>
      <c r="N8974" s="201"/>
    </row>
    <row r="8975" spans="2:14" hidden="1" outlineLevel="1" x14ac:dyDescent="0.35">
      <c r="B8975" s="200"/>
      <c r="C8975" s="201"/>
      <c r="D8975" s="201"/>
      <c r="E8975" s="201"/>
      <c r="F8975" s="202"/>
      <c r="G8975" s="549"/>
      <c r="H8975" s="549"/>
      <c r="I8975" s="549"/>
      <c r="J8975" s="549"/>
      <c r="K8975" s="549"/>
      <c r="M8975" s="465"/>
      <c r="N8975" s="201"/>
    </row>
    <row r="8976" spans="2:14" hidden="1" outlineLevel="1" x14ac:dyDescent="0.35">
      <c r="B8976" s="200"/>
      <c r="C8976" s="201"/>
      <c r="D8976" s="201"/>
      <c r="E8976" s="201"/>
      <c r="F8976" s="202"/>
      <c r="G8976" s="549"/>
      <c r="H8976" s="549"/>
      <c r="I8976" s="549"/>
      <c r="J8976" s="549"/>
      <c r="K8976" s="549"/>
      <c r="M8976" s="465"/>
      <c r="N8976" s="201"/>
    </row>
    <row r="8977" spans="2:14" hidden="1" outlineLevel="1" x14ac:dyDescent="0.35">
      <c r="B8977" s="200"/>
      <c r="C8977" s="201"/>
      <c r="D8977" s="201"/>
      <c r="E8977" s="201"/>
      <c r="F8977" s="202"/>
      <c r="G8977" s="549"/>
      <c r="H8977" s="549"/>
      <c r="I8977" s="549"/>
      <c r="J8977" s="549"/>
      <c r="K8977" s="549"/>
      <c r="M8977" s="465"/>
      <c r="N8977" s="201"/>
    </row>
    <row r="8978" spans="2:14" hidden="1" outlineLevel="1" x14ac:dyDescent="0.35">
      <c r="B8978" s="200"/>
      <c r="C8978" s="201"/>
      <c r="D8978" s="201"/>
      <c r="E8978" s="201"/>
      <c r="F8978" s="202"/>
      <c r="G8978" s="549"/>
      <c r="H8978" s="549"/>
      <c r="I8978" s="549"/>
      <c r="J8978" s="549"/>
      <c r="K8978" s="549"/>
      <c r="M8978" s="465"/>
      <c r="N8978" s="201"/>
    </row>
    <row r="8979" spans="2:14" hidden="1" outlineLevel="1" x14ac:dyDescent="0.35">
      <c r="B8979" s="200"/>
      <c r="C8979" s="201"/>
      <c r="D8979" s="201"/>
      <c r="E8979" s="201"/>
      <c r="F8979" s="202"/>
      <c r="G8979" s="549"/>
      <c r="H8979" s="549"/>
      <c r="I8979" s="549"/>
      <c r="J8979" s="549"/>
      <c r="K8979" s="549"/>
      <c r="M8979" s="465"/>
      <c r="N8979" s="201"/>
    </row>
    <row r="8980" spans="2:14" hidden="1" outlineLevel="1" x14ac:dyDescent="0.35">
      <c r="B8980" s="200"/>
      <c r="C8980" s="201"/>
      <c r="D8980" s="201"/>
      <c r="E8980" s="201"/>
      <c r="F8980" s="202"/>
      <c r="G8980" s="549"/>
      <c r="H8980" s="549"/>
      <c r="I8980" s="549"/>
      <c r="J8980" s="549"/>
      <c r="K8980" s="549"/>
      <c r="M8980" s="465"/>
      <c r="N8980" s="201"/>
    </row>
    <row r="8981" spans="2:14" hidden="1" outlineLevel="1" x14ac:dyDescent="0.35">
      <c r="B8981" s="200"/>
      <c r="C8981" s="201"/>
      <c r="D8981" s="201"/>
      <c r="E8981" s="201"/>
      <c r="F8981" s="202"/>
      <c r="G8981" s="549"/>
      <c r="H8981" s="549"/>
      <c r="I8981" s="549"/>
      <c r="J8981" s="549"/>
      <c r="K8981" s="549"/>
      <c r="M8981" s="465"/>
      <c r="N8981" s="201"/>
    </row>
    <row r="8982" spans="2:14" hidden="1" outlineLevel="1" x14ac:dyDescent="0.35">
      <c r="B8982" s="200"/>
      <c r="C8982" s="201"/>
      <c r="D8982" s="201"/>
      <c r="E8982" s="201"/>
      <c r="F8982" s="202"/>
      <c r="G8982" s="549"/>
      <c r="H8982" s="549"/>
      <c r="I8982" s="549"/>
      <c r="J8982" s="549"/>
      <c r="K8982" s="549"/>
      <c r="M8982" s="465"/>
      <c r="N8982" s="201"/>
    </row>
    <row r="8983" spans="2:14" hidden="1" outlineLevel="1" x14ac:dyDescent="0.35">
      <c r="B8983" s="200"/>
      <c r="C8983" s="201"/>
      <c r="D8983" s="201"/>
      <c r="E8983" s="201"/>
      <c r="F8983" s="202"/>
      <c r="G8983" s="549"/>
      <c r="H8983" s="549"/>
      <c r="I8983" s="549"/>
      <c r="J8983" s="549"/>
      <c r="K8983" s="549"/>
      <c r="M8983" s="465"/>
      <c r="N8983" s="201"/>
    </row>
    <row r="8984" spans="2:14" hidden="1" outlineLevel="1" x14ac:dyDescent="0.35">
      <c r="B8984" s="200"/>
      <c r="C8984" s="201"/>
      <c r="D8984" s="201"/>
      <c r="E8984" s="201"/>
      <c r="F8984" s="202"/>
      <c r="G8984" s="549"/>
      <c r="H8984" s="549"/>
      <c r="I8984" s="549"/>
      <c r="J8984" s="549"/>
      <c r="K8984" s="549"/>
      <c r="M8984" s="465"/>
      <c r="N8984" s="201"/>
    </row>
    <row r="8985" spans="2:14" hidden="1" outlineLevel="1" x14ac:dyDescent="0.35">
      <c r="B8985" s="200"/>
      <c r="C8985" s="201"/>
      <c r="D8985" s="201"/>
      <c r="E8985" s="201"/>
      <c r="F8985" s="202"/>
      <c r="G8985" s="549"/>
      <c r="H8985" s="549"/>
      <c r="I8985" s="549"/>
      <c r="J8985" s="549"/>
      <c r="K8985" s="549"/>
      <c r="M8985" s="465"/>
      <c r="N8985" s="201"/>
    </row>
    <row r="8986" spans="2:14" hidden="1" outlineLevel="1" x14ac:dyDescent="0.35">
      <c r="B8986" s="200"/>
      <c r="C8986" s="201"/>
      <c r="D8986" s="201"/>
      <c r="E8986" s="201"/>
      <c r="F8986" s="202"/>
      <c r="G8986" s="549"/>
      <c r="H8986" s="549"/>
      <c r="I8986" s="549"/>
      <c r="J8986" s="549"/>
      <c r="K8986" s="549"/>
      <c r="M8986" s="465"/>
      <c r="N8986" s="201"/>
    </row>
    <row r="8987" spans="2:14" hidden="1" outlineLevel="1" x14ac:dyDescent="0.35">
      <c r="B8987" s="200"/>
      <c r="C8987" s="201"/>
      <c r="D8987" s="201"/>
      <c r="E8987" s="201"/>
      <c r="F8987" s="202"/>
      <c r="G8987" s="549"/>
      <c r="H8987" s="549"/>
      <c r="I8987" s="549"/>
      <c r="J8987" s="549"/>
      <c r="K8987" s="549"/>
      <c r="M8987" s="465"/>
      <c r="N8987" s="201"/>
    </row>
    <row r="8988" spans="2:14" hidden="1" outlineLevel="1" x14ac:dyDescent="0.35">
      <c r="B8988" s="200"/>
      <c r="C8988" s="201"/>
      <c r="D8988" s="201"/>
      <c r="E8988" s="201"/>
      <c r="F8988" s="202"/>
      <c r="G8988" s="549"/>
      <c r="H8988" s="549"/>
      <c r="I8988" s="549"/>
      <c r="J8988" s="549"/>
      <c r="K8988" s="549"/>
      <c r="M8988" s="465"/>
      <c r="N8988" s="201"/>
    </row>
    <row r="8989" spans="2:14" hidden="1" outlineLevel="1" x14ac:dyDescent="0.35">
      <c r="B8989" s="200"/>
      <c r="C8989" s="201"/>
      <c r="D8989" s="201"/>
      <c r="E8989" s="201"/>
      <c r="F8989" s="202"/>
      <c r="G8989" s="549"/>
      <c r="H8989" s="549"/>
      <c r="I8989" s="549"/>
      <c r="J8989" s="549"/>
      <c r="K8989" s="549"/>
      <c r="M8989" s="465"/>
      <c r="N8989" s="201"/>
    </row>
    <row r="8990" spans="2:14" hidden="1" outlineLevel="1" x14ac:dyDescent="0.35">
      <c r="B8990" s="200"/>
      <c r="C8990" s="201"/>
      <c r="D8990" s="201"/>
      <c r="E8990" s="201"/>
      <c r="F8990" s="202"/>
      <c r="G8990" s="549"/>
      <c r="H8990" s="549"/>
      <c r="I8990" s="549"/>
      <c r="J8990" s="549"/>
      <c r="K8990" s="549"/>
      <c r="M8990" s="465"/>
      <c r="N8990" s="201"/>
    </row>
    <row r="8991" spans="2:14" hidden="1" outlineLevel="1" x14ac:dyDescent="0.35">
      <c r="B8991" s="200"/>
      <c r="C8991" s="201"/>
      <c r="D8991" s="201"/>
      <c r="E8991" s="201"/>
      <c r="F8991" s="202"/>
      <c r="G8991" s="549"/>
      <c r="H8991" s="549"/>
      <c r="I8991" s="549"/>
      <c r="J8991" s="549"/>
      <c r="K8991" s="549"/>
      <c r="M8991" s="465"/>
      <c r="N8991" s="201"/>
    </row>
    <row r="8992" spans="2:14" hidden="1" outlineLevel="1" x14ac:dyDescent="0.35">
      <c r="B8992" s="200"/>
      <c r="C8992" s="201"/>
      <c r="D8992" s="201"/>
      <c r="E8992" s="201"/>
      <c r="F8992" s="202"/>
      <c r="G8992" s="549"/>
      <c r="H8992" s="549"/>
      <c r="I8992" s="549"/>
      <c r="J8992" s="549"/>
      <c r="K8992" s="549"/>
      <c r="M8992" s="465"/>
      <c r="N8992" s="201"/>
    </row>
    <row r="8993" spans="2:14" hidden="1" outlineLevel="1" x14ac:dyDescent="0.35">
      <c r="B8993" s="200"/>
      <c r="C8993" s="201"/>
      <c r="D8993" s="201"/>
      <c r="E8993" s="201"/>
      <c r="F8993" s="202"/>
      <c r="G8993" s="549"/>
      <c r="H8993" s="549"/>
      <c r="I8993" s="549"/>
      <c r="J8993" s="549"/>
      <c r="K8993" s="549"/>
      <c r="M8993" s="465"/>
      <c r="N8993" s="201"/>
    </row>
    <row r="8994" spans="2:14" hidden="1" outlineLevel="1" x14ac:dyDescent="0.35">
      <c r="B8994" s="200"/>
      <c r="C8994" s="201"/>
      <c r="D8994" s="201"/>
      <c r="E8994" s="201"/>
      <c r="F8994" s="202"/>
      <c r="G8994" s="549"/>
      <c r="H8994" s="549"/>
      <c r="I8994" s="549"/>
      <c r="J8994" s="549"/>
      <c r="K8994" s="549"/>
      <c r="M8994" s="465"/>
      <c r="N8994" s="201"/>
    </row>
    <row r="8995" spans="2:14" hidden="1" outlineLevel="1" x14ac:dyDescent="0.35">
      <c r="B8995" s="200"/>
      <c r="C8995" s="201"/>
      <c r="D8995" s="201"/>
      <c r="E8995" s="201"/>
      <c r="F8995" s="202"/>
      <c r="G8995" s="549"/>
      <c r="H8995" s="549"/>
      <c r="I8995" s="549"/>
      <c r="J8995" s="549"/>
      <c r="K8995" s="549"/>
      <c r="M8995" s="465"/>
      <c r="N8995" s="201"/>
    </row>
    <row r="8996" spans="2:14" hidden="1" outlineLevel="1" x14ac:dyDescent="0.35">
      <c r="B8996" s="200"/>
      <c r="C8996" s="201"/>
      <c r="D8996" s="201"/>
      <c r="E8996" s="201"/>
      <c r="F8996" s="202"/>
      <c r="G8996" s="549"/>
      <c r="H8996" s="549"/>
      <c r="I8996" s="549"/>
      <c r="J8996" s="549"/>
      <c r="K8996" s="549"/>
      <c r="M8996" s="465"/>
      <c r="N8996" s="201"/>
    </row>
    <row r="8997" spans="2:14" hidden="1" outlineLevel="1" x14ac:dyDescent="0.35">
      <c r="B8997" s="200"/>
      <c r="C8997" s="201"/>
      <c r="D8997" s="201"/>
      <c r="E8997" s="201"/>
      <c r="F8997" s="202"/>
      <c r="G8997" s="549"/>
      <c r="H8997" s="549"/>
      <c r="I8997" s="549"/>
      <c r="J8997" s="549"/>
      <c r="K8997" s="549"/>
      <c r="M8997" s="465"/>
      <c r="N8997" s="201"/>
    </row>
    <row r="8998" spans="2:14" hidden="1" outlineLevel="1" x14ac:dyDescent="0.35">
      <c r="B8998" s="200"/>
      <c r="C8998" s="201"/>
      <c r="D8998" s="201"/>
      <c r="E8998" s="201"/>
      <c r="F8998" s="202"/>
      <c r="G8998" s="549"/>
      <c r="H8998" s="549"/>
      <c r="I8998" s="549"/>
      <c r="J8998" s="549"/>
      <c r="K8998" s="549"/>
      <c r="M8998" s="465"/>
      <c r="N8998" s="201"/>
    </row>
    <row r="8999" spans="2:14" hidden="1" outlineLevel="1" x14ac:dyDescent="0.35">
      <c r="B8999" s="200"/>
      <c r="C8999" s="201"/>
      <c r="D8999" s="201"/>
      <c r="E8999" s="201"/>
      <c r="F8999" s="202"/>
      <c r="G8999" s="549"/>
      <c r="H8999" s="549"/>
      <c r="I8999" s="549"/>
      <c r="J8999" s="549"/>
      <c r="K8999" s="549"/>
      <c r="M8999" s="465"/>
      <c r="N8999" s="201"/>
    </row>
    <row r="9000" spans="2:14" hidden="1" outlineLevel="1" x14ac:dyDescent="0.35">
      <c r="B9000" s="200"/>
      <c r="C9000" s="201"/>
      <c r="D9000" s="201"/>
      <c r="E9000" s="201"/>
      <c r="F9000" s="202"/>
      <c r="G9000" s="549"/>
      <c r="H9000" s="549"/>
      <c r="I9000" s="549"/>
      <c r="J9000" s="549"/>
      <c r="K9000" s="549"/>
      <c r="M9000" s="465"/>
      <c r="N9000" s="201"/>
    </row>
    <row r="9001" spans="2:14" hidden="1" outlineLevel="1" x14ac:dyDescent="0.35">
      <c r="B9001" s="200"/>
      <c r="C9001" s="201"/>
      <c r="D9001" s="201"/>
      <c r="E9001" s="201"/>
      <c r="F9001" s="202"/>
      <c r="G9001" s="549"/>
      <c r="H9001" s="549"/>
      <c r="I9001" s="549"/>
      <c r="J9001" s="549"/>
      <c r="K9001" s="549"/>
      <c r="M9001" s="465"/>
      <c r="N9001" s="201"/>
    </row>
    <row r="9002" spans="2:14" hidden="1" outlineLevel="1" x14ac:dyDescent="0.35">
      <c r="B9002" s="200"/>
      <c r="C9002" s="201"/>
      <c r="D9002" s="201"/>
      <c r="E9002" s="201"/>
      <c r="F9002" s="202"/>
      <c r="G9002" s="549"/>
      <c r="H9002" s="549"/>
      <c r="I9002" s="549"/>
      <c r="J9002" s="549"/>
      <c r="K9002" s="549"/>
      <c r="M9002" s="465"/>
      <c r="N9002" s="201"/>
    </row>
    <row r="9003" spans="2:14" hidden="1" outlineLevel="1" x14ac:dyDescent="0.35">
      <c r="B9003" s="200"/>
      <c r="C9003" s="201"/>
      <c r="D9003" s="201"/>
      <c r="E9003" s="201"/>
      <c r="F9003" s="202"/>
      <c r="G9003" s="549"/>
      <c r="H9003" s="549"/>
      <c r="I9003" s="549"/>
      <c r="J9003" s="549"/>
      <c r="K9003" s="549"/>
      <c r="M9003" s="465"/>
      <c r="N9003" s="201"/>
    </row>
    <row r="9004" spans="2:14" hidden="1" outlineLevel="1" x14ac:dyDescent="0.35">
      <c r="B9004" s="200"/>
      <c r="C9004" s="201"/>
      <c r="D9004" s="201"/>
      <c r="E9004" s="201"/>
      <c r="F9004" s="202"/>
      <c r="G9004" s="549"/>
      <c r="H9004" s="549"/>
      <c r="I9004" s="549"/>
      <c r="J9004" s="549"/>
      <c r="K9004" s="549"/>
      <c r="M9004" s="465"/>
      <c r="N9004" s="201"/>
    </row>
    <row r="9005" spans="2:14" hidden="1" outlineLevel="1" x14ac:dyDescent="0.35">
      <c r="B9005" s="200"/>
      <c r="C9005" s="201"/>
      <c r="D9005" s="201"/>
      <c r="E9005" s="201"/>
      <c r="F9005" s="202"/>
      <c r="G9005" s="549"/>
      <c r="H9005" s="549"/>
      <c r="I9005" s="549"/>
      <c r="J9005" s="549"/>
      <c r="K9005" s="549"/>
      <c r="M9005" s="465"/>
      <c r="N9005" s="201"/>
    </row>
    <row r="9006" spans="2:14" hidden="1" outlineLevel="1" x14ac:dyDescent="0.35">
      <c r="B9006" s="200"/>
      <c r="C9006" s="201"/>
      <c r="D9006" s="201"/>
      <c r="E9006" s="201"/>
      <c r="F9006" s="202"/>
      <c r="G9006" s="549"/>
      <c r="H9006" s="549"/>
      <c r="I9006" s="549"/>
      <c r="J9006" s="549"/>
      <c r="K9006" s="549"/>
      <c r="M9006" s="465"/>
      <c r="N9006" s="201"/>
    </row>
    <row r="9007" spans="2:14" hidden="1" outlineLevel="1" x14ac:dyDescent="0.35">
      <c r="B9007" s="200"/>
      <c r="C9007" s="201"/>
      <c r="D9007" s="201"/>
      <c r="E9007" s="201"/>
      <c r="F9007" s="202"/>
      <c r="G9007" s="549"/>
      <c r="H9007" s="549"/>
      <c r="I9007" s="549"/>
      <c r="J9007" s="549"/>
      <c r="K9007" s="549"/>
      <c r="M9007" s="465"/>
      <c r="N9007" s="201"/>
    </row>
    <row r="9008" spans="2:14" hidden="1" outlineLevel="1" x14ac:dyDescent="0.35">
      <c r="B9008" s="200"/>
      <c r="C9008" s="201"/>
      <c r="D9008" s="201"/>
      <c r="E9008" s="201"/>
      <c r="F9008" s="202"/>
      <c r="G9008" s="549"/>
      <c r="H9008" s="549"/>
      <c r="I9008" s="549"/>
      <c r="J9008" s="549"/>
      <c r="K9008" s="549"/>
      <c r="M9008" s="465"/>
      <c r="N9008" s="201"/>
    </row>
    <row r="9009" spans="2:14" hidden="1" outlineLevel="1" x14ac:dyDescent="0.35">
      <c r="B9009" s="200"/>
      <c r="C9009" s="201"/>
      <c r="D9009" s="201"/>
      <c r="E9009" s="201"/>
      <c r="F9009" s="202"/>
      <c r="G9009" s="549"/>
      <c r="H9009" s="549"/>
      <c r="I9009" s="549"/>
      <c r="J9009" s="549"/>
      <c r="K9009" s="549"/>
      <c r="M9009" s="465"/>
      <c r="N9009" s="201"/>
    </row>
    <row r="9010" spans="2:14" hidden="1" outlineLevel="1" x14ac:dyDescent="0.35">
      <c r="B9010" s="200"/>
      <c r="C9010" s="201"/>
      <c r="D9010" s="201"/>
      <c r="E9010" s="201"/>
      <c r="F9010" s="202"/>
      <c r="G9010" s="549"/>
      <c r="H9010" s="549"/>
      <c r="I9010" s="549"/>
      <c r="J9010" s="549"/>
      <c r="K9010" s="549"/>
      <c r="M9010" s="465"/>
      <c r="N9010" s="201"/>
    </row>
    <row r="9011" spans="2:14" hidden="1" outlineLevel="1" x14ac:dyDescent="0.35">
      <c r="B9011" s="200"/>
      <c r="C9011" s="201"/>
      <c r="D9011" s="201"/>
      <c r="E9011" s="201"/>
      <c r="F9011" s="202"/>
      <c r="G9011" s="549"/>
      <c r="H9011" s="549"/>
      <c r="I9011" s="549"/>
      <c r="J9011" s="549"/>
      <c r="K9011" s="549"/>
      <c r="M9011" s="465"/>
      <c r="N9011" s="201"/>
    </row>
    <row r="9012" spans="2:14" hidden="1" outlineLevel="1" x14ac:dyDescent="0.35">
      <c r="B9012" s="200"/>
      <c r="C9012" s="201"/>
      <c r="D9012" s="201"/>
      <c r="E9012" s="201"/>
      <c r="F9012" s="202"/>
      <c r="G9012" s="549"/>
      <c r="H9012" s="549"/>
      <c r="I9012" s="549"/>
      <c r="J9012" s="549"/>
      <c r="K9012" s="549"/>
      <c r="M9012" s="465"/>
      <c r="N9012" s="201"/>
    </row>
    <row r="9013" spans="2:14" hidden="1" outlineLevel="1" x14ac:dyDescent="0.35">
      <c r="B9013" s="200"/>
      <c r="C9013" s="201"/>
      <c r="D9013" s="201"/>
      <c r="E9013" s="201"/>
      <c r="F9013" s="202"/>
      <c r="G9013" s="549"/>
      <c r="H9013" s="549"/>
      <c r="I9013" s="549"/>
      <c r="J9013" s="549"/>
      <c r="K9013" s="549"/>
      <c r="M9013" s="465"/>
      <c r="N9013" s="201"/>
    </row>
    <row r="9014" spans="2:14" hidden="1" outlineLevel="1" x14ac:dyDescent="0.35">
      <c r="B9014" s="200"/>
      <c r="C9014" s="201"/>
      <c r="D9014" s="201"/>
      <c r="E9014" s="201"/>
      <c r="F9014" s="202"/>
      <c r="G9014" s="549"/>
      <c r="H9014" s="549"/>
      <c r="I9014" s="549"/>
      <c r="J9014" s="549"/>
      <c r="K9014" s="549"/>
      <c r="M9014" s="465"/>
      <c r="N9014" s="201"/>
    </row>
    <row r="9015" spans="2:14" hidden="1" outlineLevel="1" x14ac:dyDescent="0.35">
      <c r="B9015" s="200"/>
      <c r="C9015" s="201"/>
      <c r="D9015" s="201"/>
      <c r="E9015" s="201"/>
      <c r="F9015" s="202"/>
      <c r="G9015" s="549"/>
      <c r="H9015" s="549"/>
      <c r="I9015" s="549"/>
      <c r="J9015" s="549"/>
      <c r="K9015" s="549"/>
      <c r="M9015" s="465"/>
      <c r="N9015" s="201"/>
    </row>
    <row r="9016" spans="2:14" hidden="1" outlineLevel="1" x14ac:dyDescent="0.35">
      <c r="B9016" s="200"/>
      <c r="C9016" s="201"/>
      <c r="D9016" s="201"/>
      <c r="E9016" s="201"/>
      <c r="F9016" s="202"/>
      <c r="G9016" s="549"/>
      <c r="H9016" s="549"/>
      <c r="I9016" s="549"/>
      <c r="J9016" s="549"/>
      <c r="K9016" s="549"/>
      <c r="M9016" s="465"/>
      <c r="N9016" s="201"/>
    </row>
    <row r="9017" spans="2:14" hidden="1" outlineLevel="1" x14ac:dyDescent="0.35">
      <c r="B9017" s="200"/>
      <c r="C9017" s="201"/>
      <c r="D9017" s="201"/>
      <c r="E9017" s="201"/>
      <c r="F9017" s="202"/>
      <c r="G9017" s="549"/>
      <c r="H9017" s="549"/>
      <c r="I9017" s="549"/>
      <c r="J9017" s="549"/>
      <c r="K9017" s="549"/>
      <c r="M9017" s="465"/>
      <c r="N9017" s="201"/>
    </row>
    <row r="9018" spans="2:14" hidden="1" outlineLevel="1" x14ac:dyDescent="0.35">
      <c r="B9018" s="200"/>
      <c r="C9018" s="201"/>
      <c r="D9018" s="201"/>
      <c r="E9018" s="201"/>
      <c r="F9018" s="202"/>
      <c r="G9018" s="549"/>
      <c r="H9018" s="549"/>
      <c r="I9018" s="549"/>
      <c r="J9018" s="549"/>
      <c r="K9018" s="549"/>
      <c r="M9018" s="465"/>
      <c r="N9018" s="201"/>
    </row>
    <row r="9019" spans="2:14" hidden="1" outlineLevel="1" x14ac:dyDescent="0.35">
      <c r="B9019" s="200"/>
      <c r="C9019" s="201"/>
      <c r="D9019" s="201"/>
      <c r="E9019" s="201"/>
      <c r="F9019" s="202"/>
      <c r="G9019" s="549"/>
      <c r="H9019" s="549"/>
      <c r="I9019" s="549"/>
      <c r="J9019" s="549"/>
      <c r="K9019" s="549"/>
      <c r="M9019" s="465"/>
      <c r="N9019" s="201"/>
    </row>
    <row r="9020" spans="2:14" hidden="1" outlineLevel="1" x14ac:dyDescent="0.35">
      <c r="B9020" s="200"/>
      <c r="C9020" s="201"/>
      <c r="D9020" s="201"/>
      <c r="E9020" s="201"/>
      <c r="F9020" s="202"/>
      <c r="G9020" s="549"/>
      <c r="H9020" s="549"/>
      <c r="I9020" s="549"/>
      <c r="J9020" s="549"/>
      <c r="K9020" s="549"/>
      <c r="M9020" s="465"/>
      <c r="N9020" s="201"/>
    </row>
    <row r="9021" spans="2:14" hidden="1" outlineLevel="1" x14ac:dyDescent="0.35">
      <c r="B9021" s="200"/>
      <c r="C9021" s="201"/>
      <c r="D9021" s="201"/>
      <c r="E9021" s="201"/>
      <c r="F9021" s="202"/>
      <c r="G9021" s="549"/>
      <c r="H9021" s="549"/>
      <c r="I9021" s="549"/>
      <c r="J9021" s="549"/>
      <c r="K9021" s="549"/>
      <c r="M9021" s="465"/>
      <c r="N9021" s="201"/>
    </row>
    <row r="9022" spans="2:14" hidden="1" outlineLevel="1" x14ac:dyDescent="0.35">
      <c r="B9022" s="200"/>
      <c r="C9022" s="201"/>
      <c r="D9022" s="201"/>
      <c r="E9022" s="201"/>
      <c r="F9022" s="202"/>
      <c r="G9022" s="549"/>
      <c r="H9022" s="549"/>
      <c r="I9022" s="549"/>
      <c r="J9022" s="549"/>
      <c r="K9022" s="549"/>
      <c r="M9022" s="465"/>
      <c r="N9022" s="201"/>
    </row>
    <row r="9023" spans="2:14" hidden="1" outlineLevel="1" x14ac:dyDescent="0.35">
      <c r="B9023" s="200"/>
      <c r="C9023" s="201"/>
      <c r="D9023" s="201"/>
      <c r="E9023" s="201"/>
      <c r="F9023" s="202"/>
      <c r="G9023" s="549"/>
      <c r="H9023" s="549"/>
      <c r="I9023" s="549"/>
      <c r="J9023" s="549"/>
      <c r="K9023" s="549"/>
      <c r="M9023" s="465"/>
      <c r="N9023" s="201"/>
    </row>
    <row r="9024" spans="2:14" hidden="1" outlineLevel="1" x14ac:dyDescent="0.35">
      <c r="B9024" s="200"/>
      <c r="C9024" s="201"/>
      <c r="D9024" s="201"/>
      <c r="E9024" s="201"/>
      <c r="F9024" s="202"/>
      <c r="G9024" s="549"/>
      <c r="H9024" s="549"/>
      <c r="I9024" s="549"/>
      <c r="J9024" s="549"/>
      <c r="K9024" s="549"/>
      <c r="M9024" s="465"/>
      <c r="N9024" s="201"/>
    </row>
    <row r="9025" spans="2:14" hidden="1" outlineLevel="1" x14ac:dyDescent="0.35">
      <c r="B9025" s="200"/>
      <c r="C9025" s="201"/>
      <c r="D9025" s="201"/>
      <c r="E9025" s="201"/>
      <c r="F9025" s="202"/>
      <c r="G9025" s="549"/>
      <c r="H9025" s="549"/>
      <c r="I9025" s="549"/>
      <c r="J9025" s="549"/>
      <c r="K9025" s="549"/>
      <c r="M9025" s="465"/>
      <c r="N9025" s="201"/>
    </row>
    <row r="9026" spans="2:14" hidden="1" outlineLevel="1" x14ac:dyDescent="0.35">
      <c r="B9026" s="200"/>
      <c r="C9026" s="201"/>
      <c r="D9026" s="201"/>
      <c r="E9026" s="201"/>
      <c r="F9026" s="202"/>
      <c r="G9026" s="549"/>
      <c r="H9026" s="549"/>
      <c r="I9026" s="549"/>
      <c r="J9026" s="549"/>
      <c r="K9026" s="549"/>
      <c r="M9026" s="465"/>
      <c r="N9026" s="201"/>
    </row>
    <row r="9027" spans="2:14" hidden="1" outlineLevel="1" x14ac:dyDescent="0.35">
      <c r="B9027" s="200"/>
      <c r="C9027" s="201"/>
      <c r="D9027" s="201"/>
      <c r="E9027" s="201"/>
      <c r="F9027" s="202"/>
      <c r="G9027" s="549"/>
      <c r="H9027" s="549"/>
      <c r="I9027" s="549"/>
      <c r="J9027" s="549"/>
      <c r="K9027" s="549"/>
      <c r="M9027" s="465"/>
      <c r="N9027" s="201"/>
    </row>
    <row r="9028" spans="2:14" hidden="1" outlineLevel="1" x14ac:dyDescent="0.35">
      <c r="B9028" s="200"/>
      <c r="C9028" s="201"/>
      <c r="D9028" s="201"/>
      <c r="E9028" s="201"/>
      <c r="F9028" s="202"/>
      <c r="G9028" s="549"/>
      <c r="H9028" s="549"/>
      <c r="I9028" s="549"/>
      <c r="J9028" s="549"/>
      <c r="K9028" s="549"/>
      <c r="M9028" s="465"/>
      <c r="N9028" s="201"/>
    </row>
    <row r="9029" spans="2:14" hidden="1" outlineLevel="1" x14ac:dyDescent="0.35">
      <c r="B9029" s="200"/>
      <c r="C9029" s="201"/>
      <c r="D9029" s="201"/>
      <c r="E9029" s="201"/>
      <c r="F9029" s="202"/>
      <c r="G9029" s="549"/>
      <c r="H9029" s="549"/>
      <c r="I9029" s="549"/>
      <c r="J9029" s="549"/>
      <c r="K9029" s="549"/>
      <c r="M9029" s="465"/>
      <c r="N9029" s="201"/>
    </row>
    <row r="9030" spans="2:14" hidden="1" outlineLevel="1" x14ac:dyDescent="0.35">
      <c r="B9030" s="200"/>
      <c r="C9030" s="201"/>
      <c r="D9030" s="201"/>
      <c r="E9030" s="201"/>
      <c r="F9030" s="202"/>
      <c r="G9030" s="549"/>
      <c r="H9030" s="549"/>
      <c r="I9030" s="549"/>
      <c r="J9030" s="549"/>
      <c r="K9030" s="549"/>
      <c r="M9030" s="465"/>
      <c r="N9030" s="201"/>
    </row>
    <row r="9031" spans="2:14" hidden="1" outlineLevel="1" x14ac:dyDescent="0.35">
      <c r="B9031" s="200"/>
      <c r="C9031" s="201"/>
      <c r="D9031" s="201"/>
      <c r="E9031" s="201"/>
      <c r="F9031" s="202"/>
      <c r="G9031" s="549"/>
      <c r="H9031" s="549"/>
      <c r="I9031" s="549"/>
      <c r="J9031" s="549"/>
      <c r="K9031" s="549"/>
      <c r="M9031" s="465"/>
      <c r="N9031" s="201"/>
    </row>
    <row r="9032" spans="2:14" hidden="1" outlineLevel="1" x14ac:dyDescent="0.35">
      <c r="B9032" s="200"/>
      <c r="C9032" s="201"/>
      <c r="D9032" s="201"/>
      <c r="E9032" s="201"/>
      <c r="F9032" s="202"/>
      <c r="G9032" s="549"/>
      <c r="H9032" s="549"/>
      <c r="I9032" s="549"/>
      <c r="J9032" s="549"/>
      <c r="K9032" s="549"/>
      <c r="M9032" s="465"/>
      <c r="N9032" s="201"/>
    </row>
    <row r="9033" spans="2:14" hidden="1" outlineLevel="1" x14ac:dyDescent="0.35">
      <c r="B9033" s="200"/>
      <c r="C9033" s="201"/>
      <c r="D9033" s="201"/>
      <c r="E9033" s="201"/>
      <c r="F9033" s="202"/>
      <c r="G9033" s="549"/>
      <c r="H9033" s="549"/>
      <c r="I9033" s="549"/>
      <c r="J9033" s="549"/>
      <c r="K9033" s="549"/>
      <c r="M9033" s="465"/>
      <c r="N9033" s="201"/>
    </row>
    <row r="9034" spans="2:14" hidden="1" outlineLevel="1" x14ac:dyDescent="0.35">
      <c r="B9034" s="200"/>
      <c r="C9034" s="201"/>
      <c r="D9034" s="201"/>
      <c r="E9034" s="201"/>
      <c r="F9034" s="202"/>
      <c r="G9034" s="549"/>
      <c r="H9034" s="549"/>
      <c r="I9034" s="549"/>
      <c r="J9034" s="549"/>
      <c r="K9034" s="549"/>
      <c r="M9034" s="465"/>
      <c r="N9034" s="201"/>
    </row>
    <row r="9035" spans="2:14" hidden="1" outlineLevel="1" x14ac:dyDescent="0.35">
      <c r="B9035" s="200"/>
      <c r="C9035" s="201"/>
      <c r="D9035" s="201"/>
      <c r="E9035" s="201"/>
      <c r="F9035" s="202"/>
      <c r="G9035" s="549"/>
      <c r="H9035" s="549"/>
      <c r="I9035" s="549"/>
      <c r="J9035" s="549"/>
      <c r="K9035" s="549"/>
      <c r="M9035" s="465"/>
      <c r="N9035" s="201"/>
    </row>
    <row r="9036" spans="2:14" hidden="1" outlineLevel="1" x14ac:dyDescent="0.35">
      <c r="B9036" s="200"/>
      <c r="C9036" s="201"/>
      <c r="D9036" s="201"/>
      <c r="E9036" s="201"/>
      <c r="F9036" s="202"/>
      <c r="G9036" s="549"/>
      <c r="H9036" s="549"/>
      <c r="I9036" s="549"/>
      <c r="J9036" s="549"/>
      <c r="K9036" s="549"/>
      <c r="M9036" s="465"/>
      <c r="N9036" s="201"/>
    </row>
    <row r="9037" spans="2:14" hidden="1" outlineLevel="1" x14ac:dyDescent="0.35">
      <c r="B9037" s="200"/>
      <c r="C9037" s="201"/>
      <c r="D9037" s="201"/>
      <c r="E9037" s="201"/>
      <c r="F9037" s="202"/>
      <c r="G9037" s="549"/>
      <c r="H9037" s="549"/>
      <c r="I9037" s="549"/>
      <c r="J9037" s="549"/>
      <c r="K9037" s="549"/>
      <c r="M9037" s="465"/>
      <c r="N9037" s="201"/>
    </row>
    <row r="9038" spans="2:14" hidden="1" outlineLevel="1" x14ac:dyDescent="0.35">
      <c r="B9038" s="200"/>
      <c r="C9038" s="201"/>
      <c r="D9038" s="201"/>
      <c r="E9038" s="201"/>
      <c r="F9038" s="202"/>
      <c r="G9038" s="549"/>
      <c r="H9038" s="549"/>
      <c r="I9038" s="549"/>
      <c r="J9038" s="549"/>
      <c r="K9038" s="549"/>
      <c r="M9038" s="465"/>
      <c r="N9038" s="201"/>
    </row>
    <row r="9039" spans="2:14" hidden="1" outlineLevel="1" x14ac:dyDescent="0.35">
      <c r="B9039" s="200"/>
      <c r="C9039" s="201"/>
      <c r="D9039" s="201"/>
      <c r="E9039" s="201"/>
      <c r="F9039" s="202"/>
      <c r="G9039" s="549"/>
      <c r="H9039" s="549"/>
      <c r="I9039" s="549"/>
      <c r="J9039" s="549"/>
      <c r="K9039" s="549"/>
      <c r="M9039" s="465"/>
      <c r="N9039" s="201"/>
    </row>
    <row r="9040" spans="2:14" hidden="1" outlineLevel="1" x14ac:dyDescent="0.35">
      <c r="B9040" s="200"/>
      <c r="C9040" s="201"/>
      <c r="D9040" s="201"/>
      <c r="E9040" s="201"/>
      <c r="F9040" s="202"/>
      <c r="G9040" s="549"/>
      <c r="H9040" s="549"/>
      <c r="I9040" s="549"/>
      <c r="J9040" s="549"/>
      <c r="K9040" s="549"/>
      <c r="M9040" s="465"/>
      <c r="N9040" s="201"/>
    </row>
    <row r="9041" spans="2:14" hidden="1" outlineLevel="1" x14ac:dyDescent="0.35">
      <c r="B9041" s="200"/>
      <c r="C9041" s="201"/>
      <c r="D9041" s="201"/>
      <c r="E9041" s="201"/>
      <c r="F9041" s="202"/>
      <c r="G9041" s="549"/>
      <c r="H9041" s="549"/>
      <c r="I9041" s="549"/>
      <c r="J9041" s="549"/>
      <c r="K9041" s="549"/>
      <c r="M9041" s="465"/>
      <c r="N9041" s="201"/>
    </row>
    <row r="9042" spans="2:14" hidden="1" outlineLevel="1" x14ac:dyDescent="0.35">
      <c r="B9042" s="200"/>
      <c r="C9042" s="201"/>
      <c r="D9042" s="201"/>
      <c r="E9042" s="201"/>
      <c r="F9042" s="202"/>
      <c r="G9042" s="549"/>
      <c r="H9042" s="549"/>
      <c r="I9042" s="549"/>
      <c r="J9042" s="549"/>
      <c r="K9042" s="549"/>
      <c r="M9042" s="465"/>
      <c r="N9042" s="201"/>
    </row>
    <row r="9043" spans="2:14" hidden="1" outlineLevel="1" x14ac:dyDescent="0.35">
      <c r="B9043" s="200"/>
      <c r="C9043" s="201"/>
      <c r="D9043" s="201"/>
      <c r="E9043" s="201"/>
      <c r="F9043" s="202"/>
      <c r="G9043" s="549"/>
      <c r="H9043" s="549"/>
      <c r="I9043" s="549"/>
      <c r="J9043" s="549"/>
      <c r="K9043" s="549"/>
      <c r="M9043" s="465"/>
      <c r="N9043" s="201"/>
    </row>
    <row r="9044" spans="2:14" hidden="1" outlineLevel="1" x14ac:dyDescent="0.35">
      <c r="B9044" s="200"/>
      <c r="C9044" s="201"/>
      <c r="D9044" s="201"/>
      <c r="E9044" s="201"/>
      <c r="F9044" s="202"/>
      <c r="G9044" s="549"/>
      <c r="H9044" s="549"/>
      <c r="I9044" s="549"/>
      <c r="J9044" s="549"/>
      <c r="K9044" s="549"/>
      <c r="M9044" s="465"/>
      <c r="N9044" s="201"/>
    </row>
    <row r="9045" spans="2:14" hidden="1" outlineLevel="1" x14ac:dyDescent="0.35">
      <c r="B9045" s="200"/>
      <c r="C9045" s="201"/>
      <c r="D9045" s="201"/>
      <c r="E9045" s="201"/>
      <c r="F9045" s="202"/>
      <c r="G9045" s="549"/>
      <c r="H9045" s="549"/>
      <c r="I9045" s="549"/>
      <c r="J9045" s="549"/>
      <c r="K9045" s="549"/>
      <c r="M9045" s="465"/>
      <c r="N9045" s="201"/>
    </row>
    <row r="9046" spans="2:14" hidden="1" outlineLevel="1" x14ac:dyDescent="0.35">
      <c r="B9046" s="200"/>
      <c r="C9046" s="201"/>
      <c r="D9046" s="201"/>
      <c r="E9046" s="201"/>
      <c r="F9046" s="202"/>
      <c r="G9046" s="549"/>
      <c r="H9046" s="549"/>
      <c r="I9046" s="549"/>
      <c r="J9046" s="549"/>
      <c r="K9046" s="549"/>
      <c r="M9046" s="465"/>
      <c r="N9046" s="201"/>
    </row>
    <row r="9047" spans="2:14" hidden="1" outlineLevel="1" x14ac:dyDescent="0.35">
      <c r="B9047" s="200"/>
      <c r="C9047" s="201"/>
      <c r="D9047" s="201"/>
      <c r="E9047" s="201"/>
      <c r="F9047" s="202"/>
      <c r="G9047" s="549"/>
      <c r="H9047" s="549"/>
      <c r="I9047" s="549"/>
      <c r="J9047" s="549"/>
      <c r="K9047" s="549"/>
      <c r="M9047" s="465"/>
      <c r="N9047" s="201"/>
    </row>
    <row r="9048" spans="2:14" hidden="1" outlineLevel="1" x14ac:dyDescent="0.35">
      <c r="B9048" s="200"/>
      <c r="C9048" s="201"/>
      <c r="D9048" s="201"/>
      <c r="E9048" s="201"/>
      <c r="F9048" s="202"/>
      <c r="G9048" s="549"/>
      <c r="H9048" s="549"/>
      <c r="I9048" s="549"/>
      <c r="J9048" s="549"/>
      <c r="K9048" s="549"/>
      <c r="M9048" s="465"/>
      <c r="N9048" s="201"/>
    </row>
    <row r="9049" spans="2:14" hidden="1" outlineLevel="1" x14ac:dyDescent="0.35">
      <c r="B9049" s="200"/>
      <c r="C9049" s="201"/>
      <c r="D9049" s="201"/>
      <c r="E9049" s="201"/>
      <c r="F9049" s="202"/>
      <c r="G9049" s="549"/>
      <c r="H9049" s="549"/>
      <c r="I9049" s="549"/>
      <c r="J9049" s="549"/>
      <c r="K9049" s="549"/>
      <c r="M9049" s="465"/>
      <c r="N9049" s="201"/>
    </row>
    <row r="9050" spans="2:14" hidden="1" outlineLevel="1" x14ac:dyDescent="0.35">
      <c r="B9050" s="200"/>
      <c r="C9050" s="201"/>
      <c r="D9050" s="201"/>
      <c r="E9050" s="201"/>
      <c r="F9050" s="202"/>
      <c r="G9050" s="549"/>
      <c r="H9050" s="549"/>
      <c r="I9050" s="549"/>
      <c r="J9050" s="549"/>
      <c r="K9050" s="549"/>
      <c r="M9050" s="465"/>
      <c r="N9050" s="201"/>
    </row>
    <row r="9051" spans="2:14" hidden="1" outlineLevel="1" x14ac:dyDescent="0.35">
      <c r="B9051" s="200"/>
      <c r="C9051" s="201"/>
      <c r="D9051" s="201"/>
      <c r="E9051" s="201"/>
      <c r="F9051" s="202"/>
      <c r="G9051" s="549"/>
      <c r="H9051" s="549"/>
      <c r="I9051" s="549"/>
      <c r="J9051" s="549"/>
      <c r="K9051" s="549"/>
      <c r="M9051" s="465"/>
      <c r="N9051" s="201"/>
    </row>
    <row r="9052" spans="2:14" hidden="1" outlineLevel="1" x14ac:dyDescent="0.35">
      <c r="B9052" s="200"/>
      <c r="C9052" s="201"/>
      <c r="D9052" s="201"/>
      <c r="E9052" s="201"/>
      <c r="F9052" s="202"/>
      <c r="G9052" s="549"/>
      <c r="H9052" s="549"/>
      <c r="I9052" s="549"/>
      <c r="J9052" s="549"/>
      <c r="K9052" s="549"/>
      <c r="M9052" s="465"/>
      <c r="N9052" s="201"/>
    </row>
    <row r="9053" spans="2:14" hidden="1" outlineLevel="1" x14ac:dyDescent="0.35">
      <c r="B9053" s="200"/>
      <c r="C9053" s="201"/>
      <c r="D9053" s="201"/>
      <c r="E9053" s="201"/>
      <c r="F9053" s="202"/>
      <c r="G9053" s="549"/>
      <c r="H9053" s="549"/>
      <c r="I9053" s="549"/>
      <c r="J9053" s="549"/>
      <c r="K9053" s="549"/>
      <c r="M9053" s="465"/>
      <c r="N9053" s="201"/>
    </row>
    <row r="9054" spans="2:14" hidden="1" outlineLevel="1" x14ac:dyDescent="0.35">
      <c r="B9054" s="200"/>
      <c r="C9054" s="201"/>
      <c r="D9054" s="201"/>
      <c r="E9054" s="201"/>
      <c r="F9054" s="202"/>
      <c r="G9054" s="549"/>
      <c r="H9054" s="549"/>
      <c r="I9054" s="549"/>
      <c r="J9054" s="549"/>
      <c r="K9054" s="549"/>
      <c r="M9054" s="465"/>
      <c r="N9054" s="201"/>
    </row>
    <row r="9055" spans="2:14" hidden="1" outlineLevel="1" x14ac:dyDescent="0.35">
      <c r="B9055" s="200"/>
      <c r="C9055" s="201"/>
      <c r="D9055" s="201"/>
      <c r="E9055" s="201"/>
      <c r="F9055" s="202"/>
      <c r="G9055" s="549"/>
      <c r="H9055" s="549"/>
      <c r="I9055" s="549"/>
      <c r="J9055" s="549"/>
      <c r="K9055" s="549"/>
      <c r="M9055" s="465"/>
      <c r="N9055" s="201"/>
    </row>
    <row r="9056" spans="2:14" hidden="1" outlineLevel="1" x14ac:dyDescent="0.35">
      <c r="B9056" s="200"/>
      <c r="C9056" s="201"/>
      <c r="D9056" s="201"/>
      <c r="E9056" s="201"/>
      <c r="F9056" s="202"/>
      <c r="G9056" s="549"/>
      <c r="H9056" s="549"/>
      <c r="I9056" s="549"/>
      <c r="J9056" s="549"/>
      <c r="K9056" s="549"/>
      <c r="M9056" s="465"/>
      <c r="N9056" s="201"/>
    </row>
    <row r="9057" spans="2:14" hidden="1" outlineLevel="1" x14ac:dyDescent="0.35">
      <c r="B9057" s="200"/>
      <c r="C9057" s="201"/>
      <c r="D9057" s="201"/>
      <c r="E9057" s="201"/>
      <c r="F9057" s="202"/>
      <c r="G9057" s="549"/>
      <c r="H9057" s="549"/>
      <c r="I9057" s="549"/>
      <c r="J9057" s="549"/>
      <c r="K9057" s="549"/>
      <c r="M9057" s="465"/>
      <c r="N9057" s="201"/>
    </row>
    <row r="9058" spans="2:14" hidden="1" outlineLevel="1" x14ac:dyDescent="0.35">
      <c r="B9058" s="200"/>
      <c r="C9058" s="201"/>
      <c r="D9058" s="201"/>
      <c r="E9058" s="201"/>
      <c r="F9058" s="202"/>
      <c r="G9058" s="549"/>
      <c r="H9058" s="549"/>
      <c r="I9058" s="549"/>
      <c r="J9058" s="549"/>
      <c r="K9058" s="549"/>
      <c r="M9058" s="465"/>
      <c r="N9058" s="201"/>
    </row>
    <row r="9059" spans="2:14" hidden="1" outlineLevel="1" x14ac:dyDescent="0.35">
      <c r="B9059" s="200"/>
      <c r="C9059" s="201"/>
      <c r="D9059" s="201"/>
      <c r="E9059" s="201"/>
      <c r="F9059" s="202"/>
      <c r="G9059" s="549"/>
      <c r="H9059" s="549"/>
      <c r="I9059" s="549"/>
      <c r="J9059" s="549"/>
      <c r="K9059" s="549"/>
      <c r="M9059" s="465"/>
      <c r="N9059" s="201"/>
    </row>
    <row r="9060" spans="2:14" hidden="1" outlineLevel="1" x14ac:dyDescent="0.35">
      <c r="B9060" s="200"/>
      <c r="C9060" s="201"/>
      <c r="D9060" s="201"/>
      <c r="E9060" s="201"/>
      <c r="F9060" s="202"/>
      <c r="G9060" s="549"/>
      <c r="H9060" s="549"/>
      <c r="I9060" s="549"/>
      <c r="J9060" s="549"/>
      <c r="K9060" s="549"/>
      <c r="M9060" s="465"/>
      <c r="N9060" s="201"/>
    </row>
    <row r="9061" spans="2:14" hidden="1" outlineLevel="1" x14ac:dyDescent="0.35">
      <c r="B9061" s="200"/>
      <c r="C9061" s="201"/>
      <c r="D9061" s="201"/>
      <c r="E9061" s="201"/>
      <c r="F9061" s="202"/>
      <c r="G9061" s="549"/>
      <c r="H9061" s="549"/>
      <c r="I9061" s="549"/>
      <c r="J9061" s="549"/>
      <c r="K9061" s="549"/>
      <c r="M9061" s="465"/>
      <c r="N9061" s="201"/>
    </row>
    <row r="9062" spans="2:14" hidden="1" outlineLevel="1" x14ac:dyDescent="0.35">
      <c r="B9062" s="200"/>
      <c r="C9062" s="201"/>
      <c r="D9062" s="201"/>
      <c r="E9062" s="201"/>
      <c r="F9062" s="202"/>
      <c r="G9062" s="549"/>
      <c r="H9062" s="549"/>
      <c r="I9062" s="549"/>
      <c r="J9062" s="549"/>
      <c r="K9062" s="549"/>
      <c r="M9062" s="465"/>
      <c r="N9062" s="201"/>
    </row>
    <row r="9063" spans="2:14" hidden="1" outlineLevel="1" x14ac:dyDescent="0.35">
      <c r="B9063" s="200"/>
      <c r="C9063" s="201"/>
      <c r="D9063" s="201"/>
      <c r="E9063" s="201"/>
      <c r="F9063" s="202"/>
      <c r="G9063" s="549"/>
      <c r="H9063" s="549"/>
      <c r="I9063" s="549"/>
      <c r="J9063" s="549"/>
      <c r="K9063" s="549"/>
      <c r="M9063" s="465"/>
      <c r="N9063" s="201"/>
    </row>
    <row r="9064" spans="2:14" hidden="1" outlineLevel="1" x14ac:dyDescent="0.35">
      <c r="B9064" s="200"/>
      <c r="C9064" s="201"/>
      <c r="D9064" s="201"/>
      <c r="E9064" s="201"/>
      <c r="F9064" s="202"/>
      <c r="G9064" s="549"/>
      <c r="H9064" s="549"/>
      <c r="I9064" s="549"/>
      <c r="J9064" s="549"/>
      <c r="K9064" s="549"/>
      <c r="M9064" s="465"/>
      <c r="N9064" s="201"/>
    </row>
    <row r="9065" spans="2:14" hidden="1" outlineLevel="1" x14ac:dyDescent="0.35">
      <c r="B9065" s="200"/>
      <c r="C9065" s="201"/>
      <c r="D9065" s="201"/>
      <c r="E9065" s="201"/>
      <c r="F9065" s="202"/>
      <c r="G9065" s="549"/>
      <c r="H9065" s="549"/>
      <c r="I9065" s="549"/>
      <c r="J9065" s="549"/>
      <c r="K9065" s="549"/>
      <c r="M9065" s="465"/>
      <c r="N9065" s="201"/>
    </row>
    <row r="9066" spans="2:14" hidden="1" outlineLevel="1" x14ac:dyDescent="0.35">
      <c r="B9066" s="200"/>
      <c r="C9066" s="201"/>
      <c r="D9066" s="201"/>
      <c r="E9066" s="201"/>
      <c r="F9066" s="202"/>
      <c r="G9066" s="549"/>
      <c r="H9066" s="549"/>
      <c r="I9066" s="549"/>
      <c r="J9066" s="549"/>
      <c r="K9066" s="549"/>
      <c r="M9066" s="465"/>
      <c r="N9066" s="201"/>
    </row>
    <row r="9067" spans="2:14" hidden="1" outlineLevel="1" x14ac:dyDescent="0.35">
      <c r="B9067" s="200"/>
      <c r="C9067" s="201"/>
      <c r="D9067" s="201"/>
      <c r="E9067" s="201"/>
      <c r="F9067" s="202"/>
      <c r="G9067" s="549"/>
      <c r="H9067" s="549"/>
      <c r="I9067" s="549"/>
      <c r="J9067" s="549"/>
      <c r="K9067" s="549"/>
      <c r="M9067" s="465"/>
      <c r="N9067" s="201"/>
    </row>
    <row r="9068" spans="2:14" hidden="1" outlineLevel="1" x14ac:dyDescent="0.35">
      <c r="B9068" s="200"/>
      <c r="C9068" s="201"/>
      <c r="D9068" s="201"/>
      <c r="E9068" s="201"/>
      <c r="F9068" s="202"/>
      <c r="G9068" s="549"/>
      <c r="H9068" s="549"/>
      <c r="I9068" s="549"/>
      <c r="J9068" s="549"/>
      <c r="K9068" s="549"/>
      <c r="M9068" s="465"/>
      <c r="N9068" s="201"/>
    </row>
    <row r="9069" spans="2:14" hidden="1" outlineLevel="1" x14ac:dyDescent="0.35">
      <c r="B9069" s="200"/>
      <c r="C9069" s="201"/>
      <c r="D9069" s="201"/>
      <c r="E9069" s="201"/>
      <c r="F9069" s="202"/>
      <c r="G9069" s="549"/>
      <c r="H9069" s="549"/>
      <c r="I9069" s="549"/>
      <c r="J9069" s="549"/>
      <c r="K9069" s="549"/>
      <c r="M9069" s="465"/>
      <c r="N9069" s="201"/>
    </row>
    <row r="9070" spans="2:14" hidden="1" outlineLevel="1" x14ac:dyDescent="0.35">
      <c r="B9070" s="200"/>
      <c r="C9070" s="201"/>
      <c r="D9070" s="201"/>
      <c r="E9070" s="201"/>
      <c r="F9070" s="202"/>
      <c r="G9070" s="549"/>
      <c r="H9070" s="549"/>
      <c r="I9070" s="549"/>
      <c r="J9070" s="549"/>
      <c r="K9070" s="549"/>
      <c r="M9070" s="465"/>
      <c r="N9070" s="201"/>
    </row>
    <row r="9071" spans="2:14" hidden="1" outlineLevel="1" x14ac:dyDescent="0.35">
      <c r="B9071" s="200"/>
      <c r="C9071" s="201"/>
      <c r="D9071" s="201"/>
      <c r="E9071" s="201"/>
      <c r="F9071" s="202"/>
      <c r="G9071" s="549"/>
      <c r="H9071" s="549"/>
      <c r="I9071" s="549"/>
      <c r="J9071" s="549"/>
      <c r="K9071" s="549"/>
      <c r="M9071" s="465"/>
      <c r="N9071" s="201"/>
    </row>
    <row r="9072" spans="2:14" hidden="1" outlineLevel="1" x14ac:dyDescent="0.35">
      <c r="B9072" s="200"/>
      <c r="C9072" s="201"/>
      <c r="D9072" s="201"/>
      <c r="E9072" s="201"/>
      <c r="F9072" s="202"/>
      <c r="G9072" s="549"/>
      <c r="H9072" s="549"/>
      <c r="I9072" s="549"/>
      <c r="J9072" s="549"/>
      <c r="K9072" s="549"/>
      <c r="M9072" s="465"/>
      <c r="N9072" s="201"/>
    </row>
    <row r="9073" spans="2:14" hidden="1" outlineLevel="1" x14ac:dyDescent="0.35">
      <c r="B9073" s="200"/>
      <c r="C9073" s="201"/>
      <c r="D9073" s="201"/>
      <c r="E9073" s="201"/>
      <c r="F9073" s="202"/>
      <c r="G9073" s="549"/>
      <c r="H9073" s="549"/>
      <c r="I9073" s="549"/>
      <c r="J9073" s="549"/>
      <c r="K9073" s="549"/>
      <c r="M9073" s="465"/>
      <c r="N9073" s="201"/>
    </row>
    <row r="9074" spans="2:14" hidden="1" outlineLevel="1" x14ac:dyDescent="0.35">
      <c r="B9074" s="200"/>
      <c r="C9074" s="201"/>
      <c r="D9074" s="201"/>
      <c r="E9074" s="201"/>
      <c r="F9074" s="202"/>
      <c r="G9074" s="549"/>
      <c r="H9074" s="549"/>
      <c r="I9074" s="549"/>
      <c r="J9074" s="549"/>
      <c r="K9074" s="549"/>
      <c r="M9074" s="465"/>
      <c r="N9074" s="201"/>
    </row>
    <row r="9075" spans="2:14" hidden="1" outlineLevel="1" x14ac:dyDescent="0.35">
      <c r="B9075" s="200"/>
      <c r="C9075" s="201"/>
      <c r="D9075" s="201"/>
      <c r="E9075" s="201"/>
      <c r="F9075" s="202"/>
      <c r="G9075" s="549"/>
      <c r="H9075" s="549"/>
      <c r="I9075" s="549"/>
      <c r="J9075" s="549"/>
      <c r="K9075" s="549"/>
      <c r="M9075" s="465"/>
      <c r="N9075" s="201"/>
    </row>
    <row r="9076" spans="2:14" hidden="1" outlineLevel="1" x14ac:dyDescent="0.35">
      <c r="B9076" s="200"/>
      <c r="C9076" s="201"/>
      <c r="D9076" s="201"/>
      <c r="E9076" s="201"/>
      <c r="F9076" s="202"/>
      <c r="G9076" s="549"/>
      <c r="H9076" s="549"/>
      <c r="I9076" s="549"/>
      <c r="J9076" s="549"/>
      <c r="K9076" s="549"/>
      <c r="M9076" s="465"/>
      <c r="N9076" s="201"/>
    </row>
    <row r="9077" spans="2:14" hidden="1" outlineLevel="1" x14ac:dyDescent="0.35">
      <c r="B9077" s="200"/>
      <c r="C9077" s="201"/>
      <c r="D9077" s="201"/>
      <c r="E9077" s="201"/>
      <c r="F9077" s="202"/>
      <c r="G9077" s="549"/>
      <c r="H9077" s="549"/>
      <c r="I9077" s="549"/>
      <c r="J9077" s="549"/>
      <c r="K9077" s="549"/>
      <c r="M9077" s="465"/>
      <c r="N9077" s="201"/>
    </row>
    <row r="9078" spans="2:14" hidden="1" outlineLevel="1" x14ac:dyDescent="0.35">
      <c r="B9078" s="200"/>
      <c r="C9078" s="201"/>
      <c r="D9078" s="201"/>
      <c r="E9078" s="201"/>
      <c r="F9078" s="202"/>
      <c r="G9078" s="549"/>
      <c r="H9078" s="549"/>
      <c r="I9078" s="549"/>
      <c r="J9078" s="549"/>
      <c r="K9078" s="549"/>
      <c r="M9078" s="465"/>
      <c r="N9078" s="201"/>
    </row>
    <row r="9079" spans="2:14" hidden="1" outlineLevel="1" x14ac:dyDescent="0.35">
      <c r="B9079" s="200"/>
      <c r="C9079" s="201"/>
      <c r="D9079" s="201"/>
      <c r="E9079" s="201"/>
      <c r="F9079" s="202"/>
      <c r="G9079" s="549"/>
      <c r="H9079" s="549"/>
      <c r="I9079" s="549"/>
      <c r="J9079" s="549"/>
      <c r="K9079" s="549"/>
      <c r="M9079" s="465"/>
      <c r="N9079" s="201"/>
    </row>
    <row r="9080" spans="2:14" hidden="1" outlineLevel="1" x14ac:dyDescent="0.35">
      <c r="B9080" s="200"/>
      <c r="C9080" s="201"/>
      <c r="D9080" s="201"/>
      <c r="E9080" s="201"/>
      <c r="F9080" s="202"/>
      <c r="G9080" s="549"/>
      <c r="H9080" s="549"/>
      <c r="I9080" s="549"/>
      <c r="J9080" s="549"/>
      <c r="K9080" s="549"/>
      <c r="M9080" s="465"/>
      <c r="N9080" s="201"/>
    </row>
    <row r="9081" spans="2:14" hidden="1" outlineLevel="1" x14ac:dyDescent="0.35">
      <c r="B9081" s="200"/>
      <c r="C9081" s="201"/>
      <c r="D9081" s="201"/>
      <c r="E9081" s="201"/>
      <c r="F9081" s="202"/>
      <c r="G9081" s="549"/>
      <c r="H9081" s="549"/>
      <c r="I9081" s="549"/>
      <c r="J9081" s="549"/>
      <c r="K9081" s="549"/>
      <c r="M9081" s="465"/>
      <c r="N9081" s="201"/>
    </row>
    <row r="9082" spans="2:14" hidden="1" outlineLevel="1" x14ac:dyDescent="0.35">
      <c r="B9082" s="200"/>
      <c r="C9082" s="201"/>
      <c r="D9082" s="201"/>
      <c r="E9082" s="201"/>
      <c r="F9082" s="202"/>
      <c r="G9082" s="549"/>
      <c r="H9082" s="549"/>
      <c r="I9082" s="549"/>
      <c r="J9082" s="549"/>
      <c r="K9082" s="549"/>
      <c r="M9082" s="465"/>
      <c r="N9082" s="201"/>
    </row>
    <row r="9083" spans="2:14" hidden="1" outlineLevel="1" x14ac:dyDescent="0.35">
      <c r="B9083" s="200"/>
      <c r="C9083" s="201"/>
      <c r="D9083" s="201"/>
      <c r="E9083" s="201"/>
      <c r="F9083" s="202"/>
      <c r="G9083" s="549"/>
      <c r="H9083" s="549"/>
      <c r="I9083" s="549"/>
      <c r="J9083" s="549"/>
      <c r="K9083" s="549"/>
      <c r="M9083" s="465"/>
      <c r="N9083" s="201"/>
    </row>
    <row r="9084" spans="2:14" hidden="1" outlineLevel="1" x14ac:dyDescent="0.35">
      <c r="B9084" s="200"/>
      <c r="C9084" s="201"/>
      <c r="D9084" s="201"/>
      <c r="E9084" s="201"/>
      <c r="F9084" s="202"/>
      <c r="G9084" s="549"/>
      <c r="H9084" s="549"/>
      <c r="I9084" s="549"/>
      <c r="J9084" s="549"/>
      <c r="K9084" s="549"/>
      <c r="M9084" s="465"/>
      <c r="N9084" s="201"/>
    </row>
    <row r="9085" spans="2:14" hidden="1" outlineLevel="1" x14ac:dyDescent="0.35">
      <c r="B9085" s="200"/>
      <c r="C9085" s="201"/>
      <c r="D9085" s="201"/>
      <c r="E9085" s="201"/>
      <c r="F9085" s="202"/>
      <c r="G9085" s="549"/>
      <c r="H9085" s="549"/>
      <c r="I9085" s="549"/>
      <c r="J9085" s="549"/>
      <c r="K9085" s="549"/>
      <c r="M9085" s="465"/>
      <c r="N9085" s="201"/>
    </row>
    <row r="9086" spans="2:14" hidden="1" outlineLevel="1" x14ac:dyDescent="0.35">
      <c r="B9086" s="200"/>
      <c r="C9086" s="201"/>
      <c r="D9086" s="201"/>
      <c r="E9086" s="201"/>
      <c r="F9086" s="202"/>
      <c r="G9086" s="549"/>
      <c r="H9086" s="549"/>
      <c r="I9086" s="549"/>
      <c r="J9086" s="549"/>
      <c r="K9086" s="549"/>
      <c r="M9086" s="465"/>
      <c r="N9086" s="201"/>
    </row>
    <row r="9087" spans="2:14" hidden="1" outlineLevel="1" x14ac:dyDescent="0.35">
      <c r="B9087" s="200"/>
      <c r="C9087" s="201"/>
      <c r="D9087" s="201"/>
      <c r="E9087" s="201"/>
      <c r="F9087" s="202"/>
      <c r="G9087" s="549"/>
      <c r="H9087" s="549"/>
      <c r="I9087" s="549"/>
      <c r="J9087" s="549"/>
      <c r="K9087" s="549"/>
      <c r="M9087" s="465"/>
      <c r="N9087" s="201"/>
    </row>
    <row r="9088" spans="2:14" hidden="1" outlineLevel="1" x14ac:dyDescent="0.35">
      <c r="B9088" s="200"/>
      <c r="C9088" s="201"/>
      <c r="D9088" s="201"/>
      <c r="E9088" s="201"/>
      <c r="F9088" s="202"/>
      <c r="G9088" s="549"/>
      <c r="H9088" s="549"/>
      <c r="I9088" s="549"/>
      <c r="J9088" s="549"/>
      <c r="K9088" s="549"/>
      <c r="M9088" s="465"/>
      <c r="N9088" s="201"/>
    </row>
    <row r="9089" spans="2:14" hidden="1" outlineLevel="1" x14ac:dyDescent="0.35">
      <c r="B9089" s="200"/>
      <c r="C9089" s="201"/>
      <c r="D9089" s="201"/>
      <c r="E9089" s="201"/>
      <c r="F9089" s="202"/>
      <c r="G9089" s="549"/>
      <c r="H9089" s="549"/>
      <c r="I9089" s="549"/>
      <c r="J9089" s="549"/>
      <c r="K9089" s="549"/>
      <c r="M9089" s="465"/>
      <c r="N9089" s="201"/>
    </row>
    <row r="9090" spans="2:14" hidden="1" outlineLevel="1" x14ac:dyDescent="0.35">
      <c r="B9090" s="200"/>
      <c r="C9090" s="201"/>
      <c r="D9090" s="201"/>
      <c r="E9090" s="201"/>
      <c r="F9090" s="202"/>
      <c r="G9090" s="549"/>
      <c r="H9090" s="549"/>
      <c r="I9090" s="549"/>
      <c r="J9090" s="549"/>
      <c r="K9090" s="549"/>
      <c r="M9090" s="465"/>
      <c r="N9090" s="201"/>
    </row>
    <row r="9091" spans="2:14" hidden="1" outlineLevel="1" x14ac:dyDescent="0.35">
      <c r="B9091" s="200"/>
      <c r="C9091" s="201"/>
      <c r="D9091" s="201"/>
      <c r="E9091" s="201"/>
      <c r="F9091" s="202"/>
      <c r="G9091" s="549"/>
      <c r="H9091" s="549"/>
      <c r="I9091" s="549"/>
      <c r="J9091" s="549"/>
      <c r="K9091" s="549"/>
      <c r="M9091" s="465"/>
      <c r="N9091" s="201"/>
    </row>
    <row r="9092" spans="2:14" hidden="1" outlineLevel="1" x14ac:dyDescent="0.35">
      <c r="B9092" s="200"/>
      <c r="C9092" s="201"/>
      <c r="D9092" s="201"/>
      <c r="E9092" s="201"/>
      <c r="F9092" s="202"/>
      <c r="G9092" s="549"/>
      <c r="H9092" s="549"/>
      <c r="I9092" s="549"/>
      <c r="J9092" s="549"/>
      <c r="K9092" s="549"/>
      <c r="M9092" s="465"/>
      <c r="N9092" s="201"/>
    </row>
    <row r="9093" spans="2:14" hidden="1" outlineLevel="1" x14ac:dyDescent="0.35">
      <c r="B9093" s="200"/>
      <c r="C9093" s="201"/>
      <c r="D9093" s="201"/>
      <c r="E9093" s="201"/>
      <c r="F9093" s="202"/>
      <c r="G9093" s="549"/>
      <c r="H9093" s="549"/>
      <c r="I9093" s="549"/>
      <c r="J9093" s="549"/>
      <c r="K9093" s="549"/>
      <c r="M9093" s="465"/>
      <c r="N9093" s="201"/>
    </row>
    <row r="9094" spans="2:14" hidden="1" outlineLevel="1" x14ac:dyDescent="0.35">
      <c r="B9094" s="200"/>
      <c r="C9094" s="201"/>
      <c r="D9094" s="201"/>
      <c r="E9094" s="201"/>
      <c r="F9094" s="202"/>
      <c r="G9094" s="549"/>
      <c r="H9094" s="549"/>
      <c r="I9094" s="549"/>
      <c r="J9094" s="549"/>
      <c r="K9094" s="549"/>
      <c r="M9094" s="465"/>
      <c r="N9094" s="201"/>
    </row>
    <row r="9095" spans="2:14" hidden="1" outlineLevel="1" x14ac:dyDescent="0.35">
      <c r="B9095" s="200"/>
      <c r="C9095" s="201"/>
      <c r="D9095" s="201"/>
      <c r="E9095" s="201"/>
      <c r="F9095" s="202"/>
      <c r="G9095" s="549"/>
      <c r="H9095" s="549"/>
      <c r="I9095" s="549"/>
      <c r="J9095" s="549"/>
      <c r="K9095" s="549"/>
      <c r="M9095" s="465"/>
      <c r="N9095" s="201"/>
    </row>
    <row r="9096" spans="2:14" hidden="1" outlineLevel="1" x14ac:dyDescent="0.35">
      <c r="B9096" s="200"/>
      <c r="C9096" s="201"/>
      <c r="D9096" s="201"/>
      <c r="E9096" s="201"/>
      <c r="F9096" s="202"/>
      <c r="G9096" s="549"/>
      <c r="H9096" s="549"/>
      <c r="I9096" s="549"/>
      <c r="J9096" s="549"/>
      <c r="K9096" s="549"/>
      <c r="M9096" s="465"/>
      <c r="N9096" s="201"/>
    </row>
    <row r="9097" spans="2:14" hidden="1" outlineLevel="1" x14ac:dyDescent="0.35">
      <c r="B9097" s="200"/>
      <c r="C9097" s="201"/>
      <c r="D9097" s="201"/>
      <c r="E9097" s="201"/>
      <c r="F9097" s="202"/>
      <c r="G9097" s="549"/>
      <c r="H9097" s="549"/>
      <c r="I9097" s="549"/>
      <c r="J9097" s="549"/>
      <c r="K9097" s="549"/>
      <c r="M9097" s="465"/>
      <c r="N9097" s="201"/>
    </row>
    <row r="9098" spans="2:14" hidden="1" outlineLevel="1" x14ac:dyDescent="0.35">
      <c r="B9098" s="200"/>
      <c r="C9098" s="201"/>
      <c r="D9098" s="201"/>
      <c r="E9098" s="201"/>
      <c r="F9098" s="202"/>
      <c r="G9098" s="549"/>
      <c r="H9098" s="549"/>
      <c r="I9098" s="549"/>
      <c r="J9098" s="549"/>
      <c r="K9098" s="549"/>
      <c r="M9098" s="465"/>
      <c r="N9098" s="201"/>
    </row>
    <row r="9099" spans="2:14" hidden="1" outlineLevel="1" x14ac:dyDescent="0.35">
      <c r="B9099" s="200"/>
      <c r="C9099" s="201"/>
      <c r="D9099" s="201"/>
      <c r="E9099" s="201"/>
      <c r="F9099" s="202"/>
      <c r="G9099" s="549"/>
      <c r="H9099" s="549"/>
      <c r="I9099" s="549"/>
      <c r="J9099" s="549"/>
      <c r="K9099" s="549"/>
      <c r="M9099" s="465"/>
      <c r="N9099" s="201"/>
    </row>
    <row r="9100" spans="2:14" hidden="1" outlineLevel="1" x14ac:dyDescent="0.35">
      <c r="B9100" s="200"/>
      <c r="C9100" s="201"/>
      <c r="D9100" s="201"/>
      <c r="E9100" s="201"/>
      <c r="F9100" s="202"/>
      <c r="G9100" s="549"/>
      <c r="H9100" s="549"/>
      <c r="I9100" s="549"/>
      <c r="J9100" s="549"/>
      <c r="K9100" s="549"/>
      <c r="M9100" s="465"/>
      <c r="N9100" s="201"/>
    </row>
    <row r="9101" spans="2:14" hidden="1" outlineLevel="1" x14ac:dyDescent="0.35">
      <c r="B9101" s="200"/>
      <c r="C9101" s="201"/>
      <c r="D9101" s="201"/>
      <c r="E9101" s="201"/>
      <c r="F9101" s="202"/>
      <c r="G9101" s="549"/>
      <c r="H9101" s="549"/>
      <c r="I9101" s="549"/>
      <c r="J9101" s="549"/>
      <c r="K9101" s="549"/>
      <c r="M9101" s="465"/>
      <c r="N9101" s="201"/>
    </row>
    <row r="9102" spans="2:14" hidden="1" outlineLevel="1" x14ac:dyDescent="0.35">
      <c r="B9102" s="200"/>
      <c r="C9102" s="201"/>
      <c r="D9102" s="201"/>
      <c r="E9102" s="201"/>
      <c r="F9102" s="202"/>
      <c r="G9102" s="549"/>
      <c r="H9102" s="549"/>
      <c r="I9102" s="549"/>
      <c r="J9102" s="549"/>
      <c r="K9102" s="549"/>
      <c r="M9102" s="465"/>
      <c r="N9102" s="201"/>
    </row>
    <row r="9103" spans="2:14" hidden="1" outlineLevel="1" x14ac:dyDescent="0.35">
      <c r="B9103" s="200"/>
      <c r="C9103" s="201"/>
      <c r="D9103" s="201"/>
      <c r="E9103" s="201"/>
      <c r="F9103" s="202"/>
      <c r="G9103" s="549"/>
      <c r="H9103" s="549"/>
      <c r="I9103" s="549"/>
      <c r="J9103" s="549"/>
      <c r="K9103" s="549"/>
      <c r="M9103" s="465"/>
      <c r="N9103" s="201"/>
    </row>
    <row r="9104" spans="2:14" hidden="1" outlineLevel="1" x14ac:dyDescent="0.35">
      <c r="B9104" s="200"/>
      <c r="C9104" s="201"/>
      <c r="D9104" s="201"/>
      <c r="E9104" s="201"/>
      <c r="F9104" s="202"/>
      <c r="G9104" s="549"/>
      <c r="H9104" s="549"/>
      <c r="I9104" s="549"/>
      <c r="J9104" s="549"/>
      <c r="K9104" s="549"/>
      <c r="M9104" s="465"/>
      <c r="N9104" s="201"/>
    </row>
    <row r="9105" spans="2:14" hidden="1" outlineLevel="1" x14ac:dyDescent="0.35">
      <c r="B9105" s="200"/>
      <c r="C9105" s="201"/>
      <c r="D9105" s="201"/>
      <c r="E9105" s="201"/>
      <c r="F9105" s="202"/>
      <c r="G9105" s="549"/>
      <c r="H9105" s="549"/>
      <c r="I9105" s="549"/>
      <c r="J9105" s="549"/>
      <c r="K9105" s="549"/>
      <c r="M9105" s="465"/>
      <c r="N9105" s="201"/>
    </row>
    <row r="9106" spans="2:14" hidden="1" outlineLevel="1" x14ac:dyDescent="0.35">
      <c r="B9106" s="200"/>
      <c r="C9106" s="201"/>
      <c r="D9106" s="201"/>
      <c r="E9106" s="201"/>
      <c r="F9106" s="202"/>
      <c r="G9106" s="549"/>
      <c r="H9106" s="549"/>
      <c r="I9106" s="549"/>
      <c r="J9106" s="549"/>
      <c r="K9106" s="549"/>
      <c r="M9106" s="465"/>
      <c r="N9106" s="201"/>
    </row>
    <row r="9107" spans="2:14" hidden="1" outlineLevel="1" x14ac:dyDescent="0.35">
      <c r="B9107" s="200"/>
      <c r="C9107" s="201"/>
      <c r="D9107" s="201"/>
      <c r="E9107" s="201"/>
      <c r="F9107" s="202"/>
      <c r="G9107" s="549"/>
      <c r="H9107" s="549"/>
      <c r="I9107" s="549"/>
      <c r="J9107" s="549"/>
      <c r="K9107" s="549"/>
      <c r="M9107" s="465"/>
      <c r="N9107" s="201"/>
    </row>
    <row r="9108" spans="2:14" hidden="1" outlineLevel="1" x14ac:dyDescent="0.35">
      <c r="B9108" s="200"/>
      <c r="C9108" s="201"/>
      <c r="D9108" s="201"/>
      <c r="E9108" s="201"/>
      <c r="F9108" s="202"/>
      <c r="G9108" s="549"/>
      <c r="H9108" s="549"/>
      <c r="I9108" s="549"/>
      <c r="J9108" s="549"/>
      <c r="K9108" s="549"/>
      <c r="M9108" s="465"/>
      <c r="N9108" s="201"/>
    </row>
    <row r="9109" spans="2:14" hidden="1" outlineLevel="1" x14ac:dyDescent="0.35">
      <c r="B9109" s="200"/>
      <c r="C9109" s="201"/>
      <c r="D9109" s="201"/>
      <c r="E9109" s="201"/>
      <c r="F9109" s="202"/>
      <c r="G9109" s="549"/>
      <c r="H9109" s="549"/>
      <c r="I9109" s="549"/>
      <c r="J9109" s="549"/>
      <c r="K9109" s="549"/>
      <c r="M9109" s="465"/>
      <c r="N9109" s="201"/>
    </row>
    <row r="9110" spans="2:14" hidden="1" outlineLevel="1" x14ac:dyDescent="0.35">
      <c r="B9110" s="200"/>
      <c r="C9110" s="201"/>
      <c r="D9110" s="201"/>
      <c r="E9110" s="201"/>
      <c r="F9110" s="202"/>
      <c r="G9110" s="549"/>
      <c r="H9110" s="549"/>
      <c r="I9110" s="549"/>
      <c r="J9110" s="549"/>
      <c r="K9110" s="549"/>
      <c r="M9110" s="465"/>
      <c r="N9110" s="201"/>
    </row>
    <row r="9111" spans="2:14" hidden="1" outlineLevel="1" x14ac:dyDescent="0.35">
      <c r="B9111" s="200"/>
      <c r="C9111" s="201"/>
      <c r="D9111" s="201"/>
      <c r="E9111" s="201"/>
      <c r="F9111" s="202"/>
      <c r="G9111" s="549"/>
      <c r="H9111" s="549"/>
      <c r="I9111" s="549"/>
      <c r="J9111" s="549"/>
      <c r="K9111" s="549"/>
      <c r="M9111" s="465"/>
      <c r="N9111" s="201"/>
    </row>
    <row r="9112" spans="2:14" hidden="1" outlineLevel="1" x14ac:dyDescent="0.35">
      <c r="B9112" s="200"/>
      <c r="C9112" s="201"/>
      <c r="D9112" s="201"/>
      <c r="E9112" s="201"/>
      <c r="F9112" s="202"/>
      <c r="G9112" s="549"/>
      <c r="H9112" s="549"/>
      <c r="I9112" s="549"/>
      <c r="J9112" s="549"/>
      <c r="K9112" s="549"/>
      <c r="M9112" s="465"/>
      <c r="N9112" s="201"/>
    </row>
    <row r="9113" spans="2:14" hidden="1" outlineLevel="1" x14ac:dyDescent="0.35">
      <c r="B9113" s="200"/>
      <c r="C9113" s="201"/>
      <c r="D9113" s="201"/>
      <c r="E9113" s="201"/>
      <c r="F9113" s="202"/>
      <c r="G9113" s="549"/>
      <c r="H9113" s="549"/>
      <c r="I9113" s="549"/>
      <c r="J9113" s="549"/>
      <c r="K9113" s="549"/>
      <c r="M9113" s="465"/>
      <c r="N9113" s="201"/>
    </row>
    <row r="9114" spans="2:14" hidden="1" outlineLevel="1" x14ac:dyDescent="0.35">
      <c r="B9114" s="200"/>
      <c r="C9114" s="201"/>
      <c r="D9114" s="201"/>
      <c r="E9114" s="201"/>
      <c r="F9114" s="202"/>
      <c r="G9114" s="549"/>
      <c r="H9114" s="549"/>
      <c r="I9114" s="549"/>
      <c r="J9114" s="549"/>
      <c r="K9114" s="549"/>
      <c r="M9114" s="465"/>
      <c r="N9114" s="201"/>
    </row>
    <row r="9115" spans="2:14" hidden="1" outlineLevel="1" x14ac:dyDescent="0.35">
      <c r="B9115" s="200"/>
      <c r="C9115" s="201"/>
      <c r="D9115" s="201"/>
      <c r="E9115" s="201"/>
      <c r="F9115" s="202"/>
      <c r="G9115" s="549"/>
      <c r="H9115" s="549"/>
      <c r="I9115" s="549"/>
      <c r="J9115" s="549"/>
      <c r="K9115" s="549"/>
      <c r="M9115" s="465"/>
      <c r="N9115" s="201"/>
    </row>
    <row r="9116" spans="2:14" hidden="1" outlineLevel="1" x14ac:dyDescent="0.35">
      <c r="B9116" s="200"/>
      <c r="C9116" s="201"/>
      <c r="D9116" s="201"/>
      <c r="E9116" s="201"/>
      <c r="F9116" s="202"/>
      <c r="G9116" s="549"/>
      <c r="H9116" s="549"/>
      <c r="I9116" s="549"/>
      <c r="J9116" s="549"/>
      <c r="K9116" s="549"/>
      <c r="M9116" s="465"/>
      <c r="N9116" s="201"/>
    </row>
    <row r="9117" spans="2:14" hidden="1" outlineLevel="1" x14ac:dyDescent="0.35">
      <c r="B9117" s="200"/>
      <c r="C9117" s="201"/>
      <c r="D9117" s="201"/>
      <c r="E9117" s="201"/>
      <c r="F9117" s="202"/>
      <c r="G9117" s="549"/>
      <c r="H9117" s="549"/>
      <c r="I9117" s="549"/>
      <c r="J9117" s="549"/>
      <c r="K9117" s="549"/>
      <c r="M9117" s="465"/>
      <c r="N9117" s="201"/>
    </row>
    <row r="9118" spans="2:14" hidden="1" outlineLevel="1" x14ac:dyDescent="0.35">
      <c r="B9118" s="200"/>
      <c r="C9118" s="201"/>
      <c r="D9118" s="201"/>
      <c r="E9118" s="201"/>
      <c r="F9118" s="202"/>
      <c r="G9118" s="549"/>
      <c r="H9118" s="549"/>
      <c r="I9118" s="549"/>
      <c r="J9118" s="549"/>
      <c r="K9118" s="549"/>
      <c r="M9118" s="465"/>
      <c r="N9118" s="201"/>
    </row>
    <row r="9119" spans="2:14" hidden="1" outlineLevel="1" x14ac:dyDescent="0.35">
      <c r="B9119" s="200"/>
      <c r="C9119" s="201"/>
      <c r="D9119" s="201"/>
      <c r="E9119" s="201"/>
      <c r="F9119" s="202"/>
      <c r="G9119" s="549"/>
      <c r="H9119" s="549"/>
      <c r="I9119" s="549"/>
      <c r="J9119" s="549"/>
      <c r="K9119" s="549"/>
      <c r="M9119" s="465"/>
      <c r="N9119" s="201"/>
    </row>
    <row r="9120" spans="2:14" hidden="1" outlineLevel="1" x14ac:dyDescent="0.35">
      <c r="B9120" s="200"/>
      <c r="C9120" s="201"/>
      <c r="D9120" s="201"/>
      <c r="E9120" s="201"/>
      <c r="F9120" s="202"/>
      <c r="G9120" s="549"/>
      <c r="H9120" s="549"/>
      <c r="I9120" s="549"/>
      <c r="J9120" s="549"/>
      <c r="K9120" s="549"/>
      <c r="M9120" s="465"/>
      <c r="N9120" s="201"/>
    </row>
    <row r="9121" spans="2:14" hidden="1" outlineLevel="1" x14ac:dyDescent="0.35">
      <c r="B9121" s="200"/>
      <c r="C9121" s="201"/>
      <c r="D9121" s="201"/>
      <c r="E9121" s="201"/>
      <c r="F9121" s="202"/>
      <c r="G9121" s="549"/>
      <c r="H9121" s="549"/>
      <c r="I9121" s="549"/>
      <c r="J9121" s="549"/>
      <c r="K9121" s="549"/>
      <c r="M9121" s="465"/>
      <c r="N9121" s="201"/>
    </row>
    <row r="9122" spans="2:14" hidden="1" outlineLevel="1" x14ac:dyDescent="0.35">
      <c r="B9122" s="200"/>
      <c r="C9122" s="201"/>
      <c r="D9122" s="201"/>
      <c r="E9122" s="201"/>
      <c r="F9122" s="202"/>
      <c r="G9122" s="549"/>
      <c r="H9122" s="549"/>
      <c r="I9122" s="549"/>
      <c r="J9122" s="549"/>
      <c r="K9122" s="549"/>
      <c r="M9122" s="465"/>
      <c r="N9122" s="201"/>
    </row>
    <row r="9123" spans="2:14" hidden="1" outlineLevel="1" x14ac:dyDescent="0.35">
      <c r="B9123" s="200"/>
      <c r="C9123" s="201"/>
      <c r="D9123" s="201"/>
      <c r="E9123" s="201"/>
      <c r="F9123" s="202"/>
      <c r="G9123" s="549"/>
      <c r="H9123" s="549"/>
      <c r="I9123" s="549"/>
      <c r="J9123" s="549"/>
      <c r="K9123" s="549"/>
      <c r="M9123" s="465"/>
      <c r="N9123" s="201"/>
    </row>
    <row r="9124" spans="2:14" hidden="1" outlineLevel="1" x14ac:dyDescent="0.35">
      <c r="B9124" s="200"/>
      <c r="C9124" s="201"/>
      <c r="D9124" s="201"/>
      <c r="E9124" s="201"/>
      <c r="F9124" s="202"/>
      <c r="G9124" s="549"/>
      <c r="H9124" s="549"/>
      <c r="I9124" s="549"/>
      <c r="J9124" s="549"/>
      <c r="K9124" s="549"/>
      <c r="M9124" s="465"/>
      <c r="N9124" s="201"/>
    </row>
    <row r="9125" spans="2:14" hidden="1" outlineLevel="1" x14ac:dyDescent="0.35">
      <c r="B9125" s="200"/>
      <c r="C9125" s="201"/>
      <c r="D9125" s="201"/>
      <c r="E9125" s="201"/>
      <c r="F9125" s="202"/>
      <c r="G9125" s="549"/>
      <c r="H9125" s="549"/>
      <c r="I9125" s="549"/>
      <c r="J9125" s="549"/>
      <c r="K9125" s="549"/>
      <c r="M9125" s="465"/>
      <c r="N9125" s="201"/>
    </row>
    <row r="9126" spans="2:14" hidden="1" outlineLevel="1" x14ac:dyDescent="0.35">
      <c r="B9126" s="200"/>
      <c r="C9126" s="201"/>
      <c r="D9126" s="201"/>
      <c r="E9126" s="201"/>
      <c r="F9126" s="202"/>
      <c r="G9126" s="549"/>
      <c r="H9126" s="549"/>
      <c r="I9126" s="549"/>
      <c r="J9126" s="549"/>
      <c r="K9126" s="549"/>
      <c r="M9126" s="465"/>
      <c r="N9126" s="201"/>
    </row>
    <row r="9127" spans="2:14" hidden="1" outlineLevel="1" x14ac:dyDescent="0.35">
      <c r="B9127" s="200"/>
      <c r="C9127" s="201"/>
      <c r="D9127" s="201"/>
      <c r="E9127" s="201"/>
      <c r="F9127" s="202"/>
      <c r="G9127" s="549"/>
      <c r="H9127" s="549"/>
      <c r="I9127" s="549"/>
      <c r="J9127" s="549"/>
      <c r="K9127" s="549"/>
      <c r="M9127" s="465"/>
      <c r="N9127" s="201"/>
    </row>
    <row r="9128" spans="2:14" hidden="1" outlineLevel="1" x14ac:dyDescent="0.35">
      <c r="B9128" s="200"/>
      <c r="C9128" s="201"/>
      <c r="D9128" s="201"/>
      <c r="E9128" s="201"/>
      <c r="F9128" s="202"/>
      <c r="G9128" s="549"/>
      <c r="H9128" s="549"/>
      <c r="I9128" s="549"/>
      <c r="J9128" s="549"/>
      <c r="K9128" s="549"/>
      <c r="M9128" s="465"/>
      <c r="N9128" s="201"/>
    </row>
    <row r="9129" spans="2:14" hidden="1" outlineLevel="1" x14ac:dyDescent="0.35">
      <c r="B9129" s="200"/>
      <c r="C9129" s="201"/>
      <c r="D9129" s="201"/>
      <c r="E9129" s="201"/>
      <c r="F9129" s="202"/>
      <c r="G9129" s="549"/>
      <c r="H9129" s="549"/>
      <c r="I9129" s="549"/>
      <c r="J9129" s="549"/>
      <c r="K9129" s="549"/>
      <c r="M9129" s="465"/>
      <c r="N9129" s="201"/>
    </row>
    <row r="9130" spans="2:14" hidden="1" outlineLevel="1" x14ac:dyDescent="0.35">
      <c r="B9130" s="200"/>
      <c r="C9130" s="201"/>
      <c r="D9130" s="201"/>
      <c r="E9130" s="201"/>
      <c r="F9130" s="202"/>
      <c r="G9130" s="549"/>
      <c r="H9130" s="549"/>
      <c r="I9130" s="549"/>
      <c r="J9130" s="549"/>
      <c r="K9130" s="549"/>
      <c r="M9130" s="465"/>
      <c r="N9130" s="201"/>
    </row>
    <row r="9131" spans="2:14" hidden="1" outlineLevel="1" x14ac:dyDescent="0.35">
      <c r="B9131" s="200"/>
      <c r="C9131" s="201"/>
      <c r="D9131" s="201"/>
      <c r="E9131" s="201"/>
      <c r="F9131" s="202"/>
      <c r="G9131" s="549"/>
      <c r="H9131" s="549"/>
      <c r="I9131" s="549"/>
      <c r="J9131" s="549"/>
      <c r="K9131" s="549"/>
      <c r="M9131" s="465"/>
      <c r="N9131" s="201"/>
    </row>
    <row r="9132" spans="2:14" hidden="1" outlineLevel="1" x14ac:dyDescent="0.35">
      <c r="B9132" s="200"/>
      <c r="C9132" s="201"/>
      <c r="D9132" s="201"/>
      <c r="E9132" s="201"/>
      <c r="F9132" s="202"/>
      <c r="G9132" s="549"/>
      <c r="H9132" s="549"/>
      <c r="I9132" s="549"/>
      <c r="J9132" s="549"/>
      <c r="K9132" s="549"/>
      <c r="M9132" s="465"/>
      <c r="N9132" s="201"/>
    </row>
    <row r="9133" spans="2:14" hidden="1" outlineLevel="1" x14ac:dyDescent="0.35">
      <c r="B9133" s="200"/>
      <c r="C9133" s="201"/>
      <c r="D9133" s="201"/>
      <c r="E9133" s="201"/>
      <c r="F9133" s="202"/>
      <c r="G9133" s="549"/>
      <c r="H9133" s="549"/>
      <c r="I9133" s="549"/>
      <c r="J9133" s="549"/>
      <c r="K9133" s="549"/>
      <c r="M9133" s="465"/>
      <c r="N9133" s="201"/>
    </row>
    <row r="9134" spans="2:14" hidden="1" outlineLevel="1" x14ac:dyDescent="0.35">
      <c r="B9134" s="200"/>
      <c r="C9134" s="201"/>
      <c r="D9134" s="201"/>
      <c r="E9134" s="201"/>
      <c r="F9134" s="202"/>
      <c r="G9134" s="549"/>
      <c r="H9134" s="549"/>
      <c r="I9134" s="549"/>
      <c r="J9134" s="549"/>
      <c r="K9134" s="549"/>
      <c r="M9134" s="465"/>
      <c r="N9134" s="201"/>
    </row>
    <row r="9135" spans="2:14" hidden="1" outlineLevel="1" x14ac:dyDescent="0.35">
      <c r="B9135" s="200"/>
      <c r="C9135" s="201"/>
      <c r="D9135" s="201"/>
      <c r="E9135" s="201"/>
      <c r="F9135" s="202"/>
      <c r="G9135" s="549"/>
      <c r="H9135" s="549"/>
      <c r="I9135" s="549"/>
      <c r="J9135" s="549"/>
      <c r="K9135" s="549"/>
      <c r="M9135" s="465"/>
      <c r="N9135" s="201"/>
    </row>
    <row r="9136" spans="2:14" hidden="1" outlineLevel="1" x14ac:dyDescent="0.35">
      <c r="B9136" s="200"/>
      <c r="C9136" s="201"/>
      <c r="D9136" s="201"/>
      <c r="E9136" s="201"/>
      <c r="F9136" s="202"/>
      <c r="G9136" s="549"/>
      <c r="H9136" s="549"/>
      <c r="I9136" s="549"/>
      <c r="J9136" s="549"/>
      <c r="K9136" s="549"/>
      <c r="M9136" s="465"/>
      <c r="N9136" s="201"/>
    </row>
    <row r="9137" spans="2:14" hidden="1" outlineLevel="1" x14ac:dyDescent="0.35">
      <c r="B9137" s="200"/>
      <c r="C9137" s="201"/>
      <c r="D9137" s="201"/>
      <c r="E9137" s="201"/>
      <c r="F9137" s="202"/>
      <c r="G9137" s="549"/>
      <c r="H9137" s="549"/>
      <c r="I9137" s="549"/>
      <c r="J9137" s="549"/>
      <c r="K9137" s="549"/>
      <c r="M9137" s="465"/>
      <c r="N9137" s="201"/>
    </row>
    <row r="9138" spans="2:14" hidden="1" outlineLevel="1" x14ac:dyDescent="0.35">
      <c r="B9138" s="200"/>
      <c r="C9138" s="201"/>
      <c r="D9138" s="201"/>
      <c r="E9138" s="201"/>
      <c r="F9138" s="202"/>
      <c r="G9138" s="549"/>
      <c r="H9138" s="549"/>
      <c r="I9138" s="549"/>
      <c r="J9138" s="549"/>
      <c r="K9138" s="549"/>
      <c r="M9138" s="465"/>
      <c r="N9138" s="201"/>
    </row>
    <row r="9139" spans="2:14" hidden="1" outlineLevel="1" x14ac:dyDescent="0.35">
      <c r="B9139" s="200"/>
      <c r="C9139" s="201"/>
      <c r="D9139" s="201"/>
      <c r="E9139" s="201"/>
      <c r="F9139" s="202"/>
      <c r="G9139" s="549"/>
      <c r="H9139" s="549"/>
      <c r="I9139" s="549"/>
      <c r="J9139" s="549"/>
      <c r="K9139" s="549"/>
      <c r="M9139" s="465"/>
      <c r="N9139" s="201"/>
    </row>
    <row r="9140" spans="2:14" hidden="1" outlineLevel="1" x14ac:dyDescent="0.35">
      <c r="B9140" s="200"/>
      <c r="C9140" s="201"/>
      <c r="D9140" s="201"/>
      <c r="E9140" s="201"/>
      <c r="F9140" s="202"/>
      <c r="G9140" s="549"/>
      <c r="H9140" s="549"/>
      <c r="I9140" s="549"/>
      <c r="J9140" s="549"/>
      <c r="K9140" s="549"/>
      <c r="M9140" s="465"/>
      <c r="N9140" s="201"/>
    </row>
    <row r="9141" spans="2:14" hidden="1" outlineLevel="1" x14ac:dyDescent="0.35">
      <c r="B9141" s="200"/>
      <c r="C9141" s="201"/>
      <c r="D9141" s="201"/>
      <c r="E9141" s="201"/>
      <c r="F9141" s="202"/>
      <c r="G9141" s="549"/>
      <c r="H9141" s="549"/>
      <c r="I9141" s="549"/>
      <c r="J9141" s="549"/>
      <c r="K9141" s="549"/>
      <c r="M9141" s="465"/>
      <c r="N9141" s="201"/>
    </row>
    <row r="9142" spans="2:14" hidden="1" outlineLevel="1" x14ac:dyDescent="0.35">
      <c r="B9142" s="200"/>
      <c r="C9142" s="201"/>
      <c r="D9142" s="201"/>
      <c r="E9142" s="201"/>
      <c r="F9142" s="202"/>
      <c r="G9142" s="549"/>
      <c r="H9142" s="549"/>
      <c r="I9142" s="549"/>
      <c r="J9142" s="549"/>
      <c r="K9142" s="549"/>
      <c r="M9142" s="465"/>
      <c r="N9142" s="201"/>
    </row>
    <row r="9143" spans="2:14" hidden="1" outlineLevel="1" x14ac:dyDescent="0.35">
      <c r="B9143" s="200"/>
      <c r="C9143" s="201"/>
      <c r="D9143" s="201"/>
      <c r="E9143" s="201"/>
      <c r="F9143" s="202"/>
      <c r="G9143" s="549"/>
      <c r="H9143" s="549"/>
      <c r="I9143" s="549"/>
      <c r="J9143" s="549"/>
      <c r="K9143" s="549"/>
      <c r="M9143" s="465"/>
      <c r="N9143" s="201"/>
    </row>
    <row r="9144" spans="2:14" hidden="1" outlineLevel="1" x14ac:dyDescent="0.35">
      <c r="B9144" s="200"/>
      <c r="C9144" s="201"/>
      <c r="D9144" s="201"/>
      <c r="E9144" s="201"/>
      <c r="F9144" s="202"/>
      <c r="G9144" s="549"/>
      <c r="H9144" s="549"/>
      <c r="I9144" s="549"/>
      <c r="J9144" s="549"/>
      <c r="K9144" s="549"/>
      <c r="M9144" s="465"/>
      <c r="N9144" s="201"/>
    </row>
    <row r="9145" spans="2:14" hidden="1" outlineLevel="1" x14ac:dyDescent="0.35">
      <c r="B9145" s="200"/>
      <c r="C9145" s="201"/>
      <c r="D9145" s="201"/>
      <c r="E9145" s="201"/>
      <c r="F9145" s="202"/>
      <c r="G9145" s="549"/>
      <c r="H9145" s="549"/>
      <c r="I9145" s="549"/>
      <c r="J9145" s="549"/>
      <c r="K9145" s="549"/>
      <c r="M9145" s="465"/>
      <c r="N9145" s="201"/>
    </row>
    <row r="9146" spans="2:14" hidden="1" outlineLevel="1" x14ac:dyDescent="0.35">
      <c r="B9146" s="200"/>
      <c r="C9146" s="201"/>
      <c r="D9146" s="201"/>
      <c r="E9146" s="201"/>
      <c r="F9146" s="202"/>
      <c r="G9146" s="549"/>
      <c r="H9146" s="549"/>
      <c r="I9146" s="549"/>
      <c r="J9146" s="549"/>
      <c r="K9146" s="549"/>
      <c r="M9146" s="465"/>
      <c r="N9146" s="201"/>
    </row>
    <row r="9147" spans="2:14" hidden="1" outlineLevel="1" x14ac:dyDescent="0.35">
      <c r="B9147" s="200"/>
      <c r="C9147" s="201"/>
      <c r="D9147" s="201"/>
      <c r="E9147" s="201"/>
      <c r="F9147" s="202"/>
      <c r="G9147" s="549"/>
      <c r="H9147" s="549"/>
      <c r="I9147" s="549"/>
      <c r="J9147" s="549"/>
      <c r="K9147" s="549"/>
      <c r="M9147" s="465"/>
      <c r="N9147" s="201"/>
    </row>
    <row r="9148" spans="2:14" hidden="1" outlineLevel="1" x14ac:dyDescent="0.35">
      <c r="B9148" s="200"/>
      <c r="C9148" s="201"/>
      <c r="D9148" s="201"/>
      <c r="E9148" s="201"/>
      <c r="F9148" s="202"/>
      <c r="G9148" s="549"/>
      <c r="H9148" s="549"/>
      <c r="I9148" s="549"/>
      <c r="J9148" s="549"/>
      <c r="K9148" s="549"/>
      <c r="M9148" s="465"/>
      <c r="N9148" s="201"/>
    </row>
    <row r="9149" spans="2:14" hidden="1" outlineLevel="1" x14ac:dyDescent="0.35">
      <c r="B9149" s="200"/>
      <c r="C9149" s="201"/>
      <c r="D9149" s="201"/>
      <c r="E9149" s="201"/>
      <c r="F9149" s="202"/>
      <c r="G9149" s="549"/>
      <c r="H9149" s="549"/>
      <c r="I9149" s="549"/>
      <c r="J9149" s="549"/>
      <c r="K9149" s="549"/>
      <c r="M9149" s="465"/>
      <c r="N9149" s="201"/>
    </row>
    <row r="9150" spans="2:14" hidden="1" outlineLevel="1" x14ac:dyDescent="0.35">
      <c r="B9150" s="200"/>
      <c r="C9150" s="201"/>
      <c r="D9150" s="201"/>
      <c r="E9150" s="201"/>
      <c r="F9150" s="202"/>
      <c r="G9150" s="549"/>
      <c r="H9150" s="549"/>
      <c r="I9150" s="549"/>
      <c r="J9150" s="549"/>
      <c r="K9150" s="549"/>
      <c r="M9150" s="465"/>
      <c r="N9150" s="201"/>
    </row>
    <row r="9151" spans="2:14" hidden="1" outlineLevel="1" x14ac:dyDescent="0.35">
      <c r="B9151" s="200"/>
      <c r="C9151" s="201"/>
      <c r="D9151" s="201"/>
      <c r="E9151" s="201"/>
      <c r="F9151" s="202"/>
      <c r="G9151" s="549"/>
      <c r="H9151" s="549"/>
      <c r="I9151" s="549"/>
      <c r="J9151" s="549"/>
      <c r="K9151" s="549"/>
      <c r="M9151" s="465"/>
      <c r="N9151" s="201"/>
    </row>
    <row r="9152" spans="2:14" hidden="1" outlineLevel="1" x14ac:dyDescent="0.35">
      <c r="B9152" s="200"/>
      <c r="C9152" s="201"/>
      <c r="D9152" s="201"/>
      <c r="E9152" s="201"/>
      <c r="F9152" s="202"/>
      <c r="G9152" s="549"/>
      <c r="H9152" s="549"/>
      <c r="I9152" s="549"/>
      <c r="J9152" s="549"/>
      <c r="K9152" s="549"/>
      <c r="M9152" s="465"/>
      <c r="N9152" s="201"/>
    </row>
    <row r="9153" spans="2:14" hidden="1" outlineLevel="1" x14ac:dyDescent="0.35">
      <c r="B9153" s="200"/>
      <c r="C9153" s="201"/>
      <c r="D9153" s="201"/>
      <c r="E9153" s="201"/>
      <c r="F9153" s="202"/>
      <c r="G9153" s="549"/>
      <c r="H9153" s="549"/>
      <c r="I9153" s="549"/>
      <c r="J9153" s="549"/>
      <c r="K9153" s="549"/>
      <c r="M9153" s="465"/>
      <c r="N9153" s="201"/>
    </row>
    <row r="9154" spans="2:14" hidden="1" outlineLevel="1" x14ac:dyDescent="0.35">
      <c r="B9154" s="200"/>
      <c r="C9154" s="201"/>
      <c r="D9154" s="201"/>
      <c r="E9154" s="201"/>
      <c r="F9154" s="202"/>
      <c r="G9154" s="549"/>
      <c r="H9154" s="549"/>
      <c r="I9154" s="549"/>
      <c r="J9154" s="549"/>
      <c r="K9154" s="549"/>
      <c r="M9154" s="465"/>
      <c r="N9154" s="201"/>
    </row>
    <row r="9155" spans="2:14" hidden="1" outlineLevel="1" x14ac:dyDescent="0.35">
      <c r="B9155" s="200"/>
      <c r="C9155" s="201"/>
      <c r="D9155" s="201"/>
      <c r="E9155" s="201"/>
      <c r="F9155" s="202"/>
      <c r="G9155" s="549"/>
      <c r="H9155" s="549"/>
      <c r="I9155" s="549"/>
      <c r="J9155" s="549"/>
      <c r="K9155" s="549"/>
      <c r="M9155" s="465"/>
      <c r="N9155" s="201"/>
    </row>
    <row r="9156" spans="2:14" hidden="1" outlineLevel="1" x14ac:dyDescent="0.35">
      <c r="B9156" s="200"/>
      <c r="C9156" s="201"/>
      <c r="D9156" s="201"/>
      <c r="E9156" s="201"/>
      <c r="F9156" s="202"/>
      <c r="G9156" s="549"/>
      <c r="H9156" s="549"/>
      <c r="I9156" s="549"/>
      <c r="J9156" s="549"/>
      <c r="K9156" s="549"/>
      <c r="M9156" s="465"/>
      <c r="N9156" s="201"/>
    </row>
    <row r="9157" spans="2:14" hidden="1" outlineLevel="1" x14ac:dyDescent="0.35">
      <c r="B9157" s="200"/>
      <c r="C9157" s="201"/>
      <c r="D9157" s="201"/>
      <c r="E9157" s="201"/>
      <c r="F9157" s="202"/>
      <c r="G9157" s="549"/>
      <c r="H9157" s="549"/>
      <c r="I9157" s="549"/>
      <c r="J9157" s="549"/>
      <c r="K9157" s="549"/>
      <c r="M9157" s="465"/>
      <c r="N9157" s="201"/>
    </row>
    <row r="9158" spans="2:14" hidden="1" outlineLevel="1" x14ac:dyDescent="0.35">
      <c r="B9158" s="200"/>
      <c r="C9158" s="201"/>
      <c r="D9158" s="201"/>
      <c r="E9158" s="201"/>
      <c r="F9158" s="202"/>
      <c r="G9158" s="549"/>
      <c r="H9158" s="549"/>
      <c r="I9158" s="549"/>
      <c r="J9158" s="549"/>
      <c r="K9158" s="549"/>
      <c r="M9158" s="465"/>
      <c r="N9158" s="201"/>
    </row>
    <row r="9159" spans="2:14" hidden="1" outlineLevel="1" x14ac:dyDescent="0.35">
      <c r="B9159" s="200"/>
      <c r="C9159" s="201"/>
      <c r="D9159" s="201"/>
      <c r="E9159" s="201"/>
      <c r="F9159" s="202"/>
      <c r="G9159" s="549"/>
      <c r="H9159" s="549"/>
      <c r="I9159" s="549"/>
      <c r="J9159" s="549"/>
      <c r="K9159" s="549"/>
      <c r="M9159" s="465"/>
      <c r="N9159" s="201"/>
    </row>
    <row r="9160" spans="2:14" hidden="1" outlineLevel="1" x14ac:dyDescent="0.35">
      <c r="B9160" s="200"/>
      <c r="C9160" s="201"/>
      <c r="D9160" s="201"/>
      <c r="E9160" s="201"/>
      <c r="F9160" s="202"/>
      <c r="G9160" s="549"/>
      <c r="H9160" s="549"/>
      <c r="I9160" s="549"/>
      <c r="J9160" s="549"/>
      <c r="K9160" s="549"/>
      <c r="M9160" s="465"/>
      <c r="N9160" s="201"/>
    </row>
    <row r="9161" spans="2:14" hidden="1" outlineLevel="1" x14ac:dyDescent="0.35">
      <c r="B9161" s="200"/>
      <c r="C9161" s="201"/>
      <c r="D9161" s="201"/>
      <c r="E9161" s="201"/>
      <c r="F9161" s="202"/>
      <c r="G9161" s="549"/>
      <c r="H9161" s="549"/>
      <c r="I9161" s="549"/>
      <c r="J9161" s="549"/>
      <c r="K9161" s="549"/>
      <c r="M9161" s="465"/>
      <c r="N9161" s="201"/>
    </row>
    <row r="9162" spans="2:14" hidden="1" outlineLevel="1" x14ac:dyDescent="0.35">
      <c r="B9162" s="200"/>
      <c r="C9162" s="201"/>
      <c r="D9162" s="201"/>
      <c r="E9162" s="201"/>
      <c r="F9162" s="202"/>
      <c r="G9162" s="549"/>
      <c r="H9162" s="549"/>
      <c r="I9162" s="549"/>
      <c r="J9162" s="549"/>
      <c r="K9162" s="549"/>
      <c r="M9162" s="465"/>
      <c r="N9162" s="201"/>
    </row>
    <row r="9163" spans="2:14" hidden="1" outlineLevel="1" x14ac:dyDescent="0.35">
      <c r="B9163" s="200"/>
      <c r="C9163" s="201"/>
      <c r="D9163" s="201"/>
      <c r="E9163" s="201"/>
      <c r="F9163" s="202"/>
      <c r="G9163" s="549"/>
      <c r="H9163" s="549"/>
      <c r="I9163" s="549"/>
      <c r="J9163" s="549"/>
      <c r="K9163" s="549"/>
      <c r="M9163" s="465"/>
      <c r="N9163" s="201"/>
    </row>
    <row r="9164" spans="2:14" hidden="1" outlineLevel="1" x14ac:dyDescent="0.35">
      <c r="B9164" s="200"/>
      <c r="C9164" s="201"/>
      <c r="D9164" s="201"/>
      <c r="E9164" s="201"/>
      <c r="F9164" s="202"/>
      <c r="G9164" s="549"/>
      <c r="H9164" s="549"/>
      <c r="I9164" s="549"/>
      <c r="J9164" s="549"/>
      <c r="K9164" s="549"/>
      <c r="M9164" s="465"/>
      <c r="N9164" s="201"/>
    </row>
    <row r="9165" spans="2:14" hidden="1" outlineLevel="1" x14ac:dyDescent="0.35">
      <c r="B9165" s="200"/>
      <c r="C9165" s="201"/>
      <c r="D9165" s="201"/>
      <c r="E9165" s="201"/>
      <c r="F9165" s="202"/>
      <c r="G9165" s="549"/>
      <c r="H9165" s="549"/>
      <c r="I9165" s="549"/>
      <c r="J9165" s="549"/>
      <c r="K9165" s="549"/>
      <c r="M9165" s="465"/>
      <c r="N9165" s="201"/>
    </row>
    <row r="9166" spans="2:14" hidden="1" outlineLevel="1" x14ac:dyDescent="0.35">
      <c r="B9166" s="200"/>
      <c r="C9166" s="201"/>
      <c r="D9166" s="201"/>
      <c r="E9166" s="201"/>
      <c r="F9166" s="202"/>
      <c r="G9166" s="549"/>
      <c r="H9166" s="549"/>
      <c r="I9166" s="549"/>
      <c r="J9166" s="549"/>
      <c r="K9166" s="549"/>
      <c r="M9166" s="465"/>
      <c r="N9166" s="201"/>
    </row>
    <row r="9167" spans="2:14" hidden="1" outlineLevel="1" x14ac:dyDescent="0.35">
      <c r="B9167" s="200"/>
      <c r="C9167" s="201"/>
      <c r="D9167" s="201"/>
      <c r="E9167" s="201"/>
      <c r="F9167" s="202"/>
      <c r="G9167" s="549"/>
      <c r="H9167" s="549"/>
      <c r="I9167" s="549"/>
      <c r="J9167" s="549"/>
      <c r="K9167" s="549"/>
      <c r="M9167" s="465"/>
      <c r="N9167" s="201"/>
    </row>
    <row r="9168" spans="2:14" hidden="1" outlineLevel="1" x14ac:dyDescent="0.35">
      <c r="B9168" s="200"/>
      <c r="C9168" s="201"/>
      <c r="D9168" s="201"/>
      <c r="E9168" s="201"/>
      <c r="F9168" s="202"/>
      <c r="G9168" s="549"/>
      <c r="H9168" s="549"/>
      <c r="I9168" s="549"/>
      <c r="J9168" s="549"/>
      <c r="K9168" s="549"/>
      <c r="M9168" s="465"/>
      <c r="N9168" s="201"/>
    </row>
    <row r="9169" spans="2:14" hidden="1" outlineLevel="1" x14ac:dyDescent="0.35">
      <c r="B9169" s="200"/>
      <c r="C9169" s="201"/>
      <c r="D9169" s="201"/>
      <c r="E9169" s="201"/>
      <c r="F9169" s="202"/>
      <c r="G9169" s="549"/>
      <c r="H9169" s="549"/>
      <c r="I9169" s="549"/>
      <c r="J9169" s="549"/>
      <c r="K9169" s="549"/>
      <c r="M9169" s="465"/>
      <c r="N9169" s="201"/>
    </row>
    <row r="9170" spans="2:14" hidden="1" outlineLevel="1" x14ac:dyDescent="0.35">
      <c r="B9170" s="200"/>
      <c r="C9170" s="201"/>
      <c r="D9170" s="201"/>
      <c r="E9170" s="201"/>
      <c r="F9170" s="202"/>
      <c r="G9170" s="549"/>
      <c r="H9170" s="549"/>
      <c r="I9170" s="549"/>
      <c r="J9170" s="549"/>
      <c r="K9170" s="549"/>
      <c r="M9170" s="465"/>
      <c r="N9170" s="201"/>
    </row>
    <row r="9171" spans="2:14" hidden="1" outlineLevel="1" x14ac:dyDescent="0.35">
      <c r="B9171" s="200"/>
      <c r="C9171" s="201"/>
      <c r="D9171" s="201"/>
      <c r="E9171" s="201"/>
      <c r="F9171" s="202"/>
      <c r="G9171" s="549"/>
      <c r="H9171" s="549"/>
      <c r="I9171" s="549"/>
      <c r="J9171" s="549"/>
      <c r="K9171" s="549"/>
      <c r="M9171" s="465"/>
      <c r="N9171" s="201"/>
    </row>
    <row r="9172" spans="2:14" hidden="1" outlineLevel="1" x14ac:dyDescent="0.35">
      <c r="B9172" s="200"/>
      <c r="C9172" s="201"/>
      <c r="D9172" s="201"/>
      <c r="E9172" s="201"/>
      <c r="F9172" s="202"/>
      <c r="G9172" s="549"/>
      <c r="H9172" s="549"/>
      <c r="I9172" s="549"/>
      <c r="J9172" s="549"/>
      <c r="K9172" s="549"/>
      <c r="M9172" s="465"/>
      <c r="N9172" s="201"/>
    </row>
    <row r="9173" spans="2:14" hidden="1" outlineLevel="1" x14ac:dyDescent="0.35">
      <c r="B9173" s="200"/>
      <c r="C9173" s="201"/>
      <c r="D9173" s="201"/>
      <c r="E9173" s="201"/>
      <c r="F9173" s="202"/>
      <c r="G9173" s="549"/>
      <c r="H9173" s="549"/>
      <c r="I9173" s="549"/>
      <c r="J9173" s="549"/>
      <c r="K9173" s="549"/>
      <c r="M9173" s="465"/>
      <c r="N9173" s="201"/>
    </row>
    <row r="9174" spans="2:14" hidden="1" outlineLevel="1" x14ac:dyDescent="0.35">
      <c r="B9174" s="200"/>
      <c r="C9174" s="201"/>
      <c r="D9174" s="201"/>
      <c r="E9174" s="201"/>
      <c r="F9174" s="202"/>
      <c r="G9174" s="549"/>
      <c r="H9174" s="549"/>
      <c r="I9174" s="549"/>
      <c r="J9174" s="549"/>
      <c r="K9174" s="549"/>
      <c r="M9174" s="465"/>
      <c r="N9174" s="201"/>
    </row>
    <row r="9175" spans="2:14" hidden="1" outlineLevel="1" x14ac:dyDescent="0.35">
      <c r="B9175" s="200"/>
      <c r="C9175" s="201"/>
      <c r="D9175" s="201"/>
      <c r="E9175" s="201"/>
      <c r="F9175" s="202"/>
      <c r="G9175" s="549"/>
      <c r="H9175" s="549"/>
      <c r="I9175" s="549"/>
      <c r="J9175" s="549"/>
      <c r="K9175" s="549"/>
      <c r="M9175" s="465"/>
      <c r="N9175" s="201"/>
    </row>
    <row r="9176" spans="2:14" hidden="1" outlineLevel="1" x14ac:dyDescent="0.35">
      <c r="B9176" s="200"/>
      <c r="C9176" s="201"/>
      <c r="D9176" s="201"/>
      <c r="E9176" s="201"/>
      <c r="F9176" s="202"/>
      <c r="G9176" s="549"/>
      <c r="H9176" s="549"/>
      <c r="I9176" s="549"/>
      <c r="J9176" s="549"/>
      <c r="K9176" s="549"/>
      <c r="M9176" s="465"/>
      <c r="N9176" s="201"/>
    </row>
    <row r="9177" spans="2:14" hidden="1" outlineLevel="1" x14ac:dyDescent="0.35">
      <c r="B9177" s="200"/>
      <c r="C9177" s="201"/>
      <c r="D9177" s="201"/>
      <c r="E9177" s="201"/>
      <c r="F9177" s="202"/>
      <c r="G9177" s="549"/>
      <c r="H9177" s="549"/>
      <c r="I9177" s="549"/>
      <c r="J9177" s="549"/>
      <c r="K9177" s="549"/>
      <c r="M9177" s="465"/>
      <c r="N9177" s="201"/>
    </row>
    <row r="9178" spans="2:14" hidden="1" outlineLevel="1" x14ac:dyDescent="0.35">
      <c r="B9178" s="200"/>
      <c r="C9178" s="201"/>
      <c r="D9178" s="201"/>
      <c r="E9178" s="201"/>
      <c r="F9178" s="202"/>
      <c r="G9178" s="549"/>
      <c r="H9178" s="549"/>
      <c r="I9178" s="549"/>
      <c r="J9178" s="549"/>
      <c r="K9178" s="549"/>
      <c r="M9178" s="465"/>
      <c r="N9178" s="201"/>
    </row>
    <row r="9179" spans="2:14" hidden="1" outlineLevel="1" x14ac:dyDescent="0.35">
      <c r="B9179" s="200"/>
      <c r="C9179" s="201"/>
      <c r="D9179" s="201"/>
      <c r="E9179" s="201"/>
      <c r="F9179" s="202"/>
      <c r="G9179" s="549"/>
      <c r="H9179" s="549"/>
      <c r="I9179" s="549"/>
      <c r="J9179" s="549"/>
      <c r="K9179" s="549"/>
      <c r="M9179" s="465"/>
      <c r="N9179" s="201"/>
    </row>
    <row r="9180" spans="2:14" hidden="1" outlineLevel="1" x14ac:dyDescent="0.35">
      <c r="B9180" s="200"/>
      <c r="C9180" s="201"/>
      <c r="D9180" s="201"/>
      <c r="E9180" s="201"/>
      <c r="F9180" s="202"/>
      <c r="G9180" s="549"/>
      <c r="H9180" s="549"/>
      <c r="I9180" s="549"/>
      <c r="J9180" s="549"/>
      <c r="K9180" s="549"/>
      <c r="M9180" s="465"/>
      <c r="N9180" s="201"/>
    </row>
    <row r="9181" spans="2:14" hidden="1" outlineLevel="1" x14ac:dyDescent="0.35">
      <c r="B9181" s="200"/>
      <c r="C9181" s="201"/>
      <c r="D9181" s="201"/>
      <c r="E9181" s="201"/>
      <c r="F9181" s="202"/>
      <c r="G9181" s="549"/>
      <c r="H9181" s="549"/>
      <c r="I9181" s="549"/>
      <c r="J9181" s="549"/>
      <c r="K9181" s="549"/>
      <c r="M9181" s="465"/>
      <c r="N9181" s="201"/>
    </row>
    <row r="9182" spans="2:14" hidden="1" outlineLevel="1" x14ac:dyDescent="0.35">
      <c r="B9182" s="200"/>
      <c r="C9182" s="201"/>
      <c r="D9182" s="201"/>
      <c r="E9182" s="201"/>
      <c r="F9182" s="202"/>
      <c r="G9182" s="549"/>
      <c r="H9182" s="549"/>
      <c r="I9182" s="549"/>
      <c r="J9182" s="549"/>
      <c r="K9182" s="549"/>
      <c r="M9182" s="465"/>
      <c r="N9182" s="201"/>
    </row>
    <row r="9183" spans="2:14" hidden="1" outlineLevel="1" x14ac:dyDescent="0.35">
      <c r="B9183" s="200"/>
      <c r="C9183" s="201"/>
      <c r="D9183" s="201"/>
      <c r="E9183" s="201"/>
      <c r="F9183" s="202"/>
      <c r="G9183" s="549"/>
      <c r="H9183" s="549"/>
      <c r="I9183" s="549"/>
      <c r="J9183" s="549"/>
      <c r="K9183" s="549"/>
      <c r="M9183" s="465"/>
      <c r="N9183" s="201"/>
    </row>
    <row r="9184" spans="2:14" hidden="1" outlineLevel="1" x14ac:dyDescent="0.35">
      <c r="B9184" s="200"/>
      <c r="C9184" s="201"/>
      <c r="D9184" s="201"/>
      <c r="E9184" s="201"/>
      <c r="F9184" s="202"/>
      <c r="G9184" s="549"/>
      <c r="H9184" s="549"/>
      <c r="I9184" s="549"/>
      <c r="J9184" s="549"/>
      <c r="K9184" s="549"/>
      <c r="M9184" s="465"/>
      <c r="N9184" s="201"/>
    </row>
    <row r="9185" spans="2:14" hidden="1" outlineLevel="1" x14ac:dyDescent="0.35">
      <c r="B9185" s="200"/>
      <c r="C9185" s="201"/>
      <c r="D9185" s="201"/>
      <c r="E9185" s="201"/>
      <c r="F9185" s="202"/>
      <c r="G9185" s="549"/>
      <c r="H9185" s="549"/>
      <c r="I9185" s="549"/>
      <c r="J9185" s="549"/>
      <c r="K9185" s="549"/>
      <c r="M9185" s="465"/>
      <c r="N9185" s="201"/>
    </row>
    <row r="9186" spans="2:14" hidden="1" outlineLevel="1" x14ac:dyDescent="0.35">
      <c r="B9186" s="200"/>
      <c r="C9186" s="201"/>
      <c r="D9186" s="201"/>
      <c r="E9186" s="201"/>
      <c r="F9186" s="202"/>
      <c r="G9186" s="549"/>
      <c r="H9186" s="549"/>
      <c r="I9186" s="549"/>
      <c r="J9186" s="549"/>
      <c r="K9186" s="549"/>
      <c r="M9186" s="465"/>
      <c r="N9186" s="201"/>
    </row>
    <row r="9187" spans="2:14" hidden="1" outlineLevel="1" x14ac:dyDescent="0.35">
      <c r="B9187" s="200"/>
      <c r="C9187" s="201"/>
      <c r="D9187" s="201"/>
      <c r="E9187" s="201"/>
      <c r="F9187" s="202"/>
      <c r="G9187" s="549"/>
      <c r="H9187" s="549"/>
      <c r="I9187" s="549"/>
      <c r="J9187" s="549"/>
      <c r="K9187" s="549"/>
      <c r="M9187" s="465"/>
      <c r="N9187" s="201"/>
    </row>
    <row r="9188" spans="2:14" hidden="1" outlineLevel="1" x14ac:dyDescent="0.35">
      <c r="B9188" s="200"/>
      <c r="C9188" s="201"/>
      <c r="D9188" s="201"/>
      <c r="E9188" s="201"/>
      <c r="F9188" s="202"/>
      <c r="G9188" s="549"/>
      <c r="H9188" s="549"/>
      <c r="I9188" s="549"/>
      <c r="J9188" s="549"/>
      <c r="K9188" s="549"/>
      <c r="M9188" s="465"/>
      <c r="N9188" s="201"/>
    </row>
    <row r="9189" spans="2:14" hidden="1" outlineLevel="1" x14ac:dyDescent="0.35">
      <c r="B9189" s="200"/>
      <c r="C9189" s="201"/>
      <c r="D9189" s="201"/>
      <c r="E9189" s="201"/>
      <c r="F9189" s="202"/>
      <c r="G9189" s="549"/>
      <c r="H9189" s="549"/>
      <c r="I9189" s="549"/>
      <c r="J9189" s="549"/>
      <c r="K9189" s="549"/>
      <c r="M9189" s="465"/>
      <c r="N9189" s="201"/>
    </row>
    <row r="9190" spans="2:14" hidden="1" outlineLevel="1" x14ac:dyDescent="0.35">
      <c r="B9190" s="200"/>
      <c r="C9190" s="201"/>
      <c r="D9190" s="201"/>
      <c r="E9190" s="201"/>
      <c r="F9190" s="202"/>
      <c r="G9190" s="549"/>
      <c r="H9190" s="549"/>
      <c r="I9190" s="549"/>
      <c r="J9190" s="549"/>
      <c r="K9190" s="549"/>
      <c r="M9190" s="465"/>
      <c r="N9190" s="201"/>
    </row>
    <row r="9191" spans="2:14" hidden="1" outlineLevel="1" x14ac:dyDescent="0.35">
      <c r="B9191" s="200"/>
      <c r="C9191" s="201"/>
      <c r="D9191" s="201"/>
      <c r="E9191" s="201"/>
      <c r="F9191" s="202"/>
      <c r="G9191" s="549"/>
      <c r="H9191" s="549"/>
      <c r="I9191" s="549"/>
      <c r="J9191" s="549"/>
      <c r="K9191" s="549"/>
      <c r="M9191" s="465"/>
      <c r="N9191" s="201"/>
    </row>
    <row r="9192" spans="2:14" hidden="1" outlineLevel="1" x14ac:dyDescent="0.35">
      <c r="B9192" s="200"/>
      <c r="C9192" s="201"/>
      <c r="D9192" s="201"/>
      <c r="E9192" s="201"/>
      <c r="F9192" s="202"/>
      <c r="G9192" s="549"/>
      <c r="H9192" s="549"/>
      <c r="I9192" s="549"/>
      <c r="J9192" s="549"/>
      <c r="K9192" s="549"/>
      <c r="M9192" s="465"/>
      <c r="N9192" s="201"/>
    </row>
    <row r="9193" spans="2:14" hidden="1" outlineLevel="1" x14ac:dyDescent="0.35">
      <c r="B9193" s="200"/>
      <c r="C9193" s="201"/>
      <c r="D9193" s="201"/>
      <c r="E9193" s="201"/>
      <c r="F9193" s="202"/>
      <c r="G9193" s="549"/>
      <c r="H9193" s="549"/>
      <c r="I9193" s="549"/>
      <c r="J9193" s="549"/>
      <c r="K9193" s="549"/>
      <c r="M9193" s="465"/>
      <c r="N9193" s="201"/>
    </row>
    <row r="9194" spans="2:14" hidden="1" outlineLevel="1" x14ac:dyDescent="0.35">
      <c r="B9194" s="200"/>
      <c r="C9194" s="201"/>
      <c r="D9194" s="201"/>
      <c r="E9194" s="201"/>
      <c r="F9194" s="202"/>
      <c r="G9194" s="549"/>
      <c r="H9194" s="549"/>
      <c r="I9194" s="549"/>
      <c r="J9194" s="549"/>
      <c r="K9194" s="549"/>
      <c r="M9194" s="465"/>
      <c r="N9194" s="201"/>
    </row>
    <row r="9195" spans="2:14" hidden="1" outlineLevel="1" x14ac:dyDescent="0.35">
      <c r="B9195" s="200"/>
      <c r="C9195" s="201"/>
      <c r="D9195" s="201"/>
      <c r="E9195" s="201"/>
      <c r="F9195" s="202"/>
      <c r="G9195" s="549"/>
      <c r="H9195" s="549"/>
      <c r="I9195" s="549"/>
      <c r="J9195" s="549"/>
      <c r="K9195" s="549"/>
      <c r="M9195" s="465"/>
      <c r="N9195" s="201"/>
    </row>
    <row r="9196" spans="2:14" hidden="1" outlineLevel="1" x14ac:dyDescent="0.35">
      <c r="B9196" s="200"/>
      <c r="C9196" s="201"/>
      <c r="D9196" s="201"/>
      <c r="E9196" s="201"/>
      <c r="F9196" s="202"/>
      <c r="G9196" s="549"/>
      <c r="H9196" s="549"/>
      <c r="I9196" s="549"/>
      <c r="J9196" s="549"/>
      <c r="K9196" s="549"/>
      <c r="M9196" s="465"/>
      <c r="N9196" s="201"/>
    </row>
    <row r="9197" spans="2:14" hidden="1" outlineLevel="1" x14ac:dyDescent="0.35">
      <c r="B9197" s="200"/>
      <c r="C9197" s="201"/>
      <c r="D9197" s="201"/>
      <c r="E9197" s="201"/>
      <c r="F9197" s="202"/>
      <c r="G9197" s="549"/>
      <c r="H9197" s="549"/>
      <c r="I9197" s="549"/>
      <c r="J9197" s="549"/>
      <c r="K9197" s="549"/>
      <c r="M9197" s="465"/>
      <c r="N9197" s="201"/>
    </row>
    <row r="9198" spans="2:14" hidden="1" outlineLevel="1" x14ac:dyDescent="0.35">
      <c r="B9198" s="200"/>
      <c r="C9198" s="201"/>
      <c r="D9198" s="201"/>
      <c r="E9198" s="201"/>
      <c r="F9198" s="202"/>
      <c r="G9198" s="549"/>
      <c r="H9198" s="549"/>
      <c r="I9198" s="549"/>
      <c r="J9198" s="549"/>
      <c r="K9198" s="549"/>
      <c r="M9198" s="465"/>
      <c r="N9198" s="201"/>
    </row>
    <row r="9199" spans="2:14" hidden="1" outlineLevel="1" x14ac:dyDescent="0.35">
      <c r="B9199" s="200"/>
      <c r="C9199" s="201"/>
      <c r="D9199" s="201"/>
      <c r="E9199" s="201"/>
      <c r="F9199" s="202"/>
      <c r="G9199" s="549"/>
      <c r="H9199" s="549"/>
      <c r="I9199" s="549"/>
      <c r="J9199" s="549"/>
      <c r="K9199" s="549"/>
      <c r="M9199" s="465"/>
      <c r="N9199" s="201"/>
    </row>
    <row r="9200" spans="2:14" hidden="1" outlineLevel="1" x14ac:dyDescent="0.35">
      <c r="B9200" s="200"/>
      <c r="C9200" s="201"/>
      <c r="D9200" s="201"/>
      <c r="E9200" s="201"/>
      <c r="F9200" s="202"/>
      <c r="G9200" s="549"/>
      <c r="H9200" s="549"/>
      <c r="I9200" s="549"/>
      <c r="J9200" s="549"/>
      <c r="K9200" s="549"/>
      <c r="M9200" s="465"/>
      <c r="N9200" s="201"/>
    </row>
    <row r="9201" spans="2:14" hidden="1" outlineLevel="1" x14ac:dyDescent="0.35">
      <c r="B9201" s="200"/>
      <c r="C9201" s="201"/>
      <c r="D9201" s="201"/>
      <c r="E9201" s="201"/>
      <c r="F9201" s="202"/>
      <c r="G9201" s="549"/>
      <c r="H9201" s="549"/>
      <c r="I9201" s="549"/>
      <c r="J9201" s="549"/>
      <c r="K9201" s="549"/>
      <c r="M9201" s="465"/>
      <c r="N9201" s="201"/>
    </row>
    <row r="9202" spans="2:14" hidden="1" outlineLevel="1" x14ac:dyDescent="0.35">
      <c r="B9202" s="200"/>
      <c r="C9202" s="201"/>
      <c r="D9202" s="201"/>
      <c r="E9202" s="201"/>
      <c r="F9202" s="202"/>
      <c r="G9202" s="549"/>
      <c r="H9202" s="549"/>
      <c r="I9202" s="549"/>
      <c r="J9202" s="549"/>
      <c r="K9202" s="549"/>
      <c r="M9202" s="465"/>
      <c r="N9202" s="201"/>
    </row>
    <row r="9203" spans="2:14" hidden="1" outlineLevel="1" x14ac:dyDescent="0.35">
      <c r="B9203" s="200"/>
      <c r="C9203" s="201"/>
      <c r="D9203" s="201"/>
      <c r="E9203" s="201"/>
      <c r="F9203" s="202"/>
      <c r="G9203" s="549"/>
      <c r="H9203" s="549"/>
      <c r="I9203" s="549"/>
      <c r="J9203" s="549"/>
      <c r="K9203" s="549"/>
      <c r="M9203" s="465"/>
      <c r="N9203" s="201"/>
    </row>
    <row r="9204" spans="2:14" hidden="1" outlineLevel="1" x14ac:dyDescent="0.35">
      <c r="B9204" s="200"/>
      <c r="C9204" s="201"/>
      <c r="D9204" s="201"/>
      <c r="E9204" s="201"/>
      <c r="F9204" s="202"/>
      <c r="G9204" s="549"/>
      <c r="H9204" s="549"/>
      <c r="I9204" s="549"/>
      <c r="J9204" s="549"/>
      <c r="K9204" s="549"/>
      <c r="M9204" s="465"/>
      <c r="N9204" s="201"/>
    </row>
    <row r="9205" spans="2:14" hidden="1" outlineLevel="1" x14ac:dyDescent="0.35">
      <c r="B9205" s="200"/>
      <c r="C9205" s="201"/>
      <c r="D9205" s="201"/>
      <c r="E9205" s="201"/>
      <c r="F9205" s="202"/>
      <c r="G9205" s="549"/>
      <c r="H9205" s="549"/>
      <c r="I9205" s="549"/>
      <c r="J9205" s="549"/>
      <c r="K9205" s="549"/>
      <c r="M9205" s="465"/>
      <c r="N9205" s="201"/>
    </row>
    <row r="9206" spans="2:14" hidden="1" outlineLevel="1" x14ac:dyDescent="0.35">
      <c r="B9206" s="200"/>
      <c r="C9206" s="201"/>
      <c r="D9206" s="201"/>
      <c r="E9206" s="201"/>
      <c r="F9206" s="202"/>
      <c r="G9206" s="549"/>
      <c r="H9206" s="549"/>
      <c r="I9206" s="549"/>
      <c r="J9206" s="549"/>
      <c r="K9206" s="549"/>
      <c r="M9206" s="465"/>
      <c r="N9206" s="201"/>
    </row>
    <row r="9207" spans="2:14" hidden="1" outlineLevel="1" x14ac:dyDescent="0.35">
      <c r="B9207" s="200"/>
      <c r="C9207" s="201"/>
      <c r="D9207" s="201"/>
      <c r="E9207" s="201"/>
      <c r="F9207" s="202"/>
      <c r="G9207" s="549"/>
      <c r="H9207" s="549"/>
      <c r="I9207" s="549"/>
      <c r="J9207" s="549"/>
      <c r="K9207" s="549"/>
      <c r="M9207" s="465"/>
      <c r="N9207" s="201"/>
    </row>
    <row r="9208" spans="2:14" hidden="1" outlineLevel="1" x14ac:dyDescent="0.35">
      <c r="B9208" s="200"/>
      <c r="C9208" s="201"/>
      <c r="D9208" s="201"/>
      <c r="E9208" s="201"/>
      <c r="F9208" s="202"/>
      <c r="G9208" s="549"/>
      <c r="H9208" s="549"/>
      <c r="I9208" s="549"/>
      <c r="J9208" s="549"/>
      <c r="K9208" s="549"/>
      <c r="M9208" s="465"/>
      <c r="N9208" s="201"/>
    </row>
    <row r="9209" spans="2:14" hidden="1" outlineLevel="1" x14ac:dyDescent="0.35">
      <c r="B9209" s="200"/>
      <c r="C9209" s="201"/>
      <c r="D9209" s="201"/>
      <c r="E9209" s="201"/>
      <c r="F9209" s="202"/>
      <c r="G9209" s="549"/>
      <c r="H9209" s="549"/>
      <c r="I9209" s="549"/>
      <c r="J9209" s="549"/>
      <c r="K9209" s="549"/>
      <c r="M9209" s="465"/>
      <c r="N9209" s="201"/>
    </row>
    <row r="9210" spans="2:14" hidden="1" outlineLevel="1" x14ac:dyDescent="0.35">
      <c r="B9210" s="200"/>
      <c r="C9210" s="201"/>
      <c r="D9210" s="201"/>
      <c r="E9210" s="201"/>
      <c r="F9210" s="202"/>
      <c r="G9210" s="549"/>
      <c r="H9210" s="549"/>
      <c r="I9210" s="549"/>
      <c r="J9210" s="549"/>
      <c r="K9210" s="549"/>
      <c r="M9210" s="465"/>
      <c r="N9210" s="201"/>
    </row>
    <row r="9211" spans="2:14" hidden="1" outlineLevel="1" x14ac:dyDescent="0.35">
      <c r="B9211" s="200"/>
      <c r="C9211" s="201"/>
      <c r="D9211" s="201"/>
      <c r="E9211" s="201"/>
      <c r="F9211" s="202"/>
      <c r="G9211" s="549"/>
      <c r="H9211" s="549"/>
      <c r="I9211" s="549"/>
      <c r="J9211" s="549"/>
      <c r="K9211" s="549"/>
      <c r="M9211" s="465"/>
      <c r="N9211" s="201"/>
    </row>
    <row r="9212" spans="2:14" hidden="1" outlineLevel="1" x14ac:dyDescent="0.35">
      <c r="B9212" s="200"/>
      <c r="C9212" s="201"/>
      <c r="D9212" s="201"/>
      <c r="E9212" s="201"/>
      <c r="F9212" s="202"/>
      <c r="G9212" s="549"/>
      <c r="H9212" s="549"/>
      <c r="I9212" s="549"/>
      <c r="J9212" s="549"/>
      <c r="K9212" s="549"/>
      <c r="M9212" s="465"/>
      <c r="N9212" s="201"/>
    </row>
    <row r="9213" spans="2:14" hidden="1" outlineLevel="1" x14ac:dyDescent="0.35">
      <c r="B9213" s="200"/>
      <c r="C9213" s="201"/>
      <c r="D9213" s="201"/>
      <c r="E9213" s="201"/>
      <c r="F9213" s="202"/>
      <c r="G9213" s="549"/>
      <c r="H9213" s="549"/>
      <c r="I9213" s="549"/>
      <c r="J9213" s="549"/>
      <c r="K9213" s="549"/>
      <c r="M9213" s="465"/>
      <c r="N9213" s="201"/>
    </row>
    <row r="9214" spans="2:14" hidden="1" outlineLevel="1" x14ac:dyDescent="0.35">
      <c r="B9214" s="200"/>
      <c r="C9214" s="201"/>
      <c r="D9214" s="201"/>
      <c r="E9214" s="201"/>
      <c r="F9214" s="202"/>
      <c r="G9214" s="549"/>
      <c r="H9214" s="549"/>
      <c r="I9214" s="549"/>
      <c r="J9214" s="549"/>
      <c r="K9214" s="549"/>
      <c r="M9214" s="465"/>
      <c r="N9214" s="201"/>
    </row>
    <row r="9215" spans="2:14" hidden="1" outlineLevel="1" x14ac:dyDescent="0.35">
      <c r="B9215" s="200"/>
      <c r="C9215" s="201"/>
      <c r="D9215" s="201"/>
      <c r="E9215" s="201"/>
      <c r="F9215" s="202"/>
      <c r="G9215" s="549"/>
      <c r="H9215" s="549"/>
      <c r="I9215" s="549"/>
      <c r="J9215" s="549"/>
      <c r="K9215" s="549"/>
      <c r="M9215" s="465"/>
      <c r="N9215" s="201"/>
    </row>
    <row r="9216" spans="2:14" hidden="1" outlineLevel="1" x14ac:dyDescent="0.35">
      <c r="B9216" s="200"/>
      <c r="C9216" s="201"/>
      <c r="D9216" s="201"/>
      <c r="E9216" s="201"/>
      <c r="F9216" s="202"/>
      <c r="G9216" s="549"/>
      <c r="H9216" s="549"/>
      <c r="I9216" s="549"/>
      <c r="J9216" s="549"/>
      <c r="K9216" s="549"/>
      <c r="M9216" s="465"/>
      <c r="N9216" s="201"/>
    </row>
    <row r="9217" spans="2:14" hidden="1" outlineLevel="1" x14ac:dyDescent="0.35">
      <c r="B9217" s="200"/>
      <c r="C9217" s="201"/>
      <c r="D9217" s="201"/>
      <c r="E9217" s="201"/>
      <c r="F9217" s="202"/>
      <c r="G9217" s="549"/>
      <c r="H9217" s="549"/>
      <c r="I9217" s="549"/>
      <c r="J9217" s="549"/>
      <c r="K9217" s="549"/>
      <c r="M9217" s="465"/>
      <c r="N9217" s="201"/>
    </row>
    <row r="9218" spans="2:14" hidden="1" outlineLevel="1" x14ac:dyDescent="0.35">
      <c r="B9218" s="200"/>
      <c r="C9218" s="201"/>
      <c r="D9218" s="201"/>
      <c r="E9218" s="201"/>
      <c r="F9218" s="202"/>
      <c r="G9218" s="549"/>
      <c r="H9218" s="549"/>
      <c r="I9218" s="549"/>
      <c r="J9218" s="549"/>
      <c r="K9218" s="549"/>
      <c r="M9218" s="465"/>
      <c r="N9218" s="201"/>
    </row>
    <row r="9219" spans="2:14" hidden="1" outlineLevel="1" x14ac:dyDescent="0.35">
      <c r="B9219" s="200"/>
      <c r="C9219" s="201"/>
      <c r="D9219" s="201"/>
      <c r="E9219" s="201"/>
      <c r="F9219" s="202"/>
      <c r="G9219" s="549"/>
      <c r="H9219" s="549"/>
      <c r="I9219" s="549"/>
      <c r="J9219" s="549"/>
      <c r="K9219" s="549"/>
      <c r="M9219" s="465"/>
      <c r="N9219" s="201"/>
    </row>
    <row r="9220" spans="2:14" hidden="1" outlineLevel="1" x14ac:dyDescent="0.35">
      <c r="B9220" s="200"/>
      <c r="C9220" s="201"/>
      <c r="D9220" s="201"/>
      <c r="E9220" s="201"/>
      <c r="F9220" s="202"/>
      <c r="G9220" s="549"/>
      <c r="H9220" s="549"/>
      <c r="I9220" s="549"/>
      <c r="J9220" s="549"/>
      <c r="K9220" s="549"/>
      <c r="M9220" s="465"/>
      <c r="N9220" s="201"/>
    </row>
    <row r="9221" spans="2:14" hidden="1" outlineLevel="1" x14ac:dyDescent="0.35">
      <c r="B9221" s="200"/>
      <c r="C9221" s="201"/>
      <c r="D9221" s="201"/>
      <c r="E9221" s="201"/>
      <c r="F9221" s="202"/>
      <c r="G9221" s="549"/>
      <c r="H9221" s="549"/>
      <c r="I9221" s="549"/>
      <c r="J9221" s="549"/>
      <c r="K9221" s="549"/>
      <c r="M9221" s="465"/>
      <c r="N9221" s="201"/>
    </row>
    <row r="9222" spans="2:14" hidden="1" outlineLevel="1" x14ac:dyDescent="0.35">
      <c r="B9222" s="200"/>
      <c r="C9222" s="201"/>
      <c r="D9222" s="201"/>
      <c r="E9222" s="201"/>
      <c r="F9222" s="202"/>
      <c r="G9222" s="549"/>
      <c r="H9222" s="549"/>
      <c r="I9222" s="549"/>
      <c r="J9222" s="549"/>
      <c r="K9222" s="549"/>
      <c r="M9222" s="465"/>
      <c r="N9222" s="201"/>
    </row>
    <row r="9223" spans="2:14" hidden="1" outlineLevel="1" x14ac:dyDescent="0.35">
      <c r="B9223" s="200"/>
      <c r="C9223" s="201"/>
      <c r="D9223" s="201"/>
      <c r="E9223" s="201"/>
      <c r="F9223" s="202"/>
      <c r="G9223" s="549"/>
      <c r="H9223" s="549"/>
      <c r="I9223" s="549"/>
      <c r="J9223" s="549"/>
      <c r="K9223" s="549"/>
      <c r="M9223" s="465"/>
      <c r="N9223" s="201"/>
    </row>
    <row r="9224" spans="2:14" hidden="1" outlineLevel="1" x14ac:dyDescent="0.35">
      <c r="B9224" s="200"/>
      <c r="C9224" s="201"/>
      <c r="D9224" s="201"/>
      <c r="E9224" s="201"/>
      <c r="F9224" s="202"/>
      <c r="G9224" s="549"/>
      <c r="H9224" s="549"/>
      <c r="I9224" s="549"/>
      <c r="J9224" s="549"/>
      <c r="K9224" s="549"/>
      <c r="M9224" s="465"/>
      <c r="N9224" s="201"/>
    </row>
    <row r="9225" spans="2:14" hidden="1" outlineLevel="1" x14ac:dyDescent="0.35">
      <c r="B9225" s="200"/>
      <c r="C9225" s="201"/>
      <c r="D9225" s="201"/>
      <c r="E9225" s="201"/>
      <c r="F9225" s="202"/>
      <c r="G9225" s="549"/>
      <c r="H9225" s="549"/>
      <c r="I9225" s="549"/>
      <c r="J9225" s="549"/>
      <c r="K9225" s="549"/>
      <c r="M9225" s="465"/>
      <c r="N9225" s="201"/>
    </row>
    <row r="9226" spans="2:14" hidden="1" outlineLevel="1" x14ac:dyDescent="0.35">
      <c r="B9226" s="200"/>
      <c r="C9226" s="201"/>
      <c r="D9226" s="201"/>
      <c r="E9226" s="201"/>
      <c r="F9226" s="202"/>
      <c r="G9226" s="549"/>
      <c r="H9226" s="549"/>
      <c r="I9226" s="549"/>
      <c r="J9226" s="549"/>
      <c r="K9226" s="549"/>
      <c r="M9226" s="465"/>
      <c r="N9226" s="201"/>
    </row>
    <row r="9227" spans="2:14" hidden="1" outlineLevel="1" x14ac:dyDescent="0.35">
      <c r="B9227" s="200"/>
      <c r="C9227" s="201"/>
      <c r="D9227" s="201"/>
      <c r="E9227" s="201"/>
      <c r="F9227" s="202"/>
      <c r="G9227" s="549"/>
      <c r="H9227" s="549"/>
      <c r="I9227" s="549"/>
      <c r="J9227" s="549"/>
      <c r="K9227" s="549"/>
      <c r="M9227" s="465"/>
      <c r="N9227" s="201"/>
    </row>
    <row r="9228" spans="2:14" hidden="1" outlineLevel="1" x14ac:dyDescent="0.35">
      <c r="B9228" s="200"/>
      <c r="C9228" s="201"/>
      <c r="D9228" s="201"/>
      <c r="E9228" s="201"/>
      <c r="F9228" s="202"/>
      <c r="G9228" s="549"/>
      <c r="H9228" s="549"/>
      <c r="I9228" s="549"/>
      <c r="J9228" s="549"/>
      <c r="K9228" s="549"/>
      <c r="M9228" s="465"/>
      <c r="N9228" s="201"/>
    </row>
    <row r="9229" spans="2:14" hidden="1" outlineLevel="1" x14ac:dyDescent="0.35">
      <c r="B9229" s="200"/>
      <c r="C9229" s="201"/>
      <c r="D9229" s="201"/>
      <c r="E9229" s="201"/>
      <c r="F9229" s="202"/>
      <c r="G9229" s="549"/>
      <c r="H9229" s="549"/>
      <c r="I9229" s="549"/>
      <c r="J9229" s="549"/>
      <c r="K9229" s="549"/>
      <c r="M9229" s="465"/>
      <c r="N9229" s="201"/>
    </row>
    <row r="9230" spans="2:14" hidden="1" outlineLevel="1" x14ac:dyDescent="0.35">
      <c r="B9230" s="200"/>
      <c r="C9230" s="201"/>
      <c r="D9230" s="201"/>
      <c r="E9230" s="201"/>
      <c r="F9230" s="202"/>
      <c r="G9230" s="549"/>
      <c r="H9230" s="549"/>
      <c r="I9230" s="549"/>
      <c r="J9230" s="549"/>
      <c r="K9230" s="549"/>
      <c r="M9230" s="465"/>
      <c r="N9230" s="201"/>
    </row>
    <row r="9231" spans="2:14" hidden="1" outlineLevel="1" x14ac:dyDescent="0.35">
      <c r="B9231" s="200"/>
      <c r="C9231" s="201"/>
      <c r="D9231" s="201"/>
      <c r="E9231" s="201"/>
      <c r="F9231" s="202"/>
      <c r="G9231" s="549"/>
      <c r="H9231" s="549"/>
      <c r="I9231" s="549"/>
      <c r="J9231" s="549"/>
      <c r="K9231" s="549"/>
      <c r="M9231" s="465"/>
      <c r="N9231" s="201"/>
    </row>
    <row r="9232" spans="2:14" hidden="1" outlineLevel="1" x14ac:dyDescent="0.35">
      <c r="B9232" s="200"/>
      <c r="C9232" s="201"/>
      <c r="D9232" s="201"/>
      <c r="E9232" s="201"/>
      <c r="F9232" s="202"/>
      <c r="G9232" s="549"/>
      <c r="H9232" s="549"/>
      <c r="I9232" s="549"/>
      <c r="J9232" s="549"/>
      <c r="K9232" s="549"/>
      <c r="M9232" s="465"/>
      <c r="N9232" s="201"/>
    </row>
    <row r="9233" spans="2:14" hidden="1" outlineLevel="1" x14ac:dyDescent="0.35">
      <c r="B9233" s="200"/>
      <c r="C9233" s="201"/>
      <c r="D9233" s="201"/>
      <c r="E9233" s="201"/>
      <c r="F9233" s="202"/>
      <c r="G9233" s="549"/>
      <c r="H9233" s="549"/>
      <c r="I9233" s="549"/>
      <c r="J9233" s="549"/>
      <c r="K9233" s="549"/>
      <c r="M9233" s="465"/>
      <c r="N9233" s="201"/>
    </row>
    <row r="9234" spans="2:14" hidden="1" outlineLevel="1" x14ac:dyDescent="0.35">
      <c r="B9234" s="200"/>
      <c r="C9234" s="201"/>
      <c r="D9234" s="201"/>
      <c r="E9234" s="201"/>
      <c r="F9234" s="202"/>
      <c r="G9234" s="549"/>
      <c r="H9234" s="549"/>
      <c r="I9234" s="549"/>
      <c r="J9234" s="549"/>
      <c r="K9234" s="549"/>
      <c r="M9234" s="465"/>
      <c r="N9234" s="201"/>
    </row>
    <row r="9235" spans="2:14" hidden="1" outlineLevel="1" x14ac:dyDescent="0.35">
      <c r="B9235" s="200"/>
      <c r="C9235" s="201"/>
      <c r="D9235" s="201"/>
      <c r="E9235" s="201"/>
      <c r="F9235" s="202"/>
      <c r="G9235" s="549"/>
      <c r="H9235" s="549"/>
      <c r="I9235" s="549"/>
      <c r="J9235" s="549"/>
      <c r="K9235" s="549"/>
      <c r="M9235" s="465"/>
      <c r="N9235" s="201"/>
    </row>
    <row r="9236" spans="2:14" hidden="1" outlineLevel="1" x14ac:dyDescent="0.35">
      <c r="B9236" s="200"/>
      <c r="C9236" s="201"/>
      <c r="D9236" s="201"/>
      <c r="E9236" s="201"/>
      <c r="F9236" s="202"/>
      <c r="G9236" s="549"/>
      <c r="H9236" s="549"/>
      <c r="I9236" s="549"/>
      <c r="J9236" s="549"/>
      <c r="K9236" s="549"/>
      <c r="M9236" s="465"/>
      <c r="N9236" s="201"/>
    </row>
    <row r="9237" spans="2:14" hidden="1" outlineLevel="1" x14ac:dyDescent="0.35">
      <c r="B9237" s="200"/>
      <c r="C9237" s="201"/>
      <c r="D9237" s="201"/>
      <c r="E9237" s="201"/>
      <c r="F9237" s="202"/>
      <c r="G9237" s="549"/>
      <c r="H9237" s="549"/>
      <c r="I9237" s="549"/>
      <c r="J9237" s="549"/>
      <c r="K9237" s="549"/>
      <c r="M9237" s="465"/>
      <c r="N9237" s="201"/>
    </row>
    <row r="9238" spans="2:14" hidden="1" outlineLevel="1" x14ac:dyDescent="0.35">
      <c r="B9238" s="200"/>
      <c r="C9238" s="201"/>
      <c r="D9238" s="201"/>
      <c r="E9238" s="201"/>
      <c r="F9238" s="202"/>
      <c r="G9238" s="549"/>
      <c r="H9238" s="549"/>
      <c r="I9238" s="549"/>
      <c r="J9238" s="549"/>
      <c r="K9238" s="549"/>
      <c r="M9238" s="465"/>
      <c r="N9238" s="201"/>
    </row>
    <row r="9239" spans="2:14" hidden="1" outlineLevel="1" x14ac:dyDescent="0.35">
      <c r="B9239" s="200"/>
      <c r="C9239" s="201"/>
      <c r="D9239" s="201"/>
      <c r="E9239" s="201"/>
      <c r="F9239" s="202"/>
      <c r="G9239" s="549"/>
      <c r="H9239" s="549"/>
      <c r="I9239" s="549"/>
      <c r="J9239" s="549"/>
      <c r="K9239" s="549"/>
      <c r="M9239" s="465"/>
      <c r="N9239" s="201"/>
    </row>
    <row r="9240" spans="2:14" hidden="1" outlineLevel="1" x14ac:dyDescent="0.35">
      <c r="B9240" s="200"/>
      <c r="C9240" s="201"/>
      <c r="D9240" s="201"/>
      <c r="E9240" s="201"/>
      <c r="F9240" s="202"/>
      <c r="G9240" s="549"/>
      <c r="H9240" s="549"/>
      <c r="I9240" s="549"/>
      <c r="J9240" s="549"/>
      <c r="K9240" s="549"/>
      <c r="M9240" s="465"/>
      <c r="N9240" s="201"/>
    </row>
    <row r="9241" spans="2:14" hidden="1" outlineLevel="1" x14ac:dyDescent="0.35">
      <c r="B9241" s="200"/>
      <c r="C9241" s="201"/>
      <c r="D9241" s="201"/>
      <c r="E9241" s="201"/>
      <c r="F9241" s="202"/>
      <c r="G9241" s="549"/>
      <c r="H9241" s="549"/>
      <c r="I9241" s="549"/>
      <c r="J9241" s="549"/>
      <c r="K9241" s="549"/>
      <c r="M9241" s="465"/>
      <c r="N9241" s="201"/>
    </row>
    <row r="9242" spans="2:14" hidden="1" outlineLevel="1" x14ac:dyDescent="0.35">
      <c r="B9242" s="200"/>
      <c r="C9242" s="201"/>
      <c r="D9242" s="201"/>
      <c r="E9242" s="201"/>
      <c r="F9242" s="202"/>
      <c r="G9242" s="549"/>
      <c r="H9242" s="549"/>
      <c r="I9242" s="549"/>
      <c r="J9242" s="549"/>
      <c r="K9242" s="549"/>
      <c r="M9242" s="465"/>
      <c r="N9242" s="201"/>
    </row>
    <row r="9243" spans="2:14" hidden="1" outlineLevel="1" x14ac:dyDescent="0.35">
      <c r="B9243" s="200"/>
      <c r="C9243" s="201"/>
      <c r="D9243" s="201"/>
      <c r="E9243" s="201"/>
      <c r="F9243" s="202"/>
      <c r="G9243" s="549"/>
      <c r="H9243" s="549"/>
      <c r="I9243" s="549"/>
      <c r="J9243" s="549"/>
      <c r="K9243" s="549"/>
      <c r="M9243" s="465"/>
      <c r="N9243" s="201"/>
    </row>
    <row r="9244" spans="2:14" hidden="1" outlineLevel="1" x14ac:dyDescent="0.35">
      <c r="B9244" s="200"/>
      <c r="C9244" s="201"/>
      <c r="D9244" s="201"/>
      <c r="E9244" s="201"/>
      <c r="F9244" s="202"/>
      <c r="G9244" s="549"/>
      <c r="H9244" s="549"/>
      <c r="I9244" s="549"/>
      <c r="J9244" s="549"/>
      <c r="K9244" s="549"/>
      <c r="M9244" s="465"/>
      <c r="N9244" s="201"/>
    </row>
    <row r="9245" spans="2:14" hidden="1" outlineLevel="1" x14ac:dyDescent="0.35">
      <c r="B9245" s="200"/>
      <c r="C9245" s="201"/>
      <c r="D9245" s="201"/>
      <c r="E9245" s="201"/>
      <c r="F9245" s="202"/>
      <c r="G9245" s="549"/>
      <c r="H9245" s="549"/>
      <c r="I9245" s="549"/>
      <c r="J9245" s="549"/>
      <c r="K9245" s="549"/>
      <c r="M9245" s="465"/>
      <c r="N9245" s="201"/>
    </row>
    <row r="9246" spans="2:14" hidden="1" outlineLevel="1" x14ac:dyDescent="0.35">
      <c r="B9246" s="200"/>
      <c r="C9246" s="201"/>
      <c r="D9246" s="201"/>
      <c r="E9246" s="201"/>
      <c r="F9246" s="202"/>
      <c r="G9246" s="549"/>
      <c r="H9246" s="549"/>
      <c r="I9246" s="549"/>
      <c r="J9246" s="549"/>
      <c r="K9246" s="549"/>
      <c r="M9246" s="465"/>
      <c r="N9246" s="201"/>
    </row>
    <row r="9247" spans="2:14" hidden="1" outlineLevel="1" x14ac:dyDescent="0.35">
      <c r="B9247" s="200"/>
      <c r="C9247" s="201"/>
      <c r="D9247" s="201"/>
      <c r="E9247" s="201"/>
      <c r="F9247" s="202"/>
      <c r="G9247" s="549"/>
      <c r="H9247" s="549"/>
      <c r="I9247" s="549"/>
      <c r="J9247" s="549"/>
      <c r="K9247" s="549"/>
      <c r="M9247" s="465"/>
      <c r="N9247" s="201"/>
    </row>
    <row r="9248" spans="2:14" hidden="1" outlineLevel="1" x14ac:dyDescent="0.35">
      <c r="B9248" s="200"/>
      <c r="C9248" s="201"/>
      <c r="D9248" s="201"/>
      <c r="E9248" s="201"/>
      <c r="F9248" s="202"/>
      <c r="G9248" s="549"/>
      <c r="H9248" s="549"/>
      <c r="I9248" s="549"/>
      <c r="J9248" s="549"/>
      <c r="K9248" s="549"/>
      <c r="M9248" s="465"/>
      <c r="N9248" s="201"/>
    </row>
    <row r="9249" spans="2:14" hidden="1" outlineLevel="1" x14ac:dyDescent="0.35">
      <c r="B9249" s="200"/>
      <c r="C9249" s="201"/>
      <c r="D9249" s="201"/>
      <c r="E9249" s="201"/>
      <c r="F9249" s="202"/>
      <c r="G9249" s="549"/>
      <c r="H9249" s="549"/>
      <c r="I9249" s="549"/>
      <c r="J9249" s="549"/>
      <c r="K9249" s="549"/>
      <c r="M9249" s="465"/>
      <c r="N9249" s="201"/>
    </row>
    <row r="9250" spans="2:14" hidden="1" outlineLevel="1" x14ac:dyDescent="0.35">
      <c r="B9250" s="200"/>
      <c r="C9250" s="201"/>
      <c r="D9250" s="201"/>
      <c r="E9250" s="201"/>
      <c r="F9250" s="202"/>
      <c r="G9250" s="549"/>
      <c r="H9250" s="549"/>
      <c r="I9250" s="549"/>
      <c r="J9250" s="549"/>
      <c r="K9250" s="549"/>
      <c r="M9250" s="465"/>
      <c r="N9250" s="201"/>
    </row>
    <row r="9251" spans="2:14" hidden="1" outlineLevel="1" x14ac:dyDescent="0.35">
      <c r="B9251" s="200"/>
      <c r="C9251" s="201"/>
      <c r="D9251" s="201"/>
      <c r="E9251" s="201"/>
      <c r="F9251" s="202"/>
      <c r="G9251" s="549"/>
      <c r="H9251" s="549"/>
      <c r="I9251" s="549"/>
      <c r="J9251" s="549"/>
      <c r="K9251" s="549"/>
      <c r="M9251" s="465"/>
      <c r="N9251" s="201"/>
    </row>
    <row r="9252" spans="2:14" hidden="1" outlineLevel="1" x14ac:dyDescent="0.35">
      <c r="B9252" s="200"/>
      <c r="C9252" s="201"/>
      <c r="D9252" s="201"/>
      <c r="E9252" s="201"/>
      <c r="F9252" s="202"/>
      <c r="G9252" s="549"/>
      <c r="H9252" s="549"/>
      <c r="I9252" s="549"/>
      <c r="J9252" s="549"/>
      <c r="K9252" s="549"/>
      <c r="M9252" s="465"/>
      <c r="N9252" s="201"/>
    </row>
    <row r="9253" spans="2:14" hidden="1" outlineLevel="1" x14ac:dyDescent="0.35">
      <c r="B9253" s="200"/>
      <c r="C9253" s="201"/>
      <c r="D9253" s="201"/>
      <c r="E9253" s="201"/>
      <c r="F9253" s="202"/>
      <c r="G9253" s="549"/>
      <c r="H9253" s="549"/>
      <c r="I9253" s="549"/>
      <c r="J9253" s="549"/>
      <c r="K9253" s="549"/>
      <c r="M9253" s="465"/>
      <c r="N9253" s="201"/>
    </row>
    <row r="9254" spans="2:14" hidden="1" outlineLevel="1" x14ac:dyDescent="0.35">
      <c r="B9254" s="200"/>
      <c r="C9254" s="201"/>
      <c r="D9254" s="201"/>
      <c r="E9254" s="201"/>
      <c r="F9254" s="202"/>
      <c r="G9254" s="549"/>
      <c r="H9254" s="549"/>
      <c r="I9254" s="549"/>
      <c r="J9254" s="549"/>
      <c r="K9254" s="549"/>
      <c r="M9254" s="465"/>
      <c r="N9254" s="201"/>
    </row>
    <row r="9255" spans="2:14" hidden="1" outlineLevel="1" x14ac:dyDescent="0.35">
      <c r="B9255" s="200"/>
      <c r="C9255" s="201"/>
      <c r="D9255" s="201"/>
      <c r="E9255" s="201"/>
      <c r="F9255" s="202"/>
      <c r="G9255" s="549"/>
      <c r="H9255" s="549"/>
      <c r="I9255" s="549"/>
      <c r="J9255" s="549"/>
      <c r="K9255" s="549"/>
      <c r="M9255" s="465"/>
      <c r="N9255" s="201"/>
    </row>
    <row r="9256" spans="2:14" hidden="1" outlineLevel="1" x14ac:dyDescent="0.35">
      <c r="B9256" s="200"/>
      <c r="C9256" s="201"/>
      <c r="D9256" s="201"/>
      <c r="E9256" s="201"/>
      <c r="F9256" s="202"/>
      <c r="G9256" s="549"/>
      <c r="H9256" s="549"/>
      <c r="I9256" s="549"/>
      <c r="J9256" s="549"/>
      <c r="K9256" s="549"/>
      <c r="M9256" s="465"/>
      <c r="N9256" s="201"/>
    </row>
    <row r="9257" spans="2:14" hidden="1" outlineLevel="1" x14ac:dyDescent="0.35">
      <c r="B9257" s="200"/>
      <c r="C9257" s="201"/>
      <c r="D9257" s="201"/>
      <c r="E9257" s="201"/>
      <c r="F9257" s="202"/>
      <c r="G9257" s="549"/>
      <c r="H9257" s="549"/>
      <c r="I9257" s="549"/>
      <c r="J9257" s="549"/>
      <c r="K9257" s="549"/>
      <c r="M9257" s="465"/>
      <c r="N9257" s="201"/>
    </row>
    <row r="9258" spans="2:14" hidden="1" outlineLevel="1" x14ac:dyDescent="0.35">
      <c r="B9258" s="200"/>
      <c r="C9258" s="201"/>
      <c r="D9258" s="201"/>
      <c r="E9258" s="201"/>
      <c r="F9258" s="202"/>
      <c r="G9258" s="549"/>
      <c r="H9258" s="549"/>
      <c r="I9258" s="549"/>
      <c r="J9258" s="549"/>
      <c r="K9258" s="549"/>
      <c r="M9258" s="465"/>
      <c r="N9258" s="201"/>
    </row>
    <row r="9259" spans="2:14" hidden="1" outlineLevel="1" x14ac:dyDescent="0.35">
      <c r="B9259" s="200"/>
      <c r="C9259" s="201"/>
      <c r="D9259" s="201"/>
      <c r="E9259" s="201"/>
      <c r="F9259" s="202"/>
      <c r="G9259" s="549"/>
      <c r="H9259" s="549"/>
      <c r="I9259" s="549"/>
      <c r="J9259" s="549"/>
      <c r="K9259" s="549"/>
      <c r="M9259" s="465"/>
      <c r="N9259" s="201"/>
    </row>
    <row r="9260" spans="2:14" hidden="1" outlineLevel="1" x14ac:dyDescent="0.35">
      <c r="B9260" s="200"/>
      <c r="C9260" s="201"/>
      <c r="D9260" s="201"/>
      <c r="E9260" s="201"/>
      <c r="F9260" s="202"/>
      <c r="G9260" s="549"/>
      <c r="H9260" s="549"/>
      <c r="I9260" s="549"/>
      <c r="J9260" s="549"/>
      <c r="K9260" s="549"/>
      <c r="M9260" s="465"/>
      <c r="N9260" s="201"/>
    </row>
    <row r="9261" spans="2:14" hidden="1" outlineLevel="1" x14ac:dyDescent="0.35">
      <c r="B9261" s="200"/>
      <c r="C9261" s="201"/>
      <c r="D9261" s="201"/>
      <c r="E9261" s="201"/>
      <c r="F9261" s="202"/>
      <c r="G9261" s="549"/>
      <c r="H9261" s="549"/>
      <c r="I9261" s="549"/>
      <c r="J9261" s="549"/>
      <c r="K9261" s="549"/>
      <c r="M9261" s="465"/>
      <c r="N9261" s="201"/>
    </row>
    <row r="9262" spans="2:14" hidden="1" outlineLevel="1" x14ac:dyDescent="0.35">
      <c r="B9262" s="200"/>
      <c r="C9262" s="201"/>
      <c r="D9262" s="201"/>
      <c r="E9262" s="201"/>
      <c r="F9262" s="202"/>
      <c r="G9262" s="549"/>
      <c r="H9262" s="549"/>
      <c r="I9262" s="549"/>
      <c r="J9262" s="549"/>
      <c r="K9262" s="549"/>
      <c r="M9262" s="465"/>
      <c r="N9262" s="201"/>
    </row>
    <row r="9263" spans="2:14" hidden="1" outlineLevel="1" x14ac:dyDescent="0.35">
      <c r="B9263" s="200"/>
      <c r="C9263" s="201"/>
      <c r="D9263" s="201"/>
      <c r="E9263" s="201"/>
      <c r="F9263" s="202"/>
      <c r="G9263" s="549"/>
      <c r="H9263" s="549"/>
      <c r="I9263" s="549"/>
      <c r="J9263" s="549"/>
      <c r="K9263" s="549"/>
      <c r="M9263" s="465"/>
      <c r="N9263" s="201"/>
    </row>
    <row r="9264" spans="2:14" hidden="1" outlineLevel="1" x14ac:dyDescent="0.35">
      <c r="B9264" s="200"/>
      <c r="C9264" s="201"/>
      <c r="D9264" s="201"/>
      <c r="E9264" s="201"/>
      <c r="F9264" s="202"/>
      <c r="G9264" s="549"/>
      <c r="H9264" s="549"/>
      <c r="I9264" s="549"/>
      <c r="J9264" s="549"/>
      <c r="K9264" s="549"/>
      <c r="M9264" s="465"/>
      <c r="N9264" s="201"/>
    </row>
    <row r="9265" spans="2:14" hidden="1" outlineLevel="1" x14ac:dyDescent="0.35">
      <c r="B9265" s="200"/>
      <c r="C9265" s="201"/>
      <c r="D9265" s="201"/>
      <c r="E9265" s="201"/>
      <c r="F9265" s="202"/>
      <c r="G9265" s="549"/>
      <c r="H9265" s="549"/>
      <c r="I9265" s="549"/>
      <c r="J9265" s="549"/>
      <c r="K9265" s="549"/>
      <c r="M9265" s="465"/>
      <c r="N9265" s="201"/>
    </row>
    <row r="9266" spans="2:14" hidden="1" outlineLevel="1" x14ac:dyDescent="0.35">
      <c r="B9266" s="200"/>
      <c r="C9266" s="201"/>
      <c r="D9266" s="201"/>
      <c r="E9266" s="201"/>
      <c r="F9266" s="202"/>
      <c r="G9266" s="549"/>
      <c r="H9266" s="549"/>
      <c r="I9266" s="549"/>
      <c r="J9266" s="549"/>
      <c r="K9266" s="549"/>
      <c r="M9266" s="465"/>
      <c r="N9266" s="201"/>
    </row>
    <row r="9267" spans="2:14" hidden="1" outlineLevel="1" x14ac:dyDescent="0.35">
      <c r="B9267" s="200"/>
      <c r="C9267" s="201"/>
      <c r="D9267" s="201"/>
      <c r="E9267" s="201"/>
      <c r="F9267" s="202"/>
      <c r="G9267" s="549"/>
      <c r="H9267" s="549"/>
      <c r="I9267" s="549"/>
      <c r="J9267" s="549"/>
      <c r="K9267" s="549"/>
      <c r="M9267" s="465"/>
      <c r="N9267" s="201"/>
    </row>
    <row r="9268" spans="2:14" hidden="1" outlineLevel="1" x14ac:dyDescent="0.35">
      <c r="B9268" s="200"/>
      <c r="C9268" s="201"/>
      <c r="D9268" s="201"/>
      <c r="E9268" s="201"/>
      <c r="F9268" s="202"/>
      <c r="G9268" s="549"/>
      <c r="H9268" s="549"/>
      <c r="I9268" s="549"/>
      <c r="J9268" s="549"/>
      <c r="K9268" s="549"/>
      <c r="M9268" s="465"/>
      <c r="N9268" s="201"/>
    </row>
    <row r="9269" spans="2:14" hidden="1" outlineLevel="1" x14ac:dyDescent="0.35">
      <c r="B9269" s="200"/>
      <c r="C9269" s="201"/>
      <c r="D9269" s="201"/>
      <c r="E9269" s="201"/>
      <c r="F9269" s="202"/>
      <c r="G9269" s="549"/>
      <c r="H9269" s="549"/>
      <c r="I9269" s="549"/>
      <c r="J9269" s="549"/>
      <c r="K9269" s="549"/>
      <c r="M9269" s="465"/>
      <c r="N9269" s="201"/>
    </row>
    <row r="9270" spans="2:14" hidden="1" outlineLevel="1" x14ac:dyDescent="0.35">
      <c r="B9270" s="200"/>
      <c r="C9270" s="201"/>
      <c r="D9270" s="201"/>
      <c r="E9270" s="201"/>
      <c r="F9270" s="202"/>
      <c r="G9270" s="549"/>
      <c r="H9270" s="549"/>
      <c r="I9270" s="549"/>
      <c r="J9270" s="549"/>
      <c r="K9270" s="549"/>
      <c r="M9270" s="465"/>
      <c r="N9270" s="201"/>
    </row>
    <row r="9271" spans="2:14" hidden="1" outlineLevel="1" x14ac:dyDescent="0.35">
      <c r="B9271" s="200"/>
      <c r="C9271" s="201"/>
      <c r="D9271" s="201"/>
      <c r="E9271" s="201"/>
      <c r="F9271" s="202"/>
      <c r="G9271" s="549"/>
      <c r="H9271" s="549"/>
      <c r="I9271" s="549"/>
      <c r="J9271" s="549"/>
      <c r="K9271" s="549"/>
      <c r="M9271" s="465"/>
      <c r="N9271" s="201"/>
    </row>
    <row r="9272" spans="2:14" hidden="1" outlineLevel="1" x14ac:dyDescent="0.35">
      <c r="B9272" s="200"/>
      <c r="C9272" s="201"/>
      <c r="D9272" s="201"/>
      <c r="E9272" s="201"/>
      <c r="F9272" s="202"/>
      <c r="G9272" s="549"/>
      <c r="H9272" s="549"/>
      <c r="I9272" s="549"/>
      <c r="J9272" s="549"/>
      <c r="K9272" s="549"/>
      <c r="M9272" s="465"/>
      <c r="N9272" s="201"/>
    </row>
    <row r="9273" spans="2:14" hidden="1" outlineLevel="1" x14ac:dyDescent="0.35">
      <c r="B9273" s="200"/>
      <c r="C9273" s="201"/>
      <c r="D9273" s="201"/>
      <c r="E9273" s="201"/>
      <c r="F9273" s="202"/>
      <c r="G9273" s="549"/>
      <c r="H9273" s="549"/>
      <c r="I9273" s="549"/>
      <c r="J9273" s="549"/>
      <c r="K9273" s="549"/>
      <c r="M9273" s="465"/>
      <c r="N9273" s="201"/>
    </row>
    <row r="9274" spans="2:14" hidden="1" outlineLevel="1" x14ac:dyDescent="0.35">
      <c r="B9274" s="200"/>
      <c r="C9274" s="201"/>
      <c r="D9274" s="201"/>
      <c r="E9274" s="201"/>
      <c r="F9274" s="202"/>
      <c r="G9274" s="549"/>
      <c r="H9274" s="549"/>
      <c r="I9274" s="549"/>
      <c r="J9274" s="549"/>
      <c r="K9274" s="549"/>
      <c r="M9274" s="465"/>
      <c r="N9274" s="201"/>
    </row>
    <row r="9275" spans="2:14" hidden="1" outlineLevel="1" x14ac:dyDescent="0.35">
      <c r="B9275" s="200"/>
      <c r="C9275" s="201"/>
      <c r="D9275" s="201"/>
      <c r="E9275" s="201"/>
      <c r="F9275" s="202"/>
      <c r="G9275" s="549"/>
      <c r="H9275" s="549"/>
      <c r="I9275" s="549"/>
      <c r="J9275" s="549"/>
      <c r="K9275" s="549"/>
      <c r="M9275" s="465"/>
      <c r="N9275" s="201"/>
    </row>
    <row r="9276" spans="2:14" hidden="1" outlineLevel="1" x14ac:dyDescent="0.35">
      <c r="B9276" s="200"/>
      <c r="C9276" s="201"/>
      <c r="D9276" s="201"/>
      <c r="E9276" s="201"/>
      <c r="F9276" s="202"/>
      <c r="G9276" s="549"/>
      <c r="H9276" s="549"/>
      <c r="I9276" s="549"/>
      <c r="J9276" s="549"/>
      <c r="K9276" s="549"/>
      <c r="M9276" s="465"/>
      <c r="N9276" s="201"/>
    </row>
    <row r="9277" spans="2:14" hidden="1" outlineLevel="1" x14ac:dyDescent="0.35">
      <c r="B9277" s="200"/>
      <c r="C9277" s="201"/>
      <c r="D9277" s="201"/>
      <c r="E9277" s="201"/>
      <c r="F9277" s="202"/>
      <c r="G9277" s="549"/>
      <c r="H9277" s="549"/>
      <c r="I9277" s="549"/>
      <c r="J9277" s="549"/>
      <c r="K9277" s="549"/>
      <c r="M9277" s="465"/>
      <c r="N9277" s="201"/>
    </row>
    <row r="9278" spans="2:14" hidden="1" outlineLevel="1" x14ac:dyDescent="0.35">
      <c r="B9278" s="200"/>
      <c r="C9278" s="201"/>
      <c r="D9278" s="201"/>
      <c r="E9278" s="201"/>
      <c r="F9278" s="202"/>
      <c r="G9278" s="549"/>
      <c r="H9278" s="549"/>
      <c r="I9278" s="549"/>
      <c r="J9278" s="549"/>
      <c r="K9278" s="549"/>
      <c r="M9278" s="465"/>
      <c r="N9278" s="201"/>
    </row>
    <row r="9279" spans="2:14" hidden="1" outlineLevel="1" x14ac:dyDescent="0.35">
      <c r="B9279" s="200"/>
      <c r="C9279" s="201"/>
      <c r="D9279" s="201"/>
      <c r="E9279" s="201"/>
      <c r="F9279" s="202"/>
      <c r="G9279" s="549"/>
      <c r="H9279" s="549"/>
      <c r="I9279" s="549"/>
      <c r="J9279" s="549"/>
      <c r="K9279" s="549"/>
      <c r="M9279" s="465"/>
      <c r="N9279" s="201"/>
    </row>
    <row r="9280" spans="2:14" hidden="1" outlineLevel="1" x14ac:dyDescent="0.35">
      <c r="B9280" s="200"/>
      <c r="C9280" s="201"/>
      <c r="D9280" s="201"/>
      <c r="E9280" s="201"/>
      <c r="F9280" s="202"/>
      <c r="G9280" s="549"/>
      <c r="H9280" s="549"/>
      <c r="I9280" s="549"/>
      <c r="J9280" s="549"/>
      <c r="K9280" s="549"/>
      <c r="M9280" s="465"/>
      <c r="N9280" s="201"/>
    </row>
    <row r="9281" spans="2:14" hidden="1" outlineLevel="1" x14ac:dyDescent="0.35">
      <c r="B9281" s="200"/>
      <c r="C9281" s="201"/>
      <c r="D9281" s="201"/>
      <c r="E9281" s="201"/>
      <c r="F9281" s="202"/>
      <c r="G9281" s="549"/>
      <c r="H9281" s="549"/>
      <c r="I9281" s="549"/>
      <c r="J9281" s="549"/>
      <c r="K9281" s="549"/>
      <c r="M9281" s="465"/>
      <c r="N9281" s="201"/>
    </row>
    <row r="9282" spans="2:14" hidden="1" outlineLevel="1" x14ac:dyDescent="0.35">
      <c r="B9282" s="200"/>
      <c r="C9282" s="201"/>
      <c r="D9282" s="201"/>
      <c r="E9282" s="201"/>
      <c r="F9282" s="202"/>
      <c r="G9282" s="549"/>
      <c r="H9282" s="549"/>
      <c r="I9282" s="549"/>
      <c r="J9282" s="549"/>
      <c r="K9282" s="549"/>
      <c r="M9282" s="465"/>
      <c r="N9282" s="201"/>
    </row>
    <row r="9283" spans="2:14" hidden="1" outlineLevel="1" x14ac:dyDescent="0.35">
      <c r="B9283" s="200"/>
      <c r="C9283" s="201"/>
      <c r="D9283" s="201"/>
      <c r="E9283" s="201"/>
      <c r="F9283" s="202"/>
      <c r="G9283" s="549"/>
      <c r="H9283" s="549"/>
      <c r="I9283" s="549"/>
      <c r="J9283" s="549"/>
      <c r="K9283" s="549"/>
      <c r="M9283" s="465"/>
      <c r="N9283" s="201"/>
    </row>
    <row r="9284" spans="2:14" hidden="1" outlineLevel="1" x14ac:dyDescent="0.35">
      <c r="B9284" s="200"/>
      <c r="C9284" s="201"/>
      <c r="D9284" s="201"/>
      <c r="E9284" s="201"/>
      <c r="F9284" s="202"/>
      <c r="G9284" s="549"/>
      <c r="H9284" s="549"/>
      <c r="I9284" s="549"/>
      <c r="J9284" s="549"/>
      <c r="K9284" s="549"/>
      <c r="M9284" s="465"/>
      <c r="N9284" s="201"/>
    </row>
    <row r="9285" spans="2:14" hidden="1" outlineLevel="1" x14ac:dyDescent="0.35">
      <c r="B9285" s="200"/>
      <c r="C9285" s="201"/>
      <c r="D9285" s="201"/>
      <c r="E9285" s="201"/>
      <c r="F9285" s="202"/>
      <c r="G9285" s="549"/>
      <c r="H9285" s="549"/>
      <c r="I9285" s="549"/>
      <c r="J9285" s="549"/>
      <c r="K9285" s="549"/>
      <c r="M9285" s="465"/>
      <c r="N9285" s="201"/>
    </row>
    <row r="9286" spans="2:14" hidden="1" outlineLevel="1" x14ac:dyDescent="0.35">
      <c r="B9286" s="200"/>
      <c r="C9286" s="201"/>
      <c r="D9286" s="201"/>
      <c r="E9286" s="201"/>
      <c r="F9286" s="202"/>
      <c r="G9286" s="549"/>
      <c r="H9286" s="549"/>
      <c r="I9286" s="549"/>
      <c r="J9286" s="549"/>
      <c r="K9286" s="549"/>
      <c r="M9286" s="465"/>
      <c r="N9286" s="201"/>
    </row>
    <row r="9287" spans="2:14" hidden="1" outlineLevel="1" x14ac:dyDescent="0.35">
      <c r="B9287" s="200"/>
      <c r="C9287" s="201"/>
      <c r="D9287" s="201"/>
      <c r="E9287" s="201"/>
      <c r="F9287" s="202"/>
      <c r="G9287" s="549"/>
      <c r="H9287" s="549"/>
      <c r="I9287" s="549"/>
      <c r="J9287" s="549"/>
      <c r="K9287" s="549"/>
      <c r="M9287" s="465"/>
      <c r="N9287" s="201"/>
    </row>
    <row r="9288" spans="2:14" hidden="1" outlineLevel="1" x14ac:dyDescent="0.35">
      <c r="B9288" s="200"/>
      <c r="C9288" s="201"/>
      <c r="D9288" s="201"/>
      <c r="E9288" s="201"/>
      <c r="F9288" s="202"/>
      <c r="G9288" s="549"/>
      <c r="H9288" s="549"/>
      <c r="I9288" s="549"/>
      <c r="J9288" s="549"/>
      <c r="K9288" s="549"/>
      <c r="M9288" s="465"/>
      <c r="N9288" s="201"/>
    </row>
    <row r="9289" spans="2:14" hidden="1" outlineLevel="1" x14ac:dyDescent="0.35">
      <c r="B9289" s="200"/>
      <c r="C9289" s="201"/>
      <c r="D9289" s="201"/>
      <c r="E9289" s="201"/>
      <c r="F9289" s="202"/>
      <c r="G9289" s="549"/>
      <c r="H9289" s="549"/>
      <c r="I9289" s="549"/>
      <c r="J9289" s="549"/>
      <c r="K9289" s="549"/>
      <c r="M9289" s="465"/>
      <c r="N9289" s="201"/>
    </row>
    <row r="9290" spans="2:14" hidden="1" outlineLevel="1" x14ac:dyDescent="0.35">
      <c r="B9290" s="200"/>
      <c r="C9290" s="201"/>
      <c r="D9290" s="201"/>
      <c r="E9290" s="201"/>
      <c r="F9290" s="202"/>
      <c r="G9290" s="549"/>
      <c r="H9290" s="549"/>
      <c r="I9290" s="549"/>
      <c r="J9290" s="549"/>
      <c r="K9290" s="549"/>
      <c r="M9290" s="465"/>
      <c r="N9290" s="201"/>
    </row>
    <row r="9291" spans="2:14" hidden="1" outlineLevel="1" x14ac:dyDescent="0.35">
      <c r="B9291" s="200"/>
      <c r="C9291" s="201"/>
      <c r="D9291" s="201"/>
      <c r="E9291" s="201"/>
      <c r="F9291" s="202"/>
      <c r="G9291" s="549"/>
      <c r="H9291" s="549"/>
      <c r="I9291" s="549"/>
      <c r="J9291" s="549"/>
      <c r="K9291" s="549"/>
      <c r="M9291" s="465"/>
      <c r="N9291" s="201"/>
    </row>
    <row r="9292" spans="2:14" hidden="1" outlineLevel="1" x14ac:dyDescent="0.35">
      <c r="B9292" s="200"/>
      <c r="C9292" s="201"/>
      <c r="D9292" s="201"/>
      <c r="E9292" s="201"/>
      <c r="F9292" s="202"/>
      <c r="G9292" s="549"/>
      <c r="H9292" s="549"/>
      <c r="I9292" s="549"/>
      <c r="J9292" s="549"/>
      <c r="K9292" s="549"/>
      <c r="M9292" s="465"/>
      <c r="N9292" s="201"/>
    </row>
    <row r="9293" spans="2:14" hidden="1" outlineLevel="1" x14ac:dyDescent="0.35">
      <c r="B9293" s="200"/>
      <c r="C9293" s="201"/>
      <c r="D9293" s="201"/>
      <c r="E9293" s="201"/>
      <c r="F9293" s="202"/>
      <c r="G9293" s="549"/>
      <c r="H9293" s="549"/>
      <c r="I9293" s="549"/>
      <c r="J9293" s="549"/>
      <c r="K9293" s="549"/>
      <c r="M9293" s="465"/>
      <c r="N9293" s="201"/>
    </row>
    <row r="9294" spans="2:14" hidden="1" outlineLevel="1" x14ac:dyDescent="0.35">
      <c r="B9294" s="200"/>
      <c r="C9294" s="201"/>
      <c r="D9294" s="201"/>
      <c r="E9294" s="201"/>
      <c r="F9294" s="202"/>
      <c r="G9294" s="549"/>
      <c r="H9294" s="549"/>
      <c r="I9294" s="549"/>
      <c r="J9294" s="549"/>
      <c r="K9294" s="549"/>
      <c r="M9294" s="465"/>
      <c r="N9294" s="201"/>
    </row>
    <row r="9295" spans="2:14" hidden="1" outlineLevel="1" x14ac:dyDescent="0.35">
      <c r="B9295" s="200"/>
      <c r="C9295" s="201"/>
      <c r="D9295" s="201"/>
      <c r="E9295" s="201"/>
      <c r="F9295" s="202"/>
      <c r="G9295" s="549"/>
      <c r="H9295" s="549"/>
      <c r="I9295" s="549"/>
      <c r="J9295" s="549"/>
      <c r="K9295" s="549"/>
      <c r="M9295" s="465"/>
      <c r="N9295" s="201"/>
    </row>
    <row r="9296" spans="2:14" hidden="1" outlineLevel="1" x14ac:dyDescent="0.35">
      <c r="B9296" s="200"/>
      <c r="C9296" s="201"/>
      <c r="D9296" s="201"/>
      <c r="E9296" s="201"/>
      <c r="F9296" s="202"/>
      <c r="G9296" s="549"/>
      <c r="H9296" s="549"/>
      <c r="I9296" s="549"/>
      <c r="J9296" s="549"/>
      <c r="K9296" s="549"/>
      <c r="M9296" s="465"/>
      <c r="N9296" s="201"/>
    </row>
    <row r="9297" spans="2:14" hidden="1" outlineLevel="1" x14ac:dyDescent="0.35">
      <c r="B9297" s="200"/>
      <c r="C9297" s="201"/>
      <c r="D9297" s="201"/>
      <c r="E9297" s="201"/>
      <c r="F9297" s="202"/>
      <c r="G9297" s="549"/>
      <c r="H9297" s="549"/>
      <c r="I9297" s="549"/>
      <c r="J9297" s="549"/>
      <c r="K9297" s="549"/>
      <c r="M9297" s="465"/>
      <c r="N9297" s="201"/>
    </row>
    <row r="9298" spans="2:14" hidden="1" outlineLevel="1" x14ac:dyDescent="0.35">
      <c r="B9298" s="200"/>
      <c r="C9298" s="201"/>
      <c r="D9298" s="201"/>
      <c r="E9298" s="201"/>
      <c r="F9298" s="202"/>
      <c r="G9298" s="549"/>
      <c r="H9298" s="549"/>
      <c r="I9298" s="549"/>
      <c r="J9298" s="549"/>
      <c r="K9298" s="549"/>
      <c r="M9298" s="465"/>
      <c r="N9298" s="201"/>
    </row>
    <row r="9299" spans="2:14" hidden="1" outlineLevel="1" x14ac:dyDescent="0.35">
      <c r="B9299" s="200"/>
      <c r="C9299" s="201"/>
      <c r="D9299" s="201"/>
      <c r="E9299" s="201"/>
      <c r="F9299" s="202"/>
      <c r="G9299" s="549"/>
      <c r="H9299" s="549"/>
      <c r="I9299" s="549"/>
      <c r="J9299" s="549"/>
      <c r="K9299" s="549"/>
      <c r="M9299" s="465"/>
      <c r="N9299" s="201"/>
    </row>
    <row r="9300" spans="2:14" hidden="1" outlineLevel="1" x14ac:dyDescent="0.35">
      <c r="B9300" s="200"/>
      <c r="C9300" s="201"/>
      <c r="D9300" s="201"/>
      <c r="E9300" s="201"/>
      <c r="F9300" s="202"/>
      <c r="G9300" s="549"/>
      <c r="H9300" s="549"/>
      <c r="I9300" s="549"/>
      <c r="J9300" s="549"/>
      <c r="K9300" s="549"/>
      <c r="M9300" s="465"/>
      <c r="N9300" s="201"/>
    </row>
    <row r="9301" spans="2:14" hidden="1" outlineLevel="1" x14ac:dyDescent="0.35">
      <c r="B9301" s="200"/>
      <c r="C9301" s="201"/>
      <c r="D9301" s="201"/>
      <c r="E9301" s="201"/>
      <c r="F9301" s="202"/>
      <c r="G9301" s="549"/>
      <c r="H9301" s="549"/>
      <c r="I9301" s="549"/>
      <c r="J9301" s="549"/>
      <c r="K9301" s="549"/>
      <c r="M9301" s="465"/>
      <c r="N9301" s="201"/>
    </row>
    <row r="9302" spans="2:14" hidden="1" outlineLevel="1" x14ac:dyDescent="0.35">
      <c r="B9302" s="200"/>
      <c r="C9302" s="201"/>
      <c r="D9302" s="201"/>
      <c r="E9302" s="201"/>
      <c r="F9302" s="202"/>
      <c r="G9302" s="549"/>
      <c r="H9302" s="549"/>
      <c r="I9302" s="549"/>
      <c r="J9302" s="549"/>
      <c r="K9302" s="549"/>
      <c r="M9302" s="465"/>
      <c r="N9302" s="201"/>
    </row>
    <row r="9303" spans="2:14" hidden="1" outlineLevel="1" x14ac:dyDescent="0.35">
      <c r="B9303" s="200"/>
      <c r="C9303" s="201"/>
      <c r="D9303" s="201"/>
      <c r="E9303" s="201"/>
      <c r="F9303" s="202"/>
      <c r="G9303" s="549"/>
      <c r="H9303" s="549"/>
      <c r="I9303" s="549"/>
      <c r="J9303" s="549"/>
      <c r="K9303" s="549"/>
      <c r="M9303" s="465"/>
      <c r="N9303" s="201"/>
    </row>
    <row r="9304" spans="2:14" hidden="1" outlineLevel="1" x14ac:dyDescent="0.35">
      <c r="B9304" s="200"/>
      <c r="C9304" s="201"/>
      <c r="D9304" s="201"/>
      <c r="E9304" s="201"/>
      <c r="F9304" s="202"/>
      <c r="G9304" s="549"/>
      <c r="H9304" s="549"/>
      <c r="I9304" s="549"/>
      <c r="J9304" s="549"/>
      <c r="K9304" s="549"/>
      <c r="M9304" s="465"/>
      <c r="N9304" s="201"/>
    </row>
    <row r="9305" spans="2:14" hidden="1" outlineLevel="1" x14ac:dyDescent="0.35">
      <c r="B9305" s="200"/>
      <c r="C9305" s="201"/>
      <c r="D9305" s="201"/>
      <c r="E9305" s="201"/>
      <c r="F9305" s="202"/>
      <c r="G9305" s="549"/>
      <c r="H9305" s="549"/>
      <c r="I9305" s="549"/>
      <c r="J9305" s="549"/>
      <c r="K9305" s="549"/>
      <c r="M9305" s="465"/>
      <c r="N9305" s="201"/>
    </row>
    <row r="9306" spans="2:14" hidden="1" outlineLevel="1" x14ac:dyDescent="0.35">
      <c r="B9306" s="200"/>
      <c r="C9306" s="201"/>
      <c r="D9306" s="201"/>
      <c r="E9306" s="201"/>
      <c r="F9306" s="202"/>
      <c r="G9306" s="549"/>
      <c r="H9306" s="549"/>
      <c r="I9306" s="549"/>
      <c r="J9306" s="549"/>
      <c r="K9306" s="549"/>
      <c r="M9306" s="465"/>
      <c r="N9306" s="201"/>
    </row>
    <row r="9307" spans="2:14" hidden="1" outlineLevel="1" x14ac:dyDescent="0.35">
      <c r="B9307" s="200"/>
      <c r="C9307" s="201"/>
      <c r="D9307" s="201"/>
      <c r="E9307" s="201"/>
      <c r="F9307" s="202"/>
      <c r="G9307" s="549"/>
      <c r="H9307" s="549"/>
      <c r="I9307" s="549"/>
      <c r="J9307" s="549"/>
      <c r="K9307" s="549"/>
      <c r="M9307" s="465"/>
      <c r="N9307" s="201"/>
    </row>
    <row r="9308" spans="2:14" hidden="1" outlineLevel="1" x14ac:dyDescent="0.35">
      <c r="B9308" s="200"/>
      <c r="C9308" s="201"/>
      <c r="D9308" s="201"/>
      <c r="E9308" s="201"/>
      <c r="F9308" s="202"/>
      <c r="G9308" s="549"/>
      <c r="H9308" s="549"/>
      <c r="I9308" s="549"/>
      <c r="J9308" s="549"/>
      <c r="K9308" s="549"/>
      <c r="M9308" s="465"/>
      <c r="N9308" s="201"/>
    </row>
    <row r="9309" spans="2:14" hidden="1" outlineLevel="1" x14ac:dyDescent="0.35">
      <c r="B9309" s="200"/>
      <c r="C9309" s="201"/>
      <c r="D9309" s="201"/>
      <c r="E9309" s="201"/>
      <c r="F9309" s="202"/>
      <c r="G9309" s="549"/>
      <c r="H9309" s="549"/>
      <c r="I9309" s="549"/>
      <c r="J9309" s="549"/>
      <c r="K9309" s="549"/>
      <c r="M9309" s="465"/>
      <c r="N9309" s="201"/>
    </row>
    <row r="9310" spans="2:14" hidden="1" outlineLevel="1" x14ac:dyDescent="0.35">
      <c r="B9310" s="200"/>
      <c r="C9310" s="201"/>
      <c r="D9310" s="201"/>
      <c r="E9310" s="201"/>
      <c r="F9310" s="202"/>
      <c r="G9310" s="549"/>
      <c r="H9310" s="549"/>
      <c r="I9310" s="549"/>
      <c r="J9310" s="549"/>
      <c r="K9310" s="549"/>
      <c r="M9310" s="465"/>
      <c r="N9310" s="201"/>
    </row>
    <row r="9311" spans="2:14" hidden="1" outlineLevel="1" x14ac:dyDescent="0.35">
      <c r="B9311" s="200"/>
      <c r="C9311" s="201"/>
      <c r="D9311" s="201"/>
      <c r="E9311" s="201"/>
      <c r="F9311" s="202"/>
      <c r="G9311" s="549"/>
      <c r="H9311" s="549"/>
      <c r="I9311" s="549"/>
      <c r="J9311" s="549"/>
      <c r="K9311" s="549"/>
      <c r="M9311" s="465"/>
      <c r="N9311" s="201"/>
    </row>
    <row r="9312" spans="2:14" hidden="1" outlineLevel="1" x14ac:dyDescent="0.35">
      <c r="B9312" s="200"/>
      <c r="C9312" s="201"/>
      <c r="D9312" s="201"/>
      <c r="E9312" s="201"/>
      <c r="F9312" s="202"/>
      <c r="G9312" s="549"/>
      <c r="H9312" s="549"/>
      <c r="I9312" s="549"/>
      <c r="J9312" s="549"/>
      <c r="K9312" s="549"/>
      <c r="M9312" s="465"/>
      <c r="N9312" s="201"/>
    </row>
    <row r="9313" spans="2:14" hidden="1" outlineLevel="1" x14ac:dyDescent="0.35">
      <c r="B9313" s="200"/>
      <c r="C9313" s="201"/>
      <c r="D9313" s="201"/>
      <c r="E9313" s="201"/>
      <c r="F9313" s="202"/>
      <c r="G9313" s="549"/>
      <c r="H9313" s="549"/>
      <c r="I9313" s="549"/>
      <c r="J9313" s="549"/>
      <c r="K9313" s="549"/>
      <c r="M9313" s="465"/>
      <c r="N9313" s="201"/>
    </row>
    <row r="9314" spans="2:14" hidden="1" outlineLevel="1" x14ac:dyDescent="0.35">
      <c r="B9314" s="200"/>
      <c r="C9314" s="201"/>
      <c r="D9314" s="201"/>
      <c r="E9314" s="201"/>
      <c r="F9314" s="202"/>
      <c r="G9314" s="549"/>
      <c r="H9314" s="549"/>
      <c r="I9314" s="549"/>
      <c r="J9314" s="549"/>
      <c r="K9314" s="549"/>
      <c r="M9314" s="465"/>
      <c r="N9314" s="201"/>
    </row>
    <row r="9315" spans="2:14" hidden="1" outlineLevel="1" x14ac:dyDescent="0.35">
      <c r="B9315" s="200"/>
      <c r="C9315" s="201"/>
      <c r="D9315" s="201"/>
      <c r="E9315" s="201"/>
      <c r="F9315" s="202"/>
      <c r="G9315" s="549"/>
      <c r="H9315" s="549"/>
      <c r="I9315" s="549"/>
      <c r="J9315" s="549"/>
      <c r="K9315" s="549"/>
      <c r="M9315" s="465"/>
      <c r="N9315" s="201"/>
    </row>
    <row r="9316" spans="2:14" hidden="1" outlineLevel="1" x14ac:dyDescent="0.35">
      <c r="B9316" s="200"/>
      <c r="C9316" s="201"/>
      <c r="D9316" s="201"/>
      <c r="E9316" s="201"/>
      <c r="F9316" s="202"/>
      <c r="G9316" s="549"/>
      <c r="H9316" s="549"/>
      <c r="I9316" s="549"/>
      <c r="J9316" s="549"/>
      <c r="K9316" s="549"/>
      <c r="M9316" s="465"/>
      <c r="N9316" s="201"/>
    </row>
    <row r="9317" spans="2:14" hidden="1" outlineLevel="1" x14ac:dyDescent="0.35">
      <c r="B9317" s="200"/>
      <c r="C9317" s="201"/>
      <c r="D9317" s="201"/>
      <c r="E9317" s="201"/>
      <c r="F9317" s="202"/>
      <c r="G9317" s="549"/>
      <c r="H9317" s="549"/>
      <c r="I9317" s="549"/>
      <c r="J9317" s="549"/>
      <c r="K9317" s="549"/>
      <c r="M9317" s="465"/>
      <c r="N9317" s="201"/>
    </row>
    <row r="9318" spans="2:14" hidden="1" outlineLevel="1" x14ac:dyDescent="0.35">
      <c r="B9318" s="200"/>
      <c r="C9318" s="201"/>
      <c r="D9318" s="201"/>
      <c r="E9318" s="201"/>
      <c r="F9318" s="202"/>
      <c r="G9318" s="549"/>
      <c r="H9318" s="549"/>
      <c r="I9318" s="549"/>
      <c r="J9318" s="549"/>
      <c r="K9318" s="549"/>
      <c r="M9318" s="465"/>
      <c r="N9318" s="201"/>
    </row>
    <row r="9319" spans="2:14" hidden="1" outlineLevel="1" x14ac:dyDescent="0.35">
      <c r="B9319" s="200"/>
      <c r="C9319" s="201"/>
      <c r="D9319" s="201"/>
      <c r="E9319" s="201"/>
      <c r="F9319" s="202"/>
      <c r="G9319" s="549"/>
      <c r="H9319" s="549"/>
      <c r="I9319" s="549"/>
      <c r="J9319" s="549"/>
      <c r="K9319" s="549"/>
      <c r="M9319" s="465"/>
      <c r="N9319" s="201"/>
    </row>
    <row r="9320" spans="2:14" hidden="1" outlineLevel="1" x14ac:dyDescent="0.35">
      <c r="B9320" s="200"/>
      <c r="C9320" s="201"/>
      <c r="D9320" s="201"/>
      <c r="E9320" s="201"/>
      <c r="F9320" s="202"/>
      <c r="G9320" s="549"/>
      <c r="H9320" s="549"/>
      <c r="I9320" s="549"/>
      <c r="J9320" s="549"/>
      <c r="K9320" s="549"/>
      <c r="M9320" s="465"/>
      <c r="N9320" s="201"/>
    </row>
    <row r="9321" spans="2:14" hidden="1" outlineLevel="1" x14ac:dyDescent="0.35">
      <c r="B9321" s="200"/>
      <c r="C9321" s="201"/>
      <c r="D9321" s="201"/>
      <c r="E9321" s="201"/>
      <c r="F9321" s="202"/>
      <c r="G9321" s="549"/>
      <c r="H9321" s="549"/>
      <c r="I9321" s="549"/>
      <c r="J9321" s="549"/>
      <c r="K9321" s="549"/>
      <c r="M9321" s="465"/>
      <c r="N9321" s="201"/>
    </row>
    <row r="9322" spans="2:14" hidden="1" outlineLevel="1" x14ac:dyDescent="0.35">
      <c r="B9322" s="200"/>
      <c r="C9322" s="201"/>
      <c r="D9322" s="201"/>
      <c r="E9322" s="201"/>
      <c r="F9322" s="202"/>
      <c r="G9322" s="549"/>
      <c r="H9322" s="549"/>
      <c r="I9322" s="549"/>
      <c r="J9322" s="549"/>
      <c r="K9322" s="549"/>
      <c r="M9322" s="465"/>
      <c r="N9322" s="201"/>
    </row>
    <row r="9323" spans="2:14" hidden="1" outlineLevel="1" x14ac:dyDescent="0.35">
      <c r="B9323" s="200"/>
      <c r="C9323" s="201"/>
      <c r="D9323" s="201"/>
      <c r="E9323" s="201"/>
      <c r="F9323" s="202"/>
      <c r="G9323" s="549"/>
      <c r="H9323" s="549"/>
      <c r="I9323" s="549"/>
      <c r="J9323" s="549"/>
      <c r="K9323" s="549"/>
      <c r="M9323" s="465"/>
      <c r="N9323" s="201"/>
    </row>
    <row r="9324" spans="2:14" hidden="1" outlineLevel="1" x14ac:dyDescent="0.35">
      <c r="B9324" s="200"/>
      <c r="C9324" s="201"/>
      <c r="D9324" s="201"/>
      <c r="E9324" s="201"/>
      <c r="F9324" s="202"/>
      <c r="G9324" s="549"/>
      <c r="H9324" s="549"/>
      <c r="I9324" s="549"/>
      <c r="J9324" s="549"/>
      <c r="K9324" s="549"/>
      <c r="M9324" s="465"/>
      <c r="N9324" s="201"/>
    </row>
    <row r="9325" spans="2:14" hidden="1" outlineLevel="1" x14ac:dyDescent="0.35">
      <c r="B9325" s="200"/>
      <c r="C9325" s="201"/>
      <c r="D9325" s="201"/>
      <c r="E9325" s="201"/>
      <c r="F9325" s="202"/>
      <c r="G9325" s="549"/>
      <c r="H9325" s="549"/>
      <c r="I9325" s="549"/>
      <c r="J9325" s="549"/>
      <c r="K9325" s="549"/>
      <c r="M9325" s="465"/>
      <c r="N9325" s="201"/>
    </row>
    <row r="9326" spans="2:14" hidden="1" outlineLevel="1" x14ac:dyDescent="0.35">
      <c r="B9326" s="200"/>
      <c r="C9326" s="201"/>
      <c r="D9326" s="201"/>
      <c r="E9326" s="201"/>
      <c r="F9326" s="202"/>
      <c r="G9326" s="549"/>
      <c r="H9326" s="549"/>
      <c r="I9326" s="549"/>
      <c r="J9326" s="549"/>
      <c r="K9326" s="549"/>
      <c r="M9326" s="465"/>
      <c r="N9326" s="201"/>
    </row>
    <row r="9327" spans="2:14" hidden="1" outlineLevel="1" x14ac:dyDescent="0.35">
      <c r="B9327" s="200"/>
      <c r="C9327" s="201"/>
      <c r="D9327" s="201"/>
      <c r="E9327" s="201"/>
      <c r="F9327" s="202"/>
      <c r="G9327" s="549"/>
      <c r="H9327" s="549"/>
      <c r="I9327" s="549"/>
      <c r="J9327" s="549"/>
      <c r="K9327" s="549"/>
      <c r="M9327" s="465"/>
      <c r="N9327" s="201"/>
    </row>
    <row r="9328" spans="2:14" hidden="1" outlineLevel="1" x14ac:dyDescent="0.35">
      <c r="B9328" s="200"/>
      <c r="C9328" s="201"/>
      <c r="D9328" s="201"/>
      <c r="E9328" s="201"/>
      <c r="F9328" s="202"/>
      <c r="G9328" s="549"/>
      <c r="H9328" s="549"/>
      <c r="I9328" s="549"/>
      <c r="J9328" s="549"/>
      <c r="K9328" s="549"/>
      <c r="M9328" s="465"/>
      <c r="N9328" s="201"/>
    </row>
    <row r="9329" spans="2:14" hidden="1" outlineLevel="1" x14ac:dyDescent="0.35">
      <c r="B9329" s="200"/>
      <c r="C9329" s="201"/>
      <c r="D9329" s="201"/>
      <c r="E9329" s="201"/>
      <c r="F9329" s="202"/>
      <c r="G9329" s="549"/>
      <c r="H9329" s="549"/>
      <c r="I9329" s="549"/>
      <c r="J9329" s="549"/>
      <c r="K9329" s="549"/>
      <c r="M9329" s="465"/>
      <c r="N9329" s="201"/>
    </row>
    <row r="9330" spans="2:14" hidden="1" outlineLevel="1" x14ac:dyDescent="0.35">
      <c r="B9330" s="200"/>
      <c r="C9330" s="201"/>
      <c r="D9330" s="201"/>
      <c r="E9330" s="201"/>
      <c r="F9330" s="202"/>
      <c r="G9330" s="549"/>
      <c r="H9330" s="549"/>
      <c r="I9330" s="549"/>
      <c r="J9330" s="549"/>
      <c r="K9330" s="549"/>
      <c r="M9330" s="465"/>
      <c r="N9330" s="201"/>
    </row>
    <row r="9331" spans="2:14" hidden="1" outlineLevel="1" x14ac:dyDescent="0.35">
      <c r="B9331" s="200"/>
      <c r="C9331" s="201"/>
      <c r="D9331" s="201"/>
      <c r="E9331" s="201"/>
      <c r="F9331" s="202"/>
      <c r="G9331" s="549"/>
      <c r="H9331" s="549"/>
      <c r="I9331" s="549"/>
      <c r="J9331" s="549"/>
      <c r="K9331" s="549"/>
      <c r="M9331" s="465"/>
      <c r="N9331" s="201"/>
    </row>
    <row r="9332" spans="2:14" hidden="1" outlineLevel="1" x14ac:dyDescent="0.35">
      <c r="B9332" s="200"/>
      <c r="C9332" s="201"/>
      <c r="D9332" s="201"/>
      <c r="E9332" s="201"/>
      <c r="F9332" s="202"/>
      <c r="G9332" s="549"/>
      <c r="H9332" s="549"/>
      <c r="I9332" s="549"/>
      <c r="J9332" s="549"/>
      <c r="K9332" s="549"/>
      <c r="M9332" s="465"/>
      <c r="N9332" s="201"/>
    </row>
    <row r="9333" spans="2:14" hidden="1" outlineLevel="1" x14ac:dyDescent="0.35">
      <c r="B9333" s="200"/>
      <c r="C9333" s="201"/>
      <c r="D9333" s="201"/>
      <c r="E9333" s="201"/>
      <c r="F9333" s="202"/>
      <c r="G9333" s="549"/>
      <c r="H9333" s="549"/>
      <c r="I9333" s="549"/>
      <c r="J9333" s="549"/>
      <c r="K9333" s="549"/>
      <c r="M9333" s="465"/>
      <c r="N9333" s="201"/>
    </row>
    <row r="9334" spans="2:14" hidden="1" outlineLevel="1" x14ac:dyDescent="0.35">
      <c r="B9334" s="200"/>
      <c r="C9334" s="201"/>
      <c r="D9334" s="201"/>
      <c r="E9334" s="201"/>
      <c r="F9334" s="202"/>
      <c r="G9334" s="549"/>
      <c r="H9334" s="549"/>
      <c r="I9334" s="549"/>
      <c r="J9334" s="549"/>
      <c r="K9334" s="549"/>
      <c r="M9334" s="465"/>
      <c r="N9334" s="201"/>
    </row>
    <row r="9335" spans="2:14" hidden="1" outlineLevel="1" x14ac:dyDescent="0.35">
      <c r="B9335" s="200"/>
      <c r="C9335" s="201"/>
      <c r="D9335" s="201"/>
      <c r="E9335" s="201"/>
      <c r="F9335" s="202"/>
      <c r="G9335" s="549"/>
      <c r="H9335" s="549"/>
      <c r="I9335" s="549"/>
      <c r="J9335" s="549"/>
      <c r="K9335" s="549"/>
      <c r="M9335" s="465"/>
      <c r="N9335" s="201"/>
    </row>
    <row r="9336" spans="2:14" hidden="1" outlineLevel="1" x14ac:dyDescent="0.35">
      <c r="B9336" s="200"/>
      <c r="C9336" s="201"/>
      <c r="D9336" s="201"/>
      <c r="E9336" s="201"/>
      <c r="F9336" s="202"/>
      <c r="G9336" s="549"/>
      <c r="H9336" s="549"/>
      <c r="I9336" s="549"/>
      <c r="J9336" s="549"/>
      <c r="K9336" s="549"/>
      <c r="M9336" s="465"/>
      <c r="N9336" s="201"/>
    </row>
    <row r="9337" spans="2:14" hidden="1" outlineLevel="1" x14ac:dyDescent="0.35">
      <c r="B9337" s="200"/>
      <c r="C9337" s="201"/>
      <c r="D9337" s="201"/>
      <c r="E9337" s="201"/>
      <c r="F9337" s="202"/>
      <c r="G9337" s="549"/>
      <c r="H9337" s="549"/>
      <c r="I9337" s="549"/>
      <c r="J9337" s="549"/>
      <c r="K9337" s="549"/>
      <c r="M9337" s="465"/>
      <c r="N9337" s="201"/>
    </row>
    <row r="9338" spans="2:14" hidden="1" outlineLevel="1" x14ac:dyDescent="0.35">
      <c r="B9338" s="200"/>
      <c r="C9338" s="201"/>
      <c r="D9338" s="201"/>
      <c r="E9338" s="201"/>
      <c r="F9338" s="202"/>
      <c r="G9338" s="549"/>
      <c r="H9338" s="549"/>
      <c r="I9338" s="549"/>
      <c r="J9338" s="549"/>
      <c r="K9338" s="549"/>
      <c r="M9338" s="465"/>
      <c r="N9338" s="201"/>
    </row>
    <row r="9339" spans="2:14" hidden="1" outlineLevel="1" x14ac:dyDescent="0.35">
      <c r="B9339" s="200"/>
      <c r="C9339" s="201"/>
      <c r="D9339" s="201"/>
      <c r="E9339" s="201"/>
      <c r="F9339" s="202"/>
      <c r="G9339" s="549"/>
      <c r="H9339" s="549"/>
      <c r="I9339" s="549"/>
      <c r="J9339" s="549"/>
      <c r="K9339" s="549"/>
      <c r="M9339" s="465"/>
      <c r="N9339" s="201"/>
    </row>
    <row r="9340" spans="2:14" hidden="1" outlineLevel="1" x14ac:dyDescent="0.35">
      <c r="B9340" s="200"/>
      <c r="C9340" s="201"/>
      <c r="D9340" s="201"/>
      <c r="E9340" s="201"/>
      <c r="F9340" s="202"/>
      <c r="G9340" s="549"/>
      <c r="H9340" s="549"/>
      <c r="I9340" s="549"/>
      <c r="J9340" s="549"/>
      <c r="K9340" s="549"/>
      <c r="M9340" s="465"/>
      <c r="N9340" s="201"/>
    </row>
    <row r="9341" spans="2:14" hidden="1" outlineLevel="1" x14ac:dyDescent="0.35">
      <c r="B9341" s="200"/>
      <c r="C9341" s="201"/>
      <c r="D9341" s="201"/>
      <c r="E9341" s="201"/>
      <c r="F9341" s="202"/>
      <c r="G9341" s="549"/>
      <c r="H9341" s="549"/>
      <c r="I9341" s="549"/>
      <c r="J9341" s="549"/>
      <c r="K9341" s="549"/>
      <c r="M9341" s="465"/>
      <c r="N9341" s="201"/>
    </row>
    <row r="9342" spans="2:14" hidden="1" outlineLevel="1" x14ac:dyDescent="0.35">
      <c r="B9342" s="200"/>
      <c r="C9342" s="201"/>
      <c r="D9342" s="201"/>
      <c r="E9342" s="201"/>
      <c r="F9342" s="202"/>
      <c r="G9342" s="549"/>
      <c r="H9342" s="549"/>
      <c r="I9342" s="549"/>
      <c r="J9342" s="549"/>
      <c r="K9342" s="549"/>
      <c r="M9342" s="465"/>
      <c r="N9342" s="201"/>
    </row>
    <row r="9343" spans="2:14" hidden="1" outlineLevel="1" x14ac:dyDescent="0.35">
      <c r="B9343" s="200"/>
      <c r="C9343" s="201"/>
      <c r="D9343" s="201"/>
      <c r="E9343" s="201"/>
      <c r="F9343" s="202"/>
      <c r="G9343" s="549"/>
      <c r="H9343" s="549"/>
      <c r="I9343" s="549"/>
      <c r="J9343" s="549"/>
      <c r="K9343" s="549"/>
      <c r="M9343" s="465"/>
      <c r="N9343" s="201"/>
    </row>
    <row r="9344" spans="2:14" hidden="1" outlineLevel="1" x14ac:dyDescent="0.35">
      <c r="B9344" s="200"/>
      <c r="C9344" s="201"/>
      <c r="D9344" s="201"/>
      <c r="E9344" s="201"/>
      <c r="F9344" s="202"/>
      <c r="G9344" s="549"/>
      <c r="H9344" s="549"/>
      <c r="I9344" s="549"/>
      <c r="J9344" s="549"/>
      <c r="K9344" s="549"/>
      <c r="M9344" s="465"/>
      <c r="N9344" s="201"/>
    </row>
    <row r="9345" spans="2:14" hidden="1" outlineLevel="1" x14ac:dyDescent="0.35">
      <c r="B9345" s="200"/>
      <c r="C9345" s="201"/>
      <c r="D9345" s="201"/>
      <c r="E9345" s="201"/>
      <c r="F9345" s="202"/>
      <c r="G9345" s="549"/>
      <c r="H9345" s="549"/>
      <c r="I9345" s="549"/>
      <c r="J9345" s="549"/>
      <c r="K9345" s="549"/>
      <c r="M9345" s="465"/>
      <c r="N9345" s="201"/>
    </row>
    <row r="9346" spans="2:14" hidden="1" outlineLevel="1" x14ac:dyDescent="0.35">
      <c r="B9346" s="200"/>
      <c r="C9346" s="201"/>
      <c r="D9346" s="201"/>
      <c r="E9346" s="201"/>
      <c r="F9346" s="202"/>
      <c r="G9346" s="549"/>
      <c r="H9346" s="549"/>
      <c r="I9346" s="549"/>
      <c r="J9346" s="549"/>
      <c r="K9346" s="549"/>
      <c r="M9346" s="465"/>
      <c r="N9346" s="201"/>
    </row>
    <row r="9347" spans="2:14" hidden="1" outlineLevel="1" x14ac:dyDescent="0.35">
      <c r="B9347" s="200"/>
      <c r="C9347" s="201"/>
      <c r="D9347" s="201"/>
      <c r="E9347" s="201"/>
      <c r="F9347" s="202"/>
      <c r="G9347" s="549"/>
      <c r="H9347" s="549"/>
      <c r="I9347" s="549"/>
      <c r="J9347" s="549"/>
      <c r="K9347" s="549"/>
      <c r="M9347" s="465"/>
      <c r="N9347" s="201"/>
    </row>
    <row r="9348" spans="2:14" hidden="1" outlineLevel="1" x14ac:dyDescent="0.35">
      <c r="B9348" s="200"/>
      <c r="C9348" s="201"/>
      <c r="D9348" s="201"/>
      <c r="E9348" s="201"/>
      <c r="F9348" s="202"/>
      <c r="G9348" s="549"/>
      <c r="H9348" s="549"/>
      <c r="I9348" s="549"/>
      <c r="J9348" s="549"/>
      <c r="K9348" s="549"/>
      <c r="M9348" s="465"/>
      <c r="N9348" s="201"/>
    </row>
    <row r="9349" spans="2:14" hidden="1" outlineLevel="1" x14ac:dyDescent="0.35">
      <c r="B9349" s="200"/>
      <c r="C9349" s="201"/>
      <c r="D9349" s="201"/>
      <c r="E9349" s="201"/>
      <c r="F9349" s="202"/>
      <c r="G9349" s="549"/>
      <c r="H9349" s="549"/>
      <c r="I9349" s="549"/>
      <c r="J9349" s="549"/>
      <c r="K9349" s="549"/>
      <c r="M9349" s="465"/>
      <c r="N9349" s="201"/>
    </row>
    <row r="9350" spans="2:14" hidden="1" outlineLevel="1" x14ac:dyDescent="0.35">
      <c r="B9350" s="200"/>
      <c r="C9350" s="201"/>
      <c r="D9350" s="201"/>
      <c r="E9350" s="201"/>
      <c r="F9350" s="202"/>
      <c r="G9350" s="549"/>
      <c r="H9350" s="549"/>
      <c r="I9350" s="549"/>
      <c r="J9350" s="549"/>
      <c r="K9350" s="549"/>
      <c r="M9350" s="465"/>
      <c r="N9350" s="201"/>
    </row>
    <row r="9351" spans="2:14" hidden="1" outlineLevel="1" x14ac:dyDescent="0.35">
      <c r="B9351" s="200"/>
      <c r="C9351" s="201"/>
      <c r="D9351" s="201"/>
      <c r="E9351" s="201"/>
      <c r="F9351" s="202"/>
      <c r="G9351" s="549"/>
      <c r="H9351" s="549"/>
      <c r="I9351" s="549"/>
      <c r="J9351" s="549"/>
      <c r="K9351" s="549"/>
      <c r="M9351" s="465"/>
      <c r="N9351" s="201"/>
    </row>
    <row r="9352" spans="2:14" hidden="1" outlineLevel="1" x14ac:dyDescent="0.35">
      <c r="B9352" s="200"/>
      <c r="C9352" s="201"/>
      <c r="D9352" s="201"/>
      <c r="E9352" s="201"/>
      <c r="F9352" s="202"/>
      <c r="G9352" s="549"/>
      <c r="H9352" s="549"/>
      <c r="I9352" s="549"/>
      <c r="J9352" s="549"/>
      <c r="K9352" s="549"/>
      <c r="M9352" s="465"/>
      <c r="N9352" s="201"/>
    </row>
    <row r="9353" spans="2:14" hidden="1" outlineLevel="1" x14ac:dyDescent="0.35">
      <c r="B9353" s="200"/>
      <c r="C9353" s="201"/>
      <c r="D9353" s="201"/>
      <c r="E9353" s="201"/>
      <c r="F9353" s="202"/>
      <c r="G9353" s="549"/>
      <c r="H9353" s="549"/>
      <c r="I9353" s="549"/>
      <c r="J9353" s="549"/>
      <c r="K9353" s="549"/>
      <c r="M9353" s="465"/>
      <c r="N9353" s="201"/>
    </row>
    <row r="9354" spans="2:14" hidden="1" outlineLevel="1" x14ac:dyDescent="0.35">
      <c r="B9354" s="200"/>
      <c r="C9354" s="201"/>
      <c r="D9354" s="201"/>
      <c r="E9354" s="201"/>
      <c r="F9354" s="202"/>
      <c r="G9354" s="549"/>
      <c r="H9354" s="549"/>
      <c r="I9354" s="549"/>
      <c r="J9354" s="549"/>
      <c r="K9354" s="549"/>
      <c r="M9354" s="465"/>
      <c r="N9354" s="201"/>
    </row>
    <row r="9355" spans="2:14" hidden="1" outlineLevel="1" x14ac:dyDescent="0.35">
      <c r="B9355" s="200"/>
      <c r="C9355" s="201"/>
      <c r="D9355" s="201"/>
      <c r="E9355" s="201"/>
      <c r="F9355" s="202"/>
      <c r="G9355" s="549"/>
      <c r="H9355" s="549"/>
      <c r="I9355" s="549"/>
      <c r="J9355" s="549"/>
      <c r="K9355" s="549"/>
      <c r="M9355" s="465"/>
      <c r="N9355" s="201"/>
    </row>
    <row r="9356" spans="2:14" hidden="1" outlineLevel="1" x14ac:dyDescent="0.35">
      <c r="B9356" s="200"/>
      <c r="C9356" s="201"/>
      <c r="D9356" s="201"/>
      <c r="E9356" s="201"/>
      <c r="F9356" s="202"/>
      <c r="G9356" s="549"/>
      <c r="H9356" s="549"/>
      <c r="I9356" s="549"/>
      <c r="J9356" s="549"/>
      <c r="K9356" s="549"/>
      <c r="M9356" s="465"/>
      <c r="N9356" s="201"/>
    </row>
    <row r="9357" spans="2:14" hidden="1" outlineLevel="1" x14ac:dyDescent="0.35">
      <c r="B9357" s="200"/>
      <c r="C9357" s="201"/>
      <c r="D9357" s="201"/>
      <c r="E9357" s="201"/>
      <c r="F9357" s="202"/>
      <c r="G9357" s="549"/>
      <c r="H9357" s="549"/>
      <c r="I9357" s="549"/>
      <c r="J9357" s="549"/>
      <c r="K9357" s="549"/>
      <c r="M9357" s="465"/>
      <c r="N9357" s="201"/>
    </row>
    <row r="9358" spans="2:14" hidden="1" outlineLevel="1" x14ac:dyDescent="0.35">
      <c r="B9358" s="200"/>
      <c r="C9358" s="201"/>
      <c r="D9358" s="201"/>
      <c r="E9358" s="201"/>
      <c r="F9358" s="202"/>
      <c r="G9358" s="549"/>
      <c r="H9358" s="549"/>
      <c r="I9358" s="549"/>
      <c r="J9358" s="549"/>
      <c r="K9358" s="549"/>
      <c r="M9358" s="465"/>
      <c r="N9358" s="201"/>
    </row>
    <row r="9359" spans="2:14" hidden="1" outlineLevel="1" x14ac:dyDescent="0.35">
      <c r="B9359" s="200"/>
      <c r="C9359" s="201"/>
      <c r="D9359" s="201"/>
      <c r="E9359" s="201"/>
      <c r="F9359" s="202"/>
      <c r="G9359" s="549"/>
      <c r="H9359" s="549"/>
      <c r="I9359" s="549"/>
      <c r="J9359" s="549"/>
      <c r="K9359" s="549"/>
      <c r="M9359" s="465"/>
      <c r="N9359" s="201"/>
    </row>
    <row r="9360" spans="2:14" hidden="1" outlineLevel="1" x14ac:dyDescent="0.35">
      <c r="B9360" s="200"/>
      <c r="C9360" s="201"/>
      <c r="D9360" s="201"/>
      <c r="E9360" s="201"/>
      <c r="F9360" s="202"/>
      <c r="G9360" s="549"/>
      <c r="H9360" s="549"/>
      <c r="I9360" s="549"/>
      <c r="J9360" s="549"/>
      <c r="K9360" s="549"/>
      <c r="M9360" s="465"/>
      <c r="N9360" s="201"/>
    </row>
    <row r="9361" spans="2:14" hidden="1" outlineLevel="1" x14ac:dyDescent="0.35">
      <c r="B9361" s="200"/>
      <c r="C9361" s="201"/>
      <c r="D9361" s="201"/>
      <c r="E9361" s="201"/>
      <c r="F9361" s="202"/>
      <c r="G9361" s="549"/>
      <c r="H9361" s="549"/>
      <c r="I9361" s="549"/>
      <c r="J9361" s="549"/>
      <c r="K9361" s="549"/>
      <c r="M9361" s="465"/>
      <c r="N9361" s="201"/>
    </row>
    <row r="9362" spans="2:14" hidden="1" outlineLevel="1" x14ac:dyDescent="0.35">
      <c r="B9362" s="200"/>
      <c r="C9362" s="201"/>
      <c r="D9362" s="201"/>
      <c r="E9362" s="201"/>
      <c r="F9362" s="202"/>
      <c r="G9362" s="549"/>
      <c r="H9362" s="549"/>
      <c r="I9362" s="549"/>
      <c r="J9362" s="549"/>
      <c r="K9362" s="549"/>
      <c r="M9362" s="465"/>
      <c r="N9362" s="201"/>
    </row>
    <row r="9363" spans="2:14" hidden="1" outlineLevel="1" x14ac:dyDescent="0.35">
      <c r="B9363" s="200"/>
      <c r="C9363" s="201"/>
      <c r="D9363" s="201"/>
      <c r="E9363" s="201"/>
      <c r="F9363" s="202"/>
      <c r="G9363" s="549"/>
      <c r="H9363" s="549"/>
      <c r="I9363" s="549"/>
      <c r="J9363" s="549"/>
      <c r="K9363" s="549"/>
      <c r="M9363" s="465"/>
      <c r="N9363" s="201"/>
    </row>
    <row r="9364" spans="2:14" hidden="1" outlineLevel="1" x14ac:dyDescent="0.35">
      <c r="B9364" s="200"/>
      <c r="C9364" s="201"/>
      <c r="D9364" s="201"/>
      <c r="E9364" s="201"/>
      <c r="F9364" s="202"/>
      <c r="G9364" s="549"/>
      <c r="H9364" s="549"/>
      <c r="I9364" s="549"/>
      <c r="J9364" s="549"/>
      <c r="K9364" s="549"/>
      <c r="M9364" s="465"/>
      <c r="N9364" s="201"/>
    </row>
    <row r="9365" spans="2:14" hidden="1" outlineLevel="1" x14ac:dyDescent="0.35">
      <c r="B9365" s="200"/>
      <c r="C9365" s="201"/>
      <c r="D9365" s="201"/>
      <c r="E9365" s="201"/>
      <c r="F9365" s="202"/>
      <c r="G9365" s="549"/>
      <c r="H9365" s="549"/>
      <c r="I9365" s="549"/>
      <c r="J9365" s="549"/>
      <c r="K9365" s="549"/>
      <c r="M9365" s="465"/>
      <c r="N9365" s="201"/>
    </row>
    <row r="9366" spans="2:14" hidden="1" outlineLevel="1" x14ac:dyDescent="0.35">
      <c r="B9366" s="200"/>
      <c r="C9366" s="201"/>
      <c r="D9366" s="201"/>
      <c r="E9366" s="201"/>
      <c r="F9366" s="202"/>
      <c r="G9366" s="549"/>
      <c r="H9366" s="549"/>
      <c r="I9366" s="549"/>
      <c r="J9366" s="549"/>
      <c r="K9366" s="549"/>
      <c r="M9366" s="465"/>
      <c r="N9366" s="201"/>
    </row>
    <row r="9367" spans="2:14" hidden="1" outlineLevel="1" x14ac:dyDescent="0.35">
      <c r="B9367" s="200"/>
      <c r="C9367" s="201"/>
      <c r="D9367" s="201"/>
      <c r="E9367" s="201"/>
      <c r="F9367" s="202"/>
      <c r="G9367" s="549"/>
      <c r="H9367" s="549"/>
      <c r="I9367" s="549"/>
      <c r="J9367" s="549"/>
      <c r="K9367" s="549"/>
      <c r="M9367" s="465"/>
      <c r="N9367" s="201"/>
    </row>
    <row r="9368" spans="2:14" hidden="1" outlineLevel="1" x14ac:dyDescent="0.35">
      <c r="B9368" s="200"/>
      <c r="C9368" s="201"/>
      <c r="D9368" s="201"/>
      <c r="E9368" s="201"/>
      <c r="F9368" s="202"/>
      <c r="G9368" s="549"/>
      <c r="H9368" s="549"/>
      <c r="I9368" s="549"/>
      <c r="J9368" s="549"/>
      <c r="K9368" s="549"/>
      <c r="M9368" s="465"/>
      <c r="N9368" s="201"/>
    </row>
    <row r="9369" spans="2:14" hidden="1" outlineLevel="1" x14ac:dyDescent="0.35">
      <c r="B9369" s="200"/>
      <c r="C9369" s="201"/>
      <c r="D9369" s="201"/>
      <c r="E9369" s="201"/>
      <c r="F9369" s="202"/>
      <c r="G9369" s="549"/>
      <c r="H9369" s="549"/>
      <c r="I9369" s="549"/>
      <c r="J9369" s="549"/>
      <c r="K9369" s="549"/>
      <c r="M9369" s="465"/>
      <c r="N9369" s="201"/>
    </row>
    <row r="9370" spans="2:14" hidden="1" outlineLevel="1" x14ac:dyDescent="0.35">
      <c r="B9370" s="200"/>
      <c r="C9370" s="201"/>
      <c r="D9370" s="201"/>
      <c r="E9370" s="201"/>
      <c r="F9370" s="202"/>
      <c r="G9370" s="549"/>
      <c r="H9370" s="549"/>
      <c r="I9370" s="549"/>
      <c r="J9370" s="549"/>
      <c r="K9370" s="549"/>
      <c r="M9370" s="465"/>
      <c r="N9370" s="201"/>
    </row>
    <row r="9371" spans="2:14" hidden="1" outlineLevel="1" x14ac:dyDescent="0.35">
      <c r="B9371" s="200"/>
      <c r="C9371" s="201"/>
      <c r="D9371" s="201"/>
      <c r="E9371" s="201"/>
      <c r="F9371" s="202"/>
      <c r="G9371" s="549"/>
      <c r="H9371" s="549"/>
      <c r="I9371" s="549"/>
      <c r="J9371" s="549"/>
      <c r="K9371" s="549"/>
      <c r="M9371" s="465"/>
      <c r="N9371" s="201"/>
    </row>
    <row r="9372" spans="2:14" hidden="1" outlineLevel="1" x14ac:dyDescent="0.35">
      <c r="B9372" s="200"/>
      <c r="C9372" s="201"/>
      <c r="D9372" s="201"/>
      <c r="E9372" s="201"/>
      <c r="F9372" s="202"/>
      <c r="G9372" s="549"/>
      <c r="H9372" s="549"/>
      <c r="I9372" s="549"/>
      <c r="J9372" s="549"/>
      <c r="K9372" s="549"/>
      <c r="M9372" s="465"/>
      <c r="N9372" s="201"/>
    </row>
    <row r="9373" spans="2:14" hidden="1" outlineLevel="1" x14ac:dyDescent="0.35">
      <c r="B9373" s="200"/>
      <c r="C9373" s="201"/>
      <c r="D9373" s="201"/>
      <c r="E9373" s="201"/>
      <c r="F9373" s="202"/>
      <c r="G9373" s="549"/>
      <c r="H9373" s="549"/>
      <c r="I9373" s="549"/>
      <c r="J9373" s="549"/>
      <c r="K9373" s="549"/>
      <c r="M9373" s="465"/>
      <c r="N9373" s="201"/>
    </row>
    <row r="9374" spans="2:14" hidden="1" outlineLevel="1" x14ac:dyDescent="0.35">
      <c r="B9374" s="200"/>
      <c r="C9374" s="201"/>
      <c r="D9374" s="201"/>
      <c r="E9374" s="201"/>
      <c r="F9374" s="202"/>
      <c r="G9374" s="549"/>
      <c r="H9374" s="549"/>
      <c r="I9374" s="549"/>
      <c r="J9374" s="549"/>
      <c r="K9374" s="549"/>
      <c r="M9374" s="465"/>
      <c r="N9374" s="201"/>
    </row>
    <row r="9375" spans="2:14" hidden="1" outlineLevel="1" x14ac:dyDescent="0.35">
      <c r="B9375" s="200"/>
      <c r="C9375" s="201"/>
      <c r="D9375" s="201"/>
      <c r="E9375" s="201"/>
      <c r="F9375" s="202"/>
      <c r="G9375" s="549"/>
      <c r="H9375" s="549"/>
      <c r="I9375" s="549"/>
      <c r="J9375" s="549"/>
      <c r="K9375" s="549"/>
      <c r="M9375" s="465"/>
      <c r="N9375" s="201"/>
    </row>
    <row r="9376" spans="2:14" hidden="1" outlineLevel="1" x14ac:dyDescent="0.35">
      <c r="B9376" s="200"/>
      <c r="C9376" s="201"/>
      <c r="D9376" s="201"/>
      <c r="E9376" s="201"/>
      <c r="F9376" s="202"/>
      <c r="G9376" s="549"/>
      <c r="H9376" s="549"/>
      <c r="I9376" s="549"/>
      <c r="J9376" s="549"/>
      <c r="K9376" s="549"/>
      <c r="M9376" s="465"/>
      <c r="N9376" s="201"/>
    </row>
    <row r="9377" spans="2:14" hidden="1" outlineLevel="1" x14ac:dyDescent="0.35">
      <c r="B9377" s="200"/>
      <c r="C9377" s="201"/>
      <c r="D9377" s="201"/>
      <c r="E9377" s="201"/>
      <c r="F9377" s="202"/>
      <c r="G9377" s="549"/>
      <c r="H9377" s="549"/>
      <c r="I9377" s="549"/>
      <c r="J9377" s="549"/>
      <c r="K9377" s="549"/>
      <c r="M9377" s="465"/>
      <c r="N9377" s="201"/>
    </row>
    <row r="9378" spans="2:14" hidden="1" outlineLevel="1" x14ac:dyDescent="0.35">
      <c r="B9378" s="200"/>
      <c r="C9378" s="201"/>
      <c r="D9378" s="201"/>
      <c r="E9378" s="201"/>
      <c r="F9378" s="202"/>
      <c r="G9378" s="549"/>
      <c r="H9378" s="549"/>
      <c r="I9378" s="549"/>
      <c r="J9378" s="549"/>
      <c r="K9378" s="549"/>
      <c r="M9378" s="465"/>
      <c r="N9378" s="201"/>
    </row>
    <row r="9379" spans="2:14" hidden="1" outlineLevel="1" x14ac:dyDescent="0.35">
      <c r="B9379" s="200"/>
      <c r="C9379" s="201"/>
      <c r="D9379" s="201"/>
      <c r="E9379" s="201"/>
      <c r="F9379" s="202"/>
      <c r="G9379" s="549"/>
      <c r="H9379" s="549"/>
      <c r="I9379" s="549"/>
      <c r="J9379" s="549"/>
      <c r="K9379" s="549"/>
      <c r="M9379" s="465"/>
      <c r="N9379" s="201"/>
    </row>
    <row r="9380" spans="2:14" hidden="1" outlineLevel="1" x14ac:dyDescent="0.35">
      <c r="B9380" s="200"/>
      <c r="C9380" s="201"/>
      <c r="D9380" s="201"/>
      <c r="E9380" s="201"/>
      <c r="F9380" s="202"/>
      <c r="G9380" s="549"/>
      <c r="H9380" s="549"/>
      <c r="I9380" s="549"/>
      <c r="J9380" s="549"/>
      <c r="K9380" s="549"/>
      <c r="M9380" s="465"/>
      <c r="N9380" s="201"/>
    </row>
    <row r="9381" spans="2:14" hidden="1" outlineLevel="1" x14ac:dyDescent="0.35">
      <c r="B9381" s="200"/>
      <c r="C9381" s="201"/>
      <c r="D9381" s="201"/>
      <c r="E9381" s="201"/>
      <c r="F9381" s="202"/>
      <c r="G9381" s="549"/>
      <c r="H9381" s="549"/>
      <c r="I9381" s="549"/>
      <c r="J9381" s="549"/>
      <c r="K9381" s="549"/>
      <c r="M9381" s="465"/>
      <c r="N9381" s="201"/>
    </row>
    <row r="9382" spans="2:14" hidden="1" outlineLevel="1" x14ac:dyDescent="0.35">
      <c r="B9382" s="200"/>
      <c r="C9382" s="201"/>
      <c r="D9382" s="201"/>
      <c r="E9382" s="201"/>
      <c r="F9382" s="202"/>
      <c r="G9382" s="549"/>
      <c r="H9382" s="549"/>
      <c r="I9382" s="549"/>
      <c r="J9382" s="549"/>
      <c r="K9382" s="549"/>
      <c r="M9382" s="465"/>
      <c r="N9382" s="201"/>
    </row>
    <row r="9383" spans="2:14" hidden="1" outlineLevel="1" x14ac:dyDescent="0.35">
      <c r="B9383" s="200"/>
      <c r="C9383" s="201"/>
      <c r="D9383" s="201"/>
      <c r="E9383" s="201"/>
      <c r="F9383" s="202"/>
      <c r="G9383" s="549"/>
      <c r="H9383" s="549"/>
      <c r="I9383" s="549"/>
      <c r="J9383" s="549"/>
      <c r="K9383" s="549"/>
      <c r="M9383" s="465"/>
      <c r="N9383" s="201"/>
    </row>
    <row r="9384" spans="2:14" hidden="1" outlineLevel="1" x14ac:dyDescent="0.35">
      <c r="B9384" s="200"/>
      <c r="C9384" s="201"/>
      <c r="D9384" s="201"/>
      <c r="E9384" s="201"/>
      <c r="F9384" s="202"/>
      <c r="G9384" s="549"/>
      <c r="H9384" s="549"/>
      <c r="I9384" s="549"/>
      <c r="J9384" s="549"/>
      <c r="K9384" s="549"/>
      <c r="M9384" s="465"/>
      <c r="N9384" s="201"/>
    </row>
    <row r="9385" spans="2:14" hidden="1" outlineLevel="1" x14ac:dyDescent="0.35">
      <c r="B9385" s="200"/>
      <c r="C9385" s="201"/>
      <c r="D9385" s="201"/>
      <c r="E9385" s="201"/>
      <c r="F9385" s="202"/>
      <c r="G9385" s="549"/>
      <c r="H9385" s="549"/>
      <c r="I9385" s="549"/>
      <c r="J9385" s="549"/>
      <c r="K9385" s="549"/>
      <c r="M9385" s="465"/>
      <c r="N9385" s="201"/>
    </row>
    <row r="9386" spans="2:14" hidden="1" outlineLevel="1" x14ac:dyDescent="0.35">
      <c r="B9386" s="200"/>
      <c r="C9386" s="201"/>
      <c r="D9386" s="201"/>
      <c r="E9386" s="201"/>
      <c r="F9386" s="202"/>
      <c r="G9386" s="549"/>
      <c r="H9386" s="549"/>
      <c r="I9386" s="549"/>
      <c r="J9386" s="549"/>
      <c r="K9386" s="549"/>
      <c r="M9386" s="465"/>
      <c r="N9386" s="201"/>
    </row>
    <row r="9387" spans="2:14" hidden="1" outlineLevel="1" x14ac:dyDescent="0.35">
      <c r="B9387" s="200"/>
      <c r="C9387" s="201"/>
      <c r="D9387" s="201"/>
      <c r="E9387" s="201"/>
      <c r="F9387" s="202"/>
      <c r="G9387" s="549"/>
      <c r="H9387" s="549"/>
      <c r="I9387" s="549"/>
      <c r="J9387" s="549"/>
      <c r="K9387" s="549"/>
      <c r="M9387" s="465"/>
      <c r="N9387" s="201"/>
    </row>
    <row r="9388" spans="2:14" hidden="1" outlineLevel="1" x14ac:dyDescent="0.35">
      <c r="B9388" s="200"/>
      <c r="C9388" s="201"/>
      <c r="D9388" s="201"/>
      <c r="E9388" s="201"/>
      <c r="F9388" s="202"/>
      <c r="G9388" s="549"/>
      <c r="H9388" s="549"/>
      <c r="I9388" s="549"/>
      <c r="J9388" s="549"/>
      <c r="K9388" s="549"/>
      <c r="M9388" s="465"/>
      <c r="N9388" s="201"/>
    </row>
    <row r="9389" spans="2:14" hidden="1" outlineLevel="1" x14ac:dyDescent="0.35">
      <c r="B9389" s="200"/>
      <c r="C9389" s="201"/>
      <c r="D9389" s="201"/>
      <c r="E9389" s="201"/>
      <c r="F9389" s="202"/>
      <c r="G9389" s="549"/>
      <c r="H9389" s="549"/>
      <c r="I9389" s="549"/>
      <c r="J9389" s="549"/>
      <c r="K9389" s="549"/>
      <c r="M9389" s="465"/>
      <c r="N9389" s="201"/>
    </row>
    <row r="9390" spans="2:14" hidden="1" outlineLevel="1" x14ac:dyDescent="0.35">
      <c r="B9390" s="200"/>
      <c r="C9390" s="201"/>
      <c r="D9390" s="201"/>
      <c r="E9390" s="201"/>
      <c r="F9390" s="202"/>
      <c r="G9390" s="549"/>
      <c r="H9390" s="549"/>
      <c r="I9390" s="549"/>
      <c r="J9390" s="549"/>
      <c r="K9390" s="549"/>
      <c r="M9390" s="465"/>
      <c r="N9390" s="201"/>
    </row>
    <row r="9391" spans="2:14" hidden="1" outlineLevel="1" x14ac:dyDescent="0.35">
      <c r="B9391" s="200"/>
      <c r="C9391" s="201"/>
      <c r="D9391" s="201"/>
      <c r="E9391" s="201"/>
      <c r="F9391" s="202"/>
      <c r="G9391" s="549"/>
      <c r="H9391" s="549"/>
      <c r="I9391" s="549"/>
      <c r="J9391" s="549"/>
      <c r="K9391" s="549"/>
      <c r="M9391" s="465"/>
      <c r="N9391" s="201"/>
    </row>
    <row r="9392" spans="2:14" hidden="1" outlineLevel="1" x14ac:dyDescent="0.35">
      <c r="B9392" s="200"/>
      <c r="C9392" s="201"/>
      <c r="D9392" s="201"/>
      <c r="E9392" s="201"/>
      <c r="F9392" s="202"/>
      <c r="G9392" s="549"/>
      <c r="H9392" s="549"/>
      <c r="I9392" s="549"/>
      <c r="J9392" s="549"/>
      <c r="K9392" s="549"/>
      <c r="M9392" s="465"/>
      <c r="N9392" s="201"/>
    </row>
    <row r="9393" spans="2:14" hidden="1" outlineLevel="1" x14ac:dyDescent="0.35">
      <c r="B9393" s="200"/>
      <c r="C9393" s="201"/>
      <c r="D9393" s="201"/>
      <c r="E9393" s="201"/>
      <c r="F9393" s="202"/>
      <c r="G9393" s="549"/>
      <c r="H9393" s="549"/>
      <c r="I9393" s="549"/>
      <c r="J9393" s="549"/>
      <c r="K9393" s="549"/>
      <c r="M9393" s="465"/>
      <c r="N9393" s="201"/>
    </row>
    <row r="9394" spans="2:14" hidden="1" outlineLevel="1" x14ac:dyDescent="0.35">
      <c r="B9394" s="200"/>
      <c r="C9394" s="201"/>
      <c r="D9394" s="201"/>
      <c r="E9394" s="201"/>
      <c r="F9394" s="202"/>
      <c r="G9394" s="549"/>
      <c r="H9394" s="549"/>
      <c r="I9394" s="549"/>
      <c r="J9394" s="549"/>
      <c r="K9394" s="549"/>
      <c r="M9394" s="465"/>
      <c r="N9394" s="201"/>
    </row>
    <row r="9395" spans="2:14" hidden="1" outlineLevel="1" x14ac:dyDescent="0.35">
      <c r="B9395" s="200"/>
      <c r="C9395" s="201"/>
      <c r="D9395" s="201"/>
      <c r="E9395" s="201"/>
      <c r="F9395" s="202"/>
      <c r="G9395" s="549"/>
      <c r="H9395" s="549"/>
      <c r="I9395" s="549"/>
      <c r="J9395" s="549"/>
      <c r="K9395" s="549"/>
      <c r="M9395" s="465"/>
      <c r="N9395" s="201"/>
    </row>
    <row r="9396" spans="2:14" hidden="1" outlineLevel="1" x14ac:dyDescent="0.35">
      <c r="B9396" s="200"/>
      <c r="C9396" s="201"/>
      <c r="D9396" s="201"/>
      <c r="E9396" s="201"/>
      <c r="F9396" s="202"/>
      <c r="G9396" s="549"/>
      <c r="H9396" s="549"/>
      <c r="I9396" s="549"/>
      <c r="J9396" s="549"/>
      <c r="K9396" s="549"/>
      <c r="M9396" s="465"/>
      <c r="N9396" s="201"/>
    </row>
    <row r="9397" spans="2:14" hidden="1" outlineLevel="1" x14ac:dyDescent="0.35">
      <c r="B9397" s="200"/>
      <c r="C9397" s="201"/>
      <c r="D9397" s="201"/>
      <c r="E9397" s="201"/>
      <c r="F9397" s="202"/>
      <c r="G9397" s="549"/>
      <c r="H9397" s="549"/>
      <c r="I9397" s="549"/>
      <c r="J9397" s="549"/>
      <c r="K9397" s="549"/>
      <c r="M9397" s="465"/>
      <c r="N9397" s="201"/>
    </row>
    <row r="9398" spans="2:14" hidden="1" outlineLevel="1" x14ac:dyDescent="0.35">
      <c r="B9398" s="200"/>
      <c r="C9398" s="201"/>
      <c r="D9398" s="201"/>
      <c r="E9398" s="201"/>
      <c r="F9398" s="202"/>
      <c r="G9398" s="549"/>
      <c r="H9398" s="549"/>
      <c r="I9398" s="549"/>
      <c r="J9398" s="549"/>
      <c r="K9398" s="549"/>
      <c r="M9398" s="465"/>
      <c r="N9398" s="201"/>
    </row>
    <row r="9399" spans="2:14" hidden="1" outlineLevel="1" x14ac:dyDescent="0.35">
      <c r="B9399" s="200"/>
      <c r="C9399" s="201"/>
      <c r="D9399" s="201"/>
      <c r="E9399" s="201"/>
      <c r="F9399" s="202"/>
      <c r="G9399" s="549"/>
      <c r="H9399" s="549"/>
      <c r="I9399" s="549"/>
      <c r="J9399" s="549"/>
      <c r="K9399" s="549"/>
      <c r="M9399" s="465"/>
      <c r="N9399" s="201"/>
    </row>
    <row r="9400" spans="2:14" hidden="1" outlineLevel="1" x14ac:dyDescent="0.35">
      <c r="B9400" s="200"/>
      <c r="C9400" s="201"/>
      <c r="D9400" s="201"/>
      <c r="E9400" s="201"/>
      <c r="F9400" s="202"/>
      <c r="G9400" s="549"/>
      <c r="H9400" s="549"/>
      <c r="I9400" s="549"/>
      <c r="J9400" s="549"/>
      <c r="K9400" s="549"/>
      <c r="M9400" s="465"/>
      <c r="N9400" s="201"/>
    </row>
    <row r="9401" spans="2:14" hidden="1" outlineLevel="1" x14ac:dyDescent="0.35">
      <c r="B9401" s="200"/>
      <c r="C9401" s="201"/>
      <c r="D9401" s="201"/>
      <c r="E9401" s="201"/>
      <c r="F9401" s="202"/>
      <c r="G9401" s="549"/>
      <c r="H9401" s="549"/>
      <c r="I9401" s="549"/>
      <c r="J9401" s="549"/>
      <c r="K9401" s="549"/>
      <c r="M9401" s="465"/>
      <c r="N9401" s="201"/>
    </row>
    <row r="9402" spans="2:14" hidden="1" outlineLevel="1" x14ac:dyDescent="0.35">
      <c r="B9402" s="200"/>
      <c r="C9402" s="201"/>
      <c r="D9402" s="201"/>
      <c r="E9402" s="201"/>
      <c r="F9402" s="202"/>
      <c r="G9402" s="549"/>
      <c r="H9402" s="549"/>
      <c r="I9402" s="549"/>
      <c r="J9402" s="549"/>
      <c r="K9402" s="549"/>
      <c r="M9402" s="465"/>
      <c r="N9402" s="201"/>
    </row>
    <row r="9403" spans="2:14" hidden="1" outlineLevel="1" x14ac:dyDescent="0.35">
      <c r="B9403" s="200"/>
      <c r="C9403" s="201"/>
      <c r="D9403" s="201"/>
      <c r="E9403" s="201"/>
      <c r="F9403" s="202"/>
      <c r="G9403" s="549"/>
      <c r="H9403" s="549"/>
      <c r="I9403" s="549"/>
      <c r="J9403" s="549"/>
      <c r="K9403" s="549"/>
      <c r="M9403" s="465"/>
      <c r="N9403" s="201"/>
    </row>
    <row r="9404" spans="2:14" hidden="1" outlineLevel="1" x14ac:dyDescent="0.35">
      <c r="B9404" s="200"/>
      <c r="C9404" s="201"/>
      <c r="D9404" s="201"/>
      <c r="E9404" s="201"/>
      <c r="F9404" s="202"/>
      <c r="G9404" s="549"/>
      <c r="H9404" s="549"/>
      <c r="I9404" s="549"/>
      <c r="J9404" s="549"/>
      <c r="K9404" s="549"/>
      <c r="M9404" s="465"/>
      <c r="N9404" s="201"/>
    </row>
    <row r="9405" spans="2:14" hidden="1" outlineLevel="1" x14ac:dyDescent="0.35">
      <c r="B9405" s="200"/>
      <c r="C9405" s="201"/>
      <c r="D9405" s="201"/>
      <c r="E9405" s="201"/>
      <c r="F9405" s="202"/>
      <c r="G9405" s="549"/>
      <c r="H9405" s="549"/>
      <c r="I9405" s="549"/>
      <c r="J9405" s="549"/>
      <c r="K9405" s="549"/>
      <c r="M9405" s="465"/>
      <c r="N9405" s="201"/>
    </row>
    <row r="9406" spans="2:14" hidden="1" outlineLevel="1" x14ac:dyDescent="0.35">
      <c r="B9406" s="200"/>
      <c r="C9406" s="201"/>
      <c r="D9406" s="201"/>
      <c r="E9406" s="201"/>
      <c r="F9406" s="202"/>
      <c r="G9406" s="549"/>
      <c r="H9406" s="549"/>
      <c r="I9406" s="549"/>
      <c r="J9406" s="549"/>
      <c r="K9406" s="549"/>
      <c r="M9406" s="465"/>
      <c r="N9406" s="201"/>
    </row>
    <row r="9407" spans="2:14" hidden="1" outlineLevel="1" x14ac:dyDescent="0.35">
      <c r="B9407" s="200"/>
      <c r="C9407" s="201"/>
      <c r="D9407" s="201"/>
      <c r="E9407" s="201"/>
      <c r="F9407" s="202"/>
      <c r="G9407" s="549"/>
      <c r="H9407" s="549"/>
      <c r="I9407" s="549"/>
      <c r="J9407" s="549"/>
      <c r="K9407" s="549"/>
      <c r="M9407" s="465"/>
      <c r="N9407" s="201"/>
    </row>
    <row r="9408" spans="2:14" hidden="1" outlineLevel="1" x14ac:dyDescent="0.35">
      <c r="B9408" s="200"/>
      <c r="C9408" s="201"/>
      <c r="D9408" s="201"/>
      <c r="E9408" s="201"/>
      <c r="F9408" s="202"/>
      <c r="G9408" s="549"/>
      <c r="H9408" s="549"/>
      <c r="I9408" s="549"/>
      <c r="J9408" s="549"/>
      <c r="K9408" s="549"/>
      <c r="M9408" s="465"/>
      <c r="N9408" s="201"/>
    </row>
    <row r="9409" spans="2:14" hidden="1" outlineLevel="1" x14ac:dyDescent="0.35">
      <c r="B9409" s="200"/>
      <c r="C9409" s="201"/>
      <c r="D9409" s="201"/>
      <c r="E9409" s="201"/>
      <c r="F9409" s="202"/>
      <c r="G9409" s="549"/>
      <c r="H9409" s="549"/>
      <c r="I9409" s="549"/>
      <c r="J9409" s="549"/>
      <c r="K9409" s="549"/>
      <c r="M9409" s="465"/>
      <c r="N9409" s="201"/>
    </row>
    <row r="9410" spans="2:14" hidden="1" outlineLevel="1" x14ac:dyDescent="0.35">
      <c r="B9410" s="200"/>
      <c r="C9410" s="201"/>
      <c r="D9410" s="201"/>
      <c r="E9410" s="201"/>
      <c r="F9410" s="202"/>
      <c r="G9410" s="549"/>
      <c r="H9410" s="549"/>
      <c r="I9410" s="549"/>
      <c r="J9410" s="549"/>
      <c r="K9410" s="549"/>
      <c r="M9410" s="465"/>
      <c r="N9410" s="201"/>
    </row>
    <row r="9411" spans="2:14" hidden="1" outlineLevel="1" x14ac:dyDescent="0.35">
      <c r="B9411" s="200"/>
      <c r="C9411" s="201"/>
      <c r="D9411" s="201"/>
      <c r="E9411" s="201"/>
      <c r="F9411" s="202"/>
      <c r="G9411" s="549"/>
      <c r="H9411" s="549"/>
      <c r="I9411" s="549"/>
      <c r="J9411" s="549"/>
      <c r="K9411" s="549"/>
      <c r="M9411" s="465"/>
      <c r="N9411" s="201"/>
    </row>
    <row r="9412" spans="2:14" hidden="1" outlineLevel="1" x14ac:dyDescent="0.35">
      <c r="B9412" s="200"/>
      <c r="C9412" s="201"/>
      <c r="D9412" s="201"/>
      <c r="E9412" s="201"/>
      <c r="F9412" s="202"/>
      <c r="G9412" s="549"/>
      <c r="H9412" s="549"/>
      <c r="I9412" s="549"/>
      <c r="J9412" s="549"/>
      <c r="K9412" s="549"/>
      <c r="M9412" s="465"/>
      <c r="N9412" s="201"/>
    </row>
    <row r="9413" spans="2:14" hidden="1" outlineLevel="1" x14ac:dyDescent="0.35">
      <c r="B9413" s="200"/>
      <c r="C9413" s="201"/>
      <c r="D9413" s="201"/>
      <c r="E9413" s="201"/>
      <c r="F9413" s="202"/>
      <c r="G9413" s="549"/>
      <c r="H9413" s="549"/>
      <c r="I9413" s="549"/>
      <c r="J9413" s="549"/>
      <c r="K9413" s="549"/>
      <c r="M9413" s="465"/>
      <c r="N9413" s="201"/>
    </row>
    <row r="9414" spans="2:14" hidden="1" outlineLevel="1" x14ac:dyDescent="0.35">
      <c r="B9414" s="200"/>
      <c r="C9414" s="201"/>
      <c r="D9414" s="201"/>
      <c r="E9414" s="201"/>
      <c r="F9414" s="202"/>
      <c r="G9414" s="549"/>
      <c r="H9414" s="549"/>
      <c r="I9414" s="549"/>
      <c r="J9414" s="549"/>
      <c r="K9414" s="549"/>
      <c r="M9414" s="465"/>
      <c r="N9414" s="201"/>
    </row>
    <row r="9415" spans="2:14" hidden="1" outlineLevel="1" x14ac:dyDescent="0.35">
      <c r="B9415" s="200"/>
      <c r="C9415" s="201"/>
      <c r="D9415" s="201"/>
      <c r="E9415" s="201"/>
      <c r="F9415" s="202"/>
      <c r="G9415" s="549"/>
      <c r="H9415" s="549"/>
      <c r="I9415" s="549"/>
      <c r="J9415" s="549"/>
      <c r="K9415" s="549"/>
      <c r="M9415" s="465"/>
      <c r="N9415" s="201"/>
    </row>
    <row r="9416" spans="2:14" hidden="1" outlineLevel="1" x14ac:dyDescent="0.35">
      <c r="B9416" s="200"/>
      <c r="C9416" s="201"/>
      <c r="D9416" s="201"/>
      <c r="E9416" s="201"/>
      <c r="F9416" s="202"/>
      <c r="G9416" s="549"/>
      <c r="H9416" s="549"/>
      <c r="I9416" s="549"/>
      <c r="J9416" s="549"/>
      <c r="K9416" s="549"/>
      <c r="M9416" s="465"/>
      <c r="N9416" s="201"/>
    </row>
    <row r="9417" spans="2:14" hidden="1" outlineLevel="1" x14ac:dyDescent="0.35">
      <c r="B9417" s="200"/>
      <c r="C9417" s="201"/>
      <c r="D9417" s="201"/>
      <c r="E9417" s="201"/>
      <c r="F9417" s="202"/>
      <c r="G9417" s="549"/>
      <c r="H9417" s="549"/>
      <c r="I9417" s="549"/>
      <c r="J9417" s="549"/>
      <c r="K9417" s="549"/>
      <c r="M9417" s="465"/>
      <c r="N9417" s="201"/>
    </row>
    <row r="9418" spans="2:14" hidden="1" outlineLevel="1" x14ac:dyDescent="0.35">
      <c r="B9418" s="200"/>
      <c r="C9418" s="201"/>
      <c r="D9418" s="201"/>
      <c r="E9418" s="201"/>
      <c r="F9418" s="202"/>
      <c r="G9418" s="549"/>
      <c r="H9418" s="549"/>
      <c r="I9418" s="549"/>
      <c r="J9418" s="549"/>
      <c r="K9418" s="549"/>
      <c r="M9418" s="465"/>
      <c r="N9418" s="201"/>
    </row>
    <row r="9419" spans="2:14" hidden="1" outlineLevel="1" x14ac:dyDescent="0.35">
      <c r="B9419" s="200"/>
      <c r="C9419" s="201"/>
      <c r="D9419" s="201"/>
      <c r="E9419" s="201"/>
      <c r="F9419" s="202"/>
      <c r="G9419" s="549"/>
      <c r="H9419" s="549"/>
      <c r="I9419" s="549"/>
      <c r="J9419" s="549"/>
      <c r="K9419" s="549"/>
      <c r="M9419" s="465"/>
      <c r="N9419" s="201"/>
    </row>
    <row r="9420" spans="2:14" hidden="1" outlineLevel="1" x14ac:dyDescent="0.35">
      <c r="B9420" s="200"/>
      <c r="C9420" s="201"/>
      <c r="D9420" s="201"/>
      <c r="E9420" s="201"/>
      <c r="F9420" s="202"/>
      <c r="G9420" s="549"/>
      <c r="H9420" s="549"/>
      <c r="I9420" s="549"/>
      <c r="J9420" s="549"/>
      <c r="K9420" s="549"/>
      <c r="M9420" s="465"/>
      <c r="N9420" s="201"/>
    </row>
    <row r="9421" spans="2:14" hidden="1" outlineLevel="1" x14ac:dyDescent="0.35">
      <c r="B9421" s="200"/>
      <c r="C9421" s="201"/>
      <c r="D9421" s="201"/>
      <c r="E9421" s="201"/>
      <c r="F9421" s="202"/>
      <c r="G9421" s="549"/>
      <c r="H9421" s="549"/>
      <c r="I9421" s="549"/>
      <c r="J9421" s="549"/>
      <c r="K9421" s="549"/>
      <c r="M9421" s="465"/>
      <c r="N9421" s="201"/>
    </row>
    <row r="9422" spans="2:14" hidden="1" outlineLevel="1" x14ac:dyDescent="0.35">
      <c r="B9422" s="200"/>
      <c r="C9422" s="201"/>
      <c r="D9422" s="201"/>
      <c r="E9422" s="201"/>
      <c r="F9422" s="202"/>
      <c r="G9422" s="549"/>
      <c r="H9422" s="549"/>
      <c r="I9422" s="549"/>
      <c r="J9422" s="549"/>
      <c r="K9422" s="549"/>
      <c r="M9422" s="465"/>
      <c r="N9422" s="201"/>
    </row>
    <row r="9423" spans="2:14" hidden="1" outlineLevel="1" x14ac:dyDescent="0.35">
      <c r="B9423" s="200"/>
      <c r="C9423" s="201"/>
      <c r="D9423" s="201"/>
      <c r="E9423" s="201"/>
      <c r="F9423" s="202"/>
      <c r="G9423" s="549"/>
      <c r="H9423" s="549"/>
      <c r="I9423" s="549"/>
      <c r="J9423" s="549"/>
      <c r="K9423" s="549"/>
      <c r="M9423" s="465"/>
      <c r="N9423" s="201"/>
    </row>
    <row r="9424" spans="2:14" hidden="1" outlineLevel="1" x14ac:dyDescent="0.35">
      <c r="B9424" s="200"/>
      <c r="C9424" s="201"/>
      <c r="D9424" s="201"/>
      <c r="E9424" s="201"/>
      <c r="F9424" s="202"/>
      <c r="G9424" s="549"/>
      <c r="H9424" s="549"/>
      <c r="I9424" s="549"/>
      <c r="J9424" s="549"/>
      <c r="K9424" s="549"/>
      <c r="M9424" s="465"/>
      <c r="N9424" s="201"/>
    </row>
    <row r="9425" spans="2:14" hidden="1" outlineLevel="1" x14ac:dyDescent="0.35">
      <c r="B9425" s="200"/>
      <c r="C9425" s="201"/>
      <c r="D9425" s="201"/>
      <c r="E9425" s="201"/>
      <c r="F9425" s="202"/>
      <c r="G9425" s="549"/>
      <c r="H9425" s="549"/>
      <c r="I9425" s="549"/>
      <c r="J9425" s="549"/>
      <c r="K9425" s="549"/>
      <c r="M9425" s="465"/>
      <c r="N9425" s="201"/>
    </row>
    <row r="9426" spans="2:14" hidden="1" outlineLevel="1" x14ac:dyDescent="0.35">
      <c r="B9426" s="200"/>
      <c r="C9426" s="201"/>
      <c r="D9426" s="201"/>
      <c r="E9426" s="201"/>
      <c r="F9426" s="202"/>
      <c r="G9426" s="549"/>
      <c r="H9426" s="549"/>
      <c r="I9426" s="549"/>
      <c r="J9426" s="549"/>
      <c r="K9426" s="549"/>
      <c r="M9426" s="465"/>
      <c r="N9426" s="201"/>
    </row>
    <row r="9427" spans="2:14" hidden="1" outlineLevel="1" x14ac:dyDescent="0.35">
      <c r="B9427" s="200"/>
      <c r="C9427" s="201"/>
      <c r="D9427" s="201"/>
      <c r="E9427" s="201"/>
      <c r="F9427" s="202"/>
      <c r="G9427" s="549"/>
      <c r="H9427" s="549"/>
      <c r="I9427" s="549"/>
      <c r="J9427" s="549"/>
      <c r="K9427" s="549"/>
      <c r="M9427" s="465"/>
      <c r="N9427" s="201"/>
    </row>
    <row r="9428" spans="2:14" hidden="1" outlineLevel="1" x14ac:dyDescent="0.35">
      <c r="B9428" s="200"/>
      <c r="C9428" s="201"/>
      <c r="D9428" s="201"/>
      <c r="E9428" s="201"/>
      <c r="F9428" s="202"/>
      <c r="G9428" s="549"/>
      <c r="H9428" s="549"/>
      <c r="I9428" s="549"/>
      <c r="J9428" s="549"/>
      <c r="K9428" s="549"/>
      <c r="M9428" s="465"/>
      <c r="N9428" s="201"/>
    </row>
    <row r="9429" spans="2:14" hidden="1" outlineLevel="1" x14ac:dyDescent="0.35">
      <c r="B9429" s="200"/>
      <c r="C9429" s="201"/>
      <c r="D9429" s="201"/>
      <c r="E9429" s="201"/>
      <c r="F9429" s="202"/>
      <c r="G9429" s="549"/>
      <c r="H9429" s="549"/>
      <c r="I9429" s="549"/>
      <c r="J9429" s="549"/>
      <c r="K9429" s="549"/>
      <c r="M9429" s="465"/>
      <c r="N9429" s="201"/>
    </row>
    <row r="9430" spans="2:14" hidden="1" outlineLevel="1" x14ac:dyDescent="0.35">
      <c r="B9430" s="200"/>
      <c r="C9430" s="201"/>
      <c r="D9430" s="201"/>
      <c r="E9430" s="201"/>
      <c r="F9430" s="202"/>
      <c r="G9430" s="549"/>
      <c r="H9430" s="549"/>
      <c r="I9430" s="549"/>
      <c r="J9430" s="549"/>
      <c r="K9430" s="549"/>
      <c r="M9430" s="465"/>
      <c r="N9430" s="201"/>
    </row>
    <row r="9431" spans="2:14" hidden="1" outlineLevel="1" x14ac:dyDescent="0.35">
      <c r="B9431" s="200"/>
      <c r="C9431" s="201"/>
      <c r="D9431" s="201"/>
      <c r="E9431" s="201"/>
      <c r="F9431" s="202"/>
      <c r="G9431" s="549"/>
      <c r="H9431" s="549"/>
      <c r="I9431" s="549"/>
      <c r="J9431" s="549"/>
      <c r="K9431" s="549"/>
      <c r="M9431" s="465"/>
      <c r="N9431" s="201"/>
    </row>
    <row r="9432" spans="2:14" hidden="1" outlineLevel="1" x14ac:dyDescent="0.35">
      <c r="B9432" s="200"/>
      <c r="C9432" s="201"/>
      <c r="D9432" s="201"/>
      <c r="E9432" s="201"/>
      <c r="F9432" s="202"/>
      <c r="G9432" s="549"/>
      <c r="H9432" s="549"/>
      <c r="I9432" s="549"/>
      <c r="J9432" s="549"/>
      <c r="K9432" s="549"/>
      <c r="M9432" s="465"/>
      <c r="N9432" s="201"/>
    </row>
    <row r="9433" spans="2:14" hidden="1" outlineLevel="1" x14ac:dyDescent="0.35">
      <c r="B9433" s="200"/>
      <c r="C9433" s="201"/>
      <c r="D9433" s="201"/>
      <c r="E9433" s="201"/>
      <c r="F9433" s="202"/>
      <c r="G9433" s="549"/>
      <c r="H9433" s="549"/>
      <c r="I9433" s="549"/>
      <c r="J9433" s="549"/>
      <c r="K9433" s="549"/>
      <c r="M9433" s="465"/>
      <c r="N9433" s="201"/>
    </row>
    <row r="9434" spans="2:14" hidden="1" outlineLevel="1" x14ac:dyDescent="0.35">
      <c r="B9434" s="200"/>
      <c r="C9434" s="201"/>
      <c r="D9434" s="201"/>
      <c r="E9434" s="201"/>
      <c r="F9434" s="202"/>
      <c r="G9434" s="549"/>
      <c r="H9434" s="549"/>
      <c r="I9434" s="549"/>
      <c r="J9434" s="549"/>
      <c r="K9434" s="549"/>
      <c r="M9434" s="465"/>
      <c r="N9434" s="201"/>
    </row>
    <row r="9435" spans="2:14" hidden="1" outlineLevel="1" x14ac:dyDescent="0.35">
      <c r="B9435" s="200"/>
      <c r="C9435" s="201"/>
      <c r="D9435" s="201"/>
      <c r="E9435" s="201"/>
      <c r="F9435" s="202"/>
      <c r="G9435" s="549"/>
      <c r="H9435" s="549"/>
      <c r="I9435" s="549"/>
      <c r="J9435" s="549"/>
      <c r="K9435" s="549"/>
      <c r="M9435" s="465"/>
      <c r="N9435" s="201"/>
    </row>
    <row r="9436" spans="2:14" hidden="1" outlineLevel="1" x14ac:dyDescent="0.35">
      <c r="B9436" s="200"/>
      <c r="C9436" s="201"/>
      <c r="D9436" s="201"/>
      <c r="E9436" s="201"/>
      <c r="F9436" s="202"/>
      <c r="G9436" s="549"/>
      <c r="H9436" s="549"/>
      <c r="I9436" s="549"/>
      <c r="J9436" s="549"/>
      <c r="K9436" s="549"/>
      <c r="M9436" s="465"/>
      <c r="N9436" s="201"/>
    </row>
    <row r="9437" spans="2:14" hidden="1" outlineLevel="1" x14ac:dyDescent="0.35">
      <c r="B9437" s="200"/>
      <c r="C9437" s="201"/>
      <c r="D9437" s="201"/>
      <c r="E9437" s="201"/>
      <c r="F9437" s="202"/>
      <c r="G9437" s="549"/>
      <c r="H9437" s="549"/>
      <c r="I9437" s="549"/>
      <c r="J9437" s="549"/>
      <c r="K9437" s="549"/>
      <c r="M9437" s="465"/>
      <c r="N9437" s="201"/>
    </row>
    <row r="9438" spans="2:14" hidden="1" outlineLevel="1" x14ac:dyDescent="0.35">
      <c r="B9438" s="200"/>
      <c r="C9438" s="201"/>
      <c r="D9438" s="201"/>
      <c r="E9438" s="201"/>
      <c r="F9438" s="202"/>
      <c r="G9438" s="549"/>
      <c r="H9438" s="549"/>
      <c r="I9438" s="549"/>
      <c r="J9438" s="549"/>
      <c r="K9438" s="549"/>
      <c r="M9438" s="465"/>
      <c r="N9438" s="201"/>
    </row>
    <row r="9439" spans="2:14" hidden="1" outlineLevel="1" x14ac:dyDescent="0.35">
      <c r="B9439" s="200"/>
      <c r="C9439" s="201"/>
      <c r="D9439" s="201"/>
      <c r="E9439" s="201"/>
      <c r="F9439" s="202"/>
      <c r="G9439" s="549"/>
      <c r="H9439" s="549"/>
      <c r="I9439" s="549"/>
      <c r="J9439" s="549"/>
      <c r="K9439" s="549"/>
      <c r="M9439" s="465"/>
      <c r="N9439" s="201"/>
    </row>
    <row r="9440" spans="2:14" hidden="1" outlineLevel="1" x14ac:dyDescent="0.35">
      <c r="B9440" s="200"/>
      <c r="C9440" s="201"/>
      <c r="D9440" s="201"/>
      <c r="E9440" s="201"/>
      <c r="F9440" s="202"/>
      <c r="G9440" s="549"/>
      <c r="H9440" s="549"/>
      <c r="I9440" s="549"/>
      <c r="J9440" s="549"/>
      <c r="K9440" s="549"/>
      <c r="M9440" s="465"/>
      <c r="N9440" s="201"/>
    </row>
    <row r="9441" spans="2:14" hidden="1" outlineLevel="1" x14ac:dyDescent="0.35">
      <c r="B9441" s="200"/>
      <c r="C9441" s="201"/>
      <c r="D9441" s="201"/>
      <c r="E9441" s="201"/>
      <c r="F9441" s="202"/>
      <c r="G9441" s="549"/>
      <c r="H9441" s="549"/>
      <c r="I9441" s="549"/>
      <c r="J9441" s="549"/>
      <c r="K9441" s="549"/>
      <c r="M9441" s="465"/>
      <c r="N9441" s="201"/>
    </row>
    <row r="9442" spans="2:14" hidden="1" outlineLevel="1" x14ac:dyDescent="0.35">
      <c r="B9442" s="200"/>
      <c r="C9442" s="201"/>
      <c r="D9442" s="201"/>
      <c r="E9442" s="201"/>
      <c r="F9442" s="202"/>
      <c r="G9442" s="549"/>
      <c r="H9442" s="549"/>
      <c r="I9442" s="549"/>
      <c r="J9442" s="549"/>
      <c r="K9442" s="549"/>
      <c r="M9442" s="465"/>
      <c r="N9442" s="201"/>
    </row>
    <row r="9443" spans="2:14" hidden="1" outlineLevel="1" x14ac:dyDescent="0.35">
      <c r="B9443" s="200"/>
      <c r="C9443" s="201"/>
      <c r="D9443" s="201"/>
      <c r="E9443" s="201"/>
      <c r="F9443" s="202"/>
      <c r="G9443" s="549"/>
      <c r="H9443" s="549"/>
      <c r="I9443" s="549"/>
      <c r="J9443" s="549"/>
      <c r="K9443" s="549"/>
      <c r="M9443" s="465"/>
      <c r="N9443" s="201"/>
    </row>
    <row r="9444" spans="2:14" hidden="1" outlineLevel="1" x14ac:dyDescent="0.35">
      <c r="B9444" s="200"/>
      <c r="C9444" s="201"/>
      <c r="D9444" s="201"/>
      <c r="E9444" s="201"/>
      <c r="F9444" s="202"/>
      <c r="G9444" s="549"/>
      <c r="H9444" s="549"/>
      <c r="I9444" s="549"/>
      <c r="J9444" s="549"/>
      <c r="K9444" s="549"/>
      <c r="M9444" s="465"/>
      <c r="N9444" s="201"/>
    </row>
    <row r="9445" spans="2:14" hidden="1" outlineLevel="1" x14ac:dyDescent="0.35">
      <c r="B9445" s="200"/>
      <c r="C9445" s="201"/>
      <c r="D9445" s="201"/>
      <c r="E9445" s="201"/>
      <c r="F9445" s="202"/>
      <c r="G9445" s="549"/>
      <c r="H9445" s="549"/>
      <c r="I9445" s="549"/>
      <c r="J9445" s="549"/>
      <c r="K9445" s="549"/>
      <c r="M9445" s="465"/>
      <c r="N9445" s="201"/>
    </row>
    <row r="9446" spans="2:14" hidden="1" outlineLevel="1" x14ac:dyDescent="0.35">
      <c r="B9446" s="200"/>
      <c r="C9446" s="201"/>
      <c r="D9446" s="201"/>
      <c r="E9446" s="201"/>
      <c r="F9446" s="202"/>
      <c r="G9446" s="549"/>
      <c r="H9446" s="549"/>
      <c r="I9446" s="549"/>
      <c r="J9446" s="549"/>
      <c r="K9446" s="549"/>
      <c r="M9446" s="465"/>
      <c r="N9446" s="201"/>
    </row>
    <row r="9447" spans="2:14" hidden="1" outlineLevel="1" x14ac:dyDescent="0.35">
      <c r="B9447" s="200"/>
      <c r="C9447" s="201"/>
      <c r="D9447" s="201"/>
      <c r="E9447" s="201"/>
      <c r="F9447" s="202"/>
      <c r="G9447" s="549"/>
      <c r="H9447" s="549"/>
      <c r="I9447" s="549"/>
      <c r="J9447" s="549"/>
      <c r="K9447" s="549"/>
      <c r="M9447" s="465"/>
      <c r="N9447" s="201"/>
    </row>
    <row r="9448" spans="2:14" hidden="1" outlineLevel="1" x14ac:dyDescent="0.35">
      <c r="B9448" s="200"/>
      <c r="C9448" s="201"/>
      <c r="D9448" s="201"/>
      <c r="E9448" s="201"/>
      <c r="F9448" s="202"/>
      <c r="G9448" s="549"/>
      <c r="H9448" s="549"/>
      <c r="I9448" s="549"/>
      <c r="J9448" s="549"/>
      <c r="K9448" s="549"/>
      <c r="M9448" s="465"/>
      <c r="N9448" s="201"/>
    </row>
    <row r="9449" spans="2:14" hidden="1" outlineLevel="1" x14ac:dyDescent="0.35">
      <c r="B9449" s="200"/>
      <c r="C9449" s="201"/>
      <c r="D9449" s="201"/>
      <c r="E9449" s="201"/>
      <c r="F9449" s="202"/>
      <c r="G9449" s="549"/>
      <c r="H9449" s="549"/>
      <c r="I9449" s="549"/>
      <c r="J9449" s="549"/>
      <c r="K9449" s="549"/>
      <c r="M9449" s="465"/>
      <c r="N9449" s="201"/>
    </row>
    <row r="9450" spans="2:14" hidden="1" outlineLevel="1" x14ac:dyDescent="0.35">
      <c r="B9450" s="200"/>
      <c r="C9450" s="201"/>
      <c r="D9450" s="201"/>
      <c r="E9450" s="201"/>
      <c r="F9450" s="202"/>
      <c r="G9450" s="549"/>
      <c r="H9450" s="549"/>
      <c r="I9450" s="549"/>
      <c r="J9450" s="549"/>
      <c r="K9450" s="549"/>
      <c r="M9450" s="465"/>
      <c r="N9450" s="201"/>
    </row>
    <row r="9451" spans="2:14" hidden="1" outlineLevel="1" x14ac:dyDescent="0.35">
      <c r="B9451" s="200"/>
      <c r="C9451" s="201"/>
      <c r="D9451" s="201"/>
      <c r="E9451" s="201"/>
      <c r="F9451" s="202"/>
      <c r="G9451" s="549"/>
      <c r="H9451" s="549"/>
      <c r="I9451" s="549"/>
      <c r="J9451" s="549"/>
      <c r="K9451" s="549"/>
      <c r="M9451" s="465"/>
      <c r="N9451" s="201"/>
    </row>
    <row r="9452" spans="2:14" hidden="1" outlineLevel="1" x14ac:dyDescent="0.35">
      <c r="B9452" s="200"/>
      <c r="C9452" s="201"/>
      <c r="D9452" s="201"/>
      <c r="E9452" s="201"/>
      <c r="F9452" s="202"/>
      <c r="G9452" s="549"/>
      <c r="H9452" s="549"/>
      <c r="I9452" s="549"/>
      <c r="J9452" s="549"/>
      <c r="K9452" s="549"/>
      <c r="M9452" s="465"/>
      <c r="N9452" s="201"/>
    </row>
    <row r="9453" spans="2:14" hidden="1" outlineLevel="1" x14ac:dyDescent="0.35">
      <c r="B9453" s="200"/>
      <c r="C9453" s="201"/>
      <c r="D9453" s="201"/>
      <c r="E9453" s="201"/>
      <c r="F9453" s="202"/>
      <c r="G9453" s="549"/>
      <c r="H9453" s="549"/>
      <c r="I9453" s="549"/>
      <c r="J9453" s="549"/>
      <c r="K9453" s="549"/>
      <c r="M9453" s="465"/>
      <c r="N9453" s="201"/>
    </row>
    <row r="9454" spans="2:14" hidden="1" outlineLevel="1" x14ac:dyDescent="0.35">
      <c r="B9454" s="200"/>
      <c r="C9454" s="201"/>
      <c r="D9454" s="201"/>
      <c r="E9454" s="201"/>
      <c r="F9454" s="202"/>
      <c r="G9454" s="549"/>
      <c r="H9454" s="549"/>
      <c r="I9454" s="549"/>
      <c r="J9454" s="549"/>
      <c r="K9454" s="549"/>
      <c r="M9454" s="465"/>
      <c r="N9454" s="201"/>
    </row>
    <row r="9455" spans="2:14" hidden="1" outlineLevel="1" x14ac:dyDescent="0.35">
      <c r="B9455" s="200"/>
      <c r="C9455" s="201"/>
      <c r="D9455" s="201"/>
      <c r="E9455" s="201"/>
      <c r="F9455" s="202"/>
      <c r="G9455" s="549"/>
      <c r="H9455" s="549"/>
      <c r="I9455" s="549"/>
      <c r="J9455" s="549"/>
      <c r="K9455" s="549"/>
      <c r="M9455" s="465"/>
      <c r="N9455" s="201"/>
    </row>
    <row r="9456" spans="2:14" hidden="1" outlineLevel="1" x14ac:dyDescent="0.35">
      <c r="B9456" s="200"/>
      <c r="C9456" s="201"/>
      <c r="D9456" s="201"/>
      <c r="E9456" s="201"/>
      <c r="F9456" s="202"/>
      <c r="G9456" s="549"/>
      <c r="H9456" s="549"/>
      <c r="I9456" s="549"/>
      <c r="J9456" s="549"/>
      <c r="K9456" s="549"/>
      <c r="M9456" s="465"/>
      <c r="N9456" s="201"/>
    </row>
    <row r="9457" spans="2:14" hidden="1" outlineLevel="1" x14ac:dyDescent="0.35">
      <c r="B9457" s="200"/>
      <c r="C9457" s="201"/>
      <c r="D9457" s="201"/>
      <c r="E9457" s="201"/>
      <c r="F9457" s="202"/>
      <c r="G9457" s="549"/>
      <c r="H9457" s="549"/>
      <c r="I9457" s="549"/>
      <c r="J9457" s="549"/>
      <c r="K9457" s="549"/>
      <c r="M9457" s="465"/>
      <c r="N9457" s="201"/>
    </row>
    <row r="9458" spans="2:14" hidden="1" outlineLevel="1" x14ac:dyDescent="0.35">
      <c r="B9458" s="200"/>
      <c r="C9458" s="201"/>
      <c r="D9458" s="201"/>
      <c r="E9458" s="201"/>
      <c r="F9458" s="202"/>
      <c r="G9458" s="549"/>
      <c r="H9458" s="549"/>
      <c r="I9458" s="549"/>
      <c r="J9458" s="549"/>
      <c r="K9458" s="549"/>
      <c r="M9458" s="465"/>
      <c r="N9458" s="201"/>
    </row>
    <row r="9459" spans="2:14" hidden="1" outlineLevel="1" x14ac:dyDescent="0.35">
      <c r="B9459" s="200"/>
      <c r="C9459" s="201"/>
      <c r="D9459" s="201"/>
      <c r="E9459" s="201"/>
      <c r="F9459" s="202"/>
      <c r="G9459" s="549"/>
      <c r="H9459" s="549"/>
      <c r="I9459" s="549"/>
      <c r="J9459" s="549"/>
      <c r="K9459" s="549"/>
      <c r="M9459" s="465"/>
      <c r="N9459" s="201"/>
    </row>
    <row r="9460" spans="2:14" hidden="1" outlineLevel="1" x14ac:dyDescent="0.35">
      <c r="B9460" s="200"/>
      <c r="C9460" s="201"/>
      <c r="D9460" s="201"/>
      <c r="E9460" s="201"/>
      <c r="F9460" s="202"/>
      <c r="G9460" s="549"/>
      <c r="H9460" s="549"/>
      <c r="I9460" s="549"/>
      <c r="J9460" s="549"/>
      <c r="K9460" s="549"/>
      <c r="M9460" s="465"/>
      <c r="N9460" s="201"/>
    </row>
    <row r="9461" spans="2:14" hidden="1" outlineLevel="1" x14ac:dyDescent="0.35">
      <c r="B9461" s="200"/>
      <c r="C9461" s="201"/>
      <c r="D9461" s="201"/>
      <c r="E9461" s="201"/>
      <c r="F9461" s="202"/>
      <c r="G9461" s="549"/>
      <c r="H9461" s="549"/>
      <c r="I9461" s="549"/>
      <c r="J9461" s="549"/>
      <c r="K9461" s="549"/>
      <c r="M9461" s="465"/>
      <c r="N9461" s="201"/>
    </row>
    <row r="9462" spans="2:14" hidden="1" outlineLevel="1" x14ac:dyDescent="0.35">
      <c r="B9462" s="200"/>
      <c r="C9462" s="201"/>
      <c r="D9462" s="201"/>
      <c r="E9462" s="201"/>
      <c r="F9462" s="202"/>
      <c r="G9462" s="549"/>
      <c r="H9462" s="549"/>
      <c r="I9462" s="549"/>
      <c r="J9462" s="549"/>
      <c r="K9462" s="549"/>
      <c r="M9462" s="465"/>
      <c r="N9462" s="201"/>
    </row>
    <row r="9463" spans="2:14" hidden="1" outlineLevel="1" x14ac:dyDescent="0.35">
      <c r="B9463" s="200"/>
      <c r="C9463" s="201"/>
      <c r="D9463" s="201"/>
      <c r="E9463" s="201"/>
      <c r="F9463" s="202"/>
      <c r="G9463" s="549"/>
      <c r="H9463" s="549"/>
      <c r="I9463" s="549"/>
      <c r="J9463" s="549"/>
      <c r="K9463" s="549"/>
      <c r="M9463" s="465"/>
      <c r="N9463" s="201"/>
    </row>
    <row r="9464" spans="2:14" hidden="1" outlineLevel="1" x14ac:dyDescent="0.35">
      <c r="B9464" s="200"/>
      <c r="C9464" s="201"/>
      <c r="D9464" s="201"/>
      <c r="E9464" s="201"/>
      <c r="F9464" s="202"/>
      <c r="G9464" s="549"/>
      <c r="H9464" s="549"/>
      <c r="I9464" s="549"/>
      <c r="J9464" s="549"/>
      <c r="K9464" s="549"/>
      <c r="M9464" s="465"/>
      <c r="N9464" s="201"/>
    </row>
    <row r="9465" spans="2:14" hidden="1" outlineLevel="1" x14ac:dyDescent="0.35">
      <c r="B9465" s="200"/>
      <c r="C9465" s="201"/>
      <c r="D9465" s="201"/>
      <c r="E9465" s="201"/>
      <c r="F9465" s="202"/>
      <c r="G9465" s="549"/>
      <c r="H9465" s="549"/>
      <c r="I9465" s="549"/>
      <c r="J9465" s="549"/>
      <c r="K9465" s="549"/>
      <c r="M9465" s="465"/>
      <c r="N9465" s="201"/>
    </row>
    <row r="9466" spans="2:14" hidden="1" outlineLevel="1" x14ac:dyDescent="0.35">
      <c r="B9466" s="200"/>
      <c r="C9466" s="201"/>
      <c r="D9466" s="201"/>
      <c r="E9466" s="201"/>
      <c r="F9466" s="202"/>
      <c r="G9466" s="549"/>
      <c r="H9466" s="549"/>
      <c r="I9466" s="549"/>
      <c r="J9466" s="549"/>
      <c r="K9466" s="549"/>
      <c r="M9466" s="465"/>
      <c r="N9466" s="201"/>
    </row>
    <row r="9467" spans="2:14" hidden="1" outlineLevel="1" x14ac:dyDescent="0.35">
      <c r="B9467" s="200"/>
      <c r="C9467" s="201"/>
      <c r="D9467" s="201"/>
      <c r="E9467" s="201"/>
      <c r="F9467" s="202"/>
      <c r="G9467" s="549"/>
      <c r="H9467" s="549"/>
      <c r="I9467" s="549"/>
      <c r="J9467" s="549"/>
      <c r="K9467" s="549"/>
      <c r="M9467" s="465"/>
      <c r="N9467" s="201"/>
    </row>
    <row r="9468" spans="2:14" hidden="1" outlineLevel="1" x14ac:dyDescent="0.35">
      <c r="B9468" s="200"/>
      <c r="C9468" s="201"/>
      <c r="D9468" s="201"/>
      <c r="E9468" s="201"/>
      <c r="F9468" s="202"/>
      <c r="G9468" s="549"/>
      <c r="H9468" s="549"/>
      <c r="I9468" s="549"/>
      <c r="J9468" s="549"/>
      <c r="K9468" s="549"/>
      <c r="M9468" s="465"/>
      <c r="N9468" s="201"/>
    </row>
    <row r="9469" spans="2:14" hidden="1" outlineLevel="1" x14ac:dyDescent="0.35">
      <c r="B9469" s="200"/>
      <c r="C9469" s="201"/>
      <c r="D9469" s="201"/>
      <c r="E9469" s="201"/>
      <c r="F9469" s="202"/>
      <c r="G9469" s="549"/>
      <c r="H9469" s="549"/>
      <c r="I9469" s="549"/>
      <c r="J9469" s="549"/>
      <c r="K9469" s="549"/>
      <c r="M9469" s="465"/>
      <c r="N9469" s="201"/>
    </row>
    <row r="9470" spans="2:14" hidden="1" outlineLevel="1" x14ac:dyDescent="0.35">
      <c r="B9470" s="200"/>
      <c r="C9470" s="201"/>
      <c r="D9470" s="201"/>
      <c r="E9470" s="201"/>
      <c r="F9470" s="202"/>
      <c r="G9470" s="549"/>
      <c r="H9470" s="549"/>
      <c r="I9470" s="549"/>
      <c r="J9470" s="549"/>
      <c r="K9470" s="549"/>
      <c r="M9470" s="465"/>
      <c r="N9470" s="201"/>
    </row>
    <row r="9471" spans="2:14" hidden="1" outlineLevel="1" x14ac:dyDescent="0.35">
      <c r="B9471" s="200"/>
      <c r="C9471" s="201"/>
      <c r="D9471" s="201"/>
      <c r="E9471" s="201"/>
      <c r="F9471" s="202"/>
      <c r="G9471" s="549"/>
      <c r="H9471" s="549"/>
      <c r="I9471" s="549"/>
      <c r="J9471" s="549"/>
      <c r="K9471" s="549"/>
      <c r="M9471" s="465"/>
      <c r="N9471" s="201"/>
    </row>
    <row r="9472" spans="2:14" hidden="1" outlineLevel="1" x14ac:dyDescent="0.35">
      <c r="B9472" s="200"/>
      <c r="C9472" s="201"/>
      <c r="D9472" s="201"/>
      <c r="E9472" s="201"/>
      <c r="F9472" s="202"/>
      <c r="G9472" s="549"/>
      <c r="H9472" s="549"/>
      <c r="I9472" s="549"/>
      <c r="J9472" s="549"/>
      <c r="K9472" s="549"/>
      <c r="M9472" s="465"/>
      <c r="N9472" s="201"/>
    </row>
    <row r="9473" spans="2:14" hidden="1" outlineLevel="1" x14ac:dyDescent="0.35">
      <c r="B9473" s="200"/>
      <c r="C9473" s="201"/>
      <c r="D9473" s="201"/>
      <c r="E9473" s="201"/>
      <c r="F9473" s="202"/>
      <c r="G9473" s="549"/>
      <c r="H9473" s="549"/>
      <c r="I9473" s="549"/>
      <c r="J9473" s="549"/>
      <c r="K9473" s="549"/>
      <c r="M9473" s="465"/>
      <c r="N9473" s="201"/>
    </row>
    <row r="9474" spans="2:14" hidden="1" outlineLevel="1" x14ac:dyDescent="0.35">
      <c r="B9474" s="200"/>
      <c r="C9474" s="201"/>
      <c r="D9474" s="201"/>
      <c r="E9474" s="201"/>
      <c r="F9474" s="202"/>
      <c r="G9474" s="549"/>
      <c r="H9474" s="549"/>
      <c r="I9474" s="549"/>
      <c r="J9474" s="549"/>
      <c r="K9474" s="549"/>
      <c r="M9474" s="465"/>
      <c r="N9474" s="201"/>
    </row>
    <row r="9475" spans="2:14" hidden="1" outlineLevel="1" x14ac:dyDescent="0.35">
      <c r="B9475" s="200"/>
      <c r="C9475" s="201"/>
      <c r="D9475" s="201"/>
      <c r="E9475" s="201"/>
      <c r="F9475" s="202"/>
      <c r="G9475" s="549"/>
      <c r="H9475" s="549"/>
      <c r="I9475" s="549"/>
      <c r="J9475" s="549"/>
      <c r="K9475" s="549"/>
      <c r="M9475" s="465"/>
      <c r="N9475" s="201"/>
    </row>
    <row r="9476" spans="2:14" hidden="1" outlineLevel="1" x14ac:dyDescent="0.35">
      <c r="B9476" s="200"/>
      <c r="C9476" s="201"/>
      <c r="D9476" s="201"/>
      <c r="E9476" s="201"/>
      <c r="F9476" s="202"/>
      <c r="G9476" s="549"/>
      <c r="H9476" s="549"/>
      <c r="I9476" s="549"/>
      <c r="J9476" s="549"/>
      <c r="K9476" s="549"/>
      <c r="M9476" s="465"/>
      <c r="N9476" s="201"/>
    </row>
    <row r="9477" spans="2:14" hidden="1" outlineLevel="1" x14ac:dyDescent="0.35">
      <c r="B9477" s="200"/>
      <c r="C9477" s="201"/>
      <c r="D9477" s="201"/>
      <c r="E9477" s="201"/>
      <c r="F9477" s="202"/>
      <c r="G9477" s="549"/>
      <c r="H9477" s="549"/>
      <c r="I9477" s="549"/>
      <c r="J9477" s="549"/>
      <c r="K9477" s="549"/>
      <c r="M9477" s="465"/>
      <c r="N9477" s="201"/>
    </row>
    <row r="9478" spans="2:14" hidden="1" outlineLevel="1" x14ac:dyDescent="0.35">
      <c r="B9478" s="200"/>
      <c r="C9478" s="201"/>
      <c r="D9478" s="201"/>
      <c r="E9478" s="201"/>
      <c r="F9478" s="202"/>
      <c r="G9478" s="549"/>
      <c r="H9478" s="549"/>
      <c r="I9478" s="549"/>
      <c r="J9478" s="549"/>
      <c r="K9478" s="549"/>
      <c r="M9478" s="465"/>
      <c r="N9478" s="201"/>
    </row>
    <row r="9479" spans="2:14" hidden="1" outlineLevel="1" x14ac:dyDescent="0.35">
      <c r="B9479" s="200"/>
      <c r="C9479" s="201"/>
      <c r="D9479" s="201"/>
      <c r="E9479" s="201"/>
      <c r="F9479" s="202"/>
      <c r="G9479" s="549"/>
      <c r="H9479" s="549"/>
      <c r="I9479" s="549"/>
      <c r="J9479" s="549"/>
      <c r="K9479" s="549"/>
      <c r="M9479" s="465"/>
      <c r="N9479" s="201"/>
    </row>
    <row r="9480" spans="2:14" hidden="1" outlineLevel="1" x14ac:dyDescent="0.35">
      <c r="B9480" s="200"/>
      <c r="C9480" s="201"/>
      <c r="D9480" s="201"/>
      <c r="E9480" s="201"/>
      <c r="F9480" s="202"/>
      <c r="G9480" s="549"/>
      <c r="H9480" s="549"/>
      <c r="I9480" s="549"/>
      <c r="J9480" s="549"/>
      <c r="K9480" s="549"/>
      <c r="M9480" s="465"/>
      <c r="N9480" s="201"/>
    </row>
    <row r="9481" spans="2:14" hidden="1" outlineLevel="1" x14ac:dyDescent="0.35">
      <c r="B9481" s="200"/>
      <c r="C9481" s="201"/>
      <c r="D9481" s="201"/>
      <c r="E9481" s="201"/>
      <c r="F9481" s="202"/>
      <c r="G9481" s="549"/>
      <c r="H9481" s="549"/>
      <c r="I9481" s="549"/>
      <c r="J9481" s="549"/>
      <c r="K9481" s="549"/>
      <c r="M9481" s="465"/>
      <c r="N9481" s="201"/>
    </row>
    <row r="9482" spans="2:14" hidden="1" outlineLevel="1" x14ac:dyDescent="0.35">
      <c r="B9482" s="200"/>
      <c r="C9482" s="201"/>
      <c r="D9482" s="201"/>
      <c r="E9482" s="201"/>
      <c r="F9482" s="202"/>
      <c r="G9482" s="549"/>
      <c r="H9482" s="549"/>
      <c r="I9482" s="549"/>
      <c r="J9482" s="549"/>
      <c r="K9482" s="549"/>
      <c r="M9482" s="465"/>
      <c r="N9482" s="201"/>
    </row>
    <row r="9483" spans="2:14" hidden="1" outlineLevel="1" x14ac:dyDescent="0.35">
      <c r="B9483" s="200"/>
      <c r="C9483" s="201"/>
      <c r="D9483" s="201"/>
      <c r="E9483" s="201"/>
      <c r="F9483" s="202"/>
      <c r="G9483" s="549"/>
      <c r="H9483" s="549"/>
      <c r="I9483" s="549"/>
      <c r="J9483" s="549"/>
      <c r="K9483" s="549"/>
      <c r="M9483" s="465"/>
      <c r="N9483" s="201"/>
    </row>
    <row r="9484" spans="2:14" hidden="1" outlineLevel="1" x14ac:dyDescent="0.35">
      <c r="B9484" s="200"/>
      <c r="C9484" s="201"/>
      <c r="D9484" s="201"/>
      <c r="E9484" s="201"/>
      <c r="F9484" s="202"/>
      <c r="G9484" s="549"/>
      <c r="H9484" s="549"/>
      <c r="I9484" s="549"/>
      <c r="J9484" s="549"/>
      <c r="K9484" s="549"/>
      <c r="M9484" s="465"/>
      <c r="N9484" s="201"/>
    </row>
    <row r="9485" spans="2:14" hidden="1" outlineLevel="1" x14ac:dyDescent="0.35">
      <c r="B9485" s="200"/>
      <c r="C9485" s="201"/>
      <c r="D9485" s="201"/>
      <c r="E9485" s="201"/>
      <c r="F9485" s="202"/>
      <c r="G9485" s="549"/>
      <c r="H9485" s="549"/>
      <c r="I9485" s="549"/>
      <c r="J9485" s="549"/>
      <c r="K9485" s="549"/>
      <c r="M9485" s="465"/>
      <c r="N9485" s="201"/>
    </row>
    <row r="9486" spans="2:14" hidden="1" outlineLevel="1" x14ac:dyDescent="0.35">
      <c r="B9486" s="200"/>
      <c r="C9486" s="201"/>
      <c r="D9486" s="201"/>
      <c r="E9486" s="201"/>
      <c r="F9486" s="202"/>
      <c r="G9486" s="549"/>
      <c r="H9486" s="549"/>
      <c r="I9486" s="549"/>
      <c r="J9486" s="549"/>
      <c r="K9486" s="549"/>
      <c r="M9486" s="465"/>
      <c r="N9486" s="201"/>
    </row>
    <row r="9487" spans="2:14" hidden="1" outlineLevel="1" x14ac:dyDescent="0.35">
      <c r="B9487" s="200"/>
      <c r="C9487" s="201"/>
      <c r="D9487" s="201"/>
      <c r="E9487" s="201"/>
      <c r="F9487" s="202"/>
      <c r="G9487" s="549"/>
      <c r="H9487" s="549"/>
      <c r="I9487" s="549"/>
      <c r="J9487" s="549"/>
      <c r="K9487" s="549"/>
      <c r="M9487" s="465"/>
      <c r="N9487" s="201"/>
    </row>
    <row r="9488" spans="2:14" hidden="1" outlineLevel="1" x14ac:dyDescent="0.35">
      <c r="B9488" s="200"/>
      <c r="C9488" s="201"/>
      <c r="D9488" s="201"/>
      <c r="E9488" s="201"/>
      <c r="F9488" s="202"/>
      <c r="G9488" s="549"/>
      <c r="H9488" s="549"/>
      <c r="I9488" s="549"/>
      <c r="J9488" s="549"/>
      <c r="K9488" s="549"/>
      <c r="M9488" s="465"/>
      <c r="N9488" s="201"/>
    </row>
    <row r="9489" spans="2:14" hidden="1" outlineLevel="1" x14ac:dyDescent="0.35">
      <c r="B9489" s="200"/>
      <c r="C9489" s="201"/>
      <c r="D9489" s="201"/>
      <c r="E9489" s="201"/>
      <c r="F9489" s="202"/>
      <c r="G9489" s="549"/>
      <c r="H9489" s="549"/>
      <c r="I9489" s="549"/>
      <c r="J9489" s="549"/>
      <c r="K9489" s="549"/>
      <c r="M9489" s="465"/>
      <c r="N9489" s="201"/>
    </row>
    <row r="9490" spans="2:14" hidden="1" outlineLevel="1" x14ac:dyDescent="0.35">
      <c r="B9490" s="200"/>
      <c r="C9490" s="201"/>
      <c r="D9490" s="201"/>
      <c r="E9490" s="201"/>
      <c r="F9490" s="202"/>
      <c r="G9490" s="549"/>
      <c r="H9490" s="549"/>
      <c r="I9490" s="549"/>
      <c r="J9490" s="549"/>
      <c r="K9490" s="549"/>
      <c r="M9490" s="465"/>
      <c r="N9490" s="201"/>
    </row>
    <row r="9491" spans="2:14" hidden="1" outlineLevel="1" x14ac:dyDescent="0.35">
      <c r="B9491" s="200"/>
      <c r="C9491" s="201"/>
      <c r="D9491" s="201"/>
      <c r="E9491" s="201"/>
      <c r="F9491" s="202"/>
      <c r="G9491" s="549"/>
      <c r="H9491" s="549"/>
      <c r="I9491" s="549"/>
      <c r="J9491" s="549"/>
      <c r="K9491" s="549"/>
      <c r="M9491" s="465"/>
      <c r="N9491" s="201"/>
    </row>
    <row r="9492" spans="2:14" hidden="1" outlineLevel="1" x14ac:dyDescent="0.35">
      <c r="B9492" s="200"/>
      <c r="C9492" s="201"/>
      <c r="D9492" s="201"/>
      <c r="E9492" s="201"/>
      <c r="F9492" s="202"/>
      <c r="G9492" s="549"/>
      <c r="H9492" s="549"/>
      <c r="I9492" s="549"/>
      <c r="J9492" s="549"/>
      <c r="K9492" s="549"/>
      <c r="M9492" s="465"/>
      <c r="N9492" s="201"/>
    </row>
    <row r="9493" spans="2:14" hidden="1" outlineLevel="1" x14ac:dyDescent="0.35">
      <c r="B9493" s="200"/>
      <c r="C9493" s="201"/>
      <c r="D9493" s="201"/>
      <c r="E9493" s="201"/>
      <c r="F9493" s="202"/>
      <c r="G9493" s="549"/>
      <c r="H9493" s="549"/>
      <c r="I9493" s="549"/>
      <c r="J9493" s="549"/>
      <c r="K9493" s="549"/>
      <c r="M9493" s="465"/>
      <c r="N9493" s="201"/>
    </row>
    <row r="9494" spans="2:14" hidden="1" outlineLevel="1" x14ac:dyDescent="0.35">
      <c r="B9494" s="200"/>
      <c r="C9494" s="201"/>
      <c r="D9494" s="201"/>
      <c r="E9494" s="201"/>
      <c r="F9494" s="202"/>
      <c r="G9494" s="549"/>
      <c r="H9494" s="549"/>
      <c r="I9494" s="549"/>
      <c r="J9494" s="549"/>
      <c r="K9494" s="549"/>
      <c r="M9494" s="465"/>
      <c r="N9494" s="201"/>
    </row>
    <row r="9495" spans="2:14" hidden="1" outlineLevel="1" x14ac:dyDescent="0.35">
      <c r="B9495" s="200"/>
      <c r="C9495" s="201"/>
      <c r="D9495" s="201"/>
      <c r="E9495" s="201"/>
      <c r="F9495" s="202"/>
      <c r="G9495" s="549"/>
      <c r="H9495" s="549"/>
      <c r="I9495" s="549"/>
      <c r="J9495" s="549"/>
      <c r="K9495" s="549"/>
      <c r="M9495" s="465"/>
      <c r="N9495" s="201"/>
    </row>
    <row r="9496" spans="2:14" hidden="1" outlineLevel="1" x14ac:dyDescent="0.35">
      <c r="B9496" s="200"/>
      <c r="C9496" s="201"/>
      <c r="D9496" s="201"/>
      <c r="E9496" s="201"/>
      <c r="F9496" s="202"/>
      <c r="G9496" s="549"/>
      <c r="H9496" s="549"/>
      <c r="I9496" s="549"/>
      <c r="J9496" s="549"/>
      <c r="K9496" s="549"/>
      <c r="M9496" s="465"/>
      <c r="N9496" s="201"/>
    </row>
    <row r="9497" spans="2:14" hidden="1" outlineLevel="1" x14ac:dyDescent="0.35">
      <c r="B9497" s="200"/>
      <c r="C9497" s="201"/>
      <c r="D9497" s="201"/>
      <c r="E9497" s="201"/>
      <c r="F9497" s="202"/>
      <c r="G9497" s="549"/>
      <c r="H9497" s="549"/>
      <c r="I9497" s="549"/>
      <c r="J9497" s="549"/>
      <c r="K9497" s="549"/>
      <c r="M9497" s="465"/>
      <c r="N9497" s="201"/>
    </row>
    <row r="9498" spans="2:14" hidden="1" outlineLevel="1" x14ac:dyDescent="0.35">
      <c r="B9498" s="200"/>
      <c r="C9498" s="201"/>
      <c r="D9498" s="201"/>
      <c r="E9498" s="201"/>
      <c r="F9498" s="202"/>
      <c r="G9498" s="549"/>
      <c r="H9498" s="549"/>
      <c r="I9498" s="549"/>
      <c r="J9498" s="549"/>
      <c r="K9498" s="549"/>
      <c r="M9498" s="465"/>
      <c r="N9498" s="201"/>
    </row>
    <row r="9499" spans="2:14" hidden="1" outlineLevel="1" x14ac:dyDescent="0.35">
      <c r="B9499" s="200"/>
      <c r="C9499" s="201"/>
      <c r="D9499" s="201"/>
      <c r="E9499" s="201"/>
      <c r="F9499" s="202"/>
      <c r="G9499" s="549"/>
      <c r="H9499" s="549"/>
      <c r="I9499" s="549"/>
      <c r="J9499" s="549"/>
      <c r="K9499" s="549"/>
      <c r="M9499" s="465"/>
      <c r="N9499" s="201"/>
    </row>
    <row r="9500" spans="2:14" hidden="1" outlineLevel="1" x14ac:dyDescent="0.35">
      <c r="B9500" s="200"/>
      <c r="C9500" s="201"/>
      <c r="D9500" s="201"/>
      <c r="E9500" s="201"/>
      <c r="F9500" s="202"/>
      <c r="G9500" s="549"/>
      <c r="H9500" s="549"/>
      <c r="I9500" s="549"/>
      <c r="J9500" s="549"/>
      <c r="K9500" s="549"/>
      <c r="M9500" s="465"/>
      <c r="N9500" s="201"/>
    </row>
    <row r="9501" spans="2:14" hidden="1" outlineLevel="1" x14ac:dyDescent="0.35">
      <c r="B9501" s="200"/>
      <c r="C9501" s="201"/>
      <c r="D9501" s="201"/>
      <c r="E9501" s="201"/>
      <c r="F9501" s="202"/>
      <c r="G9501" s="549"/>
      <c r="H9501" s="549"/>
      <c r="I9501" s="549"/>
      <c r="J9501" s="549"/>
      <c r="K9501" s="549"/>
      <c r="M9501" s="465"/>
      <c r="N9501" s="201"/>
    </row>
    <row r="9502" spans="2:14" hidden="1" outlineLevel="1" x14ac:dyDescent="0.35">
      <c r="B9502" s="200"/>
      <c r="C9502" s="201"/>
      <c r="D9502" s="201"/>
      <c r="E9502" s="201"/>
      <c r="F9502" s="202"/>
      <c r="G9502" s="549"/>
      <c r="H9502" s="549"/>
      <c r="I9502" s="549"/>
      <c r="J9502" s="549"/>
      <c r="K9502" s="549"/>
      <c r="M9502" s="465"/>
      <c r="N9502" s="201"/>
    </row>
    <row r="9503" spans="2:14" hidden="1" outlineLevel="1" x14ac:dyDescent="0.35">
      <c r="B9503" s="200"/>
      <c r="C9503" s="201"/>
      <c r="D9503" s="201"/>
      <c r="E9503" s="201"/>
      <c r="F9503" s="202"/>
      <c r="G9503" s="549"/>
      <c r="H9503" s="549"/>
      <c r="I9503" s="549"/>
      <c r="J9503" s="549"/>
      <c r="K9503" s="549"/>
      <c r="M9503" s="465"/>
      <c r="N9503" s="201"/>
    </row>
    <row r="9504" spans="2:14" hidden="1" outlineLevel="1" x14ac:dyDescent="0.35">
      <c r="B9504" s="200"/>
      <c r="C9504" s="201"/>
      <c r="D9504" s="201"/>
      <c r="E9504" s="201"/>
      <c r="F9504" s="202"/>
      <c r="G9504" s="549"/>
      <c r="H9504" s="549"/>
      <c r="I9504" s="549"/>
      <c r="J9504" s="549"/>
      <c r="K9504" s="549"/>
      <c r="M9504" s="465"/>
      <c r="N9504" s="201"/>
    </row>
    <row r="9505" spans="2:14" hidden="1" outlineLevel="1" x14ac:dyDescent="0.35">
      <c r="B9505" s="200"/>
      <c r="C9505" s="201"/>
      <c r="D9505" s="201"/>
      <c r="E9505" s="201"/>
      <c r="F9505" s="202"/>
      <c r="G9505" s="549"/>
      <c r="H9505" s="549"/>
      <c r="I9505" s="549"/>
      <c r="J9505" s="549"/>
      <c r="K9505" s="549"/>
      <c r="M9505" s="465"/>
      <c r="N9505" s="201"/>
    </row>
    <row r="9506" spans="2:14" hidden="1" outlineLevel="1" x14ac:dyDescent="0.35">
      <c r="B9506" s="200"/>
      <c r="C9506" s="201"/>
      <c r="D9506" s="201"/>
      <c r="E9506" s="201"/>
      <c r="F9506" s="202"/>
      <c r="G9506" s="549"/>
      <c r="H9506" s="549"/>
      <c r="I9506" s="549"/>
      <c r="J9506" s="549"/>
      <c r="K9506" s="549"/>
      <c r="M9506" s="465"/>
      <c r="N9506" s="201"/>
    </row>
    <row r="9507" spans="2:14" hidden="1" outlineLevel="1" x14ac:dyDescent="0.35">
      <c r="B9507" s="200"/>
      <c r="C9507" s="201"/>
      <c r="D9507" s="201"/>
      <c r="E9507" s="201"/>
      <c r="F9507" s="202"/>
      <c r="G9507" s="549"/>
      <c r="H9507" s="549"/>
      <c r="I9507" s="549"/>
      <c r="J9507" s="549"/>
      <c r="K9507" s="549"/>
      <c r="M9507" s="465"/>
      <c r="N9507" s="201"/>
    </row>
    <row r="9508" spans="2:14" hidden="1" outlineLevel="1" x14ac:dyDescent="0.35">
      <c r="B9508" s="200"/>
      <c r="C9508" s="201"/>
      <c r="D9508" s="201"/>
      <c r="E9508" s="201"/>
      <c r="F9508" s="202"/>
      <c r="G9508" s="549"/>
      <c r="H9508" s="549"/>
      <c r="I9508" s="549"/>
      <c r="J9508" s="549"/>
      <c r="K9508" s="549"/>
      <c r="M9508" s="465"/>
      <c r="N9508" s="201"/>
    </row>
    <row r="9509" spans="2:14" hidden="1" outlineLevel="1" x14ac:dyDescent="0.35">
      <c r="B9509" s="200"/>
      <c r="C9509" s="201"/>
      <c r="D9509" s="201"/>
      <c r="E9509" s="201"/>
      <c r="F9509" s="202"/>
      <c r="G9509" s="549"/>
      <c r="H9509" s="549"/>
      <c r="I9509" s="549"/>
      <c r="J9509" s="549"/>
      <c r="K9509" s="549"/>
      <c r="M9509" s="465"/>
      <c r="N9509" s="201"/>
    </row>
    <row r="9510" spans="2:14" hidden="1" outlineLevel="1" x14ac:dyDescent="0.35">
      <c r="B9510" s="200"/>
      <c r="C9510" s="201"/>
      <c r="D9510" s="201"/>
      <c r="E9510" s="201"/>
      <c r="F9510" s="202"/>
      <c r="G9510" s="549"/>
      <c r="H9510" s="549"/>
      <c r="I9510" s="549"/>
      <c r="J9510" s="549"/>
      <c r="K9510" s="549"/>
      <c r="M9510" s="465"/>
      <c r="N9510" s="201"/>
    </row>
    <row r="9511" spans="2:14" hidden="1" outlineLevel="1" x14ac:dyDescent="0.35">
      <c r="B9511" s="200"/>
      <c r="C9511" s="201"/>
      <c r="D9511" s="201"/>
      <c r="E9511" s="201"/>
      <c r="F9511" s="202"/>
      <c r="G9511" s="549"/>
      <c r="H9511" s="549"/>
      <c r="I9511" s="549"/>
      <c r="J9511" s="549"/>
      <c r="K9511" s="549"/>
      <c r="M9511" s="465"/>
      <c r="N9511" s="201"/>
    </row>
    <row r="9512" spans="2:14" hidden="1" outlineLevel="1" x14ac:dyDescent="0.35">
      <c r="B9512" s="200"/>
      <c r="C9512" s="201"/>
      <c r="D9512" s="201"/>
      <c r="E9512" s="201"/>
      <c r="F9512" s="202"/>
      <c r="G9512" s="549"/>
      <c r="H9512" s="549"/>
      <c r="I9512" s="549"/>
      <c r="J9512" s="549"/>
      <c r="K9512" s="549"/>
      <c r="M9512" s="465"/>
      <c r="N9512" s="201"/>
    </row>
    <row r="9513" spans="2:14" hidden="1" outlineLevel="1" x14ac:dyDescent="0.35">
      <c r="B9513" s="200"/>
      <c r="C9513" s="201"/>
      <c r="D9513" s="201"/>
      <c r="E9513" s="201"/>
      <c r="F9513" s="202"/>
      <c r="G9513" s="549"/>
      <c r="H9513" s="549"/>
      <c r="I9513" s="549"/>
      <c r="J9513" s="549"/>
      <c r="K9513" s="549"/>
      <c r="M9513" s="465"/>
      <c r="N9513" s="201"/>
    </row>
    <row r="9514" spans="2:14" hidden="1" outlineLevel="1" x14ac:dyDescent="0.35">
      <c r="B9514" s="200"/>
      <c r="C9514" s="201"/>
      <c r="D9514" s="201"/>
      <c r="E9514" s="201"/>
      <c r="F9514" s="202"/>
      <c r="G9514" s="549"/>
      <c r="H9514" s="549"/>
      <c r="I9514" s="549"/>
      <c r="J9514" s="549"/>
      <c r="K9514" s="549"/>
      <c r="M9514" s="465"/>
      <c r="N9514" s="201"/>
    </row>
    <row r="9515" spans="2:14" hidden="1" outlineLevel="1" x14ac:dyDescent="0.35">
      <c r="B9515" s="200"/>
      <c r="C9515" s="201"/>
      <c r="D9515" s="201"/>
      <c r="E9515" s="201"/>
      <c r="F9515" s="202"/>
      <c r="G9515" s="549"/>
      <c r="H9515" s="549"/>
      <c r="I9515" s="549"/>
      <c r="J9515" s="549"/>
      <c r="K9515" s="549"/>
      <c r="M9515" s="465"/>
      <c r="N9515" s="201"/>
    </row>
    <row r="9516" spans="2:14" hidden="1" outlineLevel="1" x14ac:dyDescent="0.35">
      <c r="B9516" s="200"/>
      <c r="C9516" s="201"/>
      <c r="D9516" s="201"/>
      <c r="E9516" s="201"/>
      <c r="F9516" s="202"/>
      <c r="G9516" s="549"/>
      <c r="H9516" s="549"/>
      <c r="I9516" s="549"/>
      <c r="J9516" s="549"/>
      <c r="K9516" s="549"/>
      <c r="M9516" s="465"/>
      <c r="N9516" s="201"/>
    </row>
    <row r="9517" spans="2:14" hidden="1" outlineLevel="1" x14ac:dyDescent="0.35">
      <c r="B9517" s="200"/>
      <c r="C9517" s="201"/>
      <c r="D9517" s="201"/>
      <c r="E9517" s="201"/>
      <c r="F9517" s="202"/>
      <c r="G9517" s="549"/>
      <c r="H9517" s="549"/>
      <c r="I9517" s="549"/>
      <c r="J9517" s="549"/>
      <c r="K9517" s="549"/>
      <c r="M9517" s="465"/>
      <c r="N9517" s="201"/>
    </row>
    <row r="9518" spans="2:14" hidden="1" outlineLevel="1" x14ac:dyDescent="0.35">
      <c r="B9518" s="200"/>
      <c r="C9518" s="201"/>
      <c r="D9518" s="201"/>
      <c r="E9518" s="201"/>
      <c r="F9518" s="202"/>
      <c r="G9518" s="549"/>
      <c r="H9518" s="549"/>
      <c r="I9518" s="549"/>
      <c r="J9518" s="549"/>
      <c r="K9518" s="549"/>
      <c r="M9518" s="465"/>
      <c r="N9518" s="201"/>
    </row>
    <row r="9519" spans="2:14" hidden="1" outlineLevel="1" x14ac:dyDescent="0.35">
      <c r="B9519" s="200"/>
      <c r="C9519" s="201"/>
      <c r="D9519" s="201"/>
      <c r="E9519" s="201"/>
      <c r="F9519" s="202"/>
      <c r="G9519" s="549"/>
      <c r="H9519" s="549"/>
      <c r="I9519" s="549"/>
      <c r="J9519" s="549"/>
      <c r="K9519" s="549"/>
      <c r="M9519" s="465"/>
      <c r="N9519" s="201"/>
    </row>
    <row r="9520" spans="2:14" hidden="1" outlineLevel="1" x14ac:dyDescent="0.35">
      <c r="B9520" s="200"/>
      <c r="C9520" s="201"/>
      <c r="D9520" s="201"/>
      <c r="E9520" s="201"/>
      <c r="F9520" s="202"/>
      <c r="G9520" s="549"/>
      <c r="H9520" s="549"/>
      <c r="I9520" s="549"/>
      <c r="J9520" s="549"/>
      <c r="K9520" s="549"/>
      <c r="M9520" s="465"/>
      <c r="N9520" s="201"/>
    </row>
    <row r="9521" spans="2:14" hidden="1" outlineLevel="1" x14ac:dyDescent="0.35">
      <c r="B9521" s="200"/>
      <c r="C9521" s="201"/>
      <c r="D9521" s="201"/>
      <c r="E9521" s="201"/>
      <c r="F9521" s="202"/>
      <c r="G9521" s="549"/>
      <c r="H9521" s="549"/>
      <c r="I9521" s="549"/>
      <c r="J9521" s="549"/>
      <c r="K9521" s="549"/>
      <c r="M9521" s="465"/>
      <c r="N9521" s="201"/>
    </row>
    <row r="9522" spans="2:14" hidden="1" outlineLevel="1" x14ac:dyDescent="0.35">
      <c r="B9522" s="200"/>
      <c r="C9522" s="201"/>
      <c r="D9522" s="201"/>
      <c r="E9522" s="201"/>
      <c r="F9522" s="202"/>
      <c r="G9522" s="549"/>
      <c r="H9522" s="549"/>
      <c r="I9522" s="549"/>
      <c r="J9522" s="549"/>
      <c r="K9522" s="549"/>
      <c r="M9522" s="465"/>
      <c r="N9522" s="201"/>
    </row>
    <row r="9523" spans="2:14" hidden="1" outlineLevel="1" x14ac:dyDescent="0.35">
      <c r="B9523" s="200"/>
      <c r="C9523" s="201"/>
      <c r="D9523" s="201"/>
      <c r="E9523" s="201"/>
      <c r="F9523" s="202"/>
      <c r="G9523" s="549"/>
      <c r="H9523" s="549"/>
      <c r="I9523" s="549"/>
      <c r="J9523" s="549"/>
      <c r="K9523" s="549"/>
      <c r="M9523" s="465"/>
      <c r="N9523" s="201"/>
    </row>
    <row r="9524" spans="2:14" hidden="1" outlineLevel="1" x14ac:dyDescent="0.35">
      <c r="B9524" s="200"/>
      <c r="C9524" s="201"/>
      <c r="D9524" s="201"/>
      <c r="E9524" s="201"/>
      <c r="F9524" s="202"/>
      <c r="G9524" s="549"/>
      <c r="H9524" s="549"/>
      <c r="I9524" s="549"/>
      <c r="J9524" s="549"/>
      <c r="K9524" s="549"/>
      <c r="M9524" s="465"/>
      <c r="N9524" s="201"/>
    </row>
    <row r="9525" spans="2:14" hidden="1" outlineLevel="1" x14ac:dyDescent="0.35">
      <c r="B9525" s="200"/>
      <c r="C9525" s="201"/>
      <c r="D9525" s="201"/>
      <c r="E9525" s="201"/>
      <c r="F9525" s="202"/>
      <c r="G9525" s="549"/>
      <c r="H9525" s="549"/>
      <c r="I9525" s="549"/>
      <c r="J9525" s="549"/>
      <c r="K9525" s="549"/>
      <c r="M9525" s="465"/>
      <c r="N9525" s="201"/>
    </row>
    <row r="9526" spans="2:14" hidden="1" outlineLevel="1" x14ac:dyDescent="0.35">
      <c r="B9526" s="200"/>
      <c r="C9526" s="201"/>
      <c r="D9526" s="201"/>
      <c r="E9526" s="201"/>
      <c r="F9526" s="202"/>
      <c r="G9526" s="549"/>
      <c r="H9526" s="549"/>
      <c r="I9526" s="549"/>
      <c r="J9526" s="549"/>
      <c r="K9526" s="549"/>
      <c r="M9526" s="465"/>
      <c r="N9526" s="201"/>
    </row>
    <row r="9527" spans="2:14" hidden="1" outlineLevel="1" x14ac:dyDescent="0.35">
      <c r="B9527" s="200"/>
      <c r="C9527" s="201"/>
      <c r="D9527" s="201"/>
      <c r="E9527" s="201"/>
      <c r="F9527" s="202"/>
      <c r="G9527" s="549"/>
      <c r="H9527" s="549"/>
      <c r="I9527" s="549"/>
      <c r="J9527" s="549"/>
      <c r="K9527" s="549"/>
      <c r="M9527" s="465"/>
      <c r="N9527" s="201"/>
    </row>
    <row r="9528" spans="2:14" hidden="1" outlineLevel="1" x14ac:dyDescent="0.35">
      <c r="B9528" s="200"/>
      <c r="C9528" s="201"/>
      <c r="D9528" s="201"/>
      <c r="E9528" s="201"/>
      <c r="F9528" s="202"/>
      <c r="G9528" s="549"/>
      <c r="H9528" s="549"/>
      <c r="I9528" s="549"/>
      <c r="J9528" s="549"/>
      <c r="K9528" s="549"/>
      <c r="M9528" s="465"/>
      <c r="N9528" s="201"/>
    </row>
    <row r="9529" spans="2:14" hidden="1" outlineLevel="1" x14ac:dyDescent="0.35">
      <c r="B9529" s="200"/>
      <c r="C9529" s="201"/>
      <c r="D9529" s="201"/>
      <c r="E9529" s="201"/>
      <c r="F9529" s="202"/>
      <c r="G9529" s="549"/>
      <c r="H9529" s="549"/>
      <c r="I9529" s="549"/>
      <c r="J9529" s="549"/>
      <c r="K9529" s="549"/>
      <c r="M9529" s="465"/>
      <c r="N9529" s="201"/>
    </row>
    <row r="9530" spans="2:14" hidden="1" outlineLevel="1" x14ac:dyDescent="0.35">
      <c r="B9530" s="200"/>
      <c r="C9530" s="201"/>
      <c r="D9530" s="201"/>
      <c r="E9530" s="201"/>
      <c r="F9530" s="202"/>
      <c r="G9530" s="549"/>
      <c r="H9530" s="549"/>
      <c r="I9530" s="549"/>
      <c r="J9530" s="549"/>
      <c r="K9530" s="549"/>
      <c r="M9530" s="465"/>
      <c r="N9530" s="201"/>
    </row>
    <row r="9531" spans="2:14" hidden="1" outlineLevel="1" x14ac:dyDescent="0.35">
      <c r="B9531" s="200"/>
      <c r="C9531" s="201"/>
      <c r="D9531" s="201"/>
      <c r="E9531" s="201"/>
      <c r="F9531" s="202"/>
      <c r="G9531" s="549"/>
      <c r="H9531" s="549"/>
      <c r="I9531" s="549"/>
      <c r="J9531" s="549"/>
      <c r="K9531" s="549"/>
      <c r="M9531" s="465"/>
      <c r="N9531" s="201"/>
    </row>
    <row r="9532" spans="2:14" hidden="1" outlineLevel="1" x14ac:dyDescent="0.35">
      <c r="B9532" s="200"/>
      <c r="C9532" s="201"/>
      <c r="D9532" s="201"/>
      <c r="E9532" s="201"/>
      <c r="F9532" s="202"/>
      <c r="G9532" s="549"/>
      <c r="H9532" s="549"/>
      <c r="I9532" s="549"/>
      <c r="J9532" s="549"/>
      <c r="K9532" s="549"/>
      <c r="M9532" s="465"/>
      <c r="N9532" s="201"/>
    </row>
    <row r="9533" spans="2:14" hidden="1" outlineLevel="1" x14ac:dyDescent="0.35">
      <c r="B9533" s="200"/>
      <c r="C9533" s="201"/>
      <c r="D9533" s="201"/>
      <c r="E9533" s="201"/>
      <c r="F9533" s="202"/>
      <c r="G9533" s="549"/>
      <c r="H9533" s="549"/>
      <c r="I9533" s="549"/>
      <c r="J9533" s="549"/>
      <c r="K9533" s="549"/>
      <c r="M9533" s="465"/>
      <c r="N9533" s="201"/>
    </row>
    <row r="9534" spans="2:14" hidden="1" outlineLevel="1" x14ac:dyDescent="0.35">
      <c r="B9534" s="200"/>
      <c r="C9534" s="201"/>
      <c r="D9534" s="201"/>
      <c r="E9534" s="201"/>
      <c r="F9534" s="202"/>
      <c r="G9534" s="549"/>
      <c r="H9534" s="549"/>
      <c r="I9534" s="549"/>
      <c r="J9534" s="549"/>
      <c r="K9534" s="549"/>
      <c r="M9534" s="465"/>
      <c r="N9534" s="201"/>
    </row>
    <row r="9535" spans="2:14" hidden="1" outlineLevel="1" x14ac:dyDescent="0.35">
      <c r="B9535" s="200"/>
      <c r="C9535" s="201"/>
      <c r="D9535" s="201"/>
      <c r="E9535" s="201"/>
      <c r="F9535" s="202"/>
      <c r="G9535" s="549"/>
      <c r="H9535" s="549"/>
      <c r="I9535" s="549"/>
      <c r="J9535" s="549"/>
      <c r="K9535" s="549"/>
      <c r="M9535" s="465"/>
      <c r="N9535" s="201"/>
    </row>
    <row r="9536" spans="2:14" hidden="1" outlineLevel="1" x14ac:dyDescent="0.35">
      <c r="B9536" s="200"/>
      <c r="C9536" s="201"/>
      <c r="D9536" s="201"/>
      <c r="E9536" s="201"/>
      <c r="F9536" s="202"/>
      <c r="G9536" s="549"/>
      <c r="H9536" s="549"/>
      <c r="I9536" s="549"/>
      <c r="J9536" s="549"/>
      <c r="K9536" s="549"/>
      <c r="M9536" s="465"/>
      <c r="N9536" s="201"/>
    </row>
    <row r="9537" spans="2:14" hidden="1" outlineLevel="1" x14ac:dyDescent="0.35">
      <c r="B9537" s="200"/>
      <c r="C9537" s="201"/>
      <c r="D9537" s="201"/>
      <c r="E9537" s="201"/>
      <c r="F9537" s="202"/>
      <c r="G9537" s="549"/>
      <c r="H9537" s="549"/>
      <c r="I9537" s="549"/>
      <c r="J9537" s="549"/>
      <c r="K9537" s="549"/>
      <c r="M9537" s="465"/>
      <c r="N9537" s="201"/>
    </row>
    <row r="9538" spans="2:14" hidden="1" outlineLevel="1" x14ac:dyDescent="0.35">
      <c r="B9538" s="200"/>
      <c r="C9538" s="201"/>
      <c r="D9538" s="201"/>
      <c r="E9538" s="201"/>
      <c r="F9538" s="202"/>
      <c r="G9538" s="549"/>
      <c r="H9538" s="549"/>
      <c r="I9538" s="549"/>
      <c r="J9538" s="549"/>
      <c r="K9538" s="549"/>
      <c r="M9538" s="465"/>
      <c r="N9538" s="201"/>
    </row>
    <row r="9539" spans="2:14" hidden="1" outlineLevel="1" x14ac:dyDescent="0.35">
      <c r="B9539" s="200"/>
      <c r="C9539" s="201"/>
      <c r="D9539" s="201"/>
      <c r="E9539" s="201"/>
      <c r="F9539" s="202"/>
      <c r="G9539" s="549"/>
      <c r="H9539" s="549"/>
      <c r="I9539" s="549"/>
      <c r="J9539" s="549"/>
      <c r="K9539" s="549"/>
      <c r="M9539" s="465"/>
      <c r="N9539" s="201"/>
    </row>
    <row r="9540" spans="2:14" hidden="1" outlineLevel="1" x14ac:dyDescent="0.35">
      <c r="B9540" s="200"/>
      <c r="C9540" s="201"/>
      <c r="D9540" s="201"/>
      <c r="E9540" s="201"/>
      <c r="F9540" s="202"/>
      <c r="G9540" s="549"/>
      <c r="H9540" s="549"/>
      <c r="I9540" s="549"/>
      <c r="J9540" s="549"/>
      <c r="K9540" s="549"/>
      <c r="M9540" s="465"/>
      <c r="N9540" s="201"/>
    </row>
    <row r="9541" spans="2:14" hidden="1" outlineLevel="1" x14ac:dyDescent="0.35">
      <c r="B9541" s="200"/>
      <c r="C9541" s="201"/>
      <c r="D9541" s="201"/>
      <c r="E9541" s="201"/>
      <c r="F9541" s="202"/>
      <c r="G9541" s="549"/>
      <c r="H9541" s="549"/>
      <c r="I9541" s="549"/>
      <c r="J9541" s="549"/>
      <c r="K9541" s="549"/>
      <c r="M9541" s="465"/>
      <c r="N9541" s="201"/>
    </row>
    <row r="9542" spans="2:14" hidden="1" outlineLevel="1" x14ac:dyDescent="0.35">
      <c r="B9542" s="200"/>
      <c r="C9542" s="201"/>
      <c r="D9542" s="201"/>
      <c r="E9542" s="201"/>
      <c r="F9542" s="202"/>
      <c r="G9542" s="549"/>
      <c r="H9542" s="549"/>
      <c r="I9542" s="549"/>
      <c r="J9542" s="549"/>
      <c r="K9542" s="549"/>
      <c r="M9542" s="465"/>
      <c r="N9542" s="201"/>
    </row>
    <row r="9543" spans="2:14" hidden="1" outlineLevel="1" x14ac:dyDescent="0.35">
      <c r="B9543" s="200"/>
      <c r="C9543" s="201"/>
      <c r="D9543" s="201"/>
      <c r="E9543" s="201"/>
      <c r="F9543" s="202"/>
      <c r="G9543" s="549"/>
      <c r="H9543" s="549"/>
      <c r="I9543" s="549"/>
      <c r="J9543" s="549"/>
      <c r="K9543" s="549"/>
      <c r="M9543" s="465"/>
      <c r="N9543" s="201"/>
    </row>
    <row r="9544" spans="2:14" hidden="1" outlineLevel="1" x14ac:dyDescent="0.35">
      <c r="B9544" s="200"/>
      <c r="C9544" s="201"/>
      <c r="D9544" s="201"/>
      <c r="E9544" s="201"/>
      <c r="F9544" s="202"/>
      <c r="G9544" s="549"/>
      <c r="H9544" s="549"/>
      <c r="I9544" s="549"/>
      <c r="J9544" s="549"/>
      <c r="K9544" s="549"/>
      <c r="M9544" s="465"/>
      <c r="N9544" s="201"/>
    </row>
    <row r="9545" spans="2:14" hidden="1" outlineLevel="1" x14ac:dyDescent="0.35">
      <c r="B9545" s="200"/>
      <c r="C9545" s="201"/>
      <c r="D9545" s="201"/>
      <c r="E9545" s="201"/>
      <c r="F9545" s="202"/>
      <c r="G9545" s="549"/>
      <c r="H9545" s="549"/>
      <c r="I9545" s="549"/>
      <c r="J9545" s="549"/>
      <c r="K9545" s="549"/>
      <c r="M9545" s="465"/>
      <c r="N9545" s="201"/>
    </row>
    <row r="9546" spans="2:14" hidden="1" outlineLevel="1" x14ac:dyDescent="0.35">
      <c r="B9546" s="200"/>
      <c r="C9546" s="201"/>
      <c r="D9546" s="201"/>
      <c r="E9546" s="201"/>
      <c r="F9546" s="202"/>
      <c r="G9546" s="549"/>
      <c r="H9546" s="549"/>
      <c r="I9546" s="549"/>
      <c r="J9546" s="549"/>
      <c r="K9546" s="549"/>
      <c r="M9546" s="465"/>
      <c r="N9546" s="201"/>
    </row>
    <row r="9547" spans="2:14" hidden="1" outlineLevel="1" x14ac:dyDescent="0.35">
      <c r="B9547" s="200"/>
      <c r="C9547" s="201"/>
      <c r="D9547" s="201"/>
      <c r="E9547" s="201"/>
      <c r="F9547" s="202"/>
      <c r="G9547" s="549"/>
      <c r="H9547" s="549"/>
      <c r="I9547" s="549"/>
      <c r="J9547" s="549"/>
      <c r="K9547" s="549"/>
      <c r="M9547" s="465"/>
      <c r="N9547" s="201"/>
    </row>
    <row r="9548" spans="2:14" hidden="1" outlineLevel="1" x14ac:dyDescent="0.35">
      <c r="B9548" s="200"/>
      <c r="C9548" s="201"/>
      <c r="D9548" s="201"/>
      <c r="E9548" s="201"/>
      <c r="F9548" s="202"/>
      <c r="G9548" s="549"/>
      <c r="H9548" s="549"/>
      <c r="I9548" s="549"/>
      <c r="J9548" s="549"/>
      <c r="K9548" s="549"/>
      <c r="M9548" s="465"/>
      <c r="N9548" s="201"/>
    </row>
    <row r="9549" spans="2:14" hidden="1" outlineLevel="1" x14ac:dyDescent="0.35">
      <c r="B9549" s="200"/>
      <c r="C9549" s="201"/>
      <c r="D9549" s="201"/>
      <c r="E9549" s="201"/>
      <c r="F9549" s="202"/>
      <c r="G9549" s="549"/>
      <c r="H9549" s="549"/>
      <c r="I9549" s="549"/>
      <c r="J9549" s="549"/>
      <c r="K9549" s="549"/>
      <c r="M9549" s="465"/>
      <c r="N9549" s="201"/>
    </row>
    <row r="9550" spans="2:14" hidden="1" outlineLevel="1" x14ac:dyDescent="0.35">
      <c r="B9550" s="200"/>
      <c r="C9550" s="201"/>
      <c r="D9550" s="201"/>
      <c r="E9550" s="201"/>
      <c r="F9550" s="202"/>
      <c r="G9550" s="549"/>
      <c r="H9550" s="549"/>
      <c r="I9550" s="549"/>
      <c r="J9550" s="549"/>
      <c r="K9550" s="549"/>
      <c r="M9550" s="465"/>
      <c r="N9550" s="201"/>
    </row>
    <row r="9551" spans="2:14" hidden="1" outlineLevel="1" x14ac:dyDescent="0.35">
      <c r="B9551" s="200"/>
      <c r="C9551" s="201"/>
      <c r="D9551" s="201"/>
      <c r="E9551" s="201"/>
      <c r="F9551" s="202"/>
      <c r="G9551" s="549"/>
      <c r="H9551" s="549"/>
      <c r="I9551" s="549"/>
      <c r="J9551" s="549"/>
      <c r="K9551" s="549"/>
      <c r="M9551" s="465"/>
      <c r="N9551" s="201"/>
    </row>
    <row r="9552" spans="2:14" hidden="1" outlineLevel="1" x14ac:dyDescent="0.35">
      <c r="B9552" s="200"/>
      <c r="C9552" s="201"/>
      <c r="D9552" s="201"/>
      <c r="E9552" s="201"/>
      <c r="F9552" s="202"/>
      <c r="G9552" s="549"/>
      <c r="H9552" s="549"/>
      <c r="I9552" s="549"/>
      <c r="J9552" s="549"/>
      <c r="K9552" s="549"/>
      <c r="M9552" s="465"/>
      <c r="N9552" s="201"/>
    </row>
    <row r="9553" spans="2:14" hidden="1" outlineLevel="1" x14ac:dyDescent="0.35">
      <c r="B9553" s="200"/>
      <c r="C9553" s="201"/>
      <c r="D9553" s="201"/>
      <c r="E9553" s="201"/>
      <c r="F9553" s="202"/>
      <c r="G9553" s="549"/>
      <c r="H9553" s="549"/>
      <c r="I9553" s="549"/>
      <c r="J9553" s="549"/>
      <c r="K9553" s="549"/>
      <c r="M9553" s="465"/>
      <c r="N9553" s="201"/>
    </row>
    <row r="9554" spans="2:14" hidden="1" outlineLevel="1" x14ac:dyDescent="0.35">
      <c r="B9554" s="200"/>
      <c r="C9554" s="201"/>
      <c r="D9554" s="201"/>
      <c r="E9554" s="201"/>
      <c r="F9554" s="202"/>
      <c r="G9554" s="549"/>
      <c r="H9554" s="549"/>
      <c r="I9554" s="549"/>
      <c r="J9554" s="549"/>
      <c r="K9554" s="549"/>
      <c r="M9554" s="465"/>
      <c r="N9554" s="201"/>
    </row>
    <row r="9555" spans="2:14" hidden="1" outlineLevel="1" x14ac:dyDescent="0.35">
      <c r="B9555" s="200"/>
      <c r="C9555" s="201"/>
      <c r="D9555" s="201"/>
      <c r="E9555" s="201"/>
      <c r="F9555" s="202"/>
      <c r="G9555" s="549"/>
      <c r="H9555" s="549"/>
      <c r="I9555" s="549"/>
      <c r="J9555" s="549"/>
      <c r="K9555" s="549"/>
      <c r="M9555" s="465"/>
      <c r="N9555" s="201"/>
    </row>
    <row r="9556" spans="2:14" hidden="1" outlineLevel="1" x14ac:dyDescent="0.35">
      <c r="B9556" s="200"/>
      <c r="C9556" s="201"/>
      <c r="D9556" s="201"/>
      <c r="E9556" s="201"/>
      <c r="F9556" s="202"/>
      <c r="G9556" s="549"/>
      <c r="H9556" s="549"/>
      <c r="I9556" s="549"/>
      <c r="J9556" s="549"/>
      <c r="K9556" s="549"/>
      <c r="M9556" s="465"/>
      <c r="N9556" s="201"/>
    </row>
    <row r="9557" spans="2:14" hidden="1" outlineLevel="1" x14ac:dyDescent="0.35">
      <c r="B9557" s="200"/>
      <c r="C9557" s="201"/>
      <c r="D9557" s="201"/>
      <c r="E9557" s="201"/>
      <c r="F9557" s="202"/>
      <c r="G9557" s="549"/>
      <c r="H9557" s="549"/>
      <c r="I9557" s="549"/>
      <c r="J9557" s="549"/>
      <c r="K9557" s="549"/>
      <c r="M9557" s="465"/>
      <c r="N9557" s="201"/>
    </row>
    <row r="9558" spans="2:14" hidden="1" outlineLevel="1" x14ac:dyDescent="0.35">
      <c r="B9558" s="200"/>
      <c r="C9558" s="201"/>
      <c r="D9558" s="201"/>
      <c r="E9558" s="201"/>
      <c r="F9558" s="202"/>
      <c r="G9558" s="549"/>
      <c r="H9558" s="549"/>
      <c r="I9558" s="549"/>
      <c r="J9558" s="549"/>
      <c r="K9558" s="549"/>
      <c r="M9558" s="465"/>
      <c r="N9558" s="201"/>
    </row>
    <row r="9559" spans="2:14" hidden="1" outlineLevel="1" x14ac:dyDescent="0.35">
      <c r="B9559" s="200"/>
      <c r="C9559" s="201"/>
      <c r="D9559" s="201"/>
      <c r="E9559" s="201"/>
      <c r="F9559" s="202"/>
      <c r="G9559" s="549"/>
      <c r="H9559" s="549"/>
      <c r="I9559" s="549"/>
      <c r="J9559" s="549"/>
      <c r="K9559" s="549"/>
      <c r="M9559" s="465"/>
      <c r="N9559" s="201"/>
    </row>
    <row r="9560" spans="2:14" hidden="1" outlineLevel="1" x14ac:dyDescent="0.35">
      <c r="B9560" s="200"/>
      <c r="C9560" s="201"/>
      <c r="D9560" s="201"/>
      <c r="E9560" s="201"/>
      <c r="F9560" s="202"/>
      <c r="G9560" s="549"/>
      <c r="H9560" s="549"/>
      <c r="I9560" s="549"/>
      <c r="J9560" s="549"/>
      <c r="K9560" s="549"/>
      <c r="M9560" s="465"/>
      <c r="N9560" s="201"/>
    </row>
    <row r="9561" spans="2:14" hidden="1" outlineLevel="1" x14ac:dyDescent="0.35">
      <c r="B9561" s="200"/>
      <c r="C9561" s="201"/>
      <c r="D9561" s="201"/>
      <c r="E9561" s="201"/>
      <c r="F9561" s="202"/>
      <c r="G9561" s="549"/>
      <c r="H9561" s="549"/>
      <c r="I9561" s="549"/>
      <c r="J9561" s="549"/>
      <c r="K9561" s="549"/>
      <c r="M9561" s="465"/>
      <c r="N9561" s="201"/>
    </row>
    <row r="9562" spans="2:14" hidden="1" outlineLevel="1" x14ac:dyDescent="0.35">
      <c r="B9562" s="200"/>
      <c r="C9562" s="201"/>
      <c r="D9562" s="201"/>
      <c r="E9562" s="201"/>
      <c r="F9562" s="202"/>
      <c r="G9562" s="549"/>
      <c r="H9562" s="549"/>
      <c r="I9562" s="549"/>
      <c r="J9562" s="549"/>
      <c r="K9562" s="549"/>
      <c r="M9562" s="465"/>
      <c r="N9562" s="201"/>
    </row>
    <row r="9563" spans="2:14" hidden="1" outlineLevel="1" x14ac:dyDescent="0.35">
      <c r="B9563" s="200"/>
      <c r="C9563" s="201"/>
      <c r="D9563" s="201"/>
      <c r="E9563" s="201"/>
      <c r="F9563" s="202"/>
      <c r="G9563" s="549"/>
      <c r="H9563" s="549"/>
      <c r="I9563" s="549"/>
      <c r="J9563" s="549"/>
      <c r="K9563" s="549"/>
      <c r="M9563" s="465"/>
      <c r="N9563" s="201"/>
    </row>
    <row r="9564" spans="2:14" hidden="1" outlineLevel="1" x14ac:dyDescent="0.35">
      <c r="B9564" s="200"/>
      <c r="C9564" s="201"/>
      <c r="D9564" s="201"/>
      <c r="E9564" s="201"/>
      <c r="F9564" s="202"/>
      <c r="G9564" s="549"/>
      <c r="H9564" s="549"/>
      <c r="I9564" s="549"/>
      <c r="J9564" s="549"/>
      <c r="K9564" s="549"/>
      <c r="M9564" s="465"/>
      <c r="N9564" s="201"/>
    </row>
    <row r="9565" spans="2:14" hidden="1" outlineLevel="1" x14ac:dyDescent="0.35">
      <c r="B9565" s="200"/>
      <c r="C9565" s="201"/>
      <c r="D9565" s="201"/>
      <c r="E9565" s="201"/>
      <c r="F9565" s="202"/>
      <c r="G9565" s="549"/>
      <c r="H9565" s="549"/>
      <c r="I9565" s="549"/>
      <c r="J9565" s="549"/>
      <c r="K9565" s="549"/>
      <c r="M9565" s="465"/>
      <c r="N9565" s="201"/>
    </row>
    <row r="9566" spans="2:14" hidden="1" outlineLevel="1" x14ac:dyDescent="0.35">
      <c r="B9566" s="200"/>
      <c r="C9566" s="201"/>
      <c r="D9566" s="201"/>
      <c r="E9566" s="201"/>
      <c r="F9566" s="202"/>
      <c r="G9566" s="549"/>
      <c r="H9566" s="549"/>
      <c r="I9566" s="549"/>
      <c r="J9566" s="549"/>
      <c r="K9566" s="549"/>
      <c r="M9566" s="465"/>
      <c r="N9566" s="201"/>
    </row>
    <row r="9567" spans="2:14" hidden="1" outlineLevel="1" x14ac:dyDescent="0.35">
      <c r="B9567" s="200"/>
      <c r="C9567" s="201"/>
      <c r="D9567" s="201"/>
      <c r="E9567" s="201"/>
      <c r="F9567" s="202"/>
      <c r="G9567" s="549"/>
      <c r="H9567" s="549"/>
      <c r="I9567" s="549"/>
      <c r="J9567" s="549"/>
      <c r="K9567" s="549"/>
      <c r="M9567" s="465"/>
      <c r="N9567" s="201"/>
    </row>
    <row r="9568" spans="2:14" hidden="1" outlineLevel="1" x14ac:dyDescent="0.35">
      <c r="B9568" s="200"/>
      <c r="C9568" s="201"/>
      <c r="D9568" s="201"/>
      <c r="E9568" s="201"/>
      <c r="F9568" s="202"/>
      <c r="G9568" s="549"/>
      <c r="H9568" s="549"/>
      <c r="I9568" s="549"/>
      <c r="J9568" s="549"/>
      <c r="K9568" s="549"/>
      <c r="M9568" s="465"/>
      <c r="N9568" s="201"/>
    </row>
    <row r="9569" spans="2:14" hidden="1" outlineLevel="1" x14ac:dyDescent="0.35">
      <c r="B9569" s="200"/>
      <c r="C9569" s="201"/>
      <c r="D9569" s="201"/>
      <c r="E9569" s="201"/>
      <c r="F9569" s="202"/>
      <c r="G9569" s="549"/>
      <c r="H9569" s="549"/>
      <c r="I9569" s="549"/>
      <c r="J9569" s="549"/>
      <c r="K9569" s="549"/>
      <c r="M9569" s="465"/>
      <c r="N9569" s="201"/>
    </row>
    <row r="9570" spans="2:14" hidden="1" outlineLevel="1" x14ac:dyDescent="0.35">
      <c r="B9570" s="200"/>
      <c r="C9570" s="201"/>
      <c r="D9570" s="201"/>
      <c r="E9570" s="201"/>
      <c r="F9570" s="202"/>
      <c r="G9570" s="549"/>
      <c r="H9570" s="549"/>
      <c r="I9570" s="549"/>
      <c r="J9570" s="549"/>
      <c r="K9570" s="549"/>
      <c r="M9570" s="465"/>
      <c r="N9570" s="201"/>
    </row>
    <row r="9571" spans="2:14" hidden="1" outlineLevel="1" x14ac:dyDescent="0.35">
      <c r="B9571" s="200"/>
      <c r="C9571" s="201"/>
      <c r="D9571" s="201"/>
      <c r="E9571" s="201"/>
      <c r="F9571" s="202"/>
      <c r="G9571" s="549"/>
      <c r="H9571" s="549"/>
      <c r="I9571" s="549"/>
      <c r="J9571" s="549"/>
      <c r="K9571" s="549"/>
      <c r="M9571" s="465"/>
      <c r="N9571" s="201"/>
    </row>
    <row r="9572" spans="2:14" hidden="1" outlineLevel="1" x14ac:dyDescent="0.35">
      <c r="B9572" s="200"/>
      <c r="C9572" s="201"/>
      <c r="D9572" s="201"/>
      <c r="E9572" s="201"/>
      <c r="F9572" s="202"/>
      <c r="G9572" s="549"/>
      <c r="H9572" s="549"/>
      <c r="I9572" s="549"/>
      <c r="J9572" s="549"/>
      <c r="K9572" s="549"/>
      <c r="M9572" s="465"/>
      <c r="N9572" s="201"/>
    </row>
    <row r="9573" spans="2:14" hidden="1" outlineLevel="1" x14ac:dyDescent="0.35">
      <c r="B9573" s="200"/>
      <c r="C9573" s="201"/>
      <c r="D9573" s="201"/>
      <c r="E9573" s="201"/>
      <c r="F9573" s="202"/>
      <c r="G9573" s="549"/>
      <c r="H9573" s="549"/>
      <c r="I9573" s="549"/>
      <c r="J9573" s="549"/>
      <c r="K9573" s="549"/>
      <c r="M9573" s="465"/>
      <c r="N9573" s="201"/>
    </row>
    <row r="9574" spans="2:14" hidden="1" outlineLevel="1" x14ac:dyDescent="0.35">
      <c r="B9574" s="200"/>
      <c r="C9574" s="201"/>
      <c r="D9574" s="201"/>
      <c r="E9574" s="201"/>
      <c r="F9574" s="202"/>
      <c r="G9574" s="549"/>
      <c r="H9574" s="549"/>
      <c r="I9574" s="549"/>
      <c r="J9574" s="549"/>
      <c r="K9574" s="549"/>
      <c r="M9574" s="465"/>
      <c r="N9574" s="201"/>
    </row>
    <row r="9575" spans="2:14" hidden="1" outlineLevel="1" x14ac:dyDescent="0.35">
      <c r="B9575" s="200"/>
      <c r="C9575" s="201"/>
      <c r="D9575" s="201"/>
      <c r="E9575" s="201"/>
      <c r="F9575" s="202"/>
      <c r="G9575" s="549"/>
      <c r="H9575" s="549"/>
      <c r="I9575" s="549"/>
      <c r="J9575" s="549"/>
      <c r="K9575" s="549"/>
      <c r="M9575" s="465"/>
      <c r="N9575" s="201"/>
    </row>
    <row r="9576" spans="2:14" hidden="1" outlineLevel="1" x14ac:dyDescent="0.35">
      <c r="B9576" s="200"/>
      <c r="C9576" s="201"/>
      <c r="D9576" s="201"/>
      <c r="E9576" s="201"/>
      <c r="F9576" s="202"/>
      <c r="G9576" s="549"/>
      <c r="H9576" s="549"/>
      <c r="I9576" s="549"/>
      <c r="J9576" s="549"/>
      <c r="K9576" s="549"/>
      <c r="M9576" s="465"/>
      <c r="N9576" s="201"/>
    </row>
    <row r="9577" spans="2:14" hidden="1" outlineLevel="1" x14ac:dyDescent="0.35">
      <c r="B9577" s="200"/>
      <c r="C9577" s="201"/>
      <c r="D9577" s="201"/>
      <c r="E9577" s="201"/>
      <c r="F9577" s="202"/>
      <c r="G9577" s="549"/>
      <c r="H9577" s="549"/>
      <c r="I9577" s="549"/>
      <c r="J9577" s="549"/>
      <c r="K9577" s="549"/>
      <c r="M9577" s="465"/>
      <c r="N9577" s="201"/>
    </row>
    <row r="9578" spans="2:14" hidden="1" outlineLevel="1" x14ac:dyDescent="0.35">
      <c r="B9578" s="200"/>
      <c r="C9578" s="201"/>
      <c r="D9578" s="201"/>
      <c r="E9578" s="201"/>
      <c r="F9578" s="202"/>
      <c r="G9578" s="549"/>
      <c r="H9578" s="549"/>
      <c r="I9578" s="549"/>
      <c r="J9578" s="549"/>
      <c r="K9578" s="549"/>
      <c r="M9578" s="465"/>
      <c r="N9578" s="201"/>
    </row>
    <row r="9579" spans="2:14" hidden="1" outlineLevel="1" x14ac:dyDescent="0.35">
      <c r="B9579" s="200"/>
      <c r="C9579" s="201"/>
      <c r="D9579" s="201"/>
      <c r="E9579" s="201"/>
      <c r="F9579" s="202"/>
      <c r="G9579" s="549"/>
      <c r="H9579" s="549"/>
      <c r="I9579" s="549"/>
      <c r="J9579" s="549"/>
      <c r="K9579" s="549"/>
      <c r="M9579" s="465"/>
      <c r="N9579" s="201"/>
    </row>
    <row r="9580" spans="2:14" hidden="1" outlineLevel="1" x14ac:dyDescent="0.35">
      <c r="B9580" s="200"/>
      <c r="C9580" s="201"/>
      <c r="D9580" s="201"/>
      <c r="E9580" s="201"/>
      <c r="F9580" s="202"/>
      <c r="G9580" s="549"/>
      <c r="H9580" s="549"/>
      <c r="I9580" s="549"/>
      <c r="J9580" s="549"/>
      <c r="K9580" s="549"/>
      <c r="M9580" s="465"/>
      <c r="N9580" s="201"/>
    </row>
    <row r="9581" spans="2:14" hidden="1" outlineLevel="1" x14ac:dyDescent="0.35">
      <c r="B9581" s="200"/>
      <c r="C9581" s="201"/>
      <c r="D9581" s="201"/>
      <c r="E9581" s="201"/>
      <c r="F9581" s="202"/>
      <c r="G9581" s="549"/>
      <c r="H9581" s="549"/>
      <c r="I9581" s="549"/>
      <c r="J9581" s="549"/>
      <c r="K9581" s="549"/>
      <c r="M9581" s="465"/>
      <c r="N9581" s="201"/>
    </row>
    <row r="9582" spans="2:14" hidden="1" outlineLevel="1" x14ac:dyDescent="0.35">
      <c r="B9582" s="200"/>
      <c r="C9582" s="201"/>
      <c r="D9582" s="201"/>
      <c r="E9582" s="201"/>
      <c r="F9582" s="202"/>
      <c r="G9582" s="549"/>
      <c r="H9582" s="549"/>
      <c r="I9582" s="549"/>
      <c r="J9582" s="549"/>
      <c r="K9582" s="549"/>
      <c r="M9582" s="465"/>
      <c r="N9582" s="201"/>
    </row>
    <row r="9583" spans="2:14" hidden="1" outlineLevel="1" x14ac:dyDescent="0.35">
      <c r="B9583" s="200"/>
      <c r="C9583" s="201"/>
      <c r="D9583" s="201"/>
      <c r="E9583" s="201"/>
      <c r="F9583" s="202"/>
      <c r="G9583" s="549"/>
      <c r="H9583" s="549"/>
      <c r="I9583" s="549"/>
      <c r="J9583" s="549"/>
      <c r="K9583" s="549"/>
      <c r="M9583" s="465"/>
      <c r="N9583" s="201"/>
    </row>
    <row r="9584" spans="2:14" hidden="1" outlineLevel="1" x14ac:dyDescent="0.35">
      <c r="B9584" s="200"/>
      <c r="C9584" s="201"/>
      <c r="D9584" s="201"/>
      <c r="E9584" s="201"/>
      <c r="F9584" s="202"/>
      <c r="G9584" s="549"/>
      <c r="H9584" s="549"/>
      <c r="I9584" s="549"/>
      <c r="J9584" s="549"/>
      <c r="K9584" s="549"/>
      <c r="M9584" s="465"/>
      <c r="N9584" s="201"/>
    </row>
    <row r="9585" spans="2:14" hidden="1" outlineLevel="1" x14ac:dyDescent="0.35">
      <c r="B9585" s="200"/>
      <c r="C9585" s="201"/>
      <c r="D9585" s="201"/>
      <c r="E9585" s="201"/>
      <c r="F9585" s="202"/>
      <c r="G9585" s="549"/>
      <c r="H9585" s="549"/>
      <c r="I9585" s="549"/>
      <c r="J9585" s="549"/>
      <c r="K9585" s="549"/>
      <c r="M9585" s="465"/>
      <c r="N9585" s="201"/>
    </row>
    <row r="9586" spans="2:14" hidden="1" outlineLevel="1" x14ac:dyDescent="0.35">
      <c r="B9586" s="200"/>
      <c r="C9586" s="201"/>
      <c r="D9586" s="201"/>
      <c r="E9586" s="201"/>
      <c r="F9586" s="202"/>
      <c r="G9586" s="549"/>
      <c r="H9586" s="549"/>
      <c r="I9586" s="549"/>
      <c r="J9586" s="549"/>
      <c r="K9586" s="549"/>
      <c r="M9586" s="465"/>
      <c r="N9586" s="201"/>
    </row>
    <row r="9587" spans="2:14" hidden="1" outlineLevel="1" x14ac:dyDescent="0.35">
      <c r="B9587" s="200"/>
      <c r="C9587" s="201"/>
      <c r="D9587" s="201"/>
      <c r="E9587" s="201"/>
      <c r="F9587" s="202"/>
      <c r="G9587" s="549"/>
      <c r="H9587" s="549"/>
      <c r="I9587" s="549"/>
      <c r="J9587" s="549"/>
      <c r="K9587" s="549"/>
      <c r="M9587" s="465"/>
      <c r="N9587" s="201"/>
    </row>
    <row r="9588" spans="2:14" hidden="1" outlineLevel="1" x14ac:dyDescent="0.35">
      <c r="B9588" s="200"/>
      <c r="C9588" s="201"/>
      <c r="D9588" s="201"/>
      <c r="E9588" s="201"/>
      <c r="F9588" s="202"/>
      <c r="G9588" s="549"/>
      <c r="H9588" s="549"/>
      <c r="I9588" s="549"/>
      <c r="J9588" s="549"/>
      <c r="K9588" s="549"/>
      <c r="M9588" s="465"/>
      <c r="N9588" s="201"/>
    </row>
    <row r="9589" spans="2:14" hidden="1" outlineLevel="1" x14ac:dyDescent="0.35">
      <c r="B9589" s="200"/>
      <c r="C9589" s="201"/>
      <c r="D9589" s="201"/>
      <c r="E9589" s="201"/>
      <c r="F9589" s="202"/>
      <c r="G9589" s="549"/>
      <c r="H9589" s="549"/>
      <c r="I9589" s="549"/>
      <c r="J9589" s="549"/>
      <c r="K9589" s="549"/>
      <c r="M9589" s="465"/>
      <c r="N9589" s="201"/>
    </row>
    <row r="9590" spans="2:14" hidden="1" outlineLevel="1" x14ac:dyDescent="0.35">
      <c r="B9590" s="200"/>
      <c r="C9590" s="201"/>
      <c r="D9590" s="201"/>
      <c r="E9590" s="201"/>
      <c r="F9590" s="202"/>
      <c r="G9590" s="549"/>
      <c r="H9590" s="549"/>
      <c r="I9590" s="549"/>
      <c r="J9590" s="549"/>
      <c r="K9590" s="549"/>
      <c r="M9590" s="465"/>
      <c r="N9590" s="201"/>
    </row>
    <row r="9591" spans="2:14" hidden="1" outlineLevel="1" x14ac:dyDescent="0.35">
      <c r="B9591" s="200"/>
      <c r="C9591" s="201"/>
      <c r="D9591" s="201"/>
      <c r="E9591" s="201"/>
      <c r="F9591" s="202"/>
      <c r="G9591" s="549"/>
      <c r="H9591" s="549"/>
      <c r="I9591" s="549"/>
      <c r="J9591" s="549"/>
      <c r="K9591" s="549"/>
      <c r="M9591" s="465"/>
      <c r="N9591" s="201"/>
    </row>
    <row r="9592" spans="2:14" hidden="1" outlineLevel="1" x14ac:dyDescent="0.35">
      <c r="B9592" s="200"/>
      <c r="C9592" s="201"/>
      <c r="D9592" s="201"/>
      <c r="E9592" s="201"/>
      <c r="F9592" s="202"/>
      <c r="G9592" s="549"/>
      <c r="H9592" s="549"/>
      <c r="I9592" s="549"/>
      <c r="J9592" s="549"/>
      <c r="K9592" s="549"/>
      <c r="M9592" s="465"/>
      <c r="N9592" s="201"/>
    </row>
    <row r="9593" spans="2:14" hidden="1" outlineLevel="1" x14ac:dyDescent="0.35">
      <c r="B9593" s="200"/>
      <c r="C9593" s="201"/>
      <c r="D9593" s="201"/>
      <c r="E9593" s="201"/>
      <c r="F9593" s="202"/>
      <c r="G9593" s="549"/>
      <c r="H9593" s="549"/>
      <c r="I9593" s="549"/>
      <c r="J9593" s="549"/>
      <c r="K9593" s="549"/>
      <c r="M9593" s="465"/>
      <c r="N9593" s="201"/>
    </row>
    <row r="9594" spans="2:14" hidden="1" outlineLevel="1" x14ac:dyDescent="0.35">
      <c r="B9594" s="200"/>
      <c r="C9594" s="201"/>
      <c r="D9594" s="201"/>
      <c r="E9594" s="201"/>
      <c r="F9594" s="202"/>
      <c r="G9594" s="549"/>
      <c r="H9594" s="549"/>
      <c r="I9594" s="549"/>
      <c r="J9594" s="549"/>
      <c r="K9594" s="549"/>
      <c r="M9594" s="465"/>
      <c r="N9594" s="201"/>
    </row>
    <row r="9595" spans="2:14" hidden="1" outlineLevel="1" x14ac:dyDescent="0.35">
      <c r="B9595" s="200"/>
      <c r="C9595" s="201"/>
      <c r="D9595" s="201"/>
      <c r="E9595" s="201"/>
      <c r="F9595" s="202"/>
      <c r="G9595" s="549"/>
      <c r="H9595" s="549"/>
      <c r="I9595" s="549"/>
      <c r="J9595" s="549"/>
      <c r="K9595" s="549"/>
      <c r="M9595" s="465"/>
      <c r="N9595" s="201"/>
    </row>
    <row r="9596" spans="2:14" hidden="1" outlineLevel="1" x14ac:dyDescent="0.35">
      <c r="B9596" s="200"/>
      <c r="C9596" s="201"/>
      <c r="D9596" s="201"/>
      <c r="E9596" s="201"/>
      <c r="F9596" s="202"/>
      <c r="G9596" s="549"/>
      <c r="H9596" s="549"/>
      <c r="I9596" s="549"/>
      <c r="J9596" s="549"/>
      <c r="K9596" s="549"/>
      <c r="M9596" s="465"/>
      <c r="N9596" s="201"/>
    </row>
    <row r="9597" spans="2:14" hidden="1" outlineLevel="1" x14ac:dyDescent="0.35">
      <c r="B9597" s="200"/>
      <c r="C9597" s="201"/>
      <c r="D9597" s="201"/>
      <c r="E9597" s="201"/>
      <c r="F9597" s="202"/>
      <c r="G9597" s="549"/>
      <c r="H9597" s="549"/>
      <c r="I9597" s="549"/>
      <c r="J9597" s="549"/>
      <c r="K9597" s="549"/>
      <c r="M9597" s="465"/>
      <c r="N9597" s="201"/>
    </row>
    <row r="9598" spans="2:14" hidden="1" outlineLevel="1" x14ac:dyDescent="0.35">
      <c r="B9598" s="200"/>
      <c r="C9598" s="201"/>
      <c r="D9598" s="201"/>
      <c r="E9598" s="201"/>
      <c r="F9598" s="202"/>
      <c r="G9598" s="549"/>
      <c r="H9598" s="549"/>
      <c r="I9598" s="549"/>
      <c r="J9598" s="549"/>
      <c r="K9598" s="549"/>
      <c r="M9598" s="465"/>
      <c r="N9598" s="201"/>
    </row>
    <row r="9599" spans="2:14" hidden="1" outlineLevel="1" x14ac:dyDescent="0.35">
      <c r="B9599" s="200"/>
      <c r="C9599" s="201"/>
      <c r="D9599" s="201"/>
      <c r="E9599" s="201"/>
      <c r="F9599" s="202"/>
      <c r="G9599" s="549"/>
      <c r="H9599" s="549"/>
      <c r="I9599" s="549"/>
      <c r="J9599" s="549"/>
      <c r="K9599" s="549"/>
      <c r="M9599" s="465"/>
      <c r="N9599" s="201"/>
    </row>
    <row r="9600" spans="2:14" hidden="1" outlineLevel="1" x14ac:dyDescent="0.35">
      <c r="B9600" s="200"/>
      <c r="C9600" s="201"/>
      <c r="D9600" s="201"/>
      <c r="E9600" s="201"/>
      <c r="F9600" s="202"/>
      <c r="G9600" s="549"/>
      <c r="H9600" s="549"/>
      <c r="I9600" s="549"/>
      <c r="J9600" s="549"/>
      <c r="K9600" s="549"/>
      <c r="M9600" s="465"/>
      <c r="N9600" s="201"/>
    </row>
    <row r="9601" spans="2:14" hidden="1" outlineLevel="1" x14ac:dyDescent="0.35">
      <c r="B9601" s="200"/>
      <c r="C9601" s="201"/>
      <c r="D9601" s="201"/>
      <c r="E9601" s="201"/>
      <c r="F9601" s="202"/>
      <c r="G9601" s="549"/>
      <c r="H9601" s="549"/>
      <c r="I9601" s="549"/>
      <c r="J9601" s="549"/>
      <c r="K9601" s="549"/>
      <c r="M9601" s="465"/>
      <c r="N9601" s="201"/>
    </row>
    <row r="9602" spans="2:14" hidden="1" outlineLevel="1" x14ac:dyDescent="0.35">
      <c r="B9602" s="200"/>
      <c r="C9602" s="201"/>
      <c r="D9602" s="201"/>
      <c r="E9602" s="201"/>
      <c r="F9602" s="202"/>
      <c r="G9602" s="549"/>
      <c r="H9602" s="549"/>
      <c r="I9602" s="549"/>
      <c r="J9602" s="549"/>
      <c r="K9602" s="549"/>
      <c r="M9602" s="465"/>
      <c r="N9602" s="201"/>
    </row>
    <row r="9603" spans="2:14" hidden="1" outlineLevel="1" x14ac:dyDescent="0.35">
      <c r="B9603" s="200"/>
      <c r="C9603" s="201"/>
      <c r="D9603" s="201"/>
      <c r="E9603" s="201"/>
      <c r="F9603" s="202"/>
      <c r="G9603" s="549"/>
      <c r="H9603" s="549"/>
      <c r="I9603" s="549"/>
      <c r="J9603" s="549"/>
      <c r="K9603" s="549"/>
      <c r="M9603" s="465"/>
      <c r="N9603" s="201"/>
    </row>
    <row r="9604" spans="2:14" hidden="1" outlineLevel="1" x14ac:dyDescent="0.35">
      <c r="B9604" s="200"/>
      <c r="C9604" s="201"/>
      <c r="D9604" s="201"/>
      <c r="E9604" s="201"/>
      <c r="F9604" s="202"/>
      <c r="G9604" s="549"/>
      <c r="H9604" s="549"/>
      <c r="I9604" s="549"/>
      <c r="J9604" s="549"/>
      <c r="K9604" s="549"/>
      <c r="M9604" s="465"/>
      <c r="N9604" s="201"/>
    </row>
    <row r="9605" spans="2:14" hidden="1" outlineLevel="1" x14ac:dyDescent="0.35">
      <c r="B9605" s="200"/>
      <c r="C9605" s="201"/>
      <c r="D9605" s="201"/>
      <c r="E9605" s="201"/>
      <c r="F9605" s="202"/>
      <c r="G9605" s="549"/>
      <c r="H9605" s="549"/>
      <c r="I9605" s="549"/>
      <c r="J9605" s="549"/>
      <c r="K9605" s="549"/>
      <c r="M9605" s="465"/>
      <c r="N9605" s="201"/>
    </row>
    <row r="9606" spans="2:14" hidden="1" outlineLevel="1" x14ac:dyDescent="0.35">
      <c r="B9606" s="200"/>
      <c r="C9606" s="201"/>
      <c r="D9606" s="201"/>
      <c r="E9606" s="201"/>
      <c r="F9606" s="202"/>
      <c r="G9606" s="549"/>
      <c r="H9606" s="549"/>
      <c r="I9606" s="549"/>
      <c r="J9606" s="549"/>
      <c r="K9606" s="549"/>
      <c r="M9606" s="465"/>
      <c r="N9606" s="201"/>
    </row>
    <row r="9607" spans="2:14" hidden="1" outlineLevel="1" x14ac:dyDescent="0.35">
      <c r="B9607" s="200"/>
      <c r="C9607" s="201"/>
      <c r="D9607" s="201"/>
      <c r="E9607" s="201"/>
      <c r="F9607" s="202"/>
      <c r="G9607" s="549"/>
      <c r="H9607" s="549"/>
      <c r="I9607" s="549"/>
      <c r="J9607" s="549"/>
      <c r="K9607" s="549"/>
      <c r="M9607" s="465"/>
      <c r="N9607" s="201"/>
    </row>
    <row r="9608" spans="2:14" hidden="1" outlineLevel="1" x14ac:dyDescent="0.35">
      <c r="B9608" s="200"/>
      <c r="C9608" s="201"/>
      <c r="D9608" s="201"/>
      <c r="E9608" s="201"/>
      <c r="F9608" s="202"/>
      <c r="G9608" s="549"/>
      <c r="H9608" s="549"/>
      <c r="I9608" s="549"/>
      <c r="J9608" s="549"/>
      <c r="K9608" s="549"/>
      <c r="M9608" s="465"/>
      <c r="N9608" s="201"/>
    </row>
    <row r="9609" spans="2:14" hidden="1" outlineLevel="1" x14ac:dyDescent="0.35">
      <c r="B9609" s="200"/>
      <c r="C9609" s="201"/>
      <c r="D9609" s="201"/>
      <c r="E9609" s="201"/>
      <c r="F9609" s="202"/>
      <c r="G9609" s="549"/>
      <c r="H9609" s="549"/>
      <c r="I9609" s="549"/>
      <c r="J9609" s="549"/>
      <c r="K9609" s="549"/>
      <c r="M9609" s="465"/>
      <c r="N9609" s="201"/>
    </row>
    <row r="9610" spans="2:14" hidden="1" outlineLevel="1" x14ac:dyDescent="0.35">
      <c r="B9610" s="200"/>
      <c r="C9610" s="201"/>
      <c r="D9610" s="201"/>
      <c r="E9610" s="201"/>
      <c r="F9610" s="202"/>
      <c r="G9610" s="549"/>
      <c r="H9610" s="549"/>
      <c r="I9610" s="549"/>
      <c r="J9610" s="549"/>
      <c r="K9610" s="549"/>
      <c r="M9610" s="465"/>
      <c r="N9610" s="201"/>
    </row>
    <row r="9611" spans="2:14" hidden="1" outlineLevel="1" x14ac:dyDescent="0.35">
      <c r="B9611" s="200"/>
      <c r="C9611" s="201"/>
      <c r="D9611" s="201"/>
      <c r="E9611" s="201"/>
      <c r="F9611" s="202"/>
      <c r="G9611" s="549"/>
      <c r="H9611" s="549"/>
      <c r="I9611" s="549"/>
      <c r="J9611" s="549"/>
      <c r="K9611" s="549"/>
      <c r="M9611" s="465"/>
      <c r="N9611" s="201"/>
    </row>
    <row r="9612" spans="2:14" hidden="1" outlineLevel="1" x14ac:dyDescent="0.35">
      <c r="B9612" s="200"/>
      <c r="C9612" s="201"/>
      <c r="D9612" s="201"/>
      <c r="E9612" s="201"/>
      <c r="F9612" s="202"/>
      <c r="G9612" s="549"/>
      <c r="H9612" s="549"/>
      <c r="I9612" s="549"/>
      <c r="J9612" s="549"/>
      <c r="K9612" s="549"/>
      <c r="M9612" s="465"/>
      <c r="N9612" s="201"/>
    </row>
    <row r="9613" spans="2:14" hidden="1" outlineLevel="1" x14ac:dyDescent="0.35">
      <c r="B9613" s="200"/>
      <c r="C9613" s="201"/>
      <c r="D9613" s="201"/>
      <c r="E9613" s="201"/>
      <c r="F9613" s="202"/>
      <c r="G9613" s="549"/>
      <c r="H9613" s="549"/>
      <c r="I9613" s="549"/>
      <c r="J9613" s="549"/>
      <c r="K9613" s="549"/>
      <c r="M9613" s="465"/>
      <c r="N9613" s="201"/>
    </row>
    <row r="9614" spans="2:14" hidden="1" outlineLevel="1" x14ac:dyDescent="0.35">
      <c r="B9614" s="200"/>
      <c r="C9614" s="201"/>
      <c r="D9614" s="201"/>
      <c r="E9614" s="201"/>
      <c r="F9614" s="202"/>
      <c r="G9614" s="549"/>
      <c r="H9614" s="549"/>
      <c r="I9614" s="549"/>
      <c r="J9614" s="549"/>
      <c r="K9614" s="549"/>
      <c r="M9614" s="465"/>
      <c r="N9614" s="201"/>
    </row>
    <row r="9615" spans="2:14" hidden="1" outlineLevel="1" x14ac:dyDescent="0.35">
      <c r="B9615" s="200"/>
      <c r="C9615" s="201"/>
      <c r="D9615" s="201"/>
      <c r="E9615" s="201"/>
      <c r="F9615" s="202"/>
      <c r="G9615" s="549"/>
      <c r="H9615" s="549"/>
      <c r="I9615" s="549"/>
      <c r="J9615" s="549"/>
      <c r="K9615" s="549"/>
      <c r="M9615" s="465"/>
      <c r="N9615" s="201"/>
    </row>
    <row r="9616" spans="2:14" hidden="1" outlineLevel="1" x14ac:dyDescent="0.35">
      <c r="B9616" s="200"/>
      <c r="C9616" s="201"/>
      <c r="D9616" s="201"/>
      <c r="E9616" s="201"/>
      <c r="F9616" s="202"/>
      <c r="G9616" s="549"/>
      <c r="H9616" s="549"/>
      <c r="I9616" s="549"/>
      <c r="J9616" s="549"/>
      <c r="K9616" s="549"/>
      <c r="M9616" s="465"/>
      <c r="N9616" s="201"/>
    </row>
    <row r="9617" spans="2:14" hidden="1" outlineLevel="1" x14ac:dyDescent="0.35">
      <c r="B9617" s="200"/>
      <c r="C9617" s="201"/>
      <c r="D9617" s="201"/>
      <c r="E9617" s="201"/>
      <c r="F9617" s="202"/>
      <c r="G9617" s="549"/>
      <c r="H9617" s="549"/>
      <c r="I9617" s="549"/>
      <c r="J9617" s="549"/>
      <c r="K9617" s="549"/>
      <c r="M9617" s="465"/>
      <c r="N9617" s="201"/>
    </row>
    <row r="9618" spans="2:14" hidden="1" outlineLevel="1" x14ac:dyDescent="0.35">
      <c r="B9618" s="200"/>
      <c r="C9618" s="201"/>
      <c r="D9618" s="201"/>
      <c r="E9618" s="201"/>
      <c r="F9618" s="202"/>
      <c r="G9618" s="549"/>
      <c r="H9618" s="549"/>
      <c r="I9618" s="549"/>
      <c r="J9618" s="549"/>
      <c r="K9618" s="549"/>
      <c r="M9618" s="465"/>
      <c r="N9618" s="201"/>
    </row>
    <row r="9619" spans="2:14" hidden="1" outlineLevel="1" x14ac:dyDescent="0.35">
      <c r="B9619" s="200"/>
      <c r="C9619" s="201"/>
      <c r="D9619" s="201"/>
      <c r="E9619" s="201"/>
      <c r="F9619" s="202"/>
      <c r="G9619" s="549"/>
      <c r="H9619" s="549"/>
      <c r="I9619" s="549"/>
      <c r="J9619" s="549"/>
      <c r="K9619" s="549"/>
      <c r="M9619" s="465"/>
      <c r="N9619" s="201"/>
    </row>
    <row r="9620" spans="2:14" hidden="1" outlineLevel="1" x14ac:dyDescent="0.35">
      <c r="B9620" s="200"/>
      <c r="C9620" s="201"/>
      <c r="D9620" s="201"/>
      <c r="E9620" s="201"/>
      <c r="F9620" s="202"/>
      <c r="G9620" s="549"/>
      <c r="H9620" s="549"/>
      <c r="I9620" s="549"/>
      <c r="J9620" s="549"/>
      <c r="K9620" s="549"/>
      <c r="M9620" s="465"/>
      <c r="N9620" s="201"/>
    </row>
    <row r="9621" spans="2:14" hidden="1" outlineLevel="1" x14ac:dyDescent="0.35">
      <c r="B9621" s="200"/>
      <c r="C9621" s="201"/>
      <c r="D9621" s="201"/>
      <c r="E9621" s="201"/>
      <c r="F9621" s="202"/>
      <c r="G9621" s="549"/>
      <c r="H9621" s="549"/>
      <c r="I9621" s="549"/>
      <c r="J9621" s="549"/>
      <c r="K9621" s="549"/>
      <c r="M9621" s="465"/>
      <c r="N9621" s="201"/>
    </row>
    <row r="9622" spans="2:14" hidden="1" outlineLevel="1" x14ac:dyDescent="0.35">
      <c r="B9622" s="200"/>
      <c r="C9622" s="201"/>
      <c r="D9622" s="201"/>
      <c r="E9622" s="201"/>
      <c r="F9622" s="202"/>
      <c r="G9622" s="549"/>
      <c r="H9622" s="549"/>
      <c r="I9622" s="549"/>
      <c r="J9622" s="549"/>
      <c r="K9622" s="549"/>
      <c r="M9622" s="465"/>
      <c r="N9622" s="201"/>
    </row>
    <row r="9623" spans="2:14" hidden="1" outlineLevel="1" x14ac:dyDescent="0.35">
      <c r="B9623" s="200"/>
      <c r="C9623" s="201"/>
      <c r="D9623" s="201"/>
      <c r="E9623" s="201"/>
      <c r="F9623" s="202"/>
      <c r="G9623" s="549"/>
      <c r="H9623" s="549"/>
      <c r="I9623" s="549"/>
      <c r="J9623" s="549"/>
      <c r="K9623" s="549"/>
      <c r="M9623" s="465"/>
      <c r="N9623" s="201"/>
    </row>
    <row r="9624" spans="2:14" hidden="1" outlineLevel="1" x14ac:dyDescent="0.35">
      <c r="B9624" s="200"/>
      <c r="C9624" s="201"/>
      <c r="D9624" s="201"/>
      <c r="E9624" s="201"/>
      <c r="F9624" s="202"/>
      <c r="G9624" s="549"/>
      <c r="H9624" s="549"/>
      <c r="I9624" s="549"/>
      <c r="J9624" s="549"/>
      <c r="K9624" s="549"/>
      <c r="M9624" s="465"/>
      <c r="N9624" s="201"/>
    </row>
    <row r="9625" spans="2:14" hidden="1" outlineLevel="1" x14ac:dyDescent="0.35">
      <c r="B9625" s="200"/>
      <c r="C9625" s="201"/>
      <c r="D9625" s="201"/>
      <c r="E9625" s="201"/>
      <c r="F9625" s="202"/>
      <c r="G9625" s="549"/>
      <c r="H9625" s="549"/>
      <c r="I9625" s="549"/>
      <c r="J9625" s="549"/>
      <c r="K9625" s="549"/>
      <c r="M9625" s="465"/>
      <c r="N9625" s="201"/>
    </row>
    <row r="9626" spans="2:14" hidden="1" outlineLevel="1" x14ac:dyDescent="0.35">
      <c r="B9626" s="200"/>
      <c r="C9626" s="201"/>
      <c r="D9626" s="201"/>
      <c r="E9626" s="201"/>
      <c r="F9626" s="202"/>
      <c r="G9626" s="549"/>
      <c r="H9626" s="549"/>
      <c r="I9626" s="549"/>
      <c r="J9626" s="549"/>
      <c r="K9626" s="549"/>
      <c r="M9626" s="465"/>
      <c r="N9626" s="201"/>
    </row>
    <row r="9627" spans="2:14" hidden="1" outlineLevel="1" x14ac:dyDescent="0.35">
      <c r="B9627" s="200"/>
      <c r="C9627" s="201"/>
      <c r="D9627" s="201"/>
      <c r="E9627" s="201"/>
      <c r="F9627" s="202"/>
      <c r="G9627" s="549"/>
      <c r="H9627" s="549"/>
      <c r="I9627" s="549"/>
      <c r="J9627" s="549"/>
      <c r="K9627" s="549"/>
      <c r="M9627" s="465"/>
      <c r="N9627" s="201"/>
    </row>
    <row r="9628" spans="2:14" hidden="1" outlineLevel="1" x14ac:dyDescent="0.35">
      <c r="B9628" s="200"/>
      <c r="C9628" s="201"/>
      <c r="D9628" s="201"/>
      <c r="E9628" s="201"/>
      <c r="F9628" s="202"/>
      <c r="G9628" s="549"/>
      <c r="H9628" s="549"/>
      <c r="I9628" s="549"/>
      <c r="J9628" s="549"/>
      <c r="K9628" s="549"/>
      <c r="M9628" s="465"/>
      <c r="N9628" s="201"/>
    </row>
    <row r="9629" spans="2:14" hidden="1" outlineLevel="1" x14ac:dyDescent="0.35">
      <c r="B9629" s="200"/>
      <c r="C9629" s="201"/>
      <c r="D9629" s="201"/>
      <c r="E9629" s="201"/>
      <c r="F9629" s="202"/>
      <c r="G9629" s="549"/>
      <c r="H9629" s="549"/>
      <c r="I9629" s="549"/>
      <c r="J9629" s="549"/>
      <c r="K9629" s="549"/>
      <c r="M9629" s="465"/>
      <c r="N9629" s="201"/>
    </row>
    <row r="9630" spans="2:14" hidden="1" outlineLevel="1" x14ac:dyDescent="0.35">
      <c r="B9630" s="200"/>
      <c r="C9630" s="201"/>
      <c r="D9630" s="201"/>
      <c r="E9630" s="201"/>
      <c r="F9630" s="202"/>
      <c r="G9630" s="549"/>
      <c r="H9630" s="549"/>
      <c r="I9630" s="549"/>
      <c r="J9630" s="549"/>
      <c r="K9630" s="549"/>
      <c r="M9630" s="465"/>
      <c r="N9630" s="201"/>
    </row>
    <row r="9631" spans="2:14" hidden="1" outlineLevel="1" x14ac:dyDescent="0.35">
      <c r="B9631" s="200"/>
      <c r="C9631" s="201"/>
      <c r="D9631" s="201"/>
      <c r="E9631" s="201"/>
      <c r="F9631" s="202"/>
      <c r="G9631" s="549"/>
      <c r="H9631" s="549"/>
      <c r="I9631" s="549"/>
      <c r="J9631" s="549"/>
      <c r="K9631" s="549"/>
      <c r="M9631" s="465"/>
      <c r="N9631" s="201"/>
    </row>
    <row r="9632" spans="2:14" hidden="1" outlineLevel="1" x14ac:dyDescent="0.35">
      <c r="B9632" s="200"/>
      <c r="C9632" s="201"/>
      <c r="D9632" s="201"/>
      <c r="E9632" s="201"/>
      <c r="F9632" s="202"/>
      <c r="G9632" s="549"/>
      <c r="H9632" s="549"/>
      <c r="I9632" s="549"/>
      <c r="J9632" s="549"/>
      <c r="K9632" s="549"/>
      <c r="M9632" s="465"/>
      <c r="N9632" s="201"/>
    </row>
    <row r="9633" spans="2:14" hidden="1" outlineLevel="1" x14ac:dyDescent="0.35">
      <c r="B9633" s="200"/>
      <c r="C9633" s="201"/>
      <c r="D9633" s="201"/>
      <c r="E9633" s="201"/>
      <c r="F9633" s="202"/>
      <c r="G9633" s="549"/>
      <c r="H9633" s="549"/>
      <c r="I9633" s="549"/>
      <c r="J9633" s="549"/>
      <c r="K9633" s="549"/>
      <c r="M9633" s="465"/>
      <c r="N9633" s="201"/>
    </row>
    <row r="9634" spans="2:14" hidden="1" outlineLevel="1" x14ac:dyDescent="0.35">
      <c r="B9634" s="200"/>
      <c r="C9634" s="201"/>
      <c r="D9634" s="201"/>
      <c r="E9634" s="201"/>
      <c r="F9634" s="202"/>
      <c r="G9634" s="549"/>
      <c r="H9634" s="549"/>
      <c r="I9634" s="549"/>
      <c r="J9634" s="549"/>
      <c r="K9634" s="549"/>
      <c r="M9634" s="465"/>
      <c r="N9634" s="201"/>
    </row>
    <row r="9635" spans="2:14" hidden="1" outlineLevel="1" x14ac:dyDescent="0.35">
      <c r="B9635" s="200"/>
      <c r="C9635" s="201"/>
      <c r="D9635" s="201"/>
      <c r="E9635" s="201"/>
      <c r="F9635" s="202"/>
      <c r="G9635" s="549"/>
      <c r="H9635" s="549"/>
      <c r="I9635" s="549"/>
      <c r="J9635" s="549"/>
      <c r="K9635" s="549"/>
      <c r="M9635" s="465"/>
      <c r="N9635" s="201"/>
    </row>
    <row r="9636" spans="2:14" hidden="1" outlineLevel="1" x14ac:dyDescent="0.35">
      <c r="B9636" s="200"/>
      <c r="C9636" s="201"/>
      <c r="D9636" s="201"/>
      <c r="E9636" s="201"/>
      <c r="F9636" s="202"/>
      <c r="G9636" s="549"/>
      <c r="H9636" s="549"/>
      <c r="I9636" s="549"/>
      <c r="J9636" s="549"/>
      <c r="K9636" s="549"/>
      <c r="M9636" s="465"/>
      <c r="N9636" s="201"/>
    </row>
    <row r="9637" spans="2:14" hidden="1" outlineLevel="1" x14ac:dyDescent="0.35">
      <c r="B9637" s="200"/>
      <c r="C9637" s="201"/>
      <c r="D9637" s="201"/>
      <c r="E9637" s="201"/>
      <c r="F9637" s="202"/>
      <c r="G9637" s="549"/>
      <c r="H9637" s="549"/>
      <c r="I9637" s="549"/>
      <c r="J9637" s="549"/>
      <c r="K9637" s="549"/>
      <c r="M9637" s="465"/>
      <c r="N9637" s="201"/>
    </row>
    <row r="9638" spans="2:14" hidden="1" outlineLevel="1" x14ac:dyDescent="0.35">
      <c r="B9638" s="200"/>
      <c r="C9638" s="201"/>
      <c r="D9638" s="201"/>
      <c r="E9638" s="201"/>
      <c r="F9638" s="202"/>
      <c r="G9638" s="549"/>
      <c r="H9638" s="549"/>
      <c r="I9638" s="549"/>
      <c r="J9638" s="549"/>
      <c r="K9638" s="549"/>
      <c r="M9638" s="465"/>
      <c r="N9638" s="201"/>
    </row>
    <row r="9639" spans="2:14" hidden="1" outlineLevel="1" x14ac:dyDescent="0.35">
      <c r="B9639" s="200"/>
      <c r="C9639" s="201"/>
      <c r="D9639" s="201"/>
      <c r="E9639" s="201"/>
      <c r="F9639" s="202"/>
      <c r="G9639" s="549"/>
      <c r="H9639" s="549"/>
      <c r="I9639" s="549"/>
      <c r="J9639" s="549"/>
      <c r="K9639" s="549"/>
      <c r="M9639" s="465"/>
      <c r="N9639" s="201"/>
    </row>
    <row r="9640" spans="2:14" hidden="1" outlineLevel="1" x14ac:dyDescent="0.35">
      <c r="B9640" s="200"/>
      <c r="C9640" s="201"/>
      <c r="D9640" s="201"/>
      <c r="E9640" s="201"/>
      <c r="F9640" s="202"/>
      <c r="G9640" s="549"/>
      <c r="H9640" s="549"/>
      <c r="I9640" s="549"/>
      <c r="J9640" s="549"/>
      <c r="K9640" s="549"/>
      <c r="M9640" s="465"/>
      <c r="N9640" s="201"/>
    </row>
    <row r="9641" spans="2:14" hidden="1" outlineLevel="1" x14ac:dyDescent="0.35">
      <c r="B9641" s="200"/>
      <c r="C9641" s="201"/>
      <c r="D9641" s="201"/>
      <c r="E9641" s="201"/>
      <c r="F9641" s="202"/>
      <c r="G9641" s="549"/>
      <c r="H9641" s="549"/>
      <c r="I9641" s="549"/>
      <c r="J9641" s="549"/>
      <c r="K9641" s="549"/>
      <c r="M9641" s="465"/>
      <c r="N9641" s="201"/>
    </row>
    <row r="9642" spans="2:14" hidden="1" outlineLevel="1" x14ac:dyDescent="0.35">
      <c r="B9642" s="200"/>
      <c r="C9642" s="201"/>
      <c r="D9642" s="201"/>
      <c r="E9642" s="201"/>
      <c r="F9642" s="202"/>
      <c r="G9642" s="549"/>
      <c r="H9642" s="549"/>
      <c r="I9642" s="549"/>
      <c r="J9642" s="549"/>
      <c r="K9642" s="549"/>
      <c r="M9642" s="465"/>
      <c r="N9642" s="201"/>
    </row>
    <row r="9643" spans="2:14" hidden="1" outlineLevel="1" x14ac:dyDescent="0.35">
      <c r="B9643" s="200"/>
      <c r="C9643" s="201"/>
      <c r="D9643" s="201"/>
      <c r="E9643" s="201"/>
      <c r="F9643" s="202"/>
      <c r="G9643" s="549"/>
      <c r="H9643" s="549"/>
      <c r="I9643" s="549"/>
      <c r="J9643" s="549"/>
      <c r="K9643" s="549"/>
      <c r="M9643" s="465"/>
      <c r="N9643" s="201"/>
    </row>
    <row r="9644" spans="2:14" hidden="1" outlineLevel="1" x14ac:dyDescent="0.35">
      <c r="B9644" s="200"/>
      <c r="C9644" s="201"/>
      <c r="D9644" s="201"/>
      <c r="E9644" s="201"/>
      <c r="F9644" s="202"/>
      <c r="G9644" s="549"/>
      <c r="H9644" s="549"/>
      <c r="I9644" s="549"/>
      <c r="J9644" s="549"/>
      <c r="K9644" s="549"/>
      <c r="M9644" s="465"/>
      <c r="N9644" s="201"/>
    </row>
    <row r="9645" spans="2:14" hidden="1" outlineLevel="1" x14ac:dyDescent="0.35">
      <c r="B9645" s="200"/>
      <c r="C9645" s="201"/>
      <c r="D9645" s="201"/>
      <c r="E9645" s="201"/>
      <c r="F9645" s="202"/>
      <c r="G9645" s="549"/>
      <c r="H9645" s="549"/>
      <c r="I9645" s="549"/>
      <c r="J9645" s="549"/>
      <c r="K9645" s="549"/>
      <c r="M9645" s="465"/>
      <c r="N9645" s="201"/>
    </row>
    <row r="9646" spans="2:14" hidden="1" outlineLevel="1" x14ac:dyDescent="0.35">
      <c r="B9646" s="200"/>
      <c r="C9646" s="201"/>
      <c r="D9646" s="201"/>
      <c r="E9646" s="201"/>
      <c r="F9646" s="202"/>
      <c r="G9646" s="549"/>
      <c r="H9646" s="549"/>
      <c r="I9646" s="549"/>
      <c r="J9646" s="549"/>
      <c r="K9646" s="549"/>
      <c r="M9646" s="465"/>
      <c r="N9646" s="201"/>
    </row>
    <row r="9647" spans="2:14" hidden="1" outlineLevel="1" x14ac:dyDescent="0.35">
      <c r="B9647" s="200"/>
      <c r="C9647" s="201"/>
      <c r="D9647" s="201"/>
      <c r="E9647" s="201"/>
      <c r="F9647" s="202"/>
      <c r="G9647" s="549"/>
      <c r="H9647" s="549"/>
      <c r="I9647" s="549"/>
      <c r="J9647" s="549"/>
      <c r="K9647" s="549"/>
      <c r="M9647" s="465"/>
      <c r="N9647" s="201"/>
    </row>
    <row r="9648" spans="2:14" hidden="1" outlineLevel="1" x14ac:dyDescent="0.35">
      <c r="B9648" s="200"/>
      <c r="C9648" s="201"/>
      <c r="D9648" s="201"/>
      <c r="E9648" s="201"/>
      <c r="F9648" s="202"/>
      <c r="G9648" s="549"/>
      <c r="H9648" s="549"/>
      <c r="I9648" s="549"/>
      <c r="J9648" s="549"/>
      <c r="K9648" s="549"/>
      <c r="M9648" s="465"/>
      <c r="N9648" s="201"/>
    </row>
    <row r="9649" spans="2:14" hidden="1" outlineLevel="1" x14ac:dyDescent="0.35">
      <c r="B9649" s="200"/>
      <c r="C9649" s="201"/>
      <c r="D9649" s="201"/>
      <c r="E9649" s="201"/>
      <c r="F9649" s="202"/>
      <c r="G9649" s="549"/>
      <c r="H9649" s="549"/>
      <c r="I9649" s="549"/>
      <c r="J9649" s="549"/>
      <c r="K9649" s="549"/>
      <c r="M9649" s="465"/>
      <c r="N9649" s="201"/>
    </row>
    <row r="9650" spans="2:14" hidden="1" outlineLevel="1" x14ac:dyDescent="0.35">
      <c r="B9650" s="200"/>
      <c r="C9650" s="201"/>
      <c r="D9650" s="201"/>
      <c r="E9650" s="201"/>
      <c r="F9650" s="202"/>
      <c r="G9650" s="549"/>
      <c r="H9650" s="549"/>
      <c r="I9650" s="549"/>
      <c r="J9650" s="549"/>
      <c r="K9650" s="549"/>
      <c r="M9650" s="465"/>
      <c r="N9650" s="201"/>
    </row>
    <row r="9651" spans="2:14" hidden="1" outlineLevel="1" x14ac:dyDescent="0.35">
      <c r="B9651" s="200"/>
      <c r="C9651" s="201"/>
      <c r="D9651" s="201"/>
      <c r="E9651" s="201"/>
      <c r="F9651" s="202"/>
      <c r="G9651" s="549"/>
      <c r="H9651" s="549"/>
      <c r="I9651" s="549"/>
      <c r="J9651" s="549"/>
      <c r="K9651" s="549"/>
      <c r="M9651" s="465"/>
      <c r="N9651" s="201"/>
    </row>
    <row r="9652" spans="2:14" hidden="1" outlineLevel="1" x14ac:dyDescent="0.35">
      <c r="B9652" s="200"/>
      <c r="C9652" s="201"/>
      <c r="D9652" s="201"/>
      <c r="E9652" s="201"/>
      <c r="F9652" s="202"/>
      <c r="G9652" s="549"/>
      <c r="H9652" s="549"/>
      <c r="I9652" s="549"/>
      <c r="J9652" s="549"/>
      <c r="K9652" s="549"/>
      <c r="M9652" s="465"/>
      <c r="N9652" s="201"/>
    </row>
    <row r="9653" spans="2:14" hidden="1" outlineLevel="1" x14ac:dyDescent="0.35">
      <c r="B9653" s="200"/>
      <c r="C9653" s="201"/>
      <c r="D9653" s="201"/>
      <c r="E9653" s="201"/>
      <c r="F9653" s="202"/>
      <c r="G9653" s="549"/>
      <c r="H9653" s="549"/>
      <c r="I9653" s="549"/>
      <c r="J9653" s="549"/>
      <c r="K9653" s="549"/>
      <c r="M9653" s="465"/>
      <c r="N9653" s="201"/>
    </row>
    <row r="9654" spans="2:14" hidden="1" outlineLevel="1" x14ac:dyDescent="0.35">
      <c r="B9654" s="200"/>
      <c r="C9654" s="201"/>
      <c r="D9654" s="201"/>
      <c r="E9654" s="201"/>
      <c r="F9654" s="202"/>
      <c r="G9654" s="549"/>
      <c r="H9654" s="549"/>
      <c r="I9654" s="549"/>
      <c r="J9654" s="549"/>
      <c r="K9654" s="549"/>
      <c r="M9654" s="465"/>
      <c r="N9654" s="201"/>
    </row>
    <row r="9655" spans="2:14" hidden="1" outlineLevel="1" x14ac:dyDescent="0.35">
      <c r="B9655" s="200"/>
      <c r="C9655" s="201"/>
      <c r="D9655" s="201"/>
      <c r="E9655" s="201"/>
      <c r="F9655" s="202"/>
      <c r="G9655" s="549"/>
      <c r="H9655" s="549"/>
      <c r="I9655" s="549"/>
      <c r="J9655" s="549"/>
      <c r="K9655" s="549"/>
      <c r="M9655" s="465"/>
      <c r="N9655" s="201"/>
    </row>
    <row r="9656" spans="2:14" hidden="1" outlineLevel="1" x14ac:dyDescent="0.35">
      <c r="B9656" s="200"/>
      <c r="C9656" s="201"/>
      <c r="D9656" s="201"/>
      <c r="E9656" s="201"/>
      <c r="F9656" s="202"/>
      <c r="G9656" s="549"/>
      <c r="H9656" s="549"/>
      <c r="I9656" s="549"/>
      <c r="J9656" s="549"/>
      <c r="K9656" s="549"/>
      <c r="M9656" s="465"/>
      <c r="N9656" s="201"/>
    </row>
    <row r="9657" spans="2:14" hidden="1" outlineLevel="1" x14ac:dyDescent="0.35">
      <c r="B9657" s="200"/>
      <c r="C9657" s="201"/>
      <c r="D9657" s="201"/>
      <c r="E9657" s="201"/>
      <c r="F9657" s="202"/>
      <c r="G9657" s="549"/>
      <c r="H9657" s="549"/>
      <c r="I9657" s="549"/>
      <c r="J9657" s="549"/>
      <c r="K9657" s="549"/>
      <c r="M9657" s="465"/>
      <c r="N9657" s="201"/>
    </row>
    <row r="9658" spans="2:14" hidden="1" outlineLevel="1" x14ac:dyDescent="0.35">
      <c r="B9658" s="200"/>
      <c r="C9658" s="201"/>
      <c r="D9658" s="201"/>
      <c r="E9658" s="201"/>
      <c r="F9658" s="202"/>
      <c r="G9658" s="549"/>
      <c r="H9658" s="549"/>
      <c r="I9658" s="549"/>
      <c r="J9658" s="549"/>
      <c r="K9658" s="549"/>
      <c r="M9658" s="465"/>
      <c r="N9658" s="201"/>
    </row>
    <row r="9659" spans="2:14" hidden="1" outlineLevel="1" x14ac:dyDescent="0.35">
      <c r="B9659" s="200"/>
      <c r="C9659" s="201"/>
      <c r="D9659" s="201"/>
      <c r="E9659" s="201"/>
      <c r="F9659" s="202"/>
      <c r="G9659" s="549"/>
      <c r="H9659" s="549"/>
      <c r="I9659" s="549"/>
      <c r="J9659" s="549"/>
      <c r="K9659" s="549"/>
      <c r="M9659" s="465"/>
      <c r="N9659" s="201"/>
    </row>
    <row r="9660" spans="2:14" hidden="1" outlineLevel="1" x14ac:dyDescent="0.35">
      <c r="B9660" s="200"/>
      <c r="C9660" s="201"/>
      <c r="D9660" s="201"/>
      <c r="E9660" s="201"/>
      <c r="F9660" s="202"/>
      <c r="G9660" s="549"/>
      <c r="H9660" s="549"/>
      <c r="I9660" s="549"/>
      <c r="J9660" s="549"/>
      <c r="K9660" s="549"/>
      <c r="M9660" s="465"/>
      <c r="N9660" s="201"/>
    </row>
    <row r="9661" spans="2:14" hidden="1" outlineLevel="1" x14ac:dyDescent="0.35">
      <c r="B9661" s="200"/>
      <c r="C9661" s="201"/>
      <c r="D9661" s="201"/>
      <c r="E9661" s="201"/>
      <c r="F9661" s="202"/>
      <c r="G9661" s="549"/>
      <c r="H9661" s="549"/>
      <c r="I9661" s="549"/>
      <c r="J9661" s="549"/>
      <c r="K9661" s="549"/>
      <c r="M9661" s="465"/>
      <c r="N9661" s="201"/>
    </row>
    <row r="9662" spans="2:14" hidden="1" outlineLevel="1" x14ac:dyDescent="0.35">
      <c r="B9662" s="200"/>
      <c r="C9662" s="201"/>
      <c r="D9662" s="201"/>
      <c r="E9662" s="201"/>
      <c r="F9662" s="202"/>
      <c r="G9662" s="549"/>
      <c r="H9662" s="549"/>
      <c r="I9662" s="549"/>
      <c r="J9662" s="549"/>
      <c r="K9662" s="549"/>
      <c r="M9662" s="465"/>
      <c r="N9662" s="201"/>
    </row>
    <row r="9663" spans="2:14" hidden="1" outlineLevel="1" x14ac:dyDescent="0.35">
      <c r="B9663" s="200"/>
      <c r="C9663" s="201"/>
      <c r="D9663" s="201"/>
      <c r="E9663" s="201"/>
      <c r="F9663" s="202"/>
      <c r="G9663" s="549"/>
      <c r="H9663" s="549"/>
      <c r="I9663" s="549"/>
      <c r="J9663" s="549"/>
      <c r="K9663" s="549"/>
      <c r="M9663" s="465"/>
      <c r="N9663" s="201"/>
    </row>
    <row r="9664" spans="2:14" hidden="1" outlineLevel="1" x14ac:dyDescent="0.35">
      <c r="B9664" s="200"/>
      <c r="C9664" s="201"/>
      <c r="D9664" s="201"/>
      <c r="E9664" s="201"/>
      <c r="F9664" s="202"/>
      <c r="G9664" s="549"/>
      <c r="H9664" s="549"/>
      <c r="I9664" s="549"/>
      <c r="J9664" s="549"/>
      <c r="K9664" s="549"/>
      <c r="M9664" s="465"/>
      <c r="N9664" s="201"/>
    </row>
    <row r="9665" spans="2:14" hidden="1" outlineLevel="1" x14ac:dyDescent="0.35">
      <c r="B9665" s="200"/>
      <c r="C9665" s="201"/>
      <c r="D9665" s="201"/>
      <c r="E9665" s="201"/>
      <c r="F9665" s="202"/>
      <c r="G9665" s="549"/>
      <c r="H9665" s="549"/>
      <c r="I9665" s="549"/>
      <c r="J9665" s="549"/>
      <c r="K9665" s="549"/>
      <c r="M9665" s="465"/>
      <c r="N9665" s="201"/>
    </row>
    <row r="9666" spans="2:14" hidden="1" outlineLevel="1" x14ac:dyDescent="0.35">
      <c r="B9666" s="200"/>
      <c r="C9666" s="201"/>
      <c r="D9666" s="201"/>
      <c r="E9666" s="201"/>
      <c r="F9666" s="202"/>
      <c r="G9666" s="549"/>
      <c r="H9666" s="549"/>
      <c r="I9666" s="549"/>
      <c r="J9666" s="549"/>
      <c r="K9666" s="549"/>
      <c r="M9666" s="465"/>
      <c r="N9666" s="201"/>
    </row>
    <row r="9667" spans="2:14" hidden="1" outlineLevel="1" x14ac:dyDescent="0.35">
      <c r="B9667" s="200"/>
      <c r="C9667" s="201"/>
      <c r="D9667" s="201"/>
      <c r="E9667" s="201"/>
      <c r="F9667" s="202"/>
      <c r="G9667" s="549"/>
      <c r="H9667" s="549"/>
      <c r="I9667" s="549"/>
      <c r="J9667" s="549"/>
      <c r="K9667" s="549"/>
      <c r="M9667" s="465"/>
      <c r="N9667" s="201"/>
    </row>
    <row r="9668" spans="2:14" hidden="1" outlineLevel="1" x14ac:dyDescent="0.35">
      <c r="B9668" s="200"/>
      <c r="C9668" s="201"/>
      <c r="D9668" s="201"/>
      <c r="E9668" s="201"/>
      <c r="F9668" s="202"/>
      <c r="G9668" s="549"/>
      <c r="H9668" s="549"/>
      <c r="I9668" s="549"/>
      <c r="J9668" s="549"/>
      <c r="K9668" s="549"/>
      <c r="M9668" s="465"/>
      <c r="N9668" s="201"/>
    </row>
    <row r="9669" spans="2:14" hidden="1" outlineLevel="1" x14ac:dyDescent="0.35">
      <c r="B9669" s="200"/>
      <c r="C9669" s="201"/>
      <c r="D9669" s="201"/>
      <c r="E9669" s="201"/>
      <c r="F9669" s="202"/>
      <c r="G9669" s="549"/>
      <c r="H9669" s="549"/>
      <c r="I9669" s="549"/>
      <c r="J9669" s="549"/>
      <c r="K9669" s="549"/>
      <c r="M9669" s="465"/>
      <c r="N9669" s="201"/>
    </row>
    <row r="9670" spans="2:14" hidden="1" outlineLevel="1" x14ac:dyDescent="0.35">
      <c r="B9670" s="200"/>
      <c r="C9670" s="201"/>
      <c r="D9670" s="201"/>
      <c r="E9670" s="201"/>
      <c r="F9670" s="202"/>
      <c r="G9670" s="549"/>
      <c r="H9670" s="549"/>
      <c r="I9670" s="549"/>
      <c r="J9670" s="549"/>
      <c r="K9670" s="549"/>
      <c r="M9670" s="465"/>
      <c r="N9670" s="201"/>
    </row>
    <row r="9671" spans="2:14" hidden="1" outlineLevel="1" x14ac:dyDescent="0.35">
      <c r="B9671" s="200"/>
      <c r="C9671" s="201"/>
      <c r="D9671" s="201"/>
      <c r="E9671" s="201"/>
      <c r="F9671" s="202"/>
      <c r="G9671" s="549"/>
      <c r="H9671" s="549"/>
      <c r="I9671" s="549"/>
      <c r="J9671" s="549"/>
      <c r="K9671" s="549"/>
      <c r="M9671" s="465"/>
      <c r="N9671" s="201"/>
    </row>
    <row r="9672" spans="2:14" hidden="1" outlineLevel="1" x14ac:dyDescent="0.35">
      <c r="B9672" s="200"/>
      <c r="C9672" s="201"/>
      <c r="D9672" s="201"/>
      <c r="E9672" s="201"/>
      <c r="F9672" s="202"/>
      <c r="G9672" s="549"/>
      <c r="H9672" s="549"/>
      <c r="I9672" s="549"/>
      <c r="J9672" s="549"/>
      <c r="K9672" s="549"/>
      <c r="M9672" s="465"/>
      <c r="N9672" s="201"/>
    </row>
    <row r="9673" spans="2:14" hidden="1" outlineLevel="1" x14ac:dyDescent="0.35">
      <c r="B9673" s="200"/>
      <c r="C9673" s="201"/>
      <c r="D9673" s="201"/>
      <c r="E9673" s="201"/>
      <c r="F9673" s="202"/>
      <c r="G9673" s="549"/>
      <c r="H9673" s="549"/>
      <c r="I9673" s="549"/>
      <c r="J9673" s="549"/>
      <c r="K9673" s="549"/>
      <c r="M9673" s="465"/>
      <c r="N9673" s="201"/>
    </row>
    <row r="9674" spans="2:14" hidden="1" outlineLevel="1" x14ac:dyDescent="0.35">
      <c r="B9674" s="200"/>
      <c r="C9674" s="201"/>
      <c r="D9674" s="201"/>
      <c r="E9674" s="201"/>
      <c r="F9674" s="202"/>
      <c r="G9674" s="549"/>
      <c r="H9674" s="549"/>
      <c r="I9674" s="549"/>
      <c r="J9674" s="549"/>
      <c r="K9674" s="549"/>
      <c r="M9674" s="465"/>
      <c r="N9674" s="201"/>
    </row>
    <row r="9675" spans="2:14" hidden="1" outlineLevel="1" x14ac:dyDescent="0.35">
      <c r="B9675" s="200"/>
      <c r="C9675" s="201"/>
      <c r="D9675" s="201"/>
      <c r="E9675" s="201"/>
      <c r="F9675" s="202"/>
      <c r="G9675" s="549"/>
      <c r="H9675" s="549"/>
      <c r="I9675" s="549"/>
      <c r="J9675" s="549"/>
      <c r="K9675" s="549"/>
      <c r="M9675" s="465"/>
      <c r="N9675" s="201"/>
    </row>
    <row r="9676" spans="2:14" hidden="1" outlineLevel="1" x14ac:dyDescent="0.35">
      <c r="B9676" s="200"/>
      <c r="C9676" s="201"/>
      <c r="D9676" s="201"/>
      <c r="E9676" s="201"/>
      <c r="F9676" s="202"/>
      <c r="G9676" s="549"/>
      <c r="H9676" s="549"/>
      <c r="I9676" s="549"/>
      <c r="J9676" s="549"/>
      <c r="K9676" s="549"/>
      <c r="M9676" s="465"/>
      <c r="N9676" s="201"/>
    </row>
    <row r="9677" spans="2:14" hidden="1" outlineLevel="1" x14ac:dyDescent="0.35">
      <c r="B9677" s="200"/>
      <c r="C9677" s="201"/>
      <c r="D9677" s="201"/>
      <c r="E9677" s="201"/>
      <c r="F9677" s="202"/>
      <c r="G9677" s="549"/>
      <c r="H9677" s="549"/>
      <c r="I9677" s="549"/>
      <c r="J9677" s="549"/>
      <c r="K9677" s="549"/>
      <c r="M9677" s="465"/>
      <c r="N9677" s="201"/>
    </row>
    <row r="9678" spans="2:14" hidden="1" outlineLevel="1" x14ac:dyDescent="0.35">
      <c r="B9678" s="200"/>
      <c r="C9678" s="201"/>
      <c r="D9678" s="201"/>
      <c r="E9678" s="201"/>
      <c r="F9678" s="202"/>
      <c r="G9678" s="549"/>
      <c r="H9678" s="549"/>
      <c r="I9678" s="549"/>
      <c r="J9678" s="549"/>
      <c r="K9678" s="549"/>
      <c r="M9678" s="465"/>
      <c r="N9678" s="201"/>
    </row>
    <row r="9679" spans="2:14" hidden="1" outlineLevel="1" x14ac:dyDescent="0.35">
      <c r="B9679" s="200"/>
      <c r="C9679" s="201"/>
      <c r="D9679" s="201"/>
      <c r="E9679" s="201"/>
      <c r="F9679" s="202"/>
      <c r="G9679" s="549"/>
      <c r="H9679" s="549"/>
      <c r="I9679" s="549"/>
      <c r="J9679" s="549"/>
      <c r="K9679" s="549"/>
      <c r="M9679" s="465"/>
      <c r="N9679" s="201"/>
    </row>
    <row r="9680" spans="2:14" hidden="1" outlineLevel="1" x14ac:dyDescent="0.35">
      <c r="B9680" s="200"/>
      <c r="C9680" s="201"/>
      <c r="D9680" s="201"/>
      <c r="E9680" s="201"/>
      <c r="F9680" s="202"/>
      <c r="G9680" s="549"/>
      <c r="H9680" s="549"/>
      <c r="I9680" s="549"/>
      <c r="J9680" s="549"/>
      <c r="K9680" s="549"/>
      <c r="M9680" s="465"/>
      <c r="N9680" s="201"/>
    </row>
    <row r="9681" spans="2:14" hidden="1" outlineLevel="1" x14ac:dyDescent="0.35">
      <c r="B9681" s="200"/>
      <c r="C9681" s="201"/>
      <c r="D9681" s="201"/>
      <c r="E9681" s="201"/>
      <c r="F9681" s="202"/>
      <c r="G9681" s="549"/>
      <c r="H9681" s="549"/>
      <c r="I9681" s="549"/>
      <c r="J9681" s="549"/>
      <c r="K9681" s="549"/>
      <c r="M9681" s="465"/>
      <c r="N9681" s="201"/>
    </row>
    <row r="9682" spans="2:14" hidden="1" outlineLevel="1" x14ac:dyDescent="0.35">
      <c r="B9682" s="200"/>
      <c r="C9682" s="201"/>
      <c r="D9682" s="201"/>
      <c r="E9682" s="201"/>
      <c r="F9682" s="202"/>
      <c r="G9682" s="549"/>
      <c r="H9682" s="549"/>
      <c r="I9682" s="549"/>
      <c r="J9682" s="549"/>
      <c r="K9682" s="549"/>
      <c r="M9682" s="465"/>
      <c r="N9682" s="201"/>
    </row>
    <row r="9683" spans="2:14" hidden="1" outlineLevel="1" x14ac:dyDescent="0.35">
      <c r="B9683" s="200"/>
      <c r="C9683" s="201"/>
      <c r="D9683" s="201"/>
      <c r="E9683" s="201"/>
      <c r="F9683" s="202"/>
      <c r="G9683" s="549"/>
      <c r="H9683" s="549"/>
      <c r="I9683" s="549"/>
      <c r="J9683" s="549"/>
      <c r="K9683" s="549"/>
      <c r="M9683" s="465"/>
      <c r="N9683" s="201"/>
    </row>
    <row r="9684" spans="2:14" hidden="1" outlineLevel="1" x14ac:dyDescent="0.35">
      <c r="B9684" s="200"/>
      <c r="C9684" s="201"/>
      <c r="D9684" s="201"/>
      <c r="E9684" s="201"/>
      <c r="F9684" s="202"/>
      <c r="G9684" s="549"/>
      <c r="H9684" s="549"/>
      <c r="I9684" s="549"/>
      <c r="J9684" s="549"/>
      <c r="K9684" s="549"/>
      <c r="M9684" s="465"/>
      <c r="N9684" s="201"/>
    </row>
    <row r="9685" spans="2:14" hidden="1" outlineLevel="1" x14ac:dyDescent="0.35">
      <c r="B9685" s="200"/>
      <c r="C9685" s="201"/>
      <c r="D9685" s="201"/>
      <c r="E9685" s="201"/>
      <c r="F9685" s="202"/>
      <c r="G9685" s="549"/>
      <c r="H9685" s="549"/>
      <c r="I9685" s="549"/>
      <c r="J9685" s="549"/>
      <c r="K9685" s="549"/>
      <c r="M9685" s="465"/>
      <c r="N9685" s="201"/>
    </row>
    <row r="9686" spans="2:14" hidden="1" outlineLevel="1" x14ac:dyDescent="0.35">
      <c r="B9686" s="200"/>
      <c r="C9686" s="201"/>
      <c r="D9686" s="201"/>
      <c r="E9686" s="201"/>
      <c r="F9686" s="202"/>
      <c r="G9686" s="549"/>
      <c r="H9686" s="549"/>
      <c r="I9686" s="549"/>
      <c r="J9686" s="549"/>
      <c r="K9686" s="549"/>
      <c r="M9686" s="465"/>
      <c r="N9686" s="201"/>
    </row>
    <row r="9687" spans="2:14" hidden="1" outlineLevel="1" x14ac:dyDescent="0.35">
      <c r="B9687" s="200"/>
      <c r="C9687" s="201"/>
      <c r="D9687" s="201"/>
      <c r="E9687" s="201"/>
      <c r="F9687" s="202"/>
      <c r="G9687" s="549"/>
      <c r="H9687" s="549"/>
      <c r="I9687" s="549"/>
      <c r="J9687" s="549"/>
      <c r="K9687" s="549"/>
      <c r="M9687" s="465"/>
      <c r="N9687" s="201"/>
    </row>
    <row r="9688" spans="2:14" hidden="1" outlineLevel="1" x14ac:dyDescent="0.35">
      <c r="B9688" s="200"/>
      <c r="C9688" s="201"/>
      <c r="D9688" s="201"/>
      <c r="E9688" s="201"/>
      <c r="F9688" s="202"/>
      <c r="G9688" s="549"/>
      <c r="H9688" s="549"/>
      <c r="I9688" s="549"/>
      <c r="J9688" s="549"/>
      <c r="K9688" s="549"/>
      <c r="M9688" s="465"/>
      <c r="N9688" s="201"/>
    </row>
    <row r="9689" spans="2:14" hidden="1" outlineLevel="1" x14ac:dyDescent="0.35">
      <c r="B9689" s="200"/>
      <c r="C9689" s="201"/>
      <c r="D9689" s="201"/>
      <c r="E9689" s="201"/>
      <c r="F9689" s="202"/>
      <c r="G9689" s="549"/>
      <c r="H9689" s="549"/>
      <c r="I9689" s="549"/>
      <c r="J9689" s="549"/>
      <c r="K9689" s="549"/>
      <c r="M9689" s="465"/>
      <c r="N9689" s="201"/>
    </row>
    <row r="9690" spans="2:14" hidden="1" outlineLevel="1" x14ac:dyDescent="0.35">
      <c r="B9690" s="200"/>
      <c r="C9690" s="201"/>
      <c r="D9690" s="201"/>
      <c r="E9690" s="201"/>
      <c r="F9690" s="202"/>
      <c r="G9690" s="549"/>
      <c r="H9690" s="549"/>
      <c r="I9690" s="549"/>
      <c r="J9690" s="549"/>
      <c r="K9690" s="549"/>
      <c r="M9690" s="465"/>
      <c r="N9690" s="201"/>
    </row>
    <row r="9691" spans="2:14" hidden="1" outlineLevel="1" x14ac:dyDescent="0.35">
      <c r="B9691" s="200"/>
      <c r="C9691" s="201"/>
      <c r="D9691" s="201"/>
      <c r="E9691" s="201"/>
      <c r="F9691" s="202"/>
      <c r="G9691" s="549"/>
      <c r="H9691" s="549"/>
      <c r="I9691" s="549"/>
      <c r="J9691" s="549"/>
      <c r="K9691" s="549"/>
      <c r="M9691" s="465"/>
      <c r="N9691" s="201"/>
    </row>
    <row r="9692" spans="2:14" hidden="1" outlineLevel="1" x14ac:dyDescent="0.35">
      <c r="B9692" s="200"/>
      <c r="C9692" s="201"/>
      <c r="D9692" s="201"/>
      <c r="E9692" s="201"/>
      <c r="F9692" s="202"/>
      <c r="G9692" s="549"/>
      <c r="H9692" s="549"/>
      <c r="I9692" s="549"/>
      <c r="J9692" s="549"/>
      <c r="K9692" s="549"/>
      <c r="M9692" s="465"/>
      <c r="N9692" s="201"/>
    </row>
    <row r="9693" spans="2:14" hidden="1" outlineLevel="1" x14ac:dyDescent="0.35">
      <c r="B9693" s="200"/>
      <c r="C9693" s="201"/>
      <c r="D9693" s="201"/>
      <c r="E9693" s="201"/>
      <c r="F9693" s="202"/>
      <c r="G9693" s="549"/>
      <c r="H9693" s="549"/>
      <c r="I9693" s="549"/>
      <c r="J9693" s="549"/>
      <c r="K9693" s="549"/>
      <c r="M9693" s="465"/>
      <c r="N9693" s="201"/>
    </row>
    <row r="9694" spans="2:14" hidden="1" outlineLevel="1" x14ac:dyDescent="0.35">
      <c r="B9694" s="200"/>
      <c r="C9694" s="201"/>
      <c r="D9694" s="201"/>
      <c r="E9694" s="201"/>
      <c r="F9694" s="202"/>
      <c r="G9694" s="549"/>
      <c r="H9694" s="549"/>
      <c r="I9694" s="549"/>
      <c r="J9694" s="549"/>
      <c r="K9694" s="549"/>
      <c r="M9694" s="465"/>
      <c r="N9694" s="201"/>
    </row>
    <row r="9695" spans="2:14" hidden="1" outlineLevel="1" x14ac:dyDescent="0.35">
      <c r="B9695" s="200"/>
      <c r="C9695" s="201"/>
      <c r="D9695" s="201"/>
      <c r="E9695" s="201"/>
      <c r="F9695" s="202"/>
      <c r="G9695" s="549"/>
      <c r="H9695" s="549"/>
      <c r="I9695" s="549"/>
      <c r="J9695" s="549"/>
      <c r="K9695" s="549"/>
      <c r="M9695" s="465"/>
      <c r="N9695" s="201"/>
    </row>
    <row r="9696" spans="2:14" hidden="1" outlineLevel="1" x14ac:dyDescent="0.35">
      <c r="B9696" s="200"/>
      <c r="C9696" s="201"/>
      <c r="D9696" s="201"/>
      <c r="E9696" s="201"/>
      <c r="F9696" s="202"/>
      <c r="G9696" s="549"/>
      <c r="H9696" s="549"/>
      <c r="I9696" s="549"/>
      <c r="J9696" s="549"/>
      <c r="K9696" s="549"/>
      <c r="M9696" s="465"/>
      <c r="N9696" s="201"/>
    </row>
    <row r="9697" spans="2:14" hidden="1" outlineLevel="1" x14ac:dyDescent="0.35">
      <c r="B9697" s="200"/>
      <c r="C9697" s="201"/>
      <c r="D9697" s="201"/>
      <c r="E9697" s="201"/>
      <c r="F9697" s="202"/>
      <c r="G9697" s="549"/>
      <c r="H9697" s="549"/>
      <c r="I9697" s="549"/>
      <c r="J9697" s="549"/>
      <c r="K9697" s="549"/>
      <c r="M9697" s="465"/>
      <c r="N9697" s="201"/>
    </row>
    <row r="9698" spans="2:14" hidden="1" outlineLevel="1" x14ac:dyDescent="0.35">
      <c r="B9698" s="200"/>
      <c r="C9698" s="201"/>
      <c r="D9698" s="201"/>
      <c r="E9698" s="201"/>
      <c r="F9698" s="202"/>
      <c r="G9698" s="549"/>
      <c r="H9698" s="549"/>
      <c r="I9698" s="549"/>
      <c r="J9698" s="549"/>
      <c r="K9698" s="549"/>
      <c r="M9698" s="465"/>
      <c r="N9698" s="201"/>
    </row>
    <row r="9699" spans="2:14" hidden="1" outlineLevel="1" x14ac:dyDescent="0.35">
      <c r="B9699" s="200"/>
      <c r="C9699" s="201"/>
      <c r="D9699" s="201"/>
      <c r="E9699" s="201"/>
      <c r="F9699" s="202"/>
      <c r="G9699" s="549"/>
      <c r="H9699" s="549"/>
      <c r="I9699" s="549"/>
      <c r="J9699" s="549"/>
      <c r="K9699" s="549"/>
      <c r="M9699" s="465"/>
      <c r="N9699" s="201"/>
    </row>
    <row r="9700" spans="2:14" hidden="1" outlineLevel="1" x14ac:dyDescent="0.35">
      <c r="B9700" s="200"/>
      <c r="C9700" s="201"/>
      <c r="D9700" s="201"/>
      <c r="E9700" s="201"/>
      <c r="F9700" s="202"/>
      <c r="G9700" s="549"/>
      <c r="H9700" s="549"/>
      <c r="I9700" s="549"/>
      <c r="J9700" s="549"/>
      <c r="K9700" s="549"/>
      <c r="M9700" s="465"/>
      <c r="N9700" s="201"/>
    </row>
    <row r="9701" spans="2:14" hidden="1" outlineLevel="1" x14ac:dyDescent="0.35">
      <c r="B9701" s="200"/>
      <c r="C9701" s="201"/>
      <c r="D9701" s="201"/>
      <c r="E9701" s="201"/>
      <c r="F9701" s="202"/>
      <c r="G9701" s="549"/>
      <c r="H9701" s="549"/>
      <c r="I9701" s="549"/>
      <c r="J9701" s="549"/>
      <c r="K9701" s="549"/>
      <c r="M9701" s="465"/>
      <c r="N9701" s="201"/>
    </row>
    <row r="9702" spans="2:14" hidden="1" outlineLevel="1" x14ac:dyDescent="0.35">
      <c r="B9702" s="200"/>
      <c r="C9702" s="201"/>
      <c r="D9702" s="201"/>
      <c r="E9702" s="201"/>
      <c r="F9702" s="202"/>
      <c r="G9702" s="549"/>
      <c r="H9702" s="549"/>
      <c r="I9702" s="549"/>
      <c r="J9702" s="549"/>
      <c r="K9702" s="549"/>
      <c r="M9702" s="465"/>
      <c r="N9702" s="201"/>
    </row>
    <row r="9703" spans="2:14" hidden="1" outlineLevel="1" x14ac:dyDescent="0.35">
      <c r="B9703" s="200"/>
      <c r="C9703" s="201"/>
      <c r="D9703" s="201"/>
      <c r="E9703" s="201"/>
      <c r="F9703" s="202"/>
      <c r="G9703" s="549"/>
      <c r="H9703" s="549"/>
      <c r="I9703" s="549"/>
      <c r="J9703" s="549"/>
      <c r="K9703" s="549"/>
      <c r="M9703" s="465"/>
      <c r="N9703" s="201"/>
    </row>
    <row r="9704" spans="2:14" hidden="1" outlineLevel="1" x14ac:dyDescent="0.35">
      <c r="B9704" s="200"/>
      <c r="C9704" s="201"/>
      <c r="D9704" s="201"/>
      <c r="E9704" s="201"/>
      <c r="F9704" s="202"/>
      <c r="G9704" s="549"/>
      <c r="H9704" s="549"/>
      <c r="I9704" s="549"/>
      <c r="J9704" s="549"/>
      <c r="K9704" s="549"/>
      <c r="M9704" s="465"/>
      <c r="N9704" s="201"/>
    </row>
    <row r="9705" spans="2:14" hidden="1" outlineLevel="1" x14ac:dyDescent="0.35">
      <c r="B9705" s="200"/>
      <c r="C9705" s="201"/>
      <c r="D9705" s="201"/>
      <c r="E9705" s="201"/>
      <c r="F9705" s="202"/>
      <c r="G9705" s="549"/>
      <c r="H9705" s="549"/>
      <c r="I9705" s="549"/>
      <c r="J9705" s="549"/>
      <c r="K9705" s="549"/>
      <c r="M9705" s="465"/>
      <c r="N9705" s="201"/>
    </row>
    <row r="9706" spans="2:14" hidden="1" outlineLevel="1" x14ac:dyDescent="0.35">
      <c r="B9706" s="200"/>
      <c r="C9706" s="201"/>
      <c r="D9706" s="201"/>
      <c r="E9706" s="201"/>
      <c r="F9706" s="202"/>
      <c r="G9706" s="549"/>
      <c r="H9706" s="549"/>
      <c r="I9706" s="549"/>
      <c r="J9706" s="549"/>
      <c r="K9706" s="549"/>
      <c r="M9706" s="465"/>
      <c r="N9706" s="201"/>
    </row>
    <row r="9707" spans="2:14" hidden="1" outlineLevel="1" x14ac:dyDescent="0.35">
      <c r="B9707" s="200"/>
      <c r="C9707" s="201"/>
      <c r="D9707" s="201"/>
      <c r="E9707" s="201"/>
      <c r="F9707" s="202"/>
      <c r="G9707" s="549"/>
      <c r="H9707" s="549"/>
      <c r="I9707" s="549"/>
      <c r="J9707" s="549"/>
      <c r="K9707" s="549"/>
      <c r="M9707" s="465"/>
      <c r="N9707" s="201"/>
    </row>
    <row r="9708" spans="2:14" hidden="1" outlineLevel="1" x14ac:dyDescent="0.35">
      <c r="B9708" s="200"/>
      <c r="C9708" s="201"/>
      <c r="D9708" s="201"/>
      <c r="E9708" s="201"/>
      <c r="F9708" s="202"/>
      <c r="G9708" s="549"/>
      <c r="H9708" s="549"/>
      <c r="I9708" s="549"/>
      <c r="J9708" s="549"/>
      <c r="K9708" s="549"/>
      <c r="M9708" s="465"/>
      <c r="N9708" s="201"/>
    </row>
    <row r="9709" spans="2:14" hidden="1" outlineLevel="1" x14ac:dyDescent="0.35">
      <c r="B9709" s="200"/>
      <c r="C9709" s="201"/>
      <c r="D9709" s="201"/>
      <c r="E9709" s="201"/>
      <c r="F9709" s="202"/>
      <c r="G9709" s="549"/>
      <c r="H9709" s="549"/>
      <c r="I9709" s="549"/>
      <c r="J9709" s="549"/>
      <c r="K9709" s="549"/>
      <c r="M9709" s="465"/>
      <c r="N9709" s="201"/>
    </row>
    <row r="9710" spans="2:14" hidden="1" outlineLevel="1" x14ac:dyDescent="0.35">
      <c r="B9710" s="200"/>
      <c r="C9710" s="201"/>
      <c r="D9710" s="201"/>
      <c r="E9710" s="201"/>
      <c r="F9710" s="202"/>
      <c r="G9710" s="549"/>
      <c r="H9710" s="549"/>
      <c r="I9710" s="549"/>
      <c r="J9710" s="549"/>
      <c r="K9710" s="549"/>
      <c r="M9710" s="465"/>
      <c r="N9710" s="201"/>
    </row>
    <row r="9711" spans="2:14" hidden="1" outlineLevel="1" x14ac:dyDescent="0.35">
      <c r="B9711" s="200"/>
      <c r="C9711" s="201"/>
      <c r="D9711" s="201"/>
      <c r="E9711" s="201"/>
      <c r="F9711" s="202"/>
      <c r="G9711" s="549"/>
      <c r="H9711" s="549"/>
      <c r="I9711" s="549"/>
      <c r="J9711" s="549"/>
      <c r="K9711" s="549"/>
      <c r="M9711" s="465"/>
      <c r="N9711" s="201"/>
    </row>
    <row r="9712" spans="2:14" hidden="1" outlineLevel="1" x14ac:dyDescent="0.35">
      <c r="B9712" s="200"/>
      <c r="C9712" s="201"/>
      <c r="D9712" s="201"/>
      <c r="E9712" s="201"/>
      <c r="F9712" s="202"/>
      <c r="G9712" s="549"/>
      <c r="H9712" s="549"/>
      <c r="I9712" s="549"/>
      <c r="J9712" s="549"/>
      <c r="K9712" s="549"/>
      <c r="M9712" s="465"/>
      <c r="N9712" s="201"/>
    </row>
    <row r="9713" spans="2:14" hidden="1" outlineLevel="1" x14ac:dyDescent="0.35">
      <c r="B9713" s="200"/>
      <c r="C9713" s="201"/>
      <c r="D9713" s="201"/>
      <c r="E9713" s="201"/>
      <c r="F9713" s="202"/>
      <c r="G9713" s="549"/>
      <c r="H9713" s="549"/>
      <c r="I9713" s="549"/>
      <c r="J9713" s="549"/>
      <c r="K9713" s="549"/>
      <c r="M9713" s="465"/>
      <c r="N9713" s="201"/>
    </row>
    <row r="9714" spans="2:14" hidden="1" outlineLevel="1" x14ac:dyDescent="0.35">
      <c r="B9714" s="200"/>
      <c r="C9714" s="201"/>
      <c r="D9714" s="201"/>
      <c r="E9714" s="201"/>
      <c r="F9714" s="202"/>
      <c r="G9714" s="549"/>
      <c r="H9714" s="549"/>
      <c r="I9714" s="549"/>
      <c r="J9714" s="549"/>
      <c r="K9714" s="549"/>
      <c r="M9714" s="465"/>
      <c r="N9714" s="201"/>
    </row>
    <row r="9715" spans="2:14" hidden="1" outlineLevel="1" x14ac:dyDescent="0.35">
      <c r="B9715" s="200"/>
      <c r="C9715" s="201"/>
      <c r="D9715" s="201"/>
      <c r="E9715" s="201"/>
      <c r="F9715" s="202"/>
      <c r="G9715" s="549"/>
      <c r="H9715" s="549"/>
      <c r="I9715" s="549"/>
      <c r="J9715" s="549"/>
      <c r="K9715" s="549"/>
      <c r="M9715" s="465"/>
      <c r="N9715" s="201"/>
    </row>
    <row r="9716" spans="2:14" hidden="1" outlineLevel="1" x14ac:dyDescent="0.35">
      <c r="B9716" s="200"/>
      <c r="C9716" s="201"/>
      <c r="D9716" s="201"/>
      <c r="E9716" s="201"/>
      <c r="F9716" s="202"/>
      <c r="G9716" s="549"/>
      <c r="H9716" s="549"/>
      <c r="I9716" s="549"/>
      <c r="J9716" s="549"/>
      <c r="K9716" s="549"/>
      <c r="M9716" s="465"/>
      <c r="N9716" s="201"/>
    </row>
    <row r="9717" spans="2:14" hidden="1" outlineLevel="1" x14ac:dyDescent="0.35">
      <c r="B9717" s="200"/>
      <c r="C9717" s="201"/>
      <c r="D9717" s="201"/>
      <c r="E9717" s="201"/>
      <c r="F9717" s="202"/>
      <c r="G9717" s="549"/>
      <c r="H9717" s="549"/>
      <c r="I9717" s="549"/>
      <c r="J9717" s="549"/>
      <c r="K9717" s="549"/>
      <c r="M9717" s="465"/>
      <c r="N9717" s="201"/>
    </row>
    <row r="9718" spans="2:14" hidden="1" outlineLevel="1" x14ac:dyDescent="0.35">
      <c r="B9718" s="200"/>
      <c r="C9718" s="201"/>
      <c r="D9718" s="201"/>
      <c r="E9718" s="201"/>
      <c r="F9718" s="202"/>
      <c r="G9718" s="549"/>
      <c r="H9718" s="549"/>
      <c r="I9718" s="549"/>
      <c r="J9718" s="549"/>
      <c r="K9718" s="549"/>
      <c r="M9718" s="465"/>
      <c r="N9718" s="201"/>
    </row>
    <row r="9719" spans="2:14" hidden="1" outlineLevel="1" x14ac:dyDescent="0.35">
      <c r="B9719" s="200"/>
      <c r="C9719" s="201"/>
      <c r="D9719" s="201"/>
      <c r="E9719" s="201"/>
      <c r="F9719" s="202"/>
      <c r="G9719" s="549"/>
      <c r="H9719" s="549"/>
      <c r="I9719" s="549"/>
      <c r="J9719" s="549"/>
      <c r="K9719" s="549"/>
      <c r="M9719" s="465"/>
      <c r="N9719" s="201"/>
    </row>
    <row r="9720" spans="2:14" hidden="1" outlineLevel="1" x14ac:dyDescent="0.35">
      <c r="B9720" s="200"/>
      <c r="C9720" s="201"/>
      <c r="D9720" s="201"/>
      <c r="E9720" s="201"/>
      <c r="F9720" s="202"/>
      <c r="G9720" s="549"/>
      <c r="H9720" s="549"/>
      <c r="I9720" s="549"/>
      <c r="J9720" s="549"/>
      <c r="K9720" s="549"/>
      <c r="M9720" s="465"/>
      <c r="N9720" s="201"/>
    </row>
    <row r="9721" spans="2:14" hidden="1" outlineLevel="1" x14ac:dyDescent="0.35">
      <c r="B9721" s="200"/>
      <c r="C9721" s="201"/>
      <c r="D9721" s="201"/>
      <c r="E9721" s="201"/>
      <c r="F9721" s="202"/>
      <c r="G9721" s="549"/>
      <c r="H9721" s="549"/>
      <c r="I9721" s="549"/>
      <c r="J9721" s="549"/>
      <c r="K9721" s="549"/>
      <c r="M9721" s="465"/>
      <c r="N9721" s="201"/>
    </row>
    <row r="9722" spans="2:14" hidden="1" outlineLevel="1" x14ac:dyDescent="0.35">
      <c r="B9722" s="200"/>
      <c r="C9722" s="201"/>
      <c r="D9722" s="201"/>
      <c r="E9722" s="201"/>
      <c r="F9722" s="202"/>
      <c r="G9722" s="549"/>
      <c r="H9722" s="549"/>
      <c r="I9722" s="549"/>
      <c r="J9722" s="549"/>
      <c r="K9722" s="549"/>
      <c r="M9722" s="465"/>
      <c r="N9722" s="201"/>
    </row>
    <row r="9723" spans="2:14" hidden="1" outlineLevel="1" x14ac:dyDescent="0.35">
      <c r="B9723" s="200"/>
      <c r="C9723" s="201"/>
      <c r="D9723" s="201"/>
      <c r="E9723" s="201"/>
      <c r="F9723" s="202"/>
      <c r="G9723" s="549"/>
      <c r="H9723" s="549"/>
      <c r="I9723" s="549"/>
      <c r="J9723" s="549"/>
      <c r="K9723" s="549"/>
      <c r="M9723" s="465"/>
      <c r="N9723" s="201"/>
    </row>
    <row r="9724" spans="2:14" hidden="1" outlineLevel="1" x14ac:dyDescent="0.35">
      <c r="B9724" s="200"/>
      <c r="C9724" s="201"/>
      <c r="D9724" s="201"/>
      <c r="E9724" s="201"/>
      <c r="F9724" s="202"/>
      <c r="G9724" s="549"/>
      <c r="H9724" s="549"/>
      <c r="I9724" s="549"/>
      <c r="J9724" s="549"/>
      <c r="K9724" s="549"/>
      <c r="M9724" s="465"/>
      <c r="N9724" s="201"/>
    </row>
    <row r="9725" spans="2:14" hidden="1" outlineLevel="1" x14ac:dyDescent="0.35">
      <c r="B9725" s="200"/>
      <c r="C9725" s="201"/>
      <c r="D9725" s="201"/>
      <c r="E9725" s="201"/>
      <c r="F9725" s="202"/>
      <c r="G9725" s="549"/>
      <c r="H9725" s="549"/>
      <c r="I9725" s="549"/>
      <c r="J9725" s="549"/>
      <c r="K9725" s="549"/>
      <c r="M9725" s="465"/>
      <c r="N9725" s="201"/>
    </row>
    <row r="9726" spans="2:14" hidden="1" outlineLevel="1" x14ac:dyDescent="0.35">
      <c r="B9726" s="200"/>
      <c r="C9726" s="201"/>
      <c r="D9726" s="201"/>
      <c r="E9726" s="201"/>
      <c r="F9726" s="202"/>
      <c r="G9726" s="549"/>
      <c r="H9726" s="549"/>
      <c r="I9726" s="549"/>
      <c r="J9726" s="549"/>
      <c r="K9726" s="549"/>
      <c r="M9726" s="465"/>
      <c r="N9726" s="201"/>
    </row>
    <row r="9727" spans="2:14" hidden="1" outlineLevel="1" x14ac:dyDescent="0.35">
      <c r="B9727" s="200"/>
      <c r="C9727" s="201"/>
      <c r="D9727" s="201"/>
      <c r="E9727" s="201"/>
      <c r="F9727" s="202"/>
      <c r="G9727" s="549"/>
      <c r="H9727" s="549"/>
      <c r="I9727" s="549"/>
      <c r="J9727" s="549"/>
      <c r="K9727" s="549"/>
      <c r="M9727" s="465"/>
      <c r="N9727" s="201"/>
    </row>
    <row r="9728" spans="2:14" hidden="1" outlineLevel="1" x14ac:dyDescent="0.35">
      <c r="B9728" s="200"/>
      <c r="C9728" s="201"/>
      <c r="D9728" s="201"/>
      <c r="E9728" s="201"/>
      <c r="F9728" s="202"/>
      <c r="G9728" s="549"/>
      <c r="H9728" s="549"/>
      <c r="I9728" s="549"/>
      <c r="J9728" s="549"/>
      <c r="K9728" s="549"/>
      <c r="M9728" s="465"/>
      <c r="N9728" s="201"/>
    </row>
    <row r="9729" spans="2:14" hidden="1" outlineLevel="1" x14ac:dyDescent="0.35">
      <c r="B9729" s="200"/>
      <c r="C9729" s="201"/>
      <c r="D9729" s="201"/>
      <c r="E9729" s="201"/>
      <c r="F9729" s="202"/>
      <c r="G9729" s="549"/>
      <c r="H9729" s="549"/>
      <c r="I9729" s="549"/>
      <c r="J9729" s="549"/>
      <c r="K9729" s="549"/>
      <c r="M9729" s="465"/>
      <c r="N9729" s="201"/>
    </row>
    <row r="9730" spans="2:14" hidden="1" outlineLevel="1" x14ac:dyDescent="0.35">
      <c r="B9730" s="200"/>
      <c r="C9730" s="201"/>
      <c r="D9730" s="201"/>
      <c r="E9730" s="201"/>
      <c r="F9730" s="202"/>
      <c r="G9730" s="549"/>
      <c r="H9730" s="549"/>
      <c r="I9730" s="549"/>
      <c r="J9730" s="549"/>
      <c r="K9730" s="549"/>
      <c r="M9730" s="465"/>
      <c r="N9730" s="201"/>
    </row>
    <row r="9731" spans="2:14" hidden="1" outlineLevel="1" x14ac:dyDescent="0.35">
      <c r="B9731" s="200"/>
      <c r="C9731" s="201"/>
      <c r="D9731" s="201"/>
      <c r="E9731" s="201"/>
      <c r="F9731" s="202"/>
      <c r="G9731" s="549"/>
      <c r="H9731" s="549"/>
      <c r="I9731" s="549"/>
      <c r="J9731" s="549"/>
      <c r="K9731" s="549"/>
      <c r="M9731" s="465"/>
      <c r="N9731" s="201"/>
    </row>
    <row r="9732" spans="2:14" hidden="1" outlineLevel="1" x14ac:dyDescent="0.35">
      <c r="B9732" s="200"/>
      <c r="C9732" s="201"/>
      <c r="D9732" s="201"/>
      <c r="E9732" s="201"/>
      <c r="F9732" s="202"/>
      <c r="G9732" s="549"/>
      <c r="H9732" s="549"/>
      <c r="I9732" s="549"/>
      <c r="J9732" s="549"/>
      <c r="K9732" s="549"/>
      <c r="M9732" s="465"/>
      <c r="N9732" s="201"/>
    </row>
    <row r="9733" spans="2:14" hidden="1" outlineLevel="1" x14ac:dyDescent="0.35">
      <c r="B9733" s="200"/>
      <c r="C9733" s="201"/>
      <c r="D9733" s="201"/>
      <c r="E9733" s="201"/>
      <c r="F9733" s="202"/>
      <c r="G9733" s="549"/>
      <c r="H9733" s="549"/>
      <c r="I9733" s="549"/>
      <c r="J9733" s="549"/>
      <c r="K9733" s="549"/>
      <c r="M9733" s="465"/>
      <c r="N9733" s="201"/>
    </row>
    <row r="9734" spans="2:14" hidden="1" outlineLevel="1" x14ac:dyDescent="0.35">
      <c r="B9734" s="200"/>
      <c r="C9734" s="201"/>
      <c r="D9734" s="201"/>
      <c r="E9734" s="201"/>
      <c r="F9734" s="202"/>
      <c r="G9734" s="549"/>
      <c r="H9734" s="549"/>
      <c r="I9734" s="549"/>
      <c r="J9734" s="549"/>
      <c r="K9734" s="549"/>
      <c r="M9734" s="465"/>
      <c r="N9734" s="201"/>
    </row>
    <row r="9735" spans="2:14" hidden="1" outlineLevel="1" x14ac:dyDescent="0.35">
      <c r="B9735" s="200"/>
      <c r="C9735" s="201"/>
      <c r="D9735" s="201"/>
      <c r="E9735" s="201"/>
      <c r="F9735" s="202"/>
      <c r="G9735" s="549"/>
      <c r="H9735" s="549"/>
      <c r="I9735" s="549"/>
      <c r="J9735" s="549"/>
      <c r="K9735" s="549"/>
      <c r="M9735" s="465"/>
      <c r="N9735" s="201"/>
    </row>
    <row r="9736" spans="2:14" hidden="1" outlineLevel="1" x14ac:dyDescent="0.35">
      <c r="B9736" s="200"/>
      <c r="C9736" s="201"/>
      <c r="D9736" s="201"/>
      <c r="E9736" s="201"/>
      <c r="F9736" s="202"/>
      <c r="G9736" s="549"/>
      <c r="H9736" s="549"/>
      <c r="I9736" s="549"/>
      <c r="J9736" s="549"/>
      <c r="K9736" s="549"/>
      <c r="M9736" s="465"/>
      <c r="N9736" s="201"/>
    </row>
    <row r="9737" spans="2:14" hidden="1" outlineLevel="1" x14ac:dyDescent="0.35">
      <c r="B9737" s="200"/>
      <c r="C9737" s="201"/>
      <c r="D9737" s="201"/>
      <c r="E9737" s="201"/>
      <c r="F9737" s="202"/>
      <c r="G9737" s="549"/>
      <c r="H9737" s="549"/>
      <c r="I9737" s="549"/>
      <c r="J9737" s="549"/>
      <c r="K9737" s="549"/>
      <c r="M9737" s="465"/>
      <c r="N9737" s="201"/>
    </row>
    <row r="9738" spans="2:14" hidden="1" outlineLevel="1" x14ac:dyDescent="0.35">
      <c r="B9738" s="200"/>
      <c r="C9738" s="201"/>
      <c r="D9738" s="201"/>
      <c r="E9738" s="201"/>
      <c r="F9738" s="202"/>
      <c r="G9738" s="549"/>
      <c r="H9738" s="549"/>
      <c r="I9738" s="549"/>
      <c r="J9738" s="549"/>
      <c r="K9738" s="549"/>
      <c r="M9738" s="465"/>
      <c r="N9738" s="201"/>
    </row>
    <row r="9739" spans="2:14" hidden="1" outlineLevel="1" x14ac:dyDescent="0.35">
      <c r="B9739" s="200"/>
      <c r="C9739" s="201"/>
      <c r="D9739" s="201"/>
      <c r="E9739" s="201"/>
      <c r="F9739" s="202"/>
      <c r="G9739" s="549"/>
      <c r="H9739" s="549"/>
      <c r="I9739" s="549"/>
      <c r="J9739" s="549"/>
      <c r="K9739" s="549"/>
      <c r="M9739" s="465"/>
      <c r="N9739" s="201"/>
    </row>
    <row r="9740" spans="2:14" hidden="1" outlineLevel="1" x14ac:dyDescent="0.35">
      <c r="B9740" s="200"/>
      <c r="C9740" s="201"/>
      <c r="D9740" s="201"/>
      <c r="E9740" s="201"/>
      <c r="F9740" s="202"/>
      <c r="G9740" s="549"/>
      <c r="H9740" s="549"/>
      <c r="I9740" s="549"/>
      <c r="J9740" s="549"/>
      <c r="K9740" s="549"/>
      <c r="M9740" s="465"/>
      <c r="N9740" s="201"/>
    </row>
    <row r="9741" spans="2:14" hidden="1" outlineLevel="1" x14ac:dyDescent="0.35">
      <c r="B9741" s="200"/>
      <c r="C9741" s="201"/>
      <c r="D9741" s="201"/>
      <c r="E9741" s="201"/>
      <c r="F9741" s="202"/>
      <c r="G9741" s="549"/>
      <c r="H9741" s="549"/>
      <c r="I9741" s="549"/>
      <c r="J9741" s="549"/>
      <c r="K9741" s="549"/>
      <c r="M9741" s="465"/>
      <c r="N9741" s="201"/>
    </row>
    <row r="9742" spans="2:14" hidden="1" outlineLevel="1" x14ac:dyDescent="0.35">
      <c r="B9742" s="200"/>
      <c r="C9742" s="201"/>
      <c r="D9742" s="201"/>
      <c r="E9742" s="201"/>
      <c r="F9742" s="202"/>
      <c r="G9742" s="549"/>
      <c r="H9742" s="549"/>
      <c r="I9742" s="549"/>
      <c r="J9742" s="549"/>
      <c r="K9742" s="549"/>
      <c r="M9742" s="465"/>
      <c r="N9742" s="201"/>
    </row>
    <row r="9743" spans="2:14" hidden="1" outlineLevel="1" x14ac:dyDescent="0.35">
      <c r="B9743" s="200"/>
      <c r="C9743" s="201"/>
      <c r="D9743" s="201"/>
      <c r="E9743" s="201"/>
      <c r="F9743" s="202"/>
      <c r="G9743" s="549"/>
      <c r="H9743" s="549"/>
      <c r="I9743" s="549"/>
      <c r="J9743" s="549"/>
      <c r="K9743" s="549"/>
      <c r="M9743" s="465"/>
      <c r="N9743" s="201"/>
    </row>
    <row r="9744" spans="2:14" hidden="1" outlineLevel="1" x14ac:dyDescent="0.35">
      <c r="B9744" s="200"/>
      <c r="C9744" s="201"/>
      <c r="D9744" s="201"/>
      <c r="E9744" s="201"/>
      <c r="F9744" s="202"/>
      <c r="G9744" s="549"/>
      <c r="H9744" s="549"/>
      <c r="I9744" s="549"/>
      <c r="J9744" s="549"/>
      <c r="K9744" s="549"/>
      <c r="M9744" s="465"/>
      <c r="N9744" s="201"/>
    </row>
    <row r="9745" spans="2:14" hidden="1" outlineLevel="1" x14ac:dyDescent="0.35">
      <c r="B9745" s="200"/>
      <c r="C9745" s="201"/>
      <c r="D9745" s="201"/>
      <c r="E9745" s="201"/>
      <c r="F9745" s="202"/>
      <c r="G9745" s="549"/>
      <c r="H9745" s="549"/>
      <c r="I9745" s="549"/>
      <c r="J9745" s="549"/>
      <c r="K9745" s="549"/>
      <c r="M9745" s="465"/>
      <c r="N9745" s="201"/>
    </row>
    <row r="9746" spans="2:14" hidden="1" outlineLevel="1" x14ac:dyDescent="0.35">
      <c r="B9746" s="200"/>
      <c r="C9746" s="201"/>
      <c r="D9746" s="201"/>
      <c r="E9746" s="201"/>
      <c r="F9746" s="202"/>
      <c r="G9746" s="549"/>
      <c r="H9746" s="549"/>
      <c r="I9746" s="549"/>
      <c r="J9746" s="549"/>
      <c r="K9746" s="549"/>
      <c r="M9746" s="465"/>
      <c r="N9746" s="201"/>
    </row>
    <row r="9747" spans="2:14" hidden="1" outlineLevel="1" x14ac:dyDescent="0.35">
      <c r="B9747" s="200"/>
      <c r="C9747" s="201"/>
      <c r="D9747" s="201"/>
      <c r="E9747" s="201"/>
      <c r="F9747" s="202"/>
      <c r="G9747" s="549"/>
      <c r="H9747" s="549"/>
      <c r="I9747" s="549"/>
      <c r="J9747" s="549"/>
      <c r="K9747" s="549"/>
      <c r="M9747" s="465"/>
      <c r="N9747" s="201"/>
    </row>
    <row r="9748" spans="2:14" hidden="1" outlineLevel="1" x14ac:dyDescent="0.35">
      <c r="B9748" s="200"/>
      <c r="C9748" s="201"/>
      <c r="D9748" s="201"/>
      <c r="E9748" s="201"/>
      <c r="F9748" s="202"/>
      <c r="G9748" s="549"/>
      <c r="H9748" s="549"/>
      <c r="I9748" s="549"/>
      <c r="J9748" s="549"/>
      <c r="K9748" s="549"/>
      <c r="M9748" s="465"/>
      <c r="N9748" s="201"/>
    </row>
    <row r="9749" spans="2:14" hidden="1" outlineLevel="1" x14ac:dyDescent="0.35">
      <c r="B9749" s="200"/>
      <c r="C9749" s="201"/>
      <c r="D9749" s="201"/>
      <c r="E9749" s="201"/>
      <c r="F9749" s="202"/>
      <c r="G9749" s="549"/>
      <c r="H9749" s="549"/>
      <c r="I9749" s="549"/>
      <c r="J9749" s="549"/>
      <c r="K9749" s="549"/>
      <c r="M9749" s="465"/>
      <c r="N9749" s="201"/>
    </row>
    <row r="9750" spans="2:14" hidden="1" outlineLevel="1" x14ac:dyDescent="0.35">
      <c r="B9750" s="200"/>
      <c r="C9750" s="201"/>
      <c r="D9750" s="201"/>
      <c r="E9750" s="201"/>
      <c r="F9750" s="202"/>
      <c r="G9750" s="549"/>
      <c r="H9750" s="549"/>
      <c r="I9750" s="549"/>
      <c r="J9750" s="549"/>
      <c r="K9750" s="549"/>
      <c r="M9750" s="465"/>
      <c r="N9750" s="201"/>
    </row>
    <row r="9751" spans="2:14" hidden="1" outlineLevel="1" x14ac:dyDescent="0.35">
      <c r="B9751" s="200"/>
      <c r="C9751" s="201"/>
      <c r="D9751" s="201"/>
      <c r="E9751" s="201"/>
      <c r="F9751" s="202"/>
      <c r="G9751" s="549"/>
      <c r="H9751" s="549"/>
      <c r="I9751" s="549"/>
      <c r="J9751" s="549"/>
      <c r="K9751" s="549"/>
      <c r="M9751" s="465"/>
      <c r="N9751" s="201"/>
    </row>
    <row r="9752" spans="2:14" hidden="1" outlineLevel="1" x14ac:dyDescent="0.35">
      <c r="B9752" s="200"/>
      <c r="C9752" s="201"/>
      <c r="D9752" s="201"/>
      <c r="E9752" s="201"/>
      <c r="F9752" s="202"/>
      <c r="G9752" s="549"/>
      <c r="H9752" s="549"/>
      <c r="I9752" s="549"/>
      <c r="J9752" s="549"/>
      <c r="K9752" s="549"/>
      <c r="M9752" s="465"/>
      <c r="N9752" s="201"/>
    </row>
    <row r="9753" spans="2:14" hidden="1" outlineLevel="1" x14ac:dyDescent="0.35">
      <c r="B9753" s="200"/>
      <c r="C9753" s="201"/>
      <c r="D9753" s="201"/>
      <c r="E9753" s="201"/>
      <c r="F9753" s="202"/>
      <c r="G9753" s="549"/>
      <c r="H9753" s="549"/>
      <c r="I9753" s="549"/>
      <c r="J9753" s="549"/>
      <c r="K9753" s="549"/>
      <c r="M9753" s="465"/>
      <c r="N9753" s="201"/>
    </row>
    <row r="9754" spans="2:14" hidden="1" outlineLevel="1" x14ac:dyDescent="0.35">
      <c r="B9754" s="200"/>
      <c r="C9754" s="201"/>
      <c r="D9754" s="201"/>
      <c r="E9754" s="201"/>
      <c r="F9754" s="202"/>
      <c r="G9754" s="549"/>
      <c r="H9754" s="549"/>
      <c r="I9754" s="549"/>
      <c r="J9754" s="549"/>
      <c r="K9754" s="549"/>
      <c r="M9754" s="465"/>
      <c r="N9754" s="201"/>
    </row>
    <row r="9755" spans="2:14" hidden="1" outlineLevel="1" x14ac:dyDescent="0.35">
      <c r="B9755" s="200"/>
      <c r="C9755" s="201"/>
      <c r="D9755" s="201"/>
      <c r="E9755" s="201"/>
      <c r="F9755" s="202"/>
      <c r="G9755" s="549"/>
      <c r="H9755" s="549"/>
      <c r="I9755" s="549"/>
      <c r="J9755" s="549"/>
      <c r="K9755" s="549"/>
      <c r="M9755" s="465"/>
      <c r="N9755" s="201"/>
    </row>
    <row r="9756" spans="2:14" hidden="1" outlineLevel="1" x14ac:dyDescent="0.35">
      <c r="B9756" s="200"/>
      <c r="C9756" s="201"/>
      <c r="D9756" s="201"/>
      <c r="E9756" s="201"/>
      <c r="F9756" s="202"/>
      <c r="G9756" s="549"/>
      <c r="H9756" s="549"/>
      <c r="I9756" s="549"/>
      <c r="J9756" s="549"/>
      <c r="K9756" s="549"/>
      <c r="M9756" s="465"/>
      <c r="N9756" s="201"/>
    </row>
    <row r="9757" spans="2:14" hidden="1" outlineLevel="1" x14ac:dyDescent="0.35">
      <c r="B9757" s="200"/>
      <c r="C9757" s="201"/>
      <c r="D9757" s="201"/>
      <c r="E9757" s="201"/>
      <c r="F9757" s="202"/>
      <c r="G9757" s="549"/>
      <c r="H9757" s="549"/>
      <c r="I9757" s="549"/>
      <c r="J9757" s="549"/>
      <c r="K9757" s="549"/>
      <c r="M9757" s="465"/>
      <c r="N9757" s="201"/>
    </row>
    <row r="9758" spans="2:14" hidden="1" outlineLevel="1" x14ac:dyDescent="0.35">
      <c r="B9758" s="200"/>
      <c r="C9758" s="201"/>
      <c r="D9758" s="201"/>
      <c r="E9758" s="201"/>
      <c r="F9758" s="202"/>
      <c r="G9758" s="549"/>
      <c r="H9758" s="549"/>
      <c r="I9758" s="549"/>
      <c r="J9758" s="549"/>
      <c r="K9758" s="549"/>
      <c r="M9758" s="465"/>
      <c r="N9758" s="201"/>
    </row>
    <row r="9759" spans="2:14" hidden="1" outlineLevel="1" x14ac:dyDescent="0.35">
      <c r="B9759" s="200"/>
      <c r="C9759" s="201"/>
      <c r="D9759" s="201"/>
      <c r="E9759" s="201"/>
      <c r="F9759" s="202"/>
      <c r="G9759" s="549"/>
      <c r="H9759" s="549"/>
      <c r="I9759" s="549"/>
      <c r="J9759" s="549"/>
      <c r="K9759" s="549"/>
      <c r="M9759" s="465"/>
      <c r="N9759" s="201"/>
    </row>
    <row r="9760" spans="2:14" hidden="1" outlineLevel="1" x14ac:dyDescent="0.35">
      <c r="B9760" s="200"/>
      <c r="C9760" s="201"/>
      <c r="D9760" s="201"/>
      <c r="E9760" s="201"/>
      <c r="F9760" s="202"/>
      <c r="G9760" s="549"/>
      <c r="H9760" s="549"/>
      <c r="I9760" s="549"/>
      <c r="J9760" s="549"/>
      <c r="K9760" s="549"/>
      <c r="M9760" s="465"/>
      <c r="N9760" s="201"/>
    </row>
    <row r="9761" spans="2:14" hidden="1" outlineLevel="1" x14ac:dyDescent="0.35">
      <c r="B9761" s="200"/>
      <c r="C9761" s="201"/>
      <c r="D9761" s="201"/>
      <c r="E9761" s="201"/>
      <c r="F9761" s="202"/>
      <c r="G9761" s="549"/>
      <c r="H9761" s="549"/>
      <c r="I9761" s="549"/>
      <c r="J9761" s="549"/>
      <c r="K9761" s="549"/>
      <c r="M9761" s="465"/>
      <c r="N9761" s="201"/>
    </row>
    <row r="9762" spans="2:14" hidden="1" outlineLevel="1" x14ac:dyDescent="0.35">
      <c r="B9762" s="200"/>
      <c r="C9762" s="201"/>
      <c r="D9762" s="201"/>
      <c r="E9762" s="201"/>
      <c r="F9762" s="202"/>
      <c r="G9762" s="549"/>
      <c r="H9762" s="549"/>
      <c r="I9762" s="549"/>
      <c r="J9762" s="549"/>
      <c r="K9762" s="549"/>
      <c r="M9762" s="465"/>
      <c r="N9762" s="201"/>
    </row>
    <row r="9763" spans="2:14" hidden="1" outlineLevel="1" x14ac:dyDescent="0.35">
      <c r="B9763" s="200"/>
      <c r="C9763" s="201"/>
      <c r="D9763" s="201"/>
      <c r="E9763" s="201"/>
      <c r="F9763" s="202"/>
      <c r="G9763" s="549"/>
      <c r="H9763" s="549"/>
      <c r="I9763" s="549"/>
      <c r="J9763" s="549"/>
      <c r="K9763" s="549"/>
      <c r="M9763" s="465"/>
      <c r="N9763" s="201"/>
    </row>
    <row r="9764" spans="2:14" hidden="1" outlineLevel="1" x14ac:dyDescent="0.35">
      <c r="B9764" s="200"/>
      <c r="C9764" s="201"/>
      <c r="D9764" s="201"/>
      <c r="E9764" s="201"/>
      <c r="F9764" s="202"/>
      <c r="G9764" s="549"/>
      <c r="H9764" s="549"/>
      <c r="I9764" s="549"/>
      <c r="J9764" s="549"/>
      <c r="K9764" s="549"/>
      <c r="M9764" s="465"/>
      <c r="N9764" s="201"/>
    </row>
    <row r="9765" spans="2:14" hidden="1" outlineLevel="1" x14ac:dyDescent="0.35">
      <c r="B9765" s="200"/>
      <c r="C9765" s="201"/>
      <c r="D9765" s="201"/>
      <c r="E9765" s="201"/>
      <c r="F9765" s="202"/>
      <c r="G9765" s="549"/>
      <c r="H9765" s="549"/>
      <c r="I9765" s="549"/>
      <c r="J9765" s="549"/>
      <c r="K9765" s="549"/>
      <c r="M9765" s="465"/>
      <c r="N9765" s="201"/>
    </row>
    <row r="9766" spans="2:14" hidden="1" outlineLevel="1" x14ac:dyDescent="0.35">
      <c r="B9766" s="200"/>
      <c r="C9766" s="201"/>
      <c r="D9766" s="201"/>
      <c r="E9766" s="201"/>
      <c r="F9766" s="202"/>
      <c r="G9766" s="549"/>
      <c r="H9766" s="549"/>
      <c r="I9766" s="549"/>
      <c r="J9766" s="549"/>
      <c r="K9766" s="549"/>
      <c r="M9766" s="465"/>
      <c r="N9766" s="201"/>
    </row>
    <row r="9767" spans="2:14" hidden="1" outlineLevel="1" x14ac:dyDescent="0.35">
      <c r="B9767" s="200"/>
      <c r="C9767" s="201"/>
      <c r="D9767" s="201"/>
      <c r="E9767" s="201"/>
      <c r="F9767" s="202"/>
      <c r="G9767" s="549"/>
      <c r="H9767" s="549"/>
      <c r="I9767" s="549"/>
      <c r="J9767" s="549"/>
      <c r="K9767" s="549"/>
      <c r="M9767" s="465"/>
      <c r="N9767" s="201"/>
    </row>
    <row r="9768" spans="2:14" hidden="1" outlineLevel="1" x14ac:dyDescent="0.35">
      <c r="B9768" s="200"/>
      <c r="C9768" s="201"/>
      <c r="D9768" s="201"/>
      <c r="E9768" s="201"/>
      <c r="F9768" s="202"/>
      <c r="G9768" s="549"/>
      <c r="H9768" s="549"/>
      <c r="I9768" s="549"/>
      <c r="J9768" s="549"/>
      <c r="K9768" s="549"/>
      <c r="M9768" s="465"/>
      <c r="N9768" s="201"/>
    </row>
    <row r="9769" spans="2:14" hidden="1" outlineLevel="1" x14ac:dyDescent="0.35">
      <c r="B9769" s="200"/>
      <c r="C9769" s="201"/>
      <c r="D9769" s="201"/>
      <c r="E9769" s="201"/>
      <c r="F9769" s="202"/>
      <c r="G9769" s="549"/>
      <c r="H9769" s="549"/>
      <c r="I9769" s="549"/>
      <c r="J9769" s="549"/>
      <c r="K9769" s="549"/>
      <c r="M9769" s="465"/>
      <c r="N9769" s="201"/>
    </row>
    <row r="9770" spans="2:14" hidden="1" outlineLevel="1" x14ac:dyDescent="0.35">
      <c r="B9770" s="200"/>
      <c r="C9770" s="201"/>
      <c r="D9770" s="201"/>
      <c r="E9770" s="201"/>
      <c r="F9770" s="202"/>
      <c r="G9770" s="549"/>
      <c r="H9770" s="549"/>
      <c r="I9770" s="549"/>
      <c r="J9770" s="549"/>
      <c r="K9770" s="549"/>
      <c r="M9770" s="465"/>
      <c r="N9770" s="201"/>
    </row>
    <row r="9771" spans="2:14" hidden="1" outlineLevel="1" x14ac:dyDescent="0.35">
      <c r="B9771" s="200"/>
      <c r="C9771" s="201"/>
      <c r="D9771" s="201"/>
      <c r="E9771" s="201"/>
      <c r="F9771" s="202"/>
      <c r="G9771" s="549"/>
      <c r="H9771" s="549"/>
      <c r="I9771" s="549"/>
      <c r="J9771" s="549"/>
      <c r="K9771" s="549"/>
      <c r="M9771" s="465"/>
      <c r="N9771" s="201"/>
    </row>
    <row r="9772" spans="2:14" hidden="1" outlineLevel="1" x14ac:dyDescent="0.35">
      <c r="B9772" s="200"/>
      <c r="C9772" s="201"/>
      <c r="D9772" s="201"/>
      <c r="E9772" s="201"/>
      <c r="F9772" s="202"/>
      <c r="G9772" s="549"/>
      <c r="H9772" s="549"/>
      <c r="I9772" s="549"/>
      <c r="J9772" s="549"/>
      <c r="K9772" s="549"/>
      <c r="M9772" s="465"/>
      <c r="N9772" s="201"/>
    </row>
    <row r="9773" spans="2:14" hidden="1" outlineLevel="1" x14ac:dyDescent="0.35">
      <c r="B9773" s="200"/>
      <c r="C9773" s="201"/>
      <c r="D9773" s="201"/>
      <c r="E9773" s="201"/>
      <c r="F9773" s="202"/>
      <c r="G9773" s="549"/>
      <c r="H9773" s="549"/>
      <c r="I9773" s="549"/>
      <c r="J9773" s="549"/>
      <c r="K9773" s="549"/>
      <c r="M9773" s="465"/>
      <c r="N9773" s="201"/>
    </row>
    <row r="9774" spans="2:14" hidden="1" outlineLevel="1" x14ac:dyDescent="0.35">
      <c r="B9774" s="200"/>
      <c r="C9774" s="201"/>
      <c r="D9774" s="201"/>
      <c r="E9774" s="201"/>
      <c r="F9774" s="202"/>
      <c r="G9774" s="549"/>
      <c r="H9774" s="549"/>
      <c r="I9774" s="549"/>
      <c r="J9774" s="549"/>
      <c r="K9774" s="549"/>
      <c r="M9774" s="465"/>
      <c r="N9774" s="201"/>
    </row>
    <row r="9775" spans="2:14" hidden="1" outlineLevel="1" x14ac:dyDescent="0.35">
      <c r="B9775" s="200"/>
      <c r="C9775" s="201"/>
      <c r="D9775" s="201"/>
      <c r="E9775" s="201"/>
      <c r="F9775" s="202"/>
      <c r="G9775" s="549"/>
      <c r="H9775" s="549"/>
      <c r="I9775" s="549"/>
      <c r="J9775" s="549"/>
      <c r="K9775" s="549"/>
      <c r="M9775" s="465"/>
      <c r="N9775" s="201"/>
    </row>
    <row r="9776" spans="2:14" hidden="1" outlineLevel="1" x14ac:dyDescent="0.35">
      <c r="B9776" s="200"/>
      <c r="C9776" s="201"/>
      <c r="D9776" s="201"/>
      <c r="E9776" s="201"/>
      <c r="F9776" s="202"/>
      <c r="G9776" s="549"/>
      <c r="H9776" s="549"/>
      <c r="I9776" s="549"/>
      <c r="J9776" s="549"/>
      <c r="K9776" s="549"/>
      <c r="M9776" s="465"/>
      <c r="N9776" s="201"/>
    </row>
    <row r="9777" spans="2:14" hidden="1" outlineLevel="1" x14ac:dyDescent="0.35">
      <c r="B9777" s="200"/>
      <c r="C9777" s="201"/>
      <c r="D9777" s="201"/>
      <c r="E9777" s="201"/>
      <c r="F9777" s="202"/>
      <c r="G9777" s="549"/>
      <c r="H9777" s="549"/>
      <c r="I9777" s="549"/>
      <c r="J9777" s="549"/>
      <c r="K9777" s="549"/>
      <c r="M9777" s="465"/>
      <c r="N9777" s="201"/>
    </row>
    <row r="9778" spans="2:14" hidden="1" outlineLevel="1" x14ac:dyDescent="0.35">
      <c r="B9778" s="200"/>
      <c r="C9778" s="201"/>
      <c r="D9778" s="201"/>
      <c r="E9778" s="201"/>
      <c r="F9778" s="202"/>
      <c r="G9778" s="549"/>
      <c r="H9778" s="549"/>
      <c r="I9778" s="549"/>
      <c r="J9778" s="549"/>
      <c r="K9778" s="549"/>
      <c r="M9778" s="465"/>
      <c r="N9778" s="201"/>
    </row>
    <row r="9779" spans="2:14" hidden="1" outlineLevel="1" x14ac:dyDescent="0.35">
      <c r="B9779" s="200"/>
      <c r="C9779" s="201"/>
      <c r="D9779" s="201"/>
      <c r="E9779" s="201"/>
      <c r="F9779" s="202"/>
      <c r="G9779" s="549"/>
      <c r="H9779" s="549"/>
      <c r="I9779" s="549"/>
      <c r="J9779" s="549"/>
      <c r="K9779" s="549"/>
      <c r="M9779" s="465"/>
      <c r="N9779" s="201"/>
    </row>
    <row r="9780" spans="2:14" hidden="1" outlineLevel="1" x14ac:dyDescent="0.35">
      <c r="B9780" s="200"/>
      <c r="C9780" s="201"/>
      <c r="D9780" s="201"/>
      <c r="E9780" s="201"/>
      <c r="F9780" s="202"/>
      <c r="G9780" s="549"/>
      <c r="H9780" s="549"/>
      <c r="I9780" s="549"/>
      <c r="J9780" s="549"/>
      <c r="K9780" s="549"/>
      <c r="M9780" s="465"/>
      <c r="N9780" s="201"/>
    </row>
    <row r="9781" spans="2:14" hidden="1" outlineLevel="1" x14ac:dyDescent="0.35">
      <c r="B9781" s="200"/>
      <c r="C9781" s="201"/>
      <c r="D9781" s="201"/>
      <c r="E9781" s="201"/>
      <c r="F9781" s="202"/>
      <c r="G9781" s="549"/>
      <c r="H9781" s="549"/>
      <c r="I9781" s="549"/>
      <c r="J9781" s="549"/>
      <c r="K9781" s="549"/>
      <c r="M9781" s="465"/>
      <c r="N9781" s="201"/>
    </row>
    <row r="9782" spans="2:14" hidden="1" outlineLevel="1" x14ac:dyDescent="0.35">
      <c r="B9782" s="200"/>
      <c r="C9782" s="201"/>
      <c r="D9782" s="201"/>
      <c r="E9782" s="201"/>
      <c r="F9782" s="202"/>
      <c r="G9782" s="549"/>
      <c r="H9782" s="549"/>
      <c r="I9782" s="549"/>
      <c r="J9782" s="549"/>
      <c r="K9782" s="549"/>
      <c r="M9782" s="465"/>
      <c r="N9782" s="201"/>
    </row>
    <row r="9783" spans="2:14" hidden="1" outlineLevel="1" x14ac:dyDescent="0.35">
      <c r="B9783" s="200"/>
      <c r="C9783" s="201"/>
      <c r="D9783" s="201"/>
      <c r="E9783" s="201"/>
      <c r="F9783" s="202"/>
      <c r="G9783" s="549"/>
      <c r="H9783" s="549"/>
      <c r="I9783" s="549"/>
      <c r="J9783" s="549"/>
      <c r="K9783" s="549"/>
      <c r="M9783" s="465"/>
      <c r="N9783" s="201"/>
    </row>
    <row r="9784" spans="2:14" hidden="1" outlineLevel="1" x14ac:dyDescent="0.35">
      <c r="B9784" s="200"/>
      <c r="C9784" s="201"/>
      <c r="D9784" s="201"/>
      <c r="E9784" s="201"/>
      <c r="F9784" s="202"/>
      <c r="G9784" s="549"/>
      <c r="H9784" s="549"/>
      <c r="I9784" s="549"/>
      <c r="J9784" s="549"/>
      <c r="K9784" s="549"/>
      <c r="M9784" s="465"/>
      <c r="N9784" s="201"/>
    </row>
    <row r="9785" spans="2:14" hidden="1" outlineLevel="1" x14ac:dyDescent="0.35">
      <c r="B9785" s="200"/>
      <c r="C9785" s="201"/>
      <c r="D9785" s="201"/>
      <c r="E9785" s="201"/>
      <c r="F9785" s="202"/>
      <c r="G9785" s="549"/>
      <c r="H9785" s="549"/>
      <c r="I9785" s="549"/>
      <c r="J9785" s="549"/>
      <c r="K9785" s="549"/>
      <c r="M9785" s="465"/>
      <c r="N9785" s="201"/>
    </row>
    <row r="9786" spans="2:14" hidden="1" outlineLevel="1" x14ac:dyDescent="0.35">
      <c r="B9786" s="200"/>
      <c r="C9786" s="201"/>
      <c r="D9786" s="201"/>
      <c r="E9786" s="201"/>
      <c r="F9786" s="202"/>
      <c r="G9786" s="549"/>
      <c r="H9786" s="549"/>
      <c r="I9786" s="549"/>
      <c r="J9786" s="549"/>
      <c r="K9786" s="549"/>
      <c r="M9786" s="465"/>
      <c r="N9786" s="201"/>
    </row>
    <row r="9787" spans="2:14" hidden="1" outlineLevel="1" x14ac:dyDescent="0.35">
      <c r="B9787" s="200"/>
      <c r="C9787" s="201"/>
      <c r="D9787" s="201"/>
      <c r="E9787" s="201"/>
      <c r="F9787" s="202"/>
      <c r="G9787" s="549"/>
      <c r="H9787" s="549"/>
      <c r="I9787" s="549"/>
      <c r="J9787" s="549"/>
      <c r="K9787" s="549"/>
      <c r="M9787" s="465"/>
      <c r="N9787" s="201"/>
    </row>
    <row r="9788" spans="2:14" hidden="1" outlineLevel="1" x14ac:dyDescent="0.35">
      <c r="B9788" s="200"/>
      <c r="C9788" s="201"/>
      <c r="D9788" s="201"/>
      <c r="E9788" s="201"/>
      <c r="F9788" s="202"/>
      <c r="G9788" s="549"/>
      <c r="H9788" s="549"/>
      <c r="I9788" s="549"/>
      <c r="J9788" s="549"/>
      <c r="K9788" s="549"/>
      <c r="M9788" s="465"/>
      <c r="N9788" s="201"/>
    </row>
    <row r="9789" spans="2:14" hidden="1" outlineLevel="1" x14ac:dyDescent="0.35">
      <c r="B9789" s="200"/>
      <c r="C9789" s="201"/>
      <c r="D9789" s="201"/>
      <c r="E9789" s="201"/>
      <c r="F9789" s="202"/>
      <c r="G9789" s="549"/>
      <c r="H9789" s="549"/>
      <c r="I9789" s="549"/>
      <c r="J9789" s="549"/>
      <c r="K9789" s="549"/>
      <c r="M9789" s="465"/>
      <c r="N9789" s="201"/>
    </row>
    <row r="9790" spans="2:14" hidden="1" outlineLevel="1" x14ac:dyDescent="0.35">
      <c r="B9790" s="200"/>
      <c r="C9790" s="201"/>
      <c r="D9790" s="201"/>
      <c r="E9790" s="201"/>
      <c r="F9790" s="202"/>
      <c r="G9790" s="549"/>
      <c r="H9790" s="549"/>
      <c r="I9790" s="549"/>
      <c r="J9790" s="549"/>
      <c r="K9790" s="549"/>
      <c r="M9790" s="465"/>
      <c r="N9790" s="201"/>
    </row>
    <row r="9791" spans="2:14" hidden="1" outlineLevel="1" x14ac:dyDescent="0.35">
      <c r="B9791" s="200"/>
      <c r="C9791" s="201"/>
      <c r="D9791" s="201"/>
      <c r="E9791" s="201"/>
      <c r="F9791" s="202"/>
      <c r="G9791" s="549"/>
      <c r="H9791" s="549"/>
      <c r="I9791" s="549"/>
      <c r="J9791" s="549"/>
      <c r="K9791" s="549"/>
      <c r="M9791" s="465"/>
      <c r="N9791" s="201"/>
    </row>
    <row r="9792" spans="2:14" hidden="1" outlineLevel="1" x14ac:dyDescent="0.35">
      <c r="B9792" s="200"/>
      <c r="C9792" s="201"/>
      <c r="D9792" s="201"/>
      <c r="E9792" s="201"/>
      <c r="F9792" s="202"/>
      <c r="G9792" s="549"/>
      <c r="H9792" s="549"/>
      <c r="I9792" s="549"/>
      <c r="J9792" s="549"/>
      <c r="K9792" s="549"/>
      <c r="M9792" s="465"/>
      <c r="N9792" s="201"/>
    </row>
    <row r="9793" spans="2:14" hidden="1" outlineLevel="1" x14ac:dyDescent="0.35">
      <c r="B9793" s="200"/>
      <c r="C9793" s="201"/>
      <c r="D9793" s="201"/>
      <c r="E9793" s="201"/>
      <c r="F9793" s="202"/>
      <c r="G9793" s="549"/>
      <c r="H9793" s="549"/>
      <c r="I9793" s="549"/>
      <c r="J9793" s="549"/>
      <c r="K9793" s="549"/>
      <c r="M9793" s="465"/>
      <c r="N9793" s="201"/>
    </row>
    <row r="9794" spans="2:14" hidden="1" outlineLevel="1" x14ac:dyDescent="0.35">
      <c r="B9794" s="200"/>
      <c r="C9794" s="201"/>
      <c r="D9794" s="201"/>
      <c r="E9794" s="201"/>
      <c r="F9794" s="202"/>
      <c r="G9794" s="549"/>
      <c r="H9794" s="549"/>
      <c r="I9794" s="549"/>
      <c r="J9794" s="549"/>
      <c r="K9794" s="549"/>
      <c r="M9794" s="465"/>
      <c r="N9794" s="201"/>
    </row>
    <row r="9795" spans="2:14" hidden="1" outlineLevel="1" x14ac:dyDescent="0.35">
      <c r="B9795" s="200"/>
      <c r="C9795" s="201"/>
      <c r="D9795" s="201"/>
      <c r="E9795" s="201"/>
      <c r="F9795" s="202"/>
      <c r="G9795" s="549"/>
      <c r="H9795" s="549"/>
      <c r="I9795" s="549"/>
      <c r="J9795" s="549"/>
      <c r="K9795" s="549"/>
      <c r="M9795" s="465"/>
      <c r="N9795" s="201"/>
    </row>
    <row r="9796" spans="2:14" hidden="1" outlineLevel="1" x14ac:dyDescent="0.35">
      <c r="B9796" s="200"/>
      <c r="C9796" s="201"/>
      <c r="D9796" s="201"/>
      <c r="E9796" s="201"/>
      <c r="F9796" s="202"/>
      <c r="G9796" s="549"/>
      <c r="H9796" s="549"/>
      <c r="I9796" s="549"/>
      <c r="J9796" s="549"/>
      <c r="K9796" s="549"/>
      <c r="M9796" s="465"/>
      <c r="N9796" s="201"/>
    </row>
    <row r="9797" spans="2:14" hidden="1" outlineLevel="1" x14ac:dyDescent="0.35">
      <c r="B9797" s="200"/>
      <c r="C9797" s="201"/>
      <c r="D9797" s="201"/>
      <c r="E9797" s="201"/>
      <c r="F9797" s="202"/>
      <c r="G9797" s="549"/>
      <c r="H9797" s="549"/>
      <c r="I9797" s="549"/>
      <c r="J9797" s="549"/>
      <c r="K9797" s="549"/>
      <c r="M9797" s="465"/>
      <c r="N9797" s="201"/>
    </row>
    <row r="9798" spans="2:14" hidden="1" outlineLevel="1" x14ac:dyDescent="0.35">
      <c r="B9798" s="200"/>
      <c r="C9798" s="201"/>
      <c r="D9798" s="201"/>
      <c r="E9798" s="201"/>
      <c r="F9798" s="202"/>
      <c r="G9798" s="549"/>
      <c r="H9798" s="549"/>
      <c r="I9798" s="549"/>
      <c r="J9798" s="549"/>
      <c r="K9798" s="549"/>
      <c r="M9798" s="465"/>
      <c r="N9798" s="201"/>
    </row>
    <row r="9799" spans="2:14" hidden="1" outlineLevel="1" x14ac:dyDescent="0.35">
      <c r="B9799" s="200"/>
      <c r="C9799" s="201"/>
      <c r="D9799" s="201"/>
      <c r="E9799" s="201"/>
      <c r="F9799" s="202"/>
      <c r="G9799" s="549"/>
      <c r="H9799" s="549"/>
      <c r="I9799" s="549"/>
      <c r="J9799" s="549"/>
      <c r="K9799" s="549"/>
      <c r="M9799" s="465"/>
      <c r="N9799" s="201"/>
    </row>
    <row r="9800" spans="2:14" hidden="1" outlineLevel="1" x14ac:dyDescent="0.35">
      <c r="B9800" s="200"/>
      <c r="C9800" s="201"/>
      <c r="D9800" s="201"/>
      <c r="E9800" s="201"/>
      <c r="F9800" s="202"/>
      <c r="G9800" s="549"/>
      <c r="H9800" s="549"/>
      <c r="I9800" s="549"/>
      <c r="J9800" s="549"/>
      <c r="K9800" s="549"/>
      <c r="M9800" s="465"/>
      <c r="N9800" s="201"/>
    </row>
    <row r="9801" spans="2:14" hidden="1" outlineLevel="1" x14ac:dyDescent="0.35">
      <c r="B9801" s="200"/>
      <c r="C9801" s="201"/>
      <c r="D9801" s="201"/>
      <c r="E9801" s="201"/>
      <c r="F9801" s="202"/>
      <c r="G9801" s="549"/>
      <c r="H9801" s="549"/>
      <c r="I9801" s="549"/>
      <c r="J9801" s="549"/>
      <c r="K9801" s="549"/>
      <c r="M9801" s="465"/>
      <c r="N9801" s="201"/>
    </row>
    <row r="9802" spans="2:14" hidden="1" outlineLevel="1" x14ac:dyDescent="0.35">
      <c r="B9802" s="200"/>
      <c r="C9802" s="201"/>
      <c r="D9802" s="201"/>
      <c r="E9802" s="201"/>
      <c r="F9802" s="202"/>
      <c r="G9802" s="549"/>
      <c r="H9802" s="549"/>
      <c r="I9802" s="549"/>
      <c r="J9802" s="549"/>
      <c r="K9802" s="549"/>
      <c r="M9802" s="465"/>
      <c r="N9802" s="201"/>
    </row>
    <row r="9803" spans="2:14" hidden="1" outlineLevel="1" x14ac:dyDescent="0.35">
      <c r="B9803" s="200"/>
      <c r="C9803" s="201"/>
      <c r="D9803" s="201"/>
      <c r="E9803" s="201"/>
      <c r="F9803" s="202"/>
      <c r="G9803" s="549"/>
      <c r="H9803" s="549"/>
      <c r="I9803" s="549"/>
      <c r="J9803" s="549"/>
      <c r="K9803" s="549"/>
      <c r="M9803" s="465"/>
      <c r="N9803" s="201"/>
    </row>
    <row r="9804" spans="2:14" hidden="1" outlineLevel="1" x14ac:dyDescent="0.35">
      <c r="B9804" s="200"/>
      <c r="C9804" s="201"/>
      <c r="D9804" s="201"/>
      <c r="E9804" s="201"/>
      <c r="F9804" s="202"/>
      <c r="G9804" s="549"/>
      <c r="H9804" s="549"/>
      <c r="I9804" s="549"/>
      <c r="J9804" s="549"/>
      <c r="K9804" s="549"/>
      <c r="M9804" s="465"/>
      <c r="N9804" s="201"/>
    </row>
    <row r="9805" spans="2:14" hidden="1" outlineLevel="1" x14ac:dyDescent="0.35">
      <c r="B9805" s="200"/>
      <c r="C9805" s="201"/>
      <c r="D9805" s="201"/>
      <c r="E9805" s="201"/>
      <c r="F9805" s="202"/>
      <c r="G9805" s="549"/>
      <c r="H9805" s="549"/>
      <c r="I9805" s="549"/>
      <c r="J9805" s="549"/>
      <c r="K9805" s="549"/>
      <c r="M9805" s="465"/>
      <c r="N9805" s="201"/>
    </row>
    <row r="9806" spans="2:14" hidden="1" outlineLevel="1" x14ac:dyDescent="0.35">
      <c r="B9806" s="200"/>
      <c r="C9806" s="201"/>
      <c r="D9806" s="201"/>
      <c r="E9806" s="201"/>
      <c r="F9806" s="202"/>
      <c r="G9806" s="549"/>
      <c r="H9806" s="549"/>
      <c r="I9806" s="549"/>
      <c r="J9806" s="549"/>
      <c r="K9806" s="549"/>
      <c r="M9806" s="465"/>
      <c r="N9806" s="201"/>
    </row>
    <row r="9807" spans="2:14" hidden="1" outlineLevel="1" x14ac:dyDescent="0.35">
      <c r="B9807" s="200"/>
      <c r="C9807" s="201"/>
      <c r="D9807" s="201"/>
      <c r="E9807" s="201"/>
      <c r="F9807" s="202"/>
      <c r="G9807" s="549"/>
      <c r="H9807" s="549"/>
      <c r="I9807" s="549"/>
      <c r="J9807" s="549"/>
      <c r="K9807" s="549"/>
      <c r="M9807" s="465"/>
      <c r="N9807" s="201"/>
    </row>
    <row r="9808" spans="2:14" hidden="1" outlineLevel="1" x14ac:dyDescent="0.35">
      <c r="B9808" s="200"/>
      <c r="C9808" s="201"/>
      <c r="D9808" s="201"/>
      <c r="E9808" s="201"/>
      <c r="F9808" s="202"/>
      <c r="G9808" s="549"/>
      <c r="H9808" s="549"/>
      <c r="I9808" s="549"/>
      <c r="J9808" s="549"/>
      <c r="K9808" s="549"/>
      <c r="M9808" s="465"/>
      <c r="N9808" s="201"/>
    </row>
    <row r="9809" spans="2:14" hidden="1" outlineLevel="1" x14ac:dyDescent="0.35">
      <c r="B9809" s="200"/>
      <c r="C9809" s="201"/>
      <c r="D9809" s="201"/>
      <c r="E9809" s="201"/>
      <c r="F9809" s="202"/>
      <c r="G9809" s="549"/>
      <c r="H9809" s="549"/>
      <c r="I9809" s="549"/>
      <c r="J9809" s="549"/>
      <c r="K9809" s="549"/>
      <c r="M9809" s="465"/>
      <c r="N9809" s="201"/>
    </row>
    <row r="9810" spans="2:14" hidden="1" outlineLevel="1" x14ac:dyDescent="0.35">
      <c r="B9810" s="200"/>
      <c r="C9810" s="201"/>
      <c r="D9810" s="201"/>
      <c r="E9810" s="201"/>
      <c r="F9810" s="202"/>
      <c r="G9810" s="549"/>
      <c r="H9810" s="549"/>
      <c r="I9810" s="549"/>
      <c r="J9810" s="549"/>
      <c r="K9810" s="549"/>
      <c r="M9810" s="465"/>
      <c r="N9810" s="201"/>
    </row>
    <row r="9811" spans="2:14" hidden="1" outlineLevel="1" x14ac:dyDescent="0.35">
      <c r="B9811" s="200"/>
      <c r="C9811" s="201"/>
      <c r="D9811" s="201"/>
      <c r="E9811" s="201"/>
      <c r="F9811" s="202"/>
      <c r="G9811" s="549"/>
      <c r="H9811" s="549"/>
      <c r="I9811" s="549"/>
      <c r="J9811" s="549"/>
      <c r="K9811" s="549"/>
      <c r="M9811" s="465"/>
      <c r="N9811" s="201"/>
    </row>
    <row r="9812" spans="2:14" hidden="1" outlineLevel="1" x14ac:dyDescent="0.35">
      <c r="B9812" s="200"/>
      <c r="C9812" s="201"/>
      <c r="D9812" s="201"/>
      <c r="E9812" s="201"/>
      <c r="F9812" s="202"/>
      <c r="G9812" s="549"/>
      <c r="H9812" s="549"/>
      <c r="I9812" s="549"/>
      <c r="J9812" s="549"/>
      <c r="K9812" s="549"/>
      <c r="M9812" s="465"/>
      <c r="N9812" s="201"/>
    </row>
    <row r="9813" spans="2:14" hidden="1" outlineLevel="1" x14ac:dyDescent="0.35">
      <c r="B9813" s="200"/>
      <c r="C9813" s="201"/>
      <c r="D9813" s="201"/>
      <c r="E9813" s="201"/>
      <c r="F9813" s="202"/>
      <c r="G9813" s="549"/>
      <c r="H9813" s="549"/>
      <c r="I9813" s="549"/>
      <c r="J9813" s="549"/>
      <c r="K9813" s="549"/>
      <c r="M9813" s="465"/>
      <c r="N9813" s="201"/>
    </row>
    <row r="9814" spans="2:14" hidden="1" outlineLevel="1" x14ac:dyDescent="0.35">
      <c r="B9814" s="200"/>
      <c r="C9814" s="201"/>
      <c r="D9814" s="201"/>
      <c r="E9814" s="201"/>
      <c r="F9814" s="202"/>
      <c r="G9814" s="549"/>
      <c r="H9814" s="549"/>
      <c r="I9814" s="549"/>
      <c r="J9814" s="549"/>
      <c r="K9814" s="549"/>
      <c r="M9814" s="465"/>
      <c r="N9814" s="201"/>
    </row>
    <row r="9815" spans="2:14" hidden="1" outlineLevel="1" x14ac:dyDescent="0.35">
      <c r="B9815" s="200"/>
      <c r="C9815" s="201"/>
      <c r="D9815" s="201"/>
      <c r="E9815" s="201"/>
      <c r="F9815" s="202"/>
      <c r="G9815" s="549"/>
      <c r="H9815" s="549"/>
      <c r="I9815" s="549"/>
      <c r="J9815" s="549"/>
      <c r="K9815" s="549"/>
      <c r="M9815" s="465"/>
      <c r="N9815" s="201"/>
    </row>
    <row r="9816" spans="2:14" hidden="1" outlineLevel="1" x14ac:dyDescent="0.35">
      <c r="B9816" s="200"/>
      <c r="C9816" s="201"/>
      <c r="D9816" s="201"/>
      <c r="E9816" s="201"/>
      <c r="F9816" s="202"/>
      <c r="G9816" s="549"/>
      <c r="H9816" s="549"/>
      <c r="I9816" s="549"/>
      <c r="J9816" s="549"/>
      <c r="K9816" s="549"/>
      <c r="M9816" s="465"/>
      <c r="N9816" s="201"/>
    </row>
    <row r="9817" spans="2:14" hidden="1" outlineLevel="1" x14ac:dyDescent="0.35">
      <c r="B9817" s="200"/>
      <c r="C9817" s="201"/>
      <c r="D9817" s="201"/>
      <c r="E9817" s="201"/>
      <c r="F9817" s="202"/>
      <c r="G9817" s="549"/>
      <c r="H9817" s="549"/>
      <c r="I9817" s="549"/>
      <c r="J9817" s="549"/>
      <c r="K9817" s="549"/>
      <c r="M9817" s="465"/>
      <c r="N9817" s="201"/>
    </row>
    <row r="9818" spans="2:14" hidden="1" outlineLevel="1" x14ac:dyDescent="0.35">
      <c r="B9818" s="200"/>
      <c r="C9818" s="201"/>
      <c r="D9818" s="201"/>
      <c r="E9818" s="201"/>
      <c r="F9818" s="202"/>
      <c r="G9818" s="549"/>
      <c r="H9818" s="549"/>
      <c r="I9818" s="549"/>
      <c r="J9818" s="549"/>
      <c r="K9818" s="549"/>
      <c r="M9818" s="465"/>
      <c r="N9818" s="201"/>
    </row>
    <row r="9819" spans="2:14" hidden="1" outlineLevel="1" x14ac:dyDescent="0.35">
      <c r="B9819" s="200"/>
      <c r="C9819" s="201"/>
      <c r="D9819" s="201"/>
      <c r="E9819" s="201"/>
      <c r="F9819" s="202"/>
      <c r="G9819" s="549"/>
      <c r="H9819" s="549"/>
      <c r="I9819" s="549"/>
      <c r="J9819" s="549"/>
      <c r="K9819" s="549"/>
      <c r="M9819" s="465"/>
      <c r="N9819" s="201"/>
    </row>
    <row r="9820" spans="2:14" hidden="1" outlineLevel="1" x14ac:dyDescent="0.35">
      <c r="B9820" s="200"/>
      <c r="C9820" s="201"/>
      <c r="D9820" s="201"/>
      <c r="E9820" s="201"/>
      <c r="F9820" s="202"/>
      <c r="G9820" s="549"/>
      <c r="H9820" s="549"/>
      <c r="I9820" s="549"/>
      <c r="J9820" s="549"/>
      <c r="K9820" s="549"/>
      <c r="M9820" s="465"/>
      <c r="N9820" s="201"/>
    </row>
    <row r="9821" spans="2:14" hidden="1" outlineLevel="1" x14ac:dyDescent="0.35">
      <c r="B9821" s="200"/>
      <c r="C9821" s="201"/>
      <c r="D9821" s="201"/>
      <c r="E9821" s="201"/>
      <c r="F9821" s="202"/>
      <c r="G9821" s="549"/>
      <c r="H9821" s="549"/>
      <c r="I9821" s="549"/>
      <c r="J9821" s="549"/>
      <c r="K9821" s="549"/>
      <c r="M9821" s="465"/>
      <c r="N9821" s="201"/>
    </row>
    <row r="9822" spans="2:14" hidden="1" outlineLevel="1" x14ac:dyDescent="0.35">
      <c r="B9822" s="200"/>
      <c r="C9822" s="201"/>
      <c r="D9822" s="201"/>
      <c r="E9822" s="201"/>
      <c r="F9822" s="202"/>
      <c r="G9822" s="549"/>
      <c r="H9822" s="549"/>
      <c r="I9822" s="549"/>
      <c r="J9822" s="549"/>
      <c r="K9822" s="549"/>
      <c r="M9822" s="465"/>
      <c r="N9822" s="201"/>
    </row>
    <row r="9823" spans="2:14" hidden="1" outlineLevel="1" x14ac:dyDescent="0.35">
      <c r="B9823" s="200"/>
      <c r="C9823" s="201"/>
      <c r="D9823" s="201"/>
      <c r="E9823" s="201"/>
      <c r="F9823" s="202"/>
      <c r="G9823" s="549"/>
      <c r="H9823" s="549"/>
      <c r="I9823" s="549"/>
      <c r="J9823" s="549"/>
      <c r="K9823" s="549"/>
      <c r="M9823" s="465"/>
      <c r="N9823" s="201"/>
    </row>
    <row r="9824" spans="2:14" hidden="1" outlineLevel="1" x14ac:dyDescent="0.35">
      <c r="B9824" s="200"/>
      <c r="C9824" s="201"/>
      <c r="D9824" s="201"/>
      <c r="E9824" s="201"/>
      <c r="F9824" s="202"/>
      <c r="G9824" s="549"/>
      <c r="H9824" s="549"/>
      <c r="I9824" s="549"/>
      <c r="J9824" s="549"/>
      <c r="K9824" s="549"/>
      <c r="M9824" s="465"/>
      <c r="N9824" s="201"/>
    </row>
    <row r="9825" spans="2:14" hidden="1" outlineLevel="1" x14ac:dyDescent="0.35">
      <c r="B9825" s="200"/>
      <c r="C9825" s="201"/>
      <c r="D9825" s="201"/>
      <c r="E9825" s="201"/>
      <c r="F9825" s="202"/>
      <c r="G9825" s="549"/>
      <c r="H9825" s="549"/>
      <c r="I9825" s="549"/>
      <c r="J9825" s="549"/>
      <c r="K9825" s="549"/>
      <c r="M9825" s="465"/>
      <c r="N9825" s="201"/>
    </row>
    <row r="9826" spans="2:14" hidden="1" outlineLevel="1" x14ac:dyDescent="0.35">
      <c r="B9826" s="200"/>
      <c r="C9826" s="201"/>
      <c r="D9826" s="201"/>
      <c r="E9826" s="201"/>
      <c r="F9826" s="202"/>
      <c r="G9826" s="549"/>
      <c r="H9826" s="549"/>
      <c r="I9826" s="549"/>
      <c r="J9826" s="549"/>
      <c r="K9826" s="549"/>
      <c r="M9826" s="465"/>
      <c r="N9826" s="201"/>
    </row>
    <row r="9827" spans="2:14" hidden="1" outlineLevel="1" x14ac:dyDescent="0.35">
      <c r="B9827" s="200"/>
      <c r="C9827" s="201"/>
      <c r="D9827" s="201"/>
      <c r="E9827" s="201"/>
      <c r="F9827" s="202"/>
      <c r="G9827" s="549"/>
      <c r="H9827" s="549"/>
      <c r="I9827" s="549"/>
      <c r="J9827" s="549"/>
      <c r="K9827" s="549"/>
      <c r="M9827" s="465"/>
      <c r="N9827" s="201"/>
    </row>
    <row r="9828" spans="2:14" hidden="1" outlineLevel="1" x14ac:dyDescent="0.35">
      <c r="B9828" s="200"/>
      <c r="C9828" s="201"/>
      <c r="D9828" s="201"/>
      <c r="E9828" s="201"/>
      <c r="F9828" s="202"/>
      <c r="G9828" s="549"/>
      <c r="H9828" s="549"/>
      <c r="I9828" s="549"/>
      <c r="J9828" s="549"/>
      <c r="K9828" s="549"/>
      <c r="M9828" s="465"/>
      <c r="N9828" s="201"/>
    </row>
    <row r="9829" spans="2:14" hidden="1" outlineLevel="1" x14ac:dyDescent="0.35">
      <c r="B9829" s="200"/>
      <c r="C9829" s="201"/>
      <c r="D9829" s="201"/>
      <c r="E9829" s="201"/>
      <c r="F9829" s="202"/>
      <c r="G9829" s="549"/>
      <c r="H9829" s="549"/>
      <c r="I9829" s="549"/>
      <c r="J9829" s="549"/>
      <c r="K9829" s="549"/>
      <c r="M9829" s="465"/>
      <c r="N9829" s="201"/>
    </row>
    <row r="9830" spans="2:14" hidden="1" outlineLevel="1" x14ac:dyDescent="0.35">
      <c r="B9830" s="200"/>
      <c r="C9830" s="201"/>
      <c r="D9830" s="201"/>
      <c r="E9830" s="201"/>
      <c r="F9830" s="202"/>
      <c r="G9830" s="549"/>
      <c r="H9830" s="549"/>
      <c r="I9830" s="549"/>
      <c r="J9830" s="549"/>
      <c r="K9830" s="549"/>
      <c r="M9830" s="465"/>
      <c r="N9830" s="201"/>
    </row>
    <row r="9831" spans="2:14" hidden="1" outlineLevel="1" x14ac:dyDescent="0.35">
      <c r="B9831" s="200"/>
      <c r="C9831" s="201"/>
      <c r="D9831" s="201"/>
      <c r="E9831" s="201"/>
      <c r="F9831" s="202"/>
      <c r="G9831" s="549"/>
      <c r="H9831" s="549"/>
      <c r="I9831" s="549"/>
      <c r="J9831" s="549"/>
      <c r="K9831" s="549"/>
      <c r="M9831" s="465"/>
      <c r="N9831" s="201"/>
    </row>
    <row r="9832" spans="2:14" hidden="1" outlineLevel="1" x14ac:dyDescent="0.35">
      <c r="B9832" s="200"/>
      <c r="C9832" s="201"/>
      <c r="D9832" s="201"/>
      <c r="E9832" s="201"/>
      <c r="F9832" s="202"/>
      <c r="G9832" s="549"/>
      <c r="H9832" s="549"/>
      <c r="I9832" s="549"/>
      <c r="J9832" s="549"/>
      <c r="K9832" s="549"/>
      <c r="M9832" s="465"/>
      <c r="N9832" s="201"/>
    </row>
    <row r="9833" spans="2:14" hidden="1" outlineLevel="1" x14ac:dyDescent="0.35">
      <c r="B9833" s="200"/>
      <c r="C9833" s="201"/>
      <c r="D9833" s="201"/>
      <c r="E9833" s="201"/>
      <c r="F9833" s="202"/>
      <c r="G9833" s="549"/>
      <c r="H9833" s="549"/>
      <c r="I9833" s="549"/>
      <c r="J9833" s="549"/>
      <c r="K9833" s="549"/>
      <c r="M9833" s="465"/>
      <c r="N9833" s="201"/>
    </row>
    <row r="9834" spans="2:14" hidden="1" outlineLevel="1" x14ac:dyDescent="0.35">
      <c r="B9834" s="200"/>
      <c r="C9834" s="201"/>
      <c r="D9834" s="201"/>
      <c r="E9834" s="201"/>
      <c r="F9834" s="202"/>
      <c r="G9834" s="549"/>
      <c r="H9834" s="549"/>
      <c r="I9834" s="549"/>
      <c r="J9834" s="549"/>
      <c r="K9834" s="549"/>
      <c r="M9834" s="465"/>
      <c r="N9834" s="201"/>
    </row>
    <row r="9835" spans="2:14" hidden="1" outlineLevel="1" x14ac:dyDescent="0.35">
      <c r="B9835" s="200"/>
      <c r="C9835" s="201"/>
      <c r="D9835" s="201"/>
      <c r="E9835" s="201"/>
      <c r="F9835" s="202"/>
      <c r="G9835" s="549"/>
      <c r="H9835" s="549"/>
      <c r="I9835" s="549"/>
      <c r="J9835" s="549"/>
      <c r="K9835" s="549"/>
      <c r="M9835" s="465"/>
      <c r="N9835" s="201"/>
    </row>
    <row r="9836" spans="2:14" hidden="1" outlineLevel="1" x14ac:dyDescent="0.35">
      <c r="B9836" s="200"/>
      <c r="C9836" s="201"/>
      <c r="D9836" s="201"/>
      <c r="E9836" s="201"/>
      <c r="F9836" s="202"/>
      <c r="G9836" s="549"/>
      <c r="H9836" s="549"/>
      <c r="I9836" s="549"/>
      <c r="J9836" s="549"/>
      <c r="K9836" s="549"/>
      <c r="M9836" s="465"/>
      <c r="N9836" s="201"/>
    </row>
    <row r="9837" spans="2:14" hidden="1" outlineLevel="1" x14ac:dyDescent="0.35">
      <c r="B9837" s="200"/>
      <c r="C9837" s="201"/>
      <c r="D9837" s="201"/>
      <c r="E9837" s="201"/>
      <c r="F9837" s="202"/>
      <c r="G9837" s="549"/>
      <c r="H9837" s="549"/>
      <c r="I9837" s="549"/>
      <c r="J9837" s="549"/>
      <c r="K9837" s="549"/>
      <c r="M9837" s="465"/>
      <c r="N9837" s="201"/>
    </row>
    <row r="9838" spans="2:14" hidden="1" outlineLevel="1" x14ac:dyDescent="0.35">
      <c r="B9838" s="200"/>
      <c r="C9838" s="201"/>
      <c r="D9838" s="201"/>
      <c r="E9838" s="201"/>
      <c r="F9838" s="202"/>
      <c r="G9838" s="549"/>
      <c r="H9838" s="549"/>
      <c r="I9838" s="549"/>
      <c r="J9838" s="549"/>
      <c r="K9838" s="549"/>
      <c r="M9838" s="465"/>
      <c r="N9838" s="201"/>
    </row>
    <row r="9839" spans="2:14" hidden="1" outlineLevel="1" x14ac:dyDescent="0.35">
      <c r="B9839" s="200"/>
      <c r="C9839" s="201"/>
      <c r="D9839" s="201"/>
      <c r="E9839" s="201"/>
      <c r="F9839" s="202"/>
      <c r="G9839" s="549"/>
      <c r="H9839" s="549"/>
      <c r="I9839" s="549"/>
      <c r="J9839" s="549"/>
      <c r="K9839" s="549"/>
      <c r="M9839" s="465"/>
      <c r="N9839" s="201"/>
    </row>
    <row r="9840" spans="2:14" hidden="1" outlineLevel="1" x14ac:dyDescent="0.35">
      <c r="B9840" s="200"/>
      <c r="C9840" s="201"/>
      <c r="D9840" s="201"/>
      <c r="E9840" s="201"/>
      <c r="F9840" s="202"/>
      <c r="G9840" s="549"/>
      <c r="H9840" s="549"/>
      <c r="I9840" s="549"/>
      <c r="J9840" s="549"/>
      <c r="K9840" s="549"/>
      <c r="M9840" s="465"/>
      <c r="N9840" s="201"/>
    </row>
    <row r="9841" spans="2:14" hidden="1" outlineLevel="1" x14ac:dyDescent="0.35">
      <c r="B9841" s="200"/>
      <c r="C9841" s="201"/>
      <c r="D9841" s="201"/>
      <c r="E9841" s="201"/>
      <c r="F9841" s="202"/>
      <c r="G9841" s="549"/>
      <c r="H9841" s="549"/>
      <c r="I9841" s="549"/>
      <c r="J9841" s="549"/>
      <c r="K9841" s="549"/>
      <c r="M9841" s="465"/>
      <c r="N9841" s="201"/>
    </row>
    <row r="9842" spans="2:14" hidden="1" outlineLevel="1" x14ac:dyDescent="0.35">
      <c r="B9842" s="200"/>
      <c r="C9842" s="201"/>
      <c r="D9842" s="201"/>
      <c r="E9842" s="201"/>
      <c r="F9842" s="202"/>
      <c r="G9842" s="549"/>
      <c r="H9842" s="549"/>
      <c r="I9842" s="549"/>
      <c r="J9842" s="549"/>
      <c r="K9842" s="549"/>
      <c r="M9842" s="465"/>
      <c r="N9842" s="201"/>
    </row>
    <row r="9843" spans="2:14" hidden="1" outlineLevel="1" x14ac:dyDescent="0.35">
      <c r="B9843" s="200"/>
      <c r="C9843" s="201"/>
      <c r="D9843" s="201"/>
      <c r="E9843" s="201"/>
      <c r="F9843" s="202"/>
      <c r="G9843" s="549"/>
      <c r="H9843" s="549"/>
      <c r="I9843" s="549"/>
      <c r="J9843" s="549"/>
      <c r="K9843" s="549"/>
      <c r="M9843" s="465"/>
      <c r="N9843" s="201"/>
    </row>
    <row r="9844" spans="2:14" hidden="1" outlineLevel="1" x14ac:dyDescent="0.35">
      <c r="B9844" s="200"/>
      <c r="C9844" s="201"/>
      <c r="D9844" s="201"/>
      <c r="E9844" s="201"/>
      <c r="F9844" s="202"/>
      <c r="G9844" s="549"/>
      <c r="H9844" s="549"/>
      <c r="I9844" s="549"/>
      <c r="J9844" s="549"/>
      <c r="K9844" s="549"/>
      <c r="M9844" s="465"/>
      <c r="N9844" s="201"/>
    </row>
    <row r="9845" spans="2:14" hidden="1" outlineLevel="1" x14ac:dyDescent="0.35">
      <c r="B9845" s="200"/>
      <c r="C9845" s="201"/>
      <c r="D9845" s="201"/>
      <c r="E9845" s="201"/>
      <c r="F9845" s="202"/>
      <c r="G9845" s="549"/>
      <c r="H9845" s="549"/>
      <c r="I9845" s="549"/>
      <c r="J9845" s="549"/>
      <c r="K9845" s="549"/>
      <c r="M9845" s="465"/>
      <c r="N9845" s="201"/>
    </row>
    <row r="9846" spans="2:14" hidden="1" outlineLevel="1" x14ac:dyDescent="0.35">
      <c r="B9846" s="200"/>
      <c r="C9846" s="201"/>
      <c r="D9846" s="201"/>
      <c r="E9846" s="201"/>
      <c r="F9846" s="202"/>
      <c r="G9846" s="549"/>
      <c r="H9846" s="549"/>
      <c r="I9846" s="549"/>
      <c r="J9846" s="549"/>
      <c r="K9846" s="549"/>
      <c r="M9846" s="465"/>
      <c r="N9846" s="201"/>
    </row>
    <row r="9847" spans="2:14" hidden="1" outlineLevel="1" x14ac:dyDescent="0.35">
      <c r="B9847" s="200"/>
      <c r="C9847" s="201"/>
      <c r="D9847" s="201"/>
      <c r="E9847" s="201"/>
      <c r="F9847" s="202"/>
      <c r="G9847" s="549"/>
      <c r="H9847" s="549"/>
      <c r="I9847" s="549"/>
      <c r="J9847" s="549"/>
      <c r="K9847" s="549"/>
      <c r="M9847" s="465"/>
      <c r="N9847" s="201"/>
    </row>
    <row r="9848" spans="2:14" hidden="1" outlineLevel="1" x14ac:dyDescent="0.35">
      <c r="B9848" s="200"/>
      <c r="C9848" s="201"/>
      <c r="D9848" s="201"/>
      <c r="E9848" s="201"/>
      <c r="F9848" s="202"/>
      <c r="G9848" s="549"/>
      <c r="H9848" s="549"/>
      <c r="I9848" s="549"/>
      <c r="J9848" s="549"/>
      <c r="K9848" s="549"/>
      <c r="M9848" s="465"/>
      <c r="N9848" s="201"/>
    </row>
    <row r="9849" spans="2:14" hidden="1" outlineLevel="1" x14ac:dyDescent="0.35">
      <c r="B9849" s="200"/>
      <c r="C9849" s="201"/>
      <c r="D9849" s="201"/>
      <c r="E9849" s="201"/>
      <c r="F9849" s="202"/>
      <c r="G9849" s="549"/>
      <c r="H9849" s="549"/>
      <c r="I9849" s="549"/>
      <c r="J9849" s="549"/>
      <c r="K9849" s="549"/>
      <c r="M9849" s="465"/>
      <c r="N9849" s="201"/>
    </row>
    <row r="9850" spans="2:14" hidden="1" outlineLevel="1" x14ac:dyDescent="0.35">
      <c r="B9850" s="200"/>
      <c r="C9850" s="201"/>
      <c r="D9850" s="201"/>
      <c r="E9850" s="201"/>
      <c r="F9850" s="202"/>
      <c r="G9850" s="549"/>
      <c r="H9850" s="549"/>
      <c r="I9850" s="549"/>
      <c r="J9850" s="549"/>
      <c r="K9850" s="549"/>
      <c r="M9850" s="465"/>
      <c r="N9850" s="201"/>
    </row>
    <row r="9851" spans="2:14" hidden="1" outlineLevel="1" x14ac:dyDescent="0.35">
      <c r="B9851" s="200"/>
      <c r="C9851" s="201"/>
      <c r="D9851" s="201"/>
      <c r="E9851" s="201"/>
      <c r="F9851" s="202"/>
      <c r="G9851" s="549"/>
      <c r="H9851" s="549"/>
      <c r="I9851" s="549"/>
      <c r="J9851" s="549"/>
      <c r="K9851" s="549"/>
      <c r="M9851" s="465"/>
      <c r="N9851" s="201"/>
    </row>
    <row r="9852" spans="2:14" hidden="1" outlineLevel="1" x14ac:dyDescent="0.35">
      <c r="B9852" s="200"/>
      <c r="C9852" s="201"/>
      <c r="D9852" s="201"/>
      <c r="E9852" s="201"/>
      <c r="F9852" s="202"/>
      <c r="G9852" s="549"/>
      <c r="H9852" s="549"/>
      <c r="I9852" s="549"/>
      <c r="J9852" s="549"/>
      <c r="K9852" s="549"/>
      <c r="M9852" s="465"/>
      <c r="N9852" s="201"/>
    </row>
    <row r="9853" spans="2:14" hidden="1" outlineLevel="1" x14ac:dyDescent="0.35">
      <c r="B9853" s="200"/>
      <c r="C9853" s="201"/>
      <c r="D9853" s="201"/>
      <c r="E9853" s="201"/>
      <c r="F9853" s="202"/>
      <c r="G9853" s="549"/>
      <c r="H9853" s="549"/>
      <c r="I9853" s="549"/>
      <c r="J9853" s="549"/>
      <c r="K9853" s="549"/>
      <c r="M9853" s="465"/>
      <c r="N9853" s="201"/>
    </row>
    <row r="9854" spans="2:14" hidden="1" outlineLevel="1" x14ac:dyDescent="0.35">
      <c r="B9854" s="200"/>
      <c r="C9854" s="201"/>
      <c r="D9854" s="201"/>
      <c r="E9854" s="201"/>
      <c r="F9854" s="202"/>
      <c r="G9854" s="549"/>
      <c r="H9854" s="549"/>
      <c r="I9854" s="549"/>
      <c r="J9854" s="549"/>
      <c r="K9854" s="549"/>
      <c r="M9854" s="465"/>
      <c r="N9854" s="201"/>
    </row>
    <row r="9855" spans="2:14" hidden="1" outlineLevel="1" x14ac:dyDescent="0.35">
      <c r="B9855" s="200"/>
      <c r="C9855" s="201"/>
      <c r="D9855" s="201"/>
      <c r="E9855" s="201"/>
      <c r="F9855" s="202"/>
      <c r="G9855" s="549"/>
      <c r="H9855" s="549"/>
      <c r="I9855" s="549"/>
      <c r="J9855" s="549"/>
      <c r="K9855" s="549"/>
      <c r="M9855" s="465"/>
      <c r="N9855" s="201"/>
    </row>
    <row r="9856" spans="2:14" hidden="1" outlineLevel="1" x14ac:dyDescent="0.35">
      <c r="B9856" s="200"/>
      <c r="C9856" s="201"/>
      <c r="D9856" s="201"/>
      <c r="E9856" s="201"/>
      <c r="F9856" s="202"/>
      <c r="G9856" s="549"/>
      <c r="H9856" s="549"/>
      <c r="I9856" s="549"/>
      <c r="J9856" s="549"/>
      <c r="K9856" s="549"/>
      <c r="M9856" s="465"/>
      <c r="N9856" s="201"/>
    </row>
    <row r="9857" spans="2:14" hidden="1" outlineLevel="1" x14ac:dyDescent="0.35">
      <c r="B9857" s="200"/>
      <c r="C9857" s="201"/>
      <c r="D9857" s="201"/>
      <c r="E9857" s="201"/>
      <c r="F9857" s="202"/>
      <c r="G9857" s="549"/>
      <c r="H9857" s="549"/>
      <c r="I9857" s="549"/>
      <c r="J9857" s="549"/>
      <c r="K9857" s="549"/>
      <c r="M9857" s="465"/>
      <c r="N9857" s="201"/>
    </row>
    <row r="9858" spans="2:14" hidden="1" outlineLevel="1" x14ac:dyDescent="0.35">
      <c r="B9858" s="200"/>
      <c r="C9858" s="201"/>
      <c r="D9858" s="201"/>
      <c r="E9858" s="201"/>
      <c r="F9858" s="202"/>
      <c r="G9858" s="549"/>
      <c r="H9858" s="549"/>
      <c r="I9858" s="549"/>
      <c r="J9858" s="549"/>
      <c r="K9858" s="549"/>
      <c r="M9858" s="465"/>
      <c r="N9858" s="201"/>
    </row>
    <row r="9859" spans="2:14" hidden="1" outlineLevel="1" x14ac:dyDescent="0.35">
      <c r="B9859" s="200"/>
      <c r="C9859" s="201"/>
      <c r="D9859" s="201"/>
      <c r="E9859" s="201"/>
      <c r="F9859" s="202"/>
      <c r="G9859" s="549"/>
      <c r="H9859" s="549"/>
      <c r="I9859" s="549"/>
      <c r="J9859" s="549"/>
      <c r="K9859" s="549"/>
      <c r="M9859" s="465"/>
      <c r="N9859" s="201"/>
    </row>
    <row r="9860" spans="2:14" hidden="1" outlineLevel="1" x14ac:dyDescent="0.35">
      <c r="B9860" s="200"/>
      <c r="C9860" s="201"/>
      <c r="D9860" s="201"/>
      <c r="E9860" s="201"/>
      <c r="F9860" s="202"/>
      <c r="G9860" s="549"/>
      <c r="H9860" s="549"/>
      <c r="I9860" s="549"/>
      <c r="J9860" s="549"/>
      <c r="K9860" s="549"/>
      <c r="M9860" s="465"/>
      <c r="N9860" s="201"/>
    </row>
    <row r="9861" spans="2:14" hidden="1" outlineLevel="1" x14ac:dyDescent="0.35">
      <c r="B9861" s="200"/>
      <c r="C9861" s="201"/>
      <c r="D9861" s="201"/>
      <c r="E9861" s="201"/>
      <c r="F9861" s="202"/>
      <c r="G9861" s="549"/>
      <c r="H9861" s="549"/>
      <c r="I9861" s="549"/>
      <c r="J9861" s="549"/>
      <c r="K9861" s="549"/>
      <c r="M9861" s="465"/>
      <c r="N9861" s="201"/>
    </row>
    <row r="9862" spans="2:14" hidden="1" outlineLevel="1" x14ac:dyDescent="0.35">
      <c r="B9862" s="200"/>
      <c r="C9862" s="201"/>
      <c r="D9862" s="201"/>
      <c r="E9862" s="201"/>
      <c r="F9862" s="202"/>
      <c r="G9862" s="549"/>
      <c r="H9862" s="549"/>
      <c r="I9862" s="549"/>
      <c r="J9862" s="549"/>
      <c r="K9862" s="549"/>
      <c r="M9862" s="465"/>
      <c r="N9862" s="201"/>
    </row>
    <row r="9863" spans="2:14" hidden="1" outlineLevel="1" x14ac:dyDescent="0.35">
      <c r="B9863" s="200"/>
      <c r="C9863" s="201"/>
      <c r="D9863" s="201"/>
      <c r="E9863" s="201"/>
      <c r="F9863" s="202"/>
      <c r="G9863" s="549"/>
      <c r="H9863" s="549"/>
      <c r="I9863" s="549"/>
      <c r="J9863" s="549"/>
      <c r="K9863" s="549"/>
      <c r="M9863" s="465"/>
      <c r="N9863" s="201"/>
    </row>
    <row r="9864" spans="2:14" hidden="1" outlineLevel="1" x14ac:dyDescent="0.35">
      <c r="B9864" s="200"/>
      <c r="C9864" s="201"/>
      <c r="D9864" s="201"/>
      <c r="E9864" s="201"/>
      <c r="F9864" s="202"/>
      <c r="G9864" s="549"/>
      <c r="H9864" s="549"/>
      <c r="I9864" s="549"/>
      <c r="J9864" s="549"/>
      <c r="K9864" s="549"/>
      <c r="M9864" s="465"/>
      <c r="N9864" s="201"/>
    </row>
    <row r="9865" spans="2:14" hidden="1" outlineLevel="1" x14ac:dyDescent="0.35">
      <c r="B9865" s="200"/>
      <c r="C9865" s="201"/>
      <c r="D9865" s="201"/>
      <c r="E9865" s="201"/>
      <c r="F9865" s="202"/>
      <c r="G9865" s="549"/>
      <c r="H9865" s="549"/>
      <c r="I9865" s="549"/>
      <c r="J9865" s="549"/>
      <c r="K9865" s="549"/>
      <c r="M9865" s="465"/>
      <c r="N9865" s="201"/>
    </row>
    <row r="9866" spans="2:14" hidden="1" outlineLevel="1" x14ac:dyDescent="0.35">
      <c r="B9866" s="200"/>
      <c r="C9866" s="201"/>
      <c r="D9866" s="201"/>
      <c r="E9866" s="201"/>
      <c r="F9866" s="202"/>
      <c r="G9866" s="549"/>
      <c r="H9866" s="549"/>
      <c r="I9866" s="549"/>
      <c r="J9866" s="549"/>
      <c r="K9866" s="549"/>
      <c r="M9866" s="465"/>
      <c r="N9866" s="201"/>
    </row>
    <row r="9867" spans="2:14" hidden="1" outlineLevel="1" x14ac:dyDescent="0.35">
      <c r="B9867" s="200"/>
      <c r="C9867" s="201"/>
      <c r="D9867" s="201"/>
      <c r="E9867" s="201"/>
      <c r="F9867" s="202"/>
      <c r="G9867" s="549"/>
      <c r="H9867" s="549"/>
      <c r="I9867" s="549"/>
      <c r="J9867" s="549"/>
      <c r="K9867" s="549"/>
      <c r="M9867" s="465"/>
      <c r="N9867" s="201"/>
    </row>
    <row r="9868" spans="2:14" hidden="1" outlineLevel="1" x14ac:dyDescent="0.35">
      <c r="B9868" s="200"/>
      <c r="C9868" s="201"/>
      <c r="D9868" s="201"/>
      <c r="E9868" s="201"/>
      <c r="F9868" s="202"/>
      <c r="G9868" s="549"/>
      <c r="H9868" s="549"/>
      <c r="I9868" s="549"/>
      <c r="J9868" s="549"/>
      <c r="K9868" s="549"/>
      <c r="M9868" s="465"/>
      <c r="N9868" s="201"/>
    </row>
    <row r="9869" spans="2:14" hidden="1" outlineLevel="1" x14ac:dyDescent="0.35">
      <c r="B9869" s="200"/>
      <c r="C9869" s="201"/>
      <c r="D9869" s="201"/>
      <c r="E9869" s="201"/>
      <c r="F9869" s="202"/>
      <c r="G9869" s="549"/>
      <c r="H9869" s="549"/>
      <c r="I9869" s="549"/>
      <c r="J9869" s="549"/>
      <c r="K9869" s="549"/>
      <c r="M9869" s="465"/>
      <c r="N9869" s="201"/>
    </row>
    <row r="9870" spans="2:14" hidden="1" outlineLevel="1" x14ac:dyDescent="0.35">
      <c r="B9870" s="200"/>
      <c r="C9870" s="201"/>
      <c r="D9870" s="201"/>
      <c r="E9870" s="201"/>
      <c r="F9870" s="202"/>
      <c r="G9870" s="549"/>
      <c r="H9870" s="549"/>
      <c r="I9870" s="549"/>
      <c r="J9870" s="549"/>
      <c r="K9870" s="549"/>
      <c r="M9870" s="465"/>
      <c r="N9870" s="201"/>
    </row>
    <row r="9871" spans="2:14" hidden="1" outlineLevel="1" x14ac:dyDescent="0.35">
      <c r="B9871" s="200"/>
      <c r="C9871" s="201"/>
      <c r="D9871" s="201"/>
      <c r="E9871" s="201"/>
      <c r="F9871" s="202"/>
      <c r="G9871" s="549"/>
      <c r="H9871" s="549"/>
      <c r="I9871" s="549"/>
      <c r="J9871" s="549"/>
      <c r="K9871" s="549"/>
      <c r="M9871" s="465"/>
      <c r="N9871" s="201"/>
    </row>
    <row r="9872" spans="2:14" hidden="1" outlineLevel="1" x14ac:dyDescent="0.35">
      <c r="B9872" s="200"/>
      <c r="C9872" s="201"/>
      <c r="D9872" s="201"/>
      <c r="E9872" s="201"/>
      <c r="F9872" s="202"/>
      <c r="G9872" s="549"/>
      <c r="H9872" s="549"/>
      <c r="I9872" s="549"/>
      <c r="J9872" s="549"/>
      <c r="K9872" s="549"/>
      <c r="M9872" s="465"/>
      <c r="N9872" s="201"/>
    </row>
    <row r="9873" spans="2:14" hidden="1" outlineLevel="1" x14ac:dyDescent="0.35">
      <c r="B9873" s="200"/>
      <c r="C9873" s="201"/>
      <c r="D9873" s="201"/>
      <c r="E9873" s="201"/>
      <c r="F9873" s="202"/>
      <c r="G9873" s="549"/>
      <c r="H9873" s="549"/>
      <c r="I9873" s="549"/>
      <c r="J9873" s="549"/>
      <c r="K9873" s="549"/>
      <c r="M9873" s="465"/>
      <c r="N9873" s="201"/>
    </row>
    <row r="9874" spans="2:14" hidden="1" outlineLevel="1" x14ac:dyDescent="0.35">
      <c r="B9874" s="200"/>
      <c r="C9874" s="201"/>
      <c r="D9874" s="201"/>
      <c r="E9874" s="201"/>
      <c r="F9874" s="202"/>
      <c r="G9874" s="549"/>
      <c r="H9874" s="549"/>
      <c r="I9874" s="549"/>
      <c r="J9874" s="549"/>
      <c r="K9874" s="549"/>
      <c r="M9874" s="465"/>
      <c r="N9874" s="201"/>
    </row>
    <row r="9875" spans="2:14" hidden="1" outlineLevel="1" x14ac:dyDescent="0.35">
      <c r="B9875" s="200"/>
      <c r="C9875" s="201"/>
      <c r="D9875" s="201"/>
      <c r="E9875" s="201"/>
      <c r="F9875" s="202"/>
      <c r="G9875" s="549"/>
      <c r="H9875" s="549"/>
      <c r="I9875" s="549"/>
      <c r="J9875" s="549"/>
      <c r="K9875" s="549"/>
      <c r="M9875" s="465"/>
      <c r="N9875" s="201"/>
    </row>
    <row r="9876" spans="2:14" hidden="1" outlineLevel="1" x14ac:dyDescent="0.35">
      <c r="B9876" s="200"/>
      <c r="C9876" s="201"/>
      <c r="D9876" s="201"/>
      <c r="E9876" s="201"/>
      <c r="F9876" s="202"/>
      <c r="G9876" s="549"/>
      <c r="H9876" s="549"/>
      <c r="I9876" s="549"/>
      <c r="J9876" s="549"/>
      <c r="K9876" s="549"/>
      <c r="M9876" s="465"/>
      <c r="N9876" s="201"/>
    </row>
    <row r="9877" spans="2:14" hidden="1" outlineLevel="1" x14ac:dyDescent="0.35">
      <c r="B9877" s="200"/>
      <c r="C9877" s="201"/>
      <c r="D9877" s="201"/>
      <c r="E9877" s="201"/>
      <c r="F9877" s="202"/>
      <c r="G9877" s="549"/>
      <c r="H9877" s="549"/>
      <c r="I9877" s="549"/>
      <c r="J9877" s="549"/>
      <c r="K9877" s="549"/>
      <c r="M9877" s="465"/>
      <c r="N9877" s="201"/>
    </row>
    <row r="9878" spans="2:14" hidden="1" outlineLevel="1" x14ac:dyDescent="0.35">
      <c r="B9878" s="200"/>
      <c r="C9878" s="201"/>
      <c r="D9878" s="201"/>
      <c r="E9878" s="201"/>
      <c r="F9878" s="202"/>
      <c r="G9878" s="549"/>
      <c r="H9878" s="549"/>
      <c r="I9878" s="549"/>
      <c r="J9878" s="549"/>
      <c r="K9878" s="549"/>
      <c r="M9878" s="465"/>
      <c r="N9878" s="201"/>
    </row>
    <row r="9879" spans="2:14" hidden="1" outlineLevel="1" x14ac:dyDescent="0.35">
      <c r="B9879" s="200"/>
      <c r="C9879" s="201"/>
      <c r="D9879" s="201"/>
      <c r="E9879" s="201"/>
      <c r="F9879" s="202"/>
      <c r="G9879" s="549"/>
      <c r="H9879" s="549"/>
      <c r="I9879" s="549"/>
      <c r="J9879" s="549"/>
      <c r="K9879" s="549"/>
      <c r="M9879" s="465"/>
      <c r="N9879" s="201"/>
    </row>
    <row r="9880" spans="2:14" hidden="1" outlineLevel="1" x14ac:dyDescent="0.35">
      <c r="B9880" s="200"/>
      <c r="C9880" s="201"/>
      <c r="D9880" s="201"/>
      <c r="E9880" s="201"/>
      <c r="F9880" s="202"/>
      <c r="G9880" s="549"/>
      <c r="H9880" s="549"/>
      <c r="I9880" s="549"/>
      <c r="J9880" s="549"/>
      <c r="K9880" s="549"/>
      <c r="M9880" s="465"/>
      <c r="N9880" s="201"/>
    </row>
    <row r="9881" spans="2:14" hidden="1" outlineLevel="1" x14ac:dyDescent="0.35">
      <c r="B9881" s="200"/>
      <c r="C9881" s="201"/>
      <c r="D9881" s="201"/>
      <c r="E9881" s="201"/>
      <c r="F9881" s="202"/>
      <c r="G9881" s="549"/>
      <c r="H9881" s="549"/>
      <c r="I9881" s="549"/>
      <c r="J9881" s="549"/>
      <c r="K9881" s="549"/>
      <c r="M9881" s="465"/>
      <c r="N9881" s="201"/>
    </row>
    <row r="9882" spans="2:14" hidden="1" outlineLevel="1" x14ac:dyDescent="0.35">
      <c r="B9882" s="200"/>
      <c r="C9882" s="201"/>
      <c r="D9882" s="201"/>
      <c r="E9882" s="201"/>
      <c r="F9882" s="202"/>
      <c r="G9882" s="549"/>
      <c r="H9882" s="549"/>
      <c r="I9882" s="549"/>
      <c r="J9882" s="549"/>
      <c r="K9882" s="549"/>
      <c r="M9882" s="465"/>
      <c r="N9882" s="201"/>
    </row>
    <row r="9883" spans="2:14" hidden="1" outlineLevel="1" x14ac:dyDescent="0.35">
      <c r="B9883" s="200"/>
      <c r="C9883" s="201"/>
      <c r="D9883" s="201"/>
      <c r="E9883" s="201"/>
      <c r="F9883" s="202"/>
      <c r="G9883" s="549"/>
      <c r="H9883" s="549"/>
      <c r="I9883" s="549"/>
      <c r="J9883" s="549"/>
      <c r="K9883" s="549"/>
      <c r="M9883" s="465"/>
      <c r="N9883" s="201"/>
    </row>
    <row r="9884" spans="2:14" hidden="1" outlineLevel="1" x14ac:dyDescent="0.35">
      <c r="B9884" s="200"/>
      <c r="C9884" s="201"/>
      <c r="D9884" s="201"/>
      <c r="E9884" s="201"/>
      <c r="F9884" s="202"/>
      <c r="G9884" s="549"/>
      <c r="H9884" s="549"/>
      <c r="I9884" s="549"/>
      <c r="J9884" s="549"/>
      <c r="K9884" s="549"/>
      <c r="M9884" s="465"/>
      <c r="N9884" s="201"/>
    </row>
    <row r="9885" spans="2:14" hidden="1" outlineLevel="1" x14ac:dyDescent="0.35">
      <c r="B9885" s="200"/>
      <c r="C9885" s="201"/>
      <c r="D9885" s="201"/>
      <c r="E9885" s="201"/>
      <c r="F9885" s="202"/>
      <c r="G9885" s="549"/>
      <c r="H9885" s="549"/>
      <c r="I9885" s="549"/>
      <c r="J9885" s="549"/>
      <c r="K9885" s="549"/>
      <c r="M9885" s="465"/>
      <c r="N9885" s="201"/>
    </row>
    <row r="9886" spans="2:14" hidden="1" outlineLevel="1" x14ac:dyDescent="0.35">
      <c r="B9886" s="200"/>
      <c r="C9886" s="201"/>
      <c r="D9886" s="201"/>
      <c r="E9886" s="201"/>
      <c r="F9886" s="202"/>
      <c r="G9886" s="549"/>
      <c r="H9886" s="549"/>
      <c r="I9886" s="549"/>
      <c r="J9886" s="549"/>
      <c r="K9886" s="549"/>
      <c r="M9886" s="465"/>
      <c r="N9886" s="201"/>
    </row>
    <row r="9887" spans="2:14" hidden="1" outlineLevel="1" x14ac:dyDescent="0.35">
      <c r="B9887" s="200"/>
      <c r="C9887" s="201"/>
      <c r="D9887" s="201"/>
      <c r="E9887" s="201"/>
      <c r="F9887" s="202"/>
      <c r="G9887" s="549"/>
      <c r="H9887" s="549"/>
      <c r="I9887" s="549"/>
      <c r="J9887" s="549"/>
      <c r="K9887" s="549"/>
      <c r="M9887" s="465"/>
      <c r="N9887" s="201"/>
    </row>
    <row r="9888" spans="2:14" hidden="1" outlineLevel="1" x14ac:dyDescent="0.35">
      <c r="B9888" s="200"/>
      <c r="C9888" s="201"/>
      <c r="D9888" s="201"/>
      <c r="E9888" s="201"/>
      <c r="F9888" s="202"/>
      <c r="G9888" s="549"/>
      <c r="H9888" s="549"/>
      <c r="I9888" s="549"/>
      <c r="J9888" s="549"/>
      <c r="K9888" s="549"/>
      <c r="M9888" s="465"/>
      <c r="N9888" s="201"/>
    </row>
    <row r="9889" spans="2:14" hidden="1" outlineLevel="1" x14ac:dyDescent="0.35">
      <c r="B9889" s="200"/>
      <c r="C9889" s="201"/>
      <c r="D9889" s="201"/>
      <c r="E9889" s="201"/>
      <c r="F9889" s="202"/>
      <c r="G9889" s="549"/>
      <c r="H9889" s="549"/>
      <c r="I9889" s="549"/>
      <c r="J9889" s="549"/>
      <c r="K9889" s="549"/>
      <c r="M9889" s="465"/>
      <c r="N9889" s="201"/>
    </row>
    <row r="9890" spans="2:14" hidden="1" outlineLevel="1" x14ac:dyDescent="0.35">
      <c r="B9890" s="200"/>
      <c r="C9890" s="201"/>
      <c r="D9890" s="201"/>
      <c r="E9890" s="201"/>
      <c r="F9890" s="202"/>
      <c r="G9890" s="549"/>
      <c r="H9890" s="549"/>
      <c r="I9890" s="549"/>
      <c r="J9890" s="549"/>
      <c r="K9890" s="549"/>
      <c r="M9890" s="465"/>
      <c r="N9890" s="201"/>
    </row>
    <row r="9891" spans="2:14" hidden="1" outlineLevel="1" x14ac:dyDescent="0.35">
      <c r="B9891" s="200"/>
      <c r="C9891" s="201"/>
      <c r="D9891" s="201"/>
      <c r="E9891" s="201"/>
      <c r="F9891" s="202"/>
      <c r="G9891" s="549"/>
      <c r="H9891" s="549"/>
      <c r="I9891" s="549"/>
      <c r="J9891" s="549"/>
      <c r="K9891" s="549"/>
      <c r="M9891" s="465"/>
      <c r="N9891" s="201"/>
    </row>
    <row r="9892" spans="2:14" hidden="1" outlineLevel="1" x14ac:dyDescent="0.35">
      <c r="B9892" s="200"/>
      <c r="C9892" s="201"/>
      <c r="D9892" s="201"/>
      <c r="E9892" s="201"/>
      <c r="F9892" s="202"/>
      <c r="G9892" s="549"/>
      <c r="H9892" s="549"/>
      <c r="I9892" s="549"/>
      <c r="J9892" s="549"/>
      <c r="K9892" s="549"/>
      <c r="M9892" s="465"/>
      <c r="N9892" s="201"/>
    </row>
    <row r="9893" spans="2:14" hidden="1" outlineLevel="1" x14ac:dyDescent="0.35">
      <c r="B9893" s="200"/>
      <c r="C9893" s="201"/>
      <c r="D9893" s="201"/>
      <c r="E9893" s="201"/>
      <c r="F9893" s="202"/>
      <c r="G9893" s="549"/>
      <c r="H9893" s="549"/>
      <c r="I9893" s="549"/>
      <c r="J9893" s="549"/>
      <c r="K9893" s="549"/>
      <c r="M9893" s="465"/>
      <c r="N9893" s="201"/>
    </row>
    <row r="9894" spans="2:14" hidden="1" outlineLevel="1" x14ac:dyDescent="0.35">
      <c r="B9894" s="200"/>
      <c r="C9894" s="201"/>
      <c r="D9894" s="201"/>
      <c r="E9894" s="201"/>
      <c r="F9894" s="202"/>
      <c r="G9894" s="549"/>
      <c r="H9894" s="549"/>
      <c r="I9894" s="549"/>
      <c r="J9894" s="549"/>
      <c r="K9894" s="549"/>
      <c r="M9894" s="465"/>
      <c r="N9894" s="201"/>
    </row>
    <row r="9895" spans="2:14" hidden="1" outlineLevel="1" x14ac:dyDescent="0.35">
      <c r="B9895" s="200"/>
      <c r="C9895" s="201"/>
      <c r="D9895" s="201"/>
      <c r="E9895" s="201"/>
      <c r="F9895" s="202"/>
      <c r="G9895" s="549"/>
      <c r="H9895" s="549"/>
      <c r="I9895" s="549"/>
      <c r="J9895" s="549"/>
      <c r="K9895" s="549"/>
      <c r="M9895" s="465"/>
      <c r="N9895" s="201"/>
    </row>
    <row r="9896" spans="2:14" hidden="1" outlineLevel="1" x14ac:dyDescent="0.35">
      <c r="B9896" s="200"/>
      <c r="C9896" s="201"/>
      <c r="D9896" s="201"/>
      <c r="E9896" s="201"/>
      <c r="F9896" s="202"/>
      <c r="G9896" s="549"/>
      <c r="H9896" s="549"/>
      <c r="I9896" s="549"/>
      <c r="J9896" s="549"/>
      <c r="K9896" s="549"/>
      <c r="M9896" s="465"/>
      <c r="N9896" s="201"/>
    </row>
    <row r="9897" spans="2:14" hidden="1" outlineLevel="1" x14ac:dyDescent="0.35">
      <c r="B9897" s="200"/>
      <c r="C9897" s="201"/>
      <c r="D9897" s="201"/>
      <c r="E9897" s="201"/>
      <c r="F9897" s="202"/>
      <c r="G9897" s="549"/>
      <c r="H9897" s="549"/>
      <c r="I9897" s="549"/>
      <c r="J9897" s="549"/>
      <c r="K9897" s="549"/>
      <c r="M9897" s="465"/>
      <c r="N9897" s="201"/>
    </row>
    <row r="9898" spans="2:14" hidden="1" outlineLevel="1" x14ac:dyDescent="0.35">
      <c r="B9898" s="200"/>
      <c r="C9898" s="201"/>
      <c r="D9898" s="201"/>
      <c r="E9898" s="201"/>
      <c r="F9898" s="202"/>
      <c r="G9898" s="549"/>
      <c r="H9898" s="549"/>
      <c r="I9898" s="549"/>
      <c r="J9898" s="549"/>
      <c r="K9898" s="549"/>
      <c r="M9898" s="465"/>
      <c r="N9898" s="201"/>
    </row>
    <row r="9899" spans="2:14" hidden="1" outlineLevel="1" x14ac:dyDescent="0.35">
      <c r="B9899" s="200"/>
      <c r="C9899" s="201"/>
      <c r="D9899" s="201"/>
      <c r="E9899" s="201"/>
      <c r="F9899" s="202"/>
      <c r="G9899" s="549"/>
      <c r="H9899" s="549"/>
      <c r="I9899" s="549"/>
      <c r="J9899" s="549"/>
      <c r="K9899" s="549"/>
      <c r="M9899" s="465"/>
      <c r="N9899" s="201"/>
    </row>
    <row r="9900" spans="2:14" hidden="1" outlineLevel="1" x14ac:dyDescent="0.35">
      <c r="B9900" s="200"/>
      <c r="C9900" s="201"/>
      <c r="D9900" s="201"/>
      <c r="E9900" s="201"/>
      <c r="F9900" s="202"/>
      <c r="G9900" s="549"/>
      <c r="H9900" s="549"/>
      <c r="I9900" s="549"/>
      <c r="J9900" s="549"/>
      <c r="K9900" s="549"/>
      <c r="M9900" s="465"/>
      <c r="N9900" s="201"/>
    </row>
    <row r="9901" spans="2:14" hidden="1" outlineLevel="1" x14ac:dyDescent="0.35">
      <c r="B9901" s="200"/>
      <c r="C9901" s="201"/>
      <c r="D9901" s="201"/>
      <c r="E9901" s="201"/>
      <c r="F9901" s="202"/>
      <c r="G9901" s="549"/>
      <c r="H9901" s="549"/>
      <c r="I9901" s="549"/>
      <c r="J9901" s="549"/>
      <c r="K9901" s="549"/>
      <c r="M9901" s="465"/>
      <c r="N9901" s="201"/>
    </row>
    <row r="9902" spans="2:14" hidden="1" outlineLevel="1" x14ac:dyDescent="0.35">
      <c r="B9902" s="200"/>
      <c r="C9902" s="201"/>
      <c r="D9902" s="201"/>
      <c r="E9902" s="201"/>
      <c r="F9902" s="202"/>
      <c r="G9902" s="549"/>
      <c r="H9902" s="549"/>
      <c r="I9902" s="549"/>
      <c r="J9902" s="549"/>
      <c r="K9902" s="549"/>
      <c r="M9902" s="465"/>
      <c r="N9902" s="201"/>
    </row>
    <row r="9903" spans="2:14" hidden="1" outlineLevel="1" x14ac:dyDescent="0.35">
      <c r="B9903" s="200"/>
      <c r="C9903" s="201"/>
      <c r="D9903" s="201"/>
      <c r="E9903" s="201"/>
      <c r="F9903" s="202"/>
      <c r="G9903" s="549"/>
      <c r="H9903" s="549"/>
      <c r="I9903" s="549"/>
      <c r="J9903" s="549"/>
      <c r="K9903" s="549"/>
      <c r="M9903" s="465"/>
      <c r="N9903" s="201"/>
    </row>
    <row r="9904" spans="2:14" hidden="1" outlineLevel="1" x14ac:dyDescent="0.35">
      <c r="B9904" s="200"/>
      <c r="C9904" s="201"/>
      <c r="D9904" s="201"/>
      <c r="E9904" s="201"/>
      <c r="F9904" s="202"/>
      <c r="G9904" s="549"/>
      <c r="H9904" s="549"/>
      <c r="I9904" s="549"/>
      <c r="J9904" s="549"/>
      <c r="K9904" s="549"/>
      <c r="M9904" s="465"/>
      <c r="N9904" s="201"/>
    </row>
    <row r="9905" spans="2:14" hidden="1" outlineLevel="1" x14ac:dyDescent="0.35">
      <c r="B9905" s="200"/>
      <c r="C9905" s="201"/>
      <c r="D9905" s="201"/>
      <c r="E9905" s="201"/>
      <c r="F9905" s="202"/>
      <c r="G9905" s="549"/>
      <c r="H9905" s="549"/>
      <c r="I9905" s="549"/>
      <c r="J9905" s="549"/>
      <c r="K9905" s="549"/>
      <c r="M9905" s="465"/>
      <c r="N9905" s="201"/>
    </row>
    <row r="9906" spans="2:14" hidden="1" outlineLevel="1" x14ac:dyDescent="0.35">
      <c r="B9906" s="200"/>
      <c r="C9906" s="201"/>
      <c r="D9906" s="201"/>
      <c r="E9906" s="201"/>
      <c r="F9906" s="202"/>
      <c r="G9906" s="549"/>
      <c r="H9906" s="549"/>
      <c r="I9906" s="549"/>
      <c r="J9906" s="549"/>
      <c r="K9906" s="549"/>
      <c r="M9906" s="465"/>
      <c r="N9906" s="201"/>
    </row>
    <row r="9907" spans="2:14" hidden="1" outlineLevel="1" x14ac:dyDescent="0.35">
      <c r="B9907" s="200"/>
      <c r="C9907" s="201"/>
      <c r="D9907" s="201"/>
      <c r="E9907" s="201"/>
      <c r="F9907" s="202"/>
      <c r="G9907" s="549"/>
      <c r="H9907" s="549"/>
      <c r="I9907" s="549"/>
      <c r="J9907" s="549"/>
      <c r="K9907" s="549"/>
      <c r="M9907" s="465"/>
      <c r="N9907" s="201"/>
    </row>
    <row r="9908" spans="2:14" hidden="1" outlineLevel="1" x14ac:dyDescent="0.35">
      <c r="B9908" s="200"/>
      <c r="C9908" s="201"/>
      <c r="D9908" s="201"/>
      <c r="E9908" s="201"/>
      <c r="F9908" s="202"/>
      <c r="G9908" s="549"/>
      <c r="H9908" s="549"/>
      <c r="I9908" s="549"/>
      <c r="J9908" s="549"/>
      <c r="K9908" s="549"/>
      <c r="M9908" s="465"/>
      <c r="N9908" s="201"/>
    </row>
    <row r="9909" spans="2:14" hidden="1" outlineLevel="1" x14ac:dyDescent="0.35">
      <c r="B9909" s="200"/>
      <c r="C9909" s="201"/>
      <c r="D9909" s="201"/>
      <c r="E9909" s="201"/>
      <c r="F9909" s="202"/>
      <c r="G9909" s="549"/>
      <c r="H9909" s="549"/>
      <c r="I9909" s="549"/>
      <c r="J9909" s="549"/>
      <c r="K9909" s="549"/>
      <c r="M9909" s="465"/>
      <c r="N9909" s="201"/>
    </row>
    <row r="9910" spans="2:14" hidden="1" outlineLevel="1" x14ac:dyDescent="0.35">
      <c r="B9910" s="200"/>
      <c r="C9910" s="201"/>
      <c r="D9910" s="201"/>
      <c r="E9910" s="201"/>
      <c r="F9910" s="202"/>
      <c r="G9910" s="549"/>
      <c r="H9910" s="549"/>
      <c r="I9910" s="549"/>
      <c r="J9910" s="549"/>
      <c r="K9910" s="549"/>
      <c r="M9910" s="465"/>
      <c r="N9910" s="201"/>
    </row>
    <row r="9911" spans="2:14" hidden="1" outlineLevel="1" x14ac:dyDescent="0.35">
      <c r="B9911" s="200"/>
      <c r="C9911" s="201"/>
      <c r="D9911" s="201"/>
      <c r="E9911" s="201"/>
      <c r="F9911" s="202"/>
      <c r="G9911" s="549"/>
      <c r="H9911" s="549"/>
      <c r="I9911" s="549"/>
      <c r="J9911" s="549"/>
      <c r="K9911" s="549"/>
      <c r="M9911" s="465"/>
      <c r="N9911" s="201"/>
    </row>
    <row r="9912" spans="2:14" hidden="1" outlineLevel="1" x14ac:dyDescent="0.35">
      <c r="B9912" s="200"/>
      <c r="C9912" s="201"/>
      <c r="D9912" s="201"/>
      <c r="E9912" s="201"/>
      <c r="F9912" s="202"/>
      <c r="G9912" s="549"/>
      <c r="H9912" s="549"/>
      <c r="I9912" s="549"/>
      <c r="J9912" s="549"/>
      <c r="K9912" s="549"/>
      <c r="M9912" s="465"/>
      <c r="N9912" s="201"/>
    </row>
    <row r="9913" spans="2:14" hidden="1" outlineLevel="1" x14ac:dyDescent="0.35">
      <c r="B9913" s="200"/>
      <c r="C9913" s="201"/>
      <c r="D9913" s="201"/>
      <c r="E9913" s="201"/>
      <c r="F9913" s="202"/>
      <c r="G9913" s="549"/>
      <c r="H9913" s="549"/>
      <c r="I9913" s="549"/>
      <c r="J9913" s="549"/>
      <c r="K9913" s="549"/>
      <c r="M9913" s="465"/>
      <c r="N9913" s="201"/>
    </row>
    <row r="9914" spans="2:14" hidden="1" outlineLevel="1" x14ac:dyDescent="0.35">
      <c r="B9914" s="200"/>
      <c r="C9914" s="201"/>
      <c r="D9914" s="201"/>
      <c r="E9914" s="201"/>
      <c r="F9914" s="202"/>
      <c r="G9914" s="549"/>
      <c r="H9914" s="549"/>
      <c r="I9914" s="549"/>
      <c r="J9914" s="549"/>
      <c r="K9914" s="549"/>
      <c r="M9914" s="465"/>
      <c r="N9914" s="201"/>
    </row>
    <row r="9915" spans="2:14" hidden="1" outlineLevel="1" x14ac:dyDescent="0.35">
      <c r="B9915" s="200"/>
      <c r="C9915" s="201"/>
      <c r="D9915" s="201"/>
      <c r="E9915" s="201"/>
      <c r="F9915" s="202"/>
      <c r="G9915" s="549"/>
      <c r="H9915" s="549"/>
      <c r="I9915" s="549"/>
      <c r="J9915" s="549"/>
      <c r="K9915" s="549"/>
      <c r="M9915" s="465"/>
      <c r="N9915" s="201"/>
    </row>
    <row r="9916" spans="2:14" hidden="1" outlineLevel="1" x14ac:dyDescent="0.35">
      <c r="B9916" s="200"/>
      <c r="C9916" s="201"/>
      <c r="D9916" s="201"/>
      <c r="E9916" s="201"/>
      <c r="F9916" s="202"/>
      <c r="G9916" s="549"/>
      <c r="H9916" s="549"/>
      <c r="I9916" s="549"/>
      <c r="J9916" s="549"/>
      <c r="K9916" s="549"/>
      <c r="M9916" s="465"/>
      <c r="N9916" s="201"/>
    </row>
    <row r="9917" spans="2:14" hidden="1" outlineLevel="1" x14ac:dyDescent="0.35">
      <c r="B9917" s="200"/>
      <c r="C9917" s="201"/>
      <c r="D9917" s="201"/>
      <c r="E9917" s="201"/>
      <c r="F9917" s="202"/>
      <c r="G9917" s="549"/>
      <c r="H9917" s="549"/>
      <c r="I9917" s="549"/>
      <c r="J9917" s="549"/>
      <c r="K9917" s="549"/>
      <c r="M9917" s="465"/>
      <c r="N9917" s="201"/>
    </row>
    <row r="9918" spans="2:14" hidden="1" outlineLevel="1" x14ac:dyDescent="0.35">
      <c r="B9918" s="200"/>
      <c r="C9918" s="201"/>
      <c r="D9918" s="201"/>
      <c r="E9918" s="201"/>
      <c r="F9918" s="202"/>
      <c r="G9918" s="549"/>
      <c r="H9918" s="549"/>
      <c r="I9918" s="549"/>
      <c r="J9918" s="549"/>
      <c r="K9918" s="549"/>
      <c r="M9918" s="465"/>
      <c r="N9918" s="201"/>
    </row>
    <row r="9919" spans="2:14" hidden="1" outlineLevel="1" x14ac:dyDescent="0.35">
      <c r="B9919" s="200"/>
      <c r="C9919" s="201"/>
      <c r="D9919" s="201"/>
      <c r="E9919" s="201"/>
      <c r="F9919" s="202"/>
      <c r="G9919" s="549"/>
      <c r="H9919" s="549"/>
      <c r="I9919" s="549"/>
      <c r="J9919" s="549"/>
      <c r="K9919" s="549"/>
      <c r="M9919" s="465"/>
      <c r="N9919" s="201"/>
    </row>
    <row r="9920" spans="2:14" hidden="1" outlineLevel="1" x14ac:dyDescent="0.35">
      <c r="B9920" s="200"/>
      <c r="C9920" s="201"/>
      <c r="D9920" s="201"/>
      <c r="E9920" s="201"/>
      <c r="F9920" s="202"/>
      <c r="G9920" s="549"/>
      <c r="H9920" s="549"/>
      <c r="I9920" s="549"/>
      <c r="J9920" s="549"/>
      <c r="K9920" s="549"/>
      <c r="M9920" s="465"/>
      <c r="N9920" s="201"/>
    </row>
    <row r="9921" spans="2:14" hidden="1" outlineLevel="1" x14ac:dyDescent="0.35">
      <c r="B9921" s="200"/>
      <c r="C9921" s="201"/>
      <c r="D9921" s="201"/>
      <c r="E9921" s="201"/>
      <c r="F9921" s="202"/>
      <c r="G9921" s="549"/>
      <c r="H9921" s="549"/>
      <c r="I9921" s="549"/>
      <c r="J9921" s="549"/>
      <c r="K9921" s="549"/>
      <c r="M9921" s="465"/>
      <c r="N9921" s="201"/>
    </row>
    <row r="9922" spans="2:14" hidden="1" outlineLevel="1" x14ac:dyDescent="0.35">
      <c r="B9922" s="200"/>
      <c r="C9922" s="201"/>
      <c r="D9922" s="201"/>
      <c r="E9922" s="201"/>
      <c r="F9922" s="202"/>
      <c r="G9922" s="549"/>
      <c r="H9922" s="549"/>
      <c r="I9922" s="549"/>
      <c r="J9922" s="549"/>
      <c r="K9922" s="549"/>
      <c r="M9922" s="465"/>
      <c r="N9922" s="201"/>
    </row>
    <row r="9923" spans="2:14" hidden="1" outlineLevel="1" x14ac:dyDescent="0.35">
      <c r="B9923" s="200"/>
      <c r="C9923" s="201"/>
      <c r="D9923" s="201"/>
      <c r="E9923" s="201"/>
      <c r="F9923" s="202"/>
      <c r="G9923" s="549"/>
      <c r="H9923" s="549"/>
      <c r="I9923" s="549"/>
      <c r="J9923" s="549"/>
      <c r="K9923" s="549"/>
      <c r="M9923" s="465"/>
      <c r="N9923" s="201"/>
    </row>
    <row r="9924" spans="2:14" hidden="1" outlineLevel="1" x14ac:dyDescent="0.35">
      <c r="B9924" s="200"/>
      <c r="C9924" s="201"/>
      <c r="D9924" s="201"/>
      <c r="E9924" s="201"/>
      <c r="F9924" s="202"/>
      <c r="G9924" s="549"/>
      <c r="H9924" s="549"/>
      <c r="I9924" s="549"/>
      <c r="J9924" s="549"/>
      <c r="K9924" s="549"/>
      <c r="M9924" s="465"/>
      <c r="N9924" s="201"/>
    </row>
    <row r="9925" spans="2:14" hidden="1" outlineLevel="1" x14ac:dyDescent="0.35">
      <c r="B9925" s="200"/>
      <c r="C9925" s="201"/>
      <c r="D9925" s="201"/>
      <c r="E9925" s="201"/>
      <c r="F9925" s="202"/>
      <c r="G9925" s="549"/>
      <c r="H9925" s="549"/>
      <c r="I9925" s="549"/>
      <c r="J9925" s="549"/>
      <c r="K9925" s="549"/>
      <c r="M9925" s="465"/>
      <c r="N9925" s="201"/>
    </row>
    <row r="9926" spans="2:14" hidden="1" outlineLevel="1" x14ac:dyDescent="0.35">
      <c r="B9926" s="200"/>
      <c r="C9926" s="201"/>
      <c r="D9926" s="201"/>
      <c r="E9926" s="201"/>
      <c r="F9926" s="202"/>
      <c r="G9926" s="549"/>
      <c r="H9926" s="549"/>
      <c r="I9926" s="549"/>
      <c r="J9926" s="549"/>
      <c r="K9926" s="549"/>
      <c r="M9926" s="465"/>
      <c r="N9926" s="201"/>
    </row>
    <row r="9927" spans="2:14" hidden="1" outlineLevel="1" x14ac:dyDescent="0.35">
      <c r="B9927" s="200"/>
      <c r="C9927" s="201"/>
      <c r="D9927" s="201"/>
      <c r="E9927" s="201"/>
      <c r="F9927" s="202"/>
      <c r="G9927" s="549"/>
      <c r="H9927" s="549"/>
      <c r="I9927" s="549"/>
      <c r="J9927" s="549"/>
      <c r="K9927" s="549"/>
      <c r="M9927" s="465"/>
      <c r="N9927" s="201"/>
    </row>
    <row r="9928" spans="2:14" hidden="1" outlineLevel="1" x14ac:dyDescent="0.35">
      <c r="B9928" s="200"/>
      <c r="C9928" s="201"/>
      <c r="D9928" s="201"/>
      <c r="E9928" s="201"/>
      <c r="F9928" s="202"/>
      <c r="G9928" s="549"/>
      <c r="H9928" s="549"/>
      <c r="I9928" s="549"/>
      <c r="J9928" s="549"/>
      <c r="K9928" s="549"/>
      <c r="M9928" s="465"/>
      <c r="N9928" s="201"/>
    </row>
    <row r="9929" spans="2:14" hidden="1" outlineLevel="1" x14ac:dyDescent="0.35">
      <c r="B9929" s="200"/>
      <c r="C9929" s="201"/>
      <c r="D9929" s="201"/>
      <c r="E9929" s="201"/>
      <c r="F9929" s="202"/>
      <c r="G9929" s="549"/>
      <c r="H9929" s="549"/>
      <c r="I9929" s="549"/>
      <c r="J9929" s="549"/>
      <c r="K9929" s="549"/>
      <c r="M9929" s="465"/>
      <c r="N9929" s="201"/>
    </row>
    <row r="9930" spans="2:14" hidden="1" outlineLevel="1" x14ac:dyDescent="0.35">
      <c r="B9930" s="200"/>
      <c r="C9930" s="201"/>
      <c r="D9930" s="201"/>
      <c r="E9930" s="201"/>
      <c r="F9930" s="202"/>
      <c r="G9930" s="549"/>
      <c r="H9930" s="549"/>
      <c r="I9930" s="549"/>
      <c r="J9930" s="549"/>
      <c r="K9930" s="549"/>
      <c r="M9930" s="465"/>
      <c r="N9930" s="201"/>
    </row>
    <row r="9931" spans="2:14" hidden="1" outlineLevel="1" x14ac:dyDescent="0.35">
      <c r="B9931" s="200"/>
      <c r="C9931" s="201"/>
      <c r="D9931" s="201"/>
      <c r="E9931" s="201"/>
      <c r="F9931" s="202"/>
      <c r="G9931" s="549"/>
      <c r="H9931" s="549"/>
      <c r="I9931" s="549"/>
      <c r="J9931" s="549"/>
      <c r="K9931" s="549"/>
      <c r="M9931" s="465"/>
      <c r="N9931" s="201"/>
    </row>
    <row r="9932" spans="2:14" hidden="1" outlineLevel="1" x14ac:dyDescent="0.35">
      <c r="B9932" s="200"/>
      <c r="C9932" s="201"/>
      <c r="D9932" s="201"/>
      <c r="E9932" s="201"/>
      <c r="F9932" s="202"/>
      <c r="G9932" s="549"/>
      <c r="H9932" s="549"/>
      <c r="I9932" s="549"/>
      <c r="J9932" s="549"/>
      <c r="K9932" s="549"/>
      <c r="M9932" s="465"/>
      <c r="N9932" s="201"/>
    </row>
    <row r="9933" spans="2:14" hidden="1" outlineLevel="1" x14ac:dyDescent="0.35">
      <c r="B9933" s="200"/>
      <c r="C9933" s="201"/>
      <c r="D9933" s="201"/>
      <c r="E9933" s="201"/>
      <c r="F9933" s="202"/>
      <c r="G9933" s="549"/>
      <c r="H9933" s="549"/>
      <c r="I9933" s="549"/>
      <c r="J9933" s="549"/>
      <c r="K9933" s="549"/>
      <c r="M9933" s="465"/>
      <c r="N9933" s="201"/>
    </row>
    <row r="9934" spans="2:14" hidden="1" outlineLevel="1" x14ac:dyDescent="0.35">
      <c r="B9934" s="200"/>
      <c r="C9934" s="201"/>
      <c r="D9934" s="201"/>
      <c r="E9934" s="201"/>
      <c r="F9934" s="202"/>
      <c r="G9934" s="549"/>
      <c r="H9934" s="549"/>
      <c r="I9934" s="549"/>
      <c r="J9934" s="549"/>
      <c r="K9934" s="549"/>
      <c r="M9934" s="465"/>
      <c r="N9934" s="201"/>
    </row>
    <row r="9935" spans="2:14" hidden="1" outlineLevel="1" x14ac:dyDescent="0.35">
      <c r="B9935" s="200"/>
      <c r="C9935" s="201"/>
      <c r="D9935" s="201"/>
      <c r="E9935" s="201"/>
      <c r="F9935" s="202"/>
      <c r="G9935" s="549"/>
      <c r="H9935" s="549"/>
      <c r="I9935" s="549"/>
      <c r="J9935" s="549"/>
      <c r="K9935" s="549"/>
      <c r="M9935" s="465"/>
      <c r="N9935" s="201"/>
    </row>
    <row r="9936" spans="2:14" hidden="1" outlineLevel="1" x14ac:dyDescent="0.35">
      <c r="B9936" s="200"/>
      <c r="C9936" s="201"/>
      <c r="D9936" s="201"/>
      <c r="E9936" s="201"/>
      <c r="F9936" s="202"/>
      <c r="G9936" s="549"/>
      <c r="H9936" s="549"/>
      <c r="I9936" s="549"/>
      <c r="J9936" s="549"/>
      <c r="K9936" s="549"/>
      <c r="M9936" s="465"/>
      <c r="N9936" s="201"/>
    </row>
    <row r="9937" spans="2:14" hidden="1" outlineLevel="1" x14ac:dyDescent="0.35">
      <c r="B9937" s="200"/>
      <c r="C9937" s="201"/>
      <c r="D9937" s="201"/>
      <c r="E9937" s="201"/>
      <c r="F9937" s="202"/>
      <c r="G9937" s="549"/>
      <c r="H9937" s="549"/>
      <c r="I9937" s="549"/>
      <c r="J9937" s="549"/>
      <c r="K9937" s="549"/>
      <c r="M9937" s="465"/>
      <c r="N9937" s="201"/>
    </row>
    <row r="9938" spans="2:14" hidden="1" outlineLevel="1" x14ac:dyDescent="0.35">
      <c r="B9938" s="200"/>
      <c r="C9938" s="201"/>
      <c r="D9938" s="201"/>
      <c r="E9938" s="201"/>
      <c r="F9938" s="202"/>
      <c r="G9938" s="549"/>
      <c r="H9938" s="549"/>
      <c r="I9938" s="549"/>
      <c r="J9938" s="549"/>
      <c r="K9938" s="549"/>
      <c r="M9938" s="465"/>
      <c r="N9938" s="201"/>
    </row>
    <row r="9939" spans="2:14" hidden="1" outlineLevel="1" x14ac:dyDescent="0.35">
      <c r="B9939" s="200"/>
      <c r="C9939" s="201"/>
      <c r="D9939" s="201"/>
      <c r="E9939" s="201"/>
      <c r="F9939" s="202"/>
      <c r="G9939" s="549"/>
      <c r="H9939" s="549"/>
      <c r="I9939" s="549"/>
      <c r="J9939" s="549"/>
      <c r="K9939" s="549"/>
      <c r="M9939" s="465"/>
      <c r="N9939" s="201"/>
    </row>
    <row r="9940" spans="2:14" hidden="1" outlineLevel="1" x14ac:dyDescent="0.35">
      <c r="B9940" s="200"/>
      <c r="C9940" s="201"/>
      <c r="D9940" s="201"/>
      <c r="E9940" s="201"/>
      <c r="F9940" s="202"/>
      <c r="G9940" s="549"/>
      <c r="H9940" s="549"/>
      <c r="I9940" s="549"/>
      <c r="J9940" s="549"/>
      <c r="K9940" s="549"/>
      <c r="M9940" s="465"/>
      <c r="N9940" s="201"/>
    </row>
    <row r="9941" spans="2:14" hidden="1" outlineLevel="1" x14ac:dyDescent="0.35">
      <c r="B9941" s="200"/>
      <c r="C9941" s="201"/>
      <c r="D9941" s="201"/>
      <c r="E9941" s="201"/>
      <c r="F9941" s="202"/>
      <c r="G9941" s="549"/>
      <c r="H9941" s="549"/>
      <c r="I9941" s="549"/>
      <c r="J9941" s="549"/>
      <c r="K9941" s="549"/>
      <c r="M9941" s="465"/>
      <c r="N9941" s="201"/>
    </row>
    <row r="9942" spans="2:14" hidden="1" outlineLevel="1" x14ac:dyDescent="0.35">
      <c r="B9942" s="200"/>
      <c r="C9942" s="201"/>
      <c r="D9942" s="201"/>
      <c r="E9942" s="201"/>
      <c r="F9942" s="202"/>
      <c r="G9942" s="549"/>
      <c r="H9942" s="549"/>
      <c r="I9942" s="549"/>
      <c r="J9942" s="549"/>
      <c r="K9942" s="549"/>
      <c r="M9942" s="465"/>
      <c r="N9942" s="201"/>
    </row>
    <row r="9943" spans="2:14" hidden="1" outlineLevel="1" x14ac:dyDescent="0.35">
      <c r="B9943" s="200"/>
      <c r="C9943" s="201"/>
      <c r="D9943" s="201"/>
      <c r="E9943" s="201"/>
      <c r="F9943" s="202"/>
      <c r="G9943" s="549"/>
      <c r="H9943" s="549"/>
      <c r="I9943" s="549"/>
      <c r="J9943" s="549"/>
      <c r="K9943" s="549"/>
      <c r="M9943" s="465"/>
      <c r="N9943" s="201"/>
    </row>
    <row r="9944" spans="2:14" hidden="1" outlineLevel="1" x14ac:dyDescent="0.35">
      <c r="B9944" s="200"/>
      <c r="C9944" s="201"/>
      <c r="D9944" s="201"/>
      <c r="E9944" s="201"/>
      <c r="F9944" s="202"/>
      <c r="G9944" s="549"/>
      <c r="H9944" s="549"/>
      <c r="I9944" s="549"/>
      <c r="J9944" s="549"/>
      <c r="K9944" s="549"/>
      <c r="M9944" s="465"/>
      <c r="N9944" s="201"/>
    </row>
    <row r="9945" spans="2:14" hidden="1" outlineLevel="1" x14ac:dyDescent="0.35">
      <c r="B9945" s="200"/>
      <c r="C9945" s="201"/>
      <c r="D9945" s="201"/>
      <c r="E9945" s="201"/>
      <c r="F9945" s="202"/>
      <c r="G9945" s="549"/>
      <c r="H9945" s="549"/>
      <c r="I9945" s="549"/>
      <c r="J9945" s="549"/>
      <c r="K9945" s="549"/>
      <c r="M9945" s="465"/>
      <c r="N9945" s="201"/>
    </row>
    <row r="9946" spans="2:14" hidden="1" outlineLevel="1" x14ac:dyDescent="0.35">
      <c r="B9946" s="200"/>
      <c r="C9946" s="201"/>
      <c r="D9946" s="201"/>
      <c r="E9946" s="201"/>
      <c r="F9946" s="202"/>
      <c r="G9946" s="549"/>
      <c r="H9946" s="549"/>
      <c r="I9946" s="549"/>
      <c r="J9946" s="549"/>
      <c r="K9946" s="549"/>
      <c r="M9946" s="465"/>
      <c r="N9946" s="201"/>
    </row>
    <row r="9947" spans="2:14" hidden="1" outlineLevel="1" x14ac:dyDescent="0.35">
      <c r="B9947" s="200"/>
      <c r="C9947" s="201"/>
      <c r="D9947" s="201"/>
      <c r="E9947" s="201"/>
      <c r="F9947" s="202"/>
      <c r="G9947" s="549"/>
      <c r="H9947" s="549"/>
      <c r="I9947" s="549"/>
      <c r="J9947" s="549"/>
      <c r="K9947" s="549"/>
      <c r="M9947" s="465"/>
      <c r="N9947" s="201"/>
    </row>
    <row r="9948" spans="2:14" hidden="1" outlineLevel="1" x14ac:dyDescent="0.35">
      <c r="B9948" s="200"/>
      <c r="C9948" s="201"/>
      <c r="D9948" s="201"/>
      <c r="E9948" s="201"/>
      <c r="F9948" s="202"/>
      <c r="G9948" s="549"/>
      <c r="H9948" s="549"/>
      <c r="I9948" s="549"/>
      <c r="J9948" s="549"/>
      <c r="K9948" s="549"/>
      <c r="M9948" s="465"/>
      <c r="N9948" s="201"/>
    </row>
    <row r="9949" spans="2:14" hidden="1" outlineLevel="1" x14ac:dyDescent="0.35">
      <c r="B9949" s="200"/>
      <c r="C9949" s="201"/>
      <c r="D9949" s="201"/>
      <c r="E9949" s="201"/>
      <c r="F9949" s="202"/>
      <c r="G9949" s="549"/>
      <c r="H9949" s="549"/>
      <c r="I9949" s="549"/>
      <c r="J9949" s="549"/>
      <c r="K9949" s="549"/>
      <c r="M9949" s="465"/>
      <c r="N9949" s="201"/>
    </row>
    <row r="9950" spans="2:14" hidden="1" outlineLevel="1" x14ac:dyDescent="0.35">
      <c r="B9950" s="200"/>
      <c r="C9950" s="201"/>
      <c r="D9950" s="201"/>
      <c r="E9950" s="201"/>
      <c r="F9950" s="202"/>
      <c r="G9950" s="549"/>
      <c r="H9950" s="549"/>
      <c r="I9950" s="549"/>
      <c r="J9950" s="549"/>
      <c r="K9950" s="549"/>
      <c r="M9950" s="465"/>
      <c r="N9950" s="201"/>
    </row>
    <row r="9951" spans="2:14" hidden="1" outlineLevel="1" x14ac:dyDescent="0.35">
      <c r="B9951" s="200"/>
      <c r="C9951" s="201"/>
      <c r="D9951" s="201"/>
      <c r="E9951" s="201"/>
      <c r="F9951" s="202"/>
      <c r="G9951" s="549"/>
      <c r="H9951" s="549"/>
      <c r="I9951" s="549"/>
      <c r="J9951" s="549"/>
      <c r="K9951" s="549"/>
      <c r="M9951" s="465"/>
      <c r="N9951" s="201"/>
    </row>
    <row r="9952" spans="2:14" hidden="1" outlineLevel="1" x14ac:dyDescent="0.35">
      <c r="B9952" s="200"/>
      <c r="C9952" s="201"/>
      <c r="D9952" s="201"/>
      <c r="E9952" s="201"/>
      <c r="F9952" s="202"/>
      <c r="G9952" s="549"/>
      <c r="H9952" s="549"/>
      <c r="I9952" s="549"/>
      <c r="J9952" s="549"/>
      <c r="K9952" s="549"/>
      <c r="M9952" s="465"/>
      <c r="N9952" s="201"/>
    </row>
    <row r="9953" spans="2:14" hidden="1" outlineLevel="1" x14ac:dyDescent="0.35">
      <c r="B9953" s="200"/>
      <c r="C9953" s="201"/>
      <c r="D9953" s="201"/>
      <c r="E9953" s="201"/>
      <c r="F9953" s="202"/>
      <c r="G9953" s="549"/>
      <c r="H9953" s="549"/>
      <c r="I9953" s="549"/>
      <c r="J9953" s="549"/>
      <c r="K9953" s="549"/>
      <c r="M9953" s="465"/>
      <c r="N9953" s="201"/>
    </row>
    <row r="9954" spans="2:14" hidden="1" outlineLevel="1" x14ac:dyDescent="0.35">
      <c r="B9954" s="200"/>
      <c r="C9954" s="201"/>
      <c r="D9954" s="201"/>
      <c r="E9954" s="201"/>
      <c r="F9954" s="202"/>
      <c r="G9954" s="549"/>
      <c r="H9954" s="549"/>
      <c r="I9954" s="549"/>
      <c r="J9954" s="549"/>
      <c r="K9954" s="549"/>
      <c r="M9954" s="465"/>
      <c r="N9954" s="201"/>
    </row>
    <row r="9955" spans="2:14" hidden="1" outlineLevel="1" x14ac:dyDescent="0.35">
      <c r="B9955" s="200"/>
      <c r="C9955" s="201"/>
      <c r="D9955" s="201"/>
      <c r="E9955" s="201"/>
      <c r="F9955" s="202"/>
      <c r="G9955" s="549"/>
      <c r="H9955" s="549"/>
      <c r="I9955" s="549"/>
      <c r="J9955" s="549"/>
      <c r="K9955" s="549"/>
      <c r="M9955" s="465"/>
      <c r="N9955" s="201"/>
    </row>
    <row r="9956" spans="2:14" hidden="1" outlineLevel="1" x14ac:dyDescent="0.35">
      <c r="B9956" s="200"/>
      <c r="C9956" s="201"/>
      <c r="D9956" s="201"/>
      <c r="E9956" s="201"/>
      <c r="F9956" s="202"/>
      <c r="G9956" s="549"/>
      <c r="H9956" s="549"/>
      <c r="I9956" s="549"/>
      <c r="J9956" s="549"/>
      <c r="K9956" s="549"/>
      <c r="M9956" s="465"/>
      <c r="N9956" s="201"/>
    </row>
    <row r="9957" spans="2:14" hidden="1" outlineLevel="1" x14ac:dyDescent="0.35">
      <c r="B9957" s="200"/>
      <c r="C9957" s="201"/>
      <c r="D9957" s="201"/>
      <c r="E9957" s="201"/>
      <c r="F9957" s="202"/>
      <c r="G9957" s="549"/>
      <c r="H9957" s="549"/>
      <c r="I9957" s="549"/>
      <c r="J9957" s="549"/>
      <c r="K9957" s="549"/>
      <c r="M9957" s="465"/>
      <c r="N9957" s="201"/>
    </row>
    <row r="9958" spans="2:14" hidden="1" outlineLevel="1" x14ac:dyDescent="0.35">
      <c r="B9958" s="200"/>
      <c r="C9958" s="201"/>
      <c r="D9958" s="201"/>
      <c r="E9958" s="201"/>
      <c r="F9958" s="202"/>
      <c r="G9958" s="549"/>
      <c r="H9958" s="549"/>
      <c r="I9958" s="549"/>
      <c r="J9958" s="549"/>
      <c r="K9958" s="549"/>
      <c r="M9958" s="465"/>
      <c r="N9958" s="201"/>
    </row>
    <row r="9959" spans="2:14" hidden="1" outlineLevel="1" x14ac:dyDescent="0.35">
      <c r="B9959" s="200"/>
      <c r="C9959" s="201"/>
      <c r="D9959" s="201"/>
      <c r="E9959" s="201"/>
      <c r="F9959" s="202"/>
      <c r="G9959" s="549"/>
      <c r="H9959" s="549"/>
      <c r="I9959" s="549"/>
      <c r="J9959" s="549"/>
      <c r="K9959" s="549"/>
      <c r="M9959" s="465"/>
      <c r="N9959" s="201"/>
    </row>
    <row r="9960" spans="2:14" hidden="1" outlineLevel="1" x14ac:dyDescent="0.35">
      <c r="B9960" s="200"/>
      <c r="C9960" s="201"/>
      <c r="D9960" s="201"/>
      <c r="E9960" s="201"/>
      <c r="F9960" s="202"/>
      <c r="G9960" s="549"/>
      <c r="H9960" s="549"/>
      <c r="I9960" s="549"/>
      <c r="J9960" s="549"/>
      <c r="K9960" s="549"/>
      <c r="M9960" s="465"/>
      <c r="N9960" s="201"/>
    </row>
    <row r="9961" spans="2:14" hidden="1" outlineLevel="1" x14ac:dyDescent="0.35">
      <c r="B9961" s="200"/>
      <c r="C9961" s="201"/>
      <c r="D9961" s="201"/>
      <c r="E9961" s="201"/>
      <c r="F9961" s="202"/>
      <c r="G9961" s="549"/>
      <c r="H9961" s="549"/>
      <c r="I9961" s="549"/>
      <c r="J9961" s="549"/>
      <c r="K9961" s="549"/>
      <c r="M9961" s="465"/>
      <c r="N9961" s="201"/>
    </row>
    <row r="9962" spans="2:14" hidden="1" outlineLevel="1" x14ac:dyDescent="0.35">
      <c r="B9962" s="200"/>
      <c r="C9962" s="201"/>
      <c r="D9962" s="201"/>
      <c r="E9962" s="201"/>
      <c r="F9962" s="202"/>
      <c r="G9962" s="549"/>
      <c r="H9962" s="549"/>
      <c r="I9962" s="549"/>
      <c r="J9962" s="549"/>
      <c r="K9962" s="549"/>
      <c r="M9962" s="465"/>
      <c r="N9962" s="201"/>
    </row>
    <row r="9963" spans="2:14" hidden="1" outlineLevel="1" x14ac:dyDescent="0.35">
      <c r="B9963" s="200"/>
      <c r="C9963" s="201"/>
      <c r="D9963" s="201"/>
      <c r="E9963" s="201"/>
      <c r="F9963" s="202"/>
      <c r="G9963" s="549"/>
      <c r="H9963" s="549"/>
      <c r="I9963" s="549"/>
      <c r="J9963" s="549"/>
      <c r="K9963" s="549"/>
      <c r="M9963" s="465"/>
      <c r="N9963" s="201"/>
    </row>
    <row r="9964" spans="2:14" hidden="1" outlineLevel="1" x14ac:dyDescent="0.35">
      <c r="B9964" s="200"/>
      <c r="C9964" s="201"/>
      <c r="D9964" s="201"/>
      <c r="E9964" s="201"/>
      <c r="F9964" s="202"/>
      <c r="G9964" s="549"/>
      <c r="H9964" s="549"/>
      <c r="I9964" s="549"/>
      <c r="J9964" s="549"/>
      <c r="K9964" s="549"/>
      <c r="M9964" s="465"/>
      <c r="N9964" s="201"/>
    </row>
    <row r="9965" spans="2:14" hidden="1" outlineLevel="1" x14ac:dyDescent="0.35">
      <c r="B9965" s="200"/>
      <c r="C9965" s="201"/>
      <c r="D9965" s="201"/>
      <c r="E9965" s="201"/>
      <c r="F9965" s="202"/>
      <c r="G9965" s="549"/>
      <c r="H9965" s="549"/>
      <c r="I9965" s="549"/>
      <c r="J9965" s="549"/>
      <c r="K9965" s="549"/>
      <c r="M9965" s="465"/>
      <c r="N9965" s="201"/>
    </row>
    <row r="9966" spans="2:14" hidden="1" outlineLevel="1" x14ac:dyDescent="0.35">
      <c r="B9966" s="200"/>
      <c r="C9966" s="201"/>
      <c r="D9966" s="201"/>
      <c r="E9966" s="201"/>
      <c r="F9966" s="202"/>
      <c r="G9966" s="549"/>
      <c r="H9966" s="549"/>
      <c r="I9966" s="549"/>
      <c r="J9966" s="549"/>
      <c r="K9966" s="549"/>
      <c r="M9966" s="465"/>
      <c r="N9966" s="201"/>
    </row>
    <row r="9967" spans="2:14" hidden="1" outlineLevel="1" x14ac:dyDescent="0.35">
      <c r="B9967" s="200"/>
      <c r="C9967" s="201"/>
      <c r="D9967" s="201"/>
      <c r="E9967" s="201"/>
      <c r="F9967" s="202"/>
      <c r="G9967" s="549"/>
      <c r="H9967" s="549"/>
      <c r="I9967" s="549"/>
      <c r="J9967" s="549"/>
      <c r="K9967" s="549"/>
      <c r="M9967" s="465"/>
      <c r="N9967" s="201"/>
    </row>
    <row r="9968" spans="2:14" hidden="1" outlineLevel="1" x14ac:dyDescent="0.35">
      <c r="B9968" s="200"/>
      <c r="C9968" s="201"/>
      <c r="D9968" s="201"/>
      <c r="E9968" s="201"/>
      <c r="F9968" s="202"/>
      <c r="G9968" s="549"/>
      <c r="H9968" s="549"/>
      <c r="I9968" s="549"/>
      <c r="J9968" s="549"/>
      <c r="K9968" s="549"/>
      <c r="M9968" s="465"/>
      <c r="N9968" s="201"/>
    </row>
    <row r="9969" spans="2:14" hidden="1" outlineLevel="1" x14ac:dyDescent="0.35">
      <c r="B9969" s="200"/>
      <c r="C9969" s="201"/>
      <c r="D9969" s="201"/>
      <c r="E9969" s="201"/>
      <c r="F9969" s="202"/>
      <c r="G9969" s="549"/>
      <c r="H9969" s="549"/>
      <c r="I9969" s="549"/>
      <c r="J9969" s="549"/>
      <c r="K9969" s="549"/>
      <c r="M9969" s="465"/>
      <c r="N9969" s="201"/>
    </row>
    <row r="9970" spans="2:14" hidden="1" outlineLevel="1" x14ac:dyDescent="0.35">
      <c r="B9970" s="200"/>
      <c r="C9970" s="201"/>
      <c r="D9970" s="201"/>
      <c r="E9970" s="201"/>
      <c r="F9970" s="202"/>
      <c r="G9970" s="549"/>
      <c r="H9970" s="549"/>
      <c r="I9970" s="549"/>
      <c r="J9970" s="549"/>
      <c r="K9970" s="549"/>
      <c r="M9970" s="465"/>
      <c r="N9970" s="201"/>
    </row>
    <row r="9971" spans="2:14" hidden="1" outlineLevel="1" x14ac:dyDescent="0.35">
      <c r="B9971" s="200"/>
      <c r="C9971" s="201"/>
      <c r="D9971" s="201"/>
      <c r="E9971" s="201"/>
      <c r="F9971" s="202"/>
      <c r="G9971" s="549"/>
      <c r="H9971" s="549"/>
      <c r="I9971" s="549"/>
      <c r="J9971" s="549"/>
      <c r="K9971" s="549"/>
      <c r="M9971" s="465"/>
      <c r="N9971" s="201"/>
    </row>
    <row r="9972" spans="2:14" hidden="1" outlineLevel="1" x14ac:dyDescent="0.35">
      <c r="B9972" s="200"/>
      <c r="C9972" s="201"/>
      <c r="D9972" s="201"/>
      <c r="E9972" s="201"/>
      <c r="F9972" s="202"/>
      <c r="G9972" s="549"/>
      <c r="H9972" s="549"/>
      <c r="I9972" s="549"/>
      <c r="J9972" s="549"/>
      <c r="K9972" s="549"/>
      <c r="M9972" s="465"/>
      <c r="N9972" s="201"/>
    </row>
    <row r="9973" spans="2:14" hidden="1" outlineLevel="1" x14ac:dyDescent="0.35">
      <c r="B9973" s="200"/>
      <c r="C9973" s="201"/>
      <c r="D9973" s="201"/>
      <c r="E9973" s="201"/>
      <c r="F9973" s="202"/>
      <c r="G9973" s="549"/>
      <c r="H9973" s="549"/>
      <c r="I9973" s="549"/>
      <c r="J9973" s="549"/>
      <c r="K9973" s="549"/>
      <c r="M9973" s="465"/>
      <c r="N9973" s="201"/>
    </row>
    <row r="9974" spans="2:14" hidden="1" outlineLevel="1" x14ac:dyDescent="0.35">
      <c r="B9974" s="200"/>
      <c r="C9974" s="201"/>
      <c r="D9974" s="201"/>
      <c r="E9974" s="201"/>
      <c r="F9974" s="202"/>
      <c r="G9974" s="549"/>
      <c r="H9974" s="549"/>
      <c r="I9974" s="549"/>
      <c r="J9974" s="549"/>
      <c r="K9974" s="549"/>
      <c r="M9974" s="465"/>
      <c r="N9974" s="201"/>
    </row>
    <row r="9975" spans="2:14" hidden="1" outlineLevel="1" x14ac:dyDescent="0.35">
      <c r="B9975" s="200"/>
      <c r="C9975" s="201"/>
      <c r="D9975" s="201"/>
      <c r="E9975" s="201"/>
      <c r="F9975" s="202"/>
      <c r="G9975" s="549"/>
      <c r="H9975" s="549"/>
      <c r="I9975" s="549"/>
      <c r="J9975" s="549"/>
      <c r="K9975" s="549"/>
      <c r="M9975" s="465"/>
      <c r="N9975" s="201"/>
    </row>
    <row r="9976" spans="2:14" hidden="1" outlineLevel="1" x14ac:dyDescent="0.35">
      <c r="B9976" s="200"/>
      <c r="C9976" s="201"/>
      <c r="D9976" s="201"/>
      <c r="E9976" s="201"/>
      <c r="F9976" s="202"/>
      <c r="G9976" s="549"/>
      <c r="H9976" s="549"/>
      <c r="I9976" s="549"/>
      <c r="J9976" s="549"/>
      <c r="K9976" s="549"/>
      <c r="M9976" s="465"/>
      <c r="N9976" s="201"/>
    </row>
    <row r="9977" spans="2:14" hidden="1" outlineLevel="1" x14ac:dyDescent="0.35">
      <c r="B9977" s="200"/>
      <c r="C9977" s="201"/>
      <c r="D9977" s="201"/>
      <c r="E9977" s="201"/>
      <c r="F9977" s="202"/>
      <c r="G9977" s="549"/>
      <c r="H9977" s="549"/>
      <c r="I9977" s="549"/>
      <c r="J9977" s="549"/>
      <c r="K9977" s="549"/>
      <c r="M9977" s="465"/>
      <c r="N9977" s="201"/>
    </row>
    <row r="9978" spans="2:14" hidden="1" outlineLevel="1" x14ac:dyDescent="0.35">
      <c r="B9978" s="200"/>
      <c r="C9978" s="201"/>
      <c r="D9978" s="201"/>
      <c r="E9978" s="201"/>
      <c r="F9978" s="202"/>
      <c r="G9978" s="549"/>
      <c r="H9978" s="549"/>
      <c r="I9978" s="549"/>
      <c r="J9978" s="549"/>
      <c r="K9978" s="549"/>
      <c r="M9978" s="465"/>
      <c r="N9978" s="201"/>
    </row>
    <row r="9979" spans="2:14" hidden="1" outlineLevel="1" x14ac:dyDescent="0.35">
      <c r="B9979" s="200"/>
      <c r="C9979" s="201"/>
      <c r="D9979" s="201"/>
      <c r="E9979" s="201"/>
      <c r="F9979" s="202"/>
      <c r="G9979" s="549"/>
      <c r="H9979" s="549"/>
      <c r="I9979" s="549"/>
      <c r="J9979" s="549"/>
      <c r="K9979" s="549"/>
      <c r="M9979" s="465"/>
      <c r="N9979" s="201"/>
    </row>
    <row r="9980" spans="2:14" hidden="1" outlineLevel="1" x14ac:dyDescent="0.35">
      <c r="B9980" s="200"/>
      <c r="C9980" s="201"/>
      <c r="D9980" s="201"/>
      <c r="E9980" s="201"/>
      <c r="F9980" s="202"/>
      <c r="G9980" s="549"/>
      <c r="H9980" s="549"/>
      <c r="I9980" s="549"/>
      <c r="J9980" s="549"/>
      <c r="K9980" s="549"/>
      <c r="M9980" s="465"/>
      <c r="N9980" s="201"/>
    </row>
    <row r="9981" spans="2:14" hidden="1" outlineLevel="1" x14ac:dyDescent="0.35">
      <c r="B9981" s="200"/>
      <c r="C9981" s="201"/>
      <c r="D9981" s="201"/>
      <c r="E9981" s="201"/>
      <c r="F9981" s="202"/>
      <c r="G9981" s="549"/>
      <c r="H9981" s="549"/>
      <c r="I9981" s="549"/>
      <c r="J9981" s="549"/>
      <c r="K9981" s="549"/>
      <c r="M9981" s="465"/>
      <c r="N9981" s="201"/>
    </row>
    <row r="9982" spans="2:14" hidden="1" outlineLevel="1" x14ac:dyDescent="0.35">
      <c r="B9982" s="200"/>
      <c r="C9982" s="201"/>
      <c r="D9982" s="201"/>
      <c r="E9982" s="201"/>
      <c r="F9982" s="202"/>
      <c r="G9982" s="549"/>
      <c r="H9982" s="549"/>
      <c r="I9982" s="549"/>
      <c r="J9982" s="549"/>
      <c r="K9982" s="549"/>
      <c r="M9982" s="465"/>
      <c r="N9982" s="201"/>
    </row>
    <row r="9983" spans="2:14" hidden="1" outlineLevel="1" x14ac:dyDescent="0.35">
      <c r="B9983" s="200"/>
      <c r="C9983" s="201"/>
      <c r="D9983" s="201"/>
      <c r="E9983" s="201"/>
      <c r="F9983" s="202"/>
      <c r="G9983" s="549"/>
      <c r="H9983" s="549"/>
      <c r="I9983" s="549"/>
      <c r="J9983" s="549"/>
      <c r="K9983" s="549"/>
      <c r="M9983" s="465"/>
      <c r="N9983" s="201"/>
    </row>
    <row r="9984" spans="2:14" hidden="1" outlineLevel="1" x14ac:dyDescent="0.35">
      <c r="B9984" s="200"/>
      <c r="C9984" s="201"/>
      <c r="D9984" s="201"/>
      <c r="E9984" s="201"/>
      <c r="F9984" s="202"/>
      <c r="G9984" s="549"/>
      <c r="H9984" s="549"/>
      <c r="I9984" s="549"/>
      <c r="J9984" s="549"/>
      <c r="K9984" s="549"/>
      <c r="M9984" s="465"/>
      <c r="N9984" s="201"/>
    </row>
    <row r="9985" spans="2:14" hidden="1" outlineLevel="1" x14ac:dyDescent="0.35">
      <c r="B9985" s="200"/>
      <c r="C9985" s="201"/>
      <c r="D9985" s="201"/>
      <c r="E9985" s="201"/>
      <c r="F9985" s="202"/>
      <c r="G9985" s="549"/>
      <c r="H9985" s="549"/>
      <c r="I9985" s="549"/>
      <c r="J9985" s="549"/>
      <c r="K9985" s="549"/>
      <c r="M9985" s="465"/>
      <c r="N9985" s="201"/>
    </row>
    <row r="9986" spans="2:14" hidden="1" outlineLevel="1" x14ac:dyDescent="0.35">
      <c r="B9986" s="200"/>
      <c r="C9986" s="201"/>
      <c r="D9986" s="201"/>
      <c r="E9986" s="201"/>
      <c r="F9986" s="202"/>
      <c r="G9986" s="549"/>
      <c r="H9986" s="549"/>
      <c r="I9986" s="549"/>
      <c r="J9986" s="549"/>
      <c r="K9986" s="549"/>
      <c r="M9986" s="465"/>
      <c r="N9986" s="201"/>
    </row>
    <row r="9987" spans="2:14" hidden="1" outlineLevel="1" x14ac:dyDescent="0.35">
      <c r="B9987" s="200"/>
      <c r="C9987" s="201"/>
      <c r="D9987" s="201"/>
      <c r="E9987" s="201"/>
      <c r="F9987" s="202"/>
      <c r="G9987" s="549"/>
      <c r="H9987" s="549"/>
      <c r="I9987" s="549"/>
      <c r="J9987" s="549"/>
      <c r="K9987" s="549"/>
      <c r="M9987" s="465"/>
      <c r="N9987" s="201"/>
    </row>
    <row r="9988" spans="2:14" hidden="1" outlineLevel="1" x14ac:dyDescent="0.35">
      <c r="B9988" s="200"/>
      <c r="C9988" s="201"/>
      <c r="D9988" s="201"/>
      <c r="E9988" s="201"/>
      <c r="F9988" s="202"/>
      <c r="G9988" s="549"/>
      <c r="H9988" s="549"/>
      <c r="I9988" s="549"/>
      <c r="J9988" s="549"/>
      <c r="K9988" s="549"/>
      <c r="M9988" s="465"/>
      <c r="N9988" s="201"/>
    </row>
    <row r="9989" spans="2:14" hidden="1" outlineLevel="1" x14ac:dyDescent="0.35">
      <c r="B9989" s="200"/>
      <c r="C9989" s="201"/>
      <c r="D9989" s="201"/>
      <c r="E9989" s="201"/>
      <c r="F9989" s="202"/>
      <c r="G9989" s="549"/>
      <c r="H9989" s="549"/>
      <c r="I9989" s="549"/>
      <c r="J9989" s="549"/>
      <c r="K9989" s="549"/>
      <c r="M9989" s="465"/>
      <c r="N9989" s="201"/>
    </row>
    <row r="9990" spans="2:14" hidden="1" outlineLevel="1" x14ac:dyDescent="0.35">
      <c r="B9990" s="200"/>
      <c r="C9990" s="201"/>
      <c r="D9990" s="201"/>
      <c r="E9990" s="201"/>
      <c r="F9990" s="202"/>
      <c r="G9990" s="549"/>
      <c r="H9990" s="549"/>
      <c r="I9990" s="549"/>
      <c r="J9990" s="549"/>
      <c r="K9990" s="549"/>
      <c r="M9990" s="465"/>
      <c r="N9990" s="201"/>
    </row>
    <row r="9991" spans="2:14" hidden="1" outlineLevel="1" x14ac:dyDescent="0.35">
      <c r="B9991" s="200"/>
      <c r="C9991" s="201"/>
      <c r="D9991" s="201"/>
      <c r="E9991" s="201"/>
      <c r="F9991" s="202"/>
      <c r="G9991" s="549"/>
      <c r="H9991" s="549"/>
      <c r="I9991" s="549"/>
      <c r="J9991" s="549"/>
      <c r="K9991" s="549"/>
      <c r="M9991" s="465"/>
      <c r="N9991" s="201"/>
    </row>
    <row r="9992" spans="2:14" hidden="1" outlineLevel="1" x14ac:dyDescent="0.35">
      <c r="B9992" s="200"/>
      <c r="C9992" s="201"/>
      <c r="D9992" s="201"/>
      <c r="E9992" s="201"/>
      <c r="F9992" s="202"/>
      <c r="G9992" s="549"/>
      <c r="H9992" s="549"/>
      <c r="I9992" s="549"/>
      <c r="J9992" s="549"/>
      <c r="K9992" s="549"/>
      <c r="M9992" s="465"/>
      <c r="N9992" s="201"/>
    </row>
    <row r="9993" spans="2:14" hidden="1" outlineLevel="1" x14ac:dyDescent="0.35">
      <c r="B9993" s="200"/>
      <c r="C9993" s="201"/>
      <c r="D9993" s="201"/>
      <c r="E9993" s="201"/>
      <c r="F9993" s="202"/>
      <c r="G9993" s="549"/>
      <c r="H9993" s="549"/>
      <c r="I9993" s="549"/>
      <c r="J9993" s="549"/>
      <c r="K9993" s="549"/>
      <c r="M9993" s="465"/>
      <c r="N9993" s="201"/>
    </row>
    <row r="9994" spans="2:14" hidden="1" outlineLevel="1" x14ac:dyDescent="0.35">
      <c r="B9994" s="200"/>
      <c r="C9994" s="201"/>
      <c r="D9994" s="201"/>
      <c r="E9994" s="201"/>
      <c r="F9994" s="202"/>
      <c r="G9994" s="549"/>
      <c r="H9994" s="549"/>
      <c r="I9994" s="549"/>
      <c r="J9994" s="549"/>
      <c r="K9994" s="549"/>
      <c r="M9994" s="465"/>
      <c r="N9994" s="201"/>
    </row>
    <row r="9995" spans="2:14" hidden="1" outlineLevel="1" x14ac:dyDescent="0.35">
      <c r="B9995" s="200"/>
      <c r="C9995" s="201"/>
      <c r="D9995" s="201"/>
      <c r="E9995" s="201"/>
      <c r="F9995" s="202"/>
      <c r="G9995" s="549"/>
      <c r="H9995" s="549"/>
      <c r="I9995" s="549"/>
      <c r="J9995" s="549"/>
      <c r="K9995" s="549"/>
      <c r="M9995" s="465"/>
      <c r="N9995" s="201"/>
    </row>
    <row r="9996" spans="2:14" hidden="1" outlineLevel="1" x14ac:dyDescent="0.35">
      <c r="B9996" s="200"/>
      <c r="C9996" s="201"/>
      <c r="D9996" s="201"/>
      <c r="E9996" s="201"/>
      <c r="F9996" s="202"/>
      <c r="G9996" s="549"/>
      <c r="H9996" s="549"/>
      <c r="I9996" s="549"/>
      <c r="J9996" s="549"/>
      <c r="K9996" s="549"/>
      <c r="M9996" s="465"/>
      <c r="N9996" s="201"/>
    </row>
    <row r="9997" spans="2:14" hidden="1" outlineLevel="1" x14ac:dyDescent="0.35">
      <c r="B9997" s="200"/>
      <c r="C9997" s="201"/>
      <c r="D9997" s="201"/>
      <c r="E9997" s="201"/>
      <c r="F9997" s="202"/>
      <c r="G9997" s="549"/>
      <c r="H9997" s="549"/>
      <c r="I9997" s="549"/>
      <c r="J9997" s="549"/>
      <c r="K9997" s="549"/>
      <c r="M9997" s="465"/>
      <c r="N9997" s="201"/>
    </row>
    <row r="9998" spans="2:14" hidden="1" outlineLevel="1" x14ac:dyDescent="0.35">
      <c r="B9998" s="200"/>
      <c r="C9998" s="201"/>
      <c r="D9998" s="201"/>
      <c r="E9998" s="201"/>
      <c r="F9998" s="202"/>
      <c r="G9998" s="549"/>
      <c r="H9998" s="549"/>
      <c r="I9998" s="549"/>
      <c r="J9998" s="549"/>
      <c r="K9998" s="549"/>
      <c r="M9998" s="465"/>
      <c r="N9998" s="201"/>
    </row>
    <row r="9999" spans="2:14" hidden="1" outlineLevel="1" x14ac:dyDescent="0.35">
      <c r="B9999" s="200"/>
      <c r="C9999" s="201"/>
      <c r="D9999" s="201"/>
      <c r="E9999" s="201"/>
      <c r="F9999" s="202"/>
      <c r="G9999" s="549"/>
      <c r="H9999" s="549"/>
      <c r="I9999" s="549"/>
      <c r="J9999" s="549"/>
      <c r="K9999" s="549"/>
      <c r="M9999" s="465"/>
      <c r="N9999" s="201"/>
    </row>
    <row r="10000" spans="2:14" hidden="1" outlineLevel="1" x14ac:dyDescent="0.35">
      <c r="B10000" s="200"/>
      <c r="C10000" s="201"/>
      <c r="D10000" s="201"/>
      <c r="E10000" s="201"/>
      <c r="F10000" s="202"/>
      <c r="G10000" s="549"/>
      <c r="H10000" s="549"/>
      <c r="I10000" s="549"/>
      <c r="J10000" s="549"/>
      <c r="K10000" s="549"/>
      <c r="M10000" s="465"/>
      <c r="N10000" s="201"/>
    </row>
    <row r="10001" spans="2:14" hidden="1" outlineLevel="1" x14ac:dyDescent="0.35">
      <c r="B10001" s="200"/>
      <c r="C10001" s="201"/>
      <c r="D10001" s="201"/>
      <c r="E10001" s="201"/>
      <c r="F10001" s="202"/>
      <c r="G10001" s="549"/>
      <c r="H10001" s="549"/>
      <c r="I10001" s="549"/>
      <c r="J10001" s="549"/>
      <c r="K10001" s="549"/>
      <c r="M10001" s="465"/>
      <c r="N10001" s="201"/>
    </row>
    <row r="10002" spans="2:14" hidden="1" outlineLevel="1" x14ac:dyDescent="0.35">
      <c r="B10002" s="200"/>
      <c r="C10002" s="201"/>
      <c r="D10002" s="201"/>
      <c r="E10002" s="201"/>
      <c r="F10002" s="202"/>
      <c r="G10002" s="549"/>
      <c r="H10002" s="549"/>
      <c r="I10002" s="549"/>
      <c r="J10002" s="549"/>
      <c r="K10002" s="549"/>
      <c r="M10002" s="465"/>
      <c r="N10002" s="201"/>
    </row>
    <row r="10003" spans="2:14" hidden="1" outlineLevel="1" x14ac:dyDescent="0.35">
      <c r="B10003" s="200"/>
      <c r="C10003" s="201"/>
      <c r="D10003" s="201"/>
      <c r="E10003" s="201"/>
      <c r="F10003" s="202"/>
      <c r="G10003" s="549"/>
      <c r="H10003" s="549"/>
      <c r="I10003" s="549"/>
      <c r="J10003" s="549"/>
      <c r="K10003" s="549"/>
      <c r="M10003" s="465"/>
      <c r="N10003" s="201"/>
    </row>
    <row r="10004" spans="2:14" hidden="1" outlineLevel="1" x14ac:dyDescent="0.35">
      <c r="B10004" s="200"/>
      <c r="C10004" s="201"/>
      <c r="D10004" s="201"/>
      <c r="E10004" s="201"/>
      <c r="F10004" s="202"/>
      <c r="G10004" s="549"/>
      <c r="H10004" s="549"/>
      <c r="I10004" s="549"/>
      <c r="J10004" s="549"/>
      <c r="K10004" s="549"/>
      <c r="M10004" s="465"/>
      <c r="N10004" s="201"/>
    </row>
    <row r="10005" spans="2:14" hidden="1" outlineLevel="1" x14ac:dyDescent="0.35">
      <c r="B10005" s="200"/>
      <c r="C10005" s="201"/>
      <c r="D10005" s="201"/>
      <c r="E10005" s="201"/>
      <c r="F10005" s="202"/>
      <c r="G10005" s="549"/>
      <c r="H10005" s="549"/>
      <c r="I10005" s="549"/>
      <c r="J10005" s="549"/>
      <c r="K10005" s="549"/>
      <c r="M10005" s="465"/>
      <c r="N10005" s="201"/>
    </row>
    <row r="10006" spans="2:14" hidden="1" outlineLevel="1" x14ac:dyDescent="0.35">
      <c r="B10006" s="200"/>
      <c r="C10006" s="201"/>
      <c r="D10006" s="201"/>
      <c r="E10006" s="201"/>
      <c r="F10006" s="202"/>
      <c r="G10006" s="549"/>
      <c r="H10006" s="549"/>
      <c r="I10006" s="549"/>
      <c r="J10006" s="549"/>
      <c r="K10006" s="549"/>
      <c r="M10006" s="465"/>
      <c r="N10006" s="201"/>
    </row>
    <row r="10007" spans="2:14" hidden="1" outlineLevel="1" x14ac:dyDescent="0.35">
      <c r="B10007" s="200"/>
      <c r="C10007" s="201"/>
      <c r="D10007" s="201"/>
      <c r="E10007" s="201"/>
      <c r="F10007" s="202"/>
      <c r="G10007" s="549"/>
      <c r="H10007" s="549"/>
      <c r="I10007" s="549"/>
      <c r="J10007" s="549"/>
      <c r="K10007" s="549"/>
      <c r="M10007" s="465"/>
      <c r="N10007" s="201"/>
    </row>
    <row r="10008" spans="2:14" hidden="1" outlineLevel="1" x14ac:dyDescent="0.35">
      <c r="B10008" s="200"/>
      <c r="C10008" s="201"/>
      <c r="D10008" s="201"/>
      <c r="E10008" s="201"/>
      <c r="F10008" s="202"/>
      <c r="G10008" s="549"/>
      <c r="H10008" s="549"/>
      <c r="I10008" s="549"/>
      <c r="J10008" s="549"/>
      <c r="K10008" s="549"/>
      <c r="M10008" s="465"/>
      <c r="N10008" s="201"/>
    </row>
    <row r="10009" spans="2:14" hidden="1" outlineLevel="1" x14ac:dyDescent="0.35">
      <c r="B10009" s="200"/>
      <c r="C10009" s="201"/>
      <c r="D10009" s="201"/>
      <c r="E10009" s="201"/>
      <c r="F10009" s="202"/>
      <c r="G10009" s="549"/>
      <c r="H10009" s="549"/>
      <c r="I10009" s="549"/>
      <c r="J10009" s="549"/>
      <c r="K10009" s="549"/>
      <c r="M10009" s="465"/>
      <c r="N10009" s="201"/>
    </row>
    <row r="10010" spans="2:14" hidden="1" outlineLevel="1" x14ac:dyDescent="0.35">
      <c r="B10010" s="200"/>
      <c r="C10010" s="201"/>
      <c r="D10010" s="201"/>
      <c r="E10010" s="201"/>
      <c r="F10010" s="202"/>
      <c r="G10010" s="549"/>
      <c r="H10010" s="549"/>
      <c r="I10010" s="549"/>
      <c r="J10010" s="549"/>
      <c r="K10010" s="549"/>
      <c r="M10010" s="465"/>
      <c r="N10010" s="201"/>
    </row>
    <row r="10011" spans="2:14" hidden="1" outlineLevel="1" x14ac:dyDescent="0.35">
      <c r="B10011" s="200"/>
      <c r="C10011" s="201"/>
      <c r="D10011" s="201"/>
      <c r="E10011" s="201"/>
      <c r="F10011" s="202"/>
      <c r="G10011" s="549"/>
      <c r="H10011" s="549"/>
      <c r="I10011" s="549"/>
      <c r="J10011" s="549"/>
      <c r="K10011" s="549"/>
      <c r="M10011" s="465"/>
      <c r="N10011" s="201"/>
    </row>
    <row r="10012" spans="2:14" hidden="1" outlineLevel="1" x14ac:dyDescent="0.35">
      <c r="B10012" s="200"/>
      <c r="C10012" s="201"/>
      <c r="D10012" s="201"/>
      <c r="E10012" s="201"/>
      <c r="F10012" s="202"/>
      <c r="G10012" s="549"/>
      <c r="H10012" s="549"/>
      <c r="I10012" s="549"/>
      <c r="J10012" s="549"/>
      <c r="K10012" s="549"/>
      <c r="M10012" s="465"/>
      <c r="N10012" s="201"/>
    </row>
    <row r="10013" spans="2:14" hidden="1" outlineLevel="1" x14ac:dyDescent="0.35">
      <c r="B10013" s="200"/>
      <c r="C10013" s="201"/>
      <c r="D10013" s="201"/>
      <c r="E10013" s="201"/>
      <c r="F10013" s="202"/>
      <c r="G10013" s="549"/>
      <c r="H10013" s="549"/>
      <c r="I10013" s="549"/>
      <c r="J10013" s="549"/>
      <c r="K10013" s="549"/>
      <c r="M10013" s="465"/>
      <c r="N10013" s="201"/>
    </row>
    <row r="10014" spans="2:14" hidden="1" outlineLevel="1" x14ac:dyDescent="0.35">
      <c r="B10014" s="200"/>
      <c r="C10014" s="201"/>
      <c r="D10014" s="201"/>
      <c r="E10014" s="201"/>
      <c r="F10014" s="202"/>
      <c r="G10014" s="549"/>
      <c r="H10014" s="549"/>
      <c r="I10014" s="549"/>
      <c r="J10014" s="549"/>
      <c r="K10014" s="549"/>
      <c r="M10014" s="465"/>
      <c r="N10014" s="201"/>
    </row>
    <row r="10015" spans="2:14" hidden="1" outlineLevel="1" x14ac:dyDescent="0.35">
      <c r="B10015" s="200"/>
      <c r="C10015" s="201"/>
      <c r="D10015" s="201"/>
      <c r="E10015" s="201"/>
      <c r="F10015" s="202"/>
      <c r="G10015" s="549"/>
      <c r="H10015" s="549"/>
      <c r="I10015" s="549"/>
      <c r="J10015" s="549"/>
      <c r="K10015" s="549"/>
      <c r="M10015" s="465"/>
      <c r="N10015" s="201"/>
    </row>
    <row r="10016" spans="2:14" hidden="1" outlineLevel="1" x14ac:dyDescent="0.35">
      <c r="B10016" s="200"/>
      <c r="C10016" s="201"/>
      <c r="D10016" s="201"/>
      <c r="E10016" s="201"/>
      <c r="F10016" s="202"/>
      <c r="G10016" s="549"/>
      <c r="H10016" s="549"/>
      <c r="I10016" s="549"/>
      <c r="J10016" s="549"/>
      <c r="K10016" s="549"/>
      <c r="M10016" s="465"/>
      <c r="N10016" s="201"/>
    </row>
    <row r="10017" spans="2:14" hidden="1" outlineLevel="1" x14ac:dyDescent="0.35">
      <c r="B10017" s="200"/>
      <c r="C10017" s="201"/>
      <c r="D10017" s="201"/>
      <c r="E10017" s="201"/>
      <c r="F10017" s="202"/>
      <c r="G10017" s="549"/>
      <c r="H10017" s="549"/>
      <c r="I10017" s="549"/>
      <c r="J10017" s="549"/>
      <c r="K10017" s="549"/>
      <c r="M10017" s="465"/>
      <c r="N10017" s="201"/>
    </row>
    <row r="10018" spans="2:14" hidden="1" outlineLevel="1" x14ac:dyDescent="0.35">
      <c r="B10018" s="200"/>
      <c r="C10018" s="201"/>
      <c r="D10018" s="201"/>
      <c r="E10018" s="201"/>
      <c r="F10018" s="202"/>
      <c r="G10018" s="549"/>
      <c r="H10018" s="549"/>
      <c r="I10018" s="549"/>
      <c r="J10018" s="549"/>
      <c r="K10018" s="549"/>
      <c r="M10018" s="465"/>
      <c r="N10018" s="201"/>
    </row>
    <row r="10019" spans="2:14" hidden="1" outlineLevel="1" x14ac:dyDescent="0.35">
      <c r="B10019" s="200"/>
      <c r="C10019" s="201"/>
      <c r="D10019" s="201"/>
      <c r="E10019" s="201"/>
      <c r="F10019" s="202"/>
      <c r="G10019" s="549"/>
      <c r="H10019" s="549"/>
      <c r="I10019" s="549"/>
      <c r="J10019" s="549"/>
      <c r="K10019" s="549"/>
      <c r="M10019" s="465"/>
      <c r="N10019" s="201"/>
    </row>
    <row r="10020" spans="2:14" hidden="1" outlineLevel="1" x14ac:dyDescent="0.35">
      <c r="B10020" s="200"/>
      <c r="C10020" s="201"/>
      <c r="D10020" s="201"/>
      <c r="E10020" s="201"/>
      <c r="F10020" s="202"/>
      <c r="G10020" s="549"/>
      <c r="H10020" s="549"/>
      <c r="I10020" s="549"/>
      <c r="J10020" s="549"/>
      <c r="K10020" s="549"/>
      <c r="M10020" s="465"/>
      <c r="N10020" s="201"/>
    </row>
    <row r="10021" spans="2:14" hidden="1" outlineLevel="1" x14ac:dyDescent="0.35">
      <c r="B10021" s="200"/>
      <c r="C10021" s="201"/>
      <c r="D10021" s="201"/>
      <c r="E10021" s="201"/>
      <c r="F10021" s="202"/>
      <c r="G10021" s="549"/>
      <c r="H10021" s="549"/>
      <c r="I10021" s="549"/>
      <c r="J10021" s="549"/>
      <c r="K10021" s="549"/>
      <c r="M10021" s="465"/>
      <c r="N10021" s="201"/>
    </row>
    <row r="10022" spans="2:14" hidden="1" outlineLevel="1" x14ac:dyDescent="0.35">
      <c r="B10022" s="200"/>
      <c r="C10022" s="201"/>
      <c r="D10022" s="201"/>
      <c r="E10022" s="201"/>
      <c r="F10022" s="202"/>
      <c r="G10022" s="549"/>
      <c r="H10022" s="549"/>
      <c r="I10022" s="549"/>
      <c r="J10022" s="549"/>
      <c r="K10022" s="549"/>
      <c r="M10022" s="465"/>
      <c r="N10022" s="201"/>
    </row>
    <row r="10023" spans="2:14" hidden="1" outlineLevel="1" x14ac:dyDescent="0.35">
      <c r="B10023" s="200"/>
      <c r="C10023" s="201"/>
      <c r="D10023" s="201"/>
      <c r="E10023" s="201"/>
      <c r="F10023" s="202"/>
      <c r="G10023" s="549"/>
      <c r="H10023" s="549"/>
      <c r="I10023" s="549"/>
      <c r="J10023" s="549"/>
      <c r="K10023" s="549"/>
      <c r="M10023" s="465"/>
      <c r="N10023" s="201"/>
    </row>
    <row r="10024" spans="2:14" hidden="1" outlineLevel="1" x14ac:dyDescent="0.35">
      <c r="B10024" s="200"/>
      <c r="C10024" s="201"/>
      <c r="D10024" s="201"/>
      <c r="E10024" s="201"/>
      <c r="F10024" s="202"/>
      <c r="G10024" s="549"/>
      <c r="H10024" s="549"/>
      <c r="I10024" s="549"/>
      <c r="J10024" s="549"/>
      <c r="K10024" s="549"/>
      <c r="M10024" s="465"/>
      <c r="N10024" s="201"/>
    </row>
    <row r="10025" spans="2:14" hidden="1" outlineLevel="1" x14ac:dyDescent="0.35">
      <c r="B10025" s="200"/>
      <c r="C10025" s="201"/>
      <c r="D10025" s="201"/>
      <c r="E10025" s="201"/>
      <c r="F10025" s="202"/>
      <c r="G10025" s="549"/>
      <c r="H10025" s="549"/>
      <c r="I10025" s="549"/>
      <c r="J10025" s="549"/>
      <c r="K10025" s="549"/>
      <c r="M10025" s="465"/>
      <c r="N10025" s="201"/>
    </row>
    <row r="10026" spans="2:14" collapsed="1" x14ac:dyDescent="0.35"/>
  </sheetData>
  <sheetProtection sheet="1" objects="1" scenarios="1"/>
  <mergeCells count="16">
    <mergeCell ref="A1:O1"/>
    <mergeCell ref="E26:O26"/>
    <mergeCell ref="D7:O7"/>
    <mergeCell ref="D6:O6"/>
    <mergeCell ref="M77:O77"/>
    <mergeCell ref="A54:O54"/>
    <mergeCell ref="A55:O55"/>
    <mergeCell ref="G77:K77"/>
    <mergeCell ref="A43:O43"/>
    <mergeCell ref="A76:O76"/>
    <mergeCell ref="D41:O41"/>
    <mergeCell ref="A4:O4"/>
    <mergeCell ref="A15:O15"/>
    <mergeCell ref="A26:D26"/>
    <mergeCell ref="A38:O38"/>
    <mergeCell ref="D40:O40"/>
  </mergeCells>
  <dataValidations count="4">
    <dataValidation type="list" allowBlank="1" showInputMessage="1" showErrorMessage="1" sqref="C6" xr:uid="{76C529BC-A5A1-4AE1-8A50-AD06DBB84109}">
      <formula1>"Manual Peak Entry,Raw Interval Data"</formula1>
    </dataValidation>
    <dataValidation type="list" allowBlank="1" showInputMessage="1" showErrorMessage="1" sqref="C40" xr:uid="{A63520C5-10A3-4E92-9217-77F0AE45F04A}">
      <formula1>"Yes,No"</formula1>
    </dataValidation>
    <dataValidation type="list" allowBlank="1" showInputMessage="1" showErrorMessage="1" sqref="C12" xr:uid="{C51C6060-D61D-4C1C-B616-FF7CEF8B7925}">
      <formula1>Util_Tags</formula1>
    </dataValidation>
    <dataValidation type="list" allowBlank="1" showInputMessage="1" showErrorMessage="1" sqref="C14" xr:uid="{1B516D14-CE4F-4DF6-B5C1-81DC6C79DF30}">
      <formula1>Equip_List</formula1>
    </dataValidation>
  </dataValidations>
  <pageMargins left="0.7" right="0.7" top="0.75" bottom="0.75" header="0.3" footer="0.3"/>
  <pageSetup scale="42" orientation="landscape" r:id="rId1"/>
  <ignoredErrors>
    <ignoredError sqref="B79:E79" unlockedFormula="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BA31-5ADD-42A6-996E-E59ABEA39C67}">
  <sheetPr codeName="Sheet15">
    <tabColor rgb="FF4DAB51"/>
    <pageSetUpPr fitToPage="1"/>
  </sheetPr>
  <dimension ref="A1:V71"/>
  <sheetViews>
    <sheetView showGridLines="0" showRowColHeaders="0" workbookViewId="0">
      <pane ySplit="2" topLeftCell="A39" activePane="bottomLeft" state="frozen"/>
      <selection pane="bottomLeft" activeCell="B106" sqref="B106"/>
    </sheetView>
  </sheetViews>
  <sheetFormatPr defaultColWidth="9.1796875" defaultRowHeight="16.5" x14ac:dyDescent="0.45"/>
  <cols>
    <col min="1" max="1" width="4.54296875" style="8" customWidth="1"/>
    <col min="2" max="2" width="45.7265625" style="8" customWidth="1"/>
    <col min="3" max="20" width="15.7265625" style="8" customWidth="1"/>
    <col min="21" max="21" width="41.81640625" style="8" customWidth="1"/>
    <col min="22" max="22" width="28.54296875" style="8" customWidth="1"/>
    <col min="23" max="16384" width="9.1796875" style="8"/>
  </cols>
  <sheetData>
    <row r="1" spans="1:22" ht="30" customHeight="1" x14ac:dyDescent="0.45">
      <c r="A1" s="594" t="s">
        <v>325</v>
      </c>
      <c r="B1" s="595"/>
      <c r="C1" s="595"/>
      <c r="D1" s="595"/>
      <c r="E1" s="595"/>
      <c r="F1" s="595"/>
      <c r="G1" s="595"/>
      <c r="H1" s="595"/>
      <c r="I1" s="595"/>
      <c r="J1" s="595"/>
      <c r="K1" s="595"/>
      <c r="L1" s="595"/>
      <c r="M1" s="595"/>
      <c r="N1" s="595"/>
      <c r="O1" s="595"/>
      <c r="P1" s="595"/>
      <c r="Q1" s="595"/>
      <c r="R1" s="595"/>
      <c r="S1" s="595"/>
      <c r="T1" s="595"/>
      <c r="U1" s="595"/>
      <c r="V1" s="596"/>
    </row>
    <row r="2" spans="1:22" s="32" customFormat="1" ht="15" customHeight="1" x14ac:dyDescent="0.35">
      <c r="B2" s="23" t="s">
        <v>254</v>
      </c>
      <c r="C2" s="631" t="str">
        <f>IF(Dashboard!B7="","—",Dashboard!B7)</f>
        <v>—</v>
      </c>
      <c r="D2" s="631"/>
      <c r="E2" s="631"/>
      <c r="G2" s="23" t="s">
        <v>255</v>
      </c>
      <c r="H2" s="631" t="str">
        <f>IF(Dashboard!$C$38="","",Dashboard!$C$38)</f>
        <v/>
      </c>
      <c r="I2" s="631"/>
    </row>
    <row r="3" spans="1:22" s="9" customFormat="1" ht="15" customHeight="1" x14ac:dyDescent="0.45"/>
    <row r="4" spans="1:22" ht="30" customHeight="1" x14ac:dyDescent="0.45">
      <c r="A4" s="591" t="s">
        <v>309</v>
      </c>
      <c r="B4" s="592"/>
      <c r="C4" s="592"/>
      <c r="D4" s="592"/>
      <c r="E4" s="592"/>
      <c r="F4" s="592"/>
      <c r="G4" s="592"/>
      <c r="H4" s="592"/>
      <c r="I4" s="592"/>
      <c r="J4" s="592"/>
      <c r="K4" s="592"/>
      <c r="L4" s="592"/>
      <c r="M4" s="592"/>
      <c r="N4" s="592"/>
      <c r="O4" s="592"/>
      <c r="P4" s="592"/>
      <c r="Q4" s="592"/>
      <c r="R4" s="592"/>
      <c r="S4" s="592"/>
      <c r="T4" s="592"/>
      <c r="U4" s="592"/>
      <c r="V4" s="665"/>
    </row>
    <row r="5" spans="1:22" ht="15" customHeight="1" x14ac:dyDescent="0.45">
      <c r="A5" s="344"/>
      <c r="B5" s="344"/>
      <c r="C5" s="344"/>
      <c r="D5" s="344"/>
      <c r="E5" s="344"/>
      <c r="F5" s="344"/>
      <c r="G5" s="344"/>
      <c r="H5" s="344"/>
      <c r="I5" s="344"/>
      <c r="J5" s="344"/>
      <c r="K5" s="344"/>
    </row>
    <row r="6" spans="1:22" s="20" customFormat="1" ht="15" customHeight="1" x14ac:dyDescent="0.35">
      <c r="A6" s="10"/>
      <c r="B6" s="249" t="s">
        <v>326</v>
      </c>
      <c r="C6" s="143">
        <v>0.8</v>
      </c>
      <c r="D6" s="10"/>
      <c r="E6" s="10" t="s">
        <v>327</v>
      </c>
      <c r="F6" s="143">
        <v>1.2</v>
      </c>
      <c r="G6" s="10"/>
      <c r="H6" s="10" t="s">
        <v>328</v>
      </c>
      <c r="I6" s="143">
        <v>0.9</v>
      </c>
      <c r="J6" s="10"/>
      <c r="K6" s="10" t="s">
        <v>2133</v>
      </c>
      <c r="L6" s="143" t="s">
        <v>2134</v>
      </c>
    </row>
    <row r="7" spans="1:22" s="20" customFormat="1" ht="15" customHeight="1" x14ac:dyDescent="0.35">
      <c r="A7" s="10"/>
      <c r="B7" s="10"/>
      <c r="C7" s="10"/>
      <c r="D7" s="10"/>
      <c r="E7" s="10"/>
      <c r="F7" s="10"/>
      <c r="G7" s="10"/>
      <c r="H7" s="10"/>
      <c r="I7" s="10"/>
      <c r="J7" s="10"/>
      <c r="K7" s="10"/>
    </row>
    <row r="8" spans="1:22" ht="30" customHeight="1" x14ac:dyDescent="0.45">
      <c r="A8" s="591" t="s">
        <v>329</v>
      </c>
      <c r="B8" s="592"/>
      <c r="C8" s="592"/>
      <c r="D8" s="592"/>
      <c r="E8" s="592"/>
      <c r="F8" s="592"/>
      <c r="G8" s="592"/>
      <c r="H8" s="592"/>
      <c r="I8" s="592"/>
      <c r="J8" s="592"/>
      <c r="K8" s="592"/>
      <c r="L8" s="592"/>
      <c r="M8" s="592"/>
      <c r="N8" s="592"/>
      <c r="O8" s="592"/>
      <c r="P8" s="592"/>
      <c r="Q8" s="592"/>
      <c r="R8" s="592"/>
      <c r="S8" s="592"/>
      <c r="T8" s="592"/>
      <c r="U8" s="592"/>
      <c r="V8" s="665"/>
    </row>
    <row r="9" spans="1:22" s="45" customFormat="1" ht="30" customHeight="1" x14ac:dyDescent="0.45">
      <c r="A9" s="24"/>
      <c r="B9" s="259" t="s">
        <v>289</v>
      </c>
      <c r="C9" s="345" t="s">
        <v>265</v>
      </c>
      <c r="D9" s="24" t="s">
        <v>330</v>
      </c>
      <c r="G9" s="24"/>
      <c r="H9" s="24"/>
      <c r="I9" s="24"/>
      <c r="J9" s="24"/>
      <c r="K9" s="24"/>
    </row>
    <row r="10" spans="1:22" s="46" customFormat="1" ht="15" customHeight="1" x14ac:dyDescent="0.35">
      <c r="A10" s="21"/>
      <c r="B10" s="249" t="s">
        <v>1781</v>
      </c>
      <c r="C10" s="40" cm="1">
        <f t="array" ref="C10">INDEX(LC_GenByCategory,ROW()-ROW($B$9))</f>
        <v>0</v>
      </c>
      <c r="D10" s="134" t="s">
        <v>308</v>
      </c>
      <c r="G10" s="21"/>
      <c r="H10" s="21"/>
      <c r="I10" s="21"/>
      <c r="J10" s="21"/>
      <c r="K10" s="21"/>
    </row>
    <row r="11" spans="1:22" s="46" customFormat="1" ht="15" customHeight="1" x14ac:dyDescent="0.35">
      <c r="A11" s="21"/>
      <c r="B11" s="249" t="s">
        <v>1773</v>
      </c>
      <c r="C11" s="40" cm="1">
        <f t="array" ref="C11">INDEX(LC_GenByCategory,ROW()-ROW($B$9))</f>
        <v>0</v>
      </c>
      <c r="D11" s="134" t="s">
        <v>308</v>
      </c>
      <c r="G11" s="21"/>
      <c r="H11" s="21"/>
      <c r="I11" s="21"/>
      <c r="J11" s="21"/>
      <c r="K11" s="21"/>
    </row>
    <row r="12" spans="1:22" s="46" customFormat="1" ht="15" customHeight="1" x14ac:dyDescent="0.35">
      <c r="A12" s="21"/>
      <c r="B12" s="249" t="s">
        <v>1774</v>
      </c>
      <c r="C12" s="40" cm="1">
        <f t="array" ref="C12">INDEX(LC_GenByCategory,ROW()-ROW($B$9))</f>
        <v>0</v>
      </c>
      <c r="D12" s="134" t="s">
        <v>308</v>
      </c>
      <c r="G12" s="21"/>
      <c r="H12" s="21"/>
      <c r="I12" s="21"/>
      <c r="J12" s="21"/>
      <c r="K12" s="21"/>
    </row>
    <row r="13" spans="1:22" s="46" customFormat="1" ht="15" hidden="1" customHeight="1" x14ac:dyDescent="0.35">
      <c r="A13" s="21"/>
      <c r="B13" s="249" t="s">
        <v>1775</v>
      </c>
      <c r="C13" s="40" cm="1">
        <f t="array" ref="C13">INDEX(LC_GenByCategory,ROW()-ROW($B$9))</f>
        <v>0</v>
      </c>
      <c r="D13" s="134" t="s">
        <v>308</v>
      </c>
      <c r="G13" s="21"/>
      <c r="H13" s="21"/>
      <c r="I13" s="21"/>
      <c r="J13" s="21"/>
      <c r="K13" s="21"/>
    </row>
    <row r="14" spans="1:22" s="46" customFormat="1" ht="15" customHeight="1" x14ac:dyDescent="0.35">
      <c r="A14" s="21"/>
      <c r="B14" s="249" t="s">
        <v>533</v>
      </c>
      <c r="C14" s="40" cm="1">
        <f t="array" ref="C14">INDEX(LC_GenByCategory,ROW()-ROW($B$9))</f>
        <v>0</v>
      </c>
      <c r="D14" s="134" t="s">
        <v>308</v>
      </c>
      <c r="G14" s="21"/>
      <c r="H14" s="21"/>
      <c r="I14" s="21"/>
      <c r="J14" s="21"/>
      <c r="K14" s="21"/>
    </row>
    <row r="15" spans="1:22" s="46" customFormat="1" ht="15" customHeight="1" x14ac:dyDescent="0.35">
      <c r="A15" s="21"/>
      <c r="B15" s="249" t="s">
        <v>1776</v>
      </c>
      <c r="C15" s="40" cm="1">
        <f t="array" ref="C15">INDEX(LC_GenByCategory,ROW()-ROW($B$9))</f>
        <v>0</v>
      </c>
      <c r="D15" s="134" t="s">
        <v>308</v>
      </c>
      <c r="G15" s="21"/>
      <c r="H15" s="21"/>
      <c r="I15" s="21"/>
      <c r="J15" s="21"/>
      <c r="K15" s="21"/>
    </row>
    <row r="16" spans="1:22" s="46" customFormat="1" ht="15" hidden="1" customHeight="1" x14ac:dyDescent="0.35">
      <c r="A16" s="21"/>
      <c r="B16" s="249" t="s">
        <v>1777</v>
      </c>
      <c r="C16" s="40" cm="1">
        <f t="array" ref="C16">INDEX(LC_GenByCategory,ROW()-ROW($B$9))</f>
        <v>0</v>
      </c>
      <c r="D16" s="134" t="s">
        <v>308</v>
      </c>
      <c r="G16" s="21"/>
      <c r="H16" s="21"/>
      <c r="I16" s="21"/>
      <c r="J16" s="21"/>
      <c r="K16" s="21"/>
    </row>
    <row r="17" spans="1:22" s="46" customFormat="1" ht="15" hidden="1" customHeight="1" x14ac:dyDescent="0.35">
      <c r="A17" s="21"/>
      <c r="B17" s="249" t="s">
        <v>1778</v>
      </c>
      <c r="C17" s="40" cm="1">
        <f t="array" ref="C17">INDEX(LC_GenByCategory,ROW()-ROW($B$9))</f>
        <v>0</v>
      </c>
      <c r="D17" s="134" t="s">
        <v>308</v>
      </c>
      <c r="G17" s="21"/>
      <c r="H17" s="21"/>
      <c r="I17" s="21"/>
      <c r="J17" s="21"/>
      <c r="K17" s="21"/>
    </row>
    <row r="18" spans="1:22" s="46" customFormat="1" ht="15" hidden="1" customHeight="1" x14ac:dyDescent="0.35">
      <c r="A18" s="21"/>
      <c r="B18" s="249" t="s">
        <v>1779</v>
      </c>
      <c r="C18" s="40" cm="1">
        <f t="array" ref="C18">INDEX(LC_GenByCategory,ROW()-ROW($B$9))</f>
        <v>0</v>
      </c>
      <c r="D18" s="134" t="s">
        <v>308</v>
      </c>
      <c r="G18" s="21"/>
      <c r="H18" s="21"/>
      <c r="I18" s="21"/>
      <c r="J18" s="21"/>
      <c r="K18" s="21"/>
    </row>
    <row r="19" spans="1:22" s="46" customFormat="1" ht="15" customHeight="1" x14ac:dyDescent="0.35">
      <c r="A19" s="21"/>
      <c r="B19" s="249" t="s">
        <v>1780</v>
      </c>
      <c r="C19" s="40" cm="1">
        <f t="array" ref="C19">INDEX(LC_GenByCategory,ROW()-ROW($B$9))</f>
        <v>0</v>
      </c>
      <c r="D19" s="134" t="s">
        <v>308</v>
      </c>
      <c r="G19" s="21"/>
      <c r="H19" s="21"/>
      <c r="I19" s="21"/>
      <c r="J19" s="21"/>
      <c r="K19" s="21"/>
    </row>
    <row r="20" spans="1:22" s="46" customFormat="1" ht="15" hidden="1" customHeight="1" x14ac:dyDescent="0.35">
      <c r="A20" s="21"/>
      <c r="B20" s="249" t="s">
        <v>1782</v>
      </c>
      <c r="C20" s="40" cm="1">
        <f t="array" ref="C20">INDEX(LC_GenByCategory,ROW()-ROW($B$9))</f>
        <v>0</v>
      </c>
      <c r="D20" s="134" t="s">
        <v>308</v>
      </c>
      <c r="G20" s="21"/>
      <c r="H20" s="21"/>
      <c r="I20" s="21"/>
      <c r="J20" s="21"/>
      <c r="K20" s="21"/>
    </row>
    <row r="21" spans="1:22" s="46" customFormat="1" ht="15" hidden="1" customHeight="1" x14ac:dyDescent="0.35">
      <c r="A21" s="21"/>
      <c r="B21" s="249" t="s">
        <v>1783</v>
      </c>
      <c r="C21" s="40" cm="1">
        <f t="array" ref="C21">INDEX(LC_GenByCategory,ROW()-ROW($B$9))</f>
        <v>0</v>
      </c>
      <c r="D21" s="134" t="s">
        <v>308</v>
      </c>
      <c r="G21" s="21"/>
      <c r="H21" s="21"/>
      <c r="I21" s="21"/>
      <c r="J21" s="21"/>
      <c r="K21" s="21"/>
    </row>
    <row r="22" spans="1:22" s="46" customFormat="1" ht="15" customHeight="1" x14ac:dyDescent="0.35">
      <c r="A22" s="21"/>
      <c r="B22" s="249"/>
      <c r="C22" s="48"/>
      <c r="D22" s="346"/>
      <c r="G22" s="21"/>
      <c r="H22" s="21"/>
      <c r="I22" s="21"/>
      <c r="J22" s="21"/>
      <c r="K22" s="21"/>
    </row>
    <row r="23" spans="1:22" s="46" customFormat="1" ht="15" customHeight="1" x14ac:dyDescent="0.35">
      <c r="A23" s="21"/>
      <c r="B23" s="249" t="s">
        <v>331</v>
      </c>
      <c r="C23" s="40">
        <f>SUMIF($D$10:$D$21,"Y",$C$10:$C$21)</f>
        <v>0</v>
      </c>
      <c r="E23" s="21"/>
      <c r="F23" s="21"/>
      <c r="G23" s="21"/>
      <c r="H23" s="21"/>
      <c r="I23" s="21"/>
      <c r="J23" s="21"/>
      <c r="K23" s="21"/>
    </row>
    <row r="24" spans="1:22" s="46" customFormat="1" ht="15" customHeight="1" x14ac:dyDescent="0.35">
      <c r="A24" s="21"/>
      <c r="B24" s="21"/>
      <c r="C24" s="21"/>
      <c r="D24" s="21"/>
      <c r="E24" s="21"/>
      <c r="F24" s="21"/>
      <c r="G24" s="21"/>
      <c r="H24" s="21"/>
      <c r="I24" s="21"/>
      <c r="J24" s="21"/>
      <c r="K24" s="21"/>
    </row>
    <row r="25" spans="1:22" ht="30" customHeight="1" x14ac:dyDescent="0.45">
      <c r="A25" s="591" t="s">
        <v>332</v>
      </c>
      <c r="B25" s="592"/>
      <c r="C25" s="592"/>
      <c r="D25" s="592"/>
      <c r="E25" s="592"/>
      <c r="F25" s="592"/>
      <c r="G25" s="592"/>
      <c r="H25" s="592"/>
      <c r="I25" s="592"/>
      <c r="J25" s="592"/>
      <c r="K25" s="592"/>
      <c r="L25" s="592"/>
      <c r="M25" s="592"/>
      <c r="N25" s="592"/>
      <c r="O25" s="592"/>
      <c r="P25" s="592"/>
      <c r="Q25" s="592"/>
      <c r="R25" s="592"/>
      <c r="S25" s="592"/>
      <c r="T25" s="592"/>
      <c r="U25" s="592"/>
      <c r="V25" s="665"/>
    </row>
    <row r="26" spans="1:22" s="47" customFormat="1" ht="30" customHeight="1" x14ac:dyDescent="0.45">
      <c r="A26" s="34"/>
      <c r="B26" s="34" t="s">
        <v>195</v>
      </c>
      <c r="C26" s="34" t="s">
        <v>333</v>
      </c>
      <c r="D26" s="34" t="s">
        <v>177</v>
      </c>
      <c r="E26" s="34" t="s">
        <v>334</v>
      </c>
      <c r="F26" s="34" t="s">
        <v>281</v>
      </c>
      <c r="G26" s="34" t="s">
        <v>335</v>
      </c>
      <c r="H26" s="34" t="s">
        <v>336</v>
      </c>
      <c r="I26" s="34" t="s">
        <v>337</v>
      </c>
      <c r="J26" s="34" t="s">
        <v>338</v>
      </c>
      <c r="K26" s="34" t="s">
        <v>206</v>
      </c>
      <c r="L26" s="34" t="s">
        <v>279</v>
      </c>
    </row>
    <row r="27" spans="1:22" s="20" customFormat="1" ht="15" customHeight="1" x14ac:dyDescent="0.35">
      <c r="A27" s="10"/>
      <c r="B27" s="131"/>
      <c r="C27" s="134"/>
      <c r="D27" s="134"/>
      <c r="E27" s="134"/>
      <c r="F27" s="134"/>
      <c r="G27" s="88" t="str">
        <f>IF(OR(GEN_Loads[[#This Row],[Qty]]="",GEN_Loads[[#This Row],[kW each]]=""),"",GEN_Loads[[#This Row],[Qty]]*GEN_Loads[[#This Row],[kW each]])</f>
        <v/>
      </c>
      <c r="H27" s="88" t="str">
        <f>IF(GEN_Loads[[#This Row],[kW total]]="","",GEN_Loads[[#This Row],[kW total]]/IF(GEN_Loads[[#This Row],[PF]]="",0.8,GEN_Loads[[#This Row],[PF]]))</f>
        <v/>
      </c>
      <c r="I27" s="134"/>
      <c r="J27" s="88" t="str" cm="1">
        <f t="array" ref="J27">IF(GEN_Loads[[#This Row],[kVA]]="","",GEN_Loads[[#This Row],[kVA]]*_xlfn.SWITCH(GEN_Loads[[#This Row],[Start Method]],"Across-the-Line",6,"Soft Start",3,"VFD",1.5,"None",1,1))</f>
        <v/>
      </c>
      <c r="K27" s="131"/>
      <c r="L27" s="134"/>
    </row>
    <row r="28" spans="1:22" s="20" customFormat="1" ht="15" customHeight="1" x14ac:dyDescent="0.35">
      <c r="A28" s="10"/>
      <c r="B28" s="131"/>
      <c r="C28" s="134"/>
      <c r="D28" s="134"/>
      <c r="E28" s="134"/>
      <c r="F28" s="134"/>
      <c r="G28" s="88" t="str">
        <f>IF(OR(GEN_Loads[[#This Row],[Qty]]="",GEN_Loads[[#This Row],[kW each]]=""),"",GEN_Loads[[#This Row],[Qty]]*GEN_Loads[[#This Row],[kW each]])</f>
        <v/>
      </c>
      <c r="H28" s="88" t="str">
        <f>IF(GEN_Loads[[#This Row],[kW total]]="","",GEN_Loads[[#This Row],[kW total]]/IF(GEN_Loads[[#This Row],[PF]]="",0.8,GEN_Loads[[#This Row],[PF]]))</f>
        <v/>
      </c>
      <c r="I28" s="134"/>
      <c r="J28" s="88" t="str" cm="1">
        <f t="array" ref="J28">IF(GEN_Loads[[#This Row],[kVA]]="","",GEN_Loads[[#This Row],[kVA]]*_xlfn.SWITCH(GEN_Loads[[#This Row],[Start Method]],"Across-the-Line",6,"Soft Start",3,"VFD",1.5,"None",1,1))</f>
        <v/>
      </c>
      <c r="K28" s="131"/>
      <c r="L28" s="134"/>
    </row>
    <row r="29" spans="1:22" s="20" customFormat="1" ht="15" customHeight="1" x14ac:dyDescent="0.35">
      <c r="A29" s="10"/>
      <c r="B29" s="131"/>
      <c r="C29" s="134"/>
      <c r="D29" s="134"/>
      <c r="E29" s="134"/>
      <c r="F29" s="134"/>
      <c r="G29" s="88" t="str">
        <f>IF(OR(GEN_Loads[[#This Row],[Qty]]="",GEN_Loads[[#This Row],[kW each]]=""),"",GEN_Loads[[#This Row],[Qty]]*GEN_Loads[[#This Row],[kW each]])</f>
        <v/>
      </c>
      <c r="H29" s="88" t="str">
        <f>IF(GEN_Loads[[#This Row],[kW total]]="","",GEN_Loads[[#This Row],[kW total]]/IF(GEN_Loads[[#This Row],[PF]]="",0.8,GEN_Loads[[#This Row],[PF]]))</f>
        <v/>
      </c>
      <c r="I29" s="134"/>
      <c r="J29" s="88" t="str" cm="1">
        <f t="array" ref="J29">IF(GEN_Loads[[#This Row],[kVA]]="","",GEN_Loads[[#This Row],[kVA]]*_xlfn.SWITCH(GEN_Loads[[#This Row],[Start Method]],"Across-the-Line",6,"Soft Start",3,"VFD",1.5,"None",1,1))</f>
        <v/>
      </c>
      <c r="K29" s="131"/>
      <c r="L29" s="134"/>
    </row>
    <row r="30" spans="1:22" s="20" customFormat="1" ht="15" customHeight="1" x14ac:dyDescent="0.35">
      <c r="A30" s="10"/>
      <c r="B30" s="131"/>
      <c r="C30" s="134"/>
      <c r="D30" s="134"/>
      <c r="E30" s="134"/>
      <c r="F30" s="134"/>
      <c r="G30" s="88" t="str">
        <f>IF(OR(GEN_Loads[[#This Row],[Qty]]="",GEN_Loads[[#This Row],[kW each]]=""),"",GEN_Loads[[#This Row],[Qty]]*GEN_Loads[[#This Row],[kW each]])</f>
        <v/>
      </c>
      <c r="H30" s="88" t="str">
        <f>IF(GEN_Loads[[#This Row],[kW total]]="","",GEN_Loads[[#This Row],[kW total]]/IF(GEN_Loads[[#This Row],[PF]]="",0.8,GEN_Loads[[#This Row],[PF]]))</f>
        <v/>
      </c>
      <c r="I30" s="134"/>
      <c r="J30" s="88" t="str" cm="1">
        <f t="array" ref="J30">IF(GEN_Loads[[#This Row],[kVA]]="","",GEN_Loads[[#This Row],[kVA]]*_xlfn.SWITCH(GEN_Loads[[#This Row],[Start Method]],"Across-the-Line",6,"Soft Start",3,"VFD",1.5,"None",1,1))</f>
        <v/>
      </c>
      <c r="K30" s="131"/>
      <c r="L30" s="134"/>
    </row>
    <row r="31" spans="1:22" s="20" customFormat="1" ht="15" customHeight="1" x14ac:dyDescent="0.35">
      <c r="A31" s="10"/>
      <c r="B31" s="131"/>
      <c r="C31" s="134"/>
      <c r="D31" s="134"/>
      <c r="E31" s="134"/>
      <c r="F31" s="134"/>
      <c r="G31" s="88" t="str">
        <f>IF(OR(GEN_Loads[[#This Row],[Qty]]="",GEN_Loads[[#This Row],[kW each]]=""),"",GEN_Loads[[#This Row],[Qty]]*GEN_Loads[[#This Row],[kW each]])</f>
        <v/>
      </c>
      <c r="H31" s="88" t="str">
        <f>IF(GEN_Loads[[#This Row],[kW total]]="","",GEN_Loads[[#This Row],[kW total]]/IF(GEN_Loads[[#This Row],[PF]]="",0.8,GEN_Loads[[#This Row],[PF]]))</f>
        <v/>
      </c>
      <c r="I31" s="134"/>
      <c r="J31" s="88" t="str" cm="1">
        <f t="array" ref="J31">IF(GEN_Loads[[#This Row],[kVA]]="","",GEN_Loads[[#This Row],[kVA]]*_xlfn.SWITCH(GEN_Loads[[#This Row],[Start Method]],"Across-the-Line",6,"Soft Start",3,"VFD",1.5,"None",1,1))</f>
        <v/>
      </c>
      <c r="K31" s="131"/>
      <c r="L31" s="134"/>
    </row>
    <row r="32" spans="1:22" s="20" customFormat="1" ht="15" customHeight="1" x14ac:dyDescent="0.35">
      <c r="A32" s="10"/>
      <c r="B32" s="131"/>
      <c r="C32" s="134"/>
      <c r="D32" s="134"/>
      <c r="E32" s="134"/>
      <c r="F32" s="134"/>
      <c r="G32" s="88" t="str">
        <f>IF(OR(GEN_Loads[[#This Row],[Qty]]="",GEN_Loads[[#This Row],[kW each]]=""),"",GEN_Loads[[#This Row],[Qty]]*GEN_Loads[[#This Row],[kW each]])</f>
        <v/>
      </c>
      <c r="H32" s="88" t="str">
        <f>IF(GEN_Loads[[#This Row],[kW total]]="","",GEN_Loads[[#This Row],[kW total]]/IF(GEN_Loads[[#This Row],[PF]]="",0.8,GEN_Loads[[#This Row],[PF]]))</f>
        <v/>
      </c>
      <c r="I32" s="134"/>
      <c r="J32" s="88" t="str" cm="1">
        <f t="array" ref="J32">IF(GEN_Loads[[#This Row],[kVA]]="","",GEN_Loads[[#This Row],[kVA]]*_xlfn.SWITCH(GEN_Loads[[#This Row],[Start Method]],"Across-the-Line",6,"Soft Start",3,"VFD",1.5,"None",1,1))</f>
        <v/>
      </c>
      <c r="K32" s="131"/>
      <c r="L32" s="134"/>
    </row>
    <row r="33" spans="1:22" s="20" customFormat="1" ht="15" customHeight="1" x14ac:dyDescent="0.35">
      <c r="A33" s="10"/>
      <c r="B33" s="131"/>
      <c r="C33" s="134"/>
      <c r="D33" s="134"/>
      <c r="E33" s="134"/>
      <c r="F33" s="134"/>
      <c r="G33" s="88" t="str">
        <f>IF(OR(GEN_Loads[[#This Row],[Qty]]="",GEN_Loads[[#This Row],[kW each]]=""),"",GEN_Loads[[#This Row],[Qty]]*GEN_Loads[[#This Row],[kW each]])</f>
        <v/>
      </c>
      <c r="H33" s="88" t="str">
        <f>IF(GEN_Loads[[#This Row],[kW total]]="","",GEN_Loads[[#This Row],[kW total]]/IF(GEN_Loads[[#This Row],[PF]]="",0.8,GEN_Loads[[#This Row],[PF]]))</f>
        <v/>
      </c>
      <c r="I33" s="134"/>
      <c r="J33" s="88" t="str" cm="1">
        <f t="array" ref="J33">IF(GEN_Loads[[#This Row],[kVA]]="","",GEN_Loads[[#This Row],[kVA]]*_xlfn.SWITCH(GEN_Loads[[#This Row],[Start Method]],"Across-the-Line",6,"Soft Start",3,"VFD",1.5,"None",1,1))</f>
        <v/>
      </c>
      <c r="K33" s="131"/>
      <c r="L33" s="134"/>
    </row>
    <row r="34" spans="1:22" s="20" customFormat="1" ht="15" customHeight="1" x14ac:dyDescent="0.35">
      <c r="A34" s="10"/>
      <c r="B34" s="131"/>
      <c r="C34" s="134"/>
      <c r="D34" s="134"/>
      <c r="E34" s="134"/>
      <c r="F34" s="134"/>
      <c r="G34" s="88" t="str">
        <f>IF(OR(GEN_Loads[[#This Row],[Qty]]="",GEN_Loads[[#This Row],[kW each]]=""),"",GEN_Loads[[#This Row],[Qty]]*GEN_Loads[[#This Row],[kW each]])</f>
        <v/>
      </c>
      <c r="H34" s="88" t="str">
        <f>IF(GEN_Loads[[#This Row],[kW total]]="","",GEN_Loads[[#This Row],[kW total]]/IF(GEN_Loads[[#This Row],[PF]]="",0.8,GEN_Loads[[#This Row],[PF]]))</f>
        <v/>
      </c>
      <c r="I34" s="134"/>
      <c r="J34" s="88" t="str" cm="1">
        <f t="array" ref="J34">IF(GEN_Loads[[#This Row],[kVA]]="","",GEN_Loads[[#This Row],[kVA]]*_xlfn.SWITCH(GEN_Loads[[#This Row],[Start Method]],"Across-the-Line",6,"Soft Start",3,"VFD",1.5,"None",1,1))</f>
        <v/>
      </c>
      <c r="K34" s="131"/>
      <c r="L34" s="134"/>
    </row>
    <row r="35" spans="1:22" s="20" customFormat="1" ht="15" customHeight="1" x14ac:dyDescent="0.35">
      <c r="A35" s="10"/>
      <c r="B35" s="131"/>
      <c r="C35" s="134"/>
      <c r="D35" s="134"/>
      <c r="E35" s="134"/>
      <c r="F35" s="134"/>
      <c r="G35" s="88" t="str">
        <f>IF(OR(GEN_Loads[[#This Row],[Qty]]="",GEN_Loads[[#This Row],[kW each]]=""),"",GEN_Loads[[#This Row],[Qty]]*GEN_Loads[[#This Row],[kW each]])</f>
        <v/>
      </c>
      <c r="H35" s="88" t="str">
        <f>IF(GEN_Loads[[#This Row],[kW total]]="","",GEN_Loads[[#This Row],[kW total]]/IF(GEN_Loads[[#This Row],[PF]]="",0.8,GEN_Loads[[#This Row],[PF]]))</f>
        <v/>
      </c>
      <c r="I35" s="134"/>
      <c r="J35" s="88" t="str" cm="1">
        <f t="array" ref="J35">IF(GEN_Loads[[#This Row],[kVA]]="","",GEN_Loads[[#This Row],[kVA]]*_xlfn.SWITCH(GEN_Loads[[#This Row],[Start Method]],"Across-the-Line",6,"Soft Start",3,"VFD",1.5,"None",1,1))</f>
        <v/>
      </c>
      <c r="K35" s="131"/>
      <c r="L35" s="134"/>
    </row>
    <row r="36" spans="1:22" s="20" customFormat="1" ht="15" customHeight="1" x14ac:dyDescent="0.35">
      <c r="A36" s="10"/>
      <c r="B36" s="131"/>
      <c r="C36" s="134"/>
      <c r="D36" s="134"/>
      <c r="E36" s="134"/>
      <c r="F36" s="134"/>
      <c r="G36" s="88" t="str">
        <f>IF(OR(GEN_Loads[[#This Row],[Qty]]="",GEN_Loads[[#This Row],[kW each]]=""),"",GEN_Loads[[#This Row],[Qty]]*GEN_Loads[[#This Row],[kW each]])</f>
        <v/>
      </c>
      <c r="H36" s="88" t="str">
        <f>IF(GEN_Loads[[#This Row],[kW total]]="","",GEN_Loads[[#This Row],[kW total]]/IF(GEN_Loads[[#This Row],[PF]]="",0.8,GEN_Loads[[#This Row],[PF]]))</f>
        <v/>
      </c>
      <c r="I36" s="134"/>
      <c r="J36" s="88" t="str" cm="1">
        <f t="array" ref="J36">IF(GEN_Loads[[#This Row],[kVA]]="","",GEN_Loads[[#This Row],[kVA]]*_xlfn.SWITCH(GEN_Loads[[#This Row],[Start Method]],"Across-the-Line",6,"Soft Start",3,"VFD",1.5,"None",1,1))</f>
        <v/>
      </c>
      <c r="K36" s="131"/>
      <c r="L36" s="134"/>
    </row>
    <row r="37" spans="1:22" s="20" customFormat="1" ht="15" customHeight="1" x14ac:dyDescent="0.35">
      <c r="A37" s="10"/>
      <c r="B37" s="10"/>
      <c r="C37" s="10"/>
      <c r="D37" s="10"/>
      <c r="E37" s="10"/>
      <c r="F37" s="10"/>
      <c r="G37" s="10"/>
      <c r="H37" s="528"/>
      <c r="I37" s="10"/>
      <c r="J37" s="528"/>
      <c r="K37" s="10"/>
    </row>
    <row r="38" spans="1:22" ht="30" customHeight="1" x14ac:dyDescent="0.45">
      <c r="A38" s="591" t="s">
        <v>339</v>
      </c>
      <c r="B38" s="592"/>
      <c r="C38" s="592"/>
      <c r="D38" s="592"/>
      <c r="E38" s="592"/>
      <c r="F38" s="592"/>
      <c r="G38" s="592"/>
      <c r="H38" s="592"/>
      <c r="I38" s="592"/>
      <c r="J38" s="592"/>
      <c r="K38" s="592"/>
      <c r="L38" s="592"/>
      <c r="M38" s="592"/>
      <c r="N38" s="592"/>
      <c r="O38" s="592"/>
      <c r="P38" s="592"/>
      <c r="Q38" s="592"/>
      <c r="R38" s="592"/>
      <c r="S38" s="592"/>
      <c r="T38" s="592"/>
      <c r="U38" s="592"/>
      <c r="V38" s="665"/>
    </row>
    <row r="39" spans="1:22" ht="15" customHeight="1" x14ac:dyDescent="0.45">
      <c r="A39" s="344"/>
      <c r="B39" s="344"/>
      <c r="C39" s="344"/>
      <c r="D39" s="344"/>
      <c r="E39" s="344"/>
      <c r="F39" s="344"/>
      <c r="G39" s="344"/>
      <c r="H39" s="529"/>
      <c r="I39" s="344"/>
      <c r="J39" s="529"/>
      <c r="K39" s="344"/>
    </row>
    <row r="40" spans="1:22" ht="15" customHeight="1" x14ac:dyDescent="0.45">
      <c r="A40" s="9"/>
      <c r="B40" s="640" t="s">
        <v>340</v>
      </c>
      <c r="C40" s="640"/>
      <c r="D40" s="40">
        <f>ROUND(SUM($J$53:$J$58),1)</f>
        <v>0</v>
      </c>
      <c r="E40" s="9"/>
      <c r="F40" s="9"/>
      <c r="G40" s="9"/>
      <c r="H40" s="530"/>
      <c r="I40" s="9"/>
      <c r="J40" s="530"/>
      <c r="K40" s="9"/>
    </row>
    <row r="41" spans="1:22" ht="15" customHeight="1" x14ac:dyDescent="0.45">
      <c r="A41" s="9"/>
      <c r="B41" s="640" t="s">
        <v>341</v>
      </c>
      <c r="C41" s="640"/>
      <c r="D41" s="40">
        <f>ROUND(SUM($K$53:$K$58),1)</f>
        <v>0</v>
      </c>
      <c r="E41" s="9"/>
      <c r="F41" s="9"/>
      <c r="G41" s="9"/>
      <c r="H41" s="530"/>
      <c r="I41" s="9"/>
      <c r="J41" s="530"/>
      <c r="K41" s="9"/>
    </row>
    <row r="42" spans="1:22" ht="15" customHeight="1" x14ac:dyDescent="0.45">
      <c r="A42" s="9"/>
      <c r="B42" s="640" t="s">
        <v>342</v>
      </c>
      <c r="C42" s="640"/>
      <c r="D42" s="40">
        <f>MAX($L$53:$L$58)</f>
        <v>0</v>
      </c>
      <c r="E42" s="9"/>
      <c r="F42" s="9"/>
      <c r="G42" s="9"/>
      <c r="H42" s="530"/>
      <c r="I42" s="9"/>
      <c r="J42" s="530"/>
      <c r="K42" s="9"/>
    </row>
    <row r="43" spans="1:22" ht="15" customHeight="1" x14ac:dyDescent="0.45">
      <c r="A43" s="9"/>
      <c r="B43" s="640" t="s">
        <v>1306</v>
      </c>
      <c r="C43" s="640"/>
      <c r="D43" s="40">
        <f>ROUND(SUM($M$53:$M$58),1)</f>
        <v>0</v>
      </c>
      <c r="E43" s="9"/>
      <c r="F43" s="9"/>
      <c r="G43" s="9"/>
      <c r="H43" s="530"/>
      <c r="I43" s="9"/>
      <c r="J43" s="530"/>
      <c r="K43" s="9"/>
    </row>
    <row r="44" spans="1:22" ht="15" customHeight="1" x14ac:dyDescent="0.45">
      <c r="A44" s="9"/>
      <c r="B44" s="640" t="s">
        <v>1307</v>
      </c>
      <c r="C44" s="640"/>
      <c r="D44" s="40">
        <f>ROUND(SUM($N$53:$N$58),1)</f>
        <v>0</v>
      </c>
      <c r="E44" s="9"/>
      <c r="F44" s="9"/>
      <c r="G44" s="9"/>
      <c r="H44" s="530"/>
      <c r="I44" s="9"/>
      <c r="J44" s="530"/>
      <c r="K44" s="9"/>
    </row>
    <row r="45" spans="1:22" ht="15" customHeight="1" x14ac:dyDescent="0.45">
      <c r="A45" s="9"/>
      <c r="B45" s="640" t="s">
        <v>1308</v>
      </c>
      <c r="C45" s="640"/>
      <c r="D45" s="40" t="str">
        <f>IF(SUMIFS($R$53:$R$58,$Q$53:$Q$58,"Y")=0,"—",SUMIFS($R$53:$R$58,$Q$53:$Q$58,"Y"))</f>
        <v>—</v>
      </c>
      <c r="E45" s="9"/>
      <c r="F45" s="9"/>
      <c r="G45" s="9"/>
      <c r="H45" s="530"/>
      <c r="I45" s="9"/>
      <c r="J45" s="530"/>
      <c r="K45" s="9"/>
    </row>
    <row r="46" spans="1:22" ht="15" customHeight="1" x14ac:dyDescent="0.45">
      <c r="A46" s="9"/>
      <c r="B46" s="640" t="s">
        <v>1309</v>
      </c>
      <c r="C46" s="640"/>
      <c r="D46" s="40" t="str">
        <f>IF(ISNUMBER($D$45),ROUND(SUMIFS($S$53:$S$58,$Q$53:$Q$58,"Y"),0),"—")</f>
        <v>—</v>
      </c>
      <c r="E46" s="9"/>
      <c r="F46" s="9"/>
      <c r="G46" s="9"/>
      <c r="H46" s="530"/>
      <c r="I46" s="9"/>
      <c r="J46" s="530"/>
      <c r="K46" s="9"/>
    </row>
    <row r="47" spans="1:22" ht="15" customHeight="1" x14ac:dyDescent="0.45">
      <c r="A47" s="9"/>
      <c r="B47" s="9"/>
      <c r="C47" s="9"/>
      <c r="D47" s="9"/>
      <c r="E47" s="9"/>
      <c r="F47" s="9"/>
      <c r="G47" s="9"/>
      <c r="H47" s="530"/>
      <c r="I47" s="9"/>
      <c r="J47" s="530"/>
      <c r="K47" s="9"/>
    </row>
    <row r="48" spans="1:22" ht="15" customHeight="1" x14ac:dyDescent="0.45">
      <c r="A48" s="642" t="s">
        <v>343</v>
      </c>
      <c r="B48" s="642"/>
      <c r="C48" s="642"/>
      <c r="D48" s="642"/>
      <c r="E48" s="642"/>
      <c r="F48" s="642"/>
      <c r="G48" s="642"/>
      <c r="H48" s="679"/>
      <c r="I48" s="642"/>
      <c r="J48" s="679"/>
      <c r="K48" s="642"/>
    </row>
    <row r="49" spans="1:22" ht="15" customHeight="1" x14ac:dyDescent="0.45">
      <c r="A49" s="9"/>
      <c r="B49" s="9"/>
      <c r="C49" s="9"/>
      <c r="D49" s="9"/>
      <c r="E49" s="9"/>
      <c r="F49" s="9"/>
      <c r="G49" s="9"/>
      <c r="H49" s="530"/>
      <c r="I49" s="9"/>
      <c r="J49" s="530"/>
      <c r="K49" s="9"/>
    </row>
    <row r="50" spans="1:22" ht="15" customHeight="1" x14ac:dyDescent="0.45">
      <c r="A50" s="9"/>
      <c r="B50" s="9"/>
      <c r="C50" s="9"/>
      <c r="D50" s="9"/>
      <c r="E50" s="9"/>
      <c r="F50" s="9"/>
      <c r="G50" s="9"/>
      <c r="H50" s="530"/>
      <c r="I50" s="9"/>
      <c r="J50" s="530"/>
      <c r="K50" s="9"/>
    </row>
    <row r="51" spans="1:22" ht="30" customHeight="1" x14ac:dyDescent="0.45">
      <c r="A51" s="591" t="s">
        <v>1286</v>
      </c>
      <c r="B51" s="592"/>
      <c r="C51" s="592"/>
      <c r="D51" s="592"/>
      <c r="E51" s="592"/>
      <c r="F51" s="592"/>
      <c r="G51" s="592"/>
      <c r="H51" s="592"/>
      <c r="I51" s="592"/>
      <c r="J51" s="592"/>
      <c r="K51" s="592"/>
      <c r="L51" s="592"/>
      <c r="M51" s="592"/>
      <c r="N51" s="592"/>
      <c r="O51" s="592"/>
      <c r="P51" s="592"/>
      <c r="Q51" s="592"/>
      <c r="R51" s="592"/>
      <c r="S51" s="592"/>
      <c r="T51" s="592"/>
      <c r="U51" s="592"/>
      <c r="V51" s="665"/>
    </row>
    <row r="52" spans="1:22" s="47" customFormat="1" ht="30" customHeight="1" x14ac:dyDescent="0.45">
      <c r="A52" s="34"/>
      <c r="B52" s="278" t="s">
        <v>1287</v>
      </c>
      <c r="C52" s="278" t="s">
        <v>195</v>
      </c>
      <c r="D52" s="278" t="s">
        <v>1288</v>
      </c>
      <c r="E52" s="278" t="s">
        <v>1289</v>
      </c>
      <c r="F52" s="278" t="s">
        <v>1290</v>
      </c>
      <c r="G52" s="278" t="s">
        <v>1291</v>
      </c>
      <c r="H52" s="531" t="s">
        <v>1292</v>
      </c>
      <c r="I52" s="278" t="s">
        <v>1293</v>
      </c>
      <c r="J52" s="531" t="s">
        <v>1294</v>
      </c>
      <c r="K52" s="278" t="s">
        <v>1295</v>
      </c>
      <c r="L52" s="278" t="s">
        <v>1296</v>
      </c>
      <c r="M52" s="278" t="s">
        <v>1297</v>
      </c>
      <c r="N52" s="278" t="s">
        <v>1298</v>
      </c>
      <c r="O52" s="278" t="s">
        <v>1299</v>
      </c>
      <c r="P52" s="278" t="s">
        <v>1300</v>
      </c>
      <c r="Q52" s="278" t="s">
        <v>1301</v>
      </c>
      <c r="R52" s="278" t="s">
        <v>1302</v>
      </c>
      <c r="S52" s="278" t="s">
        <v>1303</v>
      </c>
      <c r="T52" s="278" t="s">
        <v>1324</v>
      </c>
      <c r="U52" s="278" t="s">
        <v>1904</v>
      </c>
      <c r="V52" s="278" t="s">
        <v>1325</v>
      </c>
    </row>
    <row r="53" spans="1:22" ht="15" customHeight="1" x14ac:dyDescent="0.45">
      <c r="B53" s="384" t="s">
        <v>1903</v>
      </c>
      <c r="C53" s="384" t="s">
        <v>1797</v>
      </c>
      <c r="D53" s="384"/>
      <c r="E53" s="551">
        <v>0.8</v>
      </c>
      <c r="F53" s="551">
        <v>1.2</v>
      </c>
      <c r="G53" s="551">
        <v>0.9</v>
      </c>
      <c r="H53" s="347" cm="1">
        <f t="array" ref="H53">IF($B53="",0,IFERROR(SUMPRODUCT(($D$10:$D$21="Y")*INDEX('Load Calc'!$F$178:$K$189,0,MATCH($B53,'Load Calc'!$F$177:$K$177,0))),0)+IF($T53="Y",SUMPRODUCT(($D$10:$D$21="Y")*'Load Calc'!$L$178:$L$189),0))</f>
        <v>0</v>
      </c>
      <c r="I53" s="347">
        <f>IF($B53="",0,SUMIFS(GEN_Loads[kVA],GEN_Loads[Unit],$B53))</f>
        <v>0</v>
      </c>
      <c r="J53" s="347">
        <f t="shared" ref="J53:J58" si="0">ROUND($H53+$I53,1)</f>
        <v>0</v>
      </c>
      <c r="K53" s="347">
        <f>IF($B53="",0,ROUND($H53*$G53+SUMIFS(GEN_Loads[kW total],GEN_Loads[Unit],$B53),1))</f>
        <v>0</v>
      </c>
      <c r="L53" s="347">
        <f>IF($B53="",0,IFERROR(_xlfn.MAXIFS(GEN_Loads[Start kVA],GEN_Loads[Unit],$B53),0))</f>
        <v>0</v>
      </c>
      <c r="M53" s="347" cm="1">
        <f t="array" ref="M53">ROUND(MAX($K53*$F53,SUMPRODUCT(($H$62:$H$69=$B53)*($C$62:$C$69="ATS")*IF(ISNUMBER($K$62:$K$69),$K$62:$K$69,0)*IF(LEFT(IF($V$62:$V$69&lt;&gt;"",$V$62:$V$69,Gen_SizeBasis),3)="Equ",1,$F53))*$G53),1)</f>
        <v>0</v>
      </c>
      <c r="N53" s="347" cm="1">
        <f t="array" ref="N53">ROUND(MAX($J53*$F53,$L53,SUMPRODUCT(($H$62:$H$69=$B53)*($C$62:$C$69="ATS")*IF(ISNUMBER($K$62:$K$69),$K$62:$K$69,0)*IF(LEFT(IF($V$62:$V$69&lt;&gt;"",$V$62:$V$69,Gen_SizeBasis),3)="Equ",1,$F53))),1)</f>
        <v>0</v>
      </c>
      <c r="O53" s="347">
        <f t="shared" ref="O53:O58" si="1">IF($D53="",$M53,SUMIFS($M$53:$M$58,$D$53:$D$58,$D53))</f>
        <v>0</v>
      </c>
      <c r="P53" s="347">
        <f t="shared" ref="P53:P58" si="2">IF($D53="",$N53,SUMIFS($N$53:$N$58,$D$53:$D$58,$D53))</f>
        <v>0</v>
      </c>
      <c r="Q53" s="574" t="str">
        <f>IF($B53="","",IF($D53="","Y",IF(COUNTIFS($D$53:$D53,$D53)=1,"Y","")))</f>
        <v>Y</v>
      </c>
      <c r="R53" s="163" t="str">
        <f t="shared" ref="R53:R58" si="3">IF(OR($B53="",$O53+$P53=0),"—",IFERROR(_xlfn.XLOOKUP(MAX($O53,$P53*$E53),Gen_kW_List,Gen_kW_List,"&gt; 3000",1),"—"))</f>
        <v>—</v>
      </c>
      <c r="S53" s="163" t="str">
        <f t="shared" ref="S53:S58" si="4">IF(ISNUMBER($R53),ROUND($R53/$E53,0),"—")</f>
        <v>—</v>
      </c>
      <c r="T53" s="384" t="s">
        <v>308</v>
      </c>
      <c r="U53" s="551">
        <v>0.15</v>
      </c>
      <c r="V53" s="384" t="s">
        <v>1322</v>
      </c>
    </row>
    <row r="54" spans="1:22" ht="15" customHeight="1" x14ac:dyDescent="0.45">
      <c r="B54" s="384"/>
      <c r="C54" s="384"/>
      <c r="D54" s="384"/>
      <c r="E54" s="551">
        <v>0.8</v>
      </c>
      <c r="F54" s="551">
        <v>1.2</v>
      </c>
      <c r="G54" s="551">
        <v>0.9</v>
      </c>
      <c r="H54" s="347" cm="1">
        <f t="array" ref="H54">IF($B54="",0,IFERROR(SUMPRODUCT(($D$10:$D$21="Y")*INDEX('Load Calc'!$F$178:$K$189,0,MATCH($B54,'Load Calc'!$F$177:$K$177,0))),0)+IF($T54="Y",SUMPRODUCT(($D$10:$D$21="Y")*'Load Calc'!$L$178:$L$189),0))</f>
        <v>0</v>
      </c>
      <c r="I54" s="347">
        <f>IF($B54="",0,SUMIFS(GEN_Loads[kVA],GEN_Loads[Unit],$B54))</f>
        <v>0</v>
      </c>
      <c r="J54" s="347">
        <f t="shared" si="0"/>
        <v>0</v>
      </c>
      <c r="K54" s="347">
        <f>IF($B54="",0,ROUND($H54*$G54+SUMIFS(GEN_Loads[kW total],GEN_Loads[Unit],$B54),1))</f>
        <v>0</v>
      </c>
      <c r="L54" s="347">
        <f>IF($B54="",0,IFERROR(_xlfn.MAXIFS(GEN_Loads[Start kVA],GEN_Loads[Unit],$B54),0))</f>
        <v>0</v>
      </c>
      <c r="M54" s="347" cm="1">
        <f t="array" ref="M54">ROUND(MAX($K54*$F54,SUMPRODUCT(($H$62:$H$69=$B54)*($C$62:$C$69="ATS")*IF(ISNUMBER($K$62:$K$69),$K$62:$K$69,0)*IF(LEFT(IF($V$62:$V$69&lt;&gt;"",$V$62:$V$69,Gen_SizeBasis),3)="Equ",1,$F54))*$G54),1)</f>
        <v>0</v>
      </c>
      <c r="N54" s="347" cm="1">
        <f t="array" ref="N54">ROUND(MAX($J54*$F54,$L54,SUMPRODUCT(($H$62:$H$69=$B54)*($C$62:$C$69="ATS")*IF(ISNUMBER($K$62:$K$69),$K$62:$K$69,0)*IF(LEFT(IF($V$62:$V$69&lt;&gt;"",$V$62:$V$69,Gen_SizeBasis),3)="Equ",1,$F54))),1)</f>
        <v>0</v>
      </c>
      <c r="O54" s="347">
        <f t="shared" si="1"/>
        <v>0</v>
      </c>
      <c r="P54" s="347">
        <f t="shared" si="2"/>
        <v>0</v>
      </c>
      <c r="Q54" s="574" t="str">
        <f>IF($B54="","",IF($D54="","Y",IF(COUNTIFS($D$53:$D54,$D54)=1,"Y","")))</f>
        <v/>
      </c>
      <c r="R54" s="163" t="str">
        <f t="shared" si="3"/>
        <v>—</v>
      </c>
      <c r="S54" s="163" t="str">
        <f t="shared" si="4"/>
        <v>—</v>
      </c>
      <c r="T54" s="384"/>
      <c r="U54" s="551">
        <v>0.15</v>
      </c>
      <c r="V54" s="384" t="s">
        <v>1326</v>
      </c>
    </row>
    <row r="55" spans="1:22" ht="15" customHeight="1" x14ac:dyDescent="0.45">
      <c r="B55" s="384"/>
      <c r="C55" s="384"/>
      <c r="D55" s="384"/>
      <c r="E55" s="551">
        <v>0.8</v>
      </c>
      <c r="F55" s="551">
        <v>1.2</v>
      </c>
      <c r="G55" s="551">
        <v>0.9</v>
      </c>
      <c r="H55" s="347" cm="1">
        <f t="array" ref="H55">IF($B55="",0,IFERROR(SUMPRODUCT(($D$10:$D$21="Y")*INDEX('Load Calc'!$F$178:$K$189,0,MATCH($B55,'Load Calc'!$F$177:$K$177,0))),0)+IF($T55="Y",SUMPRODUCT(($D$10:$D$21="Y")*'Load Calc'!$L$178:$L$189),0))</f>
        <v>0</v>
      </c>
      <c r="I55" s="347">
        <f>IF($B55="",0,SUMIFS(GEN_Loads[kVA],GEN_Loads[Unit],$B55))</f>
        <v>0</v>
      </c>
      <c r="J55" s="347">
        <f t="shared" si="0"/>
        <v>0</v>
      </c>
      <c r="K55" s="347">
        <f>IF($B55="",0,ROUND($H55*$G55+SUMIFS(GEN_Loads[kW total],GEN_Loads[Unit],$B55),1))</f>
        <v>0</v>
      </c>
      <c r="L55" s="347">
        <f>IF($B55="",0,IFERROR(_xlfn.MAXIFS(GEN_Loads[Start kVA],GEN_Loads[Unit],$B55),0))</f>
        <v>0</v>
      </c>
      <c r="M55" s="347" cm="1">
        <f t="array" ref="M55">ROUND(MAX($K55*$F55,SUMPRODUCT(($H$62:$H$69=$B55)*($C$62:$C$69="ATS")*IF(ISNUMBER($K$62:$K$69),$K$62:$K$69,0)*IF(LEFT(IF($V$62:$V$69&lt;&gt;"",$V$62:$V$69,Gen_SizeBasis),3)="Equ",1,$F55))*$G55),1)</f>
        <v>0</v>
      </c>
      <c r="N55" s="347" cm="1">
        <f t="array" ref="N55">ROUND(MAX($J55*$F55,$L55,SUMPRODUCT(($H$62:$H$69=$B55)*($C$62:$C$69="ATS")*IF(ISNUMBER($K$62:$K$69),$K$62:$K$69,0)*IF(LEFT(IF($V$62:$V$69&lt;&gt;"",$V$62:$V$69,Gen_SizeBasis),3)="Equ",1,$F55))),1)</f>
        <v>0</v>
      </c>
      <c r="O55" s="347">
        <f t="shared" si="1"/>
        <v>0</v>
      </c>
      <c r="P55" s="347">
        <f t="shared" si="2"/>
        <v>0</v>
      </c>
      <c r="Q55" s="574" t="str">
        <f>IF($B55="","",IF($D55="","Y",IF(COUNTIFS($D$53:$D55,$D55)=1,"Y","")))</f>
        <v/>
      </c>
      <c r="R55" s="163" t="str">
        <f t="shared" si="3"/>
        <v>—</v>
      </c>
      <c r="S55" s="163" t="str">
        <f t="shared" si="4"/>
        <v>—</v>
      </c>
      <c r="T55" s="384"/>
      <c r="U55" s="551">
        <v>0.15</v>
      </c>
      <c r="V55" s="384" t="s">
        <v>1327</v>
      </c>
    </row>
    <row r="56" spans="1:22" ht="15" customHeight="1" x14ac:dyDescent="0.45">
      <c r="B56" s="384"/>
      <c r="C56" s="384"/>
      <c r="D56" s="384"/>
      <c r="E56" s="551">
        <v>0.8</v>
      </c>
      <c r="F56" s="551">
        <v>1.2</v>
      </c>
      <c r="G56" s="551">
        <v>0.9</v>
      </c>
      <c r="H56" s="347" cm="1">
        <f t="array" ref="H56">IF($B56="",0,IFERROR(SUMPRODUCT(($D$10:$D$21="Y")*INDEX('Load Calc'!$F$178:$K$189,0,MATCH($B56,'Load Calc'!$F$177:$K$177,0))),0)+IF($T56="Y",SUMPRODUCT(($D$10:$D$21="Y")*'Load Calc'!$L$178:$L$189),0))</f>
        <v>0</v>
      </c>
      <c r="I56" s="347">
        <f>IF($B56="",0,SUMIFS(GEN_Loads[kVA],GEN_Loads[Unit],$B56))</f>
        <v>0</v>
      </c>
      <c r="J56" s="347">
        <f t="shared" si="0"/>
        <v>0</v>
      </c>
      <c r="K56" s="347">
        <f>IF($B56="",0,ROUND($H56*$G56+SUMIFS(GEN_Loads[kW total],GEN_Loads[Unit],$B56),1))</f>
        <v>0</v>
      </c>
      <c r="L56" s="347">
        <f>IF($B56="",0,IFERROR(_xlfn.MAXIFS(GEN_Loads[Start kVA],GEN_Loads[Unit],$B56),0))</f>
        <v>0</v>
      </c>
      <c r="M56" s="347" cm="1">
        <f t="array" ref="M56">ROUND(MAX($K56*$F56,SUMPRODUCT(($H$62:$H$69=$B56)*($C$62:$C$69="ATS")*IF(ISNUMBER($K$62:$K$69),$K$62:$K$69,0)*IF(LEFT(IF($V$62:$V$69&lt;&gt;"",$V$62:$V$69,Gen_SizeBasis),3)="Equ",1,$F56))*$G56),1)</f>
        <v>0</v>
      </c>
      <c r="N56" s="347" cm="1">
        <f t="array" ref="N56">ROUND(MAX($J56*$F56,$L56,SUMPRODUCT(($H$62:$H$69=$B56)*($C$62:$C$69="ATS")*IF(ISNUMBER($K$62:$K$69),$K$62:$K$69,0)*IF(LEFT(IF($V$62:$V$69&lt;&gt;"",$V$62:$V$69,Gen_SizeBasis),3)="Equ",1,$F56))),1)</f>
        <v>0</v>
      </c>
      <c r="O56" s="347">
        <f t="shared" si="1"/>
        <v>0</v>
      </c>
      <c r="P56" s="347">
        <f t="shared" si="2"/>
        <v>0</v>
      </c>
      <c r="Q56" s="574" t="str">
        <f>IF($B56="","",IF($D56="","Y",IF(COUNTIFS($D$53:$D56,$D56)=1,"Y","")))</f>
        <v/>
      </c>
      <c r="R56" s="163" t="str">
        <f t="shared" si="3"/>
        <v>—</v>
      </c>
      <c r="S56" s="163" t="str">
        <f t="shared" si="4"/>
        <v>—</v>
      </c>
      <c r="T56" s="384"/>
      <c r="U56" s="551">
        <v>0.15</v>
      </c>
      <c r="V56" s="384" t="s">
        <v>1328</v>
      </c>
    </row>
    <row r="57" spans="1:22" ht="15" customHeight="1" x14ac:dyDescent="0.45">
      <c r="B57" s="384"/>
      <c r="C57" s="384"/>
      <c r="D57" s="384"/>
      <c r="E57" s="551">
        <v>0.8</v>
      </c>
      <c r="F57" s="551">
        <v>1.2</v>
      </c>
      <c r="G57" s="551">
        <v>0.9</v>
      </c>
      <c r="H57" s="347" cm="1">
        <f t="array" ref="H57">IF($B57="",0,IFERROR(SUMPRODUCT(($D$10:$D$21="Y")*INDEX('Load Calc'!$F$178:$K$189,0,MATCH($B57,'Load Calc'!$F$177:$K$177,0))),0)+IF($T57="Y",SUMPRODUCT(($D$10:$D$21="Y")*'Load Calc'!$L$178:$L$189),0))</f>
        <v>0</v>
      </c>
      <c r="I57" s="347">
        <f>IF($B57="",0,SUMIFS(GEN_Loads[kVA],GEN_Loads[Unit],$B57))</f>
        <v>0</v>
      </c>
      <c r="J57" s="347">
        <f t="shared" si="0"/>
        <v>0</v>
      </c>
      <c r="K57" s="347">
        <f>IF($B57="",0,ROUND($H57*$G57+SUMIFS(GEN_Loads[kW total],GEN_Loads[Unit],$B57),1))</f>
        <v>0</v>
      </c>
      <c r="L57" s="347">
        <f>IF($B57="",0,IFERROR(_xlfn.MAXIFS(GEN_Loads[Start kVA],GEN_Loads[Unit],$B57),0))</f>
        <v>0</v>
      </c>
      <c r="M57" s="347" cm="1">
        <f t="array" ref="M57">ROUND(MAX($K57*$F57,SUMPRODUCT(($H$62:$H$69=$B57)*($C$62:$C$69="ATS")*IF(ISNUMBER($K$62:$K$69),$K$62:$K$69,0)*IF(LEFT(IF($V$62:$V$69&lt;&gt;"",$V$62:$V$69,Gen_SizeBasis),3)="Equ",1,$F57))*$G57),1)</f>
        <v>0</v>
      </c>
      <c r="N57" s="347" cm="1">
        <f t="array" ref="N57">ROUND(MAX($J57*$F57,$L57,SUMPRODUCT(($H$62:$H$69=$B57)*($C$62:$C$69="ATS")*IF(ISNUMBER($K$62:$K$69),$K$62:$K$69,0)*IF(LEFT(IF($V$62:$V$69&lt;&gt;"",$V$62:$V$69,Gen_SizeBasis),3)="Equ",1,$F57))),1)</f>
        <v>0</v>
      </c>
      <c r="O57" s="347">
        <f t="shared" si="1"/>
        <v>0</v>
      </c>
      <c r="P57" s="347">
        <f t="shared" si="2"/>
        <v>0</v>
      </c>
      <c r="Q57" s="574" t="str">
        <f>IF($B57="","",IF($D57="","Y",IF(COUNTIFS($D$53:$D57,$D57)=1,"Y","")))</f>
        <v/>
      </c>
      <c r="R57" s="163" t="str">
        <f t="shared" si="3"/>
        <v>—</v>
      </c>
      <c r="S57" s="163" t="str">
        <f t="shared" si="4"/>
        <v>—</v>
      </c>
      <c r="T57" s="384"/>
      <c r="U57" s="551">
        <v>0.15</v>
      </c>
      <c r="V57" s="384" t="s">
        <v>1731</v>
      </c>
    </row>
    <row r="58" spans="1:22" ht="15" customHeight="1" x14ac:dyDescent="0.45">
      <c r="B58" s="384"/>
      <c r="C58" s="384"/>
      <c r="D58" s="384"/>
      <c r="E58" s="551">
        <v>0.8</v>
      </c>
      <c r="F58" s="551">
        <v>1.2</v>
      </c>
      <c r="G58" s="551">
        <v>0.9</v>
      </c>
      <c r="H58" s="347" cm="1">
        <f t="array" ref="H58">IF($B58="",0,IFERROR(SUMPRODUCT(($D$10:$D$21="Y")*INDEX('Load Calc'!$F$178:$K$189,0,MATCH($B58,'Load Calc'!$F$177:$K$177,0))),0)+IF($T58="Y",SUMPRODUCT(($D$10:$D$21="Y")*'Load Calc'!$L$178:$L$189),0))</f>
        <v>0</v>
      </c>
      <c r="I58" s="347">
        <f>IF($B58="",0,SUMIFS(GEN_Loads[kVA],GEN_Loads[Unit],$B58))</f>
        <v>0</v>
      </c>
      <c r="J58" s="347">
        <f t="shared" si="0"/>
        <v>0</v>
      </c>
      <c r="K58" s="347">
        <f>IF($B58="",0,ROUND($H58*$G58+SUMIFS(GEN_Loads[kW total],GEN_Loads[Unit],$B58),1))</f>
        <v>0</v>
      </c>
      <c r="L58" s="347">
        <f>IF($B58="",0,IFERROR(_xlfn.MAXIFS(GEN_Loads[Start kVA],GEN_Loads[Unit],$B58),0))</f>
        <v>0</v>
      </c>
      <c r="M58" s="347" cm="1">
        <f t="array" ref="M58">ROUND(MAX($K58*$F58,SUMPRODUCT(($H$62:$H$69=$B58)*($C$62:$C$69="ATS")*IF(ISNUMBER($K$62:$K$69),$K$62:$K$69,0)*IF(LEFT(IF($V$62:$V$69&lt;&gt;"",$V$62:$V$69,Gen_SizeBasis),3)="Equ",1,$F58))*$G58),1)</f>
        <v>0</v>
      </c>
      <c r="N58" s="347" cm="1">
        <f t="array" ref="N58">ROUND(MAX($J58*$F58,$L58,SUMPRODUCT(($H$62:$H$69=$B58)*($C$62:$C$69="ATS")*IF(ISNUMBER($K$62:$K$69),$K$62:$K$69,0)*IF(LEFT(IF($V$62:$V$69&lt;&gt;"",$V$62:$V$69,Gen_SizeBasis),3)="Equ",1,$F58))),1)</f>
        <v>0</v>
      </c>
      <c r="O58" s="347">
        <f t="shared" si="1"/>
        <v>0</v>
      </c>
      <c r="P58" s="347">
        <f t="shared" si="2"/>
        <v>0</v>
      </c>
      <c r="Q58" s="574" t="str">
        <f>IF($B58="","",IF($D58="","Y",IF(COUNTIFS($D$53:$D58,$D58)=1,"Y","")))</f>
        <v/>
      </c>
      <c r="R58" s="163" t="str">
        <f t="shared" si="3"/>
        <v>—</v>
      </c>
      <c r="S58" s="163" t="str">
        <f t="shared" si="4"/>
        <v>—</v>
      </c>
      <c r="T58" s="384"/>
      <c r="U58" s="551">
        <v>0.15</v>
      </c>
      <c r="V58" s="384" t="s">
        <v>1732</v>
      </c>
    </row>
    <row r="59" spans="1:22" x14ac:dyDescent="0.45">
      <c r="B59" s="45"/>
      <c r="C59" s="45"/>
      <c r="D59" s="45"/>
      <c r="E59" s="45"/>
      <c r="F59" s="45"/>
      <c r="G59" s="45"/>
      <c r="H59" s="45"/>
      <c r="I59" s="45"/>
      <c r="J59" s="45"/>
      <c r="K59" s="45"/>
      <c r="L59" s="45"/>
      <c r="M59" s="45"/>
      <c r="N59" s="45"/>
      <c r="O59" s="45"/>
      <c r="P59" s="45"/>
      <c r="Q59" s="45"/>
      <c r="R59" s="45"/>
      <c r="S59" s="45"/>
      <c r="T59" s="45"/>
    </row>
    <row r="60" spans="1:22" ht="30" customHeight="1" x14ac:dyDescent="0.45">
      <c r="A60" s="591" t="s">
        <v>1905</v>
      </c>
      <c r="B60" s="592"/>
      <c r="C60" s="592"/>
      <c r="D60" s="592"/>
      <c r="E60" s="592"/>
      <c r="F60" s="592"/>
      <c r="G60" s="592"/>
      <c r="H60" s="592"/>
      <c r="I60" s="592"/>
      <c r="J60" s="592"/>
      <c r="K60" s="592"/>
      <c r="L60" s="592"/>
      <c r="M60" s="592"/>
      <c r="N60" s="592"/>
      <c r="O60" s="592"/>
      <c r="P60" s="592"/>
      <c r="Q60" s="592"/>
      <c r="R60" s="592"/>
      <c r="S60" s="592"/>
      <c r="T60" s="592"/>
      <c r="U60" s="592"/>
      <c r="V60" s="665"/>
    </row>
    <row r="61" spans="1:22" x14ac:dyDescent="0.45">
      <c r="A61" s="34"/>
      <c r="B61" s="278" t="s">
        <v>198</v>
      </c>
      <c r="C61" s="278" t="s">
        <v>207</v>
      </c>
      <c r="D61" s="278" t="s">
        <v>1906</v>
      </c>
      <c r="E61" s="278" t="s">
        <v>1907</v>
      </c>
      <c r="F61" s="278" t="s">
        <v>1722</v>
      </c>
      <c r="G61" s="278" t="s">
        <v>1908</v>
      </c>
      <c r="H61" s="531" t="s">
        <v>1909</v>
      </c>
      <c r="I61" s="278" t="s">
        <v>1910</v>
      </c>
      <c r="J61" s="531" t="s">
        <v>208</v>
      </c>
      <c r="K61" s="278" t="s">
        <v>2136</v>
      </c>
      <c r="L61" s="278" t="s">
        <v>1911</v>
      </c>
      <c r="M61" s="278" t="s">
        <v>2137</v>
      </c>
      <c r="N61" s="278" t="s">
        <v>1912</v>
      </c>
      <c r="O61" s="278" t="s">
        <v>1913</v>
      </c>
      <c r="P61" s="278" t="s">
        <v>1914</v>
      </c>
      <c r="Q61" s="278" t="s">
        <v>1915</v>
      </c>
      <c r="R61" s="278" t="s">
        <v>1916</v>
      </c>
      <c r="S61" s="278" t="s">
        <v>1917</v>
      </c>
      <c r="T61" s="278" t="s">
        <v>1918</v>
      </c>
      <c r="U61" s="278" t="s">
        <v>1919</v>
      </c>
      <c r="V61" s="278" t="s">
        <v>2135</v>
      </c>
    </row>
    <row r="62" spans="1:22" x14ac:dyDescent="0.45">
      <c r="B62" s="384"/>
      <c r="C62" s="384"/>
      <c r="D62" s="384"/>
      <c r="E62" s="384"/>
      <c r="F62" s="384"/>
      <c r="G62" s="384"/>
      <c r="H62" s="384"/>
      <c r="I62" s="384"/>
      <c r="J62" s="347" t="str">
        <f>IF($B62="","",IFERROR(_xlfn.XLOOKUP($B62,Dashboard!$A$101:$A$350,Dashboard!$C$101:$C$350,""),""))</f>
        <v/>
      </c>
      <c r="K62" s="347" t="str">
        <f>IF($B62="","",_xlfn.LET(_xlpm.bs,IF($V62&lt;&gt;"",$V62,Gen_SizeBasis),_xlpm.dem,IFERROR(N(_xlfn.XLOOKUP($I62,Equip_List,Equip_Demand,0)),0),_xlpm.amp,IFERROR(N(_xlfn.XLOOKUP($I62,Equip_List,Dashboard!$P$101:$P$350,0)),0),_xlpm.v,IFERROR(_xlfn.XLOOKUP($J62,Xfmr_VoltStr,Xfmr_BaseV),""),_xlpm.p,IFERROR(_xlfn.XLOOKUP($J62,Xfmr_VoltStr,Xfmr_Ph),3),_xlpm.rk,IF(OR(_xlpm.amp=0,N(_xlpm.v)=0),0,_xlpm.amp*_xlpm.v*IF(_xlpm.p=3,SQRT(3),1)/1000),IF(AND(LEFT(_xlpm.bs,3)="Equ",_xlpm.rk&gt;0),ROUND(_xlpm.rk,1),_xlpm.dem)))</f>
        <v/>
      </c>
      <c r="L62" s="347" t="str">
        <f t="shared" ref="L62:L69" si="5">IF($B62="","",IFERROR(N(_xlfn.XLOOKUP($H62,$B$53:$B$58,$J$53:$J$58,0)),0))</f>
        <v/>
      </c>
      <c r="M62" s="347" t="str">
        <f>IF($B62="","",_xlfn.LET(_xlpm.bs,IF($V62&lt;&gt;"",$V62,Gen_SizeBasis),_xlpm.v,IFERROR(_xlfn.XLOOKUP($J62,Xfmr_VoltStr,Xfmr_BaseV),""),_xlpm.p,IFERROR(_xlfn.XLOOKUP($J62,Xfmr_VoltStr,Xfmr_Ph),3),_xlpm.amp,IFERROR(N(_xlfn.XLOOKUP($I62,Equip_List,Dashboard!$P$101:$P$350,0)),0),IF(N(_xlpm.v)=0,"",_xlfn.LET(_xlpm.gA,N($L62)*1000/(_xlpm.v*IF(_xlpm.p=3,SQRT(3),1)),IF(AND(LEFT(_xlpm.bs,3)="Equ",_xlpm.amp&gt;0),ROUND(MAX(_xlpm.amp,1.25*_xlpm.gA),1),ROUND(MAX(N($K62),N($L62))*1.25*1000/(_xlpm.v*IF(_xlpm.p=3,SQRT(3),1)),1))))))</f>
        <v/>
      </c>
      <c r="N62" s="163" t="str">
        <f t="shared" ref="N62:N69" si="6">IF(NOT(ISNUMBER($M62)),"",IFERROR(_xlfn.XLOOKUP($M62,ATS_List,ATS_List,"&gt; 4000",1),"—"))</f>
        <v/>
      </c>
      <c r="O62" s="565"/>
      <c r="P62" s="163" t="str">
        <f t="shared" ref="P62:P69" si="7">IF($B62="","",IF(N($O62)&gt;0,$O62,$N62))</f>
        <v/>
      </c>
      <c r="Q62" s="163" t="str">
        <f t="shared" ref="Q62:Q69" si="8">IF(NOT(ISNUMBER($P62)),"",IFERROR(_xlfn.XLOOKUP($P62,ATS_List,ATS_WCR,"",1),""))</f>
        <v/>
      </c>
      <c r="R62" s="565"/>
      <c r="S62" s="163" t="str">
        <f t="shared" ref="S62:S69" si="9">IF($B62="","",IF(N($R62)&gt;0,$R62,$Q62))</f>
        <v/>
      </c>
      <c r="T62" s="163" t="str">
        <f>IF($B62="","",IFERROR(_xlfn.XLOOKUP($B62,'Short Circuit'!$A$6:$A$255,'Short Circuit'!$Q$6:$Q$255,""),""))</f>
        <v/>
      </c>
      <c r="U62" s="347" t="str">
        <f t="shared" ref="U62:U69" si="10">IF(OR($B62="",NOT(ISNUMBER($S62)),NOT(ISNUMBER($T62))),"",IF($S62&gt;=$T62,"✔ WCR OK","✖ WCR below fault — raise WCR / series device"))</f>
        <v/>
      </c>
      <c r="V62" s="565"/>
    </row>
    <row r="63" spans="1:22" x14ac:dyDescent="0.45">
      <c r="B63" s="384"/>
      <c r="C63" s="384"/>
      <c r="D63" s="384"/>
      <c r="E63" s="384"/>
      <c r="F63" s="384"/>
      <c r="G63" s="384"/>
      <c r="H63" s="384"/>
      <c r="I63" s="384"/>
      <c r="J63" s="347" t="str">
        <f>IF($B63="","",IFERROR(_xlfn.XLOOKUP($B63,Dashboard!$A$101:$A$350,Dashboard!$C$101:$C$350,""),""))</f>
        <v/>
      </c>
      <c r="K63" s="347" t="str">
        <f>IF($B63="","",_xlfn.LET(_xlpm.bs,IF($V63&lt;&gt;"",$V63,Gen_SizeBasis),_xlpm.dem,IFERROR(N(_xlfn.XLOOKUP($I63,Equip_List,Equip_Demand,0)),0),_xlpm.amp,IFERROR(N(_xlfn.XLOOKUP($I63,Equip_List,Dashboard!$P$101:$P$350,0)),0),_xlpm.v,IFERROR(_xlfn.XLOOKUP($J63,Xfmr_VoltStr,Xfmr_BaseV),""),_xlpm.p,IFERROR(_xlfn.XLOOKUP($J63,Xfmr_VoltStr,Xfmr_Ph),3),_xlpm.rk,IF(OR(_xlpm.amp=0,N(_xlpm.v)=0),0,_xlpm.amp*_xlpm.v*IF(_xlpm.p=3,SQRT(3),1)/1000),IF(AND(LEFT(_xlpm.bs,3)="Equ",_xlpm.rk&gt;0),ROUND(_xlpm.rk,1),_xlpm.dem)))</f>
        <v/>
      </c>
      <c r="L63" s="347" t="str">
        <f t="shared" si="5"/>
        <v/>
      </c>
      <c r="M63" s="347" t="str">
        <f>IF($B63="","",_xlfn.LET(_xlpm.bs,IF($V63&lt;&gt;"",$V63,Gen_SizeBasis),_xlpm.v,IFERROR(_xlfn.XLOOKUP($J63,Xfmr_VoltStr,Xfmr_BaseV),""),_xlpm.p,IFERROR(_xlfn.XLOOKUP($J63,Xfmr_VoltStr,Xfmr_Ph),3),_xlpm.amp,IFERROR(N(_xlfn.XLOOKUP($I63,Equip_List,Dashboard!$P$101:$P$350,0)),0),IF(N(_xlpm.v)=0,"",_xlfn.LET(_xlpm.gA,N($L63)*1000/(_xlpm.v*IF(_xlpm.p=3,SQRT(3),1)),IF(AND(LEFT(_xlpm.bs,3)="Equ",_xlpm.amp&gt;0),ROUND(MAX(_xlpm.amp,1.25*_xlpm.gA),1),ROUND(MAX(N($K63),N($L63))*1.25*1000/(_xlpm.v*IF(_xlpm.p=3,SQRT(3),1)),1))))))</f>
        <v/>
      </c>
      <c r="N63" s="163" t="str">
        <f t="shared" si="6"/>
        <v/>
      </c>
      <c r="O63" s="565"/>
      <c r="P63" s="163" t="str">
        <f t="shared" si="7"/>
        <v/>
      </c>
      <c r="Q63" s="163" t="str">
        <f t="shared" si="8"/>
        <v/>
      </c>
      <c r="R63" s="565"/>
      <c r="S63" s="163" t="str">
        <f t="shared" si="9"/>
        <v/>
      </c>
      <c r="T63" s="163" t="str">
        <f>IF($B63="","",IFERROR(_xlfn.XLOOKUP($B63,'Short Circuit'!$A$6:$A$255,'Short Circuit'!$Q$6:$Q$255,""),""))</f>
        <v/>
      </c>
      <c r="U63" s="347" t="str">
        <f t="shared" si="10"/>
        <v/>
      </c>
      <c r="V63" s="565"/>
    </row>
    <row r="64" spans="1:22" x14ac:dyDescent="0.45">
      <c r="B64" s="384"/>
      <c r="C64" s="384"/>
      <c r="D64" s="384"/>
      <c r="E64" s="384"/>
      <c r="F64" s="384"/>
      <c r="G64" s="384"/>
      <c r="H64" s="384"/>
      <c r="I64" s="384"/>
      <c r="J64" s="347" t="str">
        <f>IF($B64="","",IFERROR(_xlfn.XLOOKUP($B64,Dashboard!$A$101:$A$350,Dashboard!$C$101:$C$350,""),""))</f>
        <v/>
      </c>
      <c r="K64" s="347" t="str">
        <f>IF($B64="","",_xlfn.LET(_xlpm.bs,IF($V64&lt;&gt;"",$V64,Gen_SizeBasis),_xlpm.dem,IFERROR(N(_xlfn.XLOOKUP($I64,Equip_List,Equip_Demand,0)),0),_xlpm.amp,IFERROR(N(_xlfn.XLOOKUP($I64,Equip_List,Dashboard!$P$101:$P$350,0)),0),_xlpm.v,IFERROR(_xlfn.XLOOKUP($J64,Xfmr_VoltStr,Xfmr_BaseV),""),_xlpm.p,IFERROR(_xlfn.XLOOKUP($J64,Xfmr_VoltStr,Xfmr_Ph),3),_xlpm.rk,IF(OR(_xlpm.amp=0,N(_xlpm.v)=0),0,_xlpm.amp*_xlpm.v*IF(_xlpm.p=3,SQRT(3),1)/1000),IF(AND(LEFT(_xlpm.bs,3)="Equ",_xlpm.rk&gt;0),ROUND(_xlpm.rk,1),_xlpm.dem)))</f>
        <v/>
      </c>
      <c r="L64" s="347" t="str">
        <f t="shared" si="5"/>
        <v/>
      </c>
      <c r="M64" s="347" t="str">
        <f>IF($B64="","",_xlfn.LET(_xlpm.bs,IF($V64&lt;&gt;"",$V64,Gen_SizeBasis),_xlpm.v,IFERROR(_xlfn.XLOOKUP($J64,Xfmr_VoltStr,Xfmr_BaseV),""),_xlpm.p,IFERROR(_xlfn.XLOOKUP($J64,Xfmr_VoltStr,Xfmr_Ph),3),_xlpm.amp,IFERROR(N(_xlfn.XLOOKUP($I64,Equip_List,Dashboard!$P$101:$P$350,0)),0),IF(N(_xlpm.v)=0,"",_xlfn.LET(_xlpm.gA,N($L64)*1000/(_xlpm.v*IF(_xlpm.p=3,SQRT(3),1)),IF(AND(LEFT(_xlpm.bs,3)="Equ",_xlpm.amp&gt;0),ROUND(MAX(_xlpm.amp,1.25*_xlpm.gA),1),ROUND(MAX(N($K64),N($L64))*1.25*1000/(_xlpm.v*IF(_xlpm.p=3,SQRT(3),1)),1))))))</f>
        <v/>
      </c>
      <c r="N64" s="163" t="str">
        <f t="shared" si="6"/>
        <v/>
      </c>
      <c r="O64" s="565"/>
      <c r="P64" s="163" t="str">
        <f t="shared" si="7"/>
        <v/>
      </c>
      <c r="Q64" s="163" t="str">
        <f t="shared" si="8"/>
        <v/>
      </c>
      <c r="R64" s="565"/>
      <c r="S64" s="163" t="str">
        <f t="shared" si="9"/>
        <v/>
      </c>
      <c r="T64" s="163" t="str">
        <f>IF($B64="","",IFERROR(_xlfn.XLOOKUP($B64,'Short Circuit'!$A$6:$A$255,'Short Circuit'!$Q$6:$Q$255,""),""))</f>
        <v/>
      </c>
      <c r="U64" s="347" t="str">
        <f t="shared" si="10"/>
        <v/>
      </c>
      <c r="V64" s="565"/>
    </row>
    <row r="65" spans="1:22" x14ac:dyDescent="0.45">
      <c r="B65" s="384"/>
      <c r="C65" s="384"/>
      <c r="D65" s="384"/>
      <c r="E65" s="384"/>
      <c r="F65" s="384"/>
      <c r="G65" s="384"/>
      <c r="H65" s="384"/>
      <c r="I65" s="384"/>
      <c r="J65" s="347" t="str">
        <f>IF($B65="","",IFERROR(_xlfn.XLOOKUP($B65,Dashboard!$A$101:$A$350,Dashboard!$C$101:$C$350,""),""))</f>
        <v/>
      </c>
      <c r="K65" s="347" t="str">
        <f>IF($B65="","",_xlfn.LET(_xlpm.bs,IF($V65&lt;&gt;"",$V65,Gen_SizeBasis),_xlpm.dem,IFERROR(N(_xlfn.XLOOKUP($I65,Equip_List,Equip_Demand,0)),0),_xlpm.amp,IFERROR(N(_xlfn.XLOOKUP($I65,Equip_List,Dashboard!$P$101:$P$350,0)),0),_xlpm.v,IFERROR(_xlfn.XLOOKUP($J65,Xfmr_VoltStr,Xfmr_BaseV),""),_xlpm.p,IFERROR(_xlfn.XLOOKUP($J65,Xfmr_VoltStr,Xfmr_Ph),3),_xlpm.rk,IF(OR(_xlpm.amp=0,N(_xlpm.v)=0),0,_xlpm.amp*_xlpm.v*IF(_xlpm.p=3,SQRT(3),1)/1000),IF(AND(LEFT(_xlpm.bs,3)="Equ",_xlpm.rk&gt;0),ROUND(_xlpm.rk,1),_xlpm.dem)))</f>
        <v/>
      </c>
      <c r="L65" s="347" t="str">
        <f t="shared" si="5"/>
        <v/>
      </c>
      <c r="M65" s="347" t="str">
        <f>IF($B65="","",_xlfn.LET(_xlpm.bs,IF($V65&lt;&gt;"",$V65,Gen_SizeBasis),_xlpm.v,IFERROR(_xlfn.XLOOKUP($J65,Xfmr_VoltStr,Xfmr_BaseV),""),_xlpm.p,IFERROR(_xlfn.XLOOKUP($J65,Xfmr_VoltStr,Xfmr_Ph),3),_xlpm.amp,IFERROR(N(_xlfn.XLOOKUP($I65,Equip_List,Dashboard!$P$101:$P$350,0)),0),IF(N(_xlpm.v)=0,"",_xlfn.LET(_xlpm.gA,N($L65)*1000/(_xlpm.v*IF(_xlpm.p=3,SQRT(3),1)),IF(AND(LEFT(_xlpm.bs,3)="Equ",_xlpm.amp&gt;0),ROUND(MAX(_xlpm.amp,1.25*_xlpm.gA),1),ROUND(MAX(N($K65),N($L65))*1.25*1000/(_xlpm.v*IF(_xlpm.p=3,SQRT(3),1)),1))))))</f>
        <v/>
      </c>
      <c r="N65" s="163" t="str">
        <f t="shared" si="6"/>
        <v/>
      </c>
      <c r="O65" s="565"/>
      <c r="P65" s="163" t="str">
        <f t="shared" si="7"/>
        <v/>
      </c>
      <c r="Q65" s="163" t="str">
        <f t="shared" si="8"/>
        <v/>
      </c>
      <c r="R65" s="565"/>
      <c r="S65" s="163" t="str">
        <f t="shared" si="9"/>
        <v/>
      </c>
      <c r="T65" s="163" t="str">
        <f>IF($B65="","",IFERROR(_xlfn.XLOOKUP($B65,'Short Circuit'!$A$6:$A$255,'Short Circuit'!$Q$6:$Q$255,""),""))</f>
        <v/>
      </c>
      <c r="U65" s="347" t="str">
        <f t="shared" si="10"/>
        <v/>
      </c>
      <c r="V65" s="565"/>
    </row>
    <row r="66" spans="1:22" x14ac:dyDescent="0.45">
      <c r="B66" s="384"/>
      <c r="C66" s="384"/>
      <c r="D66" s="384"/>
      <c r="E66" s="384"/>
      <c r="F66" s="384"/>
      <c r="G66" s="384"/>
      <c r="H66" s="384"/>
      <c r="I66" s="384"/>
      <c r="J66" s="347" t="str">
        <f>IF($B66="","",IFERROR(_xlfn.XLOOKUP($B66,Dashboard!$A$101:$A$350,Dashboard!$C$101:$C$350,""),""))</f>
        <v/>
      </c>
      <c r="K66" s="347" t="str">
        <f>IF($B66="","",_xlfn.LET(_xlpm.bs,IF($V66&lt;&gt;"",$V66,Gen_SizeBasis),_xlpm.dem,IFERROR(N(_xlfn.XLOOKUP($I66,Equip_List,Equip_Demand,0)),0),_xlpm.amp,IFERROR(N(_xlfn.XLOOKUP($I66,Equip_List,Dashboard!$P$101:$P$350,0)),0),_xlpm.v,IFERROR(_xlfn.XLOOKUP($J66,Xfmr_VoltStr,Xfmr_BaseV),""),_xlpm.p,IFERROR(_xlfn.XLOOKUP($J66,Xfmr_VoltStr,Xfmr_Ph),3),_xlpm.rk,IF(OR(_xlpm.amp=0,N(_xlpm.v)=0),0,_xlpm.amp*_xlpm.v*IF(_xlpm.p=3,SQRT(3),1)/1000),IF(AND(LEFT(_xlpm.bs,3)="Equ",_xlpm.rk&gt;0),ROUND(_xlpm.rk,1),_xlpm.dem)))</f>
        <v/>
      </c>
      <c r="L66" s="347" t="str">
        <f t="shared" si="5"/>
        <v/>
      </c>
      <c r="M66" s="347" t="str">
        <f>IF($B66="","",_xlfn.LET(_xlpm.bs,IF($V66&lt;&gt;"",$V66,Gen_SizeBasis),_xlpm.v,IFERROR(_xlfn.XLOOKUP($J66,Xfmr_VoltStr,Xfmr_BaseV),""),_xlpm.p,IFERROR(_xlfn.XLOOKUP($J66,Xfmr_VoltStr,Xfmr_Ph),3),_xlpm.amp,IFERROR(N(_xlfn.XLOOKUP($I66,Equip_List,Dashboard!$P$101:$P$350,0)),0),IF(N(_xlpm.v)=0,"",_xlfn.LET(_xlpm.gA,N($L66)*1000/(_xlpm.v*IF(_xlpm.p=3,SQRT(3),1)),IF(AND(LEFT(_xlpm.bs,3)="Equ",_xlpm.amp&gt;0),ROUND(MAX(_xlpm.amp,1.25*_xlpm.gA),1),ROUND(MAX(N($K66),N($L66))*1.25*1000/(_xlpm.v*IF(_xlpm.p=3,SQRT(3),1)),1))))))</f>
        <v/>
      </c>
      <c r="N66" s="163" t="str">
        <f t="shared" si="6"/>
        <v/>
      </c>
      <c r="O66" s="565"/>
      <c r="P66" s="163" t="str">
        <f t="shared" si="7"/>
        <v/>
      </c>
      <c r="Q66" s="163" t="str">
        <f t="shared" si="8"/>
        <v/>
      </c>
      <c r="R66" s="565"/>
      <c r="S66" s="163" t="str">
        <f t="shared" si="9"/>
        <v/>
      </c>
      <c r="T66" s="163" t="str">
        <f>IF($B66="","",IFERROR(_xlfn.XLOOKUP($B66,'Short Circuit'!$A$6:$A$255,'Short Circuit'!$Q$6:$Q$255,""),""))</f>
        <v/>
      </c>
      <c r="U66" s="347" t="str">
        <f t="shared" si="10"/>
        <v/>
      </c>
      <c r="V66" s="565"/>
    </row>
    <row r="67" spans="1:22" x14ac:dyDescent="0.45">
      <c r="B67" s="384"/>
      <c r="C67" s="384"/>
      <c r="D67" s="384"/>
      <c r="E67" s="384"/>
      <c r="F67" s="384"/>
      <c r="G67" s="384"/>
      <c r="H67" s="384"/>
      <c r="I67" s="384"/>
      <c r="J67" s="347" t="str">
        <f>IF($B67="","",IFERROR(_xlfn.XLOOKUP($B67,Dashboard!$A$101:$A$350,Dashboard!$C$101:$C$350,""),""))</f>
        <v/>
      </c>
      <c r="K67" s="347" t="str">
        <f>IF($B67="","",_xlfn.LET(_xlpm.bs,IF($V67&lt;&gt;"",$V67,Gen_SizeBasis),_xlpm.dem,IFERROR(N(_xlfn.XLOOKUP($I67,Equip_List,Equip_Demand,0)),0),_xlpm.amp,IFERROR(N(_xlfn.XLOOKUP($I67,Equip_List,Dashboard!$P$101:$P$350,0)),0),_xlpm.v,IFERROR(_xlfn.XLOOKUP($J67,Xfmr_VoltStr,Xfmr_BaseV),""),_xlpm.p,IFERROR(_xlfn.XLOOKUP($J67,Xfmr_VoltStr,Xfmr_Ph),3),_xlpm.rk,IF(OR(_xlpm.amp=0,N(_xlpm.v)=0),0,_xlpm.amp*_xlpm.v*IF(_xlpm.p=3,SQRT(3),1)/1000),IF(AND(LEFT(_xlpm.bs,3)="Equ",_xlpm.rk&gt;0),ROUND(_xlpm.rk,1),_xlpm.dem)))</f>
        <v/>
      </c>
      <c r="L67" s="347" t="str">
        <f t="shared" si="5"/>
        <v/>
      </c>
      <c r="M67" s="347" t="str">
        <f>IF($B67="","",_xlfn.LET(_xlpm.bs,IF($V67&lt;&gt;"",$V67,Gen_SizeBasis),_xlpm.v,IFERROR(_xlfn.XLOOKUP($J67,Xfmr_VoltStr,Xfmr_BaseV),""),_xlpm.p,IFERROR(_xlfn.XLOOKUP($J67,Xfmr_VoltStr,Xfmr_Ph),3),_xlpm.amp,IFERROR(N(_xlfn.XLOOKUP($I67,Equip_List,Dashboard!$P$101:$P$350,0)),0),IF(N(_xlpm.v)=0,"",_xlfn.LET(_xlpm.gA,N($L67)*1000/(_xlpm.v*IF(_xlpm.p=3,SQRT(3),1)),IF(AND(LEFT(_xlpm.bs,3)="Equ",_xlpm.amp&gt;0),ROUND(MAX(_xlpm.amp,1.25*_xlpm.gA),1),ROUND(MAX(N($K67),N($L67))*1.25*1000/(_xlpm.v*IF(_xlpm.p=3,SQRT(3),1)),1))))))</f>
        <v/>
      </c>
      <c r="N67" s="163" t="str">
        <f t="shared" si="6"/>
        <v/>
      </c>
      <c r="O67" s="565"/>
      <c r="P67" s="163" t="str">
        <f t="shared" si="7"/>
        <v/>
      </c>
      <c r="Q67" s="163" t="str">
        <f t="shared" si="8"/>
        <v/>
      </c>
      <c r="R67" s="565"/>
      <c r="S67" s="163" t="str">
        <f t="shared" si="9"/>
        <v/>
      </c>
      <c r="T67" s="163" t="str">
        <f>IF($B67="","",IFERROR(_xlfn.XLOOKUP($B67,'Short Circuit'!$A$6:$A$255,'Short Circuit'!$Q$6:$Q$255,""),""))</f>
        <v/>
      </c>
      <c r="U67" s="347" t="str">
        <f t="shared" si="10"/>
        <v/>
      </c>
      <c r="V67" s="565"/>
    </row>
    <row r="68" spans="1:22" x14ac:dyDescent="0.45">
      <c r="B68" s="384"/>
      <c r="C68" s="384"/>
      <c r="D68" s="384"/>
      <c r="E68" s="384"/>
      <c r="F68" s="384"/>
      <c r="G68" s="384"/>
      <c r="H68" s="384"/>
      <c r="I68" s="384"/>
      <c r="J68" s="347" t="str">
        <f>IF($B68="","",IFERROR(_xlfn.XLOOKUP($B68,Dashboard!$A$101:$A$350,Dashboard!$C$101:$C$350,""),""))</f>
        <v/>
      </c>
      <c r="K68" s="347" t="str">
        <f>IF($B68="","",_xlfn.LET(_xlpm.bs,IF($V68&lt;&gt;"",$V68,Gen_SizeBasis),_xlpm.dem,IFERROR(N(_xlfn.XLOOKUP($I68,Equip_List,Equip_Demand,0)),0),_xlpm.amp,IFERROR(N(_xlfn.XLOOKUP($I68,Equip_List,Dashboard!$P$101:$P$350,0)),0),_xlpm.v,IFERROR(_xlfn.XLOOKUP($J68,Xfmr_VoltStr,Xfmr_BaseV),""),_xlpm.p,IFERROR(_xlfn.XLOOKUP($J68,Xfmr_VoltStr,Xfmr_Ph),3),_xlpm.rk,IF(OR(_xlpm.amp=0,N(_xlpm.v)=0),0,_xlpm.amp*_xlpm.v*IF(_xlpm.p=3,SQRT(3),1)/1000),IF(AND(LEFT(_xlpm.bs,3)="Equ",_xlpm.rk&gt;0),ROUND(_xlpm.rk,1),_xlpm.dem)))</f>
        <v/>
      </c>
      <c r="L68" s="347" t="str">
        <f t="shared" si="5"/>
        <v/>
      </c>
      <c r="M68" s="347" t="str">
        <f>IF($B68="","",_xlfn.LET(_xlpm.bs,IF($V68&lt;&gt;"",$V68,Gen_SizeBasis),_xlpm.v,IFERROR(_xlfn.XLOOKUP($J68,Xfmr_VoltStr,Xfmr_BaseV),""),_xlpm.p,IFERROR(_xlfn.XLOOKUP($J68,Xfmr_VoltStr,Xfmr_Ph),3),_xlpm.amp,IFERROR(N(_xlfn.XLOOKUP($I68,Equip_List,Dashboard!$P$101:$P$350,0)),0),IF(N(_xlpm.v)=0,"",_xlfn.LET(_xlpm.gA,N($L68)*1000/(_xlpm.v*IF(_xlpm.p=3,SQRT(3),1)),IF(AND(LEFT(_xlpm.bs,3)="Equ",_xlpm.amp&gt;0),ROUND(MAX(_xlpm.amp,1.25*_xlpm.gA),1),ROUND(MAX(N($K68),N($L68))*1.25*1000/(_xlpm.v*IF(_xlpm.p=3,SQRT(3),1)),1))))))</f>
        <v/>
      </c>
      <c r="N68" s="163" t="str">
        <f t="shared" si="6"/>
        <v/>
      </c>
      <c r="O68" s="565"/>
      <c r="P68" s="163" t="str">
        <f t="shared" si="7"/>
        <v/>
      </c>
      <c r="Q68" s="163" t="str">
        <f t="shared" si="8"/>
        <v/>
      </c>
      <c r="R68" s="565"/>
      <c r="S68" s="163" t="str">
        <f t="shared" si="9"/>
        <v/>
      </c>
      <c r="T68" s="163" t="str">
        <f>IF($B68="","",IFERROR(_xlfn.XLOOKUP($B68,'Short Circuit'!$A$6:$A$255,'Short Circuit'!$Q$6:$Q$255,""),""))</f>
        <v/>
      </c>
      <c r="U68" s="347" t="str">
        <f t="shared" si="10"/>
        <v/>
      </c>
      <c r="V68" s="565"/>
    </row>
    <row r="69" spans="1:22" x14ac:dyDescent="0.45">
      <c r="B69" s="384"/>
      <c r="C69" s="384"/>
      <c r="D69" s="384"/>
      <c r="E69" s="384"/>
      <c r="F69" s="384"/>
      <c r="G69" s="384"/>
      <c r="H69" s="384"/>
      <c r="I69" s="384"/>
      <c r="J69" s="347" t="str">
        <f>IF($B69="","",IFERROR(_xlfn.XLOOKUP($B69,Dashboard!$A$101:$A$350,Dashboard!$C$101:$C$350,""),""))</f>
        <v/>
      </c>
      <c r="K69" s="347" t="str">
        <f>IF($B69="","",_xlfn.LET(_xlpm.bs,IF($V69&lt;&gt;"",$V69,Gen_SizeBasis),_xlpm.dem,IFERROR(N(_xlfn.XLOOKUP($I69,Equip_List,Equip_Demand,0)),0),_xlpm.amp,IFERROR(N(_xlfn.XLOOKUP($I69,Equip_List,Dashboard!$P$101:$P$350,0)),0),_xlpm.v,IFERROR(_xlfn.XLOOKUP($J69,Xfmr_VoltStr,Xfmr_BaseV),""),_xlpm.p,IFERROR(_xlfn.XLOOKUP($J69,Xfmr_VoltStr,Xfmr_Ph),3),_xlpm.rk,IF(OR(_xlpm.amp=0,N(_xlpm.v)=0),0,_xlpm.amp*_xlpm.v*IF(_xlpm.p=3,SQRT(3),1)/1000),IF(AND(LEFT(_xlpm.bs,3)="Equ",_xlpm.rk&gt;0),ROUND(_xlpm.rk,1),_xlpm.dem)))</f>
        <v/>
      </c>
      <c r="L69" s="347" t="str">
        <f t="shared" si="5"/>
        <v/>
      </c>
      <c r="M69" s="347" t="str">
        <f>IF($B69="","",_xlfn.LET(_xlpm.bs,IF($V69&lt;&gt;"",$V69,Gen_SizeBasis),_xlpm.v,IFERROR(_xlfn.XLOOKUP($J69,Xfmr_VoltStr,Xfmr_BaseV),""),_xlpm.p,IFERROR(_xlfn.XLOOKUP($J69,Xfmr_VoltStr,Xfmr_Ph),3),_xlpm.amp,IFERROR(N(_xlfn.XLOOKUP($I69,Equip_List,Dashboard!$P$101:$P$350,0)),0),IF(N(_xlpm.v)=0,"",_xlfn.LET(_xlpm.gA,N($L69)*1000/(_xlpm.v*IF(_xlpm.p=3,SQRT(3),1)),IF(AND(LEFT(_xlpm.bs,3)="Equ",_xlpm.amp&gt;0),ROUND(MAX(_xlpm.amp,1.25*_xlpm.gA),1),ROUND(MAX(N($K69),N($L69))*1.25*1000/(_xlpm.v*IF(_xlpm.p=3,SQRT(3),1)),1))))))</f>
        <v/>
      </c>
      <c r="N69" s="163" t="str">
        <f t="shared" si="6"/>
        <v/>
      </c>
      <c r="O69" s="565"/>
      <c r="P69" s="163" t="str">
        <f t="shared" si="7"/>
        <v/>
      </c>
      <c r="Q69" s="163" t="str">
        <f t="shared" si="8"/>
        <v/>
      </c>
      <c r="R69" s="565"/>
      <c r="S69" s="163" t="str">
        <f t="shared" si="9"/>
        <v/>
      </c>
      <c r="T69" s="163" t="str">
        <f>IF($B69="","",IFERROR(_xlfn.XLOOKUP($B69,'Short Circuit'!$A$6:$A$255,'Short Circuit'!$Q$6:$Q$255,""),""))</f>
        <v/>
      </c>
      <c r="U69" s="347" t="str">
        <f t="shared" si="10"/>
        <v/>
      </c>
      <c r="V69" s="565"/>
    </row>
    <row r="71" spans="1:22" x14ac:dyDescent="0.45">
      <c r="A71" s="554" t="s">
        <v>2138</v>
      </c>
    </row>
  </sheetData>
  <sheetProtection sheet="1" objects="1" scenarios="1"/>
  <mergeCells count="17">
    <mergeCell ref="A1:V1"/>
    <mergeCell ref="A4:V4"/>
    <mergeCell ref="A8:V8"/>
    <mergeCell ref="A25:V25"/>
    <mergeCell ref="A38:V38"/>
    <mergeCell ref="A51:V51"/>
    <mergeCell ref="A60:V60"/>
    <mergeCell ref="C2:E2"/>
    <mergeCell ref="H2:I2"/>
    <mergeCell ref="B42:C42"/>
    <mergeCell ref="B41:C41"/>
    <mergeCell ref="B40:C40"/>
    <mergeCell ref="A48:K48"/>
    <mergeCell ref="B46:C46"/>
    <mergeCell ref="B45:C45"/>
    <mergeCell ref="B44:C44"/>
    <mergeCell ref="B43:C43"/>
  </mergeCells>
  <dataValidations count="19">
    <dataValidation type="list" allowBlank="1" showInputMessage="1" showErrorMessage="1" sqref="C27:C36" xr:uid="{A71195FD-0830-44DC-827C-15079E8A18B5}">
      <formula1>"Emergency (700),Legally Required (701),Optional Standby (702)"</formula1>
    </dataValidation>
    <dataValidation type="list" allowBlank="1" showInputMessage="1" showErrorMessage="1" sqref="I27:I36" xr:uid="{C8B6CF0E-04A6-440C-9EAE-045C3C1562C9}">
      <formula1>"Across-the-Line,Soft Start,VFD,None"</formula1>
    </dataValidation>
    <dataValidation type="list" allowBlank="1" showInputMessage="1" showErrorMessage="1" sqref="L27:L36" xr:uid="{B5522060-AE78-4E7D-B3BB-EB9500888EF1}">
      <formula1>$B$53:$B$58</formula1>
    </dataValidation>
    <dataValidation type="custom" allowBlank="1" showInputMessage="1" showErrorMessage="1" errorTitle="Duplicate unit tag" error="Each generator unit tag must be unique." sqref="B53:B58" xr:uid="{C888C400-3569-4BF2-B4C4-1AB00CF60408}">
      <formula1>COUNTIF($B$53:$B$58,B53)&lt;=1</formula1>
    </dataValidation>
    <dataValidation type="decimal" allowBlank="1" showInputMessage="1" showErrorMessage="1" errorTitle="Out of range" error="Rated power factor must be between 0.50 and 1.00." sqref="E53:E58" xr:uid="{141A7143-4BFB-4E64-B865-29695DC189E0}">
      <formula1>0.5</formula1>
      <formula2>1</formula2>
    </dataValidation>
    <dataValidation type="decimal" allowBlank="1" showInputMessage="1" showErrorMessage="1" errorTitle="Out of range" error="Design margin must be between 1.0 and 3.0." sqref="F53:F58" xr:uid="{097D86D0-A3CE-4EB8-8E03-CF611098AA5E}">
      <formula1>1</formula1>
      <formula2>3</formula2>
    </dataValidation>
    <dataValidation type="decimal" allowBlank="1" showInputMessage="1" showErrorMessage="1" errorTitle="Out of range" error="Assumed load power factor must be between 0.50 and 1.00." sqref="G53:G58" xr:uid="{C73DA12A-0A5F-4423-97ED-5023E268C7F1}">
      <formula1>0.5</formula1>
      <formula2>1</formula2>
    </dataValidation>
    <dataValidation type="list" allowBlank="1" showInputMessage="1" showErrorMessage="1" errorTitle="Invalid entry" error="Choose Y or N. Only one unit should absorb untagged loads." sqref="T53:T58" xr:uid="{F7E26E38-8828-49C0-AE91-CA01191D4C24}">
      <formula1>"Y,N"</formula1>
    </dataValidation>
    <dataValidation type="list" allowBlank="1" showInputMessage="1" showErrorMessage="1" errorTitle="Invalid entry" error="Must match a known start method — this drives the starting-kVA multiplier." sqref="H37" xr:uid="{47EE5162-2EC8-474E-BDBD-CA577289C29F}">
      <formula1>"Across-the-Line,Soft Start,VFD,None"</formula1>
    </dataValidation>
    <dataValidation type="list" allowBlank="1" showInputMessage="1" showErrorMessage="1" errorTitle="Unknown bank name" error="Pick a bank from the list, or leave blank for a standalone unit. Free-typed names silently split a parallel bank and oversize the plant. Add new bank names in column V." sqref="D53:D58" xr:uid="{DDF2A3B7-1319-4A49-9169-D313F1D2D22C}">
      <formula1>$V$53:$V$58</formula1>
    </dataValidation>
    <dataValidation type="custom" errorStyle="warning" allowBlank="1" showInputMessage="1" showErrorMessage="1" errorTitle="Long description" error="Over 60 characters may clip on printed schedules. Continue anyway?" sqref="C53:C58" xr:uid="{EEFD331F-3B02-4C9A-A7F0-0AA99F0488F4}">
      <formula1>LEN(C53)&lt;=60</formula1>
    </dataValidation>
    <dataValidation type="list" allowBlank="1" showInputMessage="1" showErrorMessage="1" errorTitle="Invalid entry" error="Choose Y to include this section, N to exclude it." sqref="D10:D21" xr:uid="{B3D7CFAF-365F-46BC-B248-6BBE3A3ECF65}">
      <formula1>"Y,N"</formula1>
    </dataValidation>
    <dataValidation type="list" allowBlank="1" showInputMessage="1" showErrorMessage="1" sqref="C62:C69" xr:uid="{EBD01803-5072-4D1C-B17A-036F18879D95}">
      <formula1>"ATS,MTS"</formula1>
    </dataValidation>
    <dataValidation type="list" allowBlank="1" showInputMessage="1" showErrorMessage="1" sqref="D62:D69" xr:uid="{72D62196-2EC9-4F44-93B1-F4C4B60FC91E}">
      <formula1>"2,3,4"</formula1>
    </dataValidation>
    <dataValidation type="list" allowBlank="1" showInputMessage="1" showErrorMessage="1" sqref="E62:E69" xr:uid="{78ECF1B9-AB6D-47CC-9FE4-692F60A676E2}">
      <formula1>"Yes,No"</formula1>
    </dataValidation>
    <dataValidation type="list" allowBlank="1" showInputMessage="1" showErrorMessage="1" sqref="F62:F69" xr:uid="{DB85EA06-0DC0-4F62-9B91-5444817DEFF4}">
      <formula1>"Whole service,Branch"</formula1>
    </dataValidation>
    <dataValidation type="list" allowBlank="1" showInputMessage="1" showErrorMessage="1" sqref="O62:O69" xr:uid="{B344B1BC-4998-440E-8767-1DE42EB7D22A}">
      <formula1>ATS_List</formula1>
    </dataValidation>
    <dataValidation type="list" allowBlank="1" showInputMessage="1" showErrorMessage="1" sqref="R62:R69" xr:uid="{19DF0BC9-39CE-4B6E-B633-122E711E8F37}">
      <formula1>"10000,14000,18000,22000,25000,30000,35000,42000,50000,65000,85000,100000,125000,150000,200000"</formula1>
    </dataValidation>
    <dataValidation type="list" allowBlank="1" showInputMessage="1" showErrorMessage="1" sqref="L6 V62:V69" xr:uid="{74792D28-1AA7-444B-A558-77C17CF3814E}">
      <formula1>"Calculated Demand,Equipment Rating"</formula1>
    </dataValidation>
  </dataValidations>
  <pageMargins left="0.7" right="0.7" top="0.75" bottom="0.75" header="0.3" footer="0.3"/>
  <pageSetup scale="26"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A53A-3EEF-4C54-8639-A4A3BF2177D8}">
  <sheetPr codeName="Sheet16">
    <tabColor rgb="FF4DAB51"/>
    <pageSetUpPr fitToPage="1"/>
  </sheetPr>
  <dimension ref="A1:Y66"/>
  <sheetViews>
    <sheetView showGridLines="0" showRowColHeaders="0" workbookViewId="0">
      <pane ySplit="2" topLeftCell="A45" activePane="bottomLeft" state="frozen"/>
      <selection pane="bottomLeft" activeCell="E57" sqref="E57"/>
    </sheetView>
  </sheetViews>
  <sheetFormatPr defaultColWidth="9.1796875" defaultRowHeight="16.5" x14ac:dyDescent="0.45"/>
  <cols>
    <col min="1" max="1" width="4.54296875" style="8" customWidth="1"/>
    <col min="2" max="2" width="45.7265625" style="8" customWidth="1"/>
    <col min="3" max="12" width="15.7265625" style="8" customWidth="1"/>
    <col min="13" max="13" width="25.7265625" style="8" customWidth="1"/>
    <col min="14" max="14" width="15.7265625" style="8" customWidth="1"/>
    <col min="15" max="24" width="9.1796875" style="8"/>
    <col min="25" max="25" width="36.1796875" style="8" customWidth="1"/>
    <col min="26" max="16384" width="9.1796875" style="8"/>
  </cols>
  <sheetData>
    <row r="1" spans="1:14" ht="30" customHeight="1" x14ac:dyDescent="0.45">
      <c r="A1" s="668" t="s">
        <v>344</v>
      </c>
      <c r="B1" s="668"/>
      <c r="C1" s="668"/>
      <c r="D1" s="668"/>
      <c r="E1" s="668"/>
      <c r="F1" s="668"/>
      <c r="G1" s="668"/>
      <c r="H1" s="668"/>
      <c r="I1" s="668"/>
      <c r="J1" s="668"/>
      <c r="K1" s="668"/>
      <c r="L1" s="668"/>
      <c r="M1" s="668"/>
      <c r="N1" s="668"/>
    </row>
    <row r="2" spans="1:14" s="49" customFormat="1" ht="15" customHeight="1" x14ac:dyDescent="0.35">
      <c r="A2" s="32"/>
      <c r="B2" s="23" t="s">
        <v>254</v>
      </c>
      <c r="C2" s="680" t="str">
        <f>IF(Dashboard!B7="","—",Dashboard!B7)</f>
        <v>—</v>
      </c>
      <c r="D2" s="680"/>
      <c r="E2" s="680"/>
      <c r="F2" s="32"/>
      <c r="G2" s="23" t="s">
        <v>255</v>
      </c>
      <c r="H2" s="681" t="str">
        <f>IF(Dashboard!$C$38="","",Dashboard!$C$38)</f>
        <v/>
      </c>
      <c r="I2" s="681"/>
      <c r="J2" s="32"/>
      <c r="K2" s="32"/>
    </row>
    <row r="3" spans="1:14" s="20" customFormat="1" ht="15" customHeight="1" x14ac:dyDescent="0.35">
      <c r="A3" s="10"/>
      <c r="B3" s="10"/>
      <c r="C3" s="10"/>
      <c r="D3" s="10"/>
      <c r="E3" s="10"/>
      <c r="F3" s="10"/>
      <c r="G3" s="10"/>
      <c r="H3" s="10"/>
      <c r="I3" s="10"/>
      <c r="J3" s="10"/>
      <c r="K3" s="10"/>
    </row>
    <row r="4" spans="1:14" ht="30" customHeight="1" x14ac:dyDescent="0.45">
      <c r="A4" s="612" t="s">
        <v>309</v>
      </c>
      <c r="B4" s="612"/>
      <c r="C4" s="612"/>
      <c r="D4" s="612"/>
      <c r="E4" s="612"/>
      <c r="F4" s="612"/>
      <c r="G4" s="612"/>
      <c r="H4" s="612"/>
      <c r="I4" s="612"/>
      <c r="J4" s="612"/>
      <c r="K4" s="612"/>
      <c r="L4" s="612"/>
      <c r="M4" s="612"/>
      <c r="N4" s="612"/>
    </row>
    <row r="5" spans="1:14" s="20" customFormat="1" ht="15" customHeight="1" x14ac:dyDescent="0.35">
      <c r="A5" s="44"/>
      <c r="B5" s="44"/>
      <c r="C5" s="44"/>
      <c r="D5" s="44"/>
      <c r="E5" s="44"/>
      <c r="F5" s="44"/>
      <c r="G5" s="44"/>
      <c r="H5" s="44"/>
      <c r="I5" s="44"/>
      <c r="J5" s="44"/>
      <c r="K5" s="44"/>
    </row>
    <row r="6" spans="1:14" s="20" customFormat="1" ht="15" customHeight="1" x14ac:dyDescent="0.35">
      <c r="A6" s="10"/>
      <c r="B6" s="249" t="s">
        <v>345</v>
      </c>
      <c r="C6" s="143">
        <v>0.9</v>
      </c>
      <c r="D6" s="10"/>
      <c r="E6" s="249" t="s">
        <v>327</v>
      </c>
      <c r="F6" s="143">
        <v>1.25</v>
      </c>
      <c r="G6" s="249" t="s">
        <v>346</v>
      </c>
      <c r="H6" s="134" t="s">
        <v>347</v>
      </c>
      <c r="J6" s="249" t="s">
        <v>348</v>
      </c>
      <c r="K6" s="134">
        <v>10</v>
      </c>
      <c r="M6" s="249" t="s">
        <v>1943</v>
      </c>
      <c r="N6" s="147">
        <v>65000</v>
      </c>
    </row>
    <row r="7" spans="1:14" s="20" customFormat="1" ht="15" customHeight="1" x14ac:dyDescent="0.35">
      <c r="A7" s="10"/>
      <c r="B7" s="10"/>
      <c r="C7" s="10"/>
      <c r="D7" s="10"/>
      <c r="E7" s="10"/>
      <c r="F7" s="10"/>
      <c r="G7" s="10"/>
      <c r="H7" s="10"/>
      <c r="I7" s="10"/>
      <c r="J7" s="10"/>
      <c r="K7" s="10"/>
    </row>
    <row r="8" spans="1:14" ht="30" customHeight="1" x14ac:dyDescent="0.45">
      <c r="A8" s="612" t="s">
        <v>349</v>
      </c>
      <c r="B8" s="612"/>
      <c r="C8" s="612"/>
      <c r="D8" s="612"/>
      <c r="E8" s="612"/>
      <c r="F8" s="612"/>
      <c r="G8" s="612"/>
      <c r="H8" s="612"/>
      <c r="I8" s="612"/>
      <c r="J8" s="612"/>
      <c r="K8" s="612"/>
      <c r="L8" s="612"/>
      <c r="M8" s="612"/>
      <c r="N8" s="612"/>
    </row>
    <row r="9" spans="1:14" ht="30" customHeight="1" x14ac:dyDescent="0.45">
      <c r="A9" s="9"/>
      <c r="B9" s="259" t="s">
        <v>289</v>
      </c>
      <c r="C9" s="24" t="s">
        <v>265</v>
      </c>
      <c r="D9" s="24" t="s">
        <v>330</v>
      </c>
      <c r="E9" s="9"/>
      <c r="G9" s="9"/>
      <c r="H9" s="9"/>
      <c r="I9" s="9"/>
      <c r="J9" s="9"/>
      <c r="K9" s="9"/>
    </row>
    <row r="10" spans="1:14" s="20" customFormat="1" ht="15" customHeight="1" x14ac:dyDescent="0.35">
      <c r="A10" s="10"/>
      <c r="B10" s="249" t="s">
        <v>1781</v>
      </c>
      <c r="C10" s="40" cm="1">
        <f t="array" ref="C10">INDEX(LC_UPSByCategory,ROW()-ROW($B$9))</f>
        <v>0</v>
      </c>
      <c r="D10" s="134" t="s">
        <v>308</v>
      </c>
      <c r="E10" s="10"/>
      <c r="G10" s="10"/>
      <c r="H10" s="10"/>
      <c r="I10" s="10"/>
      <c r="J10" s="10"/>
      <c r="K10" s="10"/>
    </row>
    <row r="11" spans="1:14" s="20" customFormat="1" ht="15" customHeight="1" x14ac:dyDescent="0.35">
      <c r="A11" s="10"/>
      <c r="B11" s="249" t="s">
        <v>1773</v>
      </c>
      <c r="C11" s="40" cm="1">
        <f t="array" ref="C11">INDEX(LC_UPSByCategory,ROW()-ROW($B$9))</f>
        <v>0</v>
      </c>
      <c r="D11" s="134" t="s">
        <v>308</v>
      </c>
      <c r="E11" s="10"/>
      <c r="G11" s="10"/>
      <c r="H11" s="10"/>
      <c r="I11" s="10"/>
      <c r="J11" s="10"/>
      <c r="K11" s="10"/>
    </row>
    <row r="12" spans="1:14" s="20" customFormat="1" ht="15" customHeight="1" x14ac:dyDescent="0.35">
      <c r="A12" s="10"/>
      <c r="B12" s="249" t="s">
        <v>1774</v>
      </c>
      <c r="C12" s="40" cm="1">
        <f t="array" ref="C12">INDEX(LC_UPSByCategory,ROW()-ROW($B$9))</f>
        <v>0</v>
      </c>
      <c r="D12" s="134" t="s">
        <v>308</v>
      </c>
      <c r="E12" s="10"/>
      <c r="G12" s="10"/>
      <c r="H12" s="10"/>
      <c r="I12" s="10"/>
      <c r="J12" s="10"/>
      <c r="K12" s="10"/>
    </row>
    <row r="13" spans="1:14" s="20" customFormat="1" ht="15" hidden="1" customHeight="1" x14ac:dyDescent="0.35">
      <c r="A13" s="10"/>
      <c r="B13" s="249" t="s">
        <v>1775</v>
      </c>
      <c r="C13" s="40" cm="1">
        <f t="array" ref="C13">INDEX(LC_UPSByCategory,ROW()-ROW($B$9))</f>
        <v>0</v>
      </c>
      <c r="D13" s="134" t="s">
        <v>308</v>
      </c>
      <c r="E13" s="10"/>
      <c r="G13" s="10"/>
      <c r="H13" s="10"/>
      <c r="I13" s="10"/>
      <c r="J13" s="10"/>
      <c r="K13" s="10"/>
    </row>
    <row r="14" spans="1:14" s="20" customFormat="1" ht="15" customHeight="1" x14ac:dyDescent="0.35">
      <c r="A14" s="10"/>
      <c r="B14" s="249" t="s">
        <v>533</v>
      </c>
      <c r="C14" s="40" cm="1">
        <f t="array" ref="C14">INDEX(LC_UPSByCategory,ROW()-ROW($B$9))</f>
        <v>0</v>
      </c>
      <c r="D14" s="134" t="s">
        <v>308</v>
      </c>
      <c r="E14" s="10"/>
      <c r="G14" s="10"/>
      <c r="H14" s="10"/>
      <c r="I14" s="10"/>
      <c r="J14" s="10"/>
      <c r="K14" s="10"/>
    </row>
    <row r="15" spans="1:14" s="20" customFormat="1" ht="15" customHeight="1" x14ac:dyDescent="0.35">
      <c r="A15" s="10"/>
      <c r="B15" s="249" t="s">
        <v>1776</v>
      </c>
      <c r="C15" s="40" cm="1">
        <f t="array" ref="C15">INDEX(LC_UPSByCategory,ROW()-ROW($B$9))</f>
        <v>0</v>
      </c>
      <c r="D15" s="134" t="s">
        <v>308</v>
      </c>
      <c r="E15" s="10"/>
      <c r="G15" s="10"/>
      <c r="H15" s="10"/>
      <c r="I15" s="10"/>
      <c r="J15" s="10"/>
      <c r="K15" s="10"/>
    </row>
    <row r="16" spans="1:14" s="20" customFormat="1" ht="15" hidden="1" customHeight="1" x14ac:dyDescent="0.35">
      <c r="A16" s="10"/>
      <c r="B16" s="249" t="s">
        <v>1777</v>
      </c>
      <c r="C16" s="40" cm="1">
        <f t="array" ref="C16">INDEX(LC_UPSByCategory,ROW()-ROW($B$9))</f>
        <v>0</v>
      </c>
      <c r="D16" s="134" t="s">
        <v>308</v>
      </c>
      <c r="E16" s="10"/>
      <c r="G16" s="10"/>
      <c r="H16" s="10"/>
      <c r="I16" s="10"/>
      <c r="J16" s="10"/>
      <c r="K16" s="10"/>
    </row>
    <row r="17" spans="1:14" s="20" customFormat="1" ht="15" hidden="1" customHeight="1" x14ac:dyDescent="0.35">
      <c r="A17" s="10"/>
      <c r="B17" s="249" t="s">
        <v>1778</v>
      </c>
      <c r="C17" s="40" cm="1">
        <f t="array" ref="C17">INDEX(LC_UPSByCategory,ROW()-ROW($B$9))</f>
        <v>0</v>
      </c>
      <c r="D17" s="134" t="s">
        <v>308</v>
      </c>
      <c r="E17" s="10"/>
      <c r="G17" s="10"/>
      <c r="H17" s="10"/>
      <c r="I17" s="10"/>
      <c r="J17" s="10"/>
      <c r="K17" s="10"/>
    </row>
    <row r="18" spans="1:14" s="20" customFormat="1" ht="15" hidden="1" customHeight="1" x14ac:dyDescent="0.35">
      <c r="A18" s="10"/>
      <c r="B18" s="249" t="s">
        <v>1779</v>
      </c>
      <c r="C18" s="40" cm="1">
        <f t="array" ref="C18">INDEX(LC_UPSByCategory,ROW()-ROW($B$9))</f>
        <v>0</v>
      </c>
      <c r="D18" s="134" t="s">
        <v>308</v>
      </c>
      <c r="E18" s="10"/>
      <c r="G18" s="10"/>
      <c r="H18" s="10"/>
      <c r="I18" s="10"/>
      <c r="J18" s="10"/>
      <c r="K18" s="10"/>
    </row>
    <row r="19" spans="1:14" s="20" customFormat="1" ht="15" customHeight="1" x14ac:dyDescent="0.35">
      <c r="A19" s="10"/>
      <c r="B19" s="249" t="s">
        <v>1780</v>
      </c>
      <c r="C19" s="40" cm="1">
        <f t="array" ref="C19">INDEX(LC_UPSByCategory,ROW()-ROW($B$9))</f>
        <v>0</v>
      </c>
      <c r="D19" s="134" t="s">
        <v>308</v>
      </c>
      <c r="E19" s="10"/>
      <c r="G19" s="10"/>
      <c r="H19" s="10"/>
      <c r="I19" s="10"/>
      <c r="J19" s="10"/>
      <c r="K19" s="10"/>
    </row>
    <row r="20" spans="1:14" s="20" customFormat="1" ht="15" hidden="1" customHeight="1" x14ac:dyDescent="0.35">
      <c r="A20" s="10"/>
      <c r="B20" s="249" t="s">
        <v>1782</v>
      </c>
      <c r="C20" s="40" cm="1">
        <f t="array" ref="C20">INDEX(LC_UPSByCategory,ROW()-ROW($B$9))</f>
        <v>0</v>
      </c>
      <c r="D20" s="134" t="s">
        <v>308</v>
      </c>
      <c r="E20" s="10"/>
      <c r="G20" s="10"/>
      <c r="H20" s="10"/>
      <c r="I20" s="10"/>
      <c r="J20" s="10"/>
      <c r="K20" s="10"/>
    </row>
    <row r="21" spans="1:14" s="20" customFormat="1" ht="15" hidden="1" customHeight="1" x14ac:dyDescent="0.35">
      <c r="A21" s="10"/>
      <c r="B21" s="249" t="s">
        <v>1783</v>
      </c>
      <c r="C21" s="40" cm="1">
        <f t="array" ref="C21">INDEX(LC_UPSByCategory,ROW()-ROW($B$9))</f>
        <v>0</v>
      </c>
      <c r="D21" s="134" t="s">
        <v>308</v>
      </c>
      <c r="E21" s="10"/>
      <c r="G21" s="10"/>
      <c r="H21" s="10"/>
      <c r="I21" s="10"/>
      <c r="J21" s="10"/>
      <c r="K21" s="10"/>
    </row>
    <row r="22" spans="1:14" s="20" customFormat="1" ht="15" customHeight="1" x14ac:dyDescent="0.35">
      <c r="A22" s="10"/>
      <c r="B22" s="10"/>
      <c r="C22" s="48"/>
      <c r="E22" s="10"/>
      <c r="F22" s="346"/>
      <c r="G22" s="10"/>
      <c r="H22" s="10"/>
      <c r="I22" s="10"/>
      <c r="J22" s="10"/>
      <c r="K22" s="10"/>
    </row>
    <row r="23" spans="1:14" s="20" customFormat="1" ht="15" customHeight="1" x14ac:dyDescent="0.35">
      <c r="A23" s="10"/>
      <c r="B23" s="249" t="s">
        <v>331</v>
      </c>
      <c r="C23" s="40">
        <f>SUMIF($D$10:$D$21,"Y",$C$10:$C$21)</f>
        <v>0</v>
      </c>
      <c r="E23" s="10"/>
      <c r="F23" s="10"/>
      <c r="G23" s="10"/>
      <c r="H23" s="10"/>
      <c r="I23" s="10"/>
      <c r="J23" s="10"/>
      <c r="K23" s="10"/>
    </row>
    <row r="24" spans="1:14" s="20" customFormat="1" ht="15" customHeight="1" x14ac:dyDescent="0.35">
      <c r="A24" s="10"/>
      <c r="B24" s="10"/>
      <c r="C24" s="10"/>
      <c r="D24" s="10"/>
      <c r="E24" s="10"/>
      <c r="F24" s="10"/>
      <c r="G24" s="10"/>
      <c r="H24" s="10"/>
      <c r="I24" s="10"/>
      <c r="J24" s="10"/>
      <c r="K24" s="10"/>
    </row>
    <row r="25" spans="1:14" ht="30" customHeight="1" x14ac:dyDescent="0.45">
      <c r="A25" s="612" t="s">
        <v>332</v>
      </c>
      <c r="B25" s="612"/>
      <c r="C25" s="612"/>
      <c r="D25" s="612"/>
      <c r="E25" s="612"/>
      <c r="F25" s="612"/>
      <c r="G25" s="612"/>
      <c r="H25" s="612"/>
      <c r="I25" s="612"/>
      <c r="J25" s="612"/>
      <c r="K25" s="612"/>
      <c r="L25" s="612"/>
      <c r="M25" s="612"/>
      <c r="N25" s="612"/>
    </row>
    <row r="26" spans="1:14" s="34" customFormat="1" ht="30" customHeight="1" x14ac:dyDescent="0.45">
      <c r="B26" s="34" t="s">
        <v>195</v>
      </c>
      <c r="C26" s="34" t="s">
        <v>177</v>
      </c>
      <c r="D26" s="34" t="s">
        <v>350</v>
      </c>
      <c r="E26" s="34" t="s">
        <v>351</v>
      </c>
      <c r="F26" s="34" t="s">
        <v>206</v>
      </c>
      <c r="G26" s="34" t="s">
        <v>279</v>
      </c>
      <c r="H26"/>
      <c r="I26"/>
      <c r="J26"/>
      <c r="K26"/>
      <c r="L26"/>
    </row>
    <row r="27" spans="1:14" s="20" customFormat="1" ht="15" customHeight="1" x14ac:dyDescent="0.35">
      <c r="A27" s="10"/>
      <c r="B27" s="348"/>
      <c r="C27" s="348"/>
      <c r="D27" s="348"/>
      <c r="E27" s="532" t="str">
        <f>IF(OR(UPS_Loads[[#This Row],[Qty]]="",UPS_Loads[[#This Row],[kVA each]]=""),"",UPS_Loads[[#This Row],[Qty]]*UPS_Loads[[#This Row],[kVA each]])</f>
        <v/>
      </c>
      <c r="F27" s="348"/>
      <c r="G27" s="349"/>
      <c r="H27" s="10"/>
      <c r="I27" s="10"/>
      <c r="J27" s="10"/>
      <c r="K27" s="10"/>
      <c r="L27" s="10"/>
    </row>
    <row r="28" spans="1:14" s="20" customFormat="1" ht="15" customHeight="1" x14ac:dyDescent="0.35">
      <c r="A28" s="10"/>
      <c r="B28" s="348"/>
      <c r="C28" s="348"/>
      <c r="D28" s="348"/>
      <c r="E28" s="532" t="str">
        <f>IF(OR(UPS_Loads[[#This Row],[Qty]]="",UPS_Loads[[#This Row],[kVA each]]=""),"",UPS_Loads[[#This Row],[Qty]]*UPS_Loads[[#This Row],[kVA each]])</f>
        <v/>
      </c>
      <c r="F28" s="348"/>
      <c r="G28" s="349"/>
      <c r="H28" s="10"/>
      <c r="I28" s="10"/>
      <c r="J28" s="10"/>
      <c r="K28" s="10"/>
      <c r="L28" s="10"/>
    </row>
    <row r="29" spans="1:14" s="20" customFormat="1" ht="15" customHeight="1" x14ac:dyDescent="0.35">
      <c r="A29" s="10"/>
      <c r="B29" s="348"/>
      <c r="C29" s="348"/>
      <c r="D29" s="348"/>
      <c r="E29" s="532" t="str">
        <f>IF(OR(UPS_Loads[[#This Row],[Qty]]="",UPS_Loads[[#This Row],[kVA each]]=""),"",UPS_Loads[[#This Row],[Qty]]*UPS_Loads[[#This Row],[kVA each]])</f>
        <v/>
      </c>
      <c r="F29" s="348"/>
      <c r="G29" s="349"/>
      <c r="H29" s="10"/>
      <c r="I29" s="10"/>
      <c r="J29" s="10"/>
      <c r="K29" s="10"/>
      <c r="L29" s="10"/>
    </row>
    <row r="30" spans="1:14" s="20" customFormat="1" ht="15" customHeight="1" x14ac:dyDescent="0.35">
      <c r="A30" s="10"/>
      <c r="B30" s="348"/>
      <c r="C30" s="348"/>
      <c r="D30" s="348"/>
      <c r="E30" s="532" t="str">
        <f>IF(OR(UPS_Loads[[#This Row],[Qty]]="",UPS_Loads[[#This Row],[kVA each]]=""),"",UPS_Loads[[#This Row],[Qty]]*UPS_Loads[[#This Row],[kVA each]])</f>
        <v/>
      </c>
      <c r="F30" s="348"/>
      <c r="G30" s="349"/>
      <c r="H30" s="10"/>
      <c r="I30" s="10"/>
      <c r="J30" s="10"/>
      <c r="K30" s="10"/>
      <c r="L30" s="10"/>
    </row>
    <row r="31" spans="1:14" s="20" customFormat="1" ht="15" customHeight="1" x14ac:dyDescent="0.35">
      <c r="A31" s="10"/>
      <c r="B31" s="348"/>
      <c r="C31" s="348"/>
      <c r="D31" s="348"/>
      <c r="E31" s="532" t="str">
        <f>IF(OR(UPS_Loads[[#This Row],[Qty]]="",UPS_Loads[[#This Row],[kVA each]]=""),"",UPS_Loads[[#This Row],[Qty]]*UPS_Loads[[#This Row],[kVA each]])</f>
        <v/>
      </c>
      <c r="F31" s="348"/>
      <c r="G31" s="349"/>
      <c r="H31" s="10"/>
      <c r="I31" s="10"/>
      <c r="J31" s="10"/>
      <c r="K31" s="10"/>
      <c r="L31" s="10"/>
    </row>
    <row r="32" spans="1:14" s="20" customFormat="1" ht="15" customHeight="1" x14ac:dyDescent="0.35">
      <c r="A32" s="10"/>
      <c r="B32" s="348"/>
      <c r="C32" s="348"/>
      <c r="D32" s="348"/>
      <c r="E32" s="532" t="str">
        <f>IF(OR(UPS_Loads[[#This Row],[Qty]]="",UPS_Loads[[#This Row],[kVA each]]=""),"",UPS_Loads[[#This Row],[Qty]]*UPS_Loads[[#This Row],[kVA each]])</f>
        <v/>
      </c>
      <c r="F32" s="348"/>
      <c r="G32" s="349"/>
      <c r="H32" s="10"/>
      <c r="I32" s="10"/>
      <c r="J32" s="10"/>
      <c r="K32" s="10"/>
      <c r="L32" s="10"/>
    </row>
    <row r="33" spans="1:14" s="20" customFormat="1" ht="15" customHeight="1" x14ac:dyDescent="0.35">
      <c r="A33" s="10"/>
      <c r="B33" s="348"/>
      <c r="C33" s="348"/>
      <c r="D33" s="348"/>
      <c r="E33" s="532" t="str">
        <f>IF(OR(UPS_Loads[[#This Row],[Qty]]="",UPS_Loads[[#This Row],[kVA each]]=""),"",UPS_Loads[[#This Row],[Qty]]*UPS_Loads[[#This Row],[kVA each]])</f>
        <v/>
      </c>
      <c r="F33" s="348"/>
      <c r="G33" s="349"/>
      <c r="H33" s="10"/>
      <c r="I33" s="10"/>
      <c r="J33" s="10"/>
      <c r="K33" s="10"/>
      <c r="L33" s="10"/>
    </row>
    <row r="34" spans="1:14" s="20" customFormat="1" ht="15" customHeight="1" x14ac:dyDescent="0.35">
      <c r="A34" s="10"/>
      <c r="B34" s="348"/>
      <c r="C34" s="348"/>
      <c r="D34" s="348"/>
      <c r="E34" s="532" t="str">
        <f>IF(OR(UPS_Loads[[#This Row],[Qty]]="",UPS_Loads[[#This Row],[kVA each]]=""),"",UPS_Loads[[#This Row],[Qty]]*UPS_Loads[[#This Row],[kVA each]])</f>
        <v/>
      </c>
      <c r="F34" s="348"/>
      <c r="G34" s="349"/>
      <c r="H34" s="10"/>
      <c r="I34" s="10"/>
      <c r="J34" s="10"/>
      <c r="K34" s="10"/>
      <c r="L34" s="10"/>
    </row>
    <row r="35" spans="1:14" s="20" customFormat="1" ht="15" customHeight="1" x14ac:dyDescent="0.35">
      <c r="A35" s="10"/>
      <c r="B35" s="10"/>
      <c r="C35" s="10"/>
      <c r="D35" s="10"/>
      <c r="E35" s="10"/>
      <c r="F35" s="10"/>
      <c r="G35" s="10"/>
      <c r="H35" s="10"/>
      <c r="I35" s="10"/>
      <c r="J35" s="10"/>
      <c r="K35" s="10"/>
    </row>
    <row r="36" spans="1:14" ht="30" customHeight="1" x14ac:dyDescent="0.45">
      <c r="A36" s="612" t="s">
        <v>339</v>
      </c>
      <c r="B36" s="612"/>
      <c r="C36" s="612"/>
      <c r="D36" s="612"/>
      <c r="E36" s="612"/>
      <c r="F36" s="612"/>
      <c r="G36" s="612"/>
      <c r="H36" s="612"/>
      <c r="I36" s="612"/>
      <c r="J36" s="612"/>
      <c r="K36" s="612"/>
      <c r="L36" s="612"/>
      <c r="M36" s="612"/>
      <c r="N36" s="612"/>
    </row>
    <row r="37" spans="1:14" ht="15" customHeight="1" x14ac:dyDescent="0.45">
      <c r="A37" s="257"/>
      <c r="B37" s="257"/>
      <c r="C37" s="257"/>
      <c r="D37" s="257"/>
      <c r="E37" s="257"/>
      <c r="F37" s="257"/>
      <c r="G37" s="257"/>
      <c r="H37" s="257"/>
      <c r="I37" s="257"/>
      <c r="J37" s="257"/>
      <c r="K37" s="257"/>
    </row>
    <row r="38" spans="1:14" s="20" customFormat="1" ht="15" customHeight="1" x14ac:dyDescent="0.35">
      <c r="A38" s="10"/>
      <c r="B38" s="249" t="s">
        <v>352</v>
      </c>
      <c r="C38" s="682">
        <f>ROUND(SUM($I$48:$I$53),1)</f>
        <v>0</v>
      </c>
      <c r="D38" s="682"/>
      <c r="E38" s="10"/>
      <c r="F38" s="10"/>
      <c r="G38" s="10"/>
      <c r="H38" s="10"/>
      <c r="I38" s="10"/>
      <c r="J38" s="10"/>
      <c r="K38" s="10"/>
    </row>
    <row r="39" spans="1:14" s="20" customFormat="1" ht="15" customHeight="1" x14ac:dyDescent="0.35">
      <c r="A39" s="10"/>
      <c r="B39" s="249" t="s">
        <v>353</v>
      </c>
      <c r="C39" s="682">
        <f>ROUND(SUM($J$48:$J$53),1)</f>
        <v>0</v>
      </c>
      <c r="D39" s="682"/>
      <c r="E39" s="10"/>
      <c r="F39" s="10"/>
      <c r="G39" s="10"/>
      <c r="H39" s="10"/>
      <c r="I39" s="10"/>
      <c r="J39" s="10"/>
      <c r="K39" s="10"/>
    </row>
    <row r="40" spans="1:14" s="20" customFormat="1" ht="15" customHeight="1" x14ac:dyDescent="0.35">
      <c r="A40" s="10"/>
      <c r="B40" s="249" t="s">
        <v>1318</v>
      </c>
      <c r="C40" s="682">
        <f>ROUND(SUM($K$48:$K$53),1)</f>
        <v>0</v>
      </c>
      <c r="D40" s="682"/>
      <c r="E40" s="10"/>
      <c r="F40" s="10"/>
      <c r="G40" s="10"/>
      <c r="H40" s="10"/>
      <c r="I40" s="10"/>
      <c r="J40" s="10"/>
      <c r="K40" s="10"/>
    </row>
    <row r="41" spans="1:14" s="20" customFormat="1" ht="15" customHeight="1" x14ac:dyDescent="0.35">
      <c r="A41" s="10"/>
      <c r="B41" s="249" t="s">
        <v>1319</v>
      </c>
      <c r="C41" s="682" t="str">
        <f>IF(SUM($L$48:$L$53)=0,"—",SUM($L$48:$L$53))</f>
        <v>—</v>
      </c>
      <c r="D41" s="682"/>
      <c r="E41" s="10"/>
      <c r="F41" s="10"/>
      <c r="G41" s="10"/>
      <c r="H41" s="10"/>
      <c r="I41" s="10"/>
      <c r="J41" s="10"/>
      <c r="K41" s="10"/>
    </row>
    <row r="42" spans="1:14" s="20" customFormat="1" ht="15" customHeight="1" x14ac:dyDescent="0.35">
      <c r="A42" s="10"/>
      <c r="B42" s="249" t="s">
        <v>354</v>
      </c>
      <c r="C42" s="637" t="str">
        <f>IF(COUNTIF($B$48:$B$53,"?*")&lt;=1,IF($M$48="","1 module",$M$48),COUNTIF($B$48:$B$53,"?*")&amp;" units — see UNITS table")</f>
        <v>1 module</v>
      </c>
      <c r="D42" s="637"/>
      <c r="E42" s="10"/>
      <c r="F42" s="10"/>
      <c r="G42" s="10"/>
      <c r="H42" s="10"/>
      <c r="I42" s="10"/>
      <c r="J42" s="10"/>
      <c r="K42" s="10"/>
    </row>
    <row r="43" spans="1:14" s="20" customFormat="1" ht="15" customHeight="1" x14ac:dyDescent="0.35">
      <c r="A43" s="10"/>
      <c r="B43" s="10"/>
      <c r="C43" s="10"/>
      <c r="D43" s="10"/>
      <c r="E43" s="10"/>
      <c r="F43" s="10"/>
      <c r="G43" s="10"/>
      <c r="H43" s="10"/>
      <c r="I43" s="10"/>
      <c r="J43" s="10"/>
      <c r="K43" s="10"/>
    </row>
    <row r="44" spans="1:14" s="20" customFormat="1" ht="15" customHeight="1" x14ac:dyDescent="0.35">
      <c r="A44" s="617" t="s">
        <v>355</v>
      </c>
      <c r="B44" s="617"/>
      <c r="C44" s="617"/>
      <c r="D44" s="617"/>
      <c r="E44" s="617"/>
      <c r="F44" s="617"/>
      <c r="G44" s="617"/>
      <c r="H44" s="617"/>
      <c r="I44" s="617"/>
      <c r="J44" s="617"/>
      <c r="K44" s="617"/>
    </row>
    <row r="45" spans="1:14" s="20" customFormat="1" ht="15" customHeight="1" x14ac:dyDescent="0.35">
      <c r="A45" s="10"/>
      <c r="B45" s="10"/>
      <c r="C45" s="10"/>
      <c r="D45" s="10"/>
      <c r="E45" s="10"/>
      <c r="F45" s="10"/>
      <c r="G45" s="10"/>
      <c r="H45" s="10"/>
      <c r="I45" s="10"/>
      <c r="J45" s="10"/>
      <c r="K45" s="10"/>
    </row>
    <row r="46" spans="1:14" s="20" customFormat="1" ht="30" customHeight="1" x14ac:dyDescent="0.35">
      <c r="A46" s="612" t="s">
        <v>1310</v>
      </c>
      <c r="B46" s="612"/>
      <c r="C46" s="612"/>
      <c r="D46" s="612"/>
      <c r="E46" s="612"/>
      <c r="F46" s="612"/>
      <c r="G46" s="612"/>
      <c r="H46" s="612"/>
      <c r="I46" s="612"/>
      <c r="J46" s="612"/>
      <c r="K46" s="612"/>
      <c r="L46" s="612"/>
      <c r="M46" s="612"/>
      <c r="N46" s="612"/>
    </row>
    <row r="47" spans="1:14" s="164" customFormat="1" ht="32" x14ac:dyDescent="0.35">
      <c r="B47" s="351" t="s">
        <v>1287</v>
      </c>
      <c r="C47" s="351" t="s">
        <v>195</v>
      </c>
      <c r="D47" s="351" t="s">
        <v>1311</v>
      </c>
      <c r="E47" s="351" t="s">
        <v>1290</v>
      </c>
      <c r="F47" s="351" t="s">
        <v>346</v>
      </c>
      <c r="G47" s="351" t="s">
        <v>1292</v>
      </c>
      <c r="H47" s="351" t="s">
        <v>1293</v>
      </c>
      <c r="I47" s="351" t="s">
        <v>1312</v>
      </c>
      <c r="J47" s="351" t="s">
        <v>1313</v>
      </c>
      <c r="K47" s="351" t="s">
        <v>1314</v>
      </c>
      <c r="L47" s="351" t="s">
        <v>1315</v>
      </c>
      <c r="M47" s="351" t="s">
        <v>1316</v>
      </c>
      <c r="N47" s="351" t="s">
        <v>1324</v>
      </c>
    </row>
    <row r="48" spans="1:14" s="20" customFormat="1" ht="15" customHeight="1" x14ac:dyDescent="0.35">
      <c r="B48" s="384" t="s">
        <v>1944</v>
      </c>
      <c r="C48" s="384" t="s">
        <v>1945</v>
      </c>
      <c r="D48" s="551">
        <v>0.9</v>
      </c>
      <c r="E48" s="551">
        <v>1.25</v>
      </c>
      <c r="F48" s="384" t="s">
        <v>347</v>
      </c>
      <c r="G48" s="347" cm="1">
        <f t="array" ref="G48">IF($B48="",0,IFERROR(SUMPRODUCT(($D$10:$D$21="Y")*INDEX('Load Calc'!$F$197:$K$208,0,MATCH($B48,'Load Calc'!$F$196:$K$196,0))),0)+IF($N48="Y",SUMPRODUCT(($D$10:$D$21="Y")*'Load Calc'!$L$197:$L$208),0))</f>
        <v>0</v>
      </c>
      <c r="H48" s="347">
        <f>IF($B48="",0,SUMIFS(UPS_Loads[kVA total],UPS_Loads[Unit],$B48))</f>
        <v>0</v>
      </c>
      <c r="I48" s="347">
        <f t="shared" ref="I48:I53" si="0">ROUND($G48+$H48,1)</f>
        <v>0</v>
      </c>
      <c r="J48" s="347">
        <f t="shared" ref="J48:J53" si="1">ROUND($I48*$D48,1)</f>
        <v>0</v>
      </c>
      <c r="K48" s="347">
        <f t="shared" ref="K48:K53" si="2">ROUND($I48*$E48,1)</f>
        <v>0</v>
      </c>
      <c r="L48" s="163" t="str">
        <f t="shared" ref="L48:L53" si="3">IF(OR($B48="",$K48=0),"—",IFERROR(_xlfn.XLOOKUP($K48,UPS_kVA_List,UPS_kVA_List,"&gt; 1100",1),"—"))</f>
        <v>—</v>
      </c>
      <c r="M48" s="574" t="str" cm="1">
        <f t="array" ref="M48">IF($B48="","",_xlfn.SWITCH($F48,"N","1 module","N+1","2 modules (1 redundant)","2N","2 modules (dual path)","1 module"))</f>
        <v>1 module</v>
      </c>
      <c r="N48" s="384" t="s">
        <v>308</v>
      </c>
    </row>
    <row r="49" spans="1:25" s="20" customFormat="1" ht="15" customHeight="1" x14ac:dyDescent="0.35">
      <c r="B49" s="384"/>
      <c r="C49" s="384"/>
      <c r="D49" s="551">
        <v>0.9</v>
      </c>
      <c r="E49" s="551">
        <v>1.25</v>
      </c>
      <c r="F49" s="384" t="s">
        <v>347</v>
      </c>
      <c r="G49" s="347" cm="1">
        <f t="array" ref="G49">IF($B49="",0,IFERROR(SUMPRODUCT(($D$10:$D$21="Y")*INDEX('Load Calc'!$F$197:$K$208,0,MATCH($B49,'Load Calc'!$F$196:$K$196,0))),0)+IF($N49="Y",SUMPRODUCT(($D$10:$D$21="Y")*'Load Calc'!$L$197:$L$208),0))</f>
        <v>0</v>
      </c>
      <c r="H49" s="347">
        <f>IF($B49="",0,SUMIFS(UPS_Loads[kVA total],UPS_Loads[Unit],$B49))</f>
        <v>0</v>
      </c>
      <c r="I49" s="347">
        <f t="shared" si="0"/>
        <v>0</v>
      </c>
      <c r="J49" s="347">
        <f t="shared" si="1"/>
        <v>0</v>
      </c>
      <c r="K49" s="347">
        <f t="shared" si="2"/>
        <v>0</v>
      </c>
      <c r="L49" s="163" t="str">
        <f t="shared" si="3"/>
        <v>—</v>
      </c>
      <c r="M49" s="574" t="str" cm="1">
        <f t="array" ref="M49">IF($B49="","",_xlfn.SWITCH($F49,"N","1 module","N+1","2 modules (1 redundant)","2N","2 modules (dual path)","1 module"))</f>
        <v/>
      </c>
      <c r="N49" s="384"/>
    </row>
    <row r="50" spans="1:25" s="20" customFormat="1" ht="15" customHeight="1" x14ac:dyDescent="0.35">
      <c r="B50" s="384"/>
      <c r="C50" s="384"/>
      <c r="D50" s="551">
        <v>0.9</v>
      </c>
      <c r="E50" s="551">
        <v>1.25</v>
      </c>
      <c r="F50" s="384" t="s">
        <v>347</v>
      </c>
      <c r="G50" s="347" cm="1">
        <f t="array" ref="G50">IF($B50="",0,IFERROR(SUMPRODUCT(($D$10:$D$21="Y")*INDEX('Load Calc'!$F$197:$K$208,0,MATCH($B50,'Load Calc'!$F$196:$K$196,0))),0)+IF($N50="Y",SUMPRODUCT(($D$10:$D$21="Y")*'Load Calc'!$L$197:$L$208),0))</f>
        <v>0</v>
      </c>
      <c r="H50" s="347">
        <f>IF($B50="",0,SUMIFS(UPS_Loads[kVA total],UPS_Loads[Unit],$B50))</f>
        <v>0</v>
      </c>
      <c r="I50" s="347">
        <f t="shared" si="0"/>
        <v>0</v>
      </c>
      <c r="J50" s="347">
        <f t="shared" si="1"/>
        <v>0</v>
      </c>
      <c r="K50" s="347">
        <f t="shared" si="2"/>
        <v>0</v>
      </c>
      <c r="L50" s="163" t="str">
        <f t="shared" si="3"/>
        <v>—</v>
      </c>
      <c r="M50" s="574" t="str" cm="1">
        <f t="array" ref="M50">IF($B50="","",_xlfn.SWITCH($F50,"N","1 module","N+1","2 modules (1 redundant)","2N","2 modules (dual path)","1 module"))</f>
        <v/>
      </c>
      <c r="N50" s="384"/>
    </row>
    <row r="51" spans="1:25" s="20" customFormat="1" ht="15" customHeight="1" x14ac:dyDescent="0.35">
      <c r="B51" s="384"/>
      <c r="C51" s="384"/>
      <c r="D51" s="551">
        <v>0.9</v>
      </c>
      <c r="E51" s="551">
        <v>1.25</v>
      </c>
      <c r="F51" s="384" t="s">
        <v>347</v>
      </c>
      <c r="G51" s="347" cm="1">
        <f t="array" ref="G51">IF($B51="",0,IFERROR(SUMPRODUCT(($D$10:$D$21="Y")*INDEX('Load Calc'!$F$197:$K$208,0,MATCH($B51,'Load Calc'!$F$196:$K$196,0))),0)+IF($N51="Y",SUMPRODUCT(($D$10:$D$21="Y")*'Load Calc'!$L$197:$L$208),0))</f>
        <v>0</v>
      </c>
      <c r="H51" s="347">
        <f>IF($B51="",0,SUMIFS(UPS_Loads[kVA total],UPS_Loads[Unit],$B51))</f>
        <v>0</v>
      </c>
      <c r="I51" s="347">
        <f t="shared" si="0"/>
        <v>0</v>
      </c>
      <c r="J51" s="347">
        <f t="shared" si="1"/>
        <v>0</v>
      </c>
      <c r="K51" s="347">
        <f t="shared" si="2"/>
        <v>0</v>
      </c>
      <c r="L51" s="163" t="str">
        <f t="shared" si="3"/>
        <v>—</v>
      </c>
      <c r="M51" s="574" t="str" cm="1">
        <f t="array" ref="M51">IF($B51="","",_xlfn.SWITCH($F51,"N","1 module","N+1","2 modules (1 redundant)","2N","2 modules (dual path)","1 module"))</f>
        <v/>
      </c>
      <c r="N51" s="384"/>
    </row>
    <row r="52" spans="1:25" s="20" customFormat="1" ht="15" customHeight="1" x14ac:dyDescent="0.35">
      <c r="B52" s="384"/>
      <c r="C52" s="384"/>
      <c r="D52" s="551">
        <v>0.9</v>
      </c>
      <c r="E52" s="551">
        <v>1.25</v>
      </c>
      <c r="F52" s="384" t="s">
        <v>347</v>
      </c>
      <c r="G52" s="347" cm="1">
        <f t="array" ref="G52">IF($B52="",0,IFERROR(SUMPRODUCT(($D$10:$D$21="Y")*INDEX('Load Calc'!$F$197:$K$208,0,MATCH($B52,'Load Calc'!$F$196:$K$196,0))),0)+IF($N52="Y",SUMPRODUCT(($D$10:$D$21="Y")*'Load Calc'!$L$197:$L$208),0))</f>
        <v>0</v>
      </c>
      <c r="H52" s="347">
        <f>IF($B52="",0,SUMIFS(UPS_Loads[kVA total],UPS_Loads[Unit],$B52))</f>
        <v>0</v>
      </c>
      <c r="I52" s="347">
        <f t="shared" si="0"/>
        <v>0</v>
      </c>
      <c r="J52" s="347">
        <f t="shared" si="1"/>
        <v>0</v>
      </c>
      <c r="K52" s="347">
        <f t="shared" si="2"/>
        <v>0</v>
      </c>
      <c r="L52" s="163" t="str">
        <f t="shared" si="3"/>
        <v>—</v>
      </c>
      <c r="M52" s="574" t="str" cm="1">
        <f t="array" ref="M52">IF($B52="","",_xlfn.SWITCH($F52,"N","1 module","N+1","2 modules (1 redundant)","2N","2 modules (dual path)","1 module"))</f>
        <v/>
      </c>
      <c r="N52" s="384"/>
    </row>
    <row r="53" spans="1:25" s="20" customFormat="1" ht="15" customHeight="1" x14ac:dyDescent="0.35">
      <c r="B53" s="384"/>
      <c r="C53" s="384"/>
      <c r="D53" s="551">
        <v>0.9</v>
      </c>
      <c r="E53" s="551">
        <v>1.25</v>
      </c>
      <c r="F53" s="384" t="s">
        <v>347</v>
      </c>
      <c r="G53" s="347" cm="1">
        <f t="array" ref="G53">IF($B53="",0,IFERROR(SUMPRODUCT(($D$10:$D$21="Y")*INDEX('Load Calc'!$F$197:$K$208,0,MATCH($B53,'Load Calc'!$F$196:$K$196,0))),0)+IF($N53="Y",SUMPRODUCT(($D$10:$D$21="Y")*'Load Calc'!$L$197:$L$208),0))</f>
        <v>0</v>
      </c>
      <c r="H53" s="347">
        <f>IF($B53="",0,SUMIFS(UPS_Loads[kVA total],UPS_Loads[Unit],$B53))</f>
        <v>0</v>
      </c>
      <c r="I53" s="347">
        <f t="shared" si="0"/>
        <v>0</v>
      </c>
      <c r="J53" s="347">
        <f t="shared" si="1"/>
        <v>0</v>
      </c>
      <c r="K53" s="347">
        <f t="shared" si="2"/>
        <v>0</v>
      </c>
      <c r="L53" s="163" t="str">
        <f t="shared" si="3"/>
        <v>—</v>
      </c>
      <c r="M53" s="574" t="str" cm="1">
        <f t="array" ref="M53">IF($B53="","",_xlfn.SWITCH($F53,"N","1 module","N+1","2 modules (1 redundant)","2N","2 modules (dual path)","1 module"))</f>
        <v/>
      </c>
      <c r="N53" s="384"/>
    </row>
    <row r="54" spans="1:25" s="20" customFormat="1" ht="15" customHeight="1" x14ac:dyDescent="0.35"/>
    <row r="55" spans="1:25" s="20" customFormat="1" ht="15" customHeight="1" x14ac:dyDescent="0.45">
      <c r="A55" s="683" t="s">
        <v>1921</v>
      </c>
      <c r="B55" s="683"/>
      <c r="C55" s="683"/>
      <c r="D55" s="683"/>
      <c r="E55" s="683"/>
      <c r="F55" s="683"/>
      <c r="G55" s="683"/>
      <c r="H55" s="684"/>
      <c r="I55" s="683"/>
      <c r="J55" s="684"/>
      <c r="K55" s="683"/>
      <c r="L55" s="683"/>
      <c r="M55" s="683"/>
      <c r="N55" s="683"/>
      <c r="O55" s="683"/>
      <c r="P55" s="683"/>
      <c r="Q55" s="683"/>
      <c r="R55" s="683"/>
      <c r="S55" s="683"/>
      <c r="T55" s="683"/>
      <c r="U55" s="567"/>
      <c r="V55" s="553"/>
      <c r="W55" s="553"/>
      <c r="X55" s="553"/>
      <c r="Y55" s="553"/>
    </row>
    <row r="56" spans="1:25" ht="48" x14ac:dyDescent="0.45">
      <c r="A56" s="34"/>
      <c r="B56" s="278" t="s">
        <v>1922</v>
      </c>
      <c r="C56" s="278" t="s">
        <v>1923</v>
      </c>
      <c r="D56" s="278" t="s">
        <v>1924</v>
      </c>
      <c r="E56" s="278" t="s">
        <v>1224</v>
      </c>
      <c r="F56" s="278" t="s">
        <v>280</v>
      </c>
      <c r="G56" s="278" t="s">
        <v>1925</v>
      </c>
      <c r="H56" s="531" t="s">
        <v>1926</v>
      </c>
      <c r="I56" s="278" t="s">
        <v>1290</v>
      </c>
      <c r="J56" s="531" t="s">
        <v>1927</v>
      </c>
      <c r="K56" s="278" t="s">
        <v>1928</v>
      </c>
      <c r="L56" s="278" t="s">
        <v>1929</v>
      </c>
      <c r="M56" s="278" t="s">
        <v>1930</v>
      </c>
      <c r="N56" s="278" t="s">
        <v>1931</v>
      </c>
      <c r="O56" s="278" t="s">
        <v>1932</v>
      </c>
      <c r="P56" s="278" t="s">
        <v>1933</v>
      </c>
      <c r="Q56" s="278" t="s">
        <v>1934</v>
      </c>
      <c r="R56" s="278" t="s">
        <v>1935</v>
      </c>
      <c r="S56" s="278" t="s">
        <v>1936</v>
      </c>
      <c r="T56" s="278" t="s">
        <v>1937</v>
      </c>
      <c r="U56" s="278" t="s">
        <v>1938</v>
      </c>
      <c r="V56" s="278" t="s">
        <v>1939</v>
      </c>
      <c r="W56" s="278" t="s">
        <v>1940</v>
      </c>
      <c r="X56" s="278" t="s">
        <v>1941</v>
      </c>
      <c r="Y56" s="278" t="s">
        <v>1942</v>
      </c>
    </row>
    <row r="57" spans="1:25" x14ac:dyDescent="0.45">
      <c r="B57" s="568"/>
      <c r="C57" s="568"/>
      <c r="D57" s="568"/>
      <c r="E57" s="134"/>
      <c r="F57" s="16" t="str">
        <f>IF($B57="","",IFERROR(_xlfn.XLOOKUP($D57,Dashboard!$A$101:$A$350,Dashboard!$C$101:$C$350,""),""))</f>
        <v/>
      </c>
      <c r="G57" s="40" t="str">
        <f t="shared" ref="G57:G64" si="4">IF($B57="","",0)</f>
        <v/>
      </c>
      <c r="H57" s="569" t="str">
        <f t="shared" ref="H57:H64" si="5">IF($B57="","",IFERROR(N(_xlfn.XLOOKUP($B57,$B$48:$B$53,$L$48:$L$53,0)),0))</f>
        <v/>
      </c>
      <c r="I57" s="571" t="str">
        <f t="shared" ref="I57:I64" si="6">IF($B57="","",IFERROR(_xlfn.XLOOKUP($B57,$B$48:$B$53,$E$48:$E$53,$F$6),$F$6))</f>
        <v/>
      </c>
      <c r="J57" s="569" t="str">
        <f t="shared" ref="J57:J64" si="7">IF($B57="","",_xlfn.LET(_xlpm.need,MAX(N($G57)*N($I57),N($H57)),IF(_xlpm.need=0,"—",IFERROR(_xlfn.XLOOKUP(_xlpm.need,UPS_kVA_List,UPS_kVA_List,"&gt; 1100",1),"—"))))</f>
        <v/>
      </c>
      <c r="K57" s="572"/>
      <c r="L57" s="569" t="str">
        <f t="shared" ref="L57:L64" si="8">IF($B57="","",IF(N($K57)&gt;0,$K57,$J57))</f>
        <v/>
      </c>
      <c r="M57" s="569" t="str">
        <f t="shared" ref="M57:M64" si="9">IF(NOT(ISNUMBER($L57)),"",_xlfn.LET(_xlpm.v,IFERROR(_xlfn.XLOOKUP($F57,Xfmr_VoltStr,Xfmr_BaseV),""),_xlpm.p,IFERROR(_xlfn.XLOOKUP($F57,Xfmr_VoltStr,Xfmr_Ph),3),IF(N(_xlpm.v)=0,"",ROUND($L57*1000/(_xlpm.v*IF(_xlpm.p=3,SQRT(3),1)),1))))</f>
        <v/>
      </c>
      <c r="N57" s="146">
        <v>0.95</v>
      </c>
      <c r="O57" s="146">
        <v>0.15</v>
      </c>
      <c r="P57" s="569" t="str">
        <f t="shared" ref="P57:P64" si="10">IF(NOT(ISNUMBER($L57)),"",ROUND($L57/IF(N($N57)=0,1,$N57)*(1+N($O57)),1))</f>
        <v/>
      </c>
      <c r="Q57" s="569" t="str">
        <f>IF(NOT(ISNUMBER($P57)),"",_xlfn.LET(_xlpm.vs,IFERROR(_xlfn.XLOOKUP($B57,Dashboard!$A$101:$A$350,Dashboard!$C$101:$C$350,$F57),$F57),_xlpm.v,IFERROR(_xlfn.XLOOKUP(_xlpm.vs,Xfmr_VoltStr,Xfmr_BaseV),""),_xlpm.p,IFERROR(_xlfn.XLOOKUP(_xlpm.vs,Xfmr_VoltStr,Xfmr_Ph),3),IF(N(_xlpm.v)=0,"",ROUND($P57*1000/(_xlpm.v*IF(_xlpm.p=3,SQRT(3),1)),1))))</f>
        <v/>
      </c>
      <c r="R57" s="29" t="str">
        <f t="shared" ref="R57:R64" si="11">IF(NOT(ISNUMBER($Q57)),"",IFERROR(_xlfn.XLOOKUP($Q57*1.25,OCPD_List,OCPD_List,"&gt; 6000",1),"—"))</f>
        <v/>
      </c>
      <c r="S57" s="29" t="str">
        <f t="shared" ref="S57:S64" si="12">IF(NOT(ISNUMBER($M57)),"",IFERROR(_xlfn.XLOOKUP($M57*1.25,OCPD_List,OCPD_List,"&gt; 6000",1),"—"))</f>
        <v/>
      </c>
      <c r="T57" s="570">
        <v>2</v>
      </c>
      <c r="U57" s="29" t="str">
        <f t="shared" ref="U57:U64" si="13">IF(NOT(ISNUMBER($M57)),"",ROUND($M57*N($T57),0))</f>
        <v/>
      </c>
      <c r="V57" s="147"/>
      <c r="W57" s="29" t="str">
        <f t="shared" ref="W57:W64" si="14">IF($B57="","",IF(N($V57)&gt;0,$V57,$N$6))</f>
        <v/>
      </c>
      <c r="X57" s="29" t="str">
        <f>IF($B57="","",IFERROR(_xlfn.XLOOKUP($B57,'Short Circuit'!$A$6:$A$255,'Short Circuit'!$Q$6:$Q$255,""),""))</f>
        <v/>
      </c>
      <c r="Y57" s="29" t="str">
        <f t="shared" ref="Y57:Y64" si="15">IF(OR($B57="",NOT(ISNUMBER($W57)),NOT(ISNUMBER($X57))),"",IF($W57&gt;=$X57,"✔ SCCR OK","✖ SCCR below fault — raise SCCR / series device"))</f>
        <v/>
      </c>
    </row>
    <row r="58" spans="1:25" x14ac:dyDescent="0.45">
      <c r="B58" s="568"/>
      <c r="C58" s="568"/>
      <c r="D58" s="568"/>
      <c r="E58" s="134"/>
      <c r="F58" s="16" t="str">
        <f>IF($B58="","",IFERROR(_xlfn.XLOOKUP($D58,Dashboard!$A$101:$A$350,Dashboard!$C$101:$C$350,""),""))</f>
        <v/>
      </c>
      <c r="G58" s="40" t="str">
        <f t="shared" si="4"/>
        <v/>
      </c>
      <c r="H58" s="569" t="str">
        <f t="shared" si="5"/>
        <v/>
      </c>
      <c r="I58" s="571" t="str">
        <f t="shared" si="6"/>
        <v/>
      </c>
      <c r="J58" s="569" t="str">
        <f t="shared" si="7"/>
        <v/>
      </c>
      <c r="K58" s="572"/>
      <c r="L58" s="569" t="str">
        <f t="shared" si="8"/>
        <v/>
      </c>
      <c r="M58" s="569" t="str">
        <f t="shared" si="9"/>
        <v/>
      </c>
      <c r="N58" s="146">
        <v>0.95</v>
      </c>
      <c r="O58" s="146">
        <v>0.15</v>
      </c>
      <c r="P58" s="569" t="str">
        <f t="shared" si="10"/>
        <v/>
      </c>
      <c r="Q58" s="569" t="str">
        <f>IF(NOT(ISNUMBER($P58)),"",_xlfn.LET(_xlpm.vs,IFERROR(_xlfn.XLOOKUP($B58,Dashboard!$A$101:$A$350,Dashboard!$C$101:$C$350,$F58),$F58),_xlpm.v,IFERROR(_xlfn.XLOOKUP(_xlpm.vs,Xfmr_VoltStr,Xfmr_BaseV),""),_xlpm.p,IFERROR(_xlfn.XLOOKUP(_xlpm.vs,Xfmr_VoltStr,Xfmr_Ph),3),IF(N(_xlpm.v)=0,"",ROUND($P58*1000/(_xlpm.v*IF(_xlpm.p=3,SQRT(3),1)),1))))</f>
        <v/>
      </c>
      <c r="R58" s="29" t="str">
        <f t="shared" si="11"/>
        <v/>
      </c>
      <c r="S58" s="29" t="str">
        <f t="shared" si="12"/>
        <v/>
      </c>
      <c r="T58" s="570">
        <v>2</v>
      </c>
      <c r="U58" s="29" t="str">
        <f t="shared" si="13"/>
        <v/>
      </c>
      <c r="V58" s="147"/>
      <c r="W58" s="29" t="str">
        <f t="shared" si="14"/>
        <v/>
      </c>
      <c r="X58" s="29" t="str">
        <f>IF($B58="","",IFERROR(_xlfn.XLOOKUP($B58,'Short Circuit'!$A$6:$A$255,'Short Circuit'!$Q$6:$Q$255,""),""))</f>
        <v/>
      </c>
      <c r="Y58" s="29" t="str">
        <f t="shared" si="15"/>
        <v/>
      </c>
    </row>
    <row r="59" spans="1:25" x14ac:dyDescent="0.45">
      <c r="B59" s="568"/>
      <c r="C59" s="568"/>
      <c r="D59" s="568"/>
      <c r="E59" s="134"/>
      <c r="F59" s="16" t="str">
        <f>IF($B59="","",IFERROR(_xlfn.XLOOKUP($D59,Dashboard!$A$101:$A$350,Dashboard!$C$101:$C$350,""),""))</f>
        <v/>
      </c>
      <c r="G59" s="40" t="str">
        <f t="shared" si="4"/>
        <v/>
      </c>
      <c r="H59" s="569" t="str">
        <f t="shared" si="5"/>
        <v/>
      </c>
      <c r="I59" s="571" t="str">
        <f t="shared" si="6"/>
        <v/>
      </c>
      <c r="J59" s="569" t="str">
        <f t="shared" si="7"/>
        <v/>
      </c>
      <c r="K59" s="572"/>
      <c r="L59" s="569" t="str">
        <f t="shared" si="8"/>
        <v/>
      </c>
      <c r="M59" s="569" t="str">
        <f t="shared" si="9"/>
        <v/>
      </c>
      <c r="N59" s="146">
        <v>0.95</v>
      </c>
      <c r="O59" s="146">
        <v>0.15</v>
      </c>
      <c r="P59" s="569" t="str">
        <f t="shared" si="10"/>
        <v/>
      </c>
      <c r="Q59" s="569" t="str">
        <f>IF(NOT(ISNUMBER($P59)),"",_xlfn.LET(_xlpm.vs,IFERROR(_xlfn.XLOOKUP($B59,Dashboard!$A$101:$A$350,Dashboard!$C$101:$C$350,$F59),$F59),_xlpm.v,IFERROR(_xlfn.XLOOKUP(_xlpm.vs,Xfmr_VoltStr,Xfmr_BaseV),""),_xlpm.p,IFERROR(_xlfn.XLOOKUP(_xlpm.vs,Xfmr_VoltStr,Xfmr_Ph),3),IF(N(_xlpm.v)=0,"",ROUND($P59*1000/(_xlpm.v*IF(_xlpm.p=3,SQRT(3),1)),1))))</f>
        <v/>
      </c>
      <c r="R59" s="29" t="str">
        <f t="shared" si="11"/>
        <v/>
      </c>
      <c r="S59" s="29" t="str">
        <f t="shared" si="12"/>
        <v/>
      </c>
      <c r="T59" s="570">
        <v>2</v>
      </c>
      <c r="U59" s="29" t="str">
        <f t="shared" si="13"/>
        <v/>
      </c>
      <c r="V59" s="147"/>
      <c r="W59" s="29" t="str">
        <f t="shared" si="14"/>
        <v/>
      </c>
      <c r="X59" s="29" t="str">
        <f>IF($B59="","",IFERROR(_xlfn.XLOOKUP($B59,'Short Circuit'!$A$6:$A$255,'Short Circuit'!$Q$6:$Q$255,""),""))</f>
        <v/>
      </c>
      <c r="Y59" s="29" t="str">
        <f t="shared" si="15"/>
        <v/>
      </c>
    </row>
    <row r="60" spans="1:25" x14ac:dyDescent="0.45">
      <c r="B60" s="568"/>
      <c r="C60" s="568"/>
      <c r="D60" s="568"/>
      <c r="E60" s="134"/>
      <c r="F60" s="16" t="str">
        <f>IF($B60="","",IFERROR(_xlfn.XLOOKUP($D60,Dashboard!$A$101:$A$350,Dashboard!$C$101:$C$350,""),""))</f>
        <v/>
      </c>
      <c r="G60" s="40" t="str">
        <f t="shared" si="4"/>
        <v/>
      </c>
      <c r="H60" s="569" t="str">
        <f t="shared" si="5"/>
        <v/>
      </c>
      <c r="I60" s="571" t="str">
        <f t="shared" si="6"/>
        <v/>
      </c>
      <c r="J60" s="569" t="str">
        <f t="shared" si="7"/>
        <v/>
      </c>
      <c r="K60" s="572"/>
      <c r="L60" s="569" t="str">
        <f t="shared" si="8"/>
        <v/>
      </c>
      <c r="M60" s="569" t="str">
        <f t="shared" si="9"/>
        <v/>
      </c>
      <c r="N60" s="146">
        <v>0.95</v>
      </c>
      <c r="O60" s="146">
        <v>0.15</v>
      </c>
      <c r="P60" s="569" t="str">
        <f t="shared" si="10"/>
        <v/>
      </c>
      <c r="Q60" s="569" t="str">
        <f>IF(NOT(ISNUMBER($P60)),"",_xlfn.LET(_xlpm.vs,IFERROR(_xlfn.XLOOKUP($B60,Dashboard!$A$101:$A$350,Dashboard!$C$101:$C$350,$F60),$F60),_xlpm.v,IFERROR(_xlfn.XLOOKUP(_xlpm.vs,Xfmr_VoltStr,Xfmr_BaseV),""),_xlpm.p,IFERROR(_xlfn.XLOOKUP(_xlpm.vs,Xfmr_VoltStr,Xfmr_Ph),3),IF(N(_xlpm.v)=0,"",ROUND($P60*1000/(_xlpm.v*IF(_xlpm.p=3,SQRT(3),1)),1))))</f>
        <v/>
      </c>
      <c r="R60" s="29" t="str">
        <f t="shared" si="11"/>
        <v/>
      </c>
      <c r="S60" s="29" t="str">
        <f t="shared" si="12"/>
        <v/>
      </c>
      <c r="T60" s="570">
        <v>2</v>
      </c>
      <c r="U60" s="29" t="str">
        <f t="shared" si="13"/>
        <v/>
      </c>
      <c r="V60" s="147"/>
      <c r="W60" s="29" t="str">
        <f t="shared" si="14"/>
        <v/>
      </c>
      <c r="X60" s="29" t="str">
        <f>IF($B60="","",IFERROR(_xlfn.XLOOKUP($B60,'Short Circuit'!$A$6:$A$255,'Short Circuit'!$Q$6:$Q$255,""),""))</f>
        <v/>
      </c>
      <c r="Y60" s="29" t="str">
        <f t="shared" si="15"/>
        <v/>
      </c>
    </row>
    <row r="61" spans="1:25" x14ac:dyDescent="0.45">
      <c r="B61" s="568"/>
      <c r="C61" s="568"/>
      <c r="D61" s="568"/>
      <c r="E61" s="134"/>
      <c r="F61" s="16" t="str">
        <f>IF($B61="","",IFERROR(_xlfn.XLOOKUP($D61,Dashboard!$A$101:$A$350,Dashboard!$C$101:$C$350,""),""))</f>
        <v/>
      </c>
      <c r="G61" s="40" t="str">
        <f t="shared" si="4"/>
        <v/>
      </c>
      <c r="H61" s="569" t="str">
        <f t="shared" si="5"/>
        <v/>
      </c>
      <c r="I61" s="571" t="str">
        <f t="shared" si="6"/>
        <v/>
      </c>
      <c r="J61" s="569" t="str">
        <f t="shared" si="7"/>
        <v/>
      </c>
      <c r="K61" s="572"/>
      <c r="L61" s="569" t="str">
        <f t="shared" si="8"/>
        <v/>
      </c>
      <c r="M61" s="569" t="str">
        <f t="shared" si="9"/>
        <v/>
      </c>
      <c r="N61" s="146">
        <v>0.95</v>
      </c>
      <c r="O61" s="146">
        <v>0.15</v>
      </c>
      <c r="P61" s="569" t="str">
        <f t="shared" si="10"/>
        <v/>
      </c>
      <c r="Q61" s="569" t="str">
        <f>IF(NOT(ISNUMBER($P61)),"",_xlfn.LET(_xlpm.vs,IFERROR(_xlfn.XLOOKUP($B61,Dashboard!$A$101:$A$350,Dashboard!$C$101:$C$350,$F61),$F61),_xlpm.v,IFERROR(_xlfn.XLOOKUP(_xlpm.vs,Xfmr_VoltStr,Xfmr_BaseV),""),_xlpm.p,IFERROR(_xlfn.XLOOKUP(_xlpm.vs,Xfmr_VoltStr,Xfmr_Ph),3),IF(N(_xlpm.v)=0,"",ROUND($P61*1000/(_xlpm.v*IF(_xlpm.p=3,SQRT(3),1)),1))))</f>
        <v/>
      </c>
      <c r="R61" s="29" t="str">
        <f t="shared" si="11"/>
        <v/>
      </c>
      <c r="S61" s="29" t="str">
        <f t="shared" si="12"/>
        <v/>
      </c>
      <c r="T61" s="570">
        <v>2</v>
      </c>
      <c r="U61" s="29" t="str">
        <f t="shared" si="13"/>
        <v/>
      </c>
      <c r="V61" s="147"/>
      <c r="W61" s="29" t="str">
        <f t="shared" si="14"/>
        <v/>
      </c>
      <c r="X61" s="29" t="str">
        <f>IF($B61="","",IFERROR(_xlfn.XLOOKUP($B61,'Short Circuit'!$A$6:$A$255,'Short Circuit'!$Q$6:$Q$255,""),""))</f>
        <v/>
      </c>
      <c r="Y61" s="29" t="str">
        <f t="shared" si="15"/>
        <v/>
      </c>
    </row>
    <row r="62" spans="1:25" x14ac:dyDescent="0.45">
      <c r="B62" s="568"/>
      <c r="C62" s="568"/>
      <c r="D62" s="568"/>
      <c r="E62" s="134"/>
      <c r="F62" s="16" t="str">
        <f>IF($B62="","",IFERROR(_xlfn.XLOOKUP($D62,Dashboard!$A$101:$A$350,Dashboard!$C$101:$C$350,""),""))</f>
        <v/>
      </c>
      <c r="G62" s="40" t="str">
        <f t="shared" si="4"/>
        <v/>
      </c>
      <c r="H62" s="569" t="str">
        <f t="shared" si="5"/>
        <v/>
      </c>
      <c r="I62" s="571" t="str">
        <f t="shared" si="6"/>
        <v/>
      </c>
      <c r="J62" s="569" t="str">
        <f t="shared" si="7"/>
        <v/>
      </c>
      <c r="K62" s="572"/>
      <c r="L62" s="569" t="str">
        <f t="shared" si="8"/>
        <v/>
      </c>
      <c r="M62" s="569" t="str">
        <f t="shared" si="9"/>
        <v/>
      </c>
      <c r="N62" s="146">
        <v>0.95</v>
      </c>
      <c r="O62" s="146">
        <v>0.15</v>
      </c>
      <c r="P62" s="569" t="str">
        <f t="shared" si="10"/>
        <v/>
      </c>
      <c r="Q62" s="569" t="str">
        <f>IF(NOT(ISNUMBER($P62)),"",_xlfn.LET(_xlpm.vs,IFERROR(_xlfn.XLOOKUP($B62,Dashboard!$A$101:$A$350,Dashboard!$C$101:$C$350,$F62),$F62),_xlpm.v,IFERROR(_xlfn.XLOOKUP(_xlpm.vs,Xfmr_VoltStr,Xfmr_BaseV),""),_xlpm.p,IFERROR(_xlfn.XLOOKUP(_xlpm.vs,Xfmr_VoltStr,Xfmr_Ph),3),IF(N(_xlpm.v)=0,"",ROUND($P62*1000/(_xlpm.v*IF(_xlpm.p=3,SQRT(3),1)),1))))</f>
        <v/>
      </c>
      <c r="R62" s="29" t="str">
        <f t="shared" si="11"/>
        <v/>
      </c>
      <c r="S62" s="29" t="str">
        <f t="shared" si="12"/>
        <v/>
      </c>
      <c r="T62" s="570">
        <v>2</v>
      </c>
      <c r="U62" s="29" t="str">
        <f t="shared" si="13"/>
        <v/>
      </c>
      <c r="V62" s="147"/>
      <c r="W62" s="29" t="str">
        <f t="shared" si="14"/>
        <v/>
      </c>
      <c r="X62" s="29" t="str">
        <f>IF($B62="","",IFERROR(_xlfn.XLOOKUP($B62,'Short Circuit'!$A$6:$A$255,'Short Circuit'!$Q$6:$Q$255,""),""))</f>
        <v/>
      </c>
      <c r="Y62" s="29" t="str">
        <f t="shared" si="15"/>
        <v/>
      </c>
    </row>
    <row r="63" spans="1:25" x14ac:dyDescent="0.45">
      <c r="B63" s="568"/>
      <c r="C63" s="568"/>
      <c r="D63" s="568"/>
      <c r="E63" s="134"/>
      <c r="F63" s="16" t="str">
        <f>IF($B63="","",IFERROR(_xlfn.XLOOKUP($D63,Dashboard!$A$101:$A$350,Dashboard!$C$101:$C$350,""),""))</f>
        <v/>
      </c>
      <c r="G63" s="40" t="str">
        <f t="shared" si="4"/>
        <v/>
      </c>
      <c r="H63" s="569" t="str">
        <f t="shared" si="5"/>
        <v/>
      </c>
      <c r="I63" s="571" t="str">
        <f t="shared" si="6"/>
        <v/>
      </c>
      <c r="J63" s="569" t="str">
        <f t="shared" si="7"/>
        <v/>
      </c>
      <c r="K63" s="572"/>
      <c r="L63" s="569" t="str">
        <f t="shared" si="8"/>
        <v/>
      </c>
      <c r="M63" s="569" t="str">
        <f t="shared" si="9"/>
        <v/>
      </c>
      <c r="N63" s="146">
        <v>0.95</v>
      </c>
      <c r="O63" s="146">
        <v>0.15</v>
      </c>
      <c r="P63" s="569" t="str">
        <f t="shared" si="10"/>
        <v/>
      </c>
      <c r="Q63" s="569" t="str">
        <f>IF(NOT(ISNUMBER($P63)),"",_xlfn.LET(_xlpm.vs,IFERROR(_xlfn.XLOOKUP($B63,Dashboard!$A$101:$A$350,Dashboard!$C$101:$C$350,$F63),$F63),_xlpm.v,IFERROR(_xlfn.XLOOKUP(_xlpm.vs,Xfmr_VoltStr,Xfmr_BaseV),""),_xlpm.p,IFERROR(_xlfn.XLOOKUP(_xlpm.vs,Xfmr_VoltStr,Xfmr_Ph),3),IF(N(_xlpm.v)=0,"",ROUND($P63*1000/(_xlpm.v*IF(_xlpm.p=3,SQRT(3),1)),1))))</f>
        <v/>
      </c>
      <c r="R63" s="29" t="str">
        <f t="shared" si="11"/>
        <v/>
      </c>
      <c r="S63" s="29" t="str">
        <f t="shared" si="12"/>
        <v/>
      </c>
      <c r="T63" s="570">
        <v>2</v>
      </c>
      <c r="U63" s="29" t="str">
        <f t="shared" si="13"/>
        <v/>
      </c>
      <c r="V63" s="147"/>
      <c r="W63" s="29" t="str">
        <f t="shared" si="14"/>
        <v/>
      </c>
      <c r="X63" s="29" t="str">
        <f>IF($B63="","",IFERROR(_xlfn.XLOOKUP($B63,'Short Circuit'!$A$6:$A$255,'Short Circuit'!$Q$6:$Q$255,""),""))</f>
        <v/>
      </c>
      <c r="Y63" s="29" t="str">
        <f t="shared" si="15"/>
        <v/>
      </c>
    </row>
    <row r="64" spans="1:25" x14ac:dyDescent="0.45">
      <c r="B64" s="568"/>
      <c r="C64" s="568"/>
      <c r="D64" s="568"/>
      <c r="E64" s="134"/>
      <c r="F64" s="16" t="str">
        <f>IF($B64="","",IFERROR(_xlfn.XLOOKUP($D64,Dashboard!$A$101:$A$350,Dashboard!$C$101:$C$350,""),""))</f>
        <v/>
      </c>
      <c r="G64" s="40" t="str">
        <f t="shared" si="4"/>
        <v/>
      </c>
      <c r="H64" s="569" t="str">
        <f t="shared" si="5"/>
        <v/>
      </c>
      <c r="I64" s="571" t="str">
        <f t="shared" si="6"/>
        <v/>
      </c>
      <c r="J64" s="569" t="str">
        <f t="shared" si="7"/>
        <v/>
      </c>
      <c r="K64" s="572"/>
      <c r="L64" s="569" t="str">
        <f t="shared" si="8"/>
        <v/>
      </c>
      <c r="M64" s="569" t="str">
        <f t="shared" si="9"/>
        <v/>
      </c>
      <c r="N64" s="146">
        <v>0.95</v>
      </c>
      <c r="O64" s="146">
        <v>0.15</v>
      </c>
      <c r="P64" s="569" t="str">
        <f t="shared" si="10"/>
        <v/>
      </c>
      <c r="Q64" s="569" t="str">
        <f>IF(NOT(ISNUMBER($P64)),"",_xlfn.LET(_xlpm.vs,IFERROR(_xlfn.XLOOKUP($B64,Dashboard!$A$101:$A$350,Dashboard!$C$101:$C$350,$F64),$F64),_xlpm.v,IFERROR(_xlfn.XLOOKUP(_xlpm.vs,Xfmr_VoltStr,Xfmr_BaseV),""),_xlpm.p,IFERROR(_xlfn.XLOOKUP(_xlpm.vs,Xfmr_VoltStr,Xfmr_Ph),3),IF(N(_xlpm.v)=0,"",ROUND($P64*1000/(_xlpm.v*IF(_xlpm.p=3,SQRT(3),1)),1))))</f>
        <v/>
      </c>
      <c r="R64" s="29" t="str">
        <f t="shared" si="11"/>
        <v/>
      </c>
      <c r="S64" s="29" t="str">
        <f t="shared" si="12"/>
        <v/>
      </c>
      <c r="T64" s="570">
        <v>2</v>
      </c>
      <c r="U64" s="29" t="str">
        <f t="shared" si="13"/>
        <v/>
      </c>
      <c r="V64" s="147"/>
      <c r="W64" s="29" t="str">
        <f t="shared" si="14"/>
        <v/>
      </c>
      <c r="X64" s="29" t="str">
        <f>IF($B64="","",IFERROR(_xlfn.XLOOKUP($B64,'Short Circuit'!$A$6:$A$255,'Short Circuit'!$Q$6:$Q$255,""),""))</f>
        <v/>
      </c>
      <c r="Y64" s="29" t="str">
        <f t="shared" si="15"/>
        <v/>
      </c>
    </row>
    <row r="66" spans="1:1" x14ac:dyDescent="0.45">
      <c r="A66" s="573" t="s">
        <v>1946</v>
      </c>
    </row>
  </sheetData>
  <sheetProtection sheet="1" objects="1" scenarios="1"/>
  <mergeCells count="15">
    <mergeCell ref="A55:T55"/>
    <mergeCell ref="A46:N46"/>
    <mergeCell ref="A36:N36"/>
    <mergeCell ref="A25:N25"/>
    <mergeCell ref="A8:N8"/>
    <mergeCell ref="A44:K44"/>
    <mergeCell ref="A1:N1"/>
    <mergeCell ref="C2:E2"/>
    <mergeCell ref="H2:I2"/>
    <mergeCell ref="C42:D42"/>
    <mergeCell ref="C41:D41"/>
    <mergeCell ref="C40:D40"/>
    <mergeCell ref="C39:D39"/>
    <mergeCell ref="C38:D38"/>
    <mergeCell ref="A4:N4"/>
  </mergeCells>
  <phoneticPr fontId="44" type="noConversion"/>
  <dataValidations count="10">
    <dataValidation type="list" allowBlank="1" showInputMessage="1" showErrorMessage="1" sqref="H6" xr:uid="{E4ACC13C-9F17-4790-BFD6-CF561F968505}">
      <formula1>"N,N+1,2N"</formula1>
    </dataValidation>
    <dataValidation type="list" allowBlank="1" showInputMessage="1" showErrorMessage="1" sqref="G27:G34" xr:uid="{9E226C48-DBA4-449E-9A81-3C802A419F7C}">
      <formula1>$B$48:$B$53</formula1>
    </dataValidation>
    <dataValidation type="custom" allowBlank="1" showInputMessage="1" showErrorMessage="1" errorTitle="Duplicate unit tag" error="Each UPS unit tag must be unique." sqref="B48:B53" xr:uid="{60572620-A674-4363-AF22-3649362A862E}">
      <formula1>COUNTIF($B$48:$B$53,B48)&lt;=1</formula1>
    </dataValidation>
    <dataValidation type="decimal" allowBlank="1" showInputMessage="1" showErrorMessage="1" errorTitle="Out of range" error="Output power factor must be between 0.50 and 1.00." sqref="D48:D53" xr:uid="{583DA45A-F50A-4C22-87AC-3009B0306D3F}">
      <formula1>0.5</formula1>
      <formula2>1</formula2>
    </dataValidation>
    <dataValidation type="decimal" allowBlank="1" showInputMessage="1" showErrorMessage="1" errorTitle="Out of range" error="Design margin must be between 1.0 and 3.0." sqref="E48:E53" xr:uid="{00C3BFF3-9404-45A8-96CD-A05359EDBB20}">
      <formula1>1</formula1>
      <formula2>3</formula2>
    </dataValidation>
    <dataValidation type="list" allowBlank="1" showInputMessage="1" showErrorMessage="1" errorTitle="Invalid entry" error="Choose N, N+1 or 2N." sqref="F48:F53" xr:uid="{1B37ACC9-9E52-47B0-9ACF-3D61ACD405F1}">
      <formula1>"N,N+1,2N"</formula1>
    </dataValidation>
    <dataValidation type="list" allowBlank="1" showInputMessage="1" showErrorMessage="1" errorTitle="Invalid entry" error="Choose Y or N. Only one unit should absorb untagged loads." sqref="N48:N53" xr:uid="{86251D55-F444-45DC-A77A-961505C71120}">
      <formula1>"Y,N"</formula1>
    </dataValidation>
    <dataValidation type="custom" errorStyle="warning" allowBlank="1" showInputMessage="1" showErrorMessage="1" errorTitle="Long description" error="Over 60 characters may clip on printed schedules. Continue anyway?" sqref="C48:C53" xr:uid="{43BED9CB-F510-4C70-B222-24975FA8E809}">
      <formula1>LEN(C48)&lt;=60</formula1>
    </dataValidation>
    <dataValidation type="list" allowBlank="1" showInputMessage="1" showErrorMessage="1" errorTitle="Invalid entry" error="Choose Y to include this section, N to exclude it." sqref="D10:D21" xr:uid="{6D236DDE-618C-47AA-919E-3E381BE4C6A8}">
      <formula1>"Y,N"</formula1>
    </dataValidation>
    <dataValidation type="list" allowBlank="1" showInputMessage="1" showErrorMessage="1" sqref="E57:E64" xr:uid="{1BBB0FA2-6BB0-4747-A4A8-C9DD12A5F682}">
      <formula1>"Static + Maint.,Static only,None"</formula1>
    </dataValidation>
  </dataValidations>
  <pageMargins left="0.7" right="0.7" top="0.75" bottom="0.75" header="0.3" footer="0.3"/>
  <pageSetup scale="37"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7B49-1DD0-43D8-B246-3411947B9906}">
  <sheetPr codeName="Sheet3">
    <tabColor rgb="FF4DAB51"/>
    <pageSetUpPr fitToPage="1"/>
  </sheetPr>
  <dimension ref="A1:BW114"/>
  <sheetViews>
    <sheetView showGridLines="0" showRowColHeaders="0" workbookViewId="0">
      <selection sqref="A1:Y1"/>
    </sheetView>
  </sheetViews>
  <sheetFormatPr defaultColWidth="8.7265625" defaultRowHeight="16.5" outlineLevelCol="2" x14ac:dyDescent="0.35"/>
  <cols>
    <col min="1" max="9" width="15.7265625" style="20" customWidth="1"/>
    <col min="10" max="11" width="30.7265625" style="20" customWidth="1"/>
    <col min="12" max="17" width="15.7265625" style="20" customWidth="1"/>
    <col min="18" max="18" width="45.7265625" style="20" customWidth="1"/>
    <col min="19" max="22" width="15.7265625" style="20" customWidth="1"/>
    <col min="23" max="23" width="15.81640625" style="20" customWidth="1"/>
    <col min="24" max="32" width="15.7265625" style="20" customWidth="1"/>
    <col min="33" max="49" width="15.7265625" style="20" hidden="1" customWidth="1" outlineLevel="2"/>
    <col min="50" max="58" width="8.7265625" style="20" hidden="1" customWidth="1" outlineLevel="2"/>
    <col min="59" max="59" width="28.54296875" style="20" hidden="1" customWidth="1" outlineLevel="2"/>
    <col min="60" max="63" width="8.7265625" style="20" hidden="1" customWidth="1" outlineLevel="2"/>
    <col min="64" max="64" width="32.453125" style="20" hidden="1" customWidth="1" outlineLevel="2"/>
    <col min="65" max="65" width="36.1796875" style="20" hidden="1" customWidth="1" outlineLevel="2"/>
    <col min="66" max="73" width="8.7265625" style="20" hidden="1" customWidth="1" outlineLevel="2"/>
    <col min="74" max="74" width="61" style="20" hidden="1" customWidth="1" outlineLevel="2"/>
    <col min="75" max="75" width="8.7265625" style="20" collapsed="1"/>
    <col min="76" max="16384" width="8.7265625" style="20"/>
  </cols>
  <sheetData>
    <row r="1" spans="1:74" ht="30" customHeight="1" x14ac:dyDescent="0.35">
      <c r="A1" s="694" t="s">
        <v>197</v>
      </c>
      <c r="B1" s="695"/>
      <c r="C1" s="695"/>
      <c r="D1" s="695"/>
      <c r="E1" s="695"/>
      <c r="F1" s="695"/>
      <c r="G1" s="695"/>
      <c r="H1" s="695"/>
      <c r="I1" s="695"/>
      <c r="J1" s="695"/>
      <c r="K1" s="695"/>
      <c r="L1" s="695"/>
      <c r="M1" s="695"/>
      <c r="N1" s="695"/>
      <c r="O1" s="695"/>
      <c r="P1" s="695"/>
      <c r="Q1" s="695"/>
      <c r="R1" s="695"/>
      <c r="S1" s="695"/>
      <c r="T1" s="695"/>
      <c r="U1" s="695"/>
      <c r="V1" s="695"/>
      <c r="W1" s="695"/>
      <c r="X1" s="695"/>
      <c r="Y1" s="696"/>
      <c r="Z1" s="479"/>
      <c r="AA1" s="479"/>
      <c r="AB1" s="479"/>
      <c r="AC1" s="479"/>
      <c r="AD1" s="479"/>
      <c r="AE1" s="479"/>
      <c r="AF1" s="479"/>
      <c r="AG1" s="365" t="s">
        <v>1349</v>
      </c>
      <c r="AH1" s="366"/>
      <c r="AI1" s="366"/>
      <c r="AJ1" s="366"/>
      <c r="AK1" s="366"/>
      <c r="AL1" s="366"/>
      <c r="AM1" s="366"/>
      <c r="AN1" s="366"/>
      <c r="AO1" s="366"/>
      <c r="AP1" s="366"/>
      <c r="AQ1" s="366"/>
      <c r="AR1" s="366"/>
      <c r="AS1" s="366"/>
      <c r="AT1" s="366"/>
      <c r="AU1" s="366"/>
      <c r="AV1" s="366"/>
      <c r="AW1" s="366"/>
      <c r="BG1"/>
      <c r="BH1"/>
      <c r="BI1"/>
      <c r="BJ1"/>
      <c r="BK1"/>
      <c r="BL1"/>
      <c r="BM1"/>
      <c r="BO1" s="367" t="s">
        <v>1338</v>
      </c>
      <c r="BP1" s="10"/>
      <c r="BQ1" s="10"/>
      <c r="BR1" s="10"/>
      <c r="BS1" s="10"/>
      <c r="BT1" s="10"/>
    </row>
    <row r="2" spans="1:74" ht="48" customHeight="1" x14ac:dyDescent="0.35">
      <c r="A2" s="687" t="s">
        <v>1364</v>
      </c>
      <c r="B2" s="688"/>
      <c r="C2" s="688"/>
      <c r="D2" s="688"/>
      <c r="E2" s="688"/>
      <c r="F2" s="688"/>
      <c r="G2" s="688"/>
      <c r="H2" s="688"/>
      <c r="I2" s="688"/>
      <c r="J2" s="688"/>
      <c r="K2" s="688"/>
      <c r="L2" s="688"/>
      <c r="M2" s="688"/>
      <c r="N2" s="688"/>
      <c r="O2" s="688"/>
      <c r="P2" s="688"/>
      <c r="Q2" s="688"/>
      <c r="R2" s="688"/>
      <c r="S2" s="688"/>
      <c r="T2" s="688"/>
      <c r="U2" s="688"/>
      <c r="V2" s="688"/>
      <c r="W2" s="688"/>
      <c r="X2" s="688"/>
      <c r="Y2" s="689"/>
      <c r="Z2" s="480"/>
      <c r="AA2" s="480"/>
      <c r="AB2" s="480"/>
      <c r="AC2" s="480"/>
      <c r="AD2" s="480"/>
      <c r="AE2" s="480"/>
      <c r="AF2" s="480"/>
      <c r="AG2" s="368"/>
      <c r="AH2" s="369"/>
      <c r="BG2"/>
      <c r="BH2"/>
      <c r="BI2"/>
      <c r="BJ2"/>
      <c r="BK2"/>
      <c r="BL2"/>
      <c r="BM2"/>
      <c r="BO2" s="264" t="str">
        <f>_xlfn.LET(_xlpm.n,IF(INDEX(_xlfn.ANCHORARRAY($BO$4),1,1)="",0,ROWS(_xlfn.ANCHORARRAY($BO$4))),IF(_xlpm.n=0,"— no voltage changes detected —",_xlpm.n&amp;" transformer(s) detected"))</f>
        <v>— no voltage changes detected —</v>
      </c>
      <c r="BP2" s="10"/>
      <c r="BQ2" s="10"/>
      <c r="BR2" s="10"/>
      <c r="BS2" s="10"/>
      <c r="BT2" s="10"/>
      <c r="BV2" s="367" t="s">
        <v>1346</v>
      </c>
    </row>
    <row r="3" spans="1:74" s="32" customFormat="1" ht="30" customHeight="1" x14ac:dyDescent="0.35">
      <c r="A3" s="697" t="s">
        <v>1357</v>
      </c>
      <c r="B3" s="697"/>
      <c r="C3" s="697" t="s">
        <v>208</v>
      </c>
      <c r="D3" s="697"/>
      <c r="E3" s="697"/>
      <c r="F3" s="697" t="s">
        <v>1358</v>
      </c>
      <c r="G3" s="697"/>
      <c r="H3" s="697" t="s">
        <v>1359</v>
      </c>
      <c r="I3" s="697"/>
      <c r="J3" s="697"/>
      <c r="K3" s="697"/>
      <c r="L3" s="697"/>
      <c r="M3" s="697" t="s">
        <v>1360</v>
      </c>
      <c r="N3" s="697"/>
      <c r="O3" s="697" t="s">
        <v>1361</v>
      </c>
      <c r="P3" s="697"/>
      <c r="Q3" s="697" t="s">
        <v>1362</v>
      </c>
      <c r="R3" s="697"/>
      <c r="S3" s="690" t="s">
        <v>1728</v>
      </c>
      <c r="T3" s="691"/>
      <c r="U3" s="691"/>
      <c r="V3" s="692"/>
      <c r="W3" s="697" t="s">
        <v>1363</v>
      </c>
      <c r="X3" s="697"/>
      <c r="Y3" s="697"/>
      <c r="Z3" s="697" t="s">
        <v>1729</v>
      </c>
      <c r="AA3" s="697"/>
      <c r="AB3" s="697"/>
      <c r="AC3" s="697"/>
      <c r="AD3" s="697"/>
      <c r="AE3" s="697"/>
      <c r="AF3" s="468"/>
      <c r="BG3" s="370"/>
      <c r="BH3" s="370"/>
      <c r="BI3" s="370"/>
      <c r="BJ3" s="370"/>
      <c r="BK3" s="370"/>
      <c r="BL3" s="370"/>
      <c r="BM3" s="370"/>
      <c r="BO3" s="32" t="s">
        <v>1339</v>
      </c>
      <c r="BP3" s="32" t="s">
        <v>1340</v>
      </c>
      <c r="BQ3" s="32" t="s">
        <v>200</v>
      </c>
      <c r="BR3" s="32" t="s">
        <v>201</v>
      </c>
      <c r="BS3" s="32" t="s">
        <v>194</v>
      </c>
      <c r="BT3" s="32" t="s">
        <v>202</v>
      </c>
      <c r="BV3" s="32" t="str" cm="1">
        <f t="array" ref="BV3">_xlfn.LET(_xlpm.vlt,Dashboard!$C$101:$C$350,_xlpm.tag,Dashboard!$A$101:$A$350,_xlpm.bad,(_xlpm.tag&lt;&gt;"")*(_xlpm.vlt&lt;&gt;"")*ISNA(MATCH(_xlpm.vlt,Xfmr_VoltStr,0)),IF(SUM(_xlpm.bad)=0,"✓ all voltages recognised",_xlfn.TEXTJOIN(", ",TRUE,_xlfn._xlws.FILTER(_xlpm.tag&amp;" ("&amp;_xlpm.vlt&amp;")",_xlpm.bad=1))))</f>
        <v>✓ all voltages recognised</v>
      </c>
    </row>
    <row r="4" spans="1:74" ht="15" customHeight="1" x14ac:dyDescent="0.35">
      <c r="A4" s="686" t="s">
        <v>198</v>
      </c>
      <c r="B4" s="686" t="s">
        <v>199</v>
      </c>
      <c r="C4" s="686" t="s">
        <v>194</v>
      </c>
      <c r="D4" s="686" t="s">
        <v>200</v>
      </c>
      <c r="E4" s="686" t="s">
        <v>201</v>
      </c>
      <c r="F4" s="686" t="s">
        <v>202</v>
      </c>
      <c r="G4" s="686" t="s">
        <v>203</v>
      </c>
      <c r="H4" s="686" t="s">
        <v>849</v>
      </c>
      <c r="I4" s="686" t="s">
        <v>850</v>
      </c>
      <c r="J4" s="686" t="s">
        <v>851</v>
      </c>
      <c r="K4" s="686" t="s">
        <v>852</v>
      </c>
      <c r="L4" s="686" t="s">
        <v>106</v>
      </c>
      <c r="M4" s="686" t="s">
        <v>853</v>
      </c>
      <c r="N4" s="686" t="s">
        <v>854</v>
      </c>
      <c r="O4" s="686" t="str" cm="1">
        <f t="array" ref="O4">"GEC "&amp;NECREF("250.66")</f>
        <v>GEC 250.66</v>
      </c>
      <c r="P4" s="686" t="str" cm="1">
        <f t="array" ref="P4">"Bonding Jumper "&amp;NECREF("250.102")&amp;"(C)(1)"</f>
        <v>Bonding Jumper 250.102(C)(1)</v>
      </c>
      <c r="Q4" s="686" t="s">
        <v>855</v>
      </c>
      <c r="R4" s="686" t="s">
        <v>206</v>
      </c>
      <c r="S4" s="686" t="s">
        <v>869</v>
      </c>
      <c r="T4" s="686" t="s">
        <v>870</v>
      </c>
      <c r="U4" s="686" t="s">
        <v>873</v>
      </c>
      <c r="V4" s="686" t="s">
        <v>872</v>
      </c>
      <c r="W4" s="693" t="s">
        <v>1350</v>
      </c>
      <c r="X4" s="698" t="s">
        <v>204</v>
      </c>
      <c r="Y4" s="698" t="s">
        <v>861</v>
      </c>
      <c r="Z4" s="693" t="s">
        <v>893</v>
      </c>
      <c r="AA4" s="693" t="s">
        <v>894</v>
      </c>
      <c r="AB4" s="693" t="s">
        <v>1341</v>
      </c>
      <c r="AC4" s="693" t="s">
        <v>1342</v>
      </c>
      <c r="AD4" s="693" t="s">
        <v>1343</v>
      </c>
      <c r="AE4" s="693" t="s">
        <v>1344</v>
      </c>
      <c r="AF4" s="693" t="s">
        <v>1345</v>
      </c>
      <c r="AG4" s="685" t="s">
        <v>862</v>
      </c>
      <c r="AH4" s="685" t="s">
        <v>863</v>
      </c>
      <c r="AI4" s="685" t="s">
        <v>864</v>
      </c>
      <c r="AJ4" s="685" t="s">
        <v>865</v>
      </c>
      <c r="AK4" s="685" t="s">
        <v>866</v>
      </c>
      <c r="AL4" s="685" t="s">
        <v>205</v>
      </c>
      <c r="AM4" s="685" t="s">
        <v>867</v>
      </c>
      <c r="AN4" s="685" t="s">
        <v>868</v>
      </c>
      <c r="AO4" s="685" t="s">
        <v>869</v>
      </c>
      <c r="AP4" s="685" t="s">
        <v>870</v>
      </c>
      <c r="AQ4" s="685" t="s">
        <v>871</v>
      </c>
      <c r="AR4" s="685" t="s">
        <v>872</v>
      </c>
      <c r="AS4" s="685" t="s">
        <v>873</v>
      </c>
      <c r="AT4" s="685" t="s">
        <v>875</v>
      </c>
      <c r="AU4" s="685" t="s">
        <v>874</v>
      </c>
      <c r="AV4" s="685" t="str" cm="1">
        <f t="array" ref="AV4">"GEC "&amp;NECREF("250.66")</f>
        <v>GEC 250.66</v>
      </c>
      <c r="AW4" s="685" t="str" cm="1">
        <f t="array" ref="AW4">"SBJ "&amp;NECREF("250.102")&amp;"(C)(1)"</f>
        <v>SBJ 250.102(C)(1)</v>
      </c>
      <c r="AX4" s="20" t="s">
        <v>1353</v>
      </c>
      <c r="AY4" s="20" t="s">
        <v>1354</v>
      </c>
      <c r="AZ4" s="20" t="s">
        <v>1356</v>
      </c>
      <c r="BG4"/>
      <c r="BH4"/>
      <c r="BI4"/>
      <c r="BJ4"/>
      <c r="BK4"/>
      <c r="BL4"/>
      <c r="BM4"/>
      <c r="BO4" s="264" t="str" cm="1">
        <f t="array" ref="BO4">_xlfn.LET(_xlpm.tag,Dashboard!$A$101:$A$350,_xlpm.vlt,Dashboard!$C$101:$C$350,_xlpm.fed,Dashboard!$D$101:$D$350,_xlpm.kva,Dashboard!$F$101:$F$350,_xlpm.outv,Dashboard!$N$101:$N$350,_xlpm.cv,IFERROR(_xlfn.XLOOKUP(_xlpm.vlt,Xfmr_VoltStr,Xfmr_BaseV),""),_xlpm.pvlt,IFERROR(_xlfn.XLOOKUP(_xlpm.fed,_xlpm.tag,IF(_xlpm.outv&lt;&gt;"",_xlpm.outv,_xlpm.vlt)),""),_xlpm.pv,IFERROR(_xlfn.XLOOKUP(_xlpm.pvlt,Xfmr_VoltStr,Xfmr_BaseV),""),_xlpm.ph,IFERROR(_xlfn.XLOOKUP(_xlpm.vlt,Xfmr_VoltStr,Xfmr_Ph),""),_xlpm.keep,(_xlpm.tag&lt;&gt;"")*(_xlpm.fed&lt;&gt;"")*ISNUMBER(_xlpm.cv)*ISNUMBER(_xlpm.pv)*(_xlpm.cv&lt;&gt;_xlpm.pv),IF(SUM(_xlpm.keep)=0,"",_xlfn._xlws.FILTER(_xlfn.HSTACK(_xlpm.tag,_xlpm.fed,_xlpm.pv,_xlpm.cv,_xlpm.ph,_xlpm.kva),_xlpm.keep=1)))</f>
        <v/>
      </c>
      <c r="BP4" s="264"/>
      <c r="BQ4" s="264"/>
      <c r="BR4" s="264"/>
      <c r="BS4" s="264"/>
      <c r="BT4" s="264"/>
    </row>
    <row r="5" spans="1:74" s="57" customFormat="1" ht="15" customHeight="1" x14ac:dyDescent="0.45">
      <c r="A5" s="686"/>
      <c r="B5" s="686"/>
      <c r="C5" s="686"/>
      <c r="D5" s="686"/>
      <c r="E5" s="686"/>
      <c r="F5" s="686"/>
      <c r="G5" s="686"/>
      <c r="H5" s="686"/>
      <c r="I5" s="686"/>
      <c r="J5" s="686"/>
      <c r="K5" s="686"/>
      <c r="L5" s="686"/>
      <c r="M5" s="686"/>
      <c r="N5" s="686"/>
      <c r="O5" s="686"/>
      <c r="P5" s="686"/>
      <c r="Q5" s="686"/>
      <c r="R5" s="686"/>
      <c r="S5" s="686"/>
      <c r="T5" s="686"/>
      <c r="U5" s="686"/>
      <c r="V5" s="686"/>
      <c r="W5" s="693"/>
      <c r="X5" s="698"/>
      <c r="Y5" s="698"/>
      <c r="Z5" s="693"/>
      <c r="AA5" s="693"/>
      <c r="AB5" s="693"/>
      <c r="AC5" s="693"/>
      <c r="AD5" s="693"/>
      <c r="AE5" s="693"/>
      <c r="AF5" s="693"/>
      <c r="AG5" s="685"/>
      <c r="AH5" s="685"/>
      <c r="AI5" s="685"/>
      <c r="AJ5" s="685"/>
      <c r="AK5" s="685"/>
      <c r="AL5" s="685"/>
      <c r="AM5" s="685"/>
      <c r="AN5" s="685"/>
      <c r="AO5" s="685"/>
      <c r="AP5" s="685"/>
      <c r="AQ5" s="685"/>
      <c r="AR5" s="685"/>
      <c r="AS5" s="685"/>
      <c r="AT5" s="685"/>
      <c r="AU5" s="685"/>
      <c r="AV5" s="685"/>
      <c r="AW5" s="685"/>
      <c r="BG5"/>
      <c r="BH5"/>
      <c r="BI5"/>
      <c r="BJ5"/>
      <c r="BK5"/>
      <c r="BL5"/>
      <c r="BM5"/>
      <c r="BO5" s="28"/>
      <c r="BP5" s="28"/>
      <c r="BQ5" s="28"/>
      <c r="BR5" s="28"/>
      <c r="BS5" s="28"/>
      <c r="BT5" s="28"/>
    </row>
    <row r="6" spans="1:74" ht="15" customHeight="1" x14ac:dyDescent="0.35">
      <c r="A6" s="362" t="str" cm="1">
        <f t="array" ref="A6">IFERROR(IF(INDEX(_xlfn.ANCHORARRAY($BO$4),ROW()-5,1)="","","T-"&amp;INDEX(_xlfn.ANCHORARRAY($BO$4),ROW()-5,1)),"")</f>
        <v/>
      </c>
      <c r="B6" s="362" t="str" cm="1">
        <f t="array" ref="B6">IFERROR(IF(INDEX(_xlfn.ANCHORARRAY($BO$4),ROW()-5,1)="","",INDEX(_xlfn.ANCHORARRAY($BO$4),ROW()-5,1)),"")</f>
        <v/>
      </c>
      <c r="C6" s="362" t="str" cm="1">
        <f t="array" ref="C6">IFERROR(INDEX(_xlfn.ANCHORARRAY($BO$4),ROW()-5,5),"")</f>
        <v/>
      </c>
      <c r="D6" s="362" t="str" cm="1">
        <f t="array" ref="D6">IFERROR(INDEX(_xlfn.ANCHORARRAY($BO$4),ROW()-5,3),"")</f>
        <v/>
      </c>
      <c r="E6" s="362" t="str" cm="1">
        <f t="array" ref="E6">IFERROR(INDEX(_xlfn.ANCHORARRAY($BO$4),ROW()-5,4),"")</f>
        <v/>
      </c>
      <c r="F6" s="36" t="str" cm="1">
        <f t="array" ref="F6">IFERROR(INDEX(_xlfn.ANCHORARRAY($BO$4),ROW()-5,6),"")</f>
        <v/>
      </c>
      <c r="G6" s="362" t="str" cm="1">
        <f t="array" ref="G6">IF($F6="","",_xlfn.LET(_xlpm.ov,N(IFERROR(_xlfn.XLOOKUP($B6,Dashboard!$A$101:$A$350,Dashboard!$O$101:$O$350,0),0)),_xlpm.need,MAX(N($F6),_xlpm.ov*N($E6)*IF($C6=3,SQRT(3),1)/1000),IFERROR(INDEX(IF($C6=1,Xfmr1_kVA,Xfmr3_kVA),MATCH(TRUE,IF($C6=1,Xfmr1_kVA,Xfmr3_kVA)&gt;=_xlpm.need,0)),"OVER")))</f>
        <v/>
      </c>
      <c r="H6" s="362" t="str">
        <f t="shared" ref="H6:H37" si="0">IF($AB6&lt;&gt;"",$AB6,IF($D6="","",IFERROR(_xlfn.XLOOKUP($D6,Xfmr_BaseV,Xfmr_Conn),"")))</f>
        <v/>
      </c>
      <c r="I6" s="168" t="str">
        <f t="shared" ref="I6:I37" si="1">IF($AC6&lt;&gt;"",$AC6,IF($E6="","",IFERROR(_xlfn.XLOOKUP($E6,Xfmr_BaseV,Xfmr_Conn),"")))</f>
        <v/>
      </c>
      <c r="J6" s="362" t="str">
        <f t="shared" ref="J6:J37" si="2">IF($AD6&lt;&gt;"",$AD6,IF($B6="","",Xfmr_DefType))</f>
        <v/>
      </c>
      <c r="K6" s="362" t="str">
        <f t="shared" ref="K6:K37" si="3">IF($AE6&lt;&gt;"",$AE6,IF($B6="","",Xfmr_DefTaps))</f>
        <v/>
      </c>
      <c r="L6" s="362" t="str">
        <f t="shared" ref="L6:L37" si="4">IF($AF6&lt;&gt;"",$AF6,IF($B6="","",Xfmr_DefEncl))</f>
        <v/>
      </c>
      <c r="M6" s="168" t="str" cm="1">
        <f t="array" ref="M6">IF($Z6&lt;&gt;"",$Z6,IFERROR(IF($AJ6="","",INDEX(OCPD_List,MATCH(TRUE,OCPD_List&gt;=1.25*$AJ6,0))),"—"))</f>
        <v/>
      </c>
      <c r="N6" s="168" t="str" cm="1">
        <f t="array" ref="N6">IF($AA6&lt;&gt;"",$AA6,IFERROR(IF($AK6="","",INDEX(OCPD_List,MATCH(TRUE,OCPD_List&gt;=1.25*$AK6,0))),"—"))</f>
        <v/>
      </c>
      <c r="O6" s="171" t="str">
        <f t="shared" ref="O6:O37" si="5">IF($A6="","",$AV6)</f>
        <v/>
      </c>
      <c r="P6" s="171" t="str">
        <f t="shared" ref="P6:P37" si="6">IF($A6="","",$AW6)</f>
        <v/>
      </c>
      <c r="Q6" s="78" t="str">
        <f t="shared" ref="Q6:Q37" si="7">IF(OR($F6="",$G6="",$G6="OVER"),"",$F6/$G6)</f>
        <v/>
      </c>
      <c r="R6" s="371"/>
      <c r="S6" s="481" t="str">
        <f t="shared" ref="S6:S37" si="8">IF($A6="","",$AO6)</f>
        <v/>
      </c>
      <c r="T6" s="482" t="str">
        <f t="shared" ref="T6:T37" si="9">IF($A6="","",$AP6)</f>
        <v/>
      </c>
      <c r="U6" s="482" t="str">
        <f t="shared" ref="U6:U37" si="10">IF($A6="","",$AS6)</f>
        <v/>
      </c>
      <c r="V6" s="482" t="str">
        <f t="shared" ref="V6:V37" si="11">IF($A6="","",$AR6)</f>
        <v/>
      </c>
      <c r="W6" s="169"/>
      <c r="X6" s="169"/>
      <c r="Y6" s="169"/>
      <c r="Z6" s="256"/>
      <c r="AA6" s="256"/>
      <c r="AB6" s="483"/>
      <c r="AC6" s="483"/>
      <c r="AD6" s="483"/>
      <c r="AE6" s="483"/>
      <c r="AF6" s="483"/>
      <c r="AG6" s="252" t="str">
        <f t="shared" ref="AG6:AG37" si="12">IF(OR($AX6="",$G6="",$G6="OVER"),"",$AX6/SQRT(1+$AH6^2))</f>
        <v/>
      </c>
      <c r="AH6" s="252" t="str">
        <f t="shared" ref="AH6:AH37" si="13">IF(OR($AX6="",$G6="",$G6="OVER"),"",IF(AND($Y6&lt;&gt;"",$Y6&gt;0),SQRT(MAX($AX6^2-($Y6/$G6*100)^2,0))/($Y6/$G6*100),IFERROR(INDEX(XR_Typ,MATCH($G6,XR_kVA,1)),3)))</f>
        <v/>
      </c>
      <c r="AI6" s="252" t="str">
        <f t="shared" ref="AI6:AI37" si="14">IF(OR($AX6="",$G6="",$G6="OVER"),"",$AX6*$AH6/SQRT(1+$AH6^2))</f>
        <v/>
      </c>
      <c r="AJ6" s="252" t="str">
        <f t="shared" ref="AJ6:AJ37" si="15">IF(OR($G6="",$G6="OVER",$D6=""),"",$G6*1000/(IF($C6=3,SQRT3,1)*$D6))</f>
        <v/>
      </c>
      <c r="AK6" s="252" t="str">
        <f t="shared" ref="AK6:AK37" si="16">IF(OR($G6="",$G6="OVER",$E6=""),"",$G6*1000/(IF($C6=3,SQRT3,1)*$E6))</f>
        <v/>
      </c>
      <c r="AL6" s="253" t="str" cm="1">
        <f t="array" ref="AL6">IFERROR(IF(INDEX(_xlfn.ANCHORARRAY($BO$4),ROW()-5,2)="","",_xlfn.XLOOKUP(INDEX(_xlfn.ANCHORARRAY($BO$4),ROW()-5,2),'Short Circuit'!$A$6:$A$255,'Short Circuit'!$J$6:$J$255,"")),"")</f>
        <v/>
      </c>
      <c r="AM6" s="252" t="str">
        <f t="shared" ref="AM6:AM37" si="17">IF(OR($AX6="",$AJ6=""),"",$AG6+IF(OR($AL6="",$AL6=0),0,($AJ6/$AL6*100)/SQRT(1+$AY6^2)))</f>
        <v/>
      </c>
      <c r="AN6" s="252" t="str">
        <f t="shared" ref="AN6:AN37" si="18">IF(OR($AX6="",$AJ6=""),"",$AI6+IF(OR($AL6="",$AL6=0),0,($AJ6/$AL6*100)*$AY6/SQRT(1+$AY6^2)))</f>
        <v/>
      </c>
      <c r="AO6" s="252" t="str">
        <f t="shared" ref="AO6:AO37" si="19">IF($AM6="","",SQRT($AM6^2+$AN6^2))</f>
        <v/>
      </c>
      <c r="AP6" s="253" t="str">
        <f t="shared" ref="AP6:AP37" si="20">IF(OR($AK6="",$AO6=""),"",$AK6*100/$AO6)</f>
        <v/>
      </c>
      <c r="AQ6" s="253" t="str">
        <f t="shared" ref="AQ6:AQ37" si="21">IF($AP6="","",$AP6*SQRT(2)*(1+EXP(-PI()/($AN6/$AM6))))</f>
        <v/>
      </c>
      <c r="AR6" s="253" t="str">
        <f t="shared" ref="AR6:AR37" si="22">IF($AJ6="","",$AJ6*Xfmr_Inrush)</f>
        <v/>
      </c>
      <c r="AS6" s="253" t="str" cm="1">
        <f t="array" ref="AS6">IFERROR(IF($AP6="","",INDEX(AIC_List,MATCH(TRUE,AIC_List&gt;=$AP6,0))),"⚠ &gt; 200 kA")</f>
        <v/>
      </c>
      <c r="AT6" s="253" t="str">
        <f t="shared" ref="AT6:AT37" si="23">IF($AK6="","",MAX(1,ROUNDUP(1.25*$AK6/475,0)))</f>
        <v/>
      </c>
      <c r="AU6" s="372" t="str" cm="1">
        <f t="array" ref="AU6">IFERROR(IF($AK6="","",INDEX(Ampacity_Size,MATCH(TRUE,Ampacity_Cu&gt;=1.25*$AK6/$AT6,0))),"—")</f>
        <v/>
      </c>
      <c r="AV6" s="372" t="str" cm="1">
        <f t="array" ref="AV6">IF($AU6="","",IFERROR(INDEX(Gec_Cu,MATCH(TRUE,Gec_CM&gt;=INDEX(Ampacity_CM,MATCH($AU6,Ampacity_Size,0))*$AT6,0)),"—"))</f>
        <v/>
      </c>
      <c r="AW6" s="372" t="str" cm="1">
        <f t="array" ref="AW6">IF($AU6="","",IFERROR(IF(INDEX(Ampacity_CM,MATCH($AU6,Ampacity_Size,0))*$AT6&gt;1100000,"12.5% of phase area",INDEX(Gec_Cu,MATCH(TRUE,Gec_CM&gt;=INDEX(Ampacity_CM,MATCH($AU6,Ampacity_Size,0))*$AT6,0))),"—"))</f>
        <v/>
      </c>
      <c r="AX6" s="533" t="str">
        <f t="shared" ref="AX6:AX37" si="24">IF($B6="","",IF($X6&lt;&gt;"",$X6,Xfmr_DefZ))</f>
        <v/>
      </c>
      <c r="AY6" s="533" t="str">
        <f t="shared" ref="AY6:AY37" si="25">IF($B6="","",IF($W6&lt;&gt;"",$W6,Xfmr_DefXR))</f>
        <v/>
      </c>
      <c r="AZ6" s="20" t="str">
        <f t="shared" ref="AZ6:AZ37" si="26">IF(OR($AR6="",$M6="",$M6="—"),"",IF($AR6&gt;10*$M6,"Inrush "&amp;TEXT($AR6,"#,##0")&amp;"A exceeds 10x the "&amp;TEXT($M6,"#,##0")&amp;"A primary device — check the trip curve or raise the instantaneous setting",""))</f>
        <v/>
      </c>
      <c r="BG6"/>
      <c r="BH6"/>
      <c r="BI6"/>
      <c r="BJ6"/>
      <c r="BK6"/>
      <c r="BL6"/>
      <c r="BM6"/>
      <c r="BO6" s="264"/>
      <c r="BP6" s="264"/>
      <c r="BQ6" s="264"/>
      <c r="BR6" s="264"/>
      <c r="BS6" s="264"/>
      <c r="BT6" s="264"/>
    </row>
    <row r="7" spans="1:74" ht="15" customHeight="1" x14ac:dyDescent="0.35">
      <c r="A7" s="362" t="str" cm="1">
        <f t="array" ref="A7">IFERROR(IF(INDEX(_xlfn.ANCHORARRAY($BO$4),ROW()-5,1)="","","T-"&amp;INDEX(_xlfn.ANCHORARRAY($BO$4),ROW()-5,1)),"")</f>
        <v/>
      </c>
      <c r="B7" s="362" t="str" cm="1">
        <f t="array" ref="B7">IFERROR(IF(INDEX(_xlfn.ANCHORARRAY($BO$4),ROW()-5,1)="","",INDEX(_xlfn.ANCHORARRAY($BO$4),ROW()-5,1)),"")</f>
        <v/>
      </c>
      <c r="C7" s="362" t="str" cm="1">
        <f t="array" ref="C7">IFERROR(INDEX(_xlfn.ANCHORARRAY($BO$4),ROW()-5,5),"")</f>
        <v/>
      </c>
      <c r="D7" s="362" t="str" cm="1">
        <f t="array" ref="D7">IFERROR(INDEX(_xlfn.ANCHORARRAY($BO$4),ROW()-5,3),"")</f>
        <v/>
      </c>
      <c r="E7" s="362" t="str" cm="1">
        <f t="array" ref="E7">IFERROR(INDEX(_xlfn.ANCHORARRAY($BO$4),ROW()-5,4),"")</f>
        <v/>
      </c>
      <c r="F7" s="36" t="str" cm="1">
        <f t="array" ref="F7">IFERROR(INDEX(_xlfn.ANCHORARRAY($BO$4),ROW()-5,6),"")</f>
        <v/>
      </c>
      <c r="G7" s="362" t="str" cm="1">
        <f t="array" ref="G7">IF($F7="","",_xlfn.LET(_xlpm.ov,N(IFERROR(_xlfn.XLOOKUP($B7,Dashboard!$A$101:$A$350,Dashboard!$O$101:$O$350,0),0)),_xlpm.need,MAX(N($F7),_xlpm.ov*N($E7)*IF($C7=3,SQRT(3),1)/1000),IFERROR(INDEX(IF($C7=1,Xfmr1_kVA,Xfmr3_kVA),MATCH(TRUE,IF($C7=1,Xfmr1_kVA,Xfmr3_kVA)&gt;=_xlpm.need,0)),"OVER")))</f>
        <v/>
      </c>
      <c r="H7" s="362" t="str">
        <f t="shared" si="0"/>
        <v/>
      </c>
      <c r="I7" s="168" t="str">
        <f t="shared" si="1"/>
        <v/>
      </c>
      <c r="J7" s="362" t="str">
        <f t="shared" si="2"/>
        <v/>
      </c>
      <c r="K7" s="362" t="str">
        <f t="shared" si="3"/>
        <v/>
      </c>
      <c r="L7" s="362" t="str">
        <f t="shared" si="4"/>
        <v/>
      </c>
      <c r="M7" s="168" t="str" cm="1">
        <f t="array" ref="M7">IF($Z7&lt;&gt;"",$Z7,IFERROR(IF($AJ7="","",INDEX(OCPD_List,MATCH(TRUE,OCPD_List&gt;=1.25*$AJ7,0))),"—"))</f>
        <v/>
      </c>
      <c r="N7" s="168" t="str" cm="1">
        <f t="array" ref="N7">IF($AA7&lt;&gt;"",$AA7,IFERROR(IF($AK7="","",INDEX(OCPD_List,MATCH(TRUE,OCPD_List&gt;=1.25*$AK7,0))),"—"))</f>
        <v/>
      </c>
      <c r="O7" s="171" t="str">
        <f t="shared" si="5"/>
        <v/>
      </c>
      <c r="P7" s="171" t="str">
        <f t="shared" si="6"/>
        <v/>
      </c>
      <c r="Q7" s="78" t="str">
        <f t="shared" si="7"/>
        <v/>
      </c>
      <c r="R7" s="371"/>
      <c r="S7" s="481" t="str">
        <f t="shared" si="8"/>
        <v/>
      </c>
      <c r="T7" s="482" t="str">
        <f t="shared" si="9"/>
        <v/>
      </c>
      <c r="U7" s="482" t="str">
        <f t="shared" si="10"/>
        <v/>
      </c>
      <c r="V7" s="482" t="str">
        <f t="shared" si="11"/>
        <v/>
      </c>
      <c r="W7" s="169"/>
      <c r="X7" s="169"/>
      <c r="Y7" s="169"/>
      <c r="Z7" s="251"/>
      <c r="AA7" s="251"/>
      <c r="AB7" s="483"/>
      <c r="AC7" s="483"/>
      <c r="AD7" s="483"/>
      <c r="AE7" s="483"/>
      <c r="AF7" s="483"/>
      <c r="AG7" s="254" t="str">
        <f t="shared" si="12"/>
        <v/>
      </c>
      <c r="AH7" s="254" t="str">
        <f t="shared" si="13"/>
        <v/>
      </c>
      <c r="AI7" s="254" t="str">
        <f t="shared" si="14"/>
        <v/>
      </c>
      <c r="AJ7" s="254" t="str">
        <f t="shared" si="15"/>
        <v/>
      </c>
      <c r="AK7" s="254" t="str">
        <f t="shared" si="16"/>
        <v/>
      </c>
      <c r="AL7" s="255" t="str" cm="1">
        <f t="array" ref="AL7">IFERROR(IF(INDEX(_xlfn.ANCHORARRAY($BO$4),ROW()-5,2)="","",_xlfn.XLOOKUP(INDEX(_xlfn.ANCHORARRAY($BO$4),ROW()-5,2),'Short Circuit'!$A$6:$A$255,'Short Circuit'!$J$6:$J$255,"")),"")</f>
        <v/>
      </c>
      <c r="AM7" s="254" t="str">
        <f t="shared" si="17"/>
        <v/>
      </c>
      <c r="AN7" s="254" t="str">
        <f t="shared" si="18"/>
        <v/>
      </c>
      <c r="AO7" s="254" t="str">
        <f t="shared" si="19"/>
        <v/>
      </c>
      <c r="AP7" s="255" t="str">
        <f t="shared" si="20"/>
        <v/>
      </c>
      <c r="AQ7" s="255" t="str">
        <f t="shared" si="21"/>
        <v/>
      </c>
      <c r="AR7" s="255" t="str">
        <f t="shared" si="22"/>
        <v/>
      </c>
      <c r="AS7" s="255" t="str" cm="1">
        <f t="array" ref="AS7">IFERROR(IF($AP7="","",INDEX(AIC_List,MATCH(TRUE,AIC_List&gt;=$AP7,0))),"⚠ &gt; 200 kA")</f>
        <v/>
      </c>
      <c r="AT7" s="255" t="str">
        <f t="shared" si="23"/>
        <v/>
      </c>
      <c r="AU7" s="290" t="str" cm="1">
        <f t="array" ref="AU7">IFERROR(IF($AK7="","",INDEX(Ampacity_Size,MATCH(TRUE,Ampacity_Cu&gt;=1.25*$AK7/$AT7,0))),"—")</f>
        <v/>
      </c>
      <c r="AV7" s="290" t="str" cm="1">
        <f t="array" ref="AV7">IF($AU7="","",IFERROR(INDEX(Gec_Cu,MATCH(TRUE,Gec_CM&gt;=INDEX(Ampacity_CM,MATCH($AU7,Ampacity_Size,0))*$AT7,0)),"—"))</f>
        <v/>
      </c>
      <c r="AW7" s="290" t="str" cm="1">
        <f t="array" ref="AW7">IF($AU7="","",IFERROR(IF(INDEX(Ampacity_CM,MATCH($AU7,Ampacity_Size,0))*$AT7&gt;1100000,"12.5% of phase area",INDEX(Gec_Cu,MATCH(TRUE,Gec_CM&gt;=INDEX(Ampacity_CM,MATCH($AU7,Ampacity_Size,0))*$AT7,0))),"—"))</f>
        <v/>
      </c>
      <c r="AX7" s="533" t="str">
        <f t="shared" si="24"/>
        <v/>
      </c>
      <c r="AY7" s="533" t="str">
        <f t="shared" si="25"/>
        <v/>
      </c>
      <c r="AZ7" s="20" t="str">
        <f t="shared" si="26"/>
        <v/>
      </c>
      <c r="BG7"/>
      <c r="BH7"/>
      <c r="BI7"/>
      <c r="BJ7"/>
      <c r="BK7"/>
      <c r="BL7"/>
      <c r="BM7"/>
      <c r="BO7" s="264"/>
      <c r="BP7" s="264"/>
      <c r="BQ7" s="264"/>
      <c r="BR7" s="264"/>
      <c r="BS7" s="264"/>
      <c r="BT7" s="264"/>
    </row>
    <row r="8" spans="1:74" ht="15" customHeight="1" x14ac:dyDescent="0.35">
      <c r="A8" s="362" t="str" cm="1">
        <f t="array" ref="A8">IFERROR(IF(INDEX(_xlfn.ANCHORARRAY($BO$4),ROW()-5,1)="","","T-"&amp;INDEX(_xlfn.ANCHORARRAY($BO$4),ROW()-5,1)),"")</f>
        <v/>
      </c>
      <c r="B8" s="362" t="str" cm="1">
        <f t="array" ref="B8">IFERROR(IF(INDEX(_xlfn.ANCHORARRAY($BO$4),ROW()-5,1)="","",INDEX(_xlfn.ANCHORARRAY($BO$4),ROW()-5,1)),"")</f>
        <v/>
      </c>
      <c r="C8" s="362" t="str" cm="1">
        <f t="array" ref="C8">IFERROR(INDEX(_xlfn.ANCHORARRAY($BO$4),ROW()-5,5),"")</f>
        <v/>
      </c>
      <c r="D8" s="362" t="str" cm="1">
        <f t="array" ref="D8">IFERROR(INDEX(_xlfn.ANCHORARRAY($BO$4),ROW()-5,3),"")</f>
        <v/>
      </c>
      <c r="E8" s="362" t="str" cm="1">
        <f t="array" ref="E8">IFERROR(INDEX(_xlfn.ANCHORARRAY($BO$4),ROW()-5,4),"")</f>
        <v/>
      </c>
      <c r="F8" s="36" t="str" cm="1">
        <f t="array" ref="F8">IFERROR(INDEX(_xlfn.ANCHORARRAY($BO$4),ROW()-5,6),"")</f>
        <v/>
      </c>
      <c r="G8" s="362" t="str" cm="1">
        <f t="array" ref="G8">IF($F8="","",_xlfn.LET(_xlpm.ov,N(IFERROR(_xlfn.XLOOKUP($B8,Dashboard!$A$101:$A$350,Dashboard!$O$101:$O$350,0),0)),_xlpm.need,MAX(N($F8),_xlpm.ov*N($E8)*IF($C8=3,SQRT(3),1)/1000),IFERROR(INDEX(IF($C8=1,Xfmr1_kVA,Xfmr3_kVA),MATCH(TRUE,IF($C8=1,Xfmr1_kVA,Xfmr3_kVA)&gt;=_xlpm.need,0)),"OVER")))</f>
        <v/>
      </c>
      <c r="H8" s="362" t="str">
        <f t="shared" si="0"/>
        <v/>
      </c>
      <c r="I8" s="168" t="str">
        <f t="shared" si="1"/>
        <v/>
      </c>
      <c r="J8" s="362" t="str">
        <f t="shared" si="2"/>
        <v/>
      </c>
      <c r="K8" s="362" t="str">
        <f t="shared" si="3"/>
        <v/>
      </c>
      <c r="L8" s="362" t="str">
        <f t="shared" si="4"/>
        <v/>
      </c>
      <c r="M8" s="168" t="str" cm="1">
        <f t="array" ref="M8">IF($Z8&lt;&gt;"",$Z8,IFERROR(IF($AJ8="","",INDEX(OCPD_List,MATCH(TRUE,OCPD_List&gt;=1.25*$AJ8,0))),"—"))</f>
        <v/>
      </c>
      <c r="N8" s="168" t="str" cm="1">
        <f t="array" ref="N8">IF($AA8&lt;&gt;"",$AA8,IFERROR(IF($AK8="","",INDEX(OCPD_List,MATCH(TRUE,OCPD_List&gt;=1.25*$AK8,0))),"—"))</f>
        <v/>
      </c>
      <c r="O8" s="171" t="str">
        <f t="shared" si="5"/>
        <v/>
      </c>
      <c r="P8" s="171" t="str">
        <f t="shared" si="6"/>
        <v/>
      </c>
      <c r="Q8" s="78" t="str">
        <f t="shared" si="7"/>
        <v/>
      </c>
      <c r="R8" s="371"/>
      <c r="S8" s="481" t="str">
        <f t="shared" si="8"/>
        <v/>
      </c>
      <c r="T8" s="482" t="str">
        <f t="shared" si="9"/>
        <v/>
      </c>
      <c r="U8" s="482" t="str">
        <f t="shared" si="10"/>
        <v/>
      </c>
      <c r="V8" s="482" t="str">
        <f t="shared" si="11"/>
        <v/>
      </c>
      <c r="W8" s="169"/>
      <c r="X8" s="169"/>
      <c r="Y8" s="169"/>
      <c r="Z8" s="251"/>
      <c r="AA8" s="251"/>
      <c r="AB8" s="483"/>
      <c r="AC8" s="483"/>
      <c r="AD8" s="483"/>
      <c r="AE8" s="483"/>
      <c r="AF8" s="483"/>
      <c r="AG8" s="254" t="str">
        <f t="shared" si="12"/>
        <v/>
      </c>
      <c r="AH8" s="254" t="str">
        <f t="shared" si="13"/>
        <v/>
      </c>
      <c r="AI8" s="254" t="str">
        <f t="shared" si="14"/>
        <v/>
      </c>
      <c r="AJ8" s="254" t="str">
        <f t="shared" si="15"/>
        <v/>
      </c>
      <c r="AK8" s="254" t="str">
        <f t="shared" si="16"/>
        <v/>
      </c>
      <c r="AL8" s="255" t="str" cm="1">
        <f t="array" ref="AL8">IFERROR(IF(INDEX(_xlfn.ANCHORARRAY($BO$4),ROW()-5,2)="","",_xlfn.XLOOKUP(INDEX(_xlfn.ANCHORARRAY($BO$4),ROW()-5,2),'Short Circuit'!$A$6:$A$255,'Short Circuit'!$J$6:$J$255,"")),"")</f>
        <v/>
      </c>
      <c r="AM8" s="254" t="str">
        <f t="shared" si="17"/>
        <v/>
      </c>
      <c r="AN8" s="254" t="str">
        <f t="shared" si="18"/>
        <v/>
      </c>
      <c r="AO8" s="254" t="str">
        <f t="shared" si="19"/>
        <v/>
      </c>
      <c r="AP8" s="255" t="str">
        <f t="shared" si="20"/>
        <v/>
      </c>
      <c r="AQ8" s="255" t="str">
        <f t="shared" si="21"/>
        <v/>
      </c>
      <c r="AR8" s="255" t="str">
        <f t="shared" si="22"/>
        <v/>
      </c>
      <c r="AS8" s="255" t="str" cm="1">
        <f t="array" ref="AS8">IFERROR(IF($AP8="","",INDEX(AIC_List,MATCH(TRUE,AIC_List&gt;=$AP8,0))),"⚠ &gt; 200 kA")</f>
        <v/>
      </c>
      <c r="AT8" s="255" t="str">
        <f t="shared" si="23"/>
        <v/>
      </c>
      <c r="AU8" s="290" t="str" cm="1">
        <f t="array" ref="AU8">IFERROR(IF($AK8="","",INDEX(Ampacity_Size,MATCH(TRUE,Ampacity_Cu&gt;=1.25*$AK8/$AT8,0))),"—")</f>
        <v/>
      </c>
      <c r="AV8" s="290" t="str" cm="1">
        <f t="array" ref="AV8">IF($AU8="","",IFERROR(INDEX(Gec_Cu,MATCH(TRUE,Gec_CM&gt;=INDEX(Ampacity_CM,MATCH($AU8,Ampacity_Size,0))*$AT8,0)),"—"))</f>
        <v/>
      </c>
      <c r="AW8" s="290" t="str" cm="1">
        <f t="array" ref="AW8">IF($AU8="","",IFERROR(IF(INDEX(Ampacity_CM,MATCH($AU8,Ampacity_Size,0))*$AT8&gt;1100000,"12.5% of phase area",INDEX(Gec_Cu,MATCH(TRUE,Gec_CM&gt;=INDEX(Ampacity_CM,MATCH($AU8,Ampacity_Size,0))*$AT8,0))),"—"))</f>
        <v/>
      </c>
      <c r="AX8" s="533" t="str">
        <f t="shared" si="24"/>
        <v/>
      </c>
      <c r="AY8" s="533" t="str">
        <f t="shared" si="25"/>
        <v/>
      </c>
      <c r="AZ8" s="20" t="str">
        <f t="shared" si="26"/>
        <v/>
      </c>
      <c r="BG8"/>
      <c r="BH8"/>
      <c r="BI8"/>
      <c r="BJ8"/>
      <c r="BK8"/>
      <c r="BL8"/>
      <c r="BM8"/>
      <c r="BO8" s="264"/>
      <c r="BP8" s="264"/>
      <c r="BQ8" s="264"/>
      <c r="BR8" s="264"/>
      <c r="BS8" s="264"/>
      <c r="BT8" s="264"/>
    </row>
    <row r="9" spans="1:74" ht="15" customHeight="1" x14ac:dyDescent="0.35">
      <c r="A9" s="362" t="str" cm="1">
        <f t="array" ref="A9">IFERROR(IF(INDEX(_xlfn.ANCHORARRAY($BO$4),ROW()-5,1)="","","T-"&amp;INDEX(_xlfn.ANCHORARRAY($BO$4),ROW()-5,1)),"")</f>
        <v/>
      </c>
      <c r="B9" s="362" t="str" cm="1">
        <f t="array" ref="B9">IFERROR(IF(INDEX(_xlfn.ANCHORARRAY($BO$4),ROW()-5,1)="","",INDEX(_xlfn.ANCHORARRAY($BO$4),ROW()-5,1)),"")</f>
        <v/>
      </c>
      <c r="C9" s="362" t="str" cm="1">
        <f t="array" ref="C9">IFERROR(INDEX(_xlfn.ANCHORARRAY($BO$4),ROW()-5,5),"")</f>
        <v/>
      </c>
      <c r="D9" s="362" t="str" cm="1">
        <f t="array" ref="D9">IFERROR(INDEX(_xlfn.ANCHORARRAY($BO$4),ROW()-5,3),"")</f>
        <v/>
      </c>
      <c r="E9" s="362" t="str" cm="1">
        <f t="array" ref="E9">IFERROR(INDEX(_xlfn.ANCHORARRAY($BO$4),ROW()-5,4),"")</f>
        <v/>
      </c>
      <c r="F9" s="36" t="str" cm="1">
        <f t="array" ref="F9">IFERROR(INDEX(_xlfn.ANCHORARRAY($BO$4),ROW()-5,6),"")</f>
        <v/>
      </c>
      <c r="G9" s="362" t="str" cm="1">
        <f t="array" ref="G9">IF($F9="","",_xlfn.LET(_xlpm.ov,N(IFERROR(_xlfn.XLOOKUP($B9,Dashboard!$A$101:$A$350,Dashboard!$O$101:$O$350,0),0)),_xlpm.need,MAX(N($F9),_xlpm.ov*N($E9)*IF($C9=3,SQRT(3),1)/1000),IFERROR(INDEX(IF($C9=1,Xfmr1_kVA,Xfmr3_kVA),MATCH(TRUE,IF($C9=1,Xfmr1_kVA,Xfmr3_kVA)&gt;=_xlpm.need,0)),"OVER")))</f>
        <v/>
      </c>
      <c r="H9" s="362" t="str">
        <f t="shared" si="0"/>
        <v/>
      </c>
      <c r="I9" s="168" t="str">
        <f t="shared" si="1"/>
        <v/>
      </c>
      <c r="J9" s="362" t="str">
        <f t="shared" si="2"/>
        <v/>
      </c>
      <c r="K9" s="362" t="str">
        <f t="shared" si="3"/>
        <v/>
      </c>
      <c r="L9" s="362" t="str">
        <f t="shared" si="4"/>
        <v/>
      </c>
      <c r="M9" s="168" t="str" cm="1">
        <f t="array" ref="M9">IF($Z9&lt;&gt;"",$Z9,IFERROR(IF($AJ9="","",INDEX(OCPD_List,MATCH(TRUE,OCPD_List&gt;=1.25*$AJ9,0))),"—"))</f>
        <v/>
      </c>
      <c r="N9" s="168" t="str" cm="1">
        <f t="array" ref="N9">IF($AA9&lt;&gt;"",$AA9,IFERROR(IF($AK9="","",INDEX(OCPD_List,MATCH(TRUE,OCPD_List&gt;=1.25*$AK9,0))),"—"))</f>
        <v/>
      </c>
      <c r="O9" s="171" t="str">
        <f t="shared" si="5"/>
        <v/>
      </c>
      <c r="P9" s="171" t="str">
        <f t="shared" si="6"/>
        <v/>
      </c>
      <c r="Q9" s="78" t="str">
        <f t="shared" si="7"/>
        <v/>
      </c>
      <c r="R9" s="371"/>
      <c r="S9" s="481" t="str">
        <f t="shared" si="8"/>
        <v/>
      </c>
      <c r="T9" s="482" t="str">
        <f t="shared" si="9"/>
        <v/>
      </c>
      <c r="U9" s="482" t="str">
        <f t="shared" si="10"/>
        <v/>
      </c>
      <c r="V9" s="482" t="str">
        <f t="shared" si="11"/>
        <v/>
      </c>
      <c r="W9" s="169"/>
      <c r="X9" s="169"/>
      <c r="Y9" s="169"/>
      <c r="Z9" s="251"/>
      <c r="AA9" s="251"/>
      <c r="AB9" s="483"/>
      <c r="AC9" s="483"/>
      <c r="AD9" s="483"/>
      <c r="AE9" s="483"/>
      <c r="AF9" s="483"/>
      <c r="AG9" s="254" t="str">
        <f t="shared" si="12"/>
        <v/>
      </c>
      <c r="AH9" s="254" t="str">
        <f t="shared" si="13"/>
        <v/>
      </c>
      <c r="AI9" s="254" t="str">
        <f t="shared" si="14"/>
        <v/>
      </c>
      <c r="AJ9" s="254" t="str">
        <f t="shared" si="15"/>
        <v/>
      </c>
      <c r="AK9" s="254" t="str">
        <f t="shared" si="16"/>
        <v/>
      </c>
      <c r="AL9" s="255" t="str" cm="1">
        <f t="array" ref="AL9">IFERROR(IF(INDEX(_xlfn.ANCHORARRAY($BO$4),ROW()-5,2)="","",_xlfn.XLOOKUP(INDEX(_xlfn.ANCHORARRAY($BO$4),ROW()-5,2),'Short Circuit'!$A$6:$A$255,'Short Circuit'!$J$6:$J$255,"")),"")</f>
        <v/>
      </c>
      <c r="AM9" s="254" t="str">
        <f t="shared" si="17"/>
        <v/>
      </c>
      <c r="AN9" s="254" t="str">
        <f t="shared" si="18"/>
        <v/>
      </c>
      <c r="AO9" s="254" t="str">
        <f t="shared" si="19"/>
        <v/>
      </c>
      <c r="AP9" s="255" t="str">
        <f t="shared" si="20"/>
        <v/>
      </c>
      <c r="AQ9" s="255" t="str">
        <f t="shared" si="21"/>
        <v/>
      </c>
      <c r="AR9" s="255" t="str">
        <f t="shared" si="22"/>
        <v/>
      </c>
      <c r="AS9" s="255" t="str" cm="1">
        <f t="array" ref="AS9">IFERROR(IF($AP9="","",INDEX(AIC_List,MATCH(TRUE,AIC_List&gt;=$AP9,0))),"⚠ &gt; 200 kA")</f>
        <v/>
      </c>
      <c r="AT9" s="255" t="str">
        <f t="shared" si="23"/>
        <v/>
      </c>
      <c r="AU9" s="290" t="str" cm="1">
        <f t="array" ref="AU9">IFERROR(IF($AK9="","",INDEX(Ampacity_Size,MATCH(TRUE,Ampacity_Cu&gt;=1.25*$AK9/$AT9,0))),"—")</f>
        <v/>
      </c>
      <c r="AV9" s="290" t="str" cm="1">
        <f t="array" ref="AV9">IF($AU9="","",IFERROR(INDEX(Gec_Cu,MATCH(TRUE,Gec_CM&gt;=INDEX(Ampacity_CM,MATCH($AU9,Ampacity_Size,0))*$AT9,0)),"—"))</f>
        <v/>
      </c>
      <c r="AW9" s="290" t="str" cm="1">
        <f t="array" ref="AW9">IF($AU9="","",IFERROR(IF(INDEX(Ampacity_CM,MATCH($AU9,Ampacity_Size,0))*$AT9&gt;1100000,"12.5% of phase area",INDEX(Gec_Cu,MATCH(TRUE,Gec_CM&gt;=INDEX(Ampacity_CM,MATCH($AU9,Ampacity_Size,0))*$AT9,0))),"—"))</f>
        <v/>
      </c>
      <c r="AX9" s="533" t="str">
        <f t="shared" si="24"/>
        <v/>
      </c>
      <c r="AY9" s="533" t="str">
        <f t="shared" si="25"/>
        <v/>
      </c>
      <c r="AZ9" s="20" t="str">
        <f t="shared" si="26"/>
        <v/>
      </c>
      <c r="BG9"/>
      <c r="BH9"/>
      <c r="BI9"/>
      <c r="BJ9"/>
      <c r="BK9"/>
      <c r="BL9"/>
      <c r="BM9"/>
      <c r="BO9" s="264"/>
      <c r="BP9" s="264"/>
      <c r="BQ9" s="264"/>
      <c r="BR9" s="264"/>
      <c r="BS9" s="264"/>
      <c r="BT9" s="264"/>
    </row>
    <row r="10" spans="1:74" ht="15" customHeight="1" x14ac:dyDescent="0.35">
      <c r="A10" s="362" t="str" cm="1">
        <f t="array" ref="A10">IFERROR(IF(INDEX(_xlfn.ANCHORARRAY($BO$4),ROW()-5,1)="","","T-"&amp;INDEX(_xlfn.ANCHORARRAY($BO$4),ROW()-5,1)),"")</f>
        <v/>
      </c>
      <c r="B10" s="362" t="str" cm="1">
        <f t="array" ref="B10">IFERROR(IF(INDEX(_xlfn.ANCHORARRAY($BO$4),ROW()-5,1)="","",INDEX(_xlfn.ANCHORARRAY($BO$4),ROW()-5,1)),"")</f>
        <v/>
      </c>
      <c r="C10" s="362" t="str" cm="1">
        <f t="array" ref="C10">IFERROR(INDEX(_xlfn.ANCHORARRAY($BO$4),ROW()-5,5),"")</f>
        <v/>
      </c>
      <c r="D10" s="362" t="str" cm="1">
        <f t="array" ref="D10">IFERROR(INDEX(_xlfn.ANCHORARRAY($BO$4),ROW()-5,3),"")</f>
        <v/>
      </c>
      <c r="E10" s="362" t="str" cm="1">
        <f t="array" ref="E10">IFERROR(INDEX(_xlfn.ANCHORARRAY($BO$4),ROW()-5,4),"")</f>
        <v/>
      </c>
      <c r="F10" s="36" t="str" cm="1">
        <f t="array" ref="F10">IFERROR(INDEX(_xlfn.ANCHORARRAY($BO$4),ROW()-5,6),"")</f>
        <v/>
      </c>
      <c r="G10" s="362" t="str" cm="1">
        <f t="array" ref="G10">IF($F10="","",_xlfn.LET(_xlpm.ov,N(IFERROR(_xlfn.XLOOKUP($B10,Dashboard!$A$101:$A$350,Dashboard!$O$101:$O$350,0),0)),_xlpm.need,MAX(N($F10),_xlpm.ov*N($E10)*IF($C10=3,SQRT(3),1)/1000),IFERROR(INDEX(IF($C10=1,Xfmr1_kVA,Xfmr3_kVA),MATCH(TRUE,IF($C10=1,Xfmr1_kVA,Xfmr3_kVA)&gt;=_xlpm.need,0)),"OVER")))</f>
        <v/>
      </c>
      <c r="H10" s="362" t="str">
        <f t="shared" si="0"/>
        <v/>
      </c>
      <c r="I10" s="168" t="str">
        <f t="shared" si="1"/>
        <v/>
      </c>
      <c r="J10" s="362" t="str">
        <f t="shared" si="2"/>
        <v/>
      </c>
      <c r="K10" s="362" t="str">
        <f t="shared" si="3"/>
        <v/>
      </c>
      <c r="L10" s="362" t="str">
        <f t="shared" si="4"/>
        <v/>
      </c>
      <c r="M10" s="168" t="str" cm="1">
        <f t="array" ref="M10">IF($Z10&lt;&gt;"",$Z10,IFERROR(IF($AJ10="","",INDEX(OCPD_List,MATCH(TRUE,OCPD_List&gt;=1.25*$AJ10,0))),"—"))</f>
        <v/>
      </c>
      <c r="N10" s="168" t="str" cm="1">
        <f t="array" ref="N10">IF($AA10&lt;&gt;"",$AA10,IFERROR(IF($AK10="","",INDEX(OCPD_List,MATCH(TRUE,OCPD_List&gt;=1.25*$AK10,0))),"—"))</f>
        <v/>
      </c>
      <c r="O10" s="171" t="str">
        <f t="shared" si="5"/>
        <v/>
      </c>
      <c r="P10" s="171" t="str">
        <f t="shared" si="6"/>
        <v/>
      </c>
      <c r="Q10" s="78" t="str">
        <f t="shared" si="7"/>
        <v/>
      </c>
      <c r="R10" s="371"/>
      <c r="S10" s="481" t="str">
        <f t="shared" si="8"/>
        <v/>
      </c>
      <c r="T10" s="482" t="str">
        <f t="shared" si="9"/>
        <v/>
      </c>
      <c r="U10" s="482" t="str">
        <f t="shared" si="10"/>
        <v/>
      </c>
      <c r="V10" s="482" t="str">
        <f t="shared" si="11"/>
        <v/>
      </c>
      <c r="W10" s="169"/>
      <c r="X10" s="169"/>
      <c r="Y10" s="169"/>
      <c r="Z10" s="251"/>
      <c r="AA10" s="251"/>
      <c r="AB10" s="483"/>
      <c r="AC10" s="483"/>
      <c r="AD10" s="483"/>
      <c r="AE10" s="483"/>
      <c r="AF10" s="483"/>
      <c r="AG10" s="254" t="str">
        <f t="shared" si="12"/>
        <v/>
      </c>
      <c r="AH10" s="254" t="str">
        <f t="shared" si="13"/>
        <v/>
      </c>
      <c r="AI10" s="254" t="str">
        <f t="shared" si="14"/>
        <v/>
      </c>
      <c r="AJ10" s="254" t="str">
        <f t="shared" si="15"/>
        <v/>
      </c>
      <c r="AK10" s="254" t="str">
        <f t="shared" si="16"/>
        <v/>
      </c>
      <c r="AL10" s="255" t="str" cm="1">
        <f t="array" ref="AL10">IFERROR(IF(INDEX(_xlfn.ANCHORARRAY($BO$4),ROW()-5,2)="","",_xlfn.XLOOKUP(INDEX(_xlfn.ANCHORARRAY($BO$4),ROW()-5,2),'Short Circuit'!$A$6:$A$255,'Short Circuit'!$J$6:$J$255,"")),"")</f>
        <v/>
      </c>
      <c r="AM10" s="254" t="str">
        <f t="shared" si="17"/>
        <v/>
      </c>
      <c r="AN10" s="254" t="str">
        <f t="shared" si="18"/>
        <v/>
      </c>
      <c r="AO10" s="254" t="str">
        <f t="shared" si="19"/>
        <v/>
      </c>
      <c r="AP10" s="255" t="str">
        <f t="shared" si="20"/>
        <v/>
      </c>
      <c r="AQ10" s="255" t="str">
        <f t="shared" si="21"/>
        <v/>
      </c>
      <c r="AR10" s="255" t="str">
        <f t="shared" si="22"/>
        <v/>
      </c>
      <c r="AS10" s="255" t="str" cm="1">
        <f t="array" ref="AS10">IFERROR(IF($AP10="","",INDEX(AIC_List,MATCH(TRUE,AIC_List&gt;=$AP10,0))),"⚠ &gt; 200 kA")</f>
        <v/>
      </c>
      <c r="AT10" s="255" t="str">
        <f t="shared" si="23"/>
        <v/>
      </c>
      <c r="AU10" s="290" t="str" cm="1">
        <f t="array" ref="AU10">IFERROR(IF($AK10="","",INDEX(Ampacity_Size,MATCH(TRUE,Ampacity_Cu&gt;=1.25*$AK10/$AT10,0))),"—")</f>
        <v/>
      </c>
      <c r="AV10" s="290" t="str" cm="1">
        <f t="array" ref="AV10">IF($AU10="","",IFERROR(INDEX(Gec_Cu,MATCH(TRUE,Gec_CM&gt;=INDEX(Ampacity_CM,MATCH($AU10,Ampacity_Size,0))*$AT10,0)),"—"))</f>
        <v/>
      </c>
      <c r="AW10" s="290" t="str" cm="1">
        <f t="array" ref="AW10">IF($AU10="","",IFERROR(IF(INDEX(Ampacity_CM,MATCH($AU10,Ampacity_Size,0))*$AT10&gt;1100000,"12.5% of phase area",INDEX(Gec_Cu,MATCH(TRUE,Gec_CM&gt;=INDEX(Ampacity_CM,MATCH($AU10,Ampacity_Size,0))*$AT10,0))),"—"))</f>
        <v/>
      </c>
      <c r="AX10" s="533" t="str">
        <f t="shared" si="24"/>
        <v/>
      </c>
      <c r="AY10" s="533" t="str">
        <f t="shared" si="25"/>
        <v/>
      </c>
      <c r="AZ10" s="20" t="str">
        <f t="shared" si="26"/>
        <v/>
      </c>
      <c r="BG10"/>
      <c r="BH10"/>
      <c r="BI10"/>
      <c r="BJ10"/>
      <c r="BK10"/>
      <c r="BL10"/>
      <c r="BM10"/>
      <c r="BO10" s="264"/>
      <c r="BP10" s="264"/>
      <c r="BQ10" s="264"/>
      <c r="BR10" s="264"/>
      <c r="BS10" s="264"/>
      <c r="BT10" s="264"/>
    </row>
    <row r="11" spans="1:74" ht="15" customHeight="1" x14ac:dyDescent="0.35">
      <c r="A11" s="362" t="str" cm="1">
        <f t="array" ref="A11">IFERROR(IF(INDEX(_xlfn.ANCHORARRAY($BO$4),ROW()-5,1)="","","T-"&amp;INDEX(_xlfn.ANCHORARRAY($BO$4),ROW()-5,1)),"")</f>
        <v/>
      </c>
      <c r="B11" s="362" t="str" cm="1">
        <f t="array" ref="B11">IFERROR(IF(INDEX(_xlfn.ANCHORARRAY($BO$4),ROW()-5,1)="","",INDEX(_xlfn.ANCHORARRAY($BO$4),ROW()-5,1)),"")</f>
        <v/>
      </c>
      <c r="C11" s="362" t="str" cm="1">
        <f t="array" ref="C11">IFERROR(INDEX(_xlfn.ANCHORARRAY($BO$4),ROW()-5,5),"")</f>
        <v/>
      </c>
      <c r="D11" s="362" t="str" cm="1">
        <f t="array" ref="D11">IFERROR(INDEX(_xlfn.ANCHORARRAY($BO$4),ROW()-5,3),"")</f>
        <v/>
      </c>
      <c r="E11" s="362" t="str" cm="1">
        <f t="array" ref="E11">IFERROR(INDEX(_xlfn.ANCHORARRAY($BO$4),ROW()-5,4),"")</f>
        <v/>
      </c>
      <c r="F11" s="36" t="str" cm="1">
        <f t="array" ref="F11">IFERROR(INDEX(_xlfn.ANCHORARRAY($BO$4),ROW()-5,6),"")</f>
        <v/>
      </c>
      <c r="G11" s="362" t="str" cm="1">
        <f t="array" ref="G11">IF($F11="","",_xlfn.LET(_xlpm.ov,N(IFERROR(_xlfn.XLOOKUP($B11,Dashboard!$A$101:$A$350,Dashboard!$O$101:$O$350,0),0)),_xlpm.need,MAX(N($F11),_xlpm.ov*N($E11)*IF($C11=3,SQRT(3),1)/1000),IFERROR(INDEX(IF($C11=1,Xfmr1_kVA,Xfmr3_kVA),MATCH(TRUE,IF($C11=1,Xfmr1_kVA,Xfmr3_kVA)&gt;=_xlpm.need,0)),"OVER")))</f>
        <v/>
      </c>
      <c r="H11" s="362" t="str">
        <f t="shared" si="0"/>
        <v/>
      </c>
      <c r="I11" s="168" t="str">
        <f t="shared" si="1"/>
        <v/>
      </c>
      <c r="J11" s="362" t="str">
        <f t="shared" si="2"/>
        <v/>
      </c>
      <c r="K11" s="362" t="str">
        <f t="shared" si="3"/>
        <v/>
      </c>
      <c r="L11" s="362" t="str">
        <f t="shared" si="4"/>
        <v/>
      </c>
      <c r="M11" s="168" t="str" cm="1">
        <f t="array" ref="M11">IF($Z11&lt;&gt;"",$Z11,IFERROR(IF($AJ11="","",INDEX(OCPD_List,MATCH(TRUE,OCPD_List&gt;=1.25*$AJ11,0))),"—"))</f>
        <v/>
      </c>
      <c r="N11" s="168" t="str" cm="1">
        <f t="array" ref="N11">IF($AA11&lt;&gt;"",$AA11,IFERROR(IF($AK11="","",INDEX(OCPD_List,MATCH(TRUE,OCPD_List&gt;=1.25*$AK11,0))),"—"))</f>
        <v/>
      </c>
      <c r="O11" s="171" t="str">
        <f t="shared" si="5"/>
        <v/>
      </c>
      <c r="P11" s="171" t="str">
        <f t="shared" si="6"/>
        <v/>
      </c>
      <c r="Q11" s="78" t="str">
        <f t="shared" si="7"/>
        <v/>
      </c>
      <c r="R11" s="371"/>
      <c r="S11" s="481" t="str">
        <f t="shared" si="8"/>
        <v/>
      </c>
      <c r="T11" s="482" t="str">
        <f t="shared" si="9"/>
        <v/>
      </c>
      <c r="U11" s="482" t="str">
        <f t="shared" si="10"/>
        <v/>
      </c>
      <c r="V11" s="482" t="str">
        <f t="shared" si="11"/>
        <v/>
      </c>
      <c r="W11" s="169"/>
      <c r="X11" s="169"/>
      <c r="Y11" s="169"/>
      <c r="Z11" s="251"/>
      <c r="AA11" s="251"/>
      <c r="AB11" s="483"/>
      <c r="AC11" s="483"/>
      <c r="AD11" s="483"/>
      <c r="AE11" s="483"/>
      <c r="AF11" s="483"/>
      <c r="AG11" s="254" t="str">
        <f t="shared" si="12"/>
        <v/>
      </c>
      <c r="AH11" s="254" t="str">
        <f t="shared" si="13"/>
        <v/>
      </c>
      <c r="AI11" s="254" t="str">
        <f t="shared" si="14"/>
        <v/>
      </c>
      <c r="AJ11" s="254" t="str">
        <f t="shared" si="15"/>
        <v/>
      </c>
      <c r="AK11" s="254" t="str">
        <f t="shared" si="16"/>
        <v/>
      </c>
      <c r="AL11" s="255" t="str" cm="1">
        <f t="array" ref="AL11">IFERROR(IF(INDEX(_xlfn.ANCHORARRAY($BO$4),ROW()-5,2)="","",_xlfn.XLOOKUP(INDEX(_xlfn.ANCHORARRAY($BO$4),ROW()-5,2),'Short Circuit'!$A$6:$A$255,'Short Circuit'!$J$6:$J$255,"")),"")</f>
        <v/>
      </c>
      <c r="AM11" s="254" t="str">
        <f t="shared" si="17"/>
        <v/>
      </c>
      <c r="AN11" s="254" t="str">
        <f t="shared" si="18"/>
        <v/>
      </c>
      <c r="AO11" s="254" t="str">
        <f t="shared" si="19"/>
        <v/>
      </c>
      <c r="AP11" s="255" t="str">
        <f t="shared" si="20"/>
        <v/>
      </c>
      <c r="AQ11" s="255" t="str">
        <f t="shared" si="21"/>
        <v/>
      </c>
      <c r="AR11" s="255" t="str">
        <f t="shared" si="22"/>
        <v/>
      </c>
      <c r="AS11" s="255" t="str" cm="1">
        <f t="array" ref="AS11">IFERROR(IF($AP11="","",INDEX(AIC_List,MATCH(TRUE,AIC_List&gt;=$AP11,0))),"⚠ &gt; 200 kA")</f>
        <v/>
      </c>
      <c r="AT11" s="255" t="str">
        <f t="shared" si="23"/>
        <v/>
      </c>
      <c r="AU11" s="290" t="str" cm="1">
        <f t="array" ref="AU11">IFERROR(IF($AK11="","",INDEX(Ampacity_Size,MATCH(TRUE,Ampacity_Cu&gt;=1.25*$AK11/$AT11,0))),"—")</f>
        <v/>
      </c>
      <c r="AV11" s="290" t="str" cm="1">
        <f t="array" ref="AV11">IF($AU11="","",IFERROR(INDEX(Gec_Cu,MATCH(TRUE,Gec_CM&gt;=INDEX(Ampacity_CM,MATCH($AU11,Ampacity_Size,0))*$AT11,0)),"—"))</f>
        <v/>
      </c>
      <c r="AW11" s="290" t="str" cm="1">
        <f t="array" ref="AW11">IF($AU11="","",IFERROR(IF(INDEX(Ampacity_CM,MATCH($AU11,Ampacity_Size,0))*$AT11&gt;1100000,"12.5% of phase area",INDEX(Gec_Cu,MATCH(TRUE,Gec_CM&gt;=INDEX(Ampacity_CM,MATCH($AU11,Ampacity_Size,0))*$AT11,0))),"—"))</f>
        <v/>
      </c>
      <c r="AX11" s="533" t="str">
        <f t="shared" si="24"/>
        <v/>
      </c>
      <c r="AY11" s="533" t="str">
        <f t="shared" si="25"/>
        <v/>
      </c>
      <c r="AZ11" s="20" t="str">
        <f t="shared" si="26"/>
        <v/>
      </c>
      <c r="BG11"/>
      <c r="BH11"/>
      <c r="BI11"/>
      <c r="BJ11"/>
      <c r="BK11"/>
      <c r="BL11"/>
      <c r="BM11"/>
      <c r="BO11" s="264"/>
      <c r="BP11" s="264"/>
      <c r="BQ11" s="264"/>
      <c r="BR11" s="264"/>
      <c r="BS11" s="264"/>
      <c r="BT11" s="264"/>
    </row>
    <row r="12" spans="1:74" ht="15" customHeight="1" x14ac:dyDescent="0.35">
      <c r="A12" s="362" t="str" cm="1">
        <f t="array" ref="A12">IFERROR(IF(INDEX(_xlfn.ANCHORARRAY($BO$4),ROW()-5,1)="","","T-"&amp;INDEX(_xlfn.ANCHORARRAY($BO$4),ROW()-5,1)),"")</f>
        <v/>
      </c>
      <c r="B12" s="362" t="str" cm="1">
        <f t="array" ref="B12">IFERROR(IF(INDEX(_xlfn.ANCHORARRAY($BO$4),ROW()-5,1)="","",INDEX(_xlfn.ANCHORARRAY($BO$4),ROW()-5,1)),"")</f>
        <v/>
      </c>
      <c r="C12" s="362" t="str" cm="1">
        <f t="array" ref="C12">IFERROR(INDEX(_xlfn.ANCHORARRAY($BO$4),ROW()-5,5),"")</f>
        <v/>
      </c>
      <c r="D12" s="362" t="str" cm="1">
        <f t="array" ref="D12">IFERROR(INDEX(_xlfn.ANCHORARRAY($BO$4),ROW()-5,3),"")</f>
        <v/>
      </c>
      <c r="E12" s="362" t="str" cm="1">
        <f t="array" ref="E12">IFERROR(INDEX(_xlfn.ANCHORARRAY($BO$4),ROW()-5,4),"")</f>
        <v/>
      </c>
      <c r="F12" s="36" t="str" cm="1">
        <f t="array" ref="F12">IFERROR(INDEX(_xlfn.ANCHORARRAY($BO$4),ROW()-5,6),"")</f>
        <v/>
      </c>
      <c r="G12" s="362" t="str" cm="1">
        <f t="array" ref="G12">IF($F12="","",_xlfn.LET(_xlpm.ov,N(IFERROR(_xlfn.XLOOKUP($B12,Dashboard!$A$101:$A$350,Dashboard!$O$101:$O$350,0),0)),_xlpm.need,MAX(N($F12),_xlpm.ov*N($E12)*IF($C12=3,SQRT(3),1)/1000),IFERROR(INDEX(IF($C12=1,Xfmr1_kVA,Xfmr3_kVA),MATCH(TRUE,IF($C12=1,Xfmr1_kVA,Xfmr3_kVA)&gt;=_xlpm.need,0)),"OVER")))</f>
        <v/>
      </c>
      <c r="H12" s="362" t="str">
        <f t="shared" si="0"/>
        <v/>
      </c>
      <c r="I12" s="168" t="str">
        <f t="shared" si="1"/>
        <v/>
      </c>
      <c r="J12" s="362" t="str">
        <f t="shared" si="2"/>
        <v/>
      </c>
      <c r="K12" s="362" t="str">
        <f t="shared" si="3"/>
        <v/>
      </c>
      <c r="L12" s="362" t="str">
        <f t="shared" si="4"/>
        <v/>
      </c>
      <c r="M12" s="168" t="str" cm="1">
        <f t="array" ref="M12">IF($Z12&lt;&gt;"",$Z12,IFERROR(IF($AJ12="","",INDEX(OCPD_List,MATCH(TRUE,OCPD_List&gt;=1.25*$AJ12,0))),"—"))</f>
        <v/>
      </c>
      <c r="N12" s="168" t="str" cm="1">
        <f t="array" ref="N12">IF($AA12&lt;&gt;"",$AA12,IFERROR(IF($AK12="","",INDEX(OCPD_List,MATCH(TRUE,OCPD_List&gt;=1.25*$AK12,0))),"—"))</f>
        <v/>
      </c>
      <c r="O12" s="171" t="str">
        <f t="shared" si="5"/>
        <v/>
      </c>
      <c r="P12" s="171" t="str">
        <f t="shared" si="6"/>
        <v/>
      </c>
      <c r="Q12" s="78" t="str">
        <f t="shared" si="7"/>
        <v/>
      </c>
      <c r="R12" s="371"/>
      <c r="S12" s="481" t="str">
        <f t="shared" si="8"/>
        <v/>
      </c>
      <c r="T12" s="482" t="str">
        <f t="shared" si="9"/>
        <v/>
      </c>
      <c r="U12" s="482" t="str">
        <f t="shared" si="10"/>
        <v/>
      </c>
      <c r="V12" s="482" t="str">
        <f t="shared" si="11"/>
        <v/>
      </c>
      <c r="W12" s="169"/>
      <c r="X12" s="169"/>
      <c r="Y12" s="169"/>
      <c r="Z12" s="251"/>
      <c r="AA12" s="251"/>
      <c r="AB12" s="483"/>
      <c r="AC12" s="483"/>
      <c r="AD12" s="483"/>
      <c r="AE12" s="483"/>
      <c r="AF12" s="483"/>
      <c r="AG12" s="254" t="str">
        <f t="shared" si="12"/>
        <v/>
      </c>
      <c r="AH12" s="254" t="str">
        <f t="shared" si="13"/>
        <v/>
      </c>
      <c r="AI12" s="254" t="str">
        <f t="shared" si="14"/>
        <v/>
      </c>
      <c r="AJ12" s="254" t="str">
        <f t="shared" si="15"/>
        <v/>
      </c>
      <c r="AK12" s="254" t="str">
        <f t="shared" si="16"/>
        <v/>
      </c>
      <c r="AL12" s="255" t="str" cm="1">
        <f t="array" ref="AL12">IFERROR(IF(INDEX(_xlfn.ANCHORARRAY($BO$4),ROW()-5,2)="","",_xlfn.XLOOKUP(INDEX(_xlfn.ANCHORARRAY($BO$4),ROW()-5,2),'Short Circuit'!$A$6:$A$255,'Short Circuit'!$J$6:$J$255,"")),"")</f>
        <v/>
      </c>
      <c r="AM12" s="254" t="str">
        <f t="shared" si="17"/>
        <v/>
      </c>
      <c r="AN12" s="254" t="str">
        <f t="shared" si="18"/>
        <v/>
      </c>
      <c r="AO12" s="254" t="str">
        <f t="shared" si="19"/>
        <v/>
      </c>
      <c r="AP12" s="255" t="str">
        <f t="shared" si="20"/>
        <v/>
      </c>
      <c r="AQ12" s="255" t="str">
        <f t="shared" si="21"/>
        <v/>
      </c>
      <c r="AR12" s="255" t="str">
        <f t="shared" si="22"/>
        <v/>
      </c>
      <c r="AS12" s="255" t="str" cm="1">
        <f t="array" ref="AS12">IFERROR(IF($AP12="","",INDEX(AIC_List,MATCH(TRUE,AIC_List&gt;=$AP12,0))),"⚠ &gt; 200 kA")</f>
        <v/>
      </c>
      <c r="AT12" s="255" t="str">
        <f t="shared" si="23"/>
        <v/>
      </c>
      <c r="AU12" s="290" t="str" cm="1">
        <f t="array" ref="AU12">IFERROR(IF($AK12="","",INDEX(Ampacity_Size,MATCH(TRUE,Ampacity_Cu&gt;=1.25*$AK12/$AT12,0))),"—")</f>
        <v/>
      </c>
      <c r="AV12" s="290" t="str" cm="1">
        <f t="array" ref="AV12">IF($AU12="","",IFERROR(INDEX(Gec_Cu,MATCH(TRUE,Gec_CM&gt;=INDEX(Ampacity_CM,MATCH($AU12,Ampacity_Size,0))*$AT12,0)),"—"))</f>
        <v/>
      </c>
      <c r="AW12" s="290" t="str" cm="1">
        <f t="array" ref="AW12">IF($AU12="","",IFERROR(IF(INDEX(Ampacity_CM,MATCH($AU12,Ampacity_Size,0))*$AT12&gt;1100000,"12.5% of phase area",INDEX(Gec_Cu,MATCH(TRUE,Gec_CM&gt;=INDEX(Ampacity_CM,MATCH($AU12,Ampacity_Size,0))*$AT12,0))),"—"))</f>
        <v/>
      </c>
      <c r="AX12" s="533" t="str">
        <f t="shared" si="24"/>
        <v/>
      </c>
      <c r="AY12" s="533" t="str">
        <f t="shared" si="25"/>
        <v/>
      </c>
      <c r="AZ12" s="20" t="str">
        <f t="shared" si="26"/>
        <v/>
      </c>
      <c r="BG12"/>
      <c r="BH12"/>
      <c r="BI12"/>
      <c r="BJ12"/>
      <c r="BK12"/>
      <c r="BL12"/>
      <c r="BM12"/>
      <c r="BO12" s="264"/>
      <c r="BP12" s="264"/>
      <c r="BQ12" s="264"/>
      <c r="BR12" s="264"/>
      <c r="BS12" s="264"/>
      <c r="BT12" s="264"/>
    </row>
    <row r="13" spans="1:74" ht="15" customHeight="1" x14ac:dyDescent="0.35">
      <c r="A13" s="362" t="str" cm="1">
        <f t="array" ref="A13">IFERROR(IF(INDEX(_xlfn.ANCHORARRAY($BO$4),ROW()-5,1)="","","T-"&amp;INDEX(_xlfn.ANCHORARRAY($BO$4),ROW()-5,1)),"")</f>
        <v/>
      </c>
      <c r="B13" s="362" t="str" cm="1">
        <f t="array" ref="B13">IFERROR(IF(INDEX(_xlfn.ANCHORARRAY($BO$4),ROW()-5,1)="","",INDEX(_xlfn.ANCHORARRAY($BO$4),ROW()-5,1)),"")</f>
        <v/>
      </c>
      <c r="C13" s="362" t="str" cm="1">
        <f t="array" ref="C13">IFERROR(INDEX(_xlfn.ANCHORARRAY($BO$4),ROW()-5,5),"")</f>
        <v/>
      </c>
      <c r="D13" s="362" t="str" cm="1">
        <f t="array" ref="D13">IFERROR(INDEX(_xlfn.ANCHORARRAY($BO$4),ROW()-5,3),"")</f>
        <v/>
      </c>
      <c r="E13" s="362" t="str" cm="1">
        <f t="array" ref="E13">IFERROR(INDEX(_xlfn.ANCHORARRAY($BO$4),ROW()-5,4),"")</f>
        <v/>
      </c>
      <c r="F13" s="36" t="str" cm="1">
        <f t="array" ref="F13">IFERROR(INDEX(_xlfn.ANCHORARRAY($BO$4),ROW()-5,6),"")</f>
        <v/>
      </c>
      <c r="G13" s="362" t="str" cm="1">
        <f t="array" ref="G13">IF($F13="","",_xlfn.LET(_xlpm.ov,N(IFERROR(_xlfn.XLOOKUP($B13,Dashboard!$A$101:$A$350,Dashboard!$O$101:$O$350,0),0)),_xlpm.need,MAX(N($F13),_xlpm.ov*N($E13)*IF($C13=3,SQRT(3),1)/1000),IFERROR(INDEX(IF($C13=1,Xfmr1_kVA,Xfmr3_kVA),MATCH(TRUE,IF($C13=1,Xfmr1_kVA,Xfmr3_kVA)&gt;=_xlpm.need,0)),"OVER")))</f>
        <v/>
      </c>
      <c r="H13" s="362" t="str">
        <f t="shared" si="0"/>
        <v/>
      </c>
      <c r="I13" s="168" t="str">
        <f t="shared" si="1"/>
        <v/>
      </c>
      <c r="J13" s="362" t="str">
        <f t="shared" si="2"/>
        <v/>
      </c>
      <c r="K13" s="362" t="str">
        <f t="shared" si="3"/>
        <v/>
      </c>
      <c r="L13" s="362" t="str">
        <f t="shared" si="4"/>
        <v/>
      </c>
      <c r="M13" s="168" t="str" cm="1">
        <f t="array" ref="M13">IF($Z13&lt;&gt;"",$Z13,IFERROR(IF($AJ13="","",INDEX(OCPD_List,MATCH(TRUE,OCPD_List&gt;=1.25*$AJ13,0))),"—"))</f>
        <v/>
      </c>
      <c r="N13" s="168" t="str" cm="1">
        <f t="array" ref="N13">IF($AA13&lt;&gt;"",$AA13,IFERROR(IF($AK13="","",INDEX(OCPD_List,MATCH(TRUE,OCPD_List&gt;=1.25*$AK13,0))),"—"))</f>
        <v/>
      </c>
      <c r="O13" s="171" t="str">
        <f t="shared" si="5"/>
        <v/>
      </c>
      <c r="P13" s="171" t="str">
        <f t="shared" si="6"/>
        <v/>
      </c>
      <c r="Q13" s="78" t="str">
        <f t="shared" si="7"/>
        <v/>
      </c>
      <c r="R13" s="371"/>
      <c r="S13" s="481" t="str">
        <f t="shared" si="8"/>
        <v/>
      </c>
      <c r="T13" s="482" t="str">
        <f t="shared" si="9"/>
        <v/>
      </c>
      <c r="U13" s="482" t="str">
        <f t="shared" si="10"/>
        <v/>
      </c>
      <c r="V13" s="482" t="str">
        <f t="shared" si="11"/>
        <v/>
      </c>
      <c r="W13" s="169"/>
      <c r="X13" s="169"/>
      <c r="Y13" s="169"/>
      <c r="Z13" s="251"/>
      <c r="AA13" s="251"/>
      <c r="AB13" s="483"/>
      <c r="AC13" s="483"/>
      <c r="AD13" s="483"/>
      <c r="AE13" s="483"/>
      <c r="AF13" s="483"/>
      <c r="AG13" s="254" t="str">
        <f t="shared" si="12"/>
        <v/>
      </c>
      <c r="AH13" s="254" t="str">
        <f t="shared" si="13"/>
        <v/>
      </c>
      <c r="AI13" s="254" t="str">
        <f t="shared" si="14"/>
        <v/>
      </c>
      <c r="AJ13" s="254" t="str">
        <f t="shared" si="15"/>
        <v/>
      </c>
      <c r="AK13" s="254" t="str">
        <f t="shared" si="16"/>
        <v/>
      </c>
      <c r="AL13" s="255" t="str" cm="1">
        <f t="array" ref="AL13">IFERROR(IF(INDEX(_xlfn.ANCHORARRAY($BO$4),ROW()-5,2)="","",_xlfn.XLOOKUP(INDEX(_xlfn.ANCHORARRAY($BO$4),ROW()-5,2),'Short Circuit'!$A$6:$A$255,'Short Circuit'!$J$6:$J$255,"")),"")</f>
        <v/>
      </c>
      <c r="AM13" s="254" t="str">
        <f t="shared" si="17"/>
        <v/>
      </c>
      <c r="AN13" s="254" t="str">
        <f t="shared" si="18"/>
        <v/>
      </c>
      <c r="AO13" s="254" t="str">
        <f t="shared" si="19"/>
        <v/>
      </c>
      <c r="AP13" s="255" t="str">
        <f t="shared" si="20"/>
        <v/>
      </c>
      <c r="AQ13" s="255" t="str">
        <f t="shared" si="21"/>
        <v/>
      </c>
      <c r="AR13" s="255" t="str">
        <f t="shared" si="22"/>
        <v/>
      </c>
      <c r="AS13" s="255" t="str" cm="1">
        <f t="array" ref="AS13">IFERROR(IF($AP13="","",INDEX(AIC_List,MATCH(TRUE,AIC_List&gt;=$AP13,0))),"⚠ &gt; 200 kA")</f>
        <v/>
      </c>
      <c r="AT13" s="255" t="str">
        <f t="shared" si="23"/>
        <v/>
      </c>
      <c r="AU13" s="290" t="str" cm="1">
        <f t="array" ref="AU13">IFERROR(IF($AK13="","",INDEX(Ampacity_Size,MATCH(TRUE,Ampacity_Cu&gt;=1.25*$AK13/$AT13,0))),"—")</f>
        <v/>
      </c>
      <c r="AV13" s="290" t="str" cm="1">
        <f t="array" ref="AV13">IF($AU13="","",IFERROR(INDEX(Gec_Cu,MATCH(TRUE,Gec_CM&gt;=INDEX(Ampacity_CM,MATCH($AU13,Ampacity_Size,0))*$AT13,0)),"—"))</f>
        <v/>
      </c>
      <c r="AW13" s="290" t="str" cm="1">
        <f t="array" ref="AW13">IF($AU13="","",IFERROR(IF(INDEX(Ampacity_CM,MATCH($AU13,Ampacity_Size,0))*$AT13&gt;1100000,"12.5% of phase area",INDEX(Gec_Cu,MATCH(TRUE,Gec_CM&gt;=INDEX(Ampacity_CM,MATCH($AU13,Ampacity_Size,0))*$AT13,0))),"—"))</f>
        <v/>
      </c>
      <c r="AX13" s="533" t="str">
        <f t="shared" si="24"/>
        <v/>
      </c>
      <c r="AY13" s="533" t="str">
        <f t="shared" si="25"/>
        <v/>
      </c>
      <c r="AZ13" s="20" t="str">
        <f t="shared" si="26"/>
        <v/>
      </c>
      <c r="BO13" s="264"/>
      <c r="BP13" s="264"/>
      <c r="BQ13" s="264"/>
      <c r="BR13" s="264"/>
      <c r="BS13" s="264"/>
      <c r="BT13" s="264"/>
    </row>
    <row r="14" spans="1:74" ht="15" customHeight="1" x14ac:dyDescent="0.35">
      <c r="A14" s="362" t="str" cm="1">
        <f t="array" ref="A14">IFERROR(IF(INDEX(_xlfn.ANCHORARRAY($BO$4),ROW()-5,1)="","","T-"&amp;INDEX(_xlfn.ANCHORARRAY($BO$4),ROW()-5,1)),"")</f>
        <v/>
      </c>
      <c r="B14" s="362" t="str" cm="1">
        <f t="array" ref="B14">IFERROR(IF(INDEX(_xlfn.ANCHORARRAY($BO$4),ROW()-5,1)="","",INDEX(_xlfn.ANCHORARRAY($BO$4),ROW()-5,1)),"")</f>
        <v/>
      </c>
      <c r="C14" s="362" t="str" cm="1">
        <f t="array" ref="C14">IFERROR(INDEX(_xlfn.ANCHORARRAY($BO$4),ROW()-5,5),"")</f>
        <v/>
      </c>
      <c r="D14" s="362" t="str" cm="1">
        <f t="array" ref="D14">IFERROR(INDEX(_xlfn.ANCHORARRAY($BO$4),ROW()-5,3),"")</f>
        <v/>
      </c>
      <c r="E14" s="362" t="str" cm="1">
        <f t="array" ref="E14">IFERROR(INDEX(_xlfn.ANCHORARRAY($BO$4),ROW()-5,4),"")</f>
        <v/>
      </c>
      <c r="F14" s="36" t="str" cm="1">
        <f t="array" ref="F14">IFERROR(INDEX(_xlfn.ANCHORARRAY($BO$4),ROW()-5,6),"")</f>
        <v/>
      </c>
      <c r="G14" s="362" t="str" cm="1">
        <f t="array" ref="G14">IF($F14="","",_xlfn.LET(_xlpm.ov,N(IFERROR(_xlfn.XLOOKUP($B14,Dashboard!$A$101:$A$350,Dashboard!$O$101:$O$350,0),0)),_xlpm.need,MAX(N($F14),_xlpm.ov*N($E14)*IF($C14=3,SQRT(3),1)/1000),IFERROR(INDEX(IF($C14=1,Xfmr1_kVA,Xfmr3_kVA),MATCH(TRUE,IF($C14=1,Xfmr1_kVA,Xfmr3_kVA)&gt;=_xlpm.need,0)),"OVER")))</f>
        <v/>
      </c>
      <c r="H14" s="362" t="str">
        <f t="shared" si="0"/>
        <v/>
      </c>
      <c r="I14" s="168" t="str">
        <f t="shared" si="1"/>
        <v/>
      </c>
      <c r="J14" s="362" t="str">
        <f t="shared" si="2"/>
        <v/>
      </c>
      <c r="K14" s="362" t="str">
        <f t="shared" si="3"/>
        <v/>
      </c>
      <c r="L14" s="362" t="str">
        <f t="shared" si="4"/>
        <v/>
      </c>
      <c r="M14" s="168" t="str" cm="1">
        <f t="array" ref="M14">IF($Z14&lt;&gt;"",$Z14,IFERROR(IF($AJ14="","",INDEX(OCPD_List,MATCH(TRUE,OCPD_List&gt;=1.25*$AJ14,0))),"—"))</f>
        <v/>
      </c>
      <c r="N14" s="168" t="str" cm="1">
        <f t="array" ref="N14">IF($AA14&lt;&gt;"",$AA14,IFERROR(IF($AK14="","",INDEX(OCPD_List,MATCH(TRUE,OCPD_List&gt;=1.25*$AK14,0))),"—"))</f>
        <v/>
      </c>
      <c r="O14" s="171" t="str">
        <f t="shared" si="5"/>
        <v/>
      </c>
      <c r="P14" s="171" t="str">
        <f t="shared" si="6"/>
        <v/>
      </c>
      <c r="Q14" s="78" t="str">
        <f t="shared" si="7"/>
        <v/>
      </c>
      <c r="R14" s="371"/>
      <c r="S14" s="481" t="str">
        <f t="shared" si="8"/>
        <v/>
      </c>
      <c r="T14" s="482" t="str">
        <f t="shared" si="9"/>
        <v/>
      </c>
      <c r="U14" s="482" t="str">
        <f t="shared" si="10"/>
        <v/>
      </c>
      <c r="V14" s="482" t="str">
        <f t="shared" si="11"/>
        <v/>
      </c>
      <c r="W14" s="169"/>
      <c r="X14" s="169"/>
      <c r="Y14" s="169"/>
      <c r="Z14" s="251"/>
      <c r="AA14" s="251"/>
      <c r="AB14" s="483"/>
      <c r="AC14" s="483"/>
      <c r="AD14" s="483"/>
      <c r="AE14" s="483"/>
      <c r="AF14" s="483"/>
      <c r="AG14" s="254" t="str">
        <f t="shared" si="12"/>
        <v/>
      </c>
      <c r="AH14" s="254" t="str">
        <f t="shared" si="13"/>
        <v/>
      </c>
      <c r="AI14" s="254" t="str">
        <f t="shared" si="14"/>
        <v/>
      </c>
      <c r="AJ14" s="254" t="str">
        <f t="shared" si="15"/>
        <v/>
      </c>
      <c r="AK14" s="254" t="str">
        <f t="shared" si="16"/>
        <v/>
      </c>
      <c r="AL14" s="255" t="str" cm="1">
        <f t="array" ref="AL14">IFERROR(IF(INDEX(_xlfn.ANCHORARRAY($BO$4),ROW()-5,2)="","",_xlfn.XLOOKUP(INDEX(_xlfn.ANCHORARRAY($BO$4),ROW()-5,2),'Short Circuit'!$A$6:$A$255,'Short Circuit'!$J$6:$J$255,"")),"")</f>
        <v/>
      </c>
      <c r="AM14" s="254" t="str">
        <f t="shared" si="17"/>
        <v/>
      </c>
      <c r="AN14" s="254" t="str">
        <f t="shared" si="18"/>
        <v/>
      </c>
      <c r="AO14" s="254" t="str">
        <f t="shared" si="19"/>
        <v/>
      </c>
      <c r="AP14" s="255" t="str">
        <f t="shared" si="20"/>
        <v/>
      </c>
      <c r="AQ14" s="255" t="str">
        <f t="shared" si="21"/>
        <v/>
      </c>
      <c r="AR14" s="255" t="str">
        <f t="shared" si="22"/>
        <v/>
      </c>
      <c r="AS14" s="255" t="str" cm="1">
        <f t="array" ref="AS14">IFERROR(IF($AP14="","",INDEX(AIC_List,MATCH(TRUE,AIC_List&gt;=$AP14,0))),"⚠ &gt; 200 kA")</f>
        <v/>
      </c>
      <c r="AT14" s="255" t="str">
        <f t="shared" si="23"/>
        <v/>
      </c>
      <c r="AU14" s="290" t="str" cm="1">
        <f t="array" ref="AU14">IFERROR(IF($AK14="","",INDEX(Ampacity_Size,MATCH(TRUE,Ampacity_Cu&gt;=1.25*$AK14/$AT14,0))),"—")</f>
        <v/>
      </c>
      <c r="AV14" s="290" t="str" cm="1">
        <f t="array" ref="AV14">IF($AU14="","",IFERROR(INDEX(Gec_Cu,MATCH(TRUE,Gec_CM&gt;=INDEX(Ampacity_CM,MATCH($AU14,Ampacity_Size,0))*$AT14,0)),"—"))</f>
        <v/>
      </c>
      <c r="AW14" s="290" t="str" cm="1">
        <f t="array" ref="AW14">IF($AU14="","",IFERROR(IF(INDEX(Ampacity_CM,MATCH($AU14,Ampacity_Size,0))*$AT14&gt;1100000,"12.5% of phase area",INDEX(Gec_Cu,MATCH(TRUE,Gec_CM&gt;=INDEX(Ampacity_CM,MATCH($AU14,Ampacity_Size,0))*$AT14,0))),"—"))</f>
        <v/>
      </c>
      <c r="AX14" s="533" t="str">
        <f t="shared" si="24"/>
        <v/>
      </c>
      <c r="AY14" s="533" t="str">
        <f t="shared" si="25"/>
        <v/>
      </c>
      <c r="AZ14" s="20" t="str">
        <f t="shared" si="26"/>
        <v/>
      </c>
      <c r="BO14" s="264"/>
      <c r="BP14" s="264"/>
      <c r="BQ14" s="264"/>
      <c r="BR14" s="264"/>
      <c r="BS14" s="264"/>
      <c r="BT14" s="264"/>
    </row>
    <row r="15" spans="1:74" ht="15" customHeight="1" x14ac:dyDescent="0.35">
      <c r="A15" s="362" t="str" cm="1">
        <f t="array" ref="A15">IFERROR(IF(INDEX(_xlfn.ANCHORARRAY($BO$4),ROW()-5,1)="","","T-"&amp;INDEX(_xlfn.ANCHORARRAY($BO$4),ROW()-5,1)),"")</f>
        <v/>
      </c>
      <c r="B15" s="362" t="str" cm="1">
        <f t="array" ref="B15">IFERROR(IF(INDEX(_xlfn.ANCHORARRAY($BO$4),ROW()-5,1)="","",INDEX(_xlfn.ANCHORARRAY($BO$4),ROW()-5,1)),"")</f>
        <v/>
      </c>
      <c r="C15" s="362" t="str" cm="1">
        <f t="array" ref="C15">IFERROR(INDEX(_xlfn.ANCHORARRAY($BO$4),ROW()-5,5),"")</f>
        <v/>
      </c>
      <c r="D15" s="362" t="str" cm="1">
        <f t="array" ref="D15">IFERROR(INDEX(_xlfn.ANCHORARRAY($BO$4),ROW()-5,3),"")</f>
        <v/>
      </c>
      <c r="E15" s="362" t="str" cm="1">
        <f t="array" ref="E15">IFERROR(INDEX(_xlfn.ANCHORARRAY($BO$4),ROW()-5,4),"")</f>
        <v/>
      </c>
      <c r="F15" s="36" t="str" cm="1">
        <f t="array" ref="F15">IFERROR(INDEX(_xlfn.ANCHORARRAY($BO$4),ROW()-5,6),"")</f>
        <v/>
      </c>
      <c r="G15" s="362" t="str" cm="1">
        <f t="array" ref="G15">IF($F15="","",_xlfn.LET(_xlpm.ov,N(IFERROR(_xlfn.XLOOKUP($B15,Dashboard!$A$101:$A$350,Dashboard!$O$101:$O$350,0),0)),_xlpm.need,MAX(N($F15),_xlpm.ov*N($E15)*IF($C15=3,SQRT(3),1)/1000),IFERROR(INDEX(IF($C15=1,Xfmr1_kVA,Xfmr3_kVA),MATCH(TRUE,IF($C15=1,Xfmr1_kVA,Xfmr3_kVA)&gt;=_xlpm.need,0)),"OVER")))</f>
        <v/>
      </c>
      <c r="H15" s="362" t="str">
        <f t="shared" si="0"/>
        <v/>
      </c>
      <c r="I15" s="168" t="str">
        <f t="shared" si="1"/>
        <v/>
      </c>
      <c r="J15" s="362" t="str">
        <f t="shared" si="2"/>
        <v/>
      </c>
      <c r="K15" s="362" t="str">
        <f t="shared" si="3"/>
        <v/>
      </c>
      <c r="L15" s="362" t="str">
        <f t="shared" si="4"/>
        <v/>
      </c>
      <c r="M15" s="168" t="str" cm="1">
        <f t="array" ref="M15">IF($Z15&lt;&gt;"",$Z15,IFERROR(IF($AJ15="","",INDEX(OCPD_List,MATCH(TRUE,OCPD_List&gt;=1.25*$AJ15,0))),"—"))</f>
        <v/>
      </c>
      <c r="N15" s="168" t="str" cm="1">
        <f t="array" ref="N15">IF($AA15&lt;&gt;"",$AA15,IFERROR(IF($AK15="","",INDEX(OCPD_List,MATCH(TRUE,OCPD_List&gt;=1.25*$AK15,0))),"—"))</f>
        <v/>
      </c>
      <c r="O15" s="171" t="str">
        <f t="shared" si="5"/>
        <v/>
      </c>
      <c r="P15" s="171" t="str">
        <f t="shared" si="6"/>
        <v/>
      </c>
      <c r="Q15" s="78" t="str">
        <f t="shared" si="7"/>
        <v/>
      </c>
      <c r="R15" s="371"/>
      <c r="S15" s="481" t="str">
        <f t="shared" si="8"/>
        <v/>
      </c>
      <c r="T15" s="482" t="str">
        <f t="shared" si="9"/>
        <v/>
      </c>
      <c r="U15" s="482" t="str">
        <f t="shared" si="10"/>
        <v/>
      </c>
      <c r="V15" s="482" t="str">
        <f t="shared" si="11"/>
        <v/>
      </c>
      <c r="W15" s="169"/>
      <c r="X15" s="169"/>
      <c r="Y15" s="169"/>
      <c r="Z15" s="251"/>
      <c r="AA15" s="251"/>
      <c r="AB15" s="483"/>
      <c r="AC15" s="483"/>
      <c r="AD15" s="483"/>
      <c r="AE15" s="483"/>
      <c r="AF15" s="483"/>
      <c r="AG15" s="254" t="str">
        <f t="shared" si="12"/>
        <v/>
      </c>
      <c r="AH15" s="254" t="str">
        <f t="shared" si="13"/>
        <v/>
      </c>
      <c r="AI15" s="254" t="str">
        <f t="shared" si="14"/>
        <v/>
      </c>
      <c r="AJ15" s="254" t="str">
        <f t="shared" si="15"/>
        <v/>
      </c>
      <c r="AK15" s="254" t="str">
        <f t="shared" si="16"/>
        <v/>
      </c>
      <c r="AL15" s="255" t="str" cm="1">
        <f t="array" ref="AL15">IFERROR(IF(INDEX(_xlfn.ANCHORARRAY($BO$4),ROW()-5,2)="","",_xlfn.XLOOKUP(INDEX(_xlfn.ANCHORARRAY($BO$4),ROW()-5,2),'Short Circuit'!$A$6:$A$255,'Short Circuit'!$J$6:$J$255,"")),"")</f>
        <v/>
      </c>
      <c r="AM15" s="254" t="str">
        <f t="shared" si="17"/>
        <v/>
      </c>
      <c r="AN15" s="254" t="str">
        <f t="shared" si="18"/>
        <v/>
      </c>
      <c r="AO15" s="254" t="str">
        <f t="shared" si="19"/>
        <v/>
      </c>
      <c r="AP15" s="255" t="str">
        <f t="shared" si="20"/>
        <v/>
      </c>
      <c r="AQ15" s="255" t="str">
        <f t="shared" si="21"/>
        <v/>
      </c>
      <c r="AR15" s="255" t="str">
        <f t="shared" si="22"/>
        <v/>
      </c>
      <c r="AS15" s="255" t="str" cm="1">
        <f t="array" ref="AS15">IFERROR(IF($AP15="","",INDEX(AIC_List,MATCH(TRUE,AIC_List&gt;=$AP15,0))),"⚠ &gt; 200 kA")</f>
        <v/>
      </c>
      <c r="AT15" s="255" t="str">
        <f t="shared" si="23"/>
        <v/>
      </c>
      <c r="AU15" s="290" t="str" cm="1">
        <f t="array" ref="AU15">IFERROR(IF($AK15="","",INDEX(Ampacity_Size,MATCH(TRUE,Ampacity_Cu&gt;=1.25*$AK15/$AT15,0))),"—")</f>
        <v/>
      </c>
      <c r="AV15" s="290" t="str" cm="1">
        <f t="array" ref="AV15">IF($AU15="","",IFERROR(INDEX(Gec_Cu,MATCH(TRUE,Gec_CM&gt;=INDEX(Ampacity_CM,MATCH($AU15,Ampacity_Size,0))*$AT15,0)),"—"))</f>
        <v/>
      </c>
      <c r="AW15" s="290" t="str" cm="1">
        <f t="array" ref="AW15">IF($AU15="","",IFERROR(IF(INDEX(Ampacity_CM,MATCH($AU15,Ampacity_Size,0))*$AT15&gt;1100000,"12.5% of phase area",INDEX(Gec_Cu,MATCH(TRUE,Gec_CM&gt;=INDEX(Ampacity_CM,MATCH($AU15,Ampacity_Size,0))*$AT15,0))),"—"))</f>
        <v/>
      </c>
      <c r="AX15" s="533" t="str">
        <f t="shared" si="24"/>
        <v/>
      </c>
      <c r="AY15" s="533" t="str">
        <f t="shared" si="25"/>
        <v/>
      </c>
      <c r="AZ15" s="20" t="str">
        <f t="shared" si="26"/>
        <v/>
      </c>
      <c r="BO15" s="264"/>
      <c r="BP15" s="264"/>
      <c r="BQ15" s="264"/>
      <c r="BR15" s="264"/>
      <c r="BS15" s="264"/>
      <c r="BT15" s="264"/>
    </row>
    <row r="16" spans="1:74" ht="15" customHeight="1" x14ac:dyDescent="0.35">
      <c r="A16" s="362" t="str" cm="1">
        <f t="array" ref="A16">IFERROR(IF(INDEX(_xlfn.ANCHORARRAY($BO$4),ROW()-5,1)="","","T-"&amp;INDEX(_xlfn.ANCHORARRAY($BO$4),ROW()-5,1)),"")</f>
        <v/>
      </c>
      <c r="B16" s="362" t="str" cm="1">
        <f t="array" ref="B16">IFERROR(IF(INDEX(_xlfn.ANCHORARRAY($BO$4),ROW()-5,1)="","",INDEX(_xlfn.ANCHORARRAY($BO$4),ROW()-5,1)),"")</f>
        <v/>
      </c>
      <c r="C16" s="362" t="str" cm="1">
        <f t="array" ref="C16">IFERROR(INDEX(_xlfn.ANCHORARRAY($BO$4),ROW()-5,5),"")</f>
        <v/>
      </c>
      <c r="D16" s="362" t="str" cm="1">
        <f t="array" ref="D16">IFERROR(INDEX(_xlfn.ANCHORARRAY($BO$4),ROW()-5,3),"")</f>
        <v/>
      </c>
      <c r="E16" s="362" t="str" cm="1">
        <f t="array" ref="E16">IFERROR(INDEX(_xlfn.ANCHORARRAY($BO$4),ROW()-5,4),"")</f>
        <v/>
      </c>
      <c r="F16" s="36" t="str" cm="1">
        <f t="array" ref="F16">IFERROR(INDEX(_xlfn.ANCHORARRAY($BO$4),ROW()-5,6),"")</f>
        <v/>
      </c>
      <c r="G16" s="362" t="str" cm="1">
        <f t="array" ref="G16">IF($F16="","",_xlfn.LET(_xlpm.ov,N(IFERROR(_xlfn.XLOOKUP($B16,Dashboard!$A$101:$A$350,Dashboard!$O$101:$O$350,0),0)),_xlpm.need,MAX(N($F16),_xlpm.ov*N($E16)*IF($C16=3,SQRT(3),1)/1000),IFERROR(INDEX(IF($C16=1,Xfmr1_kVA,Xfmr3_kVA),MATCH(TRUE,IF($C16=1,Xfmr1_kVA,Xfmr3_kVA)&gt;=_xlpm.need,0)),"OVER")))</f>
        <v/>
      </c>
      <c r="H16" s="362" t="str">
        <f t="shared" si="0"/>
        <v/>
      </c>
      <c r="I16" s="168" t="str">
        <f t="shared" si="1"/>
        <v/>
      </c>
      <c r="J16" s="362" t="str">
        <f t="shared" si="2"/>
        <v/>
      </c>
      <c r="K16" s="362" t="str">
        <f t="shared" si="3"/>
        <v/>
      </c>
      <c r="L16" s="362" t="str">
        <f t="shared" si="4"/>
        <v/>
      </c>
      <c r="M16" s="168" t="str" cm="1">
        <f t="array" ref="M16">IF($Z16&lt;&gt;"",$Z16,IFERROR(IF($AJ16="","",INDEX(OCPD_List,MATCH(TRUE,OCPD_List&gt;=1.25*$AJ16,0))),"—"))</f>
        <v/>
      </c>
      <c r="N16" s="168" t="str" cm="1">
        <f t="array" ref="N16">IF($AA16&lt;&gt;"",$AA16,IFERROR(IF($AK16="","",INDEX(OCPD_List,MATCH(TRUE,OCPD_List&gt;=1.25*$AK16,0))),"—"))</f>
        <v/>
      </c>
      <c r="O16" s="171" t="str">
        <f t="shared" si="5"/>
        <v/>
      </c>
      <c r="P16" s="171" t="str">
        <f t="shared" si="6"/>
        <v/>
      </c>
      <c r="Q16" s="78" t="str">
        <f t="shared" si="7"/>
        <v/>
      </c>
      <c r="R16" s="371"/>
      <c r="S16" s="481" t="str">
        <f t="shared" si="8"/>
        <v/>
      </c>
      <c r="T16" s="482" t="str">
        <f t="shared" si="9"/>
        <v/>
      </c>
      <c r="U16" s="482" t="str">
        <f t="shared" si="10"/>
        <v/>
      </c>
      <c r="V16" s="482" t="str">
        <f t="shared" si="11"/>
        <v/>
      </c>
      <c r="W16" s="169"/>
      <c r="X16" s="169"/>
      <c r="Y16" s="169"/>
      <c r="Z16" s="251"/>
      <c r="AA16" s="251"/>
      <c r="AB16" s="483"/>
      <c r="AC16" s="483"/>
      <c r="AD16" s="483"/>
      <c r="AE16" s="483"/>
      <c r="AF16" s="483"/>
      <c r="AG16" s="254" t="str">
        <f t="shared" si="12"/>
        <v/>
      </c>
      <c r="AH16" s="254" t="str">
        <f t="shared" si="13"/>
        <v/>
      </c>
      <c r="AI16" s="254" t="str">
        <f t="shared" si="14"/>
        <v/>
      </c>
      <c r="AJ16" s="254" t="str">
        <f t="shared" si="15"/>
        <v/>
      </c>
      <c r="AK16" s="254" t="str">
        <f t="shared" si="16"/>
        <v/>
      </c>
      <c r="AL16" s="255" t="str" cm="1">
        <f t="array" ref="AL16">IFERROR(IF(INDEX(_xlfn.ANCHORARRAY($BO$4),ROW()-5,2)="","",_xlfn.XLOOKUP(INDEX(_xlfn.ANCHORARRAY($BO$4),ROW()-5,2),'Short Circuit'!$A$6:$A$255,'Short Circuit'!$J$6:$J$255,"")),"")</f>
        <v/>
      </c>
      <c r="AM16" s="254" t="str">
        <f t="shared" si="17"/>
        <v/>
      </c>
      <c r="AN16" s="254" t="str">
        <f t="shared" si="18"/>
        <v/>
      </c>
      <c r="AO16" s="254" t="str">
        <f t="shared" si="19"/>
        <v/>
      </c>
      <c r="AP16" s="255" t="str">
        <f t="shared" si="20"/>
        <v/>
      </c>
      <c r="AQ16" s="255" t="str">
        <f t="shared" si="21"/>
        <v/>
      </c>
      <c r="AR16" s="255" t="str">
        <f t="shared" si="22"/>
        <v/>
      </c>
      <c r="AS16" s="255" t="str" cm="1">
        <f t="array" ref="AS16">IFERROR(IF($AP16="","",INDEX(AIC_List,MATCH(TRUE,AIC_List&gt;=$AP16,0))),"⚠ &gt; 200 kA")</f>
        <v/>
      </c>
      <c r="AT16" s="255" t="str">
        <f t="shared" si="23"/>
        <v/>
      </c>
      <c r="AU16" s="290" t="str" cm="1">
        <f t="array" ref="AU16">IFERROR(IF($AK16="","",INDEX(Ampacity_Size,MATCH(TRUE,Ampacity_Cu&gt;=1.25*$AK16/$AT16,0))),"—")</f>
        <v/>
      </c>
      <c r="AV16" s="290" t="str" cm="1">
        <f t="array" ref="AV16">IF($AU16="","",IFERROR(INDEX(Gec_Cu,MATCH(TRUE,Gec_CM&gt;=INDEX(Ampacity_CM,MATCH($AU16,Ampacity_Size,0))*$AT16,0)),"—"))</f>
        <v/>
      </c>
      <c r="AW16" s="290" t="str" cm="1">
        <f t="array" ref="AW16">IF($AU16="","",IFERROR(IF(INDEX(Ampacity_CM,MATCH($AU16,Ampacity_Size,0))*$AT16&gt;1100000,"12.5% of phase area",INDEX(Gec_Cu,MATCH(TRUE,Gec_CM&gt;=INDEX(Ampacity_CM,MATCH($AU16,Ampacity_Size,0))*$AT16,0))),"—"))</f>
        <v/>
      </c>
      <c r="AX16" s="533" t="str">
        <f t="shared" si="24"/>
        <v/>
      </c>
      <c r="AY16" s="533" t="str">
        <f t="shared" si="25"/>
        <v/>
      </c>
      <c r="AZ16" s="20" t="str">
        <f t="shared" si="26"/>
        <v/>
      </c>
      <c r="BO16" s="264"/>
      <c r="BP16" s="264"/>
      <c r="BQ16" s="264"/>
      <c r="BR16" s="264"/>
      <c r="BS16" s="264"/>
      <c r="BT16" s="264"/>
    </row>
    <row r="17" spans="1:72" ht="15" customHeight="1" x14ac:dyDescent="0.35">
      <c r="A17" s="362" t="str" cm="1">
        <f t="array" ref="A17">IFERROR(IF(INDEX(_xlfn.ANCHORARRAY($BO$4),ROW()-5,1)="","","T-"&amp;INDEX(_xlfn.ANCHORARRAY($BO$4),ROW()-5,1)),"")</f>
        <v/>
      </c>
      <c r="B17" s="362" t="str" cm="1">
        <f t="array" ref="B17">IFERROR(IF(INDEX(_xlfn.ANCHORARRAY($BO$4),ROW()-5,1)="","",INDEX(_xlfn.ANCHORARRAY($BO$4),ROW()-5,1)),"")</f>
        <v/>
      </c>
      <c r="C17" s="362" t="str" cm="1">
        <f t="array" ref="C17">IFERROR(INDEX(_xlfn.ANCHORARRAY($BO$4),ROW()-5,5),"")</f>
        <v/>
      </c>
      <c r="D17" s="362" t="str" cm="1">
        <f t="array" ref="D17">IFERROR(INDEX(_xlfn.ANCHORARRAY($BO$4),ROW()-5,3),"")</f>
        <v/>
      </c>
      <c r="E17" s="362" t="str" cm="1">
        <f t="array" ref="E17">IFERROR(INDEX(_xlfn.ANCHORARRAY($BO$4),ROW()-5,4),"")</f>
        <v/>
      </c>
      <c r="F17" s="36" t="str" cm="1">
        <f t="array" ref="F17">IFERROR(INDEX(_xlfn.ANCHORARRAY($BO$4),ROW()-5,6),"")</f>
        <v/>
      </c>
      <c r="G17" s="362" t="str" cm="1">
        <f t="array" ref="G17">IF($F17="","",_xlfn.LET(_xlpm.ov,N(IFERROR(_xlfn.XLOOKUP($B17,Dashboard!$A$101:$A$350,Dashboard!$O$101:$O$350,0),0)),_xlpm.need,MAX(N($F17),_xlpm.ov*N($E17)*IF($C17=3,SQRT(3),1)/1000),IFERROR(INDEX(IF($C17=1,Xfmr1_kVA,Xfmr3_kVA),MATCH(TRUE,IF($C17=1,Xfmr1_kVA,Xfmr3_kVA)&gt;=_xlpm.need,0)),"OVER")))</f>
        <v/>
      </c>
      <c r="H17" s="362" t="str">
        <f t="shared" si="0"/>
        <v/>
      </c>
      <c r="I17" s="168" t="str">
        <f t="shared" si="1"/>
        <v/>
      </c>
      <c r="J17" s="362" t="str">
        <f t="shared" si="2"/>
        <v/>
      </c>
      <c r="K17" s="362" t="str">
        <f t="shared" si="3"/>
        <v/>
      </c>
      <c r="L17" s="362" t="str">
        <f t="shared" si="4"/>
        <v/>
      </c>
      <c r="M17" s="168" t="str" cm="1">
        <f t="array" ref="M17">IF($Z17&lt;&gt;"",$Z17,IFERROR(IF($AJ17="","",INDEX(OCPD_List,MATCH(TRUE,OCPD_List&gt;=1.25*$AJ17,0))),"—"))</f>
        <v/>
      </c>
      <c r="N17" s="168" t="str" cm="1">
        <f t="array" ref="N17">IF($AA17&lt;&gt;"",$AA17,IFERROR(IF($AK17="","",INDEX(OCPD_List,MATCH(TRUE,OCPD_List&gt;=1.25*$AK17,0))),"—"))</f>
        <v/>
      </c>
      <c r="O17" s="171" t="str">
        <f t="shared" si="5"/>
        <v/>
      </c>
      <c r="P17" s="171" t="str">
        <f t="shared" si="6"/>
        <v/>
      </c>
      <c r="Q17" s="78" t="str">
        <f t="shared" si="7"/>
        <v/>
      </c>
      <c r="R17" s="371"/>
      <c r="S17" s="481" t="str">
        <f t="shared" si="8"/>
        <v/>
      </c>
      <c r="T17" s="482" t="str">
        <f t="shared" si="9"/>
        <v/>
      </c>
      <c r="U17" s="482" t="str">
        <f t="shared" si="10"/>
        <v/>
      </c>
      <c r="V17" s="482" t="str">
        <f t="shared" si="11"/>
        <v/>
      </c>
      <c r="W17" s="169"/>
      <c r="X17" s="169"/>
      <c r="Y17" s="169"/>
      <c r="Z17" s="251"/>
      <c r="AA17" s="251"/>
      <c r="AB17" s="483"/>
      <c r="AC17" s="483"/>
      <c r="AD17" s="483"/>
      <c r="AE17" s="483"/>
      <c r="AF17" s="483"/>
      <c r="AG17" s="254" t="str">
        <f t="shared" si="12"/>
        <v/>
      </c>
      <c r="AH17" s="254" t="str">
        <f t="shared" si="13"/>
        <v/>
      </c>
      <c r="AI17" s="254" t="str">
        <f t="shared" si="14"/>
        <v/>
      </c>
      <c r="AJ17" s="254" t="str">
        <f t="shared" si="15"/>
        <v/>
      </c>
      <c r="AK17" s="254" t="str">
        <f t="shared" si="16"/>
        <v/>
      </c>
      <c r="AL17" s="255" t="str" cm="1">
        <f t="array" ref="AL17">IFERROR(IF(INDEX(_xlfn.ANCHORARRAY($BO$4),ROW()-5,2)="","",_xlfn.XLOOKUP(INDEX(_xlfn.ANCHORARRAY($BO$4),ROW()-5,2),'Short Circuit'!$A$6:$A$255,'Short Circuit'!$J$6:$J$255,"")),"")</f>
        <v/>
      </c>
      <c r="AM17" s="254" t="str">
        <f t="shared" si="17"/>
        <v/>
      </c>
      <c r="AN17" s="254" t="str">
        <f t="shared" si="18"/>
        <v/>
      </c>
      <c r="AO17" s="254" t="str">
        <f t="shared" si="19"/>
        <v/>
      </c>
      <c r="AP17" s="255" t="str">
        <f t="shared" si="20"/>
        <v/>
      </c>
      <c r="AQ17" s="255" t="str">
        <f t="shared" si="21"/>
        <v/>
      </c>
      <c r="AR17" s="255" t="str">
        <f t="shared" si="22"/>
        <v/>
      </c>
      <c r="AS17" s="255" t="str" cm="1">
        <f t="array" ref="AS17">IFERROR(IF($AP17="","",INDEX(AIC_List,MATCH(TRUE,AIC_List&gt;=$AP17,0))),"⚠ &gt; 200 kA")</f>
        <v/>
      </c>
      <c r="AT17" s="255" t="str">
        <f t="shared" si="23"/>
        <v/>
      </c>
      <c r="AU17" s="290" t="str" cm="1">
        <f t="array" ref="AU17">IFERROR(IF($AK17="","",INDEX(Ampacity_Size,MATCH(TRUE,Ampacity_Cu&gt;=1.25*$AK17/$AT17,0))),"—")</f>
        <v/>
      </c>
      <c r="AV17" s="290" t="str" cm="1">
        <f t="array" ref="AV17">IF($AU17="","",IFERROR(INDEX(Gec_Cu,MATCH(TRUE,Gec_CM&gt;=INDEX(Ampacity_CM,MATCH($AU17,Ampacity_Size,0))*$AT17,0)),"—"))</f>
        <v/>
      </c>
      <c r="AW17" s="290" t="str" cm="1">
        <f t="array" ref="AW17">IF($AU17="","",IFERROR(IF(INDEX(Ampacity_CM,MATCH($AU17,Ampacity_Size,0))*$AT17&gt;1100000,"12.5% of phase area",INDEX(Gec_Cu,MATCH(TRUE,Gec_CM&gt;=INDEX(Ampacity_CM,MATCH($AU17,Ampacity_Size,0))*$AT17,0))),"—"))</f>
        <v/>
      </c>
      <c r="AX17" s="533" t="str">
        <f t="shared" si="24"/>
        <v/>
      </c>
      <c r="AY17" s="533" t="str">
        <f t="shared" si="25"/>
        <v/>
      </c>
      <c r="AZ17" s="20" t="str">
        <f t="shared" si="26"/>
        <v/>
      </c>
      <c r="BO17" s="264"/>
      <c r="BP17" s="264"/>
      <c r="BQ17" s="264"/>
      <c r="BR17" s="264"/>
      <c r="BS17" s="264"/>
      <c r="BT17" s="264"/>
    </row>
    <row r="18" spans="1:72" ht="15" customHeight="1" x14ac:dyDescent="0.35">
      <c r="A18" s="362" t="str" cm="1">
        <f t="array" ref="A18">IFERROR(IF(INDEX(_xlfn.ANCHORARRAY($BO$4),ROW()-5,1)="","","T-"&amp;INDEX(_xlfn.ANCHORARRAY($BO$4),ROW()-5,1)),"")</f>
        <v/>
      </c>
      <c r="B18" s="362" t="str" cm="1">
        <f t="array" ref="B18">IFERROR(IF(INDEX(_xlfn.ANCHORARRAY($BO$4),ROW()-5,1)="","",INDEX(_xlfn.ANCHORARRAY($BO$4),ROW()-5,1)),"")</f>
        <v/>
      </c>
      <c r="C18" s="362" t="str" cm="1">
        <f t="array" ref="C18">IFERROR(INDEX(_xlfn.ANCHORARRAY($BO$4),ROW()-5,5),"")</f>
        <v/>
      </c>
      <c r="D18" s="362" t="str" cm="1">
        <f t="array" ref="D18">IFERROR(INDEX(_xlfn.ANCHORARRAY($BO$4),ROW()-5,3),"")</f>
        <v/>
      </c>
      <c r="E18" s="362" t="str" cm="1">
        <f t="array" ref="E18">IFERROR(INDEX(_xlfn.ANCHORARRAY($BO$4),ROW()-5,4),"")</f>
        <v/>
      </c>
      <c r="F18" s="36" t="str" cm="1">
        <f t="array" ref="F18">IFERROR(INDEX(_xlfn.ANCHORARRAY($BO$4),ROW()-5,6),"")</f>
        <v/>
      </c>
      <c r="G18" s="362" t="str" cm="1">
        <f t="array" ref="G18">IF($F18="","",_xlfn.LET(_xlpm.ov,N(IFERROR(_xlfn.XLOOKUP($B18,Dashboard!$A$101:$A$350,Dashboard!$O$101:$O$350,0),0)),_xlpm.need,MAX(N($F18),_xlpm.ov*N($E18)*IF($C18=3,SQRT(3),1)/1000),IFERROR(INDEX(IF($C18=1,Xfmr1_kVA,Xfmr3_kVA),MATCH(TRUE,IF($C18=1,Xfmr1_kVA,Xfmr3_kVA)&gt;=_xlpm.need,0)),"OVER")))</f>
        <v/>
      </c>
      <c r="H18" s="362" t="str">
        <f t="shared" si="0"/>
        <v/>
      </c>
      <c r="I18" s="168" t="str">
        <f t="shared" si="1"/>
        <v/>
      </c>
      <c r="J18" s="362" t="str">
        <f t="shared" si="2"/>
        <v/>
      </c>
      <c r="K18" s="362" t="str">
        <f t="shared" si="3"/>
        <v/>
      </c>
      <c r="L18" s="362" t="str">
        <f t="shared" si="4"/>
        <v/>
      </c>
      <c r="M18" s="168" t="str" cm="1">
        <f t="array" ref="M18">IF($Z18&lt;&gt;"",$Z18,IFERROR(IF($AJ18="","",INDEX(OCPD_List,MATCH(TRUE,OCPD_List&gt;=1.25*$AJ18,0))),"—"))</f>
        <v/>
      </c>
      <c r="N18" s="168" t="str" cm="1">
        <f t="array" ref="N18">IF($AA18&lt;&gt;"",$AA18,IFERROR(IF($AK18="","",INDEX(OCPD_List,MATCH(TRUE,OCPD_List&gt;=1.25*$AK18,0))),"—"))</f>
        <v/>
      </c>
      <c r="O18" s="171" t="str">
        <f t="shared" si="5"/>
        <v/>
      </c>
      <c r="P18" s="171" t="str">
        <f t="shared" si="6"/>
        <v/>
      </c>
      <c r="Q18" s="78" t="str">
        <f t="shared" si="7"/>
        <v/>
      </c>
      <c r="R18" s="371"/>
      <c r="S18" s="481" t="str">
        <f t="shared" si="8"/>
        <v/>
      </c>
      <c r="T18" s="482" t="str">
        <f t="shared" si="9"/>
        <v/>
      </c>
      <c r="U18" s="482" t="str">
        <f t="shared" si="10"/>
        <v/>
      </c>
      <c r="V18" s="482" t="str">
        <f t="shared" si="11"/>
        <v/>
      </c>
      <c r="W18" s="169"/>
      <c r="X18" s="169"/>
      <c r="Y18" s="169"/>
      <c r="Z18" s="251"/>
      <c r="AA18" s="251"/>
      <c r="AB18" s="483"/>
      <c r="AC18" s="483"/>
      <c r="AD18" s="483"/>
      <c r="AE18" s="483"/>
      <c r="AF18" s="483"/>
      <c r="AG18" s="254" t="str">
        <f t="shared" si="12"/>
        <v/>
      </c>
      <c r="AH18" s="254" t="str">
        <f t="shared" si="13"/>
        <v/>
      </c>
      <c r="AI18" s="254" t="str">
        <f t="shared" si="14"/>
        <v/>
      </c>
      <c r="AJ18" s="254" t="str">
        <f t="shared" si="15"/>
        <v/>
      </c>
      <c r="AK18" s="254" t="str">
        <f t="shared" si="16"/>
        <v/>
      </c>
      <c r="AL18" s="255" t="str" cm="1">
        <f t="array" ref="AL18">IFERROR(IF(INDEX(_xlfn.ANCHORARRAY($BO$4),ROW()-5,2)="","",_xlfn.XLOOKUP(INDEX(_xlfn.ANCHORARRAY($BO$4),ROW()-5,2),'Short Circuit'!$A$6:$A$255,'Short Circuit'!$J$6:$J$255,"")),"")</f>
        <v/>
      </c>
      <c r="AM18" s="254" t="str">
        <f t="shared" si="17"/>
        <v/>
      </c>
      <c r="AN18" s="254" t="str">
        <f t="shared" si="18"/>
        <v/>
      </c>
      <c r="AO18" s="254" t="str">
        <f t="shared" si="19"/>
        <v/>
      </c>
      <c r="AP18" s="255" t="str">
        <f t="shared" si="20"/>
        <v/>
      </c>
      <c r="AQ18" s="255" t="str">
        <f t="shared" si="21"/>
        <v/>
      </c>
      <c r="AR18" s="255" t="str">
        <f t="shared" si="22"/>
        <v/>
      </c>
      <c r="AS18" s="255" t="str" cm="1">
        <f t="array" ref="AS18">IFERROR(IF($AP18="","",INDEX(AIC_List,MATCH(TRUE,AIC_List&gt;=$AP18,0))),"⚠ &gt; 200 kA")</f>
        <v/>
      </c>
      <c r="AT18" s="255" t="str">
        <f t="shared" si="23"/>
        <v/>
      </c>
      <c r="AU18" s="290" t="str" cm="1">
        <f t="array" ref="AU18">IFERROR(IF($AK18="","",INDEX(Ampacity_Size,MATCH(TRUE,Ampacity_Cu&gt;=1.25*$AK18/$AT18,0))),"—")</f>
        <v/>
      </c>
      <c r="AV18" s="290" t="str" cm="1">
        <f t="array" ref="AV18">IF($AU18="","",IFERROR(INDEX(Gec_Cu,MATCH(TRUE,Gec_CM&gt;=INDEX(Ampacity_CM,MATCH($AU18,Ampacity_Size,0))*$AT18,0)),"—"))</f>
        <v/>
      </c>
      <c r="AW18" s="290" t="str" cm="1">
        <f t="array" ref="AW18">IF($AU18="","",IFERROR(IF(INDEX(Ampacity_CM,MATCH($AU18,Ampacity_Size,0))*$AT18&gt;1100000,"12.5% of phase area",INDEX(Gec_Cu,MATCH(TRUE,Gec_CM&gt;=INDEX(Ampacity_CM,MATCH($AU18,Ampacity_Size,0))*$AT18,0))),"—"))</f>
        <v/>
      </c>
      <c r="AX18" s="533" t="str">
        <f t="shared" si="24"/>
        <v/>
      </c>
      <c r="AY18" s="533" t="str">
        <f t="shared" si="25"/>
        <v/>
      </c>
      <c r="AZ18" s="20" t="str">
        <f t="shared" si="26"/>
        <v/>
      </c>
      <c r="BO18" s="264"/>
      <c r="BP18" s="264"/>
      <c r="BQ18" s="264"/>
      <c r="BR18" s="264"/>
      <c r="BS18" s="264"/>
      <c r="BT18" s="264"/>
    </row>
    <row r="19" spans="1:72" ht="15" customHeight="1" x14ac:dyDescent="0.35">
      <c r="A19" s="362" t="str" cm="1">
        <f t="array" ref="A19">IFERROR(IF(INDEX(_xlfn.ANCHORARRAY($BO$4),ROW()-5,1)="","","T-"&amp;INDEX(_xlfn.ANCHORARRAY($BO$4),ROW()-5,1)),"")</f>
        <v/>
      </c>
      <c r="B19" s="362" t="str" cm="1">
        <f t="array" ref="B19">IFERROR(IF(INDEX(_xlfn.ANCHORARRAY($BO$4),ROW()-5,1)="","",INDEX(_xlfn.ANCHORARRAY($BO$4),ROW()-5,1)),"")</f>
        <v/>
      </c>
      <c r="C19" s="362" t="str" cm="1">
        <f t="array" ref="C19">IFERROR(INDEX(_xlfn.ANCHORARRAY($BO$4),ROW()-5,5),"")</f>
        <v/>
      </c>
      <c r="D19" s="362" t="str" cm="1">
        <f t="array" ref="D19">IFERROR(INDEX(_xlfn.ANCHORARRAY($BO$4),ROW()-5,3),"")</f>
        <v/>
      </c>
      <c r="E19" s="362" t="str" cm="1">
        <f t="array" ref="E19">IFERROR(INDEX(_xlfn.ANCHORARRAY($BO$4),ROW()-5,4),"")</f>
        <v/>
      </c>
      <c r="F19" s="36" t="str" cm="1">
        <f t="array" ref="F19">IFERROR(INDEX(_xlfn.ANCHORARRAY($BO$4),ROW()-5,6),"")</f>
        <v/>
      </c>
      <c r="G19" s="362" t="str" cm="1">
        <f t="array" ref="G19">IF($F19="","",_xlfn.LET(_xlpm.ov,N(IFERROR(_xlfn.XLOOKUP($B19,Dashboard!$A$101:$A$350,Dashboard!$O$101:$O$350,0),0)),_xlpm.need,MAX(N($F19),_xlpm.ov*N($E19)*IF($C19=3,SQRT(3),1)/1000),IFERROR(INDEX(IF($C19=1,Xfmr1_kVA,Xfmr3_kVA),MATCH(TRUE,IF($C19=1,Xfmr1_kVA,Xfmr3_kVA)&gt;=_xlpm.need,0)),"OVER")))</f>
        <v/>
      </c>
      <c r="H19" s="362" t="str">
        <f t="shared" si="0"/>
        <v/>
      </c>
      <c r="I19" s="168" t="str">
        <f t="shared" si="1"/>
        <v/>
      </c>
      <c r="J19" s="362" t="str">
        <f t="shared" si="2"/>
        <v/>
      </c>
      <c r="K19" s="362" t="str">
        <f t="shared" si="3"/>
        <v/>
      </c>
      <c r="L19" s="362" t="str">
        <f t="shared" si="4"/>
        <v/>
      </c>
      <c r="M19" s="168" t="str" cm="1">
        <f t="array" ref="M19">IF($Z19&lt;&gt;"",$Z19,IFERROR(IF($AJ19="","",INDEX(OCPD_List,MATCH(TRUE,OCPD_List&gt;=1.25*$AJ19,0))),"—"))</f>
        <v/>
      </c>
      <c r="N19" s="168" t="str" cm="1">
        <f t="array" ref="N19">IF($AA19&lt;&gt;"",$AA19,IFERROR(IF($AK19="","",INDEX(OCPD_List,MATCH(TRUE,OCPD_List&gt;=1.25*$AK19,0))),"—"))</f>
        <v/>
      </c>
      <c r="O19" s="171" t="str">
        <f t="shared" si="5"/>
        <v/>
      </c>
      <c r="P19" s="171" t="str">
        <f t="shared" si="6"/>
        <v/>
      </c>
      <c r="Q19" s="78" t="str">
        <f t="shared" si="7"/>
        <v/>
      </c>
      <c r="R19" s="371"/>
      <c r="S19" s="481" t="str">
        <f t="shared" si="8"/>
        <v/>
      </c>
      <c r="T19" s="482" t="str">
        <f t="shared" si="9"/>
        <v/>
      </c>
      <c r="U19" s="482" t="str">
        <f t="shared" si="10"/>
        <v/>
      </c>
      <c r="V19" s="482" t="str">
        <f t="shared" si="11"/>
        <v/>
      </c>
      <c r="W19" s="169"/>
      <c r="X19" s="169"/>
      <c r="Y19" s="169"/>
      <c r="Z19" s="251"/>
      <c r="AA19" s="251"/>
      <c r="AB19" s="483"/>
      <c r="AC19" s="483"/>
      <c r="AD19" s="483"/>
      <c r="AE19" s="483"/>
      <c r="AF19" s="483"/>
      <c r="AG19" s="254" t="str">
        <f t="shared" si="12"/>
        <v/>
      </c>
      <c r="AH19" s="254" t="str">
        <f t="shared" si="13"/>
        <v/>
      </c>
      <c r="AI19" s="254" t="str">
        <f t="shared" si="14"/>
        <v/>
      </c>
      <c r="AJ19" s="254" t="str">
        <f t="shared" si="15"/>
        <v/>
      </c>
      <c r="AK19" s="254" t="str">
        <f t="shared" si="16"/>
        <v/>
      </c>
      <c r="AL19" s="255" t="str" cm="1">
        <f t="array" ref="AL19">IFERROR(IF(INDEX(_xlfn.ANCHORARRAY($BO$4),ROW()-5,2)="","",_xlfn.XLOOKUP(INDEX(_xlfn.ANCHORARRAY($BO$4),ROW()-5,2),'Short Circuit'!$A$6:$A$255,'Short Circuit'!$J$6:$J$255,"")),"")</f>
        <v/>
      </c>
      <c r="AM19" s="254" t="str">
        <f t="shared" si="17"/>
        <v/>
      </c>
      <c r="AN19" s="254" t="str">
        <f t="shared" si="18"/>
        <v/>
      </c>
      <c r="AO19" s="254" t="str">
        <f t="shared" si="19"/>
        <v/>
      </c>
      <c r="AP19" s="255" t="str">
        <f t="shared" si="20"/>
        <v/>
      </c>
      <c r="AQ19" s="255" t="str">
        <f t="shared" si="21"/>
        <v/>
      </c>
      <c r="AR19" s="255" t="str">
        <f t="shared" si="22"/>
        <v/>
      </c>
      <c r="AS19" s="255" t="str" cm="1">
        <f t="array" ref="AS19">IFERROR(IF($AP19="","",INDEX(AIC_List,MATCH(TRUE,AIC_List&gt;=$AP19,0))),"⚠ &gt; 200 kA")</f>
        <v/>
      </c>
      <c r="AT19" s="255" t="str">
        <f t="shared" si="23"/>
        <v/>
      </c>
      <c r="AU19" s="290" t="str" cm="1">
        <f t="array" ref="AU19">IFERROR(IF($AK19="","",INDEX(Ampacity_Size,MATCH(TRUE,Ampacity_Cu&gt;=1.25*$AK19/$AT19,0))),"—")</f>
        <v/>
      </c>
      <c r="AV19" s="290" t="str" cm="1">
        <f t="array" ref="AV19">IF($AU19="","",IFERROR(INDEX(Gec_Cu,MATCH(TRUE,Gec_CM&gt;=INDEX(Ampacity_CM,MATCH($AU19,Ampacity_Size,0))*$AT19,0)),"—"))</f>
        <v/>
      </c>
      <c r="AW19" s="290" t="str" cm="1">
        <f t="array" ref="AW19">IF($AU19="","",IFERROR(IF(INDEX(Ampacity_CM,MATCH($AU19,Ampacity_Size,0))*$AT19&gt;1100000,"12.5% of phase area",INDEX(Gec_Cu,MATCH(TRUE,Gec_CM&gt;=INDEX(Ampacity_CM,MATCH($AU19,Ampacity_Size,0))*$AT19,0))),"—"))</f>
        <v/>
      </c>
      <c r="AX19" s="533" t="str">
        <f t="shared" si="24"/>
        <v/>
      </c>
      <c r="AY19" s="533" t="str">
        <f t="shared" si="25"/>
        <v/>
      </c>
      <c r="AZ19" s="20" t="str">
        <f t="shared" si="26"/>
        <v/>
      </c>
      <c r="BO19" s="264"/>
      <c r="BP19" s="264"/>
      <c r="BQ19" s="264"/>
      <c r="BR19" s="264"/>
      <c r="BS19" s="264"/>
      <c r="BT19" s="264"/>
    </row>
    <row r="20" spans="1:72" ht="15" customHeight="1" x14ac:dyDescent="0.35">
      <c r="A20" s="362" t="str" cm="1">
        <f t="array" ref="A20">IFERROR(IF(INDEX(_xlfn.ANCHORARRAY($BO$4),ROW()-5,1)="","","T-"&amp;INDEX(_xlfn.ANCHORARRAY($BO$4),ROW()-5,1)),"")</f>
        <v/>
      </c>
      <c r="B20" s="362" t="str" cm="1">
        <f t="array" ref="B20">IFERROR(IF(INDEX(_xlfn.ANCHORARRAY($BO$4),ROW()-5,1)="","",INDEX(_xlfn.ANCHORARRAY($BO$4),ROW()-5,1)),"")</f>
        <v/>
      </c>
      <c r="C20" s="362" t="str" cm="1">
        <f t="array" ref="C20">IFERROR(INDEX(_xlfn.ANCHORARRAY($BO$4),ROW()-5,5),"")</f>
        <v/>
      </c>
      <c r="D20" s="362" t="str" cm="1">
        <f t="array" ref="D20">IFERROR(INDEX(_xlfn.ANCHORARRAY($BO$4),ROW()-5,3),"")</f>
        <v/>
      </c>
      <c r="E20" s="362" t="str" cm="1">
        <f t="array" ref="E20">IFERROR(INDEX(_xlfn.ANCHORARRAY($BO$4),ROW()-5,4),"")</f>
        <v/>
      </c>
      <c r="F20" s="36" t="str" cm="1">
        <f t="array" ref="F20">IFERROR(INDEX(_xlfn.ANCHORARRAY($BO$4),ROW()-5,6),"")</f>
        <v/>
      </c>
      <c r="G20" s="362" t="str" cm="1">
        <f t="array" ref="G20">IF($F20="","",_xlfn.LET(_xlpm.ov,N(IFERROR(_xlfn.XLOOKUP($B20,Dashboard!$A$101:$A$350,Dashboard!$O$101:$O$350,0),0)),_xlpm.need,MAX(N($F20),_xlpm.ov*N($E20)*IF($C20=3,SQRT(3),1)/1000),IFERROR(INDEX(IF($C20=1,Xfmr1_kVA,Xfmr3_kVA),MATCH(TRUE,IF($C20=1,Xfmr1_kVA,Xfmr3_kVA)&gt;=_xlpm.need,0)),"OVER")))</f>
        <v/>
      </c>
      <c r="H20" s="362" t="str">
        <f t="shared" si="0"/>
        <v/>
      </c>
      <c r="I20" s="168" t="str">
        <f t="shared" si="1"/>
        <v/>
      </c>
      <c r="J20" s="362" t="str">
        <f t="shared" si="2"/>
        <v/>
      </c>
      <c r="K20" s="362" t="str">
        <f t="shared" si="3"/>
        <v/>
      </c>
      <c r="L20" s="362" t="str">
        <f t="shared" si="4"/>
        <v/>
      </c>
      <c r="M20" s="168" t="str" cm="1">
        <f t="array" ref="M20">IF($Z20&lt;&gt;"",$Z20,IFERROR(IF($AJ20="","",INDEX(OCPD_List,MATCH(TRUE,OCPD_List&gt;=1.25*$AJ20,0))),"—"))</f>
        <v/>
      </c>
      <c r="N20" s="168" t="str" cm="1">
        <f t="array" ref="N20">IF($AA20&lt;&gt;"",$AA20,IFERROR(IF($AK20="","",INDEX(OCPD_List,MATCH(TRUE,OCPD_List&gt;=1.25*$AK20,0))),"—"))</f>
        <v/>
      </c>
      <c r="O20" s="171" t="str">
        <f t="shared" si="5"/>
        <v/>
      </c>
      <c r="P20" s="171" t="str">
        <f t="shared" si="6"/>
        <v/>
      </c>
      <c r="Q20" s="78" t="str">
        <f t="shared" si="7"/>
        <v/>
      </c>
      <c r="R20" s="371"/>
      <c r="S20" s="481" t="str">
        <f t="shared" si="8"/>
        <v/>
      </c>
      <c r="T20" s="482" t="str">
        <f t="shared" si="9"/>
        <v/>
      </c>
      <c r="U20" s="482" t="str">
        <f t="shared" si="10"/>
        <v/>
      </c>
      <c r="V20" s="482" t="str">
        <f t="shared" si="11"/>
        <v/>
      </c>
      <c r="W20" s="169"/>
      <c r="X20" s="169"/>
      <c r="Y20" s="169"/>
      <c r="Z20" s="251"/>
      <c r="AA20" s="251"/>
      <c r="AB20" s="483"/>
      <c r="AC20" s="483"/>
      <c r="AD20" s="483"/>
      <c r="AE20" s="483"/>
      <c r="AF20" s="483"/>
      <c r="AG20" s="254" t="str">
        <f t="shared" si="12"/>
        <v/>
      </c>
      <c r="AH20" s="254" t="str">
        <f t="shared" si="13"/>
        <v/>
      </c>
      <c r="AI20" s="254" t="str">
        <f t="shared" si="14"/>
        <v/>
      </c>
      <c r="AJ20" s="254" t="str">
        <f t="shared" si="15"/>
        <v/>
      </c>
      <c r="AK20" s="254" t="str">
        <f t="shared" si="16"/>
        <v/>
      </c>
      <c r="AL20" s="255" t="str" cm="1">
        <f t="array" ref="AL20">IFERROR(IF(INDEX(_xlfn.ANCHORARRAY($BO$4),ROW()-5,2)="","",_xlfn.XLOOKUP(INDEX(_xlfn.ANCHORARRAY($BO$4),ROW()-5,2),'Short Circuit'!$A$6:$A$255,'Short Circuit'!$J$6:$J$255,"")),"")</f>
        <v/>
      </c>
      <c r="AM20" s="254" t="str">
        <f t="shared" si="17"/>
        <v/>
      </c>
      <c r="AN20" s="254" t="str">
        <f t="shared" si="18"/>
        <v/>
      </c>
      <c r="AO20" s="254" t="str">
        <f t="shared" si="19"/>
        <v/>
      </c>
      <c r="AP20" s="255" t="str">
        <f t="shared" si="20"/>
        <v/>
      </c>
      <c r="AQ20" s="255" t="str">
        <f t="shared" si="21"/>
        <v/>
      </c>
      <c r="AR20" s="255" t="str">
        <f t="shared" si="22"/>
        <v/>
      </c>
      <c r="AS20" s="255" t="str" cm="1">
        <f t="array" ref="AS20">IFERROR(IF($AP20="","",INDEX(AIC_List,MATCH(TRUE,AIC_List&gt;=$AP20,0))),"⚠ &gt; 200 kA")</f>
        <v/>
      </c>
      <c r="AT20" s="255" t="str">
        <f t="shared" si="23"/>
        <v/>
      </c>
      <c r="AU20" s="290" t="str" cm="1">
        <f t="array" ref="AU20">IFERROR(IF($AK20="","",INDEX(Ampacity_Size,MATCH(TRUE,Ampacity_Cu&gt;=1.25*$AK20/$AT20,0))),"—")</f>
        <v/>
      </c>
      <c r="AV20" s="290" t="str" cm="1">
        <f t="array" ref="AV20">IF($AU20="","",IFERROR(INDEX(Gec_Cu,MATCH(TRUE,Gec_CM&gt;=INDEX(Ampacity_CM,MATCH($AU20,Ampacity_Size,0))*$AT20,0)),"—"))</f>
        <v/>
      </c>
      <c r="AW20" s="290" t="str" cm="1">
        <f t="array" ref="AW20">IF($AU20="","",IFERROR(IF(INDEX(Ampacity_CM,MATCH($AU20,Ampacity_Size,0))*$AT20&gt;1100000,"12.5% of phase area",INDEX(Gec_Cu,MATCH(TRUE,Gec_CM&gt;=INDEX(Ampacity_CM,MATCH($AU20,Ampacity_Size,0))*$AT20,0))),"—"))</f>
        <v/>
      </c>
      <c r="AX20" s="533" t="str">
        <f t="shared" si="24"/>
        <v/>
      </c>
      <c r="AY20" s="533" t="str">
        <f t="shared" si="25"/>
        <v/>
      </c>
      <c r="AZ20" s="20" t="str">
        <f t="shared" si="26"/>
        <v/>
      </c>
      <c r="BO20" s="264"/>
      <c r="BP20" s="264"/>
      <c r="BQ20" s="264"/>
      <c r="BR20" s="264"/>
      <c r="BS20" s="264"/>
      <c r="BT20" s="264"/>
    </row>
    <row r="21" spans="1:72" ht="15" customHeight="1" x14ac:dyDescent="0.35">
      <c r="A21" s="362" t="str" cm="1">
        <f t="array" ref="A21">IFERROR(IF(INDEX(_xlfn.ANCHORARRAY($BO$4),ROW()-5,1)="","","T-"&amp;INDEX(_xlfn.ANCHORARRAY($BO$4),ROW()-5,1)),"")</f>
        <v/>
      </c>
      <c r="B21" s="362" t="str" cm="1">
        <f t="array" ref="B21">IFERROR(IF(INDEX(_xlfn.ANCHORARRAY($BO$4),ROW()-5,1)="","",INDEX(_xlfn.ANCHORARRAY($BO$4),ROW()-5,1)),"")</f>
        <v/>
      </c>
      <c r="C21" s="362" t="str" cm="1">
        <f t="array" ref="C21">IFERROR(INDEX(_xlfn.ANCHORARRAY($BO$4),ROW()-5,5),"")</f>
        <v/>
      </c>
      <c r="D21" s="362" t="str" cm="1">
        <f t="array" ref="D21">IFERROR(INDEX(_xlfn.ANCHORARRAY($BO$4),ROW()-5,3),"")</f>
        <v/>
      </c>
      <c r="E21" s="362" t="str" cm="1">
        <f t="array" ref="E21">IFERROR(INDEX(_xlfn.ANCHORARRAY($BO$4),ROW()-5,4),"")</f>
        <v/>
      </c>
      <c r="F21" s="36" t="str" cm="1">
        <f t="array" ref="F21">IFERROR(INDEX(_xlfn.ANCHORARRAY($BO$4),ROW()-5,6),"")</f>
        <v/>
      </c>
      <c r="G21" s="362" t="str" cm="1">
        <f t="array" ref="G21">IF($F21="","",_xlfn.LET(_xlpm.ov,N(IFERROR(_xlfn.XLOOKUP($B21,Dashboard!$A$101:$A$350,Dashboard!$O$101:$O$350,0),0)),_xlpm.need,MAX(N($F21),_xlpm.ov*N($E21)*IF($C21=3,SQRT(3),1)/1000),IFERROR(INDEX(IF($C21=1,Xfmr1_kVA,Xfmr3_kVA),MATCH(TRUE,IF($C21=1,Xfmr1_kVA,Xfmr3_kVA)&gt;=_xlpm.need,0)),"OVER")))</f>
        <v/>
      </c>
      <c r="H21" s="362" t="str">
        <f t="shared" si="0"/>
        <v/>
      </c>
      <c r="I21" s="168" t="str">
        <f t="shared" si="1"/>
        <v/>
      </c>
      <c r="J21" s="362" t="str">
        <f t="shared" si="2"/>
        <v/>
      </c>
      <c r="K21" s="362" t="str">
        <f t="shared" si="3"/>
        <v/>
      </c>
      <c r="L21" s="362" t="str">
        <f t="shared" si="4"/>
        <v/>
      </c>
      <c r="M21" s="168" t="str" cm="1">
        <f t="array" ref="M21">IF($Z21&lt;&gt;"",$Z21,IFERROR(IF($AJ21="","",INDEX(OCPD_List,MATCH(TRUE,OCPD_List&gt;=1.25*$AJ21,0))),"—"))</f>
        <v/>
      </c>
      <c r="N21" s="168" t="str" cm="1">
        <f t="array" ref="N21">IF($AA21&lt;&gt;"",$AA21,IFERROR(IF($AK21="","",INDEX(OCPD_List,MATCH(TRUE,OCPD_List&gt;=1.25*$AK21,0))),"—"))</f>
        <v/>
      </c>
      <c r="O21" s="171" t="str">
        <f t="shared" si="5"/>
        <v/>
      </c>
      <c r="P21" s="171" t="str">
        <f t="shared" si="6"/>
        <v/>
      </c>
      <c r="Q21" s="78" t="str">
        <f t="shared" si="7"/>
        <v/>
      </c>
      <c r="R21" s="371"/>
      <c r="S21" s="481" t="str">
        <f t="shared" si="8"/>
        <v/>
      </c>
      <c r="T21" s="482" t="str">
        <f t="shared" si="9"/>
        <v/>
      </c>
      <c r="U21" s="482" t="str">
        <f t="shared" si="10"/>
        <v/>
      </c>
      <c r="V21" s="482" t="str">
        <f t="shared" si="11"/>
        <v/>
      </c>
      <c r="W21" s="169"/>
      <c r="X21" s="169"/>
      <c r="Y21" s="169"/>
      <c r="Z21" s="251"/>
      <c r="AA21" s="251"/>
      <c r="AB21" s="483"/>
      <c r="AC21" s="483"/>
      <c r="AD21" s="483"/>
      <c r="AE21" s="483"/>
      <c r="AF21" s="483"/>
      <c r="AG21" s="254" t="str">
        <f t="shared" si="12"/>
        <v/>
      </c>
      <c r="AH21" s="254" t="str">
        <f t="shared" si="13"/>
        <v/>
      </c>
      <c r="AI21" s="254" t="str">
        <f t="shared" si="14"/>
        <v/>
      </c>
      <c r="AJ21" s="254" t="str">
        <f t="shared" si="15"/>
        <v/>
      </c>
      <c r="AK21" s="254" t="str">
        <f t="shared" si="16"/>
        <v/>
      </c>
      <c r="AL21" s="255" t="str" cm="1">
        <f t="array" ref="AL21">IFERROR(IF(INDEX(_xlfn.ANCHORARRAY($BO$4),ROW()-5,2)="","",_xlfn.XLOOKUP(INDEX(_xlfn.ANCHORARRAY($BO$4),ROW()-5,2),'Short Circuit'!$A$6:$A$255,'Short Circuit'!$J$6:$J$255,"")),"")</f>
        <v/>
      </c>
      <c r="AM21" s="254" t="str">
        <f t="shared" si="17"/>
        <v/>
      </c>
      <c r="AN21" s="254" t="str">
        <f t="shared" si="18"/>
        <v/>
      </c>
      <c r="AO21" s="254" t="str">
        <f t="shared" si="19"/>
        <v/>
      </c>
      <c r="AP21" s="255" t="str">
        <f t="shared" si="20"/>
        <v/>
      </c>
      <c r="AQ21" s="255" t="str">
        <f t="shared" si="21"/>
        <v/>
      </c>
      <c r="AR21" s="255" t="str">
        <f t="shared" si="22"/>
        <v/>
      </c>
      <c r="AS21" s="255" t="str" cm="1">
        <f t="array" ref="AS21">IFERROR(IF($AP21="","",INDEX(AIC_List,MATCH(TRUE,AIC_List&gt;=$AP21,0))),"⚠ &gt; 200 kA")</f>
        <v/>
      </c>
      <c r="AT21" s="255" t="str">
        <f t="shared" si="23"/>
        <v/>
      </c>
      <c r="AU21" s="290" t="str" cm="1">
        <f t="array" ref="AU21">IFERROR(IF($AK21="","",INDEX(Ampacity_Size,MATCH(TRUE,Ampacity_Cu&gt;=1.25*$AK21/$AT21,0))),"—")</f>
        <v/>
      </c>
      <c r="AV21" s="290" t="str" cm="1">
        <f t="array" ref="AV21">IF($AU21="","",IFERROR(INDEX(Gec_Cu,MATCH(TRUE,Gec_CM&gt;=INDEX(Ampacity_CM,MATCH($AU21,Ampacity_Size,0))*$AT21,0)),"—"))</f>
        <v/>
      </c>
      <c r="AW21" s="290" t="str" cm="1">
        <f t="array" ref="AW21">IF($AU21="","",IFERROR(IF(INDEX(Ampacity_CM,MATCH($AU21,Ampacity_Size,0))*$AT21&gt;1100000,"12.5% of phase area",INDEX(Gec_Cu,MATCH(TRUE,Gec_CM&gt;=INDEX(Ampacity_CM,MATCH($AU21,Ampacity_Size,0))*$AT21,0))),"—"))</f>
        <v/>
      </c>
      <c r="AX21" s="533" t="str">
        <f t="shared" si="24"/>
        <v/>
      </c>
      <c r="AY21" s="533" t="str">
        <f t="shared" si="25"/>
        <v/>
      </c>
      <c r="AZ21" s="20" t="str">
        <f t="shared" si="26"/>
        <v/>
      </c>
    </row>
    <row r="22" spans="1:72" ht="15" customHeight="1" x14ac:dyDescent="0.35">
      <c r="A22" s="362" t="str" cm="1">
        <f t="array" ref="A22">IFERROR(IF(INDEX(_xlfn.ANCHORARRAY($BO$4),ROW()-5,1)="","","T-"&amp;INDEX(_xlfn.ANCHORARRAY($BO$4),ROW()-5,1)),"")</f>
        <v/>
      </c>
      <c r="B22" s="362" t="str" cm="1">
        <f t="array" ref="B22">IFERROR(IF(INDEX(_xlfn.ANCHORARRAY($BO$4),ROW()-5,1)="","",INDEX(_xlfn.ANCHORARRAY($BO$4),ROW()-5,1)),"")</f>
        <v/>
      </c>
      <c r="C22" s="362" t="str" cm="1">
        <f t="array" ref="C22">IFERROR(INDEX(_xlfn.ANCHORARRAY($BO$4),ROW()-5,5),"")</f>
        <v/>
      </c>
      <c r="D22" s="362" t="str" cm="1">
        <f t="array" ref="D22">IFERROR(INDEX(_xlfn.ANCHORARRAY($BO$4),ROW()-5,3),"")</f>
        <v/>
      </c>
      <c r="E22" s="362" t="str" cm="1">
        <f t="array" ref="E22">IFERROR(INDEX(_xlfn.ANCHORARRAY($BO$4),ROW()-5,4),"")</f>
        <v/>
      </c>
      <c r="F22" s="36" t="str" cm="1">
        <f t="array" ref="F22">IFERROR(INDEX(_xlfn.ANCHORARRAY($BO$4),ROW()-5,6),"")</f>
        <v/>
      </c>
      <c r="G22" s="362" t="str" cm="1">
        <f t="array" ref="G22">IF($F22="","",_xlfn.LET(_xlpm.ov,N(IFERROR(_xlfn.XLOOKUP($B22,Dashboard!$A$101:$A$350,Dashboard!$O$101:$O$350,0),0)),_xlpm.need,MAX(N($F22),_xlpm.ov*N($E22)*IF($C22=3,SQRT(3),1)/1000),IFERROR(INDEX(IF($C22=1,Xfmr1_kVA,Xfmr3_kVA),MATCH(TRUE,IF($C22=1,Xfmr1_kVA,Xfmr3_kVA)&gt;=_xlpm.need,0)),"OVER")))</f>
        <v/>
      </c>
      <c r="H22" s="362" t="str">
        <f t="shared" si="0"/>
        <v/>
      </c>
      <c r="I22" s="168" t="str">
        <f t="shared" si="1"/>
        <v/>
      </c>
      <c r="J22" s="362" t="str">
        <f t="shared" si="2"/>
        <v/>
      </c>
      <c r="K22" s="362" t="str">
        <f t="shared" si="3"/>
        <v/>
      </c>
      <c r="L22" s="362" t="str">
        <f t="shared" si="4"/>
        <v/>
      </c>
      <c r="M22" s="168" t="str" cm="1">
        <f t="array" ref="M22">IF($Z22&lt;&gt;"",$Z22,IFERROR(IF($AJ22="","",INDEX(OCPD_List,MATCH(TRUE,OCPD_List&gt;=1.25*$AJ22,0))),"—"))</f>
        <v/>
      </c>
      <c r="N22" s="168" t="str" cm="1">
        <f t="array" ref="N22">IF($AA22&lt;&gt;"",$AA22,IFERROR(IF($AK22="","",INDEX(OCPD_List,MATCH(TRUE,OCPD_List&gt;=1.25*$AK22,0))),"—"))</f>
        <v/>
      </c>
      <c r="O22" s="171" t="str">
        <f t="shared" si="5"/>
        <v/>
      </c>
      <c r="P22" s="171" t="str">
        <f t="shared" si="6"/>
        <v/>
      </c>
      <c r="Q22" s="78" t="str">
        <f t="shared" si="7"/>
        <v/>
      </c>
      <c r="R22" s="371"/>
      <c r="S22" s="481" t="str">
        <f t="shared" si="8"/>
        <v/>
      </c>
      <c r="T22" s="482" t="str">
        <f t="shared" si="9"/>
        <v/>
      </c>
      <c r="U22" s="482" t="str">
        <f t="shared" si="10"/>
        <v/>
      </c>
      <c r="V22" s="482" t="str">
        <f t="shared" si="11"/>
        <v/>
      </c>
      <c r="W22" s="169"/>
      <c r="X22" s="169"/>
      <c r="Y22" s="169"/>
      <c r="Z22" s="251"/>
      <c r="AA22" s="251"/>
      <c r="AB22" s="483"/>
      <c r="AC22" s="483"/>
      <c r="AD22" s="483"/>
      <c r="AE22" s="483"/>
      <c r="AF22" s="483"/>
      <c r="AG22" s="254" t="str">
        <f t="shared" si="12"/>
        <v/>
      </c>
      <c r="AH22" s="254" t="str">
        <f t="shared" si="13"/>
        <v/>
      </c>
      <c r="AI22" s="254" t="str">
        <f t="shared" si="14"/>
        <v/>
      </c>
      <c r="AJ22" s="254" t="str">
        <f t="shared" si="15"/>
        <v/>
      </c>
      <c r="AK22" s="254" t="str">
        <f t="shared" si="16"/>
        <v/>
      </c>
      <c r="AL22" s="255" t="str" cm="1">
        <f t="array" ref="AL22">IFERROR(IF(INDEX(_xlfn.ANCHORARRAY($BO$4),ROW()-5,2)="","",_xlfn.XLOOKUP(INDEX(_xlfn.ANCHORARRAY($BO$4),ROW()-5,2),'Short Circuit'!$A$6:$A$255,'Short Circuit'!$J$6:$J$255,"")),"")</f>
        <v/>
      </c>
      <c r="AM22" s="254" t="str">
        <f t="shared" si="17"/>
        <v/>
      </c>
      <c r="AN22" s="254" t="str">
        <f t="shared" si="18"/>
        <v/>
      </c>
      <c r="AO22" s="254" t="str">
        <f t="shared" si="19"/>
        <v/>
      </c>
      <c r="AP22" s="255" t="str">
        <f t="shared" si="20"/>
        <v/>
      </c>
      <c r="AQ22" s="255" t="str">
        <f t="shared" si="21"/>
        <v/>
      </c>
      <c r="AR22" s="255" t="str">
        <f t="shared" si="22"/>
        <v/>
      </c>
      <c r="AS22" s="255" t="str" cm="1">
        <f t="array" ref="AS22">IFERROR(IF($AP22="","",INDEX(AIC_List,MATCH(TRUE,AIC_List&gt;=$AP22,0))),"⚠ &gt; 200 kA")</f>
        <v/>
      </c>
      <c r="AT22" s="255" t="str">
        <f t="shared" si="23"/>
        <v/>
      </c>
      <c r="AU22" s="290" t="str" cm="1">
        <f t="array" ref="AU22">IFERROR(IF($AK22="","",INDEX(Ampacity_Size,MATCH(TRUE,Ampacity_Cu&gt;=1.25*$AK22/$AT22,0))),"—")</f>
        <v/>
      </c>
      <c r="AV22" s="290" t="str" cm="1">
        <f t="array" ref="AV22">IF($AU22="","",IFERROR(INDEX(Gec_Cu,MATCH(TRUE,Gec_CM&gt;=INDEX(Ampacity_CM,MATCH($AU22,Ampacity_Size,0))*$AT22,0)),"—"))</f>
        <v/>
      </c>
      <c r="AW22" s="290" t="str" cm="1">
        <f t="array" ref="AW22">IF($AU22="","",IFERROR(IF(INDEX(Ampacity_CM,MATCH($AU22,Ampacity_Size,0))*$AT22&gt;1100000,"12.5% of phase area",INDEX(Gec_Cu,MATCH(TRUE,Gec_CM&gt;=INDEX(Ampacity_CM,MATCH($AU22,Ampacity_Size,0))*$AT22,0))),"—"))</f>
        <v/>
      </c>
      <c r="AX22" s="533" t="str">
        <f t="shared" si="24"/>
        <v/>
      </c>
      <c r="AY22" s="533" t="str">
        <f t="shared" si="25"/>
        <v/>
      </c>
      <c r="AZ22" s="20" t="str">
        <f t="shared" si="26"/>
        <v/>
      </c>
    </row>
    <row r="23" spans="1:72" ht="15" customHeight="1" x14ac:dyDescent="0.35">
      <c r="A23" s="362" t="str" cm="1">
        <f t="array" ref="A23">IFERROR(IF(INDEX(_xlfn.ANCHORARRAY($BO$4),ROW()-5,1)="","","T-"&amp;INDEX(_xlfn.ANCHORARRAY($BO$4),ROW()-5,1)),"")</f>
        <v/>
      </c>
      <c r="B23" s="362" t="str" cm="1">
        <f t="array" ref="B23">IFERROR(IF(INDEX(_xlfn.ANCHORARRAY($BO$4),ROW()-5,1)="","",INDEX(_xlfn.ANCHORARRAY($BO$4),ROW()-5,1)),"")</f>
        <v/>
      </c>
      <c r="C23" s="362" t="str" cm="1">
        <f t="array" ref="C23">IFERROR(INDEX(_xlfn.ANCHORARRAY($BO$4),ROW()-5,5),"")</f>
        <v/>
      </c>
      <c r="D23" s="362" t="str" cm="1">
        <f t="array" ref="D23">IFERROR(INDEX(_xlfn.ANCHORARRAY($BO$4),ROW()-5,3),"")</f>
        <v/>
      </c>
      <c r="E23" s="362" t="str" cm="1">
        <f t="array" ref="E23">IFERROR(INDEX(_xlfn.ANCHORARRAY($BO$4),ROW()-5,4),"")</f>
        <v/>
      </c>
      <c r="F23" s="36" t="str" cm="1">
        <f t="array" ref="F23">IFERROR(INDEX(_xlfn.ANCHORARRAY($BO$4),ROW()-5,6),"")</f>
        <v/>
      </c>
      <c r="G23" s="362" t="str" cm="1">
        <f t="array" ref="G23">IF($F23="","",_xlfn.LET(_xlpm.ov,N(IFERROR(_xlfn.XLOOKUP($B23,Dashboard!$A$101:$A$350,Dashboard!$O$101:$O$350,0),0)),_xlpm.need,MAX(N($F23),_xlpm.ov*N($E23)*IF($C23=3,SQRT(3),1)/1000),IFERROR(INDEX(IF($C23=1,Xfmr1_kVA,Xfmr3_kVA),MATCH(TRUE,IF($C23=1,Xfmr1_kVA,Xfmr3_kVA)&gt;=_xlpm.need,0)),"OVER")))</f>
        <v/>
      </c>
      <c r="H23" s="362" t="str">
        <f t="shared" si="0"/>
        <v/>
      </c>
      <c r="I23" s="168" t="str">
        <f t="shared" si="1"/>
        <v/>
      </c>
      <c r="J23" s="362" t="str">
        <f t="shared" si="2"/>
        <v/>
      </c>
      <c r="K23" s="362" t="str">
        <f t="shared" si="3"/>
        <v/>
      </c>
      <c r="L23" s="362" t="str">
        <f t="shared" si="4"/>
        <v/>
      </c>
      <c r="M23" s="168" t="str" cm="1">
        <f t="array" ref="M23">IF($Z23&lt;&gt;"",$Z23,IFERROR(IF($AJ23="","",INDEX(OCPD_List,MATCH(TRUE,OCPD_List&gt;=1.25*$AJ23,0))),"—"))</f>
        <v/>
      </c>
      <c r="N23" s="168" t="str" cm="1">
        <f t="array" ref="N23">IF($AA23&lt;&gt;"",$AA23,IFERROR(IF($AK23="","",INDEX(OCPD_List,MATCH(TRUE,OCPD_List&gt;=1.25*$AK23,0))),"—"))</f>
        <v/>
      </c>
      <c r="O23" s="171" t="str">
        <f t="shared" si="5"/>
        <v/>
      </c>
      <c r="P23" s="171" t="str">
        <f t="shared" si="6"/>
        <v/>
      </c>
      <c r="Q23" s="78" t="str">
        <f t="shared" si="7"/>
        <v/>
      </c>
      <c r="R23" s="371"/>
      <c r="S23" s="481" t="str">
        <f t="shared" si="8"/>
        <v/>
      </c>
      <c r="T23" s="482" t="str">
        <f t="shared" si="9"/>
        <v/>
      </c>
      <c r="U23" s="482" t="str">
        <f t="shared" si="10"/>
        <v/>
      </c>
      <c r="V23" s="482" t="str">
        <f t="shared" si="11"/>
        <v/>
      </c>
      <c r="W23" s="169"/>
      <c r="X23" s="169"/>
      <c r="Y23" s="169"/>
      <c r="Z23" s="251"/>
      <c r="AA23" s="251"/>
      <c r="AB23" s="483"/>
      <c r="AC23" s="483"/>
      <c r="AD23" s="483"/>
      <c r="AE23" s="483"/>
      <c r="AF23" s="483"/>
      <c r="AG23" s="254" t="str">
        <f t="shared" si="12"/>
        <v/>
      </c>
      <c r="AH23" s="254" t="str">
        <f t="shared" si="13"/>
        <v/>
      </c>
      <c r="AI23" s="254" t="str">
        <f t="shared" si="14"/>
        <v/>
      </c>
      <c r="AJ23" s="254" t="str">
        <f t="shared" si="15"/>
        <v/>
      </c>
      <c r="AK23" s="254" t="str">
        <f t="shared" si="16"/>
        <v/>
      </c>
      <c r="AL23" s="255" t="str" cm="1">
        <f t="array" ref="AL23">IFERROR(IF(INDEX(_xlfn.ANCHORARRAY($BO$4),ROW()-5,2)="","",_xlfn.XLOOKUP(INDEX(_xlfn.ANCHORARRAY($BO$4),ROW()-5,2),'Short Circuit'!$A$6:$A$255,'Short Circuit'!$J$6:$J$255,"")),"")</f>
        <v/>
      </c>
      <c r="AM23" s="254" t="str">
        <f t="shared" si="17"/>
        <v/>
      </c>
      <c r="AN23" s="254" t="str">
        <f t="shared" si="18"/>
        <v/>
      </c>
      <c r="AO23" s="254" t="str">
        <f t="shared" si="19"/>
        <v/>
      </c>
      <c r="AP23" s="255" t="str">
        <f t="shared" si="20"/>
        <v/>
      </c>
      <c r="AQ23" s="255" t="str">
        <f t="shared" si="21"/>
        <v/>
      </c>
      <c r="AR23" s="255" t="str">
        <f t="shared" si="22"/>
        <v/>
      </c>
      <c r="AS23" s="255" t="str" cm="1">
        <f t="array" ref="AS23">IFERROR(IF($AP23="","",INDEX(AIC_List,MATCH(TRUE,AIC_List&gt;=$AP23,0))),"⚠ &gt; 200 kA")</f>
        <v/>
      </c>
      <c r="AT23" s="255" t="str">
        <f t="shared" si="23"/>
        <v/>
      </c>
      <c r="AU23" s="290" t="str" cm="1">
        <f t="array" ref="AU23">IFERROR(IF($AK23="","",INDEX(Ampacity_Size,MATCH(TRUE,Ampacity_Cu&gt;=1.25*$AK23/$AT23,0))),"—")</f>
        <v/>
      </c>
      <c r="AV23" s="290" t="str" cm="1">
        <f t="array" ref="AV23">IF($AU23="","",IFERROR(INDEX(Gec_Cu,MATCH(TRUE,Gec_CM&gt;=INDEX(Ampacity_CM,MATCH($AU23,Ampacity_Size,0))*$AT23,0)),"—"))</f>
        <v/>
      </c>
      <c r="AW23" s="290" t="str" cm="1">
        <f t="array" ref="AW23">IF($AU23="","",IFERROR(IF(INDEX(Ampacity_CM,MATCH($AU23,Ampacity_Size,0))*$AT23&gt;1100000,"12.5% of phase area",INDEX(Gec_Cu,MATCH(TRUE,Gec_CM&gt;=INDEX(Ampacity_CM,MATCH($AU23,Ampacity_Size,0))*$AT23,0))),"—"))</f>
        <v/>
      </c>
      <c r="AX23" s="533" t="str">
        <f t="shared" si="24"/>
        <v/>
      </c>
      <c r="AY23" s="533" t="str">
        <f t="shared" si="25"/>
        <v/>
      </c>
      <c r="AZ23" s="20" t="str">
        <f t="shared" si="26"/>
        <v/>
      </c>
    </row>
    <row r="24" spans="1:72" ht="15" customHeight="1" x14ac:dyDescent="0.35">
      <c r="A24" s="362" t="str" cm="1">
        <f t="array" ref="A24">IFERROR(IF(INDEX(_xlfn.ANCHORARRAY($BO$4),ROW()-5,1)="","","T-"&amp;INDEX(_xlfn.ANCHORARRAY($BO$4),ROW()-5,1)),"")</f>
        <v/>
      </c>
      <c r="B24" s="362" t="str" cm="1">
        <f t="array" ref="B24">IFERROR(IF(INDEX(_xlfn.ANCHORARRAY($BO$4),ROW()-5,1)="","",INDEX(_xlfn.ANCHORARRAY($BO$4),ROW()-5,1)),"")</f>
        <v/>
      </c>
      <c r="C24" s="362" t="str" cm="1">
        <f t="array" ref="C24">IFERROR(INDEX(_xlfn.ANCHORARRAY($BO$4),ROW()-5,5),"")</f>
        <v/>
      </c>
      <c r="D24" s="362" t="str" cm="1">
        <f t="array" ref="D24">IFERROR(INDEX(_xlfn.ANCHORARRAY($BO$4),ROW()-5,3),"")</f>
        <v/>
      </c>
      <c r="E24" s="362" t="str" cm="1">
        <f t="array" ref="E24">IFERROR(INDEX(_xlfn.ANCHORARRAY($BO$4),ROW()-5,4),"")</f>
        <v/>
      </c>
      <c r="F24" s="36" t="str" cm="1">
        <f t="array" ref="F24">IFERROR(INDEX(_xlfn.ANCHORARRAY($BO$4),ROW()-5,6),"")</f>
        <v/>
      </c>
      <c r="G24" s="362" t="str" cm="1">
        <f t="array" ref="G24">IF($F24="","",_xlfn.LET(_xlpm.ov,N(IFERROR(_xlfn.XLOOKUP($B24,Dashboard!$A$101:$A$350,Dashboard!$O$101:$O$350,0),0)),_xlpm.need,MAX(N($F24),_xlpm.ov*N($E24)*IF($C24=3,SQRT(3),1)/1000),IFERROR(INDEX(IF($C24=1,Xfmr1_kVA,Xfmr3_kVA),MATCH(TRUE,IF($C24=1,Xfmr1_kVA,Xfmr3_kVA)&gt;=_xlpm.need,0)),"OVER")))</f>
        <v/>
      </c>
      <c r="H24" s="362" t="str">
        <f t="shared" si="0"/>
        <v/>
      </c>
      <c r="I24" s="168" t="str">
        <f t="shared" si="1"/>
        <v/>
      </c>
      <c r="J24" s="362" t="str">
        <f t="shared" si="2"/>
        <v/>
      </c>
      <c r="K24" s="362" t="str">
        <f t="shared" si="3"/>
        <v/>
      </c>
      <c r="L24" s="362" t="str">
        <f t="shared" si="4"/>
        <v/>
      </c>
      <c r="M24" s="168" t="str" cm="1">
        <f t="array" ref="M24">IF($Z24&lt;&gt;"",$Z24,IFERROR(IF($AJ24="","",INDEX(OCPD_List,MATCH(TRUE,OCPD_List&gt;=1.25*$AJ24,0))),"—"))</f>
        <v/>
      </c>
      <c r="N24" s="168" t="str" cm="1">
        <f t="array" ref="N24">IF($AA24&lt;&gt;"",$AA24,IFERROR(IF($AK24="","",INDEX(OCPD_List,MATCH(TRUE,OCPD_List&gt;=1.25*$AK24,0))),"—"))</f>
        <v/>
      </c>
      <c r="O24" s="171" t="str">
        <f t="shared" si="5"/>
        <v/>
      </c>
      <c r="P24" s="171" t="str">
        <f t="shared" si="6"/>
        <v/>
      </c>
      <c r="Q24" s="78" t="str">
        <f t="shared" si="7"/>
        <v/>
      </c>
      <c r="R24" s="371"/>
      <c r="S24" s="481" t="str">
        <f t="shared" si="8"/>
        <v/>
      </c>
      <c r="T24" s="482" t="str">
        <f t="shared" si="9"/>
        <v/>
      </c>
      <c r="U24" s="482" t="str">
        <f t="shared" si="10"/>
        <v/>
      </c>
      <c r="V24" s="482" t="str">
        <f t="shared" si="11"/>
        <v/>
      </c>
      <c r="W24" s="169"/>
      <c r="X24" s="169"/>
      <c r="Y24" s="169"/>
      <c r="Z24" s="251"/>
      <c r="AA24" s="251"/>
      <c r="AB24" s="483"/>
      <c r="AC24" s="483"/>
      <c r="AD24" s="483"/>
      <c r="AE24" s="483"/>
      <c r="AF24" s="483"/>
      <c r="AG24" s="254" t="str">
        <f t="shared" si="12"/>
        <v/>
      </c>
      <c r="AH24" s="254" t="str">
        <f t="shared" si="13"/>
        <v/>
      </c>
      <c r="AI24" s="254" t="str">
        <f t="shared" si="14"/>
        <v/>
      </c>
      <c r="AJ24" s="254" t="str">
        <f t="shared" si="15"/>
        <v/>
      </c>
      <c r="AK24" s="254" t="str">
        <f t="shared" si="16"/>
        <v/>
      </c>
      <c r="AL24" s="255" t="str" cm="1">
        <f t="array" ref="AL24">IFERROR(IF(INDEX(_xlfn.ANCHORARRAY($BO$4),ROW()-5,2)="","",_xlfn.XLOOKUP(INDEX(_xlfn.ANCHORARRAY($BO$4),ROW()-5,2),'Short Circuit'!$A$6:$A$255,'Short Circuit'!$J$6:$J$255,"")),"")</f>
        <v/>
      </c>
      <c r="AM24" s="254" t="str">
        <f t="shared" si="17"/>
        <v/>
      </c>
      <c r="AN24" s="254" t="str">
        <f t="shared" si="18"/>
        <v/>
      </c>
      <c r="AO24" s="254" t="str">
        <f t="shared" si="19"/>
        <v/>
      </c>
      <c r="AP24" s="255" t="str">
        <f t="shared" si="20"/>
        <v/>
      </c>
      <c r="AQ24" s="255" t="str">
        <f t="shared" si="21"/>
        <v/>
      </c>
      <c r="AR24" s="255" t="str">
        <f t="shared" si="22"/>
        <v/>
      </c>
      <c r="AS24" s="255" t="str" cm="1">
        <f t="array" ref="AS24">IFERROR(IF($AP24="","",INDEX(AIC_List,MATCH(TRUE,AIC_List&gt;=$AP24,0))),"⚠ &gt; 200 kA")</f>
        <v/>
      </c>
      <c r="AT24" s="255" t="str">
        <f t="shared" si="23"/>
        <v/>
      </c>
      <c r="AU24" s="290" t="str" cm="1">
        <f t="array" ref="AU24">IFERROR(IF($AK24="","",INDEX(Ampacity_Size,MATCH(TRUE,Ampacity_Cu&gt;=1.25*$AK24/$AT24,0))),"—")</f>
        <v/>
      </c>
      <c r="AV24" s="290" t="str" cm="1">
        <f t="array" ref="AV24">IF($AU24="","",IFERROR(INDEX(Gec_Cu,MATCH(TRUE,Gec_CM&gt;=INDEX(Ampacity_CM,MATCH($AU24,Ampacity_Size,0))*$AT24,0)),"—"))</f>
        <v/>
      </c>
      <c r="AW24" s="290" t="str" cm="1">
        <f t="array" ref="AW24">IF($AU24="","",IFERROR(IF(INDEX(Ampacity_CM,MATCH($AU24,Ampacity_Size,0))*$AT24&gt;1100000,"12.5% of phase area",INDEX(Gec_Cu,MATCH(TRUE,Gec_CM&gt;=INDEX(Ampacity_CM,MATCH($AU24,Ampacity_Size,0))*$AT24,0))),"—"))</f>
        <v/>
      </c>
      <c r="AX24" s="533" t="str">
        <f t="shared" si="24"/>
        <v/>
      </c>
      <c r="AY24" s="533" t="str">
        <f t="shared" si="25"/>
        <v/>
      </c>
      <c r="AZ24" s="20" t="str">
        <f t="shared" si="26"/>
        <v/>
      </c>
    </row>
    <row r="25" spans="1:72" ht="15" customHeight="1" x14ac:dyDescent="0.35">
      <c r="A25" s="362" t="str" cm="1">
        <f t="array" ref="A25">IFERROR(IF(INDEX(_xlfn.ANCHORARRAY($BO$4),ROW()-5,1)="","","T-"&amp;INDEX(_xlfn.ANCHORARRAY($BO$4),ROW()-5,1)),"")</f>
        <v/>
      </c>
      <c r="B25" s="362" t="str" cm="1">
        <f t="array" ref="B25">IFERROR(IF(INDEX(_xlfn.ANCHORARRAY($BO$4),ROW()-5,1)="","",INDEX(_xlfn.ANCHORARRAY($BO$4),ROW()-5,1)),"")</f>
        <v/>
      </c>
      <c r="C25" s="362" t="str" cm="1">
        <f t="array" ref="C25">IFERROR(INDEX(_xlfn.ANCHORARRAY($BO$4),ROW()-5,5),"")</f>
        <v/>
      </c>
      <c r="D25" s="362" t="str" cm="1">
        <f t="array" ref="D25">IFERROR(INDEX(_xlfn.ANCHORARRAY($BO$4),ROW()-5,3),"")</f>
        <v/>
      </c>
      <c r="E25" s="362" t="str" cm="1">
        <f t="array" ref="E25">IFERROR(INDEX(_xlfn.ANCHORARRAY($BO$4),ROW()-5,4),"")</f>
        <v/>
      </c>
      <c r="F25" s="36" t="str" cm="1">
        <f t="array" ref="F25">IFERROR(INDEX(_xlfn.ANCHORARRAY($BO$4),ROW()-5,6),"")</f>
        <v/>
      </c>
      <c r="G25" s="362" t="str" cm="1">
        <f t="array" ref="G25">IF($F25="","",_xlfn.LET(_xlpm.ov,N(IFERROR(_xlfn.XLOOKUP($B25,Dashboard!$A$101:$A$350,Dashboard!$O$101:$O$350,0),0)),_xlpm.need,MAX(N($F25),_xlpm.ov*N($E25)*IF($C25=3,SQRT(3),1)/1000),IFERROR(INDEX(IF($C25=1,Xfmr1_kVA,Xfmr3_kVA),MATCH(TRUE,IF($C25=1,Xfmr1_kVA,Xfmr3_kVA)&gt;=_xlpm.need,0)),"OVER")))</f>
        <v/>
      </c>
      <c r="H25" s="362" t="str">
        <f t="shared" si="0"/>
        <v/>
      </c>
      <c r="I25" s="168" t="str">
        <f t="shared" si="1"/>
        <v/>
      </c>
      <c r="J25" s="362" t="str">
        <f t="shared" si="2"/>
        <v/>
      </c>
      <c r="K25" s="362" t="str">
        <f t="shared" si="3"/>
        <v/>
      </c>
      <c r="L25" s="362" t="str">
        <f t="shared" si="4"/>
        <v/>
      </c>
      <c r="M25" s="168" t="str" cm="1">
        <f t="array" ref="M25">IF($Z25&lt;&gt;"",$Z25,IFERROR(IF($AJ25="","",INDEX(OCPD_List,MATCH(TRUE,OCPD_List&gt;=1.25*$AJ25,0))),"—"))</f>
        <v/>
      </c>
      <c r="N25" s="168" t="str" cm="1">
        <f t="array" ref="N25">IF($AA25&lt;&gt;"",$AA25,IFERROR(IF($AK25="","",INDEX(OCPD_List,MATCH(TRUE,OCPD_List&gt;=1.25*$AK25,0))),"—"))</f>
        <v/>
      </c>
      <c r="O25" s="171" t="str">
        <f t="shared" si="5"/>
        <v/>
      </c>
      <c r="P25" s="171" t="str">
        <f t="shared" si="6"/>
        <v/>
      </c>
      <c r="Q25" s="78" t="str">
        <f t="shared" si="7"/>
        <v/>
      </c>
      <c r="R25" s="371"/>
      <c r="S25" s="481" t="str">
        <f t="shared" si="8"/>
        <v/>
      </c>
      <c r="T25" s="482" t="str">
        <f t="shared" si="9"/>
        <v/>
      </c>
      <c r="U25" s="482" t="str">
        <f t="shared" si="10"/>
        <v/>
      </c>
      <c r="V25" s="482" t="str">
        <f t="shared" si="11"/>
        <v/>
      </c>
      <c r="W25" s="169"/>
      <c r="X25" s="169"/>
      <c r="Y25" s="169"/>
      <c r="Z25" s="251"/>
      <c r="AA25" s="251"/>
      <c r="AB25" s="483"/>
      <c r="AC25" s="483"/>
      <c r="AD25" s="483"/>
      <c r="AE25" s="483"/>
      <c r="AF25" s="483"/>
      <c r="AG25" s="254" t="str">
        <f t="shared" si="12"/>
        <v/>
      </c>
      <c r="AH25" s="254" t="str">
        <f t="shared" si="13"/>
        <v/>
      </c>
      <c r="AI25" s="254" t="str">
        <f t="shared" si="14"/>
        <v/>
      </c>
      <c r="AJ25" s="254" t="str">
        <f t="shared" si="15"/>
        <v/>
      </c>
      <c r="AK25" s="254" t="str">
        <f t="shared" si="16"/>
        <v/>
      </c>
      <c r="AL25" s="255" t="str" cm="1">
        <f t="array" ref="AL25">IFERROR(IF(INDEX(_xlfn.ANCHORARRAY($BO$4),ROW()-5,2)="","",_xlfn.XLOOKUP(INDEX(_xlfn.ANCHORARRAY($BO$4),ROW()-5,2),'Short Circuit'!$A$6:$A$255,'Short Circuit'!$J$6:$J$255,"")),"")</f>
        <v/>
      </c>
      <c r="AM25" s="254" t="str">
        <f t="shared" si="17"/>
        <v/>
      </c>
      <c r="AN25" s="254" t="str">
        <f t="shared" si="18"/>
        <v/>
      </c>
      <c r="AO25" s="254" t="str">
        <f t="shared" si="19"/>
        <v/>
      </c>
      <c r="AP25" s="255" t="str">
        <f t="shared" si="20"/>
        <v/>
      </c>
      <c r="AQ25" s="255" t="str">
        <f t="shared" si="21"/>
        <v/>
      </c>
      <c r="AR25" s="255" t="str">
        <f t="shared" si="22"/>
        <v/>
      </c>
      <c r="AS25" s="255" t="str" cm="1">
        <f t="array" ref="AS25">IFERROR(IF($AP25="","",INDEX(AIC_List,MATCH(TRUE,AIC_List&gt;=$AP25,0))),"⚠ &gt; 200 kA")</f>
        <v/>
      </c>
      <c r="AT25" s="255" t="str">
        <f t="shared" si="23"/>
        <v/>
      </c>
      <c r="AU25" s="290" t="str" cm="1">
        <f t="array" ref="AU25">IFERROR(IF($AK25="","",INDEX(Ampacity_Size,MATCH(TRUE,Ampacity_Cu&gt;=1.25*$AK25/$AT25,0))),"—")</f>
        <v/>
      </c>
      <c r="AV25" s="290" t="str" cm="1">
        <f t="array" ref="AV25">IF($AU25="","",IFERROR(INDEX(Gec_Cu,MATCH(TRUE,Gec_CM&gt;=INDEX(Ampacity_CM,MATCH($AU25,Ampacity_Size,0))*$AT25,0)),"—"))</f>
        <v/>
      </c>
      <c r="AW25" s="290" t="str" cm="1">
        <f t="array" ref="AW25">IF($AU25="","",IFERROR(IF(INDEX(Ampacity_CM,MATCH($AU25,Ampacity_Size,0))*$AT25&gt;1100000,"12.5% of phase area",INDEX(Gec_Cu,MATCH(TRUE,Gec_CM&gt;=INDEX(Ampacity_CM,MATCH($AU25,Ampacity_Size,0))*$AT25,0))),"—"))</f>
        <v/>
      </c>
      <c r="AX25" s="533" t="str">
        <f t="shared" si="24"/>
        <v/>
      </c>
      <c r="AY25" s="533" t="str">
        <f t="shared" si="25"/>
        <v/>
      </c>
      <c r="AZ25" s="20" t="str">
        <f t="shared" si="26"/>
        <v/>
      </c>
    </row>
    <row r="26" spans="1:72" ht="15" customHeight="1" x14ac:dyDescent="0.35">
      <c r="A26" s="362" t="str" cm="1">
        <f t="array" ref="A26">IFERROR(IF(INDEX(_xlfn.ANCHORARRAY($BO$4),ROW()-5,1)="","","T-"&amp;INDEX(_xlfn.ANCHORARRAY($BO$4),ROW()-5,1)),"")</f>
        <v/>
      </c>
      <c r="B26" s="362" t="str" cm="1">
        <f t="array" ref="B26">IFERROR(IF(INDEX(_xlfn.ANCHORARRAY($BO$4),ROW()-5,1)="","",INDEX(_xlfn.ANCHORARRAY($BO$4),ROW()-5,1)),"")</f>
        <v/>
      </c>
      <c r="C26" s="362" t="str" cm="1">
        <f t="array" ref="C26">IFERROR(INDEX(_xlfn.ANCHORARRAY($BO$4),ROW()-5,5),"")</f>
        <v/>
      </c>
      <c r="D26" s="362" t="str" cm="1">
        <f t="array" ref="D26">IFERROR(INDEX(_xlfn.ANCHORARRAY($BO$4),ROW()-5,3),"")</f>
        <v/>
      </c>
      <c r="E26" s="362" t="str" cm="1">
        <f t="array" ref="E26">IFERROR(INDEX(_xlfn.ANCHORARRAY($BO$4),ROW()-5,4),"")</f>
        <v/>
      </c>
      <c r="F26" s="36" t="str" cm="1">
        <f t="array" ref="F26">IFERROR(INDEX(_xlfn.ANCHORARRAY($BO$4),ROW()-5,6),"")</f>
        <v/>
      </c>
      <c r="G26" s="362" t="str" cm="1">
        <f t="array" ref="G26">IF($F26="","",_xlfn.LET(_xlpm.ov,N(IFERROR(_xlfn.XLOOKUP($B26,Dashboard!$A$101:$A$350,Dashboard!$O$101:$O$350,0),0)),_xlpm.need,MAX(N($F26),_xlpm.ov*N($E26)*IF($C26=3,SQRT(3),1)/1000),IFERROR(INDEX(IF($C26=1,Xfmr1_kVA,Xfmr3_kVA),MATCH(TRUE,IF($C26=1,Xfmr1_kVA,Xfmr3_kVA)&gt;=_xlpm.need,0)),"OVER")))</f>
        <v/>
      </c>
      <c r="H26" s="362" t="str">
        <f t="shared" si="0"/>
        <v/>
      </c>
      <c r="I26" s="168" t="str">
        <f t="shared" si="1"/>
        <v/>
      </c>
      <c r="J26" s="362" t="str">
        <f t="shared" si="2"/>
        <v/>
      </c>
      <c r="K26" s="362" t="str">
        <f t="shared" si="3"/>
        <v/>
      </c>
      <c r="L26" s="362" t="str">
        <f t="shared" si="4"/>
        <v/>
      </c>
      <c r="M26" s="168" t="str" cm="1">
        <f t="array" ref="M26">IF($Z26&lt;&gt;"",$Z26,IFERROR(IF($AJ26="","",INDEX(OCPD_List,MATCH(TRUE,OCPD_List&gt;=1.25*$AJ26,0))),"—"))</f>
        <v/>
      </c>
      <c r="N26" s="168" t="str" cm="1">
        <f t="array" ref="N26">IF($AA26&lt;&gt;"",$AA26,IFERROR(IF($AK26="","",INDEX(OCPD_List,MATCH(TRUE,OCPD_List&gt;=1.25*$AK26,0))),"—"))</f>
        <v/>
      </c>
      <c r="O26" s="171" t="str">
        <f t="shared" si="5"/>
        <v/>
      </c>
      <c r="P26" s="171" t="str">
        <f t="shared" si="6"/>
        <v/>
      </c>
      <c r="Q26" s="78" t="str">
        <f t="shared" si="7"/>
        <v/>
      </c>
      <c r="R26" s="371"/>
      <c r="S26" s="481" t="str">
        <f t="shared" si="8"/>
        <v/>
      </c>
      <c r="T26" s="482" t="str">
        <f t="shared" si="9"/>
        <v/>
      </c>
      <c r="U26" s="482" t="str">
        <f t="shared" si="10"/>
        <v/>
      </c>
      <c r="V26" s="482" t="str">
        <f t="shared" si="11"/>
        <v/>
      </c>
      <c r="W26" s="169"/>
      <c r="X26" s="169"/>
      <c r="Y26" s="169"/>
      <c r="Z26" s="251"/>
      <c r="AA26" s="251"/>
      <c r="AB26" s="483"/>
      <c r="AC26" s="483"/>
      <c r="AD26" s="483"/>
      <c r="AE26" s="483"/>
      <c r="AF26" s="483"/>
      <c r="AG26" s="254" t="str">
        <f t="shared" si="12"/>
        <v/>
      </c>
      <c r="AH26" s="254" t="str">
        <f t="shared" si="13"/>
        <v/>
      </c>
      <c r="AI26" s="254" t="str">
        <f t="shared" si="14"/>
        <v/>
      </c>
      <c r="AJ26" s="254" t="str">
        <f t="shared" si="15"/>
        <v/>
      </c>
      <c r="AK26" s="254" t="str">
        <f t="shared" si="16"/>
        <v/>
      </c>
      <c r="AL26" s="255" t="str" cm="1">
        <f t="array" ref="AL26">IFERROR(IF(INDEX(_xlfn.ANCHORARRAY($BO$4),ROW()-5,2)="","",_xlfn.XLOOKUP(INDEX(_xlfn.ANCHORARRAY($BO$4),ROW()-5,2),'Short Circuit'!$A$6:$A$255,'Short Circuit'!$J$6:$J$255,"")),"")</f>
        <v/>
      </c>
      <c r="AM26" s="254" t="str">
        <f t="shared" si="17"/>
        <v/>
      </c>
      <c r="AN26" s="254" t="str">
        <f t="shared" si="18"/>
        <v/>
      </c>
      <c r="AO26" s="254" t="str">
        <f t="shared" si="19"/>
        <v/>
      </c>
      <c r="AP26" s="255" t="str">
        <f t="shared" si="20"/>
        <v/>
      </c>
      <c r="AQ26" s="255" t="str">
        <f t="shared" si="21"/>
        <v/>
      </c>
      <c r="AR26" s="255" t="str">
        <f t="shared" si="22"/>
        <v/>
      </c>
      <c r="AS26" s="255" t="str" cm="1">
        <f t="array" ref="AS26">IFERROR(IF($AP26="","",INDEX(AIC_List,MATCH(TRUE,AIC_List&gt;=$AP26,0))),"⚠ &gt; 200 kA")</f>
        <v/>
      </c>
      <c r="AT26" s="255" t="str">
        <f t="shared" si="23"/>
        <v/>
      </c>
      <c r="AU26" s="290" t="str" cm="1">
        <f t="array" ref="AU26">IFERROR(IF($AK26="","",INDEX(Ampacity_Size,MATCH(TRUE,Ampacity_Cu&gt;=1.25*$AK26/$AT26,0))),"—")</f>
        <v/>
      </c>
      <c r="AV26" s="290" t="str" cm="1">
        <f t="array" ref="AV26">IF($AU26="","",IFERROR(INDEX(Gec_Cu,MATCH(TRUE,Gec_CM&gt;=INDEX(Ampacity_CM,MATCH($AU26,Ampacity_Size,0))*$AT26,0)),"—"))</f>
        <v/>
      </c>
      <c r="AW26" s="290" t="str" cm="1">
        <f t="array" ref="AW26">IF($AU26="","",IFERROR(IF(INDEX(Ampacity_CM,MATCH($AU26,Ampacity_Size,0))*$AT26&gt;1100000,"12.5% of phase area",INDEX(Gec_Cu,MATCH(TRUE,Gec_CM&gt;=INDEX(Ampacity_CM,MATCH($AU26,Ampacity_Size,0))*$AT26,0))),"—"))</f>
        <v/>
      </c>
      <c r="AX26" s="533" t="str">
        <f t="shared" si="24"/>
        <v/>
      </c>
      <c r="AY26" s="533" t="str">
        <f t="shared" si="25"/>
        <v/>
      </c>
      <c r="AZ26" s="20" t="str">
        <f t="shared" si="26"/>
        <v/>
      </c>
    </row>
    <row r="27" spans="1:72" ht="15" customHeight="1" x14ac:dyDescent="0.35">
      <c r="A27" s="362" t="str" cm="1">
        <f t="array" ref="A27">IFERROR(IF(INDEX(_xlfn.ANCHORARRAY($BO$4),ROW()-5,1)="","","T-"&amp;INDEX(_xlfn.ANCHORARRAY($BO$4),ROW()-5,1)),"")</f>
        <v/>
      </c>
      <c r="B27" s="362" t="str" cm="1">
        <f t="array" ref="B27">IFERROR(IF(INDEX(_xlfn.ANCHORARRAY($BO$4),ROW()-5,1)="","",INDEX(_xlfn.ANCHORARRAY($BO$4),ROW()-5,1)),"")</f>
        <v/>
      </c>
      <c r="C27" s="362" t="str" cm="1">
        <f t="array" ref="C27">IFERROR(INDEX(_xlfn.ANCHORARRAY($BO$4),ROW()-5,5),"")</f>
        <v/>
      </c>
      <c r="D27" s="362" t="str" cm="1">
        <f t="array" ref="D27">IFERROR(INDEX(_xlfn.ANCHORARRAY($BO$4),ROW()-5,3),"")</f>
        <v/>
      </c>
      <c r="E27" s="362" t="str" cm="1">
        <f t="array" ref="E27">IFERROR(INDEX(_xlfn.ANCHORARRAY($BO$4),ROW()-5,4),"")</f>
        <v/>
      </c>
      <c r="F27" s="36" t="str" cm="1">
        <f t="array" ref="F27">IFERROR(INDEX(_xlfn.ANCHORARRAY($BO$4),ROW()-5,6),"")</f>
        <v/>
      </c>
      <c r="G27" s="362" t="str" cm="1">
        <f t="array" ref="G27">IF($F27="","",_xlfn.LET(_xlpm.ov,N(IFERROR(_xlfn.XLOOKUP($B27,Dashboard!$A$101:$A$350,Dashboard!$O$101:$O$350,0),0)),_xlpm.need,MAX(N($F27),_xlpm.ov*N($E27)*IF($C27=3,SQRT(3),1)/1000),IFERROR(INDEX(IF($C27=1,Xfmr1_kVA,Xfmr3_kVA),MATCH(TRUE,IF($C27=1,Xfmr1_kVA,Xfmr3_kVA)&gt;=_xlpm.need,0)),"OVER")))</f>
        <v/>
      </c>
      <c r="H27" s="362" t="str">
        <f t="shared" si="0"/>
        <v/>
      </c>
      <c r="I27" s="168" t="str">
        <f t="shared" si="1"/>
        <v/>
      </c>
      <c r="J27" s="362" t="str">
        <f t="shared" si="2"/>
        <v/>
      </c>
      <c r="K27" s="362" t="str">
        <f t="shared" si="3"/>
        <v/>
      </c>
      <c r="L27" s="362" t="str">
        <f t="shared" si="4"/>
        <v/>
      </c>
      <c r="M27" s="168" t="str" cm="1">
        <f t="array" ref="M27">IF($Z27&lt;&gt;"",$Z27,IFERROR(IF($AJ27="","",INDEX(OCPD_List,MATCH(TRUE,OCPD_List&gt;=1.25*$AJ27,0))),"—"))</f>
        <v/>
      </c>
      <c r="N27" s="168" t="str" cm="1">
        <f t="array" ref="N27">IF($AA27&lt;&gt;"",$AA27,IFERROR(IF($AK27="","",INDEX(OCPD_List,MATCH(TRUE,OCPD_List&gt;=1.25*$AK27,0))),"—"))</f>
        <v/>
      </c>
      <c r="O27" s="171" t="str">
        <f t="shared" si="5"/>
        <v/>
      </c>
      <c r="P27" s="171" t="str">
        <f t="shared" si="6"/>
        <v/>
      </c>
      <c r="Q27" s="78" t="str">
        <f t="shared" si="7"/>
        <v/>
      </c>
      <c r="R27" s="371"/>
      <c r="S27" s="481" t="str">
        <f t="shared" si="8"/>
        <v/>
      </c>
      <c r="T27" s="482" t="str">
        <f t="shared" si="9"/>
        <v/>
      </c>
      <c r="U27" s="482" t="str">
        <f t="shared" si="10"/>
        <v/>
      </c>
      <c r="V27" s="482" t="str">
        <f t="shared" si="11"/>
        <v/>
      </c>
      <c r="W27" s="169"/>
      <c r="X27" s="169"/>
      <c r="Y27" s="169"/>
      <c r="Z27" s="251"/>
      <c r="AA27" s="251"/>
      <c r="AB27" s="483"/>
      <c r="AC27" s="483"/>
      <c r="AD27" s="483"/>
      <c r="AE27" s="483"/>
      <c r="AF27" s="483"/>
      <c r="AG27" s="254" t="str">
        <f t="shared" si="12"/>
        <v/>
      </c>
      <c r="AH27" s="254" t="str">
        <f t="shared" si="13"/>
        <v/>
      </c>
      <c r="AI27" s="254" t="str">
        <f t="shared" si="14"/>
        <v/>
      </c>
      <c r="AJ27" s="254" t="str">
        <f t="shared" si="15"/>
        <v/>
      </c>
      <c r="AK27" s="254" t="str">
        <f t="shared" si="16"/>
        <v/>
      </c>
      <c r="AL27" s="255" t="str" cm="1">
        <f t="array" ref="AL27">IFERROR(IF(INDEX(_xlfn.ANCHORARRAY($BO$4),ROW()-5,2)="","",_xlfn.XLOOKUP(INDEX(_xlfn.ANCHORARRAY($BO$4),ROW()-5,2),'Short Circuit'!$A$6:$A$255,'Short Circuit'!$J$6:$J$255,"")),"")</f>
        <v/>
      </c>
      <c r="AM27" s="254" t="str">
        <f t="shared" si="17"/>
        <v/>
      </c>
      <c r="AN27" s="254" t="str">
        <f t="shared" si="18"/>
        <v/>
      </c>
      <c r="AO27" s="254" t="str">
        <f t="shared" si="19"/>
        <v/>
      </c>
      <c r="AP27" s="255" t="str">
        <f t="shared" si="20"/>
        <v/>
      </c>
      <c r="AQ27" s="255" t="str">
        <f t="shared" si="21"/>
        <v/>
      </c>
      <c r="AR27" s="255" t="str">
        <f t="shared" si="22"/>
        <v/>
      </c>
      <c r="AS27" s="255" t="str" cm="1">
        <f t="array" ref="AS27">IFERROR(IF($AP27="","",INDEX(AIC_List,MATCH(TRUE,AIC_List&gt;=$AP27,0))),"⚠ &gt; 200 kA")</f>
        <v/>
      </c>
      <c r="AT27" s="255" t="str">
        <f t="shared" si="23"/>
        <v/>
      </c>
      <c r="AU27" s="290" t="str" cm="1">
        <f t="array" ref="AU27">IFERROR(IF($AK27="","",INDEX(Ampacity_Size,MATCH(TRUE,Ampacity_Cu&gt;=1.25*$AK27/$AT27,0))),"—")</f>
        <v/>
      </c>
      <c r="AV27" s="290" t="str" cm="1">
        <f t="array" ref="AV27">IF($AU27="","",IFERROR(INDEX(Gec_Cu,MATCH(TRUE,Gec_CM&gt;=INDEX(Ampacity_CM,MATCH($AU27,Ampacity_Size,0))*$AT27,0)),"—"))</f>
        <v/>
      </c>
      <c r="AW27" s="290" t="str" cm="1">
        <f t="array" ref="AW27">IF($AU27="","",IFERROR(IF(INDEX(Ampacity_CM,MATCH($AU27,Ampacity_Size,0))*$AT27&gt;1100000,"12.5% of phase area",INDEX(Gec_Cu,MATCH(TRUE,Gec_CM&gt;=INDEX(Ampacity_CM,MATCH($AU27,Ampacity_Size,0))*$AT27,0))),"—"))</f>
        <v/>
      </c>
      <c r="AX27" s="533" t="str">
        <f t="shared" si="24"/>
        <v/>
      </c>
      <c r="AY27" s="533" t="str">
        <f t="shared" si="25"/>
        <v/>
      </c>
      <c r="AZ27" s="20" t="str">
        <f t="shared" si="26"/>
        <v/>
      </c>
    </row>
    <row r="28" spans="1:72" ht="15" customHeight="1" x14ac:dyDescent="0.35">
      <c r="A28" s="362" t="str" cm="1">
        <f t="array" ref="A28">IFERROR(IF(INDEX(_xlfn.ANCHORARRAY($BO$4),ROW()-5,1)="","","T-"&amp;INDEX(_xlfn.ANCHORARRAY($BO$4),ROW()-5,1)),"")</f>
        <v/>
      </c>
      <c r="B28" s="362" t="str" cm="1">
        <f t="array" ref="B28">IFERROR(IF(INDEX(_xlfn.ANCHORARRAY($BO$4),ROW()-5,1)="","",INDEX(_xlfn.ANCHORARRAY($BO$4),ROW()-5,1)),"")</f>
        <v/>
      </c>
      <c r="C28" s="362" t="str" cm="1">
        <f t="array" ref="C28">IFERROR(INDEX(_xlfn.ANCHORARRAY($BO$4),ROW()-5,5),"")</f>
        <v/>
      </c>
      <c r="D28" s="362" t="str" cm="1">
        <f t="array" ref="D28">IFERROR(INDEX(_xlfn.ANCHORARRAY($BO$4),ROW()-5,3),"")</f>
        <v/>
      </c>
      <c r="E28" s="362" t="str" cm="1">
        <f t="array" ref="E28">IFERROR(INDEX(_xlfn.ANCHORARRAY($BO$4),ROW()-5,4),"")</f>
        <v/>
      </c>
      <c r="F28" s="36" t="str" cm="1">
        <f t="array" ref="F28">IFERROR(INDEX(_xlfn.ANCHORARRAY($BO$4),ROW()-5,6),"")</f>
        <v/>
      </c>
      <c r="G28" s="362" t="str" cm="1">
        <f t="array" ref="G28">IF($F28="","",_xlfn.LET(_xlpm.ov,N(IFERROR(_xlfn.XLOOKUP($B28,Dashboard!$A$101:$A$350,Dashboard!$O$101:$O$350,0),0)),_xlpm.need,MAX(N($F28),_xlpm.ov*N($E28)*IF($C28=3,SQRT(3),1)/1000),IFERROR(INDEX(IF($C28=1,Xfmr1_kVA,Xfmr3_kVA),MATCH(TRUE,IF($C28=1,Xfmr1_kVA,Xfmr3_kVA)&gt;=_xlpm.need,0)),"OVER")))</f>
        <v/>
      </c>
      <c r="H28" s="362" t="str">
        <f t="shared" si="0"/>
        <v/>
      </c>
      <c r="I28" s="168" t="str">
        <f t="shared" si="1"/>
        <v/>
      </c>
      <c r="J28" s="362" t="str">
        <f t="shared" si="2"/>
        <v/>
      </c>
      <c r="K28" s="362" t="str">
        <f t="shared" si="3"/>
        <v/>
      </c>
      <c r="L28" s="362" t="str">
        <f t="shared" si="4"/>
        <v/>
      </c>
      <c r="M28" s="168" t="str" cm="1">
        <f t="array" ref="M28">IF($Z28&lt;&gt;"",$Z28,IFERROR(IF($AJ28="","",INDEX(OCPD_List,MATCH(TRUE,OCPD_List&gt;=1.25*$AJ28,0))),"—"))</f>
        <v/>
      </c>
      <c r="N28" s="168" t="str" cm="1">
        <f t="array" ref="N28">IF($AA28&lt;&gt;"",$AA28,IFERROR(IF($AK28="","",INDEX(OCPD_List,MATCH(TRUE,OCPD_List&gt;=1.25*$AK28,0))),"—"))</f>
        <v/>
      </c>
      <c r="O28" s="171" t="str">
        <f t="shared" si="5"/>
        <v/>
      </c>
      <c r="P28" s="171" t="str">
        <f t="shared" si="6"/>
        <v/>
      </c>
      <c r="Q28" s="78" t="str">
        <f t="shared" si="7"/>
        <v/>
      </c>
      <c r="R28" s="371"/>
      <c r="S28" s="481" t="str">
        <f t="shared" si="8"/>
        <v/>
      </c>
      <c r="T28" s="482" t="str">
        <f t="shared" si="9"/>
        <v/>
      </c>
      <c r="U28" s="482" t="str">
        <f t="shared" si="10"/>
        <v/>
      </c>
      <c r="V28" s="482" t="str">
        <f t="shared" si="11"/>
        <v/>
      </c>
      <c r="W28" s="169"/>
      <c r="X28" s="169"/>
      <c r="Y28" s="169"/>
      <c r="Z28" s="251"/>
      <c r="AA28" s="251"/>
      <c r="AB28" s="483"/>
      <c r="AC28" s="483"/>
      <c r="AD28" s="483"/>
      <c r="AE28" s="483"/>
      <c r="AF28" s="483"/>
      <c r="AG28" s="254" t="str">
        <f t="shared" si="12"/>
        <v/>
      </c>
      <c r="AH28" s="254" t="str">
        <f t="shared" si="13"/>
        <v/>
      </c>
      <c r="AI28" s="254" t="str">
        <f t="shared" si="14"/>
        <v/>
      </c>
      <c r="AJ28" s="254" t="str">
        <f t="shared" si="15"/>
        <v/>
      </c>
      <c r="AK28" s="254" t="str">
        <f t="shared" si="16"/>
        <v/>
      </c>
      <c r="AL28" s="255" t="str" cm="1">
        <f t="array" ref="AL28">IFERROR(IF(INDEX(_xlfn.ANCHORARRAY($BO$4),ROW()-5,2)="","",_xlfn.XLOOKUP(INDEX(_xlfn.ANCHORARRAY($BO$4),ROW()-5,2),'Short Circuit'!$A$6:$A$255,'Short Circuit'!$J$6:$J$255,"")),"")</f>
        <v/>
      </c>
      <c r="AM28" s="254" t="str">
        <f t="shared" si="17"/>
        <v/>
      </c>
      <c r="AN28" s="254" t="str">
        <f t="shared" si="18"/>
        <v/>
      </c>
      <c r="AO28" s="254" t="str">
        <f t="shared" si="19"/>
        <v/>
      </c>
      <c r="AP28" s="255" t="str">
        <f t="shared" si="20"/>
        <v/>
      </c>
      <c r="AQ28" s="255" t="str">
        <f t="shared" si="21"/>
        <v/>
      </c>
      <c r="AR28" s="255" t="str">
        <f t="shared" si="22"/>
        <v/>
      </c>
      <c r="AS28" s="255" t="str" cm="1">
        <f t="array" ref="AS28">IFERROR(IF($AP28="","",INDEX(AIC_List,MATCH(TRUE,AIC_List&gt;=$AP28,0))),"⚠ &gt; 200 kA")</f>
        <v/>
      </c>
      <c r="AT28" s="255" t="str">
        <f t="shared" si="23"/>
        <v/>
      </c>
      <c r="AU28" s="290" t="str" cm="1">
        <f t="array" ref="AU28">IFERROR(IF($AK28="","",INDEX(Ampacity_Size,MATCH(TRUE,Ampacity_Cu&gt;=1.25*$AK28/$AT28,0))),"—")</f>
        <v/>
      </c>
      <c r="AV28" s="290" t="str" cm="1">
        <f t="array" ref="AV28">IF($AU28="","",IFERROR(INDEX(Gec_Cu,MATCH(TRUE,Gec_CM&gt;=INDEX(Ampacity_CM,MATCH($AU28,Ampacity_Size,0))*$AT28,0)),"—"))</f>
        <v/>
      </c>
      <c r="AW28" s="290" t="str" cm="1">
        <f t="array" ref="AW28">IF($AU28="","",IFERROR(IF(INDEX(Ampacity_CM,MATCH($AU28,Ampacity_Size,0))*$AT28&gt;1100000,"12.5% of phase area",INDEX(Gec_Cu,MATCH(TRUE,Gec_CM&gt;=INDEX(Ampacity_CM,MATCH($AU28,Ampacity_Size,0))*$AT28,0))),"—"))</f>
        <v/>
      </c>
      <c r="AX28" s="533" t="str">
        <f t="shared" si="24"/>
        <v/>
      </c>
      <c r="AY28" s="533" t="str">
        <f t="shared" si="25"/>
        <v/>
      </c>
      <c r="AZ28" s="20" t="str">
        <f t="shared" si="26"/>
        <v/>
      </c>
    </row>
    <row r="29" spans="1:72" ht="15" customHeight="1" x14ac:dyDescent="0.35">
      <c r="A29" s="362" t="str" cm="1">
        <f t="array" ref="A29">IFERROR(IF(INDEX(_xlfn.ANCHORARRAY($BO$4),ROW()-5,1)="","","T-"&amp;INDEX(_xlfn.ANCHORARRAY($BO$4),ROW()-5,1)),"")</f>
        <v/>
      </c>
      <c r="B29" s="362" t="str" cm="1">
        <f t="array" ref="B29">IFERROR(IF(INDEX(_xlfn.ANCHORARRAY($BO$4),ROW()-5,1)="","",INDEX(_xlfn.ANCHORARRAY($BO$4),ROW()-5,1)),"")</f>
        <v/>
      </c>
      <c r="C29" s="362" t="str" cm="1">
        <f t="array" ref="C29">IFERROR(INDEX(_xlfn.ANCHORARRAY($BO$4),ROW()-5,5),"")</f>
        <v/>
      </c>
      <c r="D29" s="362" t="str" cm="1">
        <f t="array" ref="D29">IFERROR(INDEX(_xlfn.ANCHORARRAY($BO$4),ROW()-5,3),"")</f>
        <v/>
      </c>
      <c r="E29" s="362" t="str" cm="1">
        <f t="array" ref="E29">IFERROR(INDEX(_xlfn.ANCHORARRAY($BO$4),ROW()-5,4),"")</f>
        <v/>
      </c>
      <c r="F29" s="36" t="str" cm="1">
        <f t="array" ref="F29">IFERROR(INDEX(_xlfn.ANCHORARRAY($BO$4),ROW()-5,6),"")</f>
        <v/>
      </c>
      <c r="G29" s="362" t="str" cm="1">
        <f t="array" ref="G29">IF($F29="","",_xlfn.LET(_xlpm.ov,N(IFERROR(_xlfn.XLOOKUP($B29,Dashboard!$A$101:$A$350,Dashboard!$O$101:$O$350,0),0)),_xlpm.need,MAX(N($F29),_xlpm.ov*N($E29)*IF($C29=3,SQRT(3),1)/1000),IFERROR(INDEX(IF($C29=1,Xfmr1_kVA,Xfmr3_kVA),MATCH(TRUE,IF($C29=1,Xfmr1_kVA,Xfmr3_kVA)&gt;=_xlpm.need,0)),"OVER")))</f>
        <v/>
      </c>
      <c r="H29" s="362" t="str">
        <f t="shared" si="0"/>
        <v/>
      </c>
      <c r="I29" s="168" t="str">
        <f t="shared" si="1"/>
        <v/>
      </c>
      <c r="J29" s="362" t="str">
        <f t="shared" si="2"/>
        <v/>
      </c>
      <c r="K29" s="362" t="str">
        <f t="shared" si="3"/>
        <v/>
      </c>
      <c r="L29" s="362" t="str">
        <f t="shared" si="4"/>
        <v/>
      </c>
      <c r="M29" s="168" t="str" cm="1">
        <f t="array" ref="M29">IF($Z29&lt;&gt;"",$Z29,IFERROR(IF($AJ29="","",INDEX(OCPD_List,MATCH(TRUE,OCPD_List&gt;=1.25*$AJ29,0))),"—"))</f>
        <v/>
      </c>
      <c r="N29" s="168" t="str" cm="1">
        <f t="array" ref="N29">IF($AA29&lt;&gt;"",$AA29,IFERROR(IF($AK29="","",INDEX(OCPD_List,MATCH(TRUE,OCPD_List&gt;=1.25*$AK29,0))),"—"))</f>
        <v/>
      </c>
      <c r="O29" s="171" t="str">
        <f t="shared" si="5"/>
        <v/>
      </c>
      <c r="P29" s="171" t="str">
        <f t="shared" si="6"/>
        <v/>
      </c>
      <c r="Q29" s="78" t="str">
        <f t="shared" si="7"/>
        <v/>
      </c>
      <c r="R29" s="371"/>
      <c r="S29" s="481" t="str">
        <f t="shared" si="8"/>
        <v/>
      </c>
      <c r="T29" s="482" t="str">
        <f t="shared" si="9"/>
        <v/>
      </c>
      <c r="U29" s="482" t="str">
        <f t="shared" si="10"/>
        <v/>
      </c>
      <c r="V29" s="482" t="str">
        <f t="shared" si="11"/>
        <v/>
      </c>
      <c r="W29" s="169"/>
      <c r="X29" s="169"/>
      <c r="Y29" s="169"/>
      <c r="Z29" s="251"/>
      <c r="AA29" s="251"/>
      <c r="AB29" s="483"/>
      <c r="AC29" s="483"/>
      <c r="AD29" s="483"/>
      <c r="AE29" s="483"/>
      <c r="AF29" s="483"/>
      <c r="AG29" s="254" t="str">
        <f t="shared" si="12"/>
        <v/>
      </c>
      <c r="AH29" s="254" t="str">
        <f t="shared" si="13"/>
        <v/>
      </c>
      <c r="AI29" s="254" t="str">
        <f t="shared" si="14"/>
        <v/>
      </c>
      <c r="AJ29" s="254" t="str">
        <f t="shared" si="15"/>
        <v/>
      </c>
      <c r="AK29" s="254" t="str">
        <f t="shared" si="16"/>
        <v/>
      </c>
      <c r="AL29" s="255" t="str" cm="1">
        <f t="array" ref="AL29">IFERROR(IF(INDEX(_xlfn.ANCHORARRAY($BO$4),ROW()-5,2)="","",_xlfn.XLOOKUP(INDEX(_xlfn.ANCHORARRAY($BO$4),ROW()-5,2),'Short Circuit'!$A$6:$A$255,'Short Circuit'!$J$6:$J$255,"")),"")</f>
        <v/>
      </c>
      <c r="AM29" s="254" t="str">
        <f t="shared" si="17"/>
        <v/>
      </c>
      <c r="AN29" s="254" t="str">
        <f t="shared" si="18"/>
        <v/>
      </c>
      <c r="AO29" s="254" t="str">
        <f t="shared" si="19"/>
        <v/>
      </c>
      <c r="AP29" s="255" t="str">
        <f t="shared" si="20"/>
        <v/>
      </c>
      <c r="AQ29" s="255" t="str">
        <f t="shared" si="21"/>
        <v/>
      </c>
      <c r="AR29" s="255" t="str">
        <f t="shared" si="22"/>
        <v/>
      </c>
      <c r="AS29" s="255" t="str" cm="1">
        <f t="array" ref="AS29">IFERROR(IF($AP29="","",INDEX(AIC_List,MATCH(TRUE,AIC_List&gt;=$AP29,0))),"⚠ &gt; 200 kA")</f>
        <v/>
      </c>
      <c r="AT29" s="255" t="str">
        <f t="shared" si="23"/>
        <v/>
      </c>
      <c r="AU29" s="290" t="str" cm="1">
        <f t="array" ref="AU29">IFERROR(IF($AK29="","",INDEX(Ampacity_Size,MATCH(TRUE,Ampacity_Cu&gt;=1.25*$AK29/$AT29,0))),"—")</f>
        <v/>
      </c>
      <c r="AV29" s="290" t="str" cm="1">
        <f t="array" ref="AV29">IF($AU29="","",IFERROR(INDEX(Gec_Cu,MATCH(TRUE,Gec_CM&gt;=INDEX(Ampacity_CM,MATCH($AU29,Ampacity_Size,0))*$AT29,0)),"—"))</f>
        <v/>
      </c>
      <c r="AW29" s="290" t="str" cm="1">
        <f t="array" ref="AW29">IF($AU29="","",IFERROR(IF(INDEX(Ampacity_CM,MATCH($AU29,Ampacity_Size,0))*$AT29&gt;1100000,"12.5% of phase area",INDEX(Gec_Cu,MATCH(TRUE,Gec_CM&gt;=INDEX(Ampacity_CM,MATCH($AU29,Ampacity_Size,0))*$AT29,0))),"—"))</f>
        <v/>
      </c>
      <c r="AX29" s="533" t="str">
        <f t="shared" si="24"/>
        <v/>
      </c>
      <c r="AY29" s="533" t="str">
        <f t="shared" si="25"/>
        <v/>
      </c>
      <c r="AZ29" s="20" t="str">
        <f t="shared" si="26"/>
        <v/>
      </c>
    </row>
    <row r="30" spans="1:72" ht="15" customHeight="1" x14ac:dyDescent="0.35">
      <c r="A30" s="362" t="str" cm="1">
        <f t="array" ref="A30">IFERROR(IF(INDEX(_xlfn.ANCHORARRAY($BO$4),ROW()-5,1)="","","T-"&amp;INDEX(_xlfn.ANCHORARRAY($BO$4),ROW()-5,1)),"")</f>
        <v/>
      </c>
      <c r="B30" s="362" t="str" cm="1">
        <f t="array" ref="B30">IFERROR(IF(INDEX(_xlfn.ANCHORARRAY($BO$4),ROW()-5,1)="","",INDEX(_xlfn.ANCHORARRAY($BO$4),ROW()-5,1)),"")</f>
        <v/>
      </c>
      <c r="C30" s="362" t="str" cm="1">
        <f t="array" ref="C30">IFERROR(INDEX(_xlfn.ANCHORARRAY($BO$4),ROW()-5,5),"")</f>
        <v/>
      </c>
      <c r="D30" s="362" t="str" cm="1">
        <f t="array" ref="D30">IFERROR(INDEX(_xlfn.ANCHORARRAY($BO$4),ROW()-5,3),"")</f>
        <v/>
      </c>
      <c r="E30" s="362" t="str" cm="1">
        <f t="array" ref="E30">IFERROR(INDEX(_xlfn.ANCHORARRAY($BO$4),ROW()-5,4),"")</f>
        <v/>
      </c>
      <c r="F30" s="36" t="str" cm="1">
        <f t="array" ref="F30">IFERROR(INDEX(_xlfn.ANCHORARRAY($BO$4),ROW()-5,6),"")</f>
        <v/>
      </c>
      <c r="G30" s="362" t="str" cm="1">
        <f t="array" ref="G30">IF($F30="","",_xlfn.LET(_xlpm.ov,N(IFERROR(_xlfn.XLOOKUP($B30,Dashboard!$A$101:$A$350,Dashboard!$O$101:$O$350,0),0)),_xlpm.need,MAX(N($F30),_xlpm.ov*N($E30)*IF($C30=3,SQRT(3),1)/1000),IFERROR(INDEX(IF($C30=1,Xfmr1_kVA,Xfmr3_kVA),MATCH(TRUE,IF($C30=1,Xfmr1_kVA,Xfmr3_kVA)&gt;=_xlpm.need,0)),"OVER")))</f>
        <v/>
      </c>
      <c r="H30" s="362" t="str">
        <f t="shared" si="0"/>
        <v/>
      </c>
      <c r="I30" s="168" t="str">
        <f t="shared" si="1"/>
        <v/>
      </c>
      <c r="J30" s="362" t="str">
        <f t="shared" si="2"/>
        <v/>
      </c>
      <c r="K30" s="362" t="str">
        <f t="shared" si="3"/>
        <v/>
      </c>
      <c r="L30" s="362" t="str">
        <f t="shared" si="4"/>
        <v/>
      </c>
      <c r="M30" s="168" t="str" cm="1">
        <f t="array" ref="M30">IF($Z30&lt;&gt;"",$Z30,IFERROR(IF($AJ30="","",INDEX(OCPD_List,MATCH(TRUE,OCPD_List&gt;=1.25*$AJ30,0))),"—"))</f>
        <v/>
      </c>
      <c r="N30" s="168" t="str" cm="1">
        <f t="array" ref="N30">IF($AA30&lt;&gt;"",$AA30,IFERROR(IF($AK30="","",INDEX(OCPD_List,MATCH(TRUE,OCPD_List&gt;=1.25*$AK30,0))),"—"))</f>
        <v/>
      </c>
      <c r="O30" s="171" t="str">
        <f t="shared" si="5"/>
        <v/>
      </c>
      <c r="P30" s="171" t="str">
        <f t="shared" si="6"/>
        <v/>
      </c>
      <c r="Q30" s="78" t="str">
        <f t="shared" si="7"/>
        <v/>
      </c>
      <c r="R30" s="371"/>
      <c r="S30" s="481" t="str">
        <f t="shared" si="8"/>
        <v/>
      </c>
      <c r="T30" s="482" t="str">
        <f t="shared" si="9"/>
        <v/>
      </c>
      <c r="U30" s="482" t="str">
        <f t="shared" si="10"/>
        <v/>
      </c>
      <c r="V30" s="482" t="str">
        <f t="shared" si="11"/>
        <v/>
      </c>
      <c r="W30" s="169"/>
      <c r="X30" s="169"/>
      <c r="Y30" s="169"/>
      <c r="Z30" s="251"/>
      <c r="AA30" s="251"/>
      <c r="AB30" s="483"/>
      <c r="AC30" s="483"/>
      <c r="AD30" s="483"/>
      <c r="AE30" s="483"/>
      <c r="AF30" s="483"/>
      <c r="AG30" s="254" t="str">
        <f t="shared" si="12"/>
        <v/>
      </c>
      <c r="AH30" s="254" t="str">
        <f t="shared" si="13"/>
        <v/>
      </c>
      <c r="AI30" s="254" t="str">
        <f t="shared" si="14"/>
        <v/>
      </c>
      <c r="AJ30" s="254" t="str">
        <f t="shared" si="15"/>
        <v/>
      </c>
      <c r="AK30" s="254" t="str">
        <f t="shared" si="16"/>
        <v/>
      </c>
      <c r="AL30" s="255" t="str" cm="1">
        <f t="array" ref="AL30">IFERROR(IF(INDEX(_xlfn.ANCHORARRAY($BO$4),ROW()-5,2)="","",_xlfn.XLOOKUP(INDEX(_xlfn.ANCHORARRAY($BO$4),ROW()-5,2),'Short Circuit'!$A$6:$A$255,'Short Circuit'!$J$6:$J$255,"")),"")</f>
        <v/>
      </c>
      <c r="AM30" s="254" t="str">
        <f t="shared" si="17"/>
        <v/>
      </c>
      <c r="AN30" s="254" t="str">
        <f t="shared" si="18"/>
        <v/>
      </c>
      <c r="AO30" s="254" t="str">
        <f t="shared" si="19"/>
        <v/>
      </c>
      <c r="AP30" s="255" t="str">
        <f t="shared" si="20"/>
        <v/>
      </c>
      <c r="AQ30" s="255" t="str">
        <f t="shared" si="21"/>
        <v/>
      </c>
      <c r="AR30" s="255" t="str">
        <f t="shared" si="22"/>
        <v/>
      </c>
      <c r="AS30" s="255" t="str" cm="1">
        <f t="array" ref="AS30">IFERROR(IF($AP30="","",INDEX(AIC_List,MATCH(TRUE,AIC_List&gt;=$AP30,0))),"⚠ &gt; 200 kA")</f>
        <v/>
      </c>
      <c r="AT30" s="255" t="str">
        <f t="shared" si="23"/>
        <v/>
      </c>
      <c r="AU30" s="290" t="str" cm="1">
        <f t="array" ref="AU30">IFERROR(IF($AK30="","",INDEX(Ampacity_Size,MATCH(TRUE,Ampacity_Cu&gt;=1.25*$AK30/$AT30,0))),"—")</f>
        <v/>
      </c>
      <c r="AV30" s="290" t="str" cm="1">
        <f t="array" ref="AV30">IF($AU30="","",IFERROR(INDEX(Gec_Cu,MATCH(TRUE,Gec_CM&gt;=INDEX(Ampacity_CM,MATCH($AU30,Ampacity_Size,0))*$AT30,0)),"—"))</f>
        <v/>
      </c>
      <c r="AW30" s="290" t="str" cm="1">
        <f t="array" ref="AW30">IF($AU30="","",IFERROR(IF(INDEX(Ampacity_CM,MATCH($AU30,Ampacity_Size,0))*$AT30&gt;1100000,"12.5% of phase area",INDEX(Gec_Cu,MATCH(TRUE,Gec_CM&gt;=INDEX(Ampacity_CM,MATCH($AU30,Ampacity_Size,0))*$AT30,0))),"—"))</f>
        <v/>
      </c>
      <c r="AX30" s="533" t="str">
        <f t="shared" si="24"/>
        <v/>
      </c>
      <c r="AY30" s="533" t="str">
        <f t="shared" si="25"/>
        <v/>
      </c>
      <c r="AZ30" s="20" t="str">
        <f t="shared" si="26"/>
        <v/>
      </c>
    </row>
    <row r="31" spans="1:72" ht="15" customHeight="1" x14ac:dyDescent="0.35">
      <c r="A31" s="362" t="str" cm="1">
        <f t="array" ref="A31">IFERROR(IF(INDEX(_xlfn.ANCHORARRAY($BO$4),ROW()-5,1)="","","T-"&amp;INDEX(_xlfn.ANCHORARRAY($BO$4),ROW()-5,1)),"")</f>
        <v/>
      </c>
      <c r="B31" s="362" t="str" cm="1">
        <f t="array" ref="B31">IFERROR(IF(INDEX(_xlfn.ANCHORARRAY($BO$4),ROW()-5,1)="","",INDEX(_xlfn.ANCHORARRAY($BO$4),ROW()-5,1)),"")</f>
        <v/>
      </c>
      <c r="C31" s="362" t="str" cm="1">
        <f t="array" ref="C31">IFERROR(INDEX(_xlfn.ANCHORARRAY($BO$4),ROW()-5,5),"")</f>
        <v/>
      </c>
      <c r="D31" s="362" t="str" cm="1">
        <f t="array" ref="D31">IFERROR(INDEX(_xlfn.ANCHORARRAY($BO$4),ROW()-5,3),"")</f>
        <v/>
      </c>
      <c r="E31" s="362" t="str" cm="1">
        <f t="array" ref="E31">IFERROR(INDEX(_xlfn.ANCHORARRAY($BO$4),ROW()-5,4),"")</f>
        <v/>
      </c>
      <c r="F31" s="36" t="str" cm="1">
        <f t="array" ref="F31">IFERROR(INDEX(_xlfn.ANCHORARRAY($BO$4),ROW()-5,6),"")</f>
        <v/>
      </c>
      <c r="G31" s="362" t="str" cm="1">
        <f t="array" ref="G31">IF($F31="","",_xlfn.LET(_xlpm.ov,N(IFERROR(_xlfn.XLOOKUP($B31,Dashboard!$A$101:$A$350,Dashboard!$O$101:$O$350,0),0)),_xlpm.need,MAX(N($F31),_xlpm.ov*N($E31)*IF($C31=3,SQRT(3),1)/1000),IFERROR(INDEX(IF($C31=1,Xfmr1_kVA,Xfmr3_kVA),MATCH(TRUE,IF($C31=1,Xfmr1_kVA,Xfmr3_kVA)&gt;=_xlpm.need,0)),"OVER")))</f>
        <v/>
      </c>
      <c r="H31" s="362" t="str">
        <f t="shared" si="0"/>
        <v/>
      </c>
      <c r="I31" s="168" t="str">
        <f t="shared" si="1"/>
        <v/>
      </c>
      <c r="J31" s="362" t="str">
        <f t="shared" si="2"/>
        <v/>
      </c>
      <c r="K31" s="362" t="str">
        <f t="shared" si="3"/>
        <v/>
      </c>
      <c r="L31" s="362" t="str">
        <f t="shared" si="4"/>
        <v/>
      </c>
      <c r="M31" s="168" t="str" cm="1">
        <f t="array" ref="M31">IF($Z31&lt;&gt;"",$Z31,IFERROR(IF($AJ31="","",INDEX(OCPD_List,MATCH(TRUE,OCPD_List&gt;=1.25*$AJ31,0))),"—"))</f>
        <v/>
      </c>
      <c r="N31" s="168" t="str" cm="1">
        <f t="array" ref="N31">IF($AA31&lt;&gt;"",$AA31,IFERROR(IF($AK31="","",INDEX(OCPD_List,MATCH(TRUE,OCPD_List&gt;=1.25*$AK31,0))),"—"))</f>
        <v/>
      </c>
      <c r="O31" s="171" t="str">
        <f t="shared" si="5"/>
        <v/>
      </c>
      <c r="P31" s="171" t="str">
        <f t="shared" si="6"/>
        <v/>
      </c>
      <c r="Q31" s="78" t="str">
        <f t="shared" si="7"/>
        <v/>
      </c>
      <c r="R31" s="371"/>
      <c r="S31" s="481" t="str">
        <f t="shared" si="8"/>
        <v/>
      </c>
      <c r="T31" s="482" t="str">
        <f t="shared" si="9"/>
        <v/>
      </c>
      <c r="U31" s="482" t="str">
        <f t="shared" si="10"/>
        <v/>
      </c>
      <c r="V31" s="482" t="str">
        <f t="shared" si="11"/>
        <v/>
      </c>
      <c r="W31" s="169"/>
      <c r="X31" s="169"/>
      <c r="Y31" s="169"/>
      <c r="Z31" s="251"/>
      <c r="AA31" s="251"/>
      <c r="AB31" s="483"/>
      <c r="AC31" s="483"/>
      <c r="AD31" s="483"/>
      <c r="AE31" s="483"/>
      <c r="AF31" s="483"/>
      <c r="AG31" s="254" t="str">
        <f t="shared" si="12"/>
        <v/>
      </c>
      <c r="AH31" s="254" t="str">
        <f t="shared" si="13"/>
        <v/>
      </c>
      <c r="AI31" s="254" t="str">
        <f t="shared" si="14"/>
        <v/>
      </c>
      <c r="AJ31" s="254" t="str">
        <f t="shared" si="15"/>
        <v/>
      </c>
      <c r="AK31" s="254" t="str">
        <f t="shared" si="16"/>
        <v/>
      </c>
      <c r="AL31" s="255" t="str" cm="1">
        <f t="array" ref="AL31">IFERROR(IF(INDEX(_xlfn.ANCHORARRAY($BO$4),ROW()-5,2)="","",_xlfn.XLOOKUP(INDEX(_xlfn.ANCHORARRAY($BO$4),ROW()-5,2),'Short Circuit'!$A$6:$A$255,'Short Circuit'!$J$6:$J$255,"")),"")</f>
        <v/>
      </c>
      <c r="AM31" s="254" t="str">
        <f t="shared" si="17"/>
        <v/>
      </c>
      <c r="AN31" s="254" t="str">
        <f t="shared" si="18"/>
        <v/>
      </c>
      <c r="AO31" s="254" t="str">
        <f t="shared" si="19"/>
        <v/>
      </c>
      <c r="AP31" s="255" t="str">
        <f t="shared" si="20"/>
        <v/>
      </c>
      <c r="AQ31" s="255" t="str">
        <f t="shared" si="21"/>
        <v/>
      </c>
      <c r="AR31" s="255" t="str">
        <f t="shared" si="22"/>
        <v/>
      </c>
      <c r="AS31" s="255" t="str" cm="1">
        <f t="array" ref="AS31">IFERROR(IF($AP31="","",INDEX(AIC_List,MATCH(TRUE,AIC_List&gt;=$AP31,0))),"⚠ &gt; 200 kA")</f>
        <v/>
      </c>
      <c r="AT31" s="255" t="str">
        <f t="shared" si="23"/>
        <v/>
      </c>
      <c r="AU31" s="290" t="str" cm="1">
        <f t="array" ref="AU31">IFERROR(IF($AK31="","",INDEX(Ampacity_Size,MATCH(TRUE,Ampacity_Cu&gt;=1.25*$AK31/$AT31,0))),"—")</f>
        <v/>
      </c>
      <c r="AV31" s="290" t="str" cm="1">
        <f t="array" ref="AV31">IF($AU31="","",IFERROR(INDEX(Gec_Cu,MATCH(TRUE,Gec_CM&gt;=INDEX(Ampacity_CM,MATCH($AU31,Ampacity_Size,0))*$AT31,0)),"—"))</f>
        <v/>
      </c>
      <c r="AW31" s="290" t="str" cm="1">
        <f t="array" ref="AW31">IF($AU31="","",IFERROR(IF(INDEX(Ampacity_CM,MATCH($AU31,Ampacity_Size,0))*$AT31&gt;1100000,"12.5% of phase area",INDEX(Gec_Cu,MATCH(TRUE,Gec_CM&gt;=INDEX(Ampacity_CM,MATCH($AU31,Ampacity_Size,0))*$AT31,0))),"—"))</f>
        <v/>
      </c>
      <c r="AX31" s="533" t="str">
        <f t="shared" si="24"/>
        <v/>
      </c>
      <c r="AY31" s="533" t="str">
        <f t="shared" si="25"/>
        <v/>
      </c>
      <c r="AZ31" s="20" t="str">
        <f t="shared" si="26"/>
        <v/>
      </c>
    </row>
    <row r="32" spans="1:72" ht="15" customHeight="1" x14ac:dyDescent="0.35">
      <c r="A32" s="362" t="str" cm="1">
        <f t="array" ref="A32">IFERROR(IF(INDEX(_xlfn.ANCHORARRAY($BO$4),ROW()-5,1)="","","T-"&amp;INDEX(_xlfn.ANCHORARRAY($BO$4),ROW()-5,1)),"")</f>
        <v/>
      </c>
      <c r="B32" s="362" t="str" cm="1">
        <f t="array" ref="B32">IFERROR(IF(INDEX(_xlfn.ANCHORARRAY($BO$4),ROW()-5,1)="","",INDEX(_xlfn.ANCHORARRAY($BO$4),ROW()-5,1)),"")</f>
        <v/>
      </c>
      <c r="C32" s="362" t="str" cm="1">
        <f t="array" ref="C32">IFERROR(INDEX(_xlfn.ANCHORARRAY($BO$4),ROW()-5,5),"")</f>
        <v/>
      </c>
      <c r="D32" s="362" t="str" cm="1">
        <f t="array" ref="D32">IFERROR(INDEX(_xlfn.ANCHORARRAY($BO$4),ROW()-5,3),"")</f>
        <v/>
      </c>
      <c r="E32" s="362" t="str" cm="1">
        <f t="array" ref="E32">IFERROR(INDEX(_xlfn.ANCHORARRAY($BO$4),ROW()-5,4),"")</f>
        <v/>
      </c>
      <c r="F32" s="36" t="str" cm="1">
        <f t="array" ref="F32">IFERROR(INDEX(_xlfn.ANCHORARRAY($BO$4),ROW()-5,6),"")</f>
        <v/>
      </c>
      <c r="G32" s="362" t="str" cm="1">
        <f t="array" ref="G32">IF($F32="","",_xlfn.LET(_xlpm.ov,N(IFERROR(_xlfn.XLOOKUP($B32,Dashboard!$A$101:$A$350,Dashboard!$O$101:$O$350,0),0)),_xlpm.need,MAX(N($F32),_xlpm.ov*N($E32)*IF($C32=3,SQRT(3),1)/1000),IFERROR(INDEX(IF($C32=1,Xfmr1_kVA,Xfmr3_kVA),MATCH(TRUE,IF($C32=1,Xfmr1_kVA,Xfmr3_kVA)&gt;=_xlpm.need,0)),"OVER")))</f>
        <v/>
      </c>
      <c r="H32" s="362" t="str">
        <f t="shared" si="0"/>
        <v/>
      </c>
      <c r="I32" s="168" t="str">
        <f t="shared" si="1"/>
        <v/>
      </c>
      <c r="J32" s="362" t="str">
        <f t="shared" si="2"/>
        <v/>
      </c>
      <c r="K32" s="362" t="str">
        <f t="shared" si="3"/>
        <v/>
      </c>
      <c r="L32" s="362" t="str">
        <f t="shared" si="4"/>
        <v/>
      </c>
      <c r="M32" s="168" t="str" cm="1">
        <f t="array" ref="M32">IF($Z32&lt;&gt;"",$Z32,IFERROR(IF($AJ32="","",INDEX(OCPD_List,MATCH(TRUE,OCPD_List&gt;=1.25*$AJ32,0))),"—"))</f>
        <v/>
      </c>
      <c r="N32" s="168" t="str" cm="1">
        <f t="array" ref="N32">IF($AA32&lt;&gt;"",$AA32,IFERROR(IF($AK32="","",INDEX(OCPD_List,MATCH(TRUE,OCPD_List&gt;=1.25*$AK32,0))),"—"))</f>
        <v/>
      </c>
      <c r="O32" s="171" t="str">
        <f t="shared" si="5"/>
        <v/>
      </c>
      <c r="P32" s="171" t="str">
        <f t="shared" si="6"/>
        <v/>
      </c>
      <c r="Q32" s="78" t="str">
        <f t="shared" si="7"/>
        <v/>
      </c>
      <c r="R32" s="371"/>
      <c r="S32" s="481" t="str">
        <f t="shared" si="8"/>
        <v/>
      </c>
      <c r="T32" s="482" t="str">
        <f t="shared" si="9"/>
        <v/>
      </c>
      <c r="U32" s="482" t="str">
        <f t="shared" si="10"/>
        <v/>
      </c>
      <c r="V32" s="482" t="str">
        <f t="shared" si="11"/>
        <v/>
      </c>
      <c r="W32" s="169"/>
      <c r="X32" s="169"/>
      <c r="Y32" s="169"/>
      <c r="Z32" s="251"/>
      <c r="AA32" s="251"/>
      <c r="AB32" s="483"/>
      <c r="AC32" s="483"/>
      <c r="AD32" s="483"/>
      <c r="AE32" s="483"/>
      <c r="AF32" s="483"/>
      <c r="AG32" s="254" t="str">
        <f t="shared" si="12"/>
        <v/>
      </c>
      <c r="AH32" s="254" t="str">
        <f t="shared" si="13"/>
        <v/>
      </c>
      <c r="AI32" s="254" t="str">
        <f t="shared" si="14"/>
        <v/>
      </c>
      <c r="AJ32" s="254" t="str">
        <f t="shared" si="15"/>
        <v/>
      </c>
      <c r="AK32" s="254" t="str">
        <f t="shared" si="16"/>
        <v/>
      </c>
      <c r="AL32" s="255" t="str" cm="1">
        <f t="array" ref="AL32">IFERROR(IF(INDEX(_xlfn.ANCHORARRAY($BO$4),ROW()-5,2)="","",_xlfn.XLOOKUP(INDEX(_xlfn.ANCHORARRAY($BO$4),ROW()-5,2),'Short Circuit'!$A$6:$A$255,'Short Circuit'!$J$6:$J$255,"")),"")</f>
        <v/>
      </c>
      <c r="AM32" s="254" t="str">
        <f t="shared" si="17"/>
        <v/>
      </c>
      <c r="AN32" s="254" t="str">
        <f t="shared" si="18"/>
        <v/>
      </c>
      <c r="AO32" s="254" t="str">
        <f t="shared" si="19"/>
        <v/>
      </c>
      <c r="AP32" s="255" t="str">
        <f t="shared" si="20"/>
        <v/>
      </c>
      <c r="AQ32" s="255" t="str">
        <f t="shared" si="21"/>
        <v/>
      </c>
      <c r="AR32" s="255" t="str">
        <f t="shared" si="22"/>
        <v/>
      </c>
      <c r="AS32" s="255" t="str" cm="1">
        <f t="array" ref="AS32">IFERROR(IF($AP32="","",INDEX(AIC_List,MATCH(TRUE,AIC_List&gt;=$AP32,0))),"⚠ &gt; 200 kA")</f>
        <v/>
      </c>
      <c r="AT32" s="255" t="str">
        <f t="shared" si="23"/>
        <v/>
      </c>
      <c r="AU32" s="290" t="str" cm="1">
        <f t="array" ref="AU32">IFERROR(IF($AK32="","",INDEX(Ampacity_Size,MATCH(TRUE,Ampacity_Cu&gt;=1.25*$AK32/$AT32,0))),"—")</f>
        <v/>
      </c>
      <c r="AV32" s="290" t="str" cm="1">
        <f t="array" ref="AV32">IF($AU32="","",IFERROR(INDEX(Gec_Cu,MATCH(TRUE,Gec_CM&gt;=INDEX(Ampacity_CM,MATCH($AU32,Ampacity_Size,0))*$AT32,0)),"—"))</f>
        <v/>
      </c>
      <c r="AW32" s="290" t="str" cm="1">
        <f t="array" ref="AW32">IF($AU32="","",IFERROR(IF(INDEX(Ampacity_CM,MATCH($AU32,Ampacity_Size,0))*$AT32&gt;1100000,"12.5% of phase area",INDEX(Gec_Cu,MATCH(TRUE,Gec_CM&gt;=INDEX(Ampacity_CM,MATCH($AU32,Ampacity_Size,0))*$AT32,0))),"—"))</f>
        <v/>
      </c>
      <c r="AX32" s="533" t="str">
        <f t="shared" si="24"/>
        <v/>
      </c>
      <c r="AY32" s="533" t="str">
        <f t="shared" si="25"/>
        <v/>
      </c>
      <c r="AZ32" s="20" t="str">
        <f t="shared" si="26"/>
        <v/>
      </c>
    </row>
    <row r="33" spans="1:52" ht="15" customHeight="1" x14ac:dyDescent="0.35">
      <c r="A33" s="362" t="str" cm="1">
        <f t="array" ref="A33">IFERROR(IF(INDEX(_xlfn.ANCHORARRAY($BO$4),ROW()-5,1)="","","T-"&amp;INDEX(_xlfn.ANCHORARRAY($BO$4),ROW()-5,1)),"")</f>
        <v/>
      </c>
      <c r="B33" s="362" t="str" cm="1">
        <f t="array" ref="B33">IFERROR(IF(INDEX(_xlfn.ANCHORARRAY($BO$4),ROW()-5,1)="","",INDEX(_xlfn.ANCHORARRAY($BO$4),ROW()-5,1)),"")</f>
        <v/>
      </c>
      <c r="C33" s="362" t="str" cm="1">
        <f t="array" ref="C33">IFERROR(INDEX(_xlfn.ANCHORARRAY($BO$4),ROW()-5,5),"")</f>
        <v/>
      </c>
      <c r="D33" s="362" t="str" cm="1">
        <f t="array" ref="D33">IFERROR(INDEX(_xlfn.ANCHORARRAY($BO$4),ROW()-5,3),"")</f>
        <v/>
      </c>
      <c r="E33" s="362" t="str" cm="1">
        <f t="array" ref="E33">IFERROR(INDEX(_xlfn.ANCHORARRAY($BO$4),ROW()-5,4),"")</f>
        <v/>
      </c>
      <c r="F33" s="36" t="str" cm="1">
        <f t="array" ref="F33">IFERROR(INDEX(_xlfn.ANCHORARRAY($BO$4),ROW()-5,6),"")</f>
        <v/>
      </c>
      <c r="G33" s="362" t="str" cm="1">
        <f t="array" ref="G33">IF($F33="","",_xlfn.LET(_xlpm.ov,N(IFERROR(_xlfn.XLOOKUP($B33,Dashboard!$A$101:$A$350,Dashboard!$O$101:$O$350,0),0)),_xlpm.need,MAX(N($F33),_xlpm.ov*N($E33)*IF($C33=3,SQRT(3),1)/1000),IFERROR(INDEX(IF($C33=1,Xfmr1_kVA,Xfmr3_kVA),MATCH(TRUE,IF($C33=1,Xfmr1_kVA,Xfmr3_kVA)&gt;=_xlpm.need,0)),"OVER")))</f>
        <v/>
      </c>
      <c r="H33" s="362" t="str">
        <f t="shared" si="0"/>
        <v/>
      </c>
      <c r="I33" s="168" t="str">
        <f t="shared" si="1"/>
        <v/>
      </c>
      <c r="J33" s="362" t="str">
        <f t="shared" si="2"/>
        <v/>
      </c>
      <c r="K33" s="362" t="str">
        <f t="shared" si="3"/>
        <v/>
      </c>
      <c r="L33" s="362" t="str">
        <f t="shared" si="4"/>
        <v/>
      </c>
      <c r="M33" s="168" t="str" cm="1">
        <f t="array" ref="M33">IF($Z33&lt;&gt;"",$Z33,IFERROR(IF($AJ33="","",INDEX(OCPD_List,MATCH(TRUE,OCPD_List&gt;=1.25*$AJ33,0))),"—"))</f>
        <v/>
      </c>
      <c r="N33" s="168" t="str" cm="1">
        <f t="array" ref="N33">IF($AA33&lt;&gt;"",$AA33,IFERROR(IF($AK33="","",INDEX(OCPD_List,MATCH(TRUE,OCPD_List&gt;=1.25*$AK33,0))),"—"))</f>
        <v/>
      </c>
      <c r="O33" s="171" t="str">
        <f t="shared" si="5"/>
        <v/>
      </c>
      <c r="P33" s="171" t="str">
        <f t="shared" si="6"/>
        <v/>
      </c>
      <c r="Q33" s="78" t="str">
        <f t="shared" si="7"/>
        <v/>
      </c>
      <c r="R33" s="371"/>
      <c r="S33" s="481" t="str">
        <f t="shared" si="8"/>
        <v/>
      </c>
      <c r="T33" s="482" t="str">
        <f t="shared" si="9"/>
        <v/>
      </c>
      <c r="U33" s="482" t="str">
        <f t="shared" si="10"/>
        <v/>
      </c>
      <c r="V33" s="482" t="str">
        <f t="shared" si="11"/>
        <v/>
      </c>
      <c r="W33" s="169"/>
      <c r="X33" s="169"/>
      <c r="Y33" s="169"/>
      <c r="Z33" s="251"/>
      <c r="AA33" s="251"/>
      <c r="AB33" s="483"/>
      <c r="AC33" s="483"/>
      <c r="AD33" s="483"/>
      <c r="AE33" s="483"/>
      <c r="AF33" s="483"/>
      <c r="AG33" s="254" t="str">
        <f t="shared" si="12"/>
        <v/>
      </c>
      <c r="AH33" s="254" t="str">
        <f t="shared" si="13"/>
        <v/>
      </c>
      <c r="AI33" s="254" t="str">
        <f t="shared" si="14"/>
        <v/>
      </c>
      <c r="AJ33" s="254" t="str">
        <f t="shared" si="15"/>
        <v/>
      </c>
      <c r="AK33" s="254" t="str">
        <f t="shared" si="16"/>
        <v/>
      </c>
      <c r="AL33" s="255" t="str" cm="1">
        <f t="array" ref="AL33">IFERROR(IF(INDEX(_xlfn.ANCHORARRAY($BO$4),ROW()-5,2)="","",_xlfn.XLOOKUP(INDEX(_xlfn.ANCHORARRAY($BO$4),ROW()-5,2),'Short Circuit'!$A$6:$A$255,'Short Circuit'!$J$6:$J$255,"")),"")</f>
        <v/>
      </c>
      <c r="AM33" s="254" t="str">
        <f t="shared" si="17"/>
        <v/>
      </c>
      <c r="AN33" s="254" t="str">
        <f t="shared" si="18"/>
        <v/>
      </c>
      <c r="AO33" s="254" t="str">
        <f t="shared" si="19"/>
        <v/>
      </c>
      <c r="AP33" s="255" t="str">
        <f t="shared" si="20"/>
        <v/>
      </c>
      <c r="AQ33" s="255" t="str">
        <f t="shared" si="21"/>
        <v/>
      </c>
      <c r="AR33" s="255" t="str">
        <f t="shared" si="22"/>
        <v/>
      </c>
      <c r="AS33" s="255" t="str" cm="1">
        <f t="array" ref="AS33">IFERROR(IF($AP33="","",INDEX(AIC_List,MATCH(TRUE,AIC_List&gt;=$AP33,0))),"⚠ &gt; 200 kA")</f>
        <v/>
      </c>
      <c r="AT33" s="255" t="str">
        <f t="shared" si="23"/>
        <v/>
      </c>
      <c r="AU33" s="290" t="str" cm="1">
        <f t="array" ref="AU33">IFERROR(IF($AK33="","",INDEX(Ampacity_Size,MATCH(TRUE,Ampacity_Cu&gt;=1.25*$AK33/$AT33,0))),"—")</f>
        <v/>
      </c>
      <c r="AV33" s="290" t="str" cm="1">
        <f t="array" ref="AV33">IF($AU33="","",IFERROR(INDEX(Gec_Cu,MATCH(TRUE,Gec_CM&gt;=INDEX(Ampacity_CM,MATCH($AU33,Ampacity_Size,0))*$AT33,0)),"—"))</f>
        <v/>
      </c>
      <c r="AW33" s="290" t="str" cm="1">
        <f t="array" ref="AW33">IF($AU33="","",IFERROR(IF(INDEX(Ampacity_CM,MATCH($AU33,Ampacity_Size,0))*$AT33&gt;1100000,"12.5% of phase area",INDEX(Gec_Cu,MATCH(TRUE,Gec_CM&gt;=INDEX(Ampacity_CM,MATCH($AU33,Ampacity_Size,0))*$AT33,0))),"—"))</f>
        <v/>
      </c>
      <c r="AX33" s="533" t="str">
        <f t="shared" si="24"/>
        <v/>
      </c>
      <c r="AY33" s="533" t="str">
        <f t="shared" si="25"/>
        <v/>
      </c>
      <c r="AZ33" s="20" t="str">
        <f t="shared" si="26"/>
        <v/>
      </c>
    </row>
    <row r="34" spans="1:52" ht="15" customHeight="1" x14ac:dyDescent="0.35">
      <c r="A34" s="362" t="str" cm="1">
        <f t="array" ref="A34">IFERROR(IF(INDEX(_xlfn.ANCHORARRAY($BO$4),ROW()-5,1)="","","T-"&amp;INDEX(_xlfn.ANCHORARRAY($BO$4),ROW()-5,1)),"")</f>
        <v/>
      </c>
      <c r="B34" s="362" t="str" cm="1">
        <f t="array" ref="B34">IFERROR(IF(INDEX(_xlfn.ANCHORARRAY($BO$4),ROW()-5,1)="","",INDEX(_xlfn.ANCHORARRAY($BO$4),ROW()-5,1)),"")</f>
        <v/>
      </c>
      <c r="C34" s="362" t="str" cm="1">
        <f t="array" ref="C34">IFERROR(INDEX(_xlfn.ANCHORARRAY($BO$4),ROW()-5,5),"")</f>
        <v/>
      </c>
      <c r="D34" s="362" t="str" cm="1">
        <f t="array" ref="D34">IFERROR(INDEX(_xlfn.ANCHORARRAY($BO$4),ROW()-5,3),"")</f>
        <v/>
      </c>
      <c r="E34" s="362" t="str" cm="1">
        <f t="array" ref="E34">IFERROR(INDEX(_xlfn.ANCHORARRAY($BO$4),ROW()-5,4),"")</f>
        <v/>
      </c>
      <c r="F34" s="36" t="str" cm="1">
        <f t="array" ref="F34">IFERROR(INDEX(_xlfn.ANCHORARRAY($BO$4),ROW()-5,6),"")</f>
        <v/>
      </c>
      <c r="G34" s="362" t="str" cm="1">
        <f t="array" ref="G34">IF($F34="","",_xlfn.LET(_xlpm.ov,N(IFERROR(_xlfn.XLOOKUP($B34,Dashboard!$A$101:$A$350,Dashboard!$O$101:$O$350,0),0)),_xlpm.need,MAX(N($F34),_xlpm.ov*N($E34)*IF($C34=3,SQRT(3),1)/1000),IFERROR(INDEX(IF($C34=1,Xfmr1_kVA,Xfmr3_kVA),MATCH(TRUE,IF($C34=1,Xfmr1_kVA,Xfmr3_kVA)&gt;=_xlpm.need,0)),"OVER")))</f>
        <v/>
      </c>
      <c r="H34" s="362" t="str">
        <f t="shared" si="0"/>
        <v/>
      </c>
      <c r="I34" s="168" t="str">
        <f t="shared" si="1"/>
        <v/>
      </c>
      <c r="J34" s="362" t="str">
        <f t="shared" si="2"/>
        <v/>
      </c>
      <c r="K34" s="362" t="str">
        <f t="shared" si="3"/>
        <v/>
      </c>
      <c r="L34" s="362" t="str">
        <f t="shared" si="4"/>
        <v/>
      </c>
      <c r="M34" s="168" t="str" cm="1">
        <f t="array" ref="M34">IF($Z34&lt;&gt;"",$Z34,IFERROR(IF($AJ34="","",INDEX(OCPD_List,MATCH(TRUE,OCPD_List&gt;=1.25*$AJ34,0))),"—"))</f>
        <v/>
      </c>
      <c r="N34" s="168" t="str" cm="1">
        <f t="array" ref="N34">IF($AA34&lt;&gt;"",$AA34,IFERROR(IF($AK34="","",INDEX(OCPD_List,MATCH(TRUE,OCPD_List&gt;=1.25*$AK34,0))),"—"))</f>
        <v/>
      </c>
      <c r="O34" s="171" t="str">
        <f t="shared" si="5"/>
        <v/>
      </c>
      <c r="P34" s="171" t="str">
        <f t="shared" si="6"/>
        <v/>
      </c>
      <c r="Q34" s="78" t="str">
        <f t="shared" si="7"/>
        <v/>
      </c>
      <c r="R34" s="371"/>
      <c r="S34" s="481" t="str">
        <f t="shared" si="8"/>
        <v/>
      </c>
      <c r="T34" s="482" t="str">
        <f t="shared" si="9"/>
        <v/>
      </c>
      <c r="U34" s="482" t="str">
        <f t="shared" si="10"/>
        <v/>
      </c>
      <c r="V34" s="482" t="str">
        <f t="shared" si="11"/>
        <v/>
      </c>
      <c r="W34" s="169"/>
      <c r="X34" s="169"/>
      <c r="Y34" s="169"/>
      <c r="Z34" s="251"/>
      <c r="AA34" s="251"/>
      <c r="AB34" s="483"/>
      <c r="AC34" s="483"/>
      <c r="AD34" s="483"/>
      <c r="AE34" s="483"/>
      <c r="AF34" s="483"/>
      <c r="AG34" s="254" t="str">
        <f t="shared" si="12"/>
        <v/>
      </c>
      <c r="AH34" s="254" t="str">
        <f t="shared" si="13"/>
        <v/>
      </c>
      <c r="AI34" s="254" t="str">
        <f t="shared" si="14"/>
        <v/>
      </c>
      <c r="AJ34" s="254" t="str">
        <f t="shared" si="15"/>
        <v/>
      </c>
      <c r="AK34" s="254" t="str">
        <f t="shared" si="16"/>
        <v/>
      </c>
      <c r="AL34" s="255" t="str" cm="1">
        <f t="array" ref="AL34">IFERROR(IF(INDEX(_xlfn.ANCHORARRAY($BO$4),ROW()-5,2)="","",_xlfn.XLOOKUP(INDEX(_xlfn.ANCHORARRAY($BO$4),ROW()-5,2),'Short Circuit'!$A$6:$A$255,'Short Circuit'!$J$6:$J$255,"")),"")</f>
        <v/>
      </c>
      <c r="AM34" s="254" t="str">
        <f t="shared" si="17"/>
        <v/>
      </c>
      <c r="AN34" s="254" t="str">
        <f t="shared" si="18"/>
        <v/>
      </c>
      <c r="AO34" s="254" t="str">
        <f t="shared" si="19"/>
        <v/>
      </c>
      <c r="AP34" s="255" t="str">
        <f t="shared" si="20"/>
        <v/>
      </c>
      <c r="AQ34" s="255" t="str">
        <f t="shared" si="21"/>
        <v/>
      </c>
      <c r="AR34" s="255" t="str">
        <f t="shared" si="22"/>
        <v/>
      </c>
      <c r="AS34" s="255" t="str" cm="1">
        <f t="array" ref="AS34">IFERROR(IF($AP34="","",INDEX(AIC_List,MATCH(TRUE,AIC_List&gt;=$AP34,0))),"⚠ &gt; 200 kA")</f>
        <v/>
      </c>
      <c r="AT34" s="255" t="str">
        <f t="shared" si="23"/>
        <v/>
      </c>
      <c r="AU34" s="290" t="str" cm="1">
        <f t="array" ref="AU34">IFERROR(IF($AK34="","",INDEX(Ampacity_Size,MATCH(TRUE,Ampacity_Cu&gt;=1.25*$AK34/$AT34,0))),"—")</f>
        <v/>
      </c>
      <c r="AV34" s="290" t="str" cm="1">
        <f t="array" ref="AV34">IF($AU34="","",IFERROR(INDEX(Gec_Cu,MATCH(TRUE,Gec_CM&gt;=INDEX(Ampacity_CM,MATCH($AU34,Ampacity_Size,0))*$AT34,0)),"—"))</f>
        <v/>
      </c>
      <c r="AW34" s="290" t="str" cm="1">
        <f t="array" ref="AW34">IF($AU34="","",IFERROR(IF(INDEX(Ampacity_CM,MATCH($AU34,Ampacity_Size,0))*$AT34&gt;1100000,"12.5% of phase area",INDEX(Gec_Cu,MATCH(TRUE,Gec_CM&gt;=INDEX(Ampacity_CM,MATCH($AU34,Ampacity_Size,0))*$AT34,0))),"—"))</f>
        <v/>
      </c>
      <c r="AX34" s="533" t="str">
        <f t="shared" si="24"/>
        <v/>
      </c>
      <c r="AY34" s="533" t="str">
        <f t="shared" si="25"/>
        <v/>
      </c>
      <c r="AZ34" s="20" t="str">
        <f t="shared" si="26"/>
        <v/>
      </c>
    </row>
    <row r="35" spans="1:52" ht="15" customHeight="1" x14ac:dyDescent="0.35">
      <c r="A35" s="362" t="str" cm="1">
        <f t="array" ref="A35">IFERROR(IF(INDEX(_xlfn.ANCHORARRAY($BO$4),ROW()-5,1)="","","T-"&amp;INDEX(_xlfn.ANCHORARRAY($BO$4),ROW()-5,1)),"")</f>
        <v/>
      </c>
      <c r="B35" s="362" t="str" cm="1">
        <f t="array" ref="B35">IFERROR(IF(INDEX(_xlfn.ANCHORARRAY($BO$4),ROW()-5,1)="","",INDEX(_xlfn.ANCHORARRAY($BO$4),ROW()-5,1)),"")</f>
        <v/>
      </c>
      <c r="C35" s="362" t="str" cm="1">
        <f t="array" ref="C35">IFERROR(INDEX(_xlfn.ANCHORARRAY($BO$4),ROW()-5,5),"")</f>
        <v/>
      </c>
      <c r="D35" s="362" t="str" cm="1">
        <f t="array" ref="D35">IFERROR(INDEX(_xlfn.ANCHORARRAY($BO$4),ROW()-5,3),"")</f>
        <v/>
      </c>
      <c r="E35" s="362" t="str" cm="1">
        <f t="array" ref="E35">IFERROR(INDEX(_xlfn.ANCHORARRAY($BO$4),ROW()-5,4),"")</f>
        <v/>
      </c>
      <c r="F35" s="36" t="str" cm="1">
        <f t="array" ref="F35">IFERROR(INDEX(_xlfn.ANCHORARRAY($BO$4),ROW()-5,6),"")</f>
        <v/>
      </c>
      <c r="G35" s="362" t="str" cm="1">
        <f t="array" ref="G35">IF($F35="","",_xlfn.LET(_xlpm.ov,N(IFERROR(_xlfn.XLOOKUP($B35,Dashboard!$A$101:$A$350,Dashboard!$O$101:$O$350,0),0)),_xlpm.need,MAX(N($F35),_xlpm.ov*N($E35)*IF($C35=3,SQRT(3),1)/1000),IFERROR(INDEX(IF($C35=1,Xfmr1_kVA,Xfmr3_kVA),MATCH(TRUE,IF($C35=1,Xfmr1_kVA,Xfmr3_kVA)&gt;=_xlpm.need,0)),"OVER")))</f>
        <v/>
      </c>
      <c r="H35" s="362" t="str">
        <f t="shared" si="0"/>
        <v/>
      </c>
      <c r="I35" s="168" t="str">
        <f t="shared" si="1"/>
        <v/>
      </c>
      <c r="J35" s="362" t="str">
        <f t="shared" si="2"/>
        <v/>
      </c>
      <c r="K35" s="362" t="str">
        <f t="shared" si="3"/>
        <v/>
      </c>
      <c r="L35" s="362" t="str">
        <f t="shared" si="4"/>
        <v/>
      </c>
      <c r="M35" s="168" t="str" cm="1">
        <f t="array" ref="M35">IF($Z35&lt;&gt;"",$Z35,IFERROR(IF($AJ35="","",INDEX(OCPD_List,MATCH(TRUE,OCPD_List&gt;=1.25*$AJ35,0))),"—"))</f>
        <v/>
      </c>
      <c r="N35" s="168" t="str" cm="1">
        <f t="array" ref="N35">IF($AA35&lt;&gt;"",$AA35,IFERROR(IF($AK35="","",INDEX(OCPD_List,MATCH(TRUE,OCPD_List&gt;=1.25*$AK35,0))),"—"))</f>
        <v/>
      </c>
      <c r="O35" s="171" t="str">
        <f t="shared" si="5"/>
        <v/>
      </c>
      <c r="P35" s="171" t="str">
        <f t="shared" si="6"/>
        <v/>
      </c>
      <c r="Q35" s="78" t="str">
        <f t="shared" si="7"/>
        <v/>
      </c>
      <c r="R35" s="371"/>
      <c r="S35" s="481" t="str">
        <f t="shared" si="8"/>
        <v/>
      </c>
      <c r="T35" s="482" t="str">
        <f t="shared" si="9"/>
        <v/>
      </c>
      <c r="U35" s="482" t="str">
        <f t="shared" si="10"/>
        <v/>
      </c>
      <c r="V35" s="482" t="str">
        <f t="shared" si="11"/>
        <v/>
      </c>
      <c r="W35" s="169"/>
      <c r="X35" s="169"/>
      <c r="Y35" s="169"/>
      <c r="Z35" s="251"/>
      <c r="AA35" s="251"/>
      <c r="AB35" s="483"/>
      <c r="AC35" s="483"/>
      <c r="AD35" s="483"/>
      <c r="AE35" s="483"/>
      <c r="AF35" s="483"/>
      <c r="AG35" s="254" t="str">
        <f t="shared" si="12"/>
        <v/>
      </c>
      <c r="AH35" s="254" t="str">
        <f t="shared" si="13"/>
        <v/>
      </c>
      <c r="AI35" s="254" t="str">
        <f t="shared" si="14"/>
        <v/>
      </c>
      <c r="AJ35" s="254" t="str">
        <f t="shared" si="15"/>
        <v/>
      </c>
      <c r="AK35" s="254" t="str">
        <f t="shared" si="16"/>
        <v/>
      </c>
      <c r="AL35" s="255" t="str" cm="1">
        <f t="array" ref="AL35">IFERROR(IF(INDEX(_xlfn.ANCHORARRAY($BO$4),ROW()-5,2)="","",_xlfn.XLOOKUP(INDEX(_xlfn.ANCHORARRAY($BO$4),ROW()-5,2),'Short Circuit'!$A$6:$A$255,'Short Circuit'!$J$6:$J$255,"")),"")</f>
        <v/>
      </c>
      <c r="AM35" s="254" t="str">
        <f t="shared" si="17"/>
        <v/>
      </c>
      <c r="AN35" s="254" t="str">
        <f t="shared" si="18"/>
        <v/>
      </c>
      <c r="AO35" s="254" t="str">
        <f t="shared" si="19"/>
        <v/>
      </c>
      <c r="AP35" s="255" t="str">
        <f t="shared" si="20"/>
        <v/>
      </c>
      <c r="AQ35" s="255" t="str">
        <f t="shared" si="21"/>
        <v/>
      </c>
      <c r="AR35" s="255" t="str">
        <f t="shared" si="22"/>
        <v/>
      </c>
      <c r="AS35" s="255" t="str" cm="1">
        <f t="array" ref="AS35">IFERROR(IF($AP35="","",INDEX(AIC_List,MATCH(TRUE,AIC_List&gt;=$AP35,0))),"⚠ &gt; 200 kA")</f>
        <v/>
      </c>
      <c r="AT35" s="255" t="str">
        <f t="shared" si="23"/>
        <v/>
      </c>
      <c r="AU35" s="290" t="str" cm="1">
        <f t="array" ref="AU35">IFERROR(IF($AK35="","",INDEX(Ampacity_Size,MATCH(TRUE,Ampacity_Cu&gt;=1.25*$AK35/$AT35,0))),"—")</f>
        <v/>
      </c>
      <c r="AV35" s="290" t="str" cm="1">
        <f t="array" ref="AV35">IF($AU35="","",IFERROR(INDEX(Gec_Cu,MATCH(TRUE,Gec_CM&gt;=INDEX(Ampacity_CM,MATCH($AU35,Ampacity_Size,0))*$AT35,0)),"—"))</f>
        <v/>
      </c>
      <c r="AW35" s="290" t="str" cm="1">
        <f t="array" ref="AW35">IF($AU35="","",IFERROR(IF(INDEX(Ampacity_CM,MATCH($AU35,Ampacity_Size,0))*$AT35&gt;1100000,"12.5% of phase area",INDEX(Gec_Cu,MATCH(TRUE,Gec_CM&gt;=INDEX(Ampacity_CM,MATCH($AU35,Ampacity_Size,0))*$AT35,0))),"—"))</f>
        <v/>
      </c>
      <c r="AX35" s="533" t="str">
        <f t="shared" si="24"/>
        <v/>
      </c>
      <c r="AY35" s="533" t="str">
        <f t="shared" si="25"/>
        <v/>
      </c>
      <c r="AZ35" s="20" t="str">
        <f t="shared" si="26"/>
        <v/>
      </c>
    </row>
    <row r="36" spans="1:52" ht="15" customHeight="1" x14ac:dyDescent="0.35">
      <c r="A36" s="362" t="str" cm="1">
        <f t="array" ref="A36">IFERROR(IF(INDEX(_xlfn.ANCHORARRAY($BO$4),ROW()-5,1)="","","T-"&amp;INDEX(_xlfn.ANCHORARRAY($BO$4),ROW()-5,1)),"")</f>
        <v/>
      </c>
      <c r="B36" s="362" t="str" cm="1">
        <f t="array" ref="B36">IFERROR(IF(INDEX(_xlfn.ANCHORARRAY($BO$4),ROW()-5,1)="","",INDEX(_xlfn.ANCHORARRAY($BO$4),ROW()-5,1)),"")</f>
        <v/>
      </c>
      <c r="C36" s="362" t="str" cm="1">
        <f t="array" ref="C36">IFERROR(INDEX(_xlfn.ANCHORARRAY($BO$4),ROW()-5,5),"")</f>
        <v/>
      </c>
      <c r="D36" s="362" t="str" cm="1">
        <f t="array" ref="D36">IFERROR(INDEX(_xlfn.ANCHORARRAY($BO$4),ROW()-5,3),"")</f>
        <v/>
      </c>
      <c r="E36" s="362" t="str" cm="1">
        <f t="array" ref="E36">IFERROR(INDEX(_xlfn.ANCHORARRAY($BO$4),ROW()-5,4),"")</f>
        <v/>
      </c>
      <c r="F36" s="36" t="str" cm="1">
        <f t="array" ref="F36">IFERROR(INDEX(_xlfn.ANCHORARRAY($BO$4),ROW()-5,6),"")</f>
        <v/>
      </c>
      <c r="G36" s="362" t="str" cm="1">
        <f t="array" ref="G36">IF($F36="","",_xlfn.LET(_xlpm.ov,N(IFERROR(_xlfn.XLOOKUP($B36,Dashboard!$A$101:$A$350,Dashboard!$O$101:$O$350,0),0)),_xlpm.need,MAX(N($F36),_xlpm.ov*N($E36)*IF($C36=3,SQRT(3),1)/1000),IFERROR(INDEX(IF($C36=1,Xfmr1_kVA,Xfmr3_kVA),MATCH(TRUE,IF($C36=1,Xfmr1_kVA,Xfmr3_kVA)&gt;=_xlpm.need,0)),"OVER")))</f>
        <v/>
      </c>
      <c r="H36" s="362" t="str">
        <f t="shared" si="0"/>
        <v/>
      </c>
      <c r="I36" s="168" t="str">
        <f t="shared" si="1"/>
        <v/>
      </c>
      <c r="J36" s="362" t="str">
        <f t="shared" si="2"/>
        <v/>
      </c>
      <c r="K36" s="362" t="str">
        <f t="shared" si="3"/>
        <v/>
      </c>
      <c r="L36" s="362" t="str">
        <f t="shared" si="4"/>
        <v/>
      </c>
      <c r="M36" s="168" t="str" cm="1">
        <f t="array" ref="M36">IF($Z36&lt;&gt;"",$Z36,IFERROR(IF($AJ36="","",INDEX(OCPD_List,MATCH(TRUE,OCPD_List&gt;=1.25*$AJ36,0))),"—"))</f>
        <v/>
      </c>
      <c r="N36" s="168" t="str" cm="1">
        <f t="array" ref="N36">IF($AA36&lt;&gt;"",$AA36,IFERROR(IF($AK36="","",INDEX(OCPD_List,MATCH(TRUE,OCPD_List&gt;=1.25*$AK36,0))),"—"))</f>
        <v/>
      </c>
      <c r="O36" s="171" t="str">
        <f t="shared" si="5"/>
        <v/>
      </c>
      <c r="P36" s="171" t="str">
        <f t="shared" si="6"/>
        <v/>
      </c>
      <c r="Q36" s="78" t="str">
        <f t="shared" si="7"/>
        <v/>
      </c>
      <c r="R36" s="371"/>
      <c r="S36" s="481" t="str">
        <f t="shared" si="8"/>
        <v/>
      </c>
      <c r="T36" s="482" t="str">
        <f t="shared" si="9"/>
        <v/>
      </c>
      <c r="U36" s="482" t="str">
        <f t="shared" si="10"/>
        <v/>
      </c>
      <c r="V36" s="482" t="str">
        <f t="shared" si="11"/>
        <v/>
      </c>
      <c r="W36" s="169"/>
      <c r="X36" s="169"/>
      <c r="Y36" s="169"/>
      <c r="Z36" s="251"/>
      <c r="AA36" s="251"/>
      <c r="AB36" s="483"/>
      <c r="AC36" s="483"/>
      <c r="AD36" s="483"/>
      <c r="AE36" s="483"/>
      <c r="AF36" s="483"/>
      <c r="AG36" s="254" t="str">
        <f t="shared" si="12"/>
        <v/>
      </c>
      <c r="AH36" s="254" t="str">
        <f t="shared" si="13"/>
        <v/>
      </c>
      <c r="AI36" s="254" t="str">
        <f t="shared" si="14"/>
        <v/>
      </c>
      <c r="AJ36" s="254" t="str">
        <f t="shared" si="15"/>
        <v/>
      </c>
      <c r="AK36" s="254" t="str">
        <f t="shared" si="16"/>
        <v/>
      </c>
      <c r="AL36" s="255" t="str" cm="1">
        <f t="array" ref="AL36">IFERROR(IF(INDEX(_xlfn.ANCHORARRAY($BO$4),ROW()-5,2)="","",_xlfn.XLOOKUP(INDEX(_xlfn.ANCHORARRAY($BO$4),ROW()-5,2),'Short Circuit'!$A$6:$A$255,'Short Circuit'!$J$6:$J$255,"")),"")</f>
        <v/>
      </c>
      <c r="AM36" s="254" t="str">
        <f t="shared" si="17"/>
        <v/>
      </c>
      <c r="AN36" s="254" t="str">
        <f t="shared" si="18"/>
        <v/>
      </c>
      <c r="AO36" s="254" t="str">
        <f t="shared" si="19"/>
        <v/>
      </c>
      <c r="AP36" s="255" t="str">
        <f t="shared" si="20"/>
        <v/>
      </c>
      <c r="AQ36" s="255" t="str">
        <f t="shared" si="21"/>
        <v/>
      </c>
      <c r="AR36" s="255" t="str">
        <f t="shared" si="22"/>
        <v/>
      </c>
      <c r="AS36" s="255" t="str" cm="1">
        <f t="array" ref="AS36">IFERROR(IF($AP36="","",INDEX(AIC_List,MATCH(TRUE,AIC_List&gt;=$AP36,0))),"⚠ &gt; 200 kA")</f>
        <v/>
      </c>
      <c r="AT36" s="255" t="str">
        <f t="shared" si="23"/>
        <v/>
      </c>
      <c r="AU36" s="290" t="str" cm="1">
        <f t="array" ref="AU36">IFERROR(IF($AK36="","",INDEX(Ampacity_Size,MATCH(TRUE,Ampacity_Cu&gt;=1.25*$AK36/$AT36,0))),"—")</f>
        <v/>
      </c>
      <c r="AV36" s="290" t="str" cm="1">
        <f t="array" ref="AV36">IF($AU36="","",IFERROR(INDEX(Gec_Cu,MATCH(TRUE,Gec_CM&gt;=INDEX(Ampacity_CM,MATCH($AU36,Ampacity_Size,0))*$AT36,0)),"—"))</f>
        <v/>
      </c>
      <c r="AW36" s="290" t="str" cm="1">
        <f t="array" ref="AW36">IF($AU36="","",IFERROR(IF(INDEX(Ampacity_CM,MATCH($AU36,Ampacity_Size,0))*$AT36&gt;1100000,"12.5% of phase area",INDEX(Gec_Cu,MATCH(TRUE,Gec_CM&gt;=INDEX(Ampacity_CM,MATCH($AU36,Ampacity_Size,0))*$AT36,0))),"—"))</f>
        <v/>
      </c>
      <c r="AX36" s="533" t="str">
        <f t="shared" si="24"/>
        <v/>
      </c>
      <c r="AY36" s="533" t="str">
        <f t="shared" si="25"/>
        <v/>
      </c>
      <c r="AZ36" s="20" t="str">
        <f t="shared" si="26"/>
        <v/>
      </c>
    </row>
    <row r="37" spans="1:52" ht="15" customHeight="1" x14ac:dyDescent="0.35">
      <c r="A37" s="362" t="str" cm="1">
        <f t="array" ref="A37">IFERROR(IF(INDEX(_xlfn.ANCHORARRAY($BO$4),ROW()-5,1)="","","T-"&amp;INDEX(_xlfn.ANCHORARRAY($BO$4),ROW()-5,1)),"")</f>
        <v/>
      </c>
      <c r="B37" s="362" t="str" cm="1">
        <f t="array" ref="B37">IFERROR(IF(INDEX(_xlfn.ANCHORARRAY($BO$4),ROW()-5,1)="","",INDEX(_xlfn.ANCHORARRAY($BO$4),ROW()-5,1)),"")</f>
        <v/>
      </c>
      <c r="C37" s="362" t="str" cm="1">
        <f t="array" ref="C37">IFERROR(INDEX(_xlfn.ANCHORARRAY($BO$4),ROW()-5,5),"")</f>
        <v/>
      </c>
      <c r="D37" s="362" t="str" cm="1">
        <f t="array" ref="D37">IFERROR(INDEX(_xlfn.ANCHORARRAY($BO$4),ROW()-5,3),"")</f>
        <v/>
      </c>
      <c r="E37" s="362" t="str" cm="1">
        <f t="array" ref="E37">IFERROR(INDEX(_xlfn.ANCHORARRAY($BO$4),ROW()-5,4),"")</f>
        <v/>
      </c>
      <c r="F37" s="36" t="str" cm="1">
        <f t="array" ref="F37">IFERROR(INDEX(_xlfn.ANCHORARRAY($BO$4),ROW()-5,6),"")</f>
        <v/>
      </c>
      <c r="G37" s="362" t="str" cm="1">
        <f t="array" ref="G37">IF($F37="","",_xlfn.LET(_xlpm.ov,N(IFERROR(_xlfn.XLOOKUP($B37,Dashboard!$A$101:$A$350,Dashboard!$O$101:$O$350,0),0)),_xlpm.need,MAX(N($F37),_xlpm.ov*N($E37)*IF($C37=3,SQRT(3),1)/1000),IFERROR(INDEX(IF($C37=1,Xfmr1_kVA,Xfmr3_kVA),MATCH(TRUE,IF($C37=1,Xfmr1_kVA,Xfmr3_kVA)&gt;=_xlpm.need,0)),"OVER")))</f>
        <v/>
      </c>
      <c r="H37" s="362" t="str">
        <f t="shared" si="0"/>
        <v/>
      </c>
      <c r="I37" s="168" t="str">
        <f t="shared" si="1"/>
        <v/>
      </c>
      <c r="J37" s="362" t="str">
        <f t="shared" si="2"/>
        <v/>
      </c>
      <c r="K37" s="362" t="str">
        <f t="shared" si="3"/>
        <v/>
      </c>
      <c r="L37" s="362" t="str">
        <f t="shared" si="4"/>
        <v/>
      </c>
      <c r="M37" s="168" t="str" cm="1">
        <f t="array" ref="M37">IF($Z37&lt;&gt;"",$Z37,IFERROR(IF($AJ37="","",INDEX(OCPD_List,MATCH(TRUE,OCPD_List&gt;=1.25*$AJ37,0))),"—"))</f>
        <v/>
      </c>
      <c r="N37" s="168" t="str" cm="1">
        <f t="array" ref="N37">IF($AA37&lt;&gt;"",$AA37,IFERROR(IF($AK37="","",INDEX(OCPD_List,MATCH(TRUE,OCPD_List&gt;=1.25*$AK37,0))),"—"))</f>
        <v/>
      </c>
      <c r="O37" s="171" t="str">
        <f t="shared" si="5"/>
        <v/>
      </c>
      <c r="P37" s="171" t="str">
        <f t="shared" si="6"/>
        <v/>
      </c>
      <c r="Q37" s="78" t="str">
        <f t="shared" si="7"/>
        <v/>
      </c>
      <c r="R37" s="371"/>
      <c r="S37" s="481" t="str">
        <f t="shared" si="8"/>
        <v/>
      </c>
      <c r="T37" s="482" t="str">
        <f t="shared" si="9"/>
        <v/>
      </c>
      <c r="U37" s="482" t="str">
        <f t="shared" si="10"/>
        <v/>
      </c>
      <c r="V37" s="482" t="str">
        <f t="shared" si="11"/>
        <v/>
      </c>
      <c r="W37" s="169"/>
      <c r="X37" s="169"/>
      <c r="Y37" s="169"/>
      <c r="Z37" s="251"/>
      <c r="AA37" s="251"/>
      <c r="AB37" s="483"/>
      <c r="AC37" s="483"/>
      <c r="AD37" s="483"/>
      <c r="AE37" s="483"/>
      <c r="AF37" s="483"/>
      <c r="AG37" s="254" t="str">
        <f t="shared" si="12"/>
        <v/>
      </c>
      <c r="AH37" s="254" t="str">
        <f t="shared" si="13"/>
        <v/>
      </c>
      <c r="AI37" s="254" t="str">
        <f t="shared" si="14"/>
        <v/>
      </c>
      <c r="AJ37" s="254" t="str">
        <f t="shared" si="15"/>
        <v/>
      </c>
      <c r="AK37" s="254" t="str">
        <f t="shared" si="16"/>
        <v/>
      </c>
      <c r="AL37" s="255" t="str" cm="1">
        <f t="array" ref="AL37">IFERROR(IF(INDEX(_xlfn.ANCHORARRAY($BO$4),ROW()-5,2)="","",_xlfn.XLOOKUP(INDEX(_xlfn.ANCHORARRAY($BO$4),ROW()-5,2),'Short Circuit'!$A$6:$A$255,'Short Circuit'!$J$6:$J$255,"")),"")</f>
        <v/>
      </c>
      <c r="AM37" s="254" t="str">
        <f t="shared" si="17"/>
        <v/>
      </c>
      <c r="AN37" s="254" t="str">
        <f t="shared" si="18"/>
        <v/>
      </c>
      <c r="AO37" s="254" t="str">
        <f t="shared" si="19"/>
        <v/>
      </c>
      <c r="AP37" s="255" t="str">
        <f t="shared" si="20"/>
        <v/>
      </c>
      <c r="AQ37" s="255" t="str">
        <f t="shared" si="21"/>
        <v/>
      </c>
      <c r="AR37" s="255" t="str">
        <f t="shared" si="22"/>
        <v/>
      </c>
      <c r="AS37" s="255" t="str" cm="1">
        <f t="array" ref="AS37">IFERROR(IF($AP37="","",INDEX(AIC_List,MATCH(TRUE,AIC_List&gt;=$AP37,0))),"⚠ &gt; 200 kA")</f>
        <v/>
      </c>
      <c r="AT37" s="255" t="str">
        <f t="shared" si="23"/>
        <v/>
      </c>
      <c r="AU37" s="290" t="str" cm="1">
        <f t="array" ref="AU37">IFERROR(IF($AK37="","",INDEX(Ampacity_Size,MATCH(TRUE,Ampacity_Cu&gt;=1.25*$AK37/$AT37,0))),"—")</f>
        <v/>
      </c>
      <c r="AV37" s="290" t="str" cm="1">
        <f t="array" ref="AV37">IF($AU37="","",IFERROR(INDEX(Gec_Cu,MATCH(TRUE,Gec_CM&gt;=INDEX(Ampacity_CM,MATCH($AU37,Ampacity_Size,0))*$AT37,0)),"—"))</f>
        <v/>
      </c>
      <c r="AW37" s="290" t="str" cm="1">
        <f t="array" ref="AW37">IF($AU37="","",IFERROR(IF(INDEX(Ampacity_CM,MATCH($AU37,Ampacity_Size,0))*$AT37&gt;1100000,"12.5% of phase area",INDEX(Gec_Cu,MATCH(TRUE,Gec_CM&gt;=INDEX(Ampacity_CM,MATCH($AU37,Ampacity_Size,0))*$AT37,0))),"—"))</f>
        <v/>
      </c>
      <c r="AX37" s="533" t="str">
        <f t="shared" si="24"/>
        <v/>
      </c>
      <c r="AY37" s="533" t="str">
        <f t="shared" si="25"/>
        <v/>
      </c>
      <c r="AZ37" s="20" t="str">
        <f t="shared" si="26"/>
        <v/>
      </c>
    </row>
    <row r="38" spans="1:52" ht="15" customHeight="1" x14ac:dyDescent="0.35">
      <c r="A38" s="362" t="str" cm="1">
        <f t="array" ref="A38">IFERROR(IF(INDEX(_xlfn.ANCHORARRAY($BO$4),ROW()-5,1)="","","T-"&amp;INDEX(_xlfn.ANCHORARRAY($BO$4),ROW()-5,1)),"")</f>
        <v/>
      </c>
      <c r="B38" s="362" t="str" cm="1">
        <f t="array" ref="B38">IFERROR(IF(INDEX(_xlfn.ANCHORARRAY($BO$4),ROW()-5,1)="","",INDEX(_xlfn.ANCHORARRAY($BO$4),ROW()-5,1)),"")</f>
        <v/>
      </c>
      <c r="C38" s="362" t="str" cm="1">
        <f t="array" ref="C38">IFERROR(INDEX(_xlfn.ANCHORARRAY($BO$4),ROW()-5,5),"")</f>
        <v/>
      </c>
      <c r="D38" s="362" t="str" cm="1">
        <f t="array" ref="D38">IFERROR(INDEX(_xlfn.ANCHORARRAY($BO$4),ROW()-5,3),"")</f>
        <v/>
      </c>
      <c r="E38" s="362" t="str" cm="1">
        <f t="array" ref="E38">IFERROR(INDEX(_xlfn.ANCHORARRAY($BO$4),ROW()-5,4),"")</f>
        <v/>
      </c>
      <c r="F38" s="36" t="str" cm="1">
        <f t="array" ref="F38">IFERROR(INDEX(_xlfn.ANCHORARRAY($BO$4),ROW()-5,6),"")</f>
        <v/>
      </c>
      <c r="G38" s="362" t="str" cm="1">
        <f t="array" ref="G38">IF($F38="","",_xlfn.LET(_xlpm.ov,N(IFERROR(_xlfn.XLOOKUP($B38,Dashboard!$A$101:$A$350,Dashboard!$O$101:$O$350,0),0)),_xlpm.need,MAX(N($F38),_xlpm.ov*N($E38)*IF($C38=3,SQRT(3),1)/1000),IFERROR(INDEX(IF($C38=1,Xfmr1_kVA,Xfmr3_kVA),MATCH(TRUE,IF($C38=1,Xfmr1_kVA,Xfmr3_kVA)&gt;=_xlpm.need,0)),"OVER")))</f>
        <v/>
      </c>
      <c r="H38" s="362" t="str">
        <f t="shared" ref="H38:H69" si="27">IF($AB38&lt;&gt;"",$AB38,IF($D38="","",IFERROR(_xlfn.XLOOKUP($D38,Xfmr_BaseV,Xfmr_Conn),"")))</f>
        <v/>
      </c>
      <c r="I38" s="168" t="str">
        <f t="shared" ref="I38:I69" si="28">IF($AC38&lt;&gt;"",$AC38,IF($E38="","",IFERROR(_xlfn.XLOOKUP($E38,Xfmr_BaseV,Xfmr_Conn),"")))</f>
        <v/>
      </c>
      <c r="J38" s="362" t="str">
        <f t="shared" ref="J38:J69" si="29">IF($AD38&lt;&gt;"",$AD38,IF($B38="","",Xfmr_DefType))</f>
        <v/>
      </c>
      <c r="K38" s="362" t="str">
        <f t="shared" ref="K38:K69" si="30">IF($AE38&lt;&gt;"",$AE38,IF($B38="","",Xfmr_DefTaps))</f>
        <v/>
      </c>
      <c r="L38" s="362" t="str">
        <f t="shared" ref="L38:L69" si="31">IF($AF38&lt;&gt;"",$AF38,IF($B38="","",Xfmr_DefEncl))</f>
        <v/>
      </c>
      <c r="M38" s="168" t="str" cm="1">
        <f t="array" ref="M38">IF($Z38&lt;&gt;"",$Z38,IFERROR(IF($AJ38="","",INDEX(OCPD_List,MATCH(TRUE,OCPD_List&gt;=1.25*$AJ38,0))),"—"))</f>
        <v/>
      </c>
      <c r="N38" s="168" t="str" cm="1">
        <f t="array" ref="N38">IF($AA38&lt;&gt;"",$AA38,IFERROR(IF($AK38="","",INDEX(OCPD_List,MATCH(TRUE,OCPD_List&gt;=1.25*$AK38,0))),"—"))</f>
        <v/>
      </c>
      <c r="O38" s="171" t="str">
        <f t="shared" ref="O38:O69" si="32">IF($A38="","",$AV38)</f>
        <v/>
      </c>
      <c r="P38" s="171" t="str">
        <f t="shared" ref="P38:P69" si="33">IF($A38="","",$AW38)</f>
        <v/>
      </c>
      <c r="Q38" s="78" t="str">
        <f t="shared" ref="Q38:Q69" si="34">IF(OR($F38="",$G38="",$G38="OVER"),"",$F38/$G38)</f>
        <v/>
      </c>
      <c r="R38" s="371"/>
      <c r="S38" s="481" t="str">
        <f t="shared" ref="S38:S69" si="35">IF($A38="","",$AO38)</f>
        <v/>
      </c>
      <c r="T38" s="482" t="str">
        <f t="shared" ref="T38:T69" si="36">IF($A38="","",$AP38)</f>
        <v/>
      </c>
      <c r="U38" s="482" t="str">
        <f t="shared" ref="U38:U69" si="37">IF($A38="","",$AS38)</f>
        <v/>
      </c>
      <c r="V38" s="482" t="str">
        <f t="shared" ref="V38:V69" si="38">IF($A38="","",$AR38)</f>
        <v/>
      </c>
      <c r="W38" s="169"/>
      <c r="X38" s="169"/>
      <c r="Y38" s="169"/>
      <c r="Z38" s="251"/>
      <c r="AA38" s="251"/>
      <c r="AB38" s="483"/>
      <c r="AC38" s="483"/>
      <c r="AD38" s="483"/>
      <c r="AE38" s="483"/>
      <c r="AF38" s="483"/>
      <c r="AG38" s="254" t="str">
        <f t="shared" ref="AG38:AG69" si="39">IF(OR($AX38="",$G38="",$G38="OVER"),"",$AX38/SQRT(1+$AH38^2))</f>
        <v/>
      </c>
      <c r="AH38" s="254" t="str">
        <f t="shared" ref="AH38:AH69" si="40">IF(OR($AX38="",$G38="",$G38="OVER"),"",IF(AND($Y38&lt;&gt;"",$Y38&gt;0),SQRT(MAX($AX38^2-($Y38/$G38*100)^2,0))/($Y38/$G38*100),IFERROR(INDEX(XR_Typ,MATCH($G38,XR_kVA,1)),3)))</f>
        <v/>
      </c>
      <c r="AI38" s="254" t="str">
        <f t="shared" ref="AI38:AI69" si="41">IF(OR($AX38="",$G38="",$G38="OVER"),"",$AX38*$AH38/SQRT(1+$AH38^2))</f>
        <v/>
      </c>
      <c r="AJ38" s="254" t="str">
        <f t="shared" ref="AJ38:AJ69" si="42">IF(OR($G38="",$G38="OVER",$D38=""),"",$G38*1000/(IF($C38=3,SQRT3,1)*$D38))</f>
        <v/>
      </c>
      <c r="AK38" s="254" t="str">
        <f t="shared" ref="AK38:AK69" si="43">IF(OR($G38="",$G38="OVER",$E38=""),"",$G38*1000/(IF($C38=3,SQRT3,1)*$E38))</f>
        <v/>
      </c>
      <c r="AL38" s="255" t="str" cm="1">
        <f t="array" ref="AL38">IFERROR(IF(INDEX(_xlfn.ANCHORARRAY($BO$4),ROW()-5,2)="","",_xlfn.XLOOKUP(INDEX(_xlfn.ANCHORARRAY($BO$4),ROW()-5,2),'Short Circuit'!$A$6:$A$255,'Short Circuit'!$J$6:$J$255,"")),"")</f>
        <v/>
      </c>
      <c r="AM38" s="254" t="str">
        <f t="shared" ref="AM38:AM69" si="44">IF(OR($AX38="",$AJ38=""),"",$AG38+IF(OR($AL38="",$AL38=0),0,($AJ38/$AL38*100)/SQRT(1+$AY38^2)))</f>
        <v/>
      </c>
      <c r="AN38" s="254" t="str">
        <f t="shared" ref="AN38:AN69" si="45">IF(OR($AX38="",$AJ38=""),"",$AI38+IF(OR($AL38="",$AL38=0),0,($AJ38/$AL38*100)*$AY38/SQRT(1+$AY38^2)))</f>
        <v/>
      </c>
      <c r="AO38" s="254" t="str">
        <f t="shared" ref="AO38:AO69" si="46">IF($AM38="","",SQRT($AM38^2+$AN38^2))</f>
        <v/>
      </c>
      <c r="AP38" s="255" t="str">
        <f t="shared" ref="AP38:AP69" si="47">IF(OR($AK38="",$AO38=""),"",$AK38*100/$AO38)</f>
        <v/>
      </c>
      <c r="AQ38" s="255" t="str">
        <f t="shared" ref="AQ38:AQ69" si="48">IF($AP38="","",$AP38*SQRT(2)*(1+EXP(-PI()/($AN38/$AM38))))</f>
        <v/>
      </c>
      <c r="AR38" s="255" t="str">
        <f t="shared" ref="AR38:AR69" si="49">IF($AJ38="","",$AJ38*Xfmr_Inrush)</f>
        <v/>
      </c>
      <c r="AS38" s="255" t="str" cm="1">
        <f t="array" ref="AS38">IFERROR(IF($AP38="","",INDEX(AIC_List,MATCH(TRUE,AIC_List&gt;=$AP38,0))),"⚠ &gt; 200 kA")</f>
        <v/>
      </c>
      <c r="AT38" s="255" t="str">
        <f t="shared" ref="AT38:AT69" si="50">IF($AK38="","",MAX(1,ROUNDUP(1.25*$AK38/475,0)))</f>
        <v/>
      </c>
      <c r="AU38" s="290" t="str" cm="1">
        <f t="array" ref="AU38">IFERROR(IF($AK38="","",INDEX(Ampacity_Size,MATCH(TRUE,Ampacity_Cu&gt;=1.25*$AK38/$AT38,0))),"—")</f>
        <v/>
      </c>
      <c r="AV38" s="290" t="str" cm="1">
        <f t="array" ref="AV38">IF($AU38="","",IFERROR(INDEX(Gec_Cu,MATCH(TRUE,Gec_CM&gt;=INDEX(Ampacity_CM,MATCH($AU38,Ampacity_Size,0))*$AT38,0)),"—"))</f>
        <v/>
      </c>
      <c r="AW38" s="290" t="str" cm="1">
        <f t="array" ref="AW38">IF($AU38="","",IFERROR(IF(INDEX(Ampacity_CM,MATCH($AU38,Ampacity_Size,0))*$AT38&gt;1100000,"12.5% of phase area",INDEX(Gec_Cu,MATCH(TRUE,Gec_CM&gt;=INDEX(Ampacity_CM,MATCH($AU38,Ampacity_Size,0))*$AT38,0))),"—"))</f>
        <v/>
      </c>
      <c r="AX38" s="533" t="str">
        <f t="shared" ref="AX38:AX69" si="51">IF($B38="","",IF($X38&lt;&gt;"",$X38,Xfmr_DefZ))</f>
        <v/>
      </c>
      <c r="AY38" s="533" t="str">
        <f t="shared" ref="AY38:AY69" si="52">IF($B38="","",IF($W38&lt;&gt;"",$W38,Xfmr_DefXR))</f>
        <v/>
      </c>
      <c r="AZ38" s="20" t="str">
        <f t="shared" ref="AZ38:AZ69" si="53">IF(OR($AR38="",$M38="",$M38="—"),"",IF($AR38&gt;10*$M38,"Inrush "&amp;TEXT($AR38,"#,##0")&amp;"A exceeds 10x the "&amp;TEXT($M38,"#,##0")&amp;"A primary device — check the trip curve or raise the instantaneous setting",""))</f>
        <v/>
      </c>
    </row>
    <row r="39" spans="1:52" ht="15" customHeight="1" x14ac:dyDescent="0.35">
      <c r="A39" s="362" t="str" cm="1">
        <f t="array" ref="A39">IFERROR(IF(INDEX(_xlfn.ANCHORARRAY($BO$4),ROW()-5,1)="","","T-"&amp;INDEX(_xlfn.ANCHORARRAY($BO$4),ROW()-5,1)),"")</f>
        <v/>
      </c>
      <c r="B39" s="362" t="str" cm="1">
        <f t="array" ref="B39">IFERROR(IF(INDEX(_xlfn.ANCHORARRAY($BO$4),ROW()-5,1)="","",INDEX(_xlfn.ANCHORARRAY($BO$4),ROW()-5,1)),"")</f>
        <v/>
      </c>
      <c r="C39" s="362" t="str" cm="1">
        <f t="array" ref="C39">IFERROR(INDEX(_xlfn.ANCHORARRAY($BO$4),ROW()-5,5),"")</f>
        <v/>
      </c>
      <c r="D39" s="362" t="str" cm="1">
        <f t="array" ref="D39">IFERROR(INDEX(_xlfn.ANCHORARRAY($BO$4),ROW()-5,3),"")</f>
        <v/>
      </c>
      <c r="E39" s="362" t="str" cm="1">
        <f t="array" ref="E39">IFERROR(INDEX(_xlfn.ANCHORARRAY($BO$4),ROW()-5,4),"")</f>
        <v/>
      </c>
      <c r="F39" s="36" t="str" cm="1">
        <f t="array" ref="F39">IFERROR(INDEX(_xlfn.ANCHORARRAY($BO$4),ROW()-5,6),"")</f>
        <v/>
      </c>
      <c r="G39" s="362" t="str" cm="1">
        <f t="array" ref="G39">IF($F39="","",_xlfn.LET(_xlpm.ov,N(IFERROR(_xlfn.XLOOKUP($B39,Dashboard!$A$101:$A$350,Dashboard!$O$101:$O$350,0),0)),_xlpm.need,MAX(N($F39),_xlpm.ov*N($E39)*IF($C39=3,SQRT(3),1)/1000),IFERROR(INDEX(IF($C39=1,Xfmr1_kVA,Xfmr3_kVA),MATCH(TRUE,IF($C39=1,Xfmr1_kVA,Xfmr3_kVA)&gt;=_xlpm.need,0)),"OVER")))</f>
        <v/>
      </c>
      <c r="H39" s="362" t="str">
        <f t="shared" si="27"/>
        <v/>
      </c>
      <c r="I39" s="168" t="str">
        <f t="shared" si="28"/>
        <v/>
      </c>
      <c r="J39" s="362" t="str">
        <f t="shared" si="29"/>
        <v/>
      </c>
      <c r="K39" s="362" t="str">
        <f t="shared" si="30"/>
        <v/>
      </c>
      <c r="L39" s="362" t="str">
        <f t="shared" si="31"/>
        <v/>
      </c>
      <c r="M39" s="168" t="str" cm="1">
        <f t="array" ref="M39">IF($Z39&lt;&gt;"",$Z39,IFERROR(IF($AJ39="","",INDEX(OCPD_List,MATCH(TRUE,OCPD_List&gt;=1.25*$AJ39,0))),"—"))</f>
        <v/>
      </c>
      <c r="N39" s="168" t="str" cm="1">
        <f t="array" ref="N39">IF($AA39&lt;&gt;"",$AA39,IFERROR(IF($AK39="","",INDEX(OCPD_List,MATCH(TRUE,OCPD_List&gt;=1.25*$AK39,0))),"—"))</f>
        <v/>
      </c>
      <c r="O39" s="171" t="str">
        <f t="shared" si="32"/>
        <v/>
      </c>
      <c r="P39" s="171" t="str">
        <f t="shared" si="33"/>
        <v/>
      </c>
      <c r="Q39" s="78" t="str">
        <f t="shared" si="34"/>
        <v/>
      </c>
      <c r="R39" s="371"/>
      <c r="S39" s="481" t="str">
        <f t="shared" si="35"/>
        <v/>
      </c>
      <c r="T39" s="482" t="str">
        <f t="shared" si="36"/>
        <v/>
      </c>
      <c r="U39" s="482" t="str">
        <f t="shared" si="37"/>
        <v/>
      </c>
      <c r="V39" s="482" t="str">
        <f t="shared" si="38"/>
        <v/>
      </c>
      <c r="W39" s="169"/>
      <c r="X39" s="169"/>
      <c r="Y39" s="169"/>
      <c r="Z39" s="251"/>
      <c r="AA39" s="251"/>
      <c r="AB39" s="483"/>
      <c r="AC39" s="483"/>
      <c r="AD39" s="483"/>
      <c r="AE39" s="483"/>
      <c r="AF39" s="483"/>
      <c r="AG39" s="254" t="str">
        <f t="shared" si="39"/>
        <v/>
      </c>
      <c r="AH39" s="254" t="str">
        <f t="shared" si="40"/>
        <v/>
      </c>
      <c r="AI39" s="254" t="str">
        <f t="shared" si="41"/>
        <v/>
      </c>
      <c r="AJ39" s="254" t="str">
        <f t="shared" si="42"/>
        <v/>
      </c>
      <c r="AK39" s="254" t="str">
        <f t="shared" si="43"/>
        <v/>
      </c>
      <c r="AL39" s="255" t="str" cm="1">
        <f t="array" ref="AL39">IFERROR(IF(INDEX(_xlfn.ANCHORARRAY($BO$4),ROW()-5,2)="","",_xlfn.XLOOKUP(INDEX(_xlfn.ANCHORARRAY($BO$4),ROW()-5,2),'Short Circuit'!$A$6:$A$255,'Short Circuit'!$J$6:$J$255,"")),"")</f>
        <v/>
      </c>
      <c r="AM39" s="254" t="str">
        <f t="shared" si="44"/>
        <v/>
      </c>
      <c r="AN39" s="254" t="str">
        <f t="shared" si="45"/>
        <v/>
      </c>
      <c r="AO39" s="254" t="str">
        <f t="shared" si="46"/>
        <v/>
      </c>
      <c r="AP39" s="255" t="str">
        <f t="shared" si="47"/>
        <v/>
      </c>
      <c r="AQ39" s="255" t="str">
        <f t="shared" si="48"/>
        <v/>
      </c>
      <c r="AR39" s="255" t="str">
        <f t="shared" si="49"/>
        <v/>
      </c>
      <c r="AS39" s="255" t="str" cm="1">
        <f t="array" ref="AS39">IFERROR(IF($AP39="","",INDEX(AIC_List,MATCH(TRUE,AIC_List&gt;=$AP39,0))),"⚠ &gt; 200 kA")</f>
        <v/>
      </c>
      <c r="AT39" s="255" t="str">
        <f t="shared" si="50"/>
        <v/>
      </c>
      <c r="AU39" s="290" t="str" cm="1">
        <f t="array" ref="AU39">IFERROR(IF($AK39="","",INDEX(Ampacity_Size,MATCH(TRUE,Ampacity_Cu&gt;=1.25*$AK39/$AT39,0))),"—")</f>
        <v/>
      </c>
      <c r="AV39" s="290" t="str" cm="1">
        <f t="array" ref="AV39">IF($AU39="","",IFERROR(INDEX(Gec_Cu,MATCH(TRUE,Gec_CM&gt;=INDEX(Ampacity_CM,MATCH($AU39,Ampacity_Size,0))*$AT39,0)),"—"))</f>
        <v/>
      </c>
      <c r="AW39" s="290" t="str" cm="1">
        <f t="array" ref="AW39">IF($AU39="","",IFERROR(IF(INDEX(Ampacity_CM,MATCH($AU39,Ampacity_Size,0))*$AT39&gt;1100000,"12.5% of phase area",INDEX(Gec_Cu,MATCH(TRUE,Gec_CM&gt;=INDEX(Ampacity_CM,MATCH($AU39,Ampacity_Size,0))*$AT39,0))),"—"))</f>
        <v/>
      </c>
      <c r="AX39" s="533" t="str">
        <f t="shared" si="51"/>
        <v/>
      </c>
      <c r="AY39" s="533" t="str">
        <f t="shared" si="52"/>
        <v/>
      </c>
      <c r="AZ39" s="20" t="str">
        <f t="shared" si="53"/>
        <v/>
      </c>
    </row>
    <row r="40" spans="1:52" ht="15" customHeight="1" x14ac:dyDescent="0.35">
      <c r="A40" s="362" t="str" cm="1">
        <f t="array" ref="A40">IFERROR(IF(INDEX(_xlfn.ANCHORARRAY($BO$4),ROW()-5,1)="","","T-"&amp;INDEX(_xlfn.ANCHORARRAY($BO$4),ROW()-5,1)),"")</f>
        <v/>
      </c>
      <c r="B40" s="362" t="str" cm="1">
        <f t="array" ref="B40">IFERROR(IF(INDEX(_xlfn.ANCHORARRAY($BO$4),ROW()-5,1)="","",INDEX(_xlfn.ANCHORARRAY($BO$4),ROW()-5,1)),"")</f>
        <v/>
      </c>
      <c r="C40" s="362" t="str" cm="1">
        <f t="array" ref="C40">IFERROR(INDEX(_xlfn.ANCHORARRAY($BO$4),ROW()-5,5),"")</f>
        <v/>
      </c>
      <c r="D40" s="362" t="str" cm="1">
        <f t="array" ref="D40">IFERROR(INDEX(_xlfn.ANCHORARRAY($BO$4),ROW()-5,3),"")</f>
        <v/>
      </c>
      <c r="E40" s="362" t="str" cm="1">
        <f t="array" ref="E40">IFERROR(INDEX(_xlfn.ANCHORARRAY($BO$4),ROW()-5,4),"")</f>
        <v/>
      </c>
      <c r="F40" s="36" t="str" cm="1">
        <f t="array" ref="F40">IFERROR(INDEX(_xlfn.ANCHORARRAY($BO$4),ROW()-5,6),"")</f>
        <v/>
      </c>
      <c r="G40" s="362" t="str" cm="1">
        <f t="array" ref="G40">IF($F40="","",_xlfn.LET(_xlpm.ov,N(IFERROR(_xlfn.XLOOKUP($B40,Dashboard!$A$101:$A$350,Dashboard!$O$101:$O$350,0),0)),_xlpm.need,MAX(N($F40),_xlpm.ov*N($E40)*IF($C40=3,SQRT(3),1)/1000),IFERROR(INDEX(IF($C40=1,Xfmr1_kVA,Xfmr3_kVA),MATCH(TRUE,IF($C40=1,Xfmr1_kVA,Xfmr3_kVA)&gt;=_xlpm.need,0)),"OVER")))</f>
        <v/>
      </c>
      <c r="H40" s="362" t="str">
        <f t="shared" si="27"/>
        <v/>
      </c>
      <c r="I40" s="168" t="str">
        <f t="shared" si="28"/>
        <v/>
      </c>
      <c r="J40" s="362" t="str">
        <f t="shared" si="29"/>
        <v/>
      </c>
      <c r="K40" s="362" t="str">
        <f t="shared" si="30"/>
        <v/>
      </c>
      <c r="L40" s="362" t="str">
        <f t="shared" si="31"/>
        <v/>
      </c>
      <c r="M40" s="168" t="str" cm="1">
        <f t="array" ref="M40">IF($Z40&lt;&gt;"",$Z40,IFERROR(IF($AJ40="","",INDEX(OCPD_List,MATCH(TRUE,OCPD_List&gt;=1.25*$AJ40,0))),"—"))</f>
        <v/>
      </c>
      <c r="N40" s="168" t="str" cm="1">
        <f t="array" ref="N40">IF($AA40&lt;&gt;"",$AA40,IFERROR(IF($AK40="","",INDEX(OCPD_List,MATCH(TRUE,OCPD_List&gt;=1.25*$AK40,0))),"—"))</f>
        <v/>
      </c>
      <c r="O40" s="171" t="str">
        <f t="shared" si="32"/>
        <v/>
      </c>
      <c r="P40" s="171" t="str">
        <f t="shared" si="33"/>
        <v/>
      </c>
      <c r="Q40" s="78" t="str">
        <f t="shared" si="34"/>
        <v/>
      </c>
      <c r="R40" s="371"/>
      <c r="S40" s="481" t="str">
        <f t="shared" si="35"/>
        <v/>
      </c>
      <c r="T40" s="482" t="str">
        <f t="shared" si="36"/>
        <v/>
      </c>
      <c r="U40" s="482" t="str">
        <f t="shared" si="37"/>
        <v/>
      </c>
      <c r="V40" s="482" t="str">
        <f t="shared" si="38"/>
        <v/>
      </c>
      <c r="W40" s="169"/>
      <c r="X40" s="169"/>
      <c r="Y40" s="169"/>
      <c r="Z40" s="251"/>
      <c r="AA40" s="251"/>
      <c r="AB40" s="483"/>
      <c r="AC40" s="483"/>
      <c r="AD40" s="483"/>
      <c r="AE40" s="483"/>
      <c r="AF40" s="483"/>
      <c r="AG40" s="254" t="str">
        <f t="shared" si="39"/>
        <v/>
      </c>
      <c r="AH40" s="254" t="str">
        <f t="shared" si="40"/>
        <v/>
      </c>
      <c r="AI40" s="254" t="str">
        <f t="shared" si="41"/>
        <v/>
      </c>
      <c r="AJ40" s="254" t="str">
        <f t="shared" si="42"/>
        <v/>
      </c>
      <c r="AK40" s="254" t="str">
        <f t="shared" si="43"/>
        <v/>
      </c>
      <c r="AL40" s="255" t="str" cm="1">
        <f t="array" ref="AL40">IFERROR(IF(INDEX(_xlfn.ANCHORARRAY($BO$4),ROW()-5,2)="","",_xlfn.XLOOKUP(INDEX(_xlfn.ANCHORARRAY($BO$4),ROW()-5,2),'Short Circuit'!$A$6:$A$255,'Short Circuit'!$J$6:$J$255,"")),"")</f>
        <v/>
      </c>
      <c r="AM40" s="254" t="str">
        <f t="shared" si="44"/>
        <v/>
      </c>
      <c r="AN40" s="254" t="str">
        <f t="shared" si="45"/>
        <v/>
      </c>
      <c r="AO40" s="254" t="str">
        <f t="shared" si="46"/>
        <v/>
      </c>
      <c r="AP40" s="255" t="str">
        <f t="shared" si="47"/>
        <v/>
      </c>
      <c r="AQ40" s="255" t="str">
        <f t="shared" si="48"/>
        <v/>
      </c>
      <c r="AR40" s="255" t="str">
        <f t="shared" si="49"/>
        <v/>
      </c>
      <c r="AS40" s="255" t="str" cm="1">
        <f t="array" ref="AS40">IFERROR(IF($AP40="","",INDEX(AIC_List,MATCH(TRUE,AIC_List&gt;=$AP40,0))),"⚠ &gt; 200 kA")</f>
        <v/>
      </c>
      <c r="AT40" s="255" t="str">
        <f t="shared" si="50"/>
        <v/>
      </c>
      <c r="AU40" s="290" t="str" cm="1">
        <f t="array" ref="AU40">IFERROR(IF($AK40="","",INDEX(Ampacity_Size,MATCH(TRUE,Ampacity_Cu&gt;=1.25*$AK40/$AT40,0))),"—")</f>
        <v/>
      </c>
      <c r="AV40" s="290" t="str" cm="1">
        <f t="array" ref="AV40">IF($AU40="","",IFERROR(INDEX(Gec_Cu,MATCH(TRUE,Gec_CM&gt;=INDEX(Ampacity_CM,MATCH($AU40,Ampacity_Size,0))*$AT40,0)),"—"))</f>
        <v/>
      </c>
      <c r="AW40" s="290" t="str" cm="1">
        <f t="array" ref="AW40">IF($AU40="","",IFERROR(IF(INDEX(Ampacity_CM,MATCH($AU40,Ampacity_Size,0))*$AT40&gt;1100000,"12.5% of phase area",INDEX(Gec_Cu,MATCH(TRUE,Gec_CM&gt;=INDEX(Ampacity_CM,MATCH($AU40,Ampacity_Size,0))*$AT40,0))),"—"))</f>
        <v/>
      </c>
      <c r="AX40" s="533" t="str">
        <f t="shared" si="51"/>
        <v/>
      </c>
      <c r="AY40" s="533" t="str">
        <f t="shared" si="52"/>
        <v/>
      </c>
      <c r="AZ40" s="20" t="str">
        <f t="shared" si="53"/>
        <v/>
      </c>
    </row>
    <row r="41" spans="1:52" ht="15" customHeight="1" x14ac:dyDescent="0.35">
      <c r="A41" s="362" t="str" cm="1">
        <f t="array" ref="A41">IFERROR(IF(INDEX(_xlfn.ANCHORARRAY($BO$4),ROW()-5,1)="","","T-"&amp;INDEX(_xlfn.ANCHORARRAY($BO$4),ROW()-5,1)),"")</f>
        <v/>
      </c>
      <c r="B41" s="362" t="str" cm="1">
        <f t="array" ref="B41">IFERROR(IF(INDEX(_xlfn.ANCHORARRAY($BO$4),ROW()-5,1)="","",INDEX(_xlfn.ANCHORARRAY($BO$4),ROW()-5,1)),"")</f>
        <v/>
      </c>
      <c r="C41" s="362" t="str" cm="1">
        <f t="array" ref="C41">IFERROR(INDEX(_xlfn.ANCHORARRAY($BO$4),ROW()-5,5),"")</f>
        <v/>
      </c>
      <c r="D41" s="362" t="str" cm="1">
        <f t="array" ref="D41">IFERROR(INDEX(_xlfn.ANCHORARRAY($BO$4),ROW()-5,3),"")</f>
        <v/>
      </c>
      <c r="E41" s="362" t="str" cm="1">
        <f t="array" ref="E41">IFERROR(INDEX(_xlfn.ANCHORARRAY($BO$4),ROW()-5,4),"")</f>
        <v/>
      </c>
      <c r="F41" s="36" t="str" cm="1">
        <f t="array" ref="F41">IFERROR(INDEX(_xlfn.ANCHORARRAY($BO$4),ROW()-5,6),"")</f>
        <v/>
      </c>
      <c r="G41" s="362" t="str" cm="1">
        <f t="array" ref="G41">IF($F41="","",_xlfn.LET(_xlpm.ov,N(IFERROR(_xlfn.XLOOKUP($B41,Dashboard!$A$101:$A$350,Dashboard!$O$101:$O$350,0),0)),_xlpm.need,MAX(N($F41),_xlpm.ov*N($E41)*IF($C41=3,SQRT(3),1)/1000),IFERROR(INDEX(IF($C41=1,Xfmr1_kVA,Xfmr3_kVA),MATCH(TRUE,IF($C41=1,Xfmr1_kVA,Xfmr3_kVA)&gt;=_xlpm.need,0)),"OVER")))</f>
        <v/>
      </c>
      <c r="H41" s="362" t="str">
        <f t="shared" si="27"/>
        <v/>
      </c>
      <c r="I41" s="168" t="str">
        <f t="shared" si="28"/>
        <v/>
      </c>
      <c r="J41" s="362" t="str">
        <f t="shared" si="29"/>
        <v/>
      </c>
      <c r="K41" s="362" t="str">
        <f t="shared" si="30"/>
        <v/>
      </c>
      <c r="L41" s="362" t="str">
        <f t="shared" si="31"/>
        <v/>
      </c>
      <c r="M41" s="168" t="str" cm="1">
        <f t="array" ref="M41">IF($Z41&lt;&gt;"",$Z41,IFERROR(IF($AJ41="","",INDEX(OCPD_List,MATCH(TRUE,OCPD_List&gt;=1.25*$AJ41,0))),"—"))</f>
        <v/>
      </c>
      <c r="N41" s="168" t="str" cm="1">
        <f t="array" ref="N41">IF($AA41&lt;&gt;"",$AA41,IFERROR(IF($AK41="","",INDEX(OCPD_List,MATCH(TRUE,OCPD_List&gt;=1.25*$AK41,0))),"—"))</f>
        <v/>
      </c>
      <c r="O41" s="171" t="str">
        <f t="shared" si="32"/>
        <v/>
      </c>
      <c r="P41" s="171" t="str">
        <f t="shared" si="33"/>
        <v/>
      </c>
      <c r="Q41" s="78" t="str">
        <f t="shared" si="34"/>
        <v/>
      </c>
      <c r="R41" s="371"/>
      <c r="S41" s="481" t="str">
        <f t="shared" si="35"/>
        <v/>
      </c>
      <c r="T41" s="482" t="str">
        <f t="shared" si="36"/>
        <v/>
      </c>
      <c r="U41" s="482" t="str">
        <f t="shared" si="37"/>
        <v/>
      </c>
      <c r="V41" s="482" t="str">
        <f t="shared" si="38"/>
        <v/>
      </c>
      <c r="W41" s="169"/>
      <c r="X41" s="169"/>
      <c r="Y41" s="169"/>
      <c r="Z41" s="251"/>
      <c r="AA41" s="251"/>
      <c r="AB41" s="483"/>
      <c r="AC41" s="483"/>
      <c r="AD41" s="483"/>
      <c r="AE41" s="483"/>
      <c r="AF41" s="483"/>
      <c r="AG41" s="254" t="str">
        <f t="shared" si="39"/>
        <v/>
      </c>
      <c r="AH41" s="254" t="str">
        <f t="shared" si="40"/>
        <v/>
      </c>
      <c r="AI41" s="254" t="str">
        <f t="shared" si="41"/>
        <v/>
      </c>
      <c r="AJ41" s="254" t="str">
        <f t="shared" si="42"/>
        <v/>
      </c>
      <c r="AK41" s="254" t="str">
        <f t="shared" si="43"/>
        <v/>
      </c>
      <c r="AL41" s="255" t="str" cm="1">
        <f t="array" ref="AL41">IFERROR(IF(INDEX(_xlfn.ANCHORARRAY($BO$4),ROW()-5,2)="","",_xlfn.XLOOKUP(INDEX(_xlfn.ANCHORARRAY($BO$4),ROW()-5,2),'Short Circuit'!$A$6:$A$255,'Short Circuit'!$J$6:$J$255,"")),"")</f>
        <v/>
      </c>
      <c r="AM41" s="254" t="str">
        <f t="shared" si="44"/>
        <v/>
      </c>
      <c r="AN41" s="254" t="str">
        <f t="shared" si="45"/>
        <v/>
      </c>
      <c r="AO41" s="254" t="str">
        <f t="shared" si="46"/>
        <v/>
      </c>
      <c r="AP41" s="255" t="str">
        <f t="shared" si="47"/>
        <v/>
      </c>
      <c r="AQ41" s="255" t="str">
        <f t="shared" si="48"/>
        <v/>
      </c>
      <c r="AR41" s="255" t="str">
        <f t="shared" si="49"/>
        <v/>
      </c>
      <c r="AS41" s="255" t="str" cm="1">
        <f t="array" ref="AS41">IFERROR(IF($AP41="","",INDEX(AIC_List,MATCH(TRUE,AIC_List&gt;=$AP41,0))),"⚠ &gt; 200 kA")</f>
        <v/>
      </c>
      <c r="AT41" s="255" t="str">
        <f t="shared" si="50"/>
        <v/>
      </c>
      <c r="AU41" s="290" t="str" cm="1">
        <f t="array" ref="AU41">IFERROR(IF($AK41="","",INDEX(Ampacity_Size,MATCH(TRUE,Ampacity_Cu&gt;=1.25*$AK41/$AT41,0))),"—")</f>
        <v/>
      </c>
      <c r="AV41" s="290" t="str" cm="1">
        <f t="array" ref="AV41">IF($AU41="","",IFERROR(INDEX(Gec_Cu,MATCH(TRUE,Gec_CM&gt;=INDEX(Ampacity_CM,MATCH($AU41,Ampacity_Size,0))*$AT41,0)),"—"))</f>
        <v/>
      </c>
      <c r="AW41" s="290" t="str" cm="1">
        <f t="array" ref="AW41">IF($AU41="","",IFERROR(IF(INDEX(Ampacity_CM,MATCH($AU41,Ampacity_Size,0))*$AT41&gt;1100000,"12.5% of phase area",INDEX(Gec_Cu,MATCH(TRUE,Gec_CM&gt;=INDEX(Ampacity_CM,MATCH($AU41,Ampacity_Size,0))*$AT41,0))),"—"))</f>
        <v/>
      </c>
      <c r="AX41" s="533" t="str">
        <f t="shared" si="51"/>
        <v/>
      </c>
      <c r="AY41" s="533" t="str">
        <f t="shared" si="52"/>
        <v/>
      </c>
      <c r="AZ41" s="20" t="str">
        <f t="shared" si="53"/>
        <v/>
      </c>
    </row>
    <row r="42" spans="1:52" ht="15" customHeight="1" x14ac:dyDescent="0.35">
      <c r="A42" s="362" t="str" cm="1">
        <f t="array" ref="A42">IFERROR(IF(INDEX(_xlfn.ANCHORARRAY($BO$4),ROW()-5,1)="","","T-"&amp;INDEX(_xlfn.ANCHORARRAY($BO$4),ROW()-5,1)),"")</f>
        <v/>
      </c>
      <c r="B42" s="362" t="str" cm="1">
        <f t="array" ref="B42">IFERROR(IF(INDEX(_xlfn.ANCHORARRAY($BO$4),ROW()-5,1)="","",INDEX(_xlfn.ANCHORARRAY($BO$4),ROW()-5,1)),"")</f>
        <v/>
      </c>
      <c r="C42" s="362" t="str" cm="1">
        <f t="array" ref="C42">IFERROR(INDEX(_xlfn.ANCHORARRAY($BO$4),ROW()-5,5),"")</f>
        <v/>
      </c>
      <c r="D42" s="362" t="str" cm="1">
        <f t="array" ref="D42">IFERROR(INDEX(_xlfn.ANCHORARRAY($BO$4),ROW()-5,3),"")</f>
        <v/>
      </c>
      <c r="E42" s="362" t="str" cm="1">
        <f t="array" ref="E42">IFERROR(INDEX(_xlfn.ANCHORARRAY($BO$4),ROW()-5,4),"")</f>
        <v/>
      </c>
      <c r="F42" s="36" t="str" cm="1">
        <f t="array" ref="F42">IFERROR(INDEX(_xlfn.ANCHORARRAY($BO$4),ROW()-5,6),"")</f>
        <v/>
      </c>
      <c r="G42" s="362" t="str" cm="1">
        <f t="array" ref="G42">IF($F42="","",_xlfn.LET(_xlpm.ov,N(IFERROR(_xlfn.XLOOKUP($B42,Dashboard!$A$101:$A$350,Dashboard!$O$101:$O$350,0),0)),_xlpm.need,MAX(N($F42),_xlpm.ov*N($E42)*IF($C42=3,SQRT(3),1)/1000),IFERROR(INDEX(IF($C42=1,Xfmr1_kVA,Xfmr3_kVA),MATCH(TRUE,IF($C42=1,Xfmr1_kVA,Xfmr3_kVA)&gt;=_xlpm.need,0)),"OVER")))</f>
        <v/>
      </c>
      <c r="H42" s="362" t="str">
        <f t="shared" si="27"/>
        <v/>
      </c>
      <c r="I42" s="168" t="str">
        <f t="shared" si="28"/>
        <v/>
      </c>
      <c r="J42" s="362" t="str">
        <f t="shared" si="29"/>
        <v/>
      </c>
      <c r="K42" s="362" t="str">
        <f t="shared" si="30"/>
        <v/>
      </c>
      <c r="L42" s="362" t="str">
        <f t="shared" si="31"/>
        <v/>
      </c>
      <c r="M42" s="168" t="str" cm="1">
        <f t="array" ref="M42">IF($Z42&lt;&gt;"",$Z42,IFERROR(IF($AJ42="","",INDEX(OCPD_List,MATCH(TRUE,OCPD_List&gt;=1.25*$AJ42,0))),"—"))</f>
        <v/>
      </c>
      <c r="N42" s="168" t="str" cm="1">
        <f t="array" ref="N42">IF($AA42&lt;&gt;"",$AA42,IFERROR(IF($AK42="","",INDEX(OCPD_List,MATCH(TRUE,OCPD_List&gt;=1.25*$AK42,0))),"—"))</f>
        <v/>
      </c>
      <c r="O42" s="171" t="str">
        <f t="shared" si="32"/>
        <v/>
      </c>
      <c r="P42" s="171" t="str">
        <f t="shared" si="33"/>
        <v/>
      </c>
      <c r="Q42" s="78" t="str">
        <f t="shared" si="34"/>
        <v/>
      </c>
      <c r="R42" s="371"/>
      <c r="S42" s="481" t="str">
        <f t="shared" si="35"/>
        <v/>
      </c>
      <c r="T42" s="482" t="str">
        <f t="shared" si="36"/>
        <v/>
      </c>
      <c r="U42" s="482" t="str">
        <f t="shared" si="37"/>
        <v/>
      </c>
      <c r="V42" s="482" t="str">
        <f t="shared" si="38"/>
        <v/>
      </c>
      <c r="W42" s="169"/>
      <c r="X42" s="169"/>
      <c r="Y42" s="169"/>
      <c r="Z42" s="251"/>
      <c r="AA42" s="251"/>
      <c r="AB42" s="483"/>
      <c r="AC42" s="483"/>
      <c r="AD42" s="483"/>
      <c r="AE42" s="483"/>
      <c r="AF42" s="483"/>
      <c r="AG42" s="254" t="str">
        <f t="shared" si="39"/>
        <v/>
      </c>
      <c r="AH42" s="254" t="str">
        <f t="shared" si="40"/>
        <v/>
      </c>
      <c r="AI42" s="254" t="str">
        <f t="shared" si="41"/>
        <v/>
      </c>
      <c r="AJ42" s="254" t="str">
        <f t="shared" si="42"/>
        <v/>
      </c>
      <c r="AK42" s="254" t="str">
        <f t="shared" si="43"/>
        <v/>
      </c>
      <c r="AL42" s="255" t="str" cm="1">
        <f t="array" ref="AL42">IFERROR(IF(INDEX(_xlfn.ANCHORARRAY($BO$4),ROW()-5,2)="","",_xlfn.XLOOKUP(INDEX(_xlfn.ANCHORARRAY($BO$4),ROW()-5,2),'Short Circuit'!$A$6:$A$255,'Short Circuit'!$J$6:$J$255,"")),"")</f>
        <v/>
      </c>
      <c r="AM42" s="254" t="str">
        <f t="shared" si="44"/>
        <v/>
      </c>
      <c r="AN42" s="254" t="str">
        <f t="shared" si="45"/>
        <v/>
      </c>
      <c r="AO42" s="254" t="str">
        <f t="shared" si="46"/>
        <v/>
      </c>
      <c r="AP42" s="255" t="str">
        <f t="shared" si="47"/>
        <v/>
      </c>
      <c r="AQ42" s="255" t="str">
        <f t="shared" si="48"/>
        <v/>
      </c>
      <c r="AR42" s="255" t="str">
        <f t="shared" si="49"/>
        <v/>
      </c>
      <c r="AS42" s="255" t="str" cm="1">
        <f t="array" ref="AS42">IFERROR(IF($AP42="","",INDEX(AIC_List,MATCH(TRUE,AIC_List&gt;=$AP42,0))),"⚠ &gt; 200 kA")</f>
        <v/>
      </c>
      <c r="AT42" s="255" t="str">
        <f t="shared" si="50"/>
        <v/>
      </c>
      <c r="AU42" s="290" t="str" cm="1">
        <f t="array" ref="AU42">IFERROR(IF($AK42="","",INDEX(Ampacity_Size,MATCH(TRUE,Ampacity_Cu&gt;=1.25*$AK42/$AT42,0))),"—")</f>
        <v/>
      </c>
      <c r="AV42" s="290" t="str" cm="1">
        <f t="array" ref="AV42">IF($AU42="","",IFERROR(INDEX(Gec_Cu,MATCH(TRUE,Gec_CM&gt;=INDEX(Ampacity_CM,MATCH($AU42,Ampacity_Size,0))*$AT42,0)),"—"))</f>
        <v/>
      </c>
      <c r="AW42" s="290" t="str" cm="1">
        <f t="array" ref="AW42">IF($AU42="","",IFERROR(IF(INDEX(Ampacity_CM,MATCH($AU42,Ampacity_Size,0))*$AT42&gt;1100000,"12.5% of phase area",INDEX(Gec_Cu,MATCH(TRUE,Gec_CM&gt;=INDEX(Ampacity_CM,MATCH($AU42,Ampacity_Size,0))*$AT42,0))),"—"))</f>
        <v/>
      </c>
      <c r="AX42" s="533" t="str">
        <f t="shared" si="51"/>
        <v/>
      </c>
      <c r="AY42" s="533" t="str">
        <f t="shared" si="52"/>
        <v/>
      </c>
      <c r="AZ42" s="20" t="str">
        <f t="shared" si="53"/>
        <v/>
      </c>
    </row>
    <row r="43" spans="1:52" ht="15" customHeight="1" x14ac:dyDescent="0.35">
      <c r="A43" s="362" t="str" cm="1">
        <f t="array" ref="A43">IFERROR(IF(INDEX(_xlfn.ANCHORARRAY($BO$4),ROW()-5,1)="","","T-"&amp;INDEX(_xlfn.ANCHORARRAY($BO$4),ROW()-5,1)),"")</f>
        <v/>
      </c>
      <c r="B43" s="362" t="str" cm="1">
        <f t="array" ref="B43">IFERROR(IF(INDEX(_xlfn.ANCHORARRAY($BO$4),ROW()-5,1)="","",INDEX(_xlfn.ANCHORARRAY($BO$4),ROW()-5,1)),"")</f>
        <v/>
      </c>
      <c r="C43" s="362" t="str" cm="1">
        <f t="array" ref="C43">IFERROR(INDEX(_xlfn.ANCHORARRAY($BO$4),ROW()-5,5),"")</f>
        <v/>
      </c>
      <c r="D43" s="362" t="str" cm="1">
        <f t="array" ref="D43">IFERROR(INDEX(_xlfn.ANCHORARRAY($BO$4),ROW()-5,3),"")</f>
        <v/>
      </c>
      <c r="E43" s="362" t="str" cm="1">
        <f t="array" ref="E43">IFERROR(INDEX(_xlfn.ANCHORARRAY($BO$4),ROW()-5,4),"")</f>
        <v/>
      </c>
      <c r="F43" s="36" t="str" cm="1">
        <f t="array" ref="F43">IFERROR(INDEX(_xlfn.ANCHORARRAY($BO$4),ROW()-5,6),"")</f>
        <v/>
      </c>
      <c r="G43" s="362" t="str" cm="1">
        <f t="array" ref="G43">IF($F43="","",_xlfn.LET(_xlpm.ov,N(IFERROR(_xlfn.XLOOKUP($B43,Dashboard!$A$101:$A$350,Dashboard!$O$101:$O$350,0),0)),_xlpm.need,MAX(N($F43),_xlpm.ov*N($E43)*IF($C43=3,SQRT(3),1)/1000),IFERROR(INDEX(IF($C43=1,Xfmr1_kVA,Xfmr3_kVA),MATCH(TRUE,IF($C43=1,Xfmr1_kVA,Xfmr3_kVA)&gt;=_xlpm.need,0)),"OVER")))</f>
        <v/>
      </c>
      <c r="H43" s="362" t="str">
        <f t="shared" si="27"/>
        <v/>
      </c>
      <c r="I43" s="168" t="str">
        <f t="shared" si="28"/>
        <v/>
      </c>
      <c r="J43" s="362" t="str">
        <f t="shared" si="29"/>
        <v/>
      </c>
      <c r="K43" s="362" t="str">
        <f t="shared" si="30"/>
        <v/>
      </c>
      <c r="L43" s="362" t="str">
        <f t="shared" si="31"/>
        <v/>
      </c>
      <c r="M43" s="168" t="str" cm="1">
        <f t="array" ref="M43">IF($Z43&lt;&gt;"",$Z43,IFERROR(IF($AJ43="","",INDEX(OCPD_List,MATCH(TRUE,OCPD_List&gt;=1.25*$AJ43,0))),"—"))</f>
        <v/>
      </c>
      <c r="N43" s="168" t="str" cm="1">
        <f t="array" ref="N43">IF($AA43&lt;&gt;"",$AA43,IFERROR(IF($AK43="","",INDEX(OCPD_List,MATCH(TRUE,OCPD_List&gt;=1.25*$AK43,0))),"—"))</f>
        <v/>
      </c>
      <c r="O43" s="171" t="str">
        <f t="shared" si="32"/>
        <v/>
      </c>
      <c r="P43" s="171" t="str">
        <f t="shared" si="33"/>
        <v/>
      </c>
      <c r="Q43" s="78" t="str">
        <f t="shared" si="34"/>
        <v/>
      </c>
      <c r="R43" s="371"/>
      <c r="S43" s="481" t="str">
        <f t="shared" si="35"/>
        <v/>
      </c>
      <c r="T43" s="482" t="str">
        <f t="shared" si="36"/>
        <v/>
      </c>
      <c r="U43" s="482" t="str">
        <f t="shared" si="37"/>
        <v/>
      </c>
      <c r="V43" s="482" t="str">
        <f t="shared" si="38"/>
        <v/>
      </c>
      <c r="W43" s="169"/>
      <c r="X43" s="169"/>
      <c r="Y43" s="169"/>
      <c r="Z43" s="251"/>
      <c r="AA43" s="251"/>
      <c r="AB43" s="483"/>
      <c r="AC43" s="483"/>
      <c r="AD43" s="483"/>
      <c r="AE43" s="483"/>
      <c r="AF43" s="483"/>
      <c r="AG43" s="254" t="str">
        <f t="shared" si="39"/>
        <v/>
      </c>
      <c r="AH43" s="254" t="str">
        <f t="shared" si="40"/>
        <v/>
      </c>
      <c r="AI43" s="254" t="str">
        <f t="shared" si="41"/>
        <v/>
      </c>
      <c r="AJ43" s="254" t="str">
        <f t="shared" si="42"/>
        <v/>
      </c>
      <c r="AK43" s="254" t="str">
        <f t="shared" si="43"/>
        <v/>
      </c>
      <c r="AL43" s="255" t="str" cm="1">
        <f t="array" ref="AL43">IFERROR(IF(INDEX(_xlfn.ANCHORARRAY($BO$4),ROW()-5,2)="","",_xlfn.XLOOKUP(INDEX(_xlfn.ANCHORARRAY($BO$4),ROW()-5,2),'Short Circuit'!$A$6:$A$255,'Short Circuit'!$J$6:$J$255,"")),"")</f>
        <v/>
      </c>
      <c r="AM43" s="254" t="str">
        <f t="shared" si="44"/>
        <v/>
      </c>
      <c r="AN43" s="254" t="str">
        <f t="shared" si="45"/>
        <v/>
      </c>
      <c r="AO43" s="254" t="str">
        <f t="shared" si="46"/>
        <v/>
      </c>
      <c r="AP43" s="255" t="str">
        <f t="shared" si="47"/>
        <v/>
      </c>
      <c r="AQ43" s="255" t="str">
        <f t="shared" si="48"/>
        <v/>
      </c>
      <c r="AR43" s="255" t="str">
        <f t="shared" si="49"/>
        <v/>
      </c>
      <c r="AS43" s="255" t="str" cm="1">
        <f t="array" ref="AS43">IFERROR(IF($AP43="","",INDEX(AIC_List,MATCH(TRUE,AIC_List&gt;=$AP43,0))),"⚠ &gt; 200 kA")</f>
        <v/>
      </c>
      <c r="AT43" s="255" t="str">
        <f t="shared" si="50"/>
        <v/>
      </c>
      <c r="AU43" s="290" t="str" cm="1">
        <f t="array" ref="AU43">IFERROR(IF($AK43="","",INDEX(Ampacity_Size,MATCH(TRUE,Ampacity_Cu&gt;=1.25*$AK43/$AT43,0))),"—")</f>
        <v/>
      </c>
      <c r="AV43" s="290" t="str" cm="1">
        <f t="array" ref="AV43">IF($AU43="","",IFERROR(INDEX(Gec_Cu,MATCH(TRUE,Gec_CM&gt;=INDEX(Ampacity_CM,MATCH($AU43,Ampacity_Size,0))*$AT43,0)),"—"))</f>
        <v/>
      </c>
      <c r="AW43" s="290" t="str" cm="1">
        <f t="array" ref="AW43">IF($AU43="","",IFERROR(IF(INDEX(Ampacity_CM,MATCH($AU43,Ampacity_Size,0))*$AT43&gt;1100000,"12.5% of phase area",INDEX(Gec_Cu,MATCH(TRUE,Gec_CM&gt;=INDEX(Ampacity_CM,MATCH($AU43,Ampacity_Size,0))*$AT43,0))),"—"))</f>
        <v/>
      </c>
      <c r="AX43" s="533" t="str">
        <f t="shared" si="51"/>
        <v/>
      </c>
      <c r="AY43" s="533" t="str">
        <f t="shared" si="52"/>
        <v/>
      </c>
      <c r="AZ43" s="20" t="str">
        <f t="shared" si="53"/>
        <v/>
      </c>
    </row>
    <row r="44" spans="1:52" ht="15" customHeight="1" x14ac:dyDescent="0.35">
      <c r="A44" s="362" t="str" cm="1">
        <f t="array" ref="A44">IFERROR(IF(INDEX(_xlfn.ANCHORARRAY($BO$4),ROW()-5,1)="","","T-"&amp;INDEX(_xlfn.ANCHORARRAY($BO$4),ROW()-5,1)),"")</f>
        <v/>
      </c>
      <c r="B44" s="362" t="str" cm="1">
        <f t="array" ref="B44">IFERROR(IF(INDEX(_xlfn.ANCHORARRAY($BO$4),ROW()-5,1)="","",INDEX(_xlfn.ANCHORARRAY($BO$4),ROW()-5,1)),"")</f>
        <v/>
      </c>
      <c r="C44" s="362" t="str" cm="1">
        <f t="array" ref="C44">IFERROR(INDEX(_xlfn.ANCHORARRAY($BO$4),ROW()-5,5),"")</f>
        <v/>
      </c>
      <c r="D44" s="362" t="str" cm="1">
        <f t="array" ref="D44">IFERROR(INDEX(_xlfn.ANCHORARRAY($BO$4),ROW()-5,3),"")</f>
        <v/>
      </c>
      <c r="E44" s="362" t="str" cm="1">
        <f t="array" ref="E44">IFERROR(INDEX(_xlfn.ANCHORARRAY($BO$4),ROW()-5,4),"")</f>
        <v/>
      </c>
      <c r="F44" s="36" t="str" cm="1">
        <f t="array" ref="F44">IFERROR(INDEX(_xlfn.ANCHORARRAY($BO$4),ROW()-5,6),"")</f>
        <v/>
      </c>
      <c r="G44" s="362" t="str" cm="1">
        <f t="array" ref="G44">IF($F44="","",_xlfn.LET(_xlpm.ov,N(IFERROR(_xlfn.XLOOKUP($B44,Dashboard!$A$101:$A$350,Dashboard!$O$101:$O$350,0),0)),_xlpm.need,MAX(N($F44),_xlpm.ov*N($E44)*IF($C44=3,SQRT(3),1)/1000),IFERROR(INDEX(IF($C44=1,Xfmr1_kVA,Xfmr3_kVA),MATCH(TRUE,IF($C44=1,Xfmr1_kVA,Xfmr3_kVA)&gt;=_xlpm.need,0)),"OVER")))</f>
        <v/>
      </c>
      <c r="H44" s="362" t="str">
        <f t="shared" si="27"/>
        <v/>
      </c>
      <c r="I44" s="168" t="str">
        <f t="shared" si="28"/>
        <v/>
      </c>
      <c r="J44" s="362" t="str">
        <f t="shared" si="29"/>
        <v/>
      </c>
      <c r="K44" s="362" t="str">
        <f t="shared" si="30"/>
        <v/>
      </c>
      <c r="L44" s="362" t="str">
        <f t="shared" si="31"/>
        <v/>
      </c>
      <c r="M44" s="168" t="str" cm="1">
        <f t="array" ref="M44">IF($Z44&lt;&gt;"",$Z44,IFERROR(IF($AJ44="","",INDEX(OCPD_List,MATCH(TRUE,OCPD_List&gt;=1.25*$AJ44,0))),"—"))</f>
        <v/>
      </c>
      <c r="N44" s="168" t="str" cm="1">
        <f t="array" ref="N44">IF($AA44&lt;&gt;"",$AA44,IFERROR(IF($AK44="","",INDEX(OCPD_List,MATCH(TRUE,OCPD_List&gt;=1.25*$AK44,0))),"—"))</f>
        <v/>
      </c>
      <c r="O44" s="171" t="str">
        <f t="shared" si="32"/>
        <v/>
      </c>
      <c r="P44" s="171" t="str">
        <f t="shared" si="33"/>
        <v/>
      </c>
      <c r="Q44" s="78" t="str">
        <f t="shared" si="34"/>
        <v/>
      </c>
      <c r="R44" s="371"/>
      <c r="S44" s="481" t="str">
        <f t="shared" si="35"/>
        <v/>
      </c>
      <c r="T44" s="482" t="str">
        <f t="shared" si="36"/>
        <v/>
      </c>
      <c r="U44" s="482" t="str">
        <f t="shared" si="37"/>
        <v/>
      </c>
      <c r="V44" s="482" t="str">
        <f t="shared" si="38"/>
        <v/>
      </c>
      <c r="W44" s="169"/>
      <c r="X44" s="169"/>
      <c r="Y44" s="169"/>
      <c r="Z44" s="251"/>
      <c r="AA44" s="251"/>
      <c r="AB44" s="483"/>
      <c r="AC44" s="483"/>
      <c r="AD44" s="483"/>
      <c r="AE44" s="483"/>
      <c r="AF44" s="483"/>
      <c r="AG44" s="254" t="str">
        <f t="shared" si="39"/>
        <v/>
      </c>
      <c r="AH44" s="254" t="str">
        <f t="shared" si="40"/>
        <v/>
      </c>
      <c r="AI44" s="254" t="str">
        <f t="shared" si="41"/>
        <v/>
      </c>
      <c r="AJ44" s="254" t="str">
        <f t="shared" si="42"/>
        <v/>
      </c>
      <c r="AK44" s="254" t="str">
        <f t="shared" si="43"/>
        <v/>
      </c>
      <c r="AL44" s="255" t="str" cm="1">
        <f t="array" ref="AL44">IFERROR(IF(INDEX(_xlfn.ANCHORARRAY($BO$4),ROW()-5,2)="","",_xlfn.XLOOKUP(INDEX(_xlfn.ANCHORARRAY($BO$4),ROW()-5,2),'Short Circuit'!$A$6:$A$255,'Short Circuit'!$J$6:$J$255,"")),"")</f>
        <v/>
      </c>
      <c r="AM44" s="254" t="str">
        <f t="shared" si="44"/>
        <v/>
      </c>
      <c r="AN44" s="254" t="str">
        <f t="shared" si="45"/>
        <v/>
      </c>
      <c r="AO44" s="254" t="str">
        <f t="shared" si="46"/>
        <v/>
      </c>
      <c r="AP44" s="255" t="str">
        <f t="shared" si="47"/>
        <v/>
      </c>
      <c r="AQ44" s="255" t="str">
        <f t="shared" si="48"/>
        <v/>
      </c>
      <c r="AR44" s="255" t="str">
        <f t="shared" si="49"/>
        <v/>
      </c>
      <c r="AS44" s="255" t="str" cm="1">
        <f t="array" ref="AS44">IFERROR(IF($AP44="","",INDEX(AIC_List,MATCH(TRUE,AIC_List&gt;=$AP44,0))),"⚠ &gt; 200 kA")</f>
        <v/>
      </c>
      <c r="AT44" s="255" t="str">
        <f t="shared" si="50"/>
        <v/>
      </c>
      <c r="AU44" s="290" t="str" cm="1">
        <f t="array" ref="AU44">IFERROR(IF($AK44="","",INDEX(Ampacity_Size,MATCH(TRUE,Ampacity_Cu&gt;=1.25*$AK44/$AT44,0))),"—")</f>
        <v/>
      </c>
      <c r="AV44" s="290" t="str" cm="1">
        <f t="array" ref="AV44">IF($AU44="","",IFERROR(INDEX(Gec_Cu,MATCH(TRUE,Gec_CM&gt;=INDEX(Ampacity_CM,MATCH($AU44,Ampacity_Size,0))*$AT44,0)),"—"))</f>
        <v/>
      </c>
      <c r="AW44" s="290" t="str" cm="1">
        <f t="array" ref="AW44">IF($AU44="","",IFERROR(IF(INDEX(Ampacity_CM,MATCH($AU44,Ampacity_Size,0))*$AT44&gt;1100000,"12.5% of phase area",INDEX(Gec_Cu,MATCH(TRUE,Gec_CM&gt;=INDEX(Ampacity_CM,MATCH($AU44,Ampacity_Size,0))*$AT44,0))),"—"))</f>
        <v/>
      </c>
      <c r="AX44" s="533" t="str">
        <f t="shared" si="51"/>
        <v/>
      </c>
      <c r="AY44" s="533" t="str">
        <f t="shared" si="52"/>
        <v/>
      </c>
      <c r="AZ44" s="20" t="str">
        <f t="shared" si="53"/>
        <v/>
      </c>
    </row>
    <row r="45" spans="1:52" ht="15" customHeight="1" x14ac:dyDescent="0.35">
      <c r="A45" s="362" t="str" cm="1">
        <f t="array" ref="A45">IFERROR(IF(INDEX(_xlfn.ANCHORARRAY($BO$4),ROW()-5,1)="","","T-"&amp;INDEX(_xlfn.ANCHORARRAY($BO$4),ROW()-5,1)),"")</f>
        <v/>
      </c>
      <c r="B45" s="362" t="str" cm="1">
        <f t="array" ref="B45">IFERROR(IF(INDEX(_xlfn.ANCHORARRAY($BO$4),ROW()-5,1)="","",INDEX(_xlfn.ANCHORARRAY($BO$4),ROW()-5,1)),"")</f>
        <v/>
      </c>
      <c r="C45" s="362" t="str" cm="1">
        <f t="array" ref="C45">IFERROR(INDEX(_xlfn.ANCHORARRAY($BO$4),ROW()-5,5),"")</f>
        <v/>
      </c>
      <c r="D45" s="362" t="str" cm="1">
        <f t="array" ref="D45">IFERROR(INDEX(_xlfn.ANCHORARRAY($BO$4),ROW()-5,3),"")</f>
        <v/>
      </c>
      <c r="E45" s="362" t="str" cm="1">
        <f t="array" ref="E45">IFERROR(INDEX(_xlfn.ANCHORARRAY($BO$4),ROW()-5,4),"")</f>
        <v/>
      </c>
      <c r="F45" s="36" t="str" cm="1">
        <f t="array" ref="F45">IFERROR(INDEX(_xlfn.ANCHORARRAY($BO$4),ROW()-5,6),"")</f>
        <v/>
      </c>
      <c r="G45" s="362" t="str" cm="1">
        <f t="array" ref="G45">IF($F45="","",_xlfn.LET(_xlpm.ov,N(IFERROR(_xlfn.XLOOKUP($B45,Dashboard!$A$101:$A$350,Dashboard!$O$101:$O$350,0),0)),_xlpm.need,MAX(N($F45),_xlpm.ov*N($E45)*IF($C45=3,SQRT(3),1)/1000),IFERROR(INDEX(IF($C45=1,Xfmr1_kVA,Xfmr3_kVA),MATCH(TRUE,IF($C45=1,Xfmr1_kVA,Xfmr3_kVA)&gt;=_xlpm.need,0)),"OVER")))</f>
        <v/>
      </c>
      <c r="H45" s="362" t="str">
        <f t="shared" si="27"/>
        <v/>
      </c>
      <c r="I45" s="168" t="str">
        <f t="shared" si="28"/>
        <v/>
      </c>
      <c r="J45" s="362" t="str">
        <f t="shared" si="29"/>
        <v/>
      </c>
      <c r="K45" s="362" t="str">
        <f t="shared" si="30"/>
        <v/>
      </c>
      <c r="L45" s="362" t="str">
        <f t="shared" si="31"/>
        <v/>
      </c>
      <c r="M45" s="168" t="str" cm="1">
        <f t="array" ref="M45">IF($Z45&lt;&gt;"",$Z45,IFERROR(IF($AJ45="","",INDEX(OCPD_List,MATCH(TRUE,OCPD_List&gt;=1.25*$AJ45,0))),"—"))</f>
        <v/>
      </c>
      <c r="N45" s="168" t="str" cm="1">
        <f t="array" ref="N45">IF($AA45&lt;&gt;"",$AA45,IFERROR(IF($AK45="","",INDEX(OCPD_List,MATCH(TRUE,OCPD_List&gt;=1.25*$AK45,0))),"—"))</f>
        <v/>
      </c>
      <c r="O45" s="171" t="str">
        <f t="shared" si="32"/>
        <v/>
      </c>
      <c r="P45" s="171" t="str">
        <f t="shared" si="33"/>
        <v/>
      </c>
      <c r="Q45" s="78" t="str">
        <f t="shared" si="34"/>
        <v/>
      </c>
      <c r="R45" s="371"/>
      <c r="S45" s="481" t="str">
        <f t="shared" si="35"/>
        <v/>
      </c>
      <c r="T45" s="482" t="str">
        <f t="shared" si="36"/>
        <v/>
      </c>
      <c r="U45" s="482" t="str">
        <f t="shared" si="37"/>
        <v/>
      </c>
      <c r="V45" s="482" t="str">
        <f t="shared" si="38"/>
        <v/>
      </c>
      <c r="W45" s="169"/>
      <c r="X45" s="169"/>
      <c r="Y45" s="169"/>
      <c r="Z45" s="251"/>
      <c r="AA45" s="251"/>
      <c r="AB45" s="483"/>
      <c r="AC45" s="483"/>
      <c r="AD45" s="483"/>
      <c r="AE45" s="483"/>
      <c r="AF45" s="483"/>
      <c r="AG45" s="254" t="str">
        <f t="shared" si="39"/>
        <v/>
      </c>
      <c r="AH45" s="254" t="str">
        <f t="shared" si="40"/>
        <v/>
      </c>
      <c r="AI45" s="254" t="str">
        <f t="shared" si="41"/>
        <v/>
      </c>
      <c r="AJ45" s="254" t="str">
        <f t="shared" si="42"/>
        <v/>
      </c>
      <c r="AK45" s="254" t="str">
        <f t="shared" si="43"/>
        <v/>
      </c>
      <c r="AL45" s="255" t="str" cm="1">
        <f t="array" ref="AL45">IFERROR(IF(INDEX(_xlfn.ANCHORARRAY($BO$4),ROW()-5,2)="","",_xlfn.XLOOKUP(INDEX(_xlfn.ANCHORARRAY($BO$4),ROW()-5,2),'Short Circuit'!$A$6:$A$255,'Short Circuit'!$J$6:$J$255,"")),"")</f>
        <v/>
      </c>
      <c r="AM45" s="254" t="str">
        <f t="shared" si="44"/>
        <v/>
      </c>
      <c r="AN45" s="254" t="str">
        <f t="shared" si="45"/>
        <v/>
      </c>
      <c r="AO45" s="254" t="str">
        <f t="shared" si="46"/>
        <v/>
      </c>
      <c r="AP45" s="255" t="str">
        <f t="shared" si="47"/>
        <v/>
      </c>
      <c r="AQ45" s="255" t="str">
        <f t="shared" si="48"/>
        <v/>
      </c>
      <c r="AR45" s="255" t="str">
        <f t="shared" si="49"/>
        <v/>
      </c>
      <c r="AS45" s="255" t="str" cm="1">
        <f t="array" ref="AS45">IFERROR(IF($AP45="","",INDEX(AIC_List,MATCH(TRUE,AIC_List&gt;=$AP45,0))),"⚠ &gt; 200 kA")</f>
        <v/>
      </c>
      <c r="AT45" s="255" t="str">
        <f t="shared" si="50"/>
        <v/>
      </c>
      <c r="AU45" s="290" t="str" cm="1">
        <f t="array" ref="AU45">IFERROR(IF($AK45="","",INDEX(Ampacity_Size,MATCH(TRUE,Ampacity_Cu&gt;=1.25*$AK45/$AT45,0))),"—")</f>
        <v/>
      </c>
      <c r="AV45" s="290" t="str" cm="1">
        <f t="array" ref="AV45">IF($AU45="","",IFERROR(INDEX(Gec_Cu,MATCH(TRUE,Gec_CM&gt;=INDEX(Ampacity_CM,MATCH($AU45,Ampacity_Size,0))*$AT45,0)),"—"))</f>
        <v/>
      </c>
      <c r="AW45" s="290" t="str" cm="1">
        <f t="array" ref="AW45">IF($AU45="","",IFERROR(IF(INDEX(Ampacity_CM,MATCH($AU45,Ampacity_Size,0))*$AT45&gt;1100000,"12.5% of phase area",INDEX(Gec_Cu,MATCH(TRUE,Gec_CM&gt;=INDEX(Ampacity_CM,MATCH($AU45,Ampacity_Size,0))*$AT45,0))),"—"))</f>
        <v/>
      </c>
      <c r="AX45" s="533" t="str">
        <f t="shared" si="51"/>
        <v/>
      </c>
      <c r="AY45" s="533" t="str">
        <f t="shared" si="52"/>
        <v/>
      </c>
      <c r="AZ45" s="20" t="str">
        <f t="shared" si="53"/>
        <v/>
      </c>
    </row>
    <row r="46" spans="1:52" ht="15" customHeight="1" x14ac:dyDescent="0.35">
      <c r="A46" s="362" t="str" cm="1">
        <f t="array" ref="A46">IFERROR(IF(INDEX(_xlfn.ANCHORARRAY($BO$4),ROW()-5,1)="","","T-"&amp;INDEX(_xlfn.ANCHORARRAY($BO$4),ROW()-5,1)),"")</f>
        <v/>
      </c>
      <c r="B46" s="362" t="str" cm="1">
        <f t="array" ref="B46">IFERROR(IF(INDEX(_xlfn.ANCHORARRAY($BO$4),ROW()-5,1)="","",INDEX(_xlfn.ANCHORARRAY($BO$4),ROW()-5,1)),"")</f>
        <v/>
      </c>
      <c r="C46" s="362" t="str" cm="1">
        <f t="array" ref="C46">IFERROR(INDEX(_xlfn.ANCHORARRAY($BO$4),ROW()-5,5),"")</f>
        <v/>
      </c>
      <c r="D46" s="362" t="str" cm="1">
        <f t="array" ref="D46">IFERROR(INDEX(_xlfn.ANCHORARRAY($BO$4),ROW()-5,3),"")</f>
        <v/>
      </c>
      <c r="E46" s="362" t="str" cm="1">
        <f t="array" ref="E46">IFERROR(INDEX(_xlfn.ANCHORARRAY($BO$4),ROW()-5,4),"")</f>
        <v/>
      </c>
      <c r="F46" s="36" t="str" cm="1">
        <f t="array" ref="F46">IFERROR(INDEX(_xlfn.ANCHORARRAY($BO$4),ROW()-5,6),"")</f>
        <v/>
      </c>
      <c r="G46" s="362" t="str" cm="1">
        <f t="array" ref="G46">IF($F46="","",_xlfn.LET(_xlpm.ov,N(IFERROR(_xlfn.XLOOKUP($B46,Dashboard!$A$101:$A$350,Dashboard!$O$101:$O$350,0),0)),_xlpm.need,MAX(N($F46),_xlpm.ov*N($E46)*IF($C46=3,SQRT(3),1)/1000),IFERROR(INDEX(IF($C46=1,Xfmr1_kVA,Xfmr3_kVA),MATCH(TRUE,IF($C46=1,Xfmr1_kVA,Xfmr3_kVA)&gt;=_xlpm.need,0)),"OVER")))</f>
        <v/>
      </c>
      <c r="H46" s="362" t="str">
        <f t="shared" si="27"/>
        <v/>
      </c>
      <c r="I46" s="168" t="str">
        <f t="shared" si="28"/>
        <v/>
      </c>
      <c r="J46" s="362" t="str">
        <f t="shared" si="29"/>
        <v/>
      </c>
      <c r="K46" s="362" t="str">
        <f t="shared" si="30"/>
        <v/>
      </c>
      <c r="L46" s="362" t="str">
        <f t="shared" si="31"/>
        <v/>
      </c>
      <c r="M46" s="168" t="str" cm="1">
        <f t="array" ref="M46">IF($Z46&lt;&gt;"",$Z46,IFERROR(IF($AJ46="","",INDEX(OCPD_List,MATCH(TRUE,OCPD_List&gt;=1.25*$AJ46,0))),"—"))</f>
        <v/>
      </c>
      <c r="N46" s="168" t="str" cm="1">
        <f t="array" ref="N46">IF($AA46&lt;&gt;"",$AA46,IFERROR(IF($AK46="","",INDEX(OCPD_List,MATCH(TRUE,OCPD_List&gt;=1.25*$AK46,0))),"—"))</f>
        <v/>
      </c>
      <c r="O46" s="171" t="str">
        <f t="shared" si="32"/>
        <v/>
      </c>
      <c r="P46" s="171" t="str">
        <f t="shared" si="33"/>
        <v/>
      </c>
      <c r="Q46" s="78" t="str">
        <f t="shared" si="34"/>
        <v/>
      </c>
      <c r="R46" s="371"/>
      <c r="S46" s="481" t="str">
        <f t="shared" si="35"/>
        <v/>
      </c>
      <c r="T46" s="482" t="str">
        <f t="shared" si="36"/>
        <v/>
      </c>
      <c r="U46" s="482" t="str">
        <f t="shared" si="37"/>
        <v/>
      </c>
      <c r="V46" s="482" t="str">
        <f t="shared" si="38"/>
        <v/>
      </c>
      <c r="W46" s="169"/>
      <c r="X46" s="169"/>
      <c r="Y46" s="169"/>
      <c r="Z46" s="251"/>
      <c r="AA46" s="251"/>
      <c r="AB46" s="483"/>
      <c r="AC46" s="483"/>
      <c r="AD46" s="483"/>
      <c r="AE46" s="483"/>
      <c r="AF46" s="483"/>
      <c r="AG46" s="254" t="str">
        <f t="shared" si="39"/>
        <v/>
      </c>
      <c r="AH46" s="254" t="str">
        <f t="shared" si="40"/>
        <v/>
      </c>
      <c r="AI46" s="254" t="str">
        <f t="shared" si="41"/>
        <v/>
      </c>
      <c r="AJ46" s="254" t="str">
        <f t="shared" si="42"/>
        <v/>
      </c>
      <c r="AK46" s="254" t="str">
        <f t="shared" si="43"/>
        <v/>
      </c>
      <c r="AL46" s="255" t="str" cm="1">
        <f t="array" ref="AL46">IFERROR(IF(INDEX(_xlfn.ANCHORARRAY($BO$4),ROW()-5,2)="","",_xlfn.XLOOKUP(INDEX(_xlfn.ANCHORARRAY($BO$4),ROW()-5,2),'Short Circuit'!$A$6:$A$255,'Short Circuit'!$J$6:$J$255,"")),"")</f>
        <v/>
      </c>
      <c r="AM46" s="254" t="str">
        <f t="shared" si="44"/>
        <v/>
      </c>
      <c r="AN46" s="254" t="str">
        <f t="shared" si="45"/>
        <v/>
      </c>
      <c r="AO46" s="254" t="str">
        <f t="shared" si="46"/>
        <v/>
      </c>
      <c r="AP46" s="255" t="str">
        <f t="shared" si="47"/>
        <v/>
      </c>
      <c r="AQ46" s="255" t="str">
        <f t="shared" si="48"/>
        <v/>
      </c>
      <c r="AR46" s="255" t="str">
        <f t="shared" si="49"/>
        <v/>
      </c>
      <c r="AS46" s="255" t="str" cm="1">
        <f t="array" ref="AS46">IFERROR(IF($AP46="","",INDEX(AIC_List,MATCH(TRUE,AIC_List&gt;=$AP46,0))),"⚠ &gt; 200 kA")</f>
        <v/>
      </c>
      <c r="AT46" s="255" t="str">
        <f t="shared" si="50"/>
        <v/>
      </c>
      <c r="AU46" s="290" t="str" cm="1">
        <f t="array" ref="AU46">IFERROR(IF($AK46="","",INDEX(Ampacity_Size,MATCH(TRUE,Ampacity_Cu&gt;=1.25*$AK46/$AT46,0))),"—")</f>
        <v/>
      </c>
      <c r="AV46" s="290" t="str" cm="1">
        <f t="array" ref="AV46">IF($AU46="","",IFERROR(INDEX(Gec_Cu,MATCH(TRUE,Gec_CM&gt;=INDEX(Ampacity_CM,MATCH($AU46,Ampacity_Size,0))*$AT46,0)),"—"))</f>
        <v/>
      </c>
      <c r="AW46" s="290" t="str" cm="1">
        <f t="array" ref="AW46">IF($AU46="","",IFERROR(IF(INDEX(Ampacity_CM,MATCH($AU46,Ampacity_Size,0))*$AT46&gt;1100000,"12.5% of phase area",INDEX(Gec_Cu,MATCH(TRUE,Gec_CM&gt;=INDEX(Ampacity_CM,MATCH($AU46,Ampacity_Size,0))*$AT46,0))),"—"))</f>
        <v/>
      </c>
      <c r="AX46" s="533" t="str">
        <f t="shared" si="51"/>
        <v/>
      </c>
      <c r="AY46" s="533" t="str">
        <f t="shared" si="52"/>
        <v/>
      </c>
      <c r="AZ46" s="20" t="str">
        <f t="shared" si="53"/>
        <v/>
      </c>
    </row>
    <row r="47" spans="1:52" ht="15" customHeight="1" x14ac:dyDescent="0.35">
      <c r="A47" s="362" t="str" cm="1">
        <f t="array" ref="A47">IFERROR(IF(INDEX(_xlfn.ANCHORARRAY($BO$4),ROW()-5,1)="","","T-"&amp;INDEX(_xlfn.ANCHORARRAY($BO$4),ROW()-5,1)),"")</f>
        <v/>
      </c>
      <c r="B47" s="362" t="str" cm="1">
        <f t="array" ref="B47">IFERROR(IF(INDEX(_xlfn.ANCHORARRAY($BO$4),ROW()-5,1)="","",INDEX(_xlfn.ANCHORARRAY($BO$4),ROW()-5,1)),"")</f>
        <v/>
      </c>
      <c r="C47" s="362" t="str" cm="1">
        <f t="array" ref="C47">IFERROR(INDEX(_xlfn.ANCHORARRAY($BO$4),ROW()-5,5),"")</f>
        <v/>
      </c>
      <c r="D47" s="362" t="str" cm="1">
        <f t="array" ref="D47">IFERROR(INDEX(_xlfn.ANCHORARRAY($BO$4),ROW()-5,3),"")</f>
        <v/>
      </c>
      <c r="E47" s="362" t="str" cm="1">
        <f t="array" ref="E47">IFERROR(INDEX(_xlfn.ANCHORARRAY($BO$4),ROW()-5,4),"")</f>
        <v/>
      </c>
      <c r="F47" s="36" t="str" cm="1">
        <f t="array" ref="F47">IFERROR(INDEX(_xlfn.ANCHORARRAY($BO$4),ROW()-5,6),"")</f>
        <v/>
      </c>
      <c r="G47" s="362" t="str" cm="1">
        <f t="array" ref="G47">IF($F47="","",_xlfn.LET(_xlpm.ov,N(IFERROR(_xlfn.XLOOKUP($B47,Dashboard!$A$101:$A$350,Dashboard!$O$101:$O$350,0),0)),_xlpm.need,MAX(N($F47),_xlpm.ov*N($E47)*IF($C47=3,SQRT(3),1)/1000),IFERROR(INDEX(IF($C47=1,Xfmr1_kVA,Xfmr3_kVA),MATCH(TRUE,IF($C47=1,Xfmr1_kVA,Xfmr3_kVA)&gt;=_xlpm.need,0)),"OVER")))</f>
        <v/>
      </c>
      <c r="H47" s="362" t="str">
        <f t="shared" si="27"/>
        <v/>
      </c>
      <c r="I47" s="168" t="str">
        <f t="shared" si="28"/>
        <v/>
      </c>
      <c r="J47" s="362" t="str">
        <f t="shared" si="29"/>
        <v/>
      </c>
      <c r="K47" s="362" t="str">
        <f t="shared" si="30"/>
        <v/>
      </c>
      <c r="L47" s="362" t="str">
        <f t="shared" si="31"/>
        <v/>
      </c>
      <c r="M47" s="168" t="str" cm="1">
        <f t="array" ref="M47">IF($Z47&lt;&gt;"",$Z47,IFERROR(IF($AJ47="","",INDEX(OCPD_List,MATCH(TRUE,OCPD_List&gt;=1.25*$AJ47,0))),"—"))</f>
        <v/>
      </c>
      <c r="N47" s="168" t="str" cm="1">
        <f t="array" ref="N47">IF($AA47&lt;&gt;"",$AA47,IFERROR(IF($AK47="","",INDEX(OCPD_List,MATCH(TRUE,OCPD_List&gt;=1.25*$AK47,0))),"—"))</f>
        <v/>
      </c>
      <c r="O47" s="171" t="str">
        <f t="shared" si="32"/>
        <v/>
      </c>
      <c r="P47" s="171" t="str">
        <f t="shared" si="33"/>
        <v/>
      </c>
      <c r="Q47" s="78" t="str">
        <f t="shared" si="34"/>
        <v/>
      </c>
      <c r="R47" s="371"/>
      <c r="S47" s="481" t="str">
        <f t="shared" si="35"/>
        <v/>
      </c>
      <c r="T47" s="482" t="str">
        <f t="shared" si="36"/>
        <v/>
      </c>
      <c r="U47" s="482" t="str">
        <f t="shared" si="37"/>
        <v/>
      </c>
      <c r="V47" s="482" t="str">
        <f t="shared" si="38"/>
        <v/>
      </c>
      <c r="W47" s="169"/>
      <c r="X47" s="169"/>
      <c r="Y47" s="169"/>
      <c r="Z47" s="251"/>
      <c r="AA47" s="251"/>
      <c r="AB47" s="483"/>
      <c r="AC47" s="483"/>
      <c r="AD47" s="483"/>
      <c r="AE47" s="483"/>
      <c r="AF47" s="483"/>
      <c r="AG47" s="254" t="str">
        <f t="shared" si="39"/>
        <v/>
      </c>
      <c r="AH47" s="254" t="str">
        <f t="shared" si="40"/>
        <v/>
      </c>
      <c r="AI47" s="254" t="str">
        <f t="shared" si="41"/>
        <v/>
      </c>
      <c r="AJ47" s="254" t="str">
        <f t="shared" si="42"/>
        <v/>
      </c>
      <c r="AK47" s="254" t="str">
        <f t="shared" si="43"/>
        <v/>
      </c>
      <c r="AL47" s="255" t="str" cm="1">
        <f t="array" ref="AL47">IFERROR(IF(INDEX(_xlfn.ANCHORARRAY($BO$4),ROW()-5,2)="","",_xlfn.XLOOKUP(INDEX(_xlfn.ANCHORARRAY($BO$4),ROW()-5,2),'Short Circuit'!$A$6:$A$255,'Short Circuit'!$J$6:$J$255,"")),"")</f>
        <v/>
      </c>
      <c r="AM47" s="254" t="str">
        <f t="shared" si="44"/>
        <v/>
      </c>
      <c r="AN47" s="254" t="str">
        <f t="shared" si="45"/>
        <v/>
      </c>
      <c r="AO47" s="254" t="str">
        <f t="shared" si="46"/>
        <v/>
      </c>
      <c r="AP47" s="255" t="str">
        <f t="shared" si="47"/>
        <v/>
      </c>
      <c r="AQ47" s="255" t="str">
        <f t="shared" si="48"/>
        <v/>
      </c>
      <c r="AR47" s="255" t="str">
        <f t="shared" si="49"/>
        <v/>
      </c>
      <c r="AS47" s="255" t="str" cm="1">
        <f t="array" ref="AS47">IFERROR(IF($AP47="","",INDEX(AIC_List,MATCH(TRUE,AIC_List&gt;=$AP47,0))),"⚠ &gt; 200 kA")</f>
        <v/>
      </c>
      <c r="AT47" s="255" t="str">
        <f t="shared" si="50"/>
        <v/>
      </c>
      <c r="AU47" s="290" t="str" cm="1">
        <f t="array" ref="AU47">IFERROR(IF($AK47="","",INDEX(Ampacity_Size,MATCH(TRUE,Ampacity_Cu&gt;=1.25*$AK47/$AT47,0))),"—")</f>
        <v/>
      </c>
      <c r="AV47" s="290" t="str" cm="1">
        <f t="array" ref="AV47">IF($AU47="","",IFERROR(INDEX(Gec_Cu,MATCH(TRUE,Gec_CM&gt;=INDEX(Ampacity_CM,MATCH($AU47,Ampacity_Size,0))*$AT47,0)),"—"))</f>
        <v/>
      </c>
      <c r="AW47" s="290" t="str" cm="1">
        <f t="array" ref="AW47">IF($AU47="","",IFERROR(IF(INDEX(Ampacity_CM,MATCH($AU47,Ampacity_Size,0))*$AT47&gt;1100000,"12.5% of phase area",INDEX(Gec_Cu,MATCH(TRUE,Gec_CM&gt;=INDEX(Ampacity_CM,MATCH($AU47,Ampacity_Size,0))*$AT47,0))),"—"))</f>
        <v/>
      </c>
      <c r="AX47" s="533" t="str">
        <f t="shared" si="51"/>
        <v/>
      </c>
      <c r="AY47" s="533" t="str">
        <f t="shared" si="52"/>
        <v/>
      </c>
      <c r="AZ47" s="20" t="str">
        <f t="shared" si="53"/>
        <v/>
      </c>
    </row>
    <row r="48" spans="1:52" ht="15" customHeight="1" x14ac:dyDescent="0.35">
      <c r="A48" s="362" t="str" cm="1">
        <f t="array" ref="A48">IFERROR(IF(INDEX(_xlfn.ANCHORARRAY($BO$4),ROW()-5,1)="","","T-"&amp;INDEX(_xlfn.ANCHORARRAY($BO$4),ROW()-5,1)),"")</f>
        <v/>
      </c>
      <c r="B48" s="362" t="str" cm="1">
        <f t="array" ref="B48">IFERROR(IF(INDEX(_xlfn.ANCHORARRAY($BO$4),ROW()-5,1)="","",INDEX(_xlfn.ANCHORARRAY($BO$4),ROW()-5,1)),"")</f>
        <v/>
      </c>
      <c r="C48" s="362" t="str" cm="1">
        <f t="array" ref="C48">IFERROR(INDEX(_xlfn.ANCHORARRAY($BO$4),ROW()-5,5),"")</f>
        <v/>
      </c>
      <c r="D48" s="362" t="str" cm="1">
        <f t="array" ref="D48">IFERROR(INDEX(_xlfn.ANCHORARRAY($BO$4),ROW()-5,3),"")</f>
        <v/>
      </c>
      <c r="E48" s="362" t="str" cm="1">
        <f t="array" ref="E48">IFERROR(INDEX(_xlfn.ANCHORARRAY($BO$4),ROW()-5,4),"")</f>
        <v/>
      </c>
      <c r="F48" s="36" t="str" cm="1">
        <f t="array" ref="F48">IFERROR(INDEX(_xlfn.ANCHORARRAY($BO$4),ROW()-5,6),"")</f>
        <v/>
      </c>
      <c r="G48" s="362" t="str" cm="1">
        <f t="array" ref="G48">IF($F48="","",_xlfn.LET(_xlpm.ov,N(IFERROR(_xlfn.XLOOKUP($B48,Dashboard!$A$101:$A$350,Dashboard!$O$101:$O$350,0),0)),_xlpm.need,MAX(N($F48),_xlpm.ov*N($E48)*IF($C48=3,SQRT(3),1)/1000),IFERROR(INDEX(IF($C48=1,Xfmr1_kVA,Xfmr3_kVA),MATCH(TRUE,IF($C48=1,Xfmr1_kVA,Xfmr3_kVA)&gt;=_xlpm.need,0)),"OVER")))</f>
        <v/>
      </c>
      <c r="H48" s="362" t="str">
        <f t="shared" si="27"/>
        <v/>
      </c>
      <c r="I48" s="168" t="str">
        <f t="shared" si="28"/>
        <v/>
      </c>
      <c r="J48" s="362" t="str">
        <f t="shared" si="29"/>
        <v/>
      </c>
      <c r="K48" s="362" t="str">
        <f t="shared" si="30"/>
        <v/>
      </c>
      <c r="L48" s="362" t="str">
        <f t="shared" si="31"/>
        <v/>
      </c>
      <c r="M48" s="168" t="str" cm="1">
        <f t="array" ref="M48">IF($Z48&lt;&gt;"",$Z48,IFERROR(IF($AJ48="","",INDEX(OCPD_List,MATCH(TRUE,OCPD_List&gt;=1.25*$AJ48,0))),"—"))</f>
        <v/>
      </c>
      <c r="N48" s="168" t="str" cm="1">
        <f t="array" ref="N48">IF($AA48&lt;&gt;"",$AA48,IFERROR(IF($AK48="","",INDEX(OCPD_List,MATCH(TRUE,OCPD_List&gt;=1.25*$AK48,0))),"—"))</f>
        <v/>
      </c>
      <c r="O48" s="171" t="str">
        <f t="shared" si="32"/>
        <v/>
      </c>
      <c r="P48" s="171" t="str">
        <f t="shared" si="33"/>
        <v/>
      </c>
      <c r="Q48" s="78" t="str">
        <f t="shared" si="34"/>
        <v/>
      </c>
      <c r="R48" s="371"/>
      <c r="S48" s="481" t="str">
        <f t="shared" si="35"/>
        <v/>
      </c>
      <c r="T48" s="482" t="str">
        <f t="shared" si="36"/>
        <v/>
      </c>
      <c r="U48" s="482" t="str">
        <f t="shared" si="37"/>
        <v/>
      </c>
      <c r="V48" s="482" t="str">
        <f t="shared" si="38"/>
        <v/>
      </c>
      <c r="W48" s="169"/>
      <c r="X48" s="169"/>
      <c r="Y48" s="169"/>
      <c r="Z48" s="251"/>
      <c r="AA48" s="251"/>
      <c r="AB48" s="483"/>
      <c r="AC48" s="483"/>
      <c r="AD48" s="483"/>
      <c r="AE48" s="483"/>
      <c r="AF48" s="483"/>
      <c r="AG48" s="254" t="str">
        <f t="shared" si="39"/>
        <v/>
      </c>
      <c r="AH48" s="254" t="str">
        <f t="shared" si="40"/>
        <v/>
      </c>
      <c r="AI48" s="254" t="str">
        <f t="shared" si="41"/>
        <v/>
      </c>
      <c r="AJ48" s="254" t="str">
        <f t="shared" si="42"/>
        <v/>
      </c>
      <c r="AK48" s="254" t="str">
        <f t="shared" si="43"/>
        <v/>
      </c>
      <c r="AL48" s="255" t="str" cm="1">
        <f t="array" ref="AL48">IFERROR(IF(INDEX(_xlfn.ANCHORARRAY($BO$4),ROW()-5,2)="","",_xlfn.XLOOKUP(INDEX(_xlfn.ANCHORARRAY($BO$4),ROW()-5,2),'Short Circuit'!$A$6:$A$255,'Short Circuit'!$J$6:$J$255,"")),"")</f>
        <v/>
      </c>
      <c r="AM48" s="254" t="str">
        <f t="shared" si="44"/>
        <v/>
      </c>
      <c r="AN48" s="254" t="str">
        <f t="shared" si="45"/>
        <v/>
      </c>
      <c r="AO48" s="254" t="str">
        <f t="shared" si="46"/>
        <v/>
      </c>
      <c r="AP48" s="255" t="str">
        <f t="shared" si="47"/>
        <v/>
      </c>
      <c r="AQ48" s="255" t="str">
        <f t="shared" si="48"/>
        <v/>
      </c>
      <c r="AR48" s="255" t="str">
        <f t="shared" si="49"/>
        <v/>
      </c>
      <c r="AS48" s="255" t="str" cm="1">
        <f t="array" ref="AS48">IFERROR(IF($AP48="","",INDEX(AIC_List,MATCH(TRUE,AIC_List&gt;=$AP48,0))),"⚠ &gt; 200 kA")</f>
        <v/>
      </c>
      <c r="AT48" s="255" t="str">
        <f t="shared" si="50"/>
        <v/>
      </c>
      <c r="AU48" s="290" t="str" cm="1">
        <f t="array" ref="AU48">IFERROR(IF($AK48="","",INDEX(Ampacity_Size,MATCH(TRUE,Ampacity_Cu&gt;=1.25*$AK48/$AT48,0))),"—")</f>
        <v/>
      </c>
      <c r="AV48" s="290" t="str" cm="1">
        <f t="array" ref="AV48">IF($AU48="","",IFERROR(INDEX(Gec_Cu,MATCH(TRUE,Gec_CM&gt;=INDEX(Ampacity_CM,MATCH($AU48,Ampacity_Size,0))*$AT48,0)),"—"))</f>
        <v/>
      </c>
      <c r="AW48" s="290" t="str" cm="1">
        <f t="array" ref="AW48">IF($AU48="","",IFERROR(IF(INDEX(Ampacity_CM,MATCH($AU48,Ampacity_Size,0))*$AT48&gt;1100000,"12.5% of phase area",INDEX(Gec_Cu,MATCH(TRUE,Gec_CM&gt;=INDEX(Ampacity_CM,MATCH($AU48,Ampacity_Size,0))*$AT48,0))),"—"))</f>
        <v/>
      </c>
      <c r="AX48" s="533" t="str">
        <f t="shared" si="51"/>
        <v/>
      </c>
      <c r="AY48" s="533" t="str">
        <f t="shared" si="52"/>
        <v/>
      </c>
      <c r="AZ48" s="20" t="str">
        <f t="shared" si="53"/>
        <v/>
      </c>
    </row>
    <row r="49" spans="1:52" ht="15" customHeight="1" x14ac:dyDescent="0.35">
      <c r="A49" s="362" t="str" cm="1">
        <f t="array" ref="A49">IFERROR(IF(INDEX(_xlfn.ANCHORARRAY($BO$4),ROW()-5,1)="","","T-"&amp;INDEX(_xlfn.ANCHORARRAY($BO$4),ROW()-5,1)),"")</f>
        <v/>
      </c>
      <c r="B49" s="362" t="str" cm="1">
        <f t="array" ref="B49">IFERROR(IF(INDEX(_xlfn.ANCHORARRAY($BO$4),ROW()-5,1)="","",INDEX(_xlfn.ANCHORARRAY($BO$4),ROW()-5,1)),"")</f>
        <v/>
      </c>
      <c r="C49" s="362" t="str" cm="1">
        <f t="array" ref="C49">IFERROR(INDEX(_xlfn.ANCHORARRAY($BO$4),ROW()-5,5),"")</f>
        <v/>
      </c>
      <c r="D49" s="362" t="str" cm="1">
        <f t="array" ref="D49">IFERROR(INDEX(_xlfn.ANCHORARRAY($BO$4),ROW()-5,3),"")</f>
        <v/>
      </c>
      <c r="E49" s="362" t="str" cm="1">
        <f t="array" ref="E49">IFERROR(INDEX(_xlfn.ANCHORARRAY($BO$4),ROW()-5,4),"")</f>
        <v/>
      </c>
      <c r="F49" s="36" t="str" cm="1">
        <f t="array" ref="F49">IFERROR(INDEX(_xlfn.ANCHORARRAY($BO$4),ROW()-5,6),"")</f>
        <v/>
      </c>
      <c r="G49" s="362" t="str" cm="1">
        <f t="array" ref="G49">IF($F49="","",_xlfn.LET(_xlpm.ov,N(IFERROR(_xlfn.XLOOKUP($B49,Dashboard!$A$101:$A$350,Dashboard!$O$101:$O$350,0),0)),_xlpm.need,MAX(N($F49),_xlpm.ov*N($E49)*IF($C49=3,SQRT(3),1)/1000),IFERROR(INDEX(IF($C49=1,Xfmr1_kVA,Xfmr3_kVA),MATCH(TRUE,IF($C49=1,Xfmr1_kVA,Xfmr3_kVA)&gt;=_xlpm.need,0)),"OVER")))</f>
        <v/>
      </c>
      <c r="H49" s="362" t="str">
        <f t="shared" si="27"/>
        <v/>
      </c>
      <c r="I49" s="168" t="str">
        <f t="shared" si="28"/>
        <v/>
      </c>
      <c r="J49" s="362" t="str">
        <f t="shared" si="29"/>
        <v/>
      </c>
      <c r="K49" s="362" t="str">
        <f t="shared" si="30"/>
        <v/>
      </c>
      <c r="L49" s="362" t="str">
        <f t="shared" si="31"/>
        <v/>
      </c>
      <c r="M49" s="168" t="str" cm="1">
        <f t="array" ref="M49">IF($Z49&lt;&gt;"",$Z49,IFERROR(IF($AJ49="","",INDEX(OCPD_List,MATCH(TRUE,OCPD_List&gt;=1.25*$AJ49,0))),"—"))</f>
        <v/>
      </c>
      <c r="N49" s="168" t="str" cm="1">
        <f t="array" ref="N49">IF($AA49&lt;&gt;"",$AA49,IFERROR(IF($AK49="","",INDEX(OCPD_List,MATCH(TRUE,OCPD_List&gt;=1.25*$AK49,0))),"—"))</f>
        <v/>
      </c>
      <c r="O49" s="171" t="str">
        <f t="shared" si="32"/>
        <v/>
      </c>
      <c r="P49" s="171" t="str">
        <f t="shared" si="33"/>
        <v/>
      </c>
      <c r="Q49" s="78" t="str">
        <f t="shared" si="34"/>
        <v/>
      </c>
      <c r="R49" s="371"/>
      <c r="S49" s="481" t="str">
        <f t="shared" si="35"/>
        <v/>
      </c>
      <c r="T49" s="482" t="str">
        <f t="shared" si="36"/>
        <v/>
      </c>
      <c r="U49" s="482" t="str">
        <f t="shared" si="37"/>
        <v/>
      </c>
      <c r="V49" s="482" t="str">
        <f t="shared" si="38"/>
        <v/>
      </c>
      <c r="W49" s="169"/>
      <c r="X49" s="169"/>
      <c r="Y49" s="169"/>
      <c r="Z49" s="251"/>
      <c r="AA49" s="251"/>
      <c r="AB49" s="483"/>
      <c r="AC49" s="483"/>
      <c r="AD49" s="483"/>
      <c r="AE49" s="483"/>
      <c r="AF49" s="483"/>
      <c r="AG49" s="254" t="str">
        <f t="shared" si="39"/>
        <v/>
      </c>
      <c r="AH49" s="254" t="str">
        <f t="shared" si="40"/>
        <v/>
      </c>
      <c r="AI49" s="254" t="str">
        <f t="shared" si="41"/>
        <v/>
      </c>
      <c r="AJ49" s="254" t="str">
        <f t="shared" si="42"/>
        <v/>
      </c>
      <c r="AK49" s="254" t="str">
        <f t="shared" si="43"/>
        <v/>
      </c>
      <c r="AL49" s="255" t="str" cm="1">
        <f t="array" ref="AL49">IFERROR(IF(INDEX(_xlfn.ANCHORARRAY($BO$4),ROW()-5,2)="","",_xlfn.XLOOKUP(INDEX(_xlfn.ANCHORARRAY($BO$4),ROW()-5,2),'Short Circuit'!$A$6:$A$255,'Short Circuit'!$J$6:$J$255,"")),"")</f>
        <v/>
      </c>
      <c r="AM49" s="254" t="str">
        <f t="shared" si="44"/>
        <v/>
      </c>
      <c r="AN49" s="254" t="str">
        <f t="shared" si="45"/>
        <v/>
      </c>
      <c r="AO49" s="254" t="str">
        <f t="shared" si="46"/>
        <v/>
      </c>
      <c r="AP49" s="255" t="str">
        <f t="shared" si="47"/>
        <v/>
      </c>
      <c r="AQ49" s="255" t="str">
        <f t="shared" si="48"/>
        <v/>
      </c>
      <c r="AR49" s="255" t="str">
        <f t="shared" si="49"/>
        <v/>
      </c>
      <c r="AS49" s="255" t="str" cm="1">
        <f t="array" ref="AS49">IFERROR(IF($AP49="","",INDEX(AIC_List,MATCH(TRUE,AIC_List&gt;=$AP49,0))),"⚠ &gt; 200 kA")</f>
        <v/>
      </c>
      <c r="AT49" s="255" t="str">
        <f t="shared" si="50"/>
        <v/>
      </c>
      <c r="AU49" s="290" t="str" cm="1">
        <f t="array" ref="AU49">IFERROR(IF($AK49="","",INDEX(Ampacity_Size,MATCH(TRUE,Ampacity_Cu&gt;=1.25*$AK49/$AT49,0))),"—")</f>
        <v/>
      </c>
      <c r="AV49" s="290" t="str" cm="1">
        <f t="array" ref="AV49">IF($AU49="","",IFERROR(INDEX(Gec_Cu,MATCH(TRUE,Gec_CM&gt;=INDEX(Ampacity_CM,MATCH($AU49,Ampacity_Size,0))*$AT49,0)),"—"))</f>
        <v/>
      </c>
      <c r="AW49" s="290" t="str" cm="1">
        <f t="array" ref="AW49">IF($AU49="","",IFERROR(IF(INDEX(Ampacity_CM,MATCH($AU49,Ampacity_Size,0))*$AT49&gt;1100000,"12.5% of phase area",INDEX(Gec_Cu,MATCH(TRUE,Gec_CM&gt;=INDEX(Ampacity_CM,MATCH($AU49,Ampacity_Size,0))*$AT49,0))),"—"))</f>
        <v/>
      </c>
      <c r="AX49" s="533" t="str">
        <f t="shared" si="51"/>
        <v/>
      </c>
      <c r="AY49" s="533" t="str">
        <f t="shared" si="52"/>
        <v/>
      </c>
      <c r="AZ49" s="20" t="str">
        <f t="shared" si="53"/>
        <v/>
      </c>
    </row>
    <row r="50" spans="1:52" ht="15" customHeight="1" x14ac:dyDescent="0.35">
      <c r="A50" s="362" t="str" cm="1">
        <f t="array" ref="A50">IFERROR(IF(INDEX(_xlfn.ANCHORARRAY($BO$4),ROW()-5,1)="","","T-"&amp;INDEX(_xlfn.ANCHORARRAY($BO$4),ROW()-5,1)),"")</f>
        <v/>
      </c>
      <c r="B50" s="362" t="str" cm="1">
        <f t="array" ref="B50">IFERROR(IF(INDEX(_xlfn.ANCHORARRAY($BO$4),ROW()-5,1)="","",INDEX(_xlfn.ANCHORARRAY($BO$4),ROW()-5,1)),"")</f>
        <v/>
      </c>
      <c r="C50" s="362" t="str" cm="1">
        <f t="array" ref="C50">IFERROR(INDEX(_xlfn.ANCHORARRAY($BO$4),ROW()-5,5),"")</f>
        <v/>
      </c>
      <c r="D50" s="362" t="str" cm="1">
        <f t="array" ref="D50">IFERROR(INDEX(_xlfn.ANCHORARRAY($BO$4),ROW()-5,3),"")</f>
        <v/>
      </c>
      <c r="E50" s="362" t="str" cm="1">
        <f t="array" ref="E50">IFERROR(INDEX(_xlfn.ANCHORARRAY($BO$4),ROW()-5,4),"")</f>
        <v/>
      </c>
      <c r="F50" s="36" t="str" cm="1">
        <f t="array" ref="F50">IFERROR(INDEX(_xlfn.ANCHORARRAY($BO$4),ROW()-5,6),"")</f>
        <v/>
      </c>
      <c r="G50" s="362" t="str" cm="1">
        <f t="array" ref="G50">IF($F50="","",_xlfn.LET(_xlpm.ov,N(IFERROR(_xlfn.XLOOKUP($B50,Dashboard!$A$101:$A$350,Dashboard!$O$101:$O$350,0),0)),_xlpm.need,MAX(N($F50),_xlpm.ov*N($E50)*IF($C50=3,SQRT(3),1)/1000),IFERROR(INDEX(IF($C50=1,Xfmr1_kVA,Xfmr3_kVA),MATCH(TRUE,IF($C50=1,Xfmr1_kVA,Xfmr3_kVA)&gt;=_xlpm.need,0)),"OVER")))</f>
        <v/>
      </c>
      <c r="H50" s="362" t="str">
        <f t="shared" si="27"/>
        <v/>
      </c>
      <c r="I50" s="168" t="str">
        <f t="shared" si="28"/>
        <v/>
      </c>
      <c r="J50" s="362" t="str">
        <f t="shared" si="29"/>
        <v/>
      </c>
      <c r="K50" s="362" t="str">
        <f t="shared" si="30"/>
        <v/>
      </c>
      <c r="L50" s="362" t="str">
        <f t="shared" si="31"/>
        <v/>
      </c>
      <c r="M50" s="168" t="str" cm="1">
        <f t="array" ref="M50">IF($Z50&lt;&gt;"",$Z50,IFERROR(IF($AJ50="","",INDEX(OCPD_List,MATCH(TRUE,OCPD_List&gt;=1.25*$AJ50,0))),"—"))</f>
        <v/>
      </c>
      <c r="N50" s="168" t="str" cm="1">
        <f t="array" ref="N50">IF($AA50&lt;&gt;"",$AA50,IFERROR(IF($AK50="","",INDEX(OCPD_List,MATCH(TRUE,OCPD_List&gt;=1.25*$AK50,0))),"—"))</f>
        <v/>
      </c>
      <c r="O50" s="171" t="str">
        <f t="shared" si="32"/>
        <v/>
      </c>
      <c r="P50" s="171" t="str">
        <f t="shared" si="33"/>
        <v/>
      </c>
      <c r="Q50" s="78" t="str">
        <f t="shared" si="34"/>
        <v/>
      </c>
      <c r="R50" s="371"/>
      <c r="S50" s="481" t="str">
        <f t="shared" si="35"/>
        <v/>
      </c>
      <c r="T50" s="482" t="str">
        <f t="shared" si="36"/>
        <v/>
      </c>
      <c r="U50" s="482" t="str">
        <f t="shared" si="37"/>
        <v/>
      </c>
      <c r="V50" s="482" t="str">
        <f t="shared" si="38"/>
        <v/>
      </c>
      <c r="W50" s="169"/>
      <c r="X50" s="169"/>
      <c r="Y50" s="169"/>
      <c r="Z50" s="251"/>
      <c r="AA50" s="251"/>
      <c r="AB50" s="483"/>
      <c r="AC50" s="483"/>
      <c r="AD50" s="483"/>
      <c r="AE50" s="483"/>
      <c r="AF50" s="483"/>
      <c r="AG50" s="254" t="str">
        <f t="shared" si="39"/>
        <v/>
      </c>
      <c r="AH50" s="254" t="str">
        <f t="shared" si="40"/>
        <v/>
      </c>
      <c r="AI50" s="254" t="str">
        <f t="shared" si="41"/>
        <v/>
      </c>
      <c r="AJ50" s="254" t="str">
        <f t="shared" si="42"/>
        <v/>
      </c>
      <c r="AK50" s="254" t="str">
        <f t="shared" si="43"/>
        <v/>
      </c>
      <c r="AL50" s="255" t="str" cm="1">
        <f t="array" ref="AL50">IFERROR(IF(INDEX(_xlfn.ANCHORARRAY($BO$4),ROW()-5,2)="","",_xlfn.XLOOKUP(INDEX(_xlfn.ANCHORARRAY($BO$4),ROW()-5,2),'Short Circuit'!$A$6:$A$255,'Short Circuit'!$J$6:$J$255,"")),"")</f>
        <v/>
      </c>
      <c r="AM50" s="254" t="str">
        <f t="shared" si="44"/>
        <v/>
      </c>
      <c r="AN50" s="254" t="str">
        <f t="shared" si="45"/>
        <v/>
      </c>
      <c r="AO50" s="254" t="str">
        <f t="shared" si="46"/>
        <v/>
      </c>
      <c r="AP50" s="255" t="str">
        <f t="shared" si="47"/>
        <v/>
      </c>
      <c r="AQ50" s="255" t="str">
        <f t="shared" si="48"/>
        <v/>
      </c>
      <c r="AR50" s="255" t="str">
        <f t="shared" si="49"/>
        <v/>
      </c>
      <c r="AS50" s="255" t="str" cm="1">
        <f t="array" ref="AS50">IFERROR(IF($AP50="","",INDEX(AIC_List,MATCH(TRUE,AIC_List&gt;=$AP50,0))),"⚠ &gt; 200 kA")</f>
        <v/>
      </c>
      <c r="AT50" s="255" t="str">
        <f t="shared" si="50"/>
        <v/>
      </c>
      <c r="AU50" s="290" t="str" cm="1">
        <f t="array" ref="AU50">IFERROR(IF($AK50="","",INDEX(Ampacity_Size,MATCH(TRUE,Ampacity_Cu&gt;=1.25*$AK50/$AT50,0))),"—")</f>
        <v/>
      </c>
      <c r="AV50" s="290" t="str" cm="1">
        <f t="array" ref="AV50">IF($AU50="","",IFERROR(INDEX(Gec_Cu,MATCH(TRUE,Gec_CM&gt;=INDEX(Ampacity_CM,MATCH($AU50,Ampacity_Size,0))*$AT50,0)),"—"))</f>
        <v/>
      </c>
      <c r="AW50" s="290" t="str" cm="1">
        <f t="array" ref="AW50">IF($AU50="","",IFERROR(IF(INDEX(Ampacity_CM,MATCH($AU50,Ampacity_Size,0))*$AT50&gt;1100000,"12.5% of phase area",INDEX(Gec_Cu,MATCH(TRUE,Gec_CM&gt;=INDEX(Ampacity_CM,MATCH($AU50,Ampacity_Size,0))*$AT50,0))),"—"))</f>
        <v/>
      </c>
      <c r="AX50" s="533" t="str">
        <f t="shared" si="51"/>
        <v/>
      </c>
      <c r="AY50" s="533" t="str">
        <f t="shared" si="52"/>
        <v/>
      </c>
      <c r="AZ50" s="20" t="str">
        <f t="shared" si="53"/>
        <v/>
      </c>
    </row>
    <row r="51" spans="1:52" ht="15" customHeight="1" x14ac:dyDescent="0.35">
      <c r="A51" s="362" t="str" cm="1">
        <f t="array" ref="A51">IFERROR(IF(INDEX(_xlfn.ANCHORARRAY($BO$4),ROW()-5,1)="","","T-"&amp;INDEX(_xlfn.ANCHORARRAY($BO$4),ROW()-5,1)),"")</f>
        <v/>
      </c>
      <c r="B51" s="362" t="str" cm="1">
        <f t="array" ref="B51">IFERROR(IF(INDEX(_xlfn.ANCHORARRAY($BO$4),ROW()-5,1)="","",INDEX(_xlfn.ANCHORARRAY($BO$4),ROW()-5,1)),"")</f>
        <v/>
      </c>
      <c r="C51" s="362" t="str" cm="1">
        <f t="array" ref="C51">IFERROR(INDEX(_xlfn.ANCHORARRAY($BO$4),ROW()-5,5),"")</f>
        <v/>
      </c>
      <c r="D51" s="362" t="str" cm="1">
        <f t="array" ref="D51">IFERROR(INDEX(_xlfn.ANCHORARRAY($BO$4),ROW()-5,3),"")</f>
        <v/>
      </c>
      <c r="E51" s="362" t="str" cm="1">
        <f t="array" ref="E51">IFERROR(INDEX(_xlfn.ANCHORARRAY($BO$4),ROW()-5,4),"")</f>
        <v/>
      </c>
      <c r="F51" s="36" t="str" cm="1">
        <f t="array" ref="F51">IFERROR(INDEX(_xlfn.ANCHORARRAY($BO$4),ROW()-5,6),"")</f>
        <v/>
      </c>
      <c r="G51" s="362" t="str" cm="1">
        <f t="array" ref="G51">IF($F51="","",_xlfn.LET(_xlpm.ov,N(IFERROR(_xlfn.XLOOKUP($B51,Dashboard!$A$101:$A$350,Dashboard!$O$101:$O$350,0),0)),_xlpm.need,MAX(N($F51),_xlpm.ov*N($E51)*IF($C51=3,SQRT(3),1)/1000),IFERROR(INDEX(IF($C51=1,Xfmr1_kVA,Xfmr3_kVA),MATCH(TRUE,IF($C51=1,Xfmr1_kVA,Xfmr3_kVA)&gt;=_xlpm.need,0)),"OVER")))</f>
        <v/>
      </c>
      <c r="H51" s="362" t="str">
        <f t="shared" si="27"/>
        <v/>
      </c>
      <c r="I51" s="168" t="str">
        <f t="shared" si="28"/>
        <v/>
      </c>
      <c r="J51" s="362" t="str">
        <f t="shared" si="29"/>
        <v/>
      </c>
      <c r="K51" s="362" t="str">
        <f t="shared" si="30"/>
        <v/>
      </c>
      <c r="L51" s="362" t="str">
        <f t="shared" si="31"/>
        <v/>
      </c>
      <c r="M51" s="168" t="str" cm="1">
        <f t="array" ref="M51">IF($Z51&lt;&gt;"",$Z51,IFERROR(IF($AJ51="","",INDEX(OCPD_List,MATCH(TRUE,OCPD_List&gt;=1.25*$AJ51,0))),"—"))</f>
        <v/>
      </c>
      <c r="N51" s="168" t="str" cm="1">
        <f t="array" ref="N51">IF($AA51&lt;&gt;"",$AA51,IFERROR(IF($AK51="","",INDEX(OCPD_List,MATCH(TRUE,OCPD_List&gt;=1.25*$AK51,0))),"—"))</f>
        <v/>
      </c>
      <c r="O51" s="171" t="str">
        <f t="shared" si="32"/>
        <v/>
      </c>
      <c r="P51" s="171" t="str">
        <f t="shared" si="33"/>
        <v/>
      </c>
      <c r="Q51" s="78" t="str">
        <f t="shared" si="34"/>
        <v/>
      </c>
      <c r="R51" s="371"/>
      <c r="S51" s="481" t="str">
        <f t="shared" si="35"/>
        <v/>
      </c>
      <c r="T51" s="482" t="str">
        <f t="shared" si="36"/>
        <v/>
      </c>
      <c r="U51" s="482" t="str">
        <f t="shared" si="37"/>
        <v/>
      </c>
      <c r="V51" s="482" t="str">
        <f t="shared" si="38"/>
        <v/>
      </c>
      <c r="W51" s="169"/>
      <c r="X51" s="169"/>
      <c r="Y51" s="169"/>
      <c r="Z51" s="251"/>
      <c r="AA51" s="251"/>
      <c r="AB51" s="483"/>
      <c r="AC51" s="483"/>
      <c r="AD51" s="483"/>
      <c r="AE51" s="483"/>
      <c r="AF51" s="483"/>
      <c r="AG51" s="254" t="str">
        <f t="shared" si="39"/>
        <v/>
      </c>
      <c r="AH51" s="254" t="str">
        <f t="shared" si="40"/>
        <v/>
      </c>
      <c r="AI51" s="254" t="str">
        <f t="shared" si="41"/>
        <v/>
      </c>
      <c r="AJ51" s="254" t="str">
        <f t="shared" si="42"/>
        <v/>
      </c>
      <c r="AK51" s="254" t="str">
        <f t="shared" si="43"/>
        <v/>
      </c>
      <c r="AL51" s="255" t="str" cm="1">
        <f t="array" ref="AL51">IFERROR(IF(INDEX(_xlfn.ANCHORARRAY($BO$4),ROW()-5,2)="","",_xlfn.XLOOKUP(INDEX(_xlfn.ANCHORARRAY($BO$4),ROW()-5,2),'Short Circuit'!$A$6:$A$255,'Short Circuit'!$J$6:$J$255,"")),"")</f>
        <v/>
      </c>
      <c r="AM51" s="254" t="str">
        <f t="shared" si="44"/>
        <v/>
      </c>
      <c r="AN51" s="254" t="str">
        <f t="shared" si="45"/>
        <v/>
      </c>
      <c r="AO51" s="254" t="str">
        <f t="shared" si="46"/>
        <v/>
      </c>
      <c r="AP51" s="255" t="str">
        <f t="shared" si="47"/>
        <v/>
      </c>
      <c r="AQ51" s="255" t="str">
        <f t="shared" si="48"/>
        <v/>
      </c>
      <c r="AR51" s="255" t="str">
        <f t="shared" si="49"/>
        <v/>
      </c>
      <c r="AS51" s="255" t="str" cm="1">
        <f t="array" ref="AS51">IFERROR(IF($AP51="","",INDEX(AIC_List,MATCH(TRUE,AIC_List&gt;=$AP51,0))),"⚠ &gt; 200 kA")</f>
        <v/>
      </c>
      <c r="AT51" s="255" t="str">
        <f t="shared" si="50"/>
        <v/>
      </c>
      <c r="AU51" s="290" t="str" cm="1">
        <f t="array" ref="AU51">IFERROR(IF($AK51="","",INDEX(Ampacity_Size,MATCH(TRUE,Ampacity_Cu&gt;=1.25*$AK51/$AT51,0))),"—")</f>
        <v/>
      </c>
      <c r="AV51" s="290" t="str" cm="1">
        <f t="array" ref="AV51">IF($AU51="","",IFERROR(INDEX(Gec_Cu,MATCH(TRUE,Gec_CM&gt;=INDEX(Ampacity_CM,MATCH($AU51,Ampacity_Size,0))*$AT51,0)),"—"))</f>
        <v/>
      </c>
      <c r="AW51" s="290" t="str" cm="1">
        <f t="array" ref="AW51">IF($AU51="","",IFERROR(IF(INDEX(Ampacity_CM,MATCH($AU51,Ampacity_Size,0))*$AT51&gt;1100000,"12.5% of phase area",INDEX(Gec_Cu,MATCH(TRUE,Gec_CM&gt;=INDEX(Ampacity_CM,MATCH($AU51,Ampacity_Size,0))*$AT51,0))),"—"))</f>
        <v/>
      </c>
      <c r="AX51" s="533" t="str">
        <f t="shared" si="51"/>
        <v/>
      </c>
      <c r="AY51" s="533" t="str">
        <f t="shared" si="52"/>
        <v/>
      </c>
      <c r="AZ51" s="20" t="str">
        <f t="shared" si="53"/>
        <v/>
      </c>
    </row>
    <row r="52" spans="1:52" ht="15" customHeight="1" x14ac:dyDescent="0.35">
      <c r="A52" s="362" t="str" cm="1">
        <f t="array" ref="A52">IFERROR(IF(INDEX(_xlfn.ANCHORARRAY($BO$4),ROW()-5,1)="","","T-"&amp;INDEX(_xlfn.ANCHORARRAY($BO$4),ROW()-5,1)),"")</f>
        <v/>
      </c>
      <c r="B52" s="362" t="str" cm="1">
        <f t="array" ref="B52">IFERROR(IF(INDEX(_xlfn.ANCHORARRAY($BO$4),ROW()-5,1)="","",INDEX(_xlfn.ANCHORARRAY($BO$4),ROW()-5,1)),"")</f>
        <v/>
      </c>
      <c r="C52" s="362" t="str" cm="1">
        <f t="array" ref="C52">IFERROR(INDEX(_xlfn.ANCHORARRAY($BO$4),ROW()-5,5),"")</f>
        <v/>
      </c>
      <c r="D52" s="362" t="str" cm="1">
        <f t="array" ref="D52">IFERROR(INDEX(_xlfn.ANCHORARRAY($BO$4),ROW()-5,3),"")</f>
        <v/>
      </c>
      <c r="E52" s="362" t="str" cm="1">
        <f t="array" ref="E52">IFERROR(INDEX(_xlfn.ANCHORARRAY($BO$4),ROW()-5,4),"")</f>
        <v/>
      </c>
      <c r="F52" s="36" t="str" cm="1">
        <f t="array" ref="F52">IFERROR(INDEX(_xlfn.ANCHORARRAY($BO$4),ROW()-5,6),"")</f>
        <v/>
      </c>
      <c r="G52" s="362" t="str" cm="1">
        <f t="array" ref="G52">IF($F52="","",_xlfn.LET(_xlpm.ov,N(IFERROR(_xlfn.XLOOKUP($B52,Dashboard!$A$101:$A$350,Dashboard!$O$101:$O$350,0),0)),_xlpm.need,MAX(N($F52),_xlpm.ov*N($E52)*IF($C52=3,SQRT(3),1)/1000),IFERROR(INDEX(IF($C52=1,Xfmr1_kVA,Xfmr3_kVA),MATCH(TRUE,IF($C52=1,Xfmr1_kVA,Xfmr3_kVA)&gt;=_xlpm.need,0)),"OVER")))</f>
        <v/>
      </c>
      <c r="H52" s="362" t="str">
        <f t="shared" si="27"/>
        <v/>
      </c>
      <c r="I52" s="168" t="str">
        <f t="shared" si="28"/>
        <v/>
      </c>
      <c r="J52" s="362" t="str">
        <f t="shared" si="29"/>
        <v/>
      </c>
      <c r="K52" s="362" t="str">
        <f t="shared" si="30"/>
        <v/>
      </c>
      <c r="L52" s="362" t="str">
        <f t="shared" si="31"/>
        <v/>
      </c>
      <c r="M52" s="168" t="str" cm="1">
        <f t="array" ref="M52">IF($Z52&lt;&gt;"",$Z52,IFERROR(IF($AJ52="","",INDEX(OCPD_List,MATCH(TRUE,OCPD_List&gt;=1.25*$AJ52,0))),"—"))</f>
        <v/>
      </c>
      <c r="N52" s="168" t="str" cm="1">
        <f t="array" ref="N52">IF($AA52&lt;&gt;"",$AA52,IFERROR(IF($AK52="","",INDEX(OCPD_List,MATCH(TRUE,OCPD_List&gt;=1.25*$AK52,0))),"—"))</f>
        <v/>
      </c>
      <c r="O52" s="171" t="str">
        <f t="shared" si="32"/>
        <v/>
      </c>
      <c r="P52" s="171" t="str">
        <f t="shared" si="33"/>
        <v/>
      </c>
      <c r="Q52" s="78" t="str">
        <f t="shared" si="34"/>
        <v/>
      </c>
      <c r="R52" s="371"/>
      <c r="S52" s="481" t="str">
        <f t="shared" si="35"/>
        <v/>
      </c>
      <c r="T52" s="482" t="str">
        <f t="shared" si="36"/>
        <v/>
      </c>
      <c r="U52" s="482" t="str">
        <f t="shared" si="37"/>
        <v/>
      </c>
      <c r="V52" s="482" t="str">
        <f t="shared" si="38"/>
        <v/>
      </c>
      <c r="W52" s="169"/>
      <c r="X52" s="169"/>
      <c r="Y52" s="169"/>
      <c r="Z52" s="251"/>
      <c r="AA52" s="251"/>
      <c r="AB52" s="483"/>
      <c r="AC52" s="483"/>
      <c r="AD52" s="483"/>
      <c r="AE52" s="483"/>
      <c r="AF52" s="483"/>
      <c r="AG52" s="254" t="str">
        <f t="shared" si="39"/>
        <v/>
      </c>
      <c r="AH52" s="254" t="str">
        <f t="shared" si="40"/>
        <v/>
      </c>
      <c r="AI52" s="254" t="str">
        <f t="shared" si="41"/>
        <v/>
      </c>
      <c r="AJ52" s="254" t="str">
        <f t="shared" si="42"/>
        <v/>
      </c>
      <c r="AK52" s="254" t="str">
        <f t="shared" si="43"/>
        <v/>
      </c>
      <c r="AL52" s="255" t="str" cm="1">
        <f t="array" ref="AL52">IFERROR(IF(INDEX(_xlfn.ANCHORARRAY($BO$4),ROW()-5,2)="","",_xlfn.XLOOKUP(INDEX(_xlfn.ANCHORARRAY($BO$4),ROW()-5,2),'Short Circuit'!$A$6:$A$255,'Short Circuit'!$J$6:$J$255,"")),"")</f>
        <v/>
      </c>
      <c r="AM52" s="254" t="str">
        <f t="shared" si="44"/>
        <v/>
      </c>
      <c r="AN52" s="254" t="str">
        <f t="shared" si="45"/>
        <v/>
      </c>
      <c r="AO52" s="254" t="str">
        <f t="shared" si="46"/>
        <v/>
      </c>
      <c r="AP52" s="255" t="str">
        <f t="shared" si="47"/>
        <v/>
      </c>
      <c r="AQ52" s="255" t="str">
        <f t="shared" si="48"/>
        <v/>
      </c>
      <c r="AR52" s="255" t="str">
        <f t="shared" si="49"/>
        <v/>
      </c>
      <c r="AS52" s="255" t="str" cm="1">
        <f t="array" ref="AS52">IFERROR(IF($AP52="","",INDEX(AIC_List,MATCH(TRUE,AIC_List&gt;=$AP52,0))),"⚠ &gt; 200 kA")</f>
        <v/>
      </c>
      <c r="AT52" s="255" t="str">
        <f t="shared" si="50"/>
        <v/>
      </c>
      <c r="AU52" s="290" t="str" cm="1">
        <f t="array" ref="AU52">IFERROR(IF($AK52="","",INDEX(Ampacity_Size,MATCH(TRUE,Ampacity_Cu&gt;=1.25*$AK52/$AT52,0))),"—")</f>
        <v/>
      </c>
      <c r="AV52" s="290" t="str" cm="1">
        <f t="array" ref="AV52">IF($AU52="","",IFERROR(INDEX(Gec_Cu,MATCH(TRUE,Gec_CM&gt;=INDEX(Ampacity_CM,MATCH($AU52,Ampacity_Size,0))*$AT52,0)),"—"))</f>
        <v/>
      </c>
      <c r="AW52" s="290" t="str" cm="1">
        <f t="array" ref="AW52">IF($AU52="","",IFERROR(IF(INDEX(Ampacity_CM,MATCH($AU52,Ampacity_Size,0))*$AT52&gt;1100000,"12.5% of phase area",INDEX(Gec_Cu,MATCH(TRUE,Gec_CM&gt;=INDEX(Ampacity_CM,MATCH($AU52,Ampacity_Size,0))*$AT52,0))),"—"))</f>
        <v/>
      </c>
      <c r="AX52" s="533" t="str">
        <f t="shared" si="51"/>
        <v/>
      </c>
      <c r="AY52" s="533" t="str">
        <f t="shared" si="52"/>
        <v/>
      </c>
      <c r="AZ52" s="20" t="str">
        <f t="shared" si="53"/>
        <v/>
      </c>
    </row>
    <row r="53" spans="1:52" ht="15" customHeight="1" x14ac:dyDescent="0.35">
      <c r="A53" s="362" t="str" cm="1">
        <f t="array" ref="A53">IFERROR(IF(INDEX(_xlfn.ANCHORARRAY($BO$4),ROW()-5,1)="","","T-"&amp;INDEX(_xlfn.ANCHORARRAY($BO$4),ROW()-5,1)),"")</f>
        <v/>
      </c>
      <c r="B53" s="362" t="str" cm="1">
        <f t="array" ref="B53">IFERROR(IF(INDEX(_xlfn.ANCHORARRAY($BO$4),ROW()-5,1)="","",INDEX(_xlfn.ANCHORARRAY($BO$4),ROW()-5,1)),"")</f>
        <v/>
      </c>
      <c r="C53" s="362" t="str" cm="1">
        <f t="array" ref="C53">IFERROR(INDEX(_xlfn.ANCHORARRAY($BO$4),ROW()-5,5),"")</f>
        <v/>
      </c>
      <c r="D53" s="362" t="str" cm="1">
        <f t="array" ref="D53">IFERROR(INDEX(_xlfn.ANCHORARRAY($BO$4),ROW()-5,3),"")</f>
        <v/>
      </c>
      <c r="E53" s="362" t="str" cm="1">
        <f t="array" ref="E53">IFERROR(INDEX(_xlfn.ANCHORARRAY($BO$4),ROW()-5,4),"")</f>
        <v/>
      </c>
      <c r="F53" s="36" t="str" cm="1">
        <f t="array" ref="F53">IFERROR(INDEX(_xlfn.ANCHORARRAY($BO$4),ROW()-5,6),"")</f>
        <v/>
      </c>
      <c r="G53" s="362" t="str" cm="1">
        <f t="array" ref="G53">IF($F53="","",_xlfn.LET(_xlpm.ov,N(IFERROR(_xlfn.XLOOKUP($B53,Dashboard!$A$101:$A$350,Dashboard!$O$101:$O$350,0),0)),_xlpm.need,MAX(N($F53),_xlpm.ov*N($E53)*IF($C53=3,SQRT(3),1)/1000),IFERROR(INDEX(IF($C53=1,Xfmr1_kVA,Xfmr3_kVA),MATCH(TRUE,IF($C53=1,Xfmr1_kVA,Xfmr3_kVA)&gt;=_xlpm.need,0)),"OVER")))</f>
        <v/>
      </c>
      <c r="H53" s="362" t="str">
        <f t="shared" si="27"/>
        <v/>
      </c>
      <c r="I53" s="168" t="str">
        <f t="shared" si="28"/>
        <v/>
      </c>
      <c r="J53" s="362" t="str">
        <f t="shared" si="29"/>
        <v/>
      </c>
      <c r="K53" s="362" t="str">
        <f t="shared" si="30"/>
        <v/>
      </c>
      <c r="L53" s="362" t="str">
        <f t="shared" si="31"/>
        <v/>
      </c>
      <c r="M53" s="168" t="str" cm="1">
        <f t="array" ref="M53">IF($Z53&lt;&gt;"",$Z53,IFERROR(IF($AJ53="","",INDEX(OCPD_List,MATCH(TRUE,OCPD_List&gt;=1.25*$AJ53,0))),"—"))</f>
        <v/>
      </c>
      <c r="N53" s="168" t="str" cm="1">
        <f t="array" ref="N53">IF($AA53&lt;&gt;"",$AA53,IFERROR(IF($AK53="","",INDEX(OCPD_List,MATCH(TRUE,OCPD_List&gt;=1.25*$AK53,0))),"—"))</f>
        <v/>
      </c>
      <c r="O53" s="171" t="str">
        <f t="shared" si="32"/>
        <v/>
      </c>
      <c r="P53" s="171" t="str">
        <f t="shared" si="33"/>
        <v/>
      </c>
      <c r="Q53" s="78" t="str">
        <f t="shared" si="34"/>
        <v/>
      </c>
      <c r="R53" s="371"/>
      <c r="S53" s="481" t="str">
        <f t="shared" si="35"/>
        <v/>
      </c>
      <c r="T53" s="482" t="str">
        <f t="shared" si="36"/>
        <v/>
      </c>
      <c r="U53" s="482" t="str">
        <f t="shared" si="37"/>
        <v/>
      </c>
      <c r="V53" s="482" t="str">
        <f t="shared" si="38"/>
        <v/>
      </c>
      <c r="W53" s="169"/>
      <c r="X53" s="169"/>
      <c r="Y53" s="169"/>
      <c r="Z53" s="251"/>
      <c r="AA53" s="251"/>
      <c r="AB53" s="483"/>
      <c r="AC53" s="483"/>
      <c r="AD53" s="483"/>
      <c r="AE53" s="483"/>
      <c r="AF53" s="483"/>
      <c r="AG53" s="254" t="str">
        <f t="shared" si="39"/>
        <v/>
      </c>
      <c r="AH53" s="254" t="str">
        <f t="shared" si="40"/>
        <v/>
      </c>
      <c r="AI53" s="254" t="str">
        <f t="shared" si="41"/>
        <v/>
      </c>
      <c r="AJ53" s="254" t="str">
        <f t="shared" si="42"/>
        <v/>
      </c>
      <c r="AK53" s="254" t="str">
        <f t="shared" si="43"/>
        <v/>
      </c>
      <c r="AL53" s="255" t="str" cm="1">
        <f t="array" ref="AL53">IFERROR(IF(INDEX(_xlfn.ANCHORARRAY($BO$4),ROW()-5,2)="","",_xlfn.XLOOKUP(INDEX(_xlfn.ANCHORARRAY($BO$4),ROW()-5,2),'Short Circuit'!$A$6:$A$255,'Short Circuit'!$J$6:$J$255,"")),"")</f>
        <v/>
      </c>
      <c r="AM53" s="254" t="str">
        <f t="shared" si="44"/>
        <v/>
      </c>
      <c r="AN53" s="254" t="str">
        <f t="shared" si="45"/>
        <v/>
      </c>
      <c r="AO53" s="254" t="str">
        <f t="shared" si="46"/>
        <v/>
      </c>
      <c r="AP53" s="255" t="str">
        <f t="shared" si="47"/>
        <v/>
      </c>
      <c r="AQ53" s="255" t="str">
        <f t="shared" si="48"/>
        <v/>
      </c>
      <c r="AR53" s="255" t="str">
        <f t="shared" si="49"/>
        <v/>
      </c>
      <c r="AS53" s="255" t="str" cm="1">
        <f t="array" ref="AS53">IFERROR(IF($AP53="","",INDEX(AIC_List,MATCH(TRUE,AIC_List&gt;=$AP53,0))),"⚠ &gt; 200 kA")</f>
        <v/>
      </c>
      <c r="AT53" s="255" t="str">
        <f t="shared" si="50"/>
        <v/>
      </c>
      <c r="AU53" s="290" t="str" cm="1">
        <f t="array" ref="AU53">IFERROR(IF($AK53="","",INDEX(Ampacity_Size,MATCH(TRUE,Ampacity_Cu&gt;=1.25*$AK53/$AT53,0))),"—")</f>
        <v/>
      </c>
      <c r="AV53" s="290" t="str" cm="1">
        <f t="array" ref="AV53">IF($AU53="","",IFERROR(INDEX(Gec_Cu,MATCH(TRUE,Gec_CM&gt;=INDEX(Ampacity_CM,MATCH($AU53,Ampacity_Size,0))*$AT53,0)),"—"))</f>
        <v/>
      </c>
      <c r="AW53" s="290" t="str" cm="1">
        <f t="array" ref="AW53">IF($AU53="","",IFERROR(IF(INDEX(Ampacity_CM,MATCH($AU53,Ampacity_Size,0))*$AT53&gt;1100000,"12.5% of phase area",INDEX(Gec_Cu,MATCH(TRUE,Gec_CM&gt;=INDEX(Ampacity_CM,MATCH($AU53,Ampacity_Size,0))*$AT53,0))),"—"))</f>
        <v/>
      </c>
      <c r="AX53" s="533" t="str">
        <f t="shared" si="51"/>
        <v/>
      </c>
      <c r="AY53" s="533" t="str">
        <f t="shared" si="52"/>
        <v/>
      </c>
      <c r="AZ53" s="20" t="str">
        <f t="shared" si="53"/>
        <v/>
      </c>
    </row>
    <row r="54" spans="1:52" ht="15" customHeight="1" x14ac:dyDescent="0.35">
      <c r="A54" s="362" t="str" cm="1">
        <f t="array" ref="A54">IFERROR(IF(INDEX(_xlfn.ANCHORARRAY($BO$4),ROW()-5,1)="","","T-"&amp;INDEX(_xlfn.ANCHORARRAY($BO$4),ROW()-5,1)),"")</f>
        <v/>
      </c>
      <c r="B54" s="362" t="str" cm="1">
        <f t="array" ref="B54">IFERROR(IF(INDEX(_xlfn.ANCHORARRAY($BO$4),ROW()-5,1)="","",INDEX(_xlfn.ANCHORARRAY($BO$4),ROW()-5,1)),"")</f>
        <v/>
      </c>
      <c r="C54" s="362" t="str" cm="1">
        <f t="array" ref="C54">IFERROR(INDEX(_xlfn.ANCHORARRAY($BO$4),ROW()-5,5),"")</f>
        <v/>
      </c>
      <c r="D54" s="362" t="str" cm="1">
        <f t="array" ref="D54">IFERROR(INDEX(_xlfn.ANCHORARRAY($BO$4),ROW()-5,3),"")</f>
        <v/>
      </c>
      <c r="E54" s="362" t="str" cm="1">
        <f t="array" ref="E54">IFERROR(INDEX(_xlfn.ANCHORARRAY($BO$4),ROW()-5,4),"")</f>
        <v/>
      </c>
      <c r="F54" s="36" t="str" cm="1">
        <f t="array" ref="F54">IFERROR(INDEX(_xlfn.ANCHORARRAY($BO$4),ROW()-5,6),"")</f>
        <v/>
      </c>
      <c r="G54" s="362" t="str" cm="1">
        <f t="array" ref="G54">IF($F54="","",_xlfn.LET(_xlpm.ov,N(IFERROR(_xlfn.XLOOKUP($B54,Dashboard!$A$101:$A$350,Dashboard!$O$101:$O$350,0),0)),_xlpm.need,MAX(N($F54),_xlpm.ov*N($E54)*IF($C54=3,SQRT(3),1)/1000),IFERROR(INDEX(IF($C54=1,Xfmr1_kVA,Xfmr3_kVA),MATCH(TRUE,IF($C54=1,Xfmr1_kVA,Xfmr3_kVA)&gt;=_xlpm.need,0)),"OVER")))</f>
        <v/>
      </c>
      <c r="H54" s="362" t="str">
        <f t="shared" si="27"/>
        <v/>
      </c>
      <c r="I54" s="168" t="str">
        <f t="shared" si="28"/>
        <v/>
      </c>
      <c r="J54" s="362" t="str">
        <f t="shared" si="29"/>
        <v/>
      </c>
      <c r="K54" s="362" t="str">
        <f t="shared" si="30"/>
        <v/>
      </c>
      <c r="L54" s="362" t="str">
        <f t="shared" si="31"/>
        <v/>
      </c>
      <c r="M54" s="168" t="str" cm="1">
        <f t="array" ref="M54">IF($Z54&lt;&gt;"",$Z54,IFERROR(IF($AJ54="","",INDEX(OCPD_List,MATCH(TRUE,OCPD_List&gt;=1.25*$AJ54,0))),"—"))</f>
        <v/>
      </c>
      <c r="N54" s="168" t="str" cm="1">
        <f t="array" ref="N54">IF($AA54&lt;&gt;"",$AA54,IFERROR(IF($AK54="","",INDEX(OCPD_List,MATCH(TRUE,OCPD_List&gt;=1.25*$AK54,0))),"—"))</f>
        <v/>
      </c>
      <c r="O54" s="171" t="str">
        <f t="shared" si="32"/>
        <v/>
      </c>
      <c r="P54" s="171" t="str">
        <f t="shared" si="33"/>
        <v/>
      </c>
      <c r="Q54" s="78" t="str">
        <f t="shared" si="34"/>
        <v/>
      </c>
      <c r="R54" s="371"/>
      <c r="S54" s="481" t="str">
        <f t="shared" si="35"/>
        <v/>
      </c>
      <c r="T54" s="482" t="str">
        <f t="shared" si="36"/>
        <v/>
      </c>
      <c r="U54" s="482" t="str">
        <f t="shared" si="37"/>
        <v/>
      </c>
      <c r="V54" s="482" t="str">
        <f t="shared" si="38"/>
        <v/>
      </c>
      <c r="W54" s="169"/>
      <c r="X54" s="169"/>
      <c r="Y54" s="169"/>
      <c r="Z54" s="251"/>
      <c r="AA54" s="251"/>
      <c r="AB54" s="483"/>
      <c r="AC54" s="483"/>
      <c r="AD54" s="483"/>
      <c r="AE54" s="483"/>
      <c r="AF54" s="483"/>
      <c r="AG54" s="254" t="str">
        <f t="shared" si="39"/>
        <v/>
      </c>
      <c r="AH54" s="254" t="str">
        <f t="shared" si="40"/>
        <v/>
      </c>
      <c r="AI54" s="254" t="str">
        <f t="shared" si="41"/>
        <v/>
      </c>
      <c r="AJ54" s="254" t="str">
        <f t="shared" si="42"/>
        <v/>
      </c>
      <c r="AK54" s="254" t="str">
        <f t="shared" si="43"/>
        <v/>
      </c>
      <c r="AL54" s="255" t="str" cm="1">
        <f t="array" ref="AL54">IFERROR(IF(INDEX(_xlfn.ANCHORARRAY($BO$4),ROW()-5,2)="","",_xlfn.XLOOKUP(INDEX(_xlfn.ANCHORARRAY($BO$4),ROW()-5,2),'Short Circuit'!$A$6:$A$255,'Short Circuit'!$J$6:$J$255,"")),"")</f>
        <v/>
      </c>
      <c r="AM54" s="254" t="str">
        <f t="shared" si="44"/>
        <v/>
      </c>
      <c r="AN54" s="254" t="str">
        <f t="shared" si="45"/>
        <v/>
      </c>
      <c r="AO54" s="254" t="str">
        <f t="shared" si="46"/>
        <v/>
      </c>
      <c r="AP54" s="255" t="str">
        <f t="shared" si="47"/>
        <v/>
      </c>
      <c r="AQ54" s="255" t="str">
        <f t="shared" si="48"/>
        <v/>
      </c>
      <c r="AR54" s="255" t="str">
        <f t="shared" si="49"/>
        <v/>
      </c>
      <c r="AS54" s="255" t="str" cm="1">
        <f t="array" ref="AS54">IFERROR(IF($AP54="","",INDEX(AIC_List,MATCH(TRUE,AIC_List&gt;=$AP54,0))),"⚠ &gt; 200 kA")</f>
        <v/>
      </c>
      <c r="AT54" s="255" t="str">
        <f t="shared" si="50"/>
        <v/>
      </c>
      <c r="AU54" s="290" t="str" cm="1">
        <f t="array" ref="AU54">IFERROR(IF($AK54="","",INDEX(Ampacity_Size,MATCH(TRUE,Ampacity_Cu&gt;=1.25*$AK54/$AT54,0))),"—")</f>
        <v/>
      </c>
      <c r="AV54" s="290" t="str" cm="1">
        <f t="array" ref="AV54">IF($AU54="","",IFERROR(INDEX(Gec_Cu,MATCH(TRUE,Gec_CM&gt;=INDEX(Ampacity_CM,MATCH($AU54,Ampacity_Size,0))*$AT54,0)),"—"))</f>
        <v/>
      </c>
      <c r="AW54" s="290" t="str" cm="1">
        <f t="array" ref="AW54">IF($AU54="","",IFERROR(IF(INDEX(Ampacity_CM,MATCH($AU54,Ampacity_Size,0))*$AT54&gt;1100000,"12.5% of phase area",INDEX(Gec_Cu,MATCH(TRUE,Gec_CM&gt;=INDEX(Ampacity_CM,MATCH($AU54,Ampacity_Size,0))*$AT54,0))),"—"))</f>
        <v/>
      </c>
      <c r="AX54" s="533" t="str">
        <f t="shared" si="51"/>
        <v/>
      </c>
      <c r="AY54" s="533" t="str">
        <f t="shared" si="52"/>
        <v/>
      </c>
      <c r="AZ54" s="20" t="str">
        <f t="shared" si="53"/>
        <v/>
      </c>
    </row>
    <row r="55" spans="1:52" ht="15" customHeight="1" x14ac:dyDescent="0.35">
      <c r="A55" s="362" t="str" cm="1">
        <f t="array" ref="A55">IFERROR(IF(INDEX(_xlfn.ANCHORARRAY($BO$4),ROW()-5,1)="","","T-"&amp;INDEX(_xlfn.ANCHORARRAY($BO$4),ROW()-5,1)),"")</f>
        <v/>
      </c>
      <c r="B55" s="362" t="str" cm="1">
        <f t="array" ref="B55">IFERROR(IF(INDEX(_xlfn.ANCHORARRAY($BO$4),ROW()-5,1)="","",INDEX(_xlfn.ANCHORARRAY($BO$4),ROW()-5,1)),"")</f>
        <v/>
      </c>
      <c r="C55" s="362" t="str" cm="1">
        <f t="array" ref="C55">IFERROR(INDEX(_xlfn.ANCHORARRAY($BO$4),ROW()-5,5),"")</f>
        <v/>
      </c>
      <c r="D55" s="362" t="str" cm="1">
        <f t="array" ref="D55">IFERROR(INDEX(_xlfn.ANCHORARRAY($BO$4),ROW()-5,3),"")</f>
        <v/>
      </c>
      <c r="E55" s="362" t="str" cm="1">
        <f t="array" ref="E55">IFERROR(INDEX(_xlfn.ANCHORARRAY($BO$4),ROW()-5,4),"")</f>
        <v/>
      </c>
      <c r="F55" s="36" t="str" cm="1">
        <f t="array" ref="F55">IFERROR(INDEX(_xlfn.ANCHORARRAY($BO$4),ROW()-5,6),"")</f>
        <v/>
      </c>
      <c r="G55" s="362" t="str" cm="1">
        <f t="array" ref="G55">IF($F55="","",_xlfn.LET(_xlpm.ov,N(IFERROR(_xlfn.XLOOKUP($B55,Dashboard!$A$101:$A$350,Dashboard!$O$101:$O$350,0),0)),_xlpm.need,MAX(N($F55),_xlpm.ov*N($E55)*IF($C55=3,SQRT(3),1)/1000),IFERROR(INDEX(IF($C55=1,Xfmr1_kVA,Xfmr3_kVA),MATCH(TRUE,IF($C55=1,Xfmr1_kVA,Xfmr3_kVA)&gt;=_xlpm.need,0)),"OVER")))</f>
        <v/>
      </c>
      <c r="H55" s="362" t="str">
        <f t="shared" si="27"/>
        <v/>
      </c>
      <c r="I55" s="168" t="str">
        <f t="shared" si="28"/>
        <v/>
      </c>
      <c r="J55" s="362" t="str">
        <f t="shared" si="29"/>
        <v/>
      </c>
      <c r="K55" s="362" t="str">
        <f t="shared" si="30"/>
        <v/>
      </c>
      <c r="L55" s="362" t="str">
        <f t="shared" si="31"/>
        <v/>
      </c>
      <c r="M55" s="168" t="str" cm="1">
        <f t="array" ref="M55">IF($Z55&lt;&gt;"",$Z55,IFERROR(IF($AJ55="","",INDEX(OCPD_List,MATCH(TRUE,OCPD_List&gt;=1.25*$AJ55,0))),"—"))</f>
        <v/>
      </c>
      <c r="N55" s="168" t="str" cm="1">
        <f t="array" ref="N55">IF($AA55&lt;&gt;"",$AA55,IFERROR(IF($AK55="","",INDEX(OCPD_List,MATCH(TRUE,OCPD_List&gt;=1.25*$AK55,0))),"—"))</f>
        <v/>
      </c>
      <c r="O55" s="171" t="str">
        <f t="shared" si="32"/>
        <v/>
      </c>
      <c r="P55" s="171" t="str">
        <f t="shared" si="33"/>
        <v/>
      </c>
      <c r="Q55" s="78" t="str">
        <f t="shared" si="34"/>
        <v/>
      </c>
      <c r="R55" s="371"/>
      <c r="S55" s="481" t="str">
        <f t="shared" si="35"/>
        <v/>
      </c>
      <c r="T55" s="482" t="str">
        <f t="shared" si="36"/>
        <v/>
      </c>
      <c r="U55" s="482" t="str">
        <f t="shared" si="37"/>
        <v/>
      </c>
      <c r="V55" s="482" t="str">
        <f t="shared" si="38"/>
        <v/>
      </c>
      <c r="W55" s="169"/>
      <c r="X55" s="169"/>
      <c r="Y55" s="169"/>
      <c r="Z55" s="251"/>
      <c r="AA55" s="251"/>
      <c r="AB55" s="483"/>
      <c r="AC55" s="483"/>
      <c r="AD55" s="483"/>
      <c r="AE55" s="483"/>
      <c r="AF55" s="483"/>
      <c r="AG55" s="254" t="str">
        <f t="shared" si="39"/>
        <v/>
      </c>
      <c r="AH55" s="254" t="str">
        <f t="shared" si="40"/>
        <v/>
      </c>
      <c r="AI55" s="254" t="str">
        <f t="shared" si="41"/>
        <v/>
      </c>
      <c r="AJ55" s="254" t="str">
        <f t="shared" si="42"/>
        <v/>
      </c>
      <c r="AK55" s="254" t="str">
        <f t="shared" si="43"/>
        <v/>
      </c>
      <c r="AL55" s="255" t="str" cm="1">
        <f t="array" ref="AL55">IFERROR(IF(INDEX(_xlfn.ANCHORARRAY($BO$4),ROW()-5,2)="","",_xlfn.XLOOKUP(INDEX(_xlfn.ANCHORARRAY($BO$4),ROW()-5,2),'Short Circuit'!$A$6:$A$255,'Short Circuit'!$J$6:$J$255,"")),"")</f>
        <v/>
      </c>
      <c r="AM55" s="254" t="str">
        <f t="shared" si="44"/>
        <v/>
      </c>
      <c r="AN55" s="254" t="str">
        <f t="shared" si="45"/>
        <v/>
      </c>
      <c r="AO55" s="254" t="str">
        <f t="shared" si="46"/>
        <v/>
      </c>
      <c r="AP55" s="255" t="str">
        <f t="shared" si="47"/>
        <v/>
      </c>
      <c r="AQ55" s="255" t="str">
        <f t="shared" si="48"/>
        <v/>
      </c>
      <c r="AR55" s="255" t="str">
        <f t="shared" si="49"/>
        <v/>
      </c>
      <c r="AS55" s="255" t="str" cm="1">
        <f t="array" ref="AS55">IFERROR(IF($AP55="","",INDEX(AIC_List,MATCH(TRUE,AIC_List&gt;=$AP55,0))),"⚠ &gt; 200 kA")</f>
        <v/>
      </c>
      <c r="AT55" s="255" t="str">
        <f t="shared" si="50"/>
        <v/>
      </c>
      <c r="AU55" s="290" t="str" cm="1">
        <f t="array" ref="AU55">IFERROR(IF($AK55="","",INDEX(Ampacity_Size,MATCH(TRUE,Ampacity_Cu&gt;=1.25*$AK55/$AT55,0))),"—")</f>
        <v/>
      </c>
      <c r="AV55" s="290" t="str" cm="1">
        <f t="array" ref="AV55">IF($AU55="","",IFERROR(INDEX(Gec_Cu,MATCH(TRUE,Gec_CM&gt;=INDEX(Ampacity_CM,MATCH($AU55,Ampacity_Size,0))*$AT55,0)),"—"))</f>
        <v/>
      </c>
      <c r="AW55" s="290" t="str" cm="1">
        <f t="array" ref="AW55">IF($AU55="","",IFERROR(IF(INDEX(Ampacity_CM,MATCH($AU55,Ampacity_Size,0))*$AT55&gt;1100000,"12.5% of phase area",INDEX(Gec_Cu,MATCH(TRUE,Gec_CM&gt;=INDEX(Ampacity_CM,MATCH($AU55,Ampacity_Size,0))*$AT55,0))),"—"))</f>
        <v/>
      </c>
      <c r="AX55" s="533" t="str">
        <f t="shared" si="51"/>
        <v/>
      </c>
      <c r="AY55" s="533" t="str">
        <f t="shared" si="52"/>
        <v/>
      </c>
      <c r="AZ55" s="20" t="str">
        <f t="shared" si="53"/>
        <v/>
      </c>
    </row>
    <row r="56" spans="1:52" ht="15" customHeight="1" x14ac:dyDescent="0.35">
      <c r="A56" s="362" t="str" cm="1">
        <f t="array" ref="A56">IFERROR(IF(INDEX(_xlfn.ANCHORARRAY($BO$4),ROW()-5,1)="","","T-"&amp;INDEX(_xlfn.ANCHORARRAY($BO$4),ROW()-5,1)),"")</f>
        <v/>
      </c>
      <c r="B56" s="362" t="str" cm="1">
        <f t="array" ref="B56">IFERROR(IF(INDEX(_xlfn.ANCHORARRAY($BO$4),ROW()-5,1)="","",INDEX(_xlfn.ANCHORARRAY($BO$4),ROW()-5,1)),"")</f>
        <v/>
      </c>
      <c r="C56" s="362" t="str" cm="1">
        <f t="array" ref="C56">IFERROR(INDEX(_xlfn.ANCHORARRAY($BO$4),ROW()-5,5),"")</f>
        <v/>
      </c>
      <c r="D56" s="362" t="str" cm="1">
        <f t="array" ref="D56">IFERROR(INDEX(_xlfn.ANCHORARRAY($BO$4),ROW()-5,3),"")</f>
        <v/>
      </c>
      <c r="E56" s="362" t="str" cm="1">
        <f t="array" ref="E56">IFERROR(INDEX(_xlfn.ANCHORARRAY($BO$4),ROW()-5,4),"")</f>
        <v/>
      </c>
      <c r="F56" s="36" t="str" cm="1">
        <f t="array" ref="F56">IFERROR(INDEX(_xlfn.ANCHORARRAY($BO$4),ROW()-5,6),"")</f>
        <v/>
      </c>
      <c r="G56" s="362" t="str" cm="1">
        <f t="array" ref="G56">IF($F56="","",_xlfn.LET(_xlpm.ov,N(IFERROR(_xlfn.XLOOKUP($B56,Dashboard!$A$101:$A$350,Dashboard!$O$101:$O$350,0),0)),_xlpm.need,MAX(N($F56),_xlpm.ov*N($E56)*IF($C56=3,SQRT(3),1)/1000),IFERROR(INDEX(IF($C56=1,Xfmr1_kVA,Xfmr3_kVA),MATCH(TRUE,IF($C56=1,Xfmr1_kVA,Xfmr3_kVA)&gt;=_xlpm.need,0)),"OVER")))</f>
        <v/>
      </c>
      <c r="H56" s="362" t="str">
        <f t="shared" si="27"/>
        <v/>
      </c>
      <c r="I56" s="168" t="str">
        <f t="shared" si="28"/>
        <v/>
      </c>
      <c r="J56" s="362" t="str">
        <f t="shared" si="29"/>
        <v/>
      </c>
      <c r="K56" s="362" t="str">
        <f t="shared" si="30"/>
        <v/>
      </c>
      <c r="L56" s="362" t="str">
        <f t="shared" si="31"/>
        <v/>
      </c>
      <c r="M56" s="168" t="str" cm="1">
        <f t="array" ref="M56">IF($Z56&lt;&gt;"",$Z56,IFERROR(IF($AJ56="","",INDEX(OCPD_List,MATCH(TRUE,OCPD_List&gt;=1.25*$AJ56,0))),"—"))</f>
        <v/>
      </c>
      <c r="N56" s="168" t="str" cm="1">
        <f t="array" ref="N56">IF($AA56&lt;&gt;"",$AA56,IFERROR(IF($AK56="","",INDEX(OCPD_List,MATCH(TRUE,OCPD_List&gt;=1.25*$AK56,0))),"—"))</f>
        <v/>
      </c>
      <c r="O56" s="171" t="str">
        <f t="shared" si="32"/>
        <v/>
      </c>
      <c r="P56" s="171" t="str">
        <f t="shared" si="33"/>
        <v/>
      </c>
      <c r="Q56" s="78" t="str">
        <f t="shared" si="34"/>
        <v/>
      </c>
      <c r="R56" s="371"/>
      <c r="S56" s="481" t="str">
        <f t="shared" si="35"/>
        <v/>
      </c>
      <c r="T56" s="482" t="str">
        <f t="shared" si="36"/>
        <v/>
      </c>
      <c r="U56" s="482" t="str">
        <f t="shared" si="37"/>
        <v/>
      </c>
      <c r="V56" s="482" t="str">
        <f t="shared" si="38"/>
        <v/>
      </c>
      <c r="W56" s="169"/>
      <c r="X56" s="169"/>
      <c r="Y56" s="169"/>
      <c r="Z56" s="251"/>
      <c r="AA56" s="251"/>
      <c r="AB56" s="483"/>
      <c r="AC56" s="483"/>
      <c r="AD56" s="483"/>
      <c r="AE56" s="483"/>
      <c r="AF56" s="483"/>
      <c r="AG56" s="254" t="str">
        <f t="shared" si="39"/>
        <v/>
      </c>
      <c r="AH56" s="254" t="str">
        <f t="shared" si="40"/>
        <v/>
      </c>
      <c r="AI56" s="254" t="str">
        <f t="shared" si="41"/>
        <v/>
      </c>
      <c r="AJ56" s="254" t="str">
        <f t="shared" si="42"/>
        <v/>
      </c>
      <c r="AK56" s="254" t="str">
        <f t="shared" si="43"/>
        <v/>
      </c>
      <c r="AL56" s="255" t="str" cm="1">
        <f t="array" ref="AL56">IFERROR(IF(INDEX(_xlfn.ANCHORARRAY($BO$4),ROW()-5,2)="","",_xlfn.XLOOKUP(INDEX(_xlfn.ANCHORARRAY($BO$4),ROW()-5,2),'Short Circuit'!$A$6:$A$255,'Short Circuit'!$J$6:$J$255,"")),"")</f>
        <v/>
      </c>
      <c r="AM56" s="254" t="str">
        <f t="shared" si="44"/>
        <v/>
      </c>
      <c r="AN56" s="254" t="str">
        <f t="shared" si="45"/>
        <v/>
      </c>
      <c r="AO56" s="254" t="str">
        <f t="shared" si="46"/>
        <v/>
      </c>
      <c r="AP56" s="255" t="str">
        <f t="shared" si="47"/>
        <v/>
      </c>
      <c r="AQ56" s="255" t="str">
        <f t="shared" si="48"/>
        <v/>
      </c>
      <c r="AR56" s="255" t="str">
        <f t="shared" si="49"/>
        <v/>
      </c>
      <c r="AS56" s="255" t="str" cm="1">
        <f t="array" ref="AS56">IFERROR(IF($AP56="","",INDEX(AIC_List,MATCH(TRUE,AIC_List&gt;=$AP56,0))),"⚠ &gt; 200 kA")</f>
        <v/>
      </c>
      <c r="AT56" s="255" t="str">
        <f t="shared" si="50"/>
        <v/>
      </c>
      <c r="AU56" s="290" t="str" cm="1">
        <f t="array" ref="AU56">IFERROR(IF($AK56="","",INDEX(Ampacity_Size,MATCH(TRUE,Ampacity_Cu&gt;=1.25*$AK56/$AT56,0))),"—")</f>
        <v/>
      </c>
      <c r="AV56" s="290" t="str" cm="1">
        <f t="array" ref="AV56">IF($AU56="","",IFERROR(INDEX(Gec_Cu,MATCH(TRUE,Gec_CM&gt;=INDEX(Ampacity_CM,MATCH($AU56,Ampacity_Size,0))*$AT56,0)),"—"))</f>
        <v/>
      </c>
      <c r="AW56" s="290" t="str" cm="1">
        <f t="array" ref="AW56">IF($AU56="","",IFERROR(IF(INDEX(Ampacity_CM,MATCH($AU56,Ampacity_Size,0))*$AT56&gt;1100000,"12.5% of phase area",INDEX(Gec_Cu,MATCH(TRUE,Gec_CM&gt;=INDEX(Ampacity_CM,MATCH($AU56,Ampacity_Size,0))*$AT56,0))),"—"))</f>
        <v/>
      </c>
      <c r="AX56" s="533" t="str">
        <f t="shared" si="51"/>
        <v/>
      </c>
      <c r="AY56" s="533" t="str">
        <f t="shared" si="52"/>
        <v/>
      </c>
      <c r="AZ56" s="20" t="str">
        <f t="shared" si="53"/>
        <v/>
      </c>
    </row>
    <row r="57" spans="1:52" ht="15" customHeight="1" x14ac:dyDescent="0.35">
      <c r="A57" s="362" t="str" cm="1">
        <f t="array" ref="A57">IFERROR(IF(INDEX(_xlfn.ANCHORARRAY($BO$4),ROW()-5,1)="","","T-"&amp;INDEX(_xlfn.ANCHORARRAY($BO$4),ROW()-5,1)),"")</f>
        <v/>
      </c>
      <c r="B57" s="362" t="str" cm="1">
        <f t="array" ref="B57">IFERROR(IF(INDEX(_xlfn.ANCHORARRAY($BO$4),ROW()-5,1)="","",INDEX(_xlfn.ANCHORARRAY($BO$4),ROW()-5,1)),"")</f>
        <v/>
      </c>
      <c r="C57" s="362" t="str" cm="1">
        <f t="array" ref="C57">IFERROR(INDEX(_xlfn.ANCHORARRAY($BO$4),ROW()-5,5),"")</f>
        <v/>
      </c>
      <c r="D57" s="362" t="str" cm="1">
        <f t="array" ref="D57">IFERROR(INDEX(_xlfn.ANCHORARRAY($BO$4),ROW()-5,3),"")</f>
        <v/>
      </c>
      <c r="E57" s="362" t="str" cm="1">
        <f t="array" ref="E57">IFERROR(INDEX(_xlfn.ANCHORARRAY($BO$4),ROW()-5,4),"")</f>
        <v/>
      </c>
      <c r="F57" s="36" t="str" cm="1">
        <f t="array" ref="F57">IFERROR(INDEX(_xlfn.ANCHORARRAY($BO$4),ROW()-5,6),"")</f>
        <v/>
      </c>
      <c r="G57" s="362" t="str" cm="1">
        <f t="array" ref="G57">IF($F57="","",_xlfn.LET(_xlpm.ov,N(IFERROR(_xlfn.XLOOKUP($B57,Dashboard!$A$101:$A$350,Dashboard!$O$101:$O$350,0),0)),_xlpm.need,MAX(N($F57),_xlpm.ov*N($E57)*IF($C57=3,SQRT(3),1)/1000),IFERROR(INDEX(IF($C57=1,Xfmr1_kVA,Xfmr3_kVA),MATCH(TRUE,IF($C57=1,Xfmr1_kVA,Xfmr3_kVA)&gt;=_xlpm.need,0)),"OVER")))</f>
        <v/>
      </c>
      <c r="H57" s="362" t="str">
        <f t="shared" si="27"/>
        <v/>
      </c>
      <c r="I57" s="168" t="str">
        <f t="shared" si="28"/>
        <v/>
      </c>
      <c r="J57" s="362" t="str">
        <f t="shared" si="29"/>
        <v/>
      </c>
      <c r="K57" s="362" t="str">
        <f t="shared" si="30"/>
        <v/>
      </c>
      <c r="L57" s="362" t="str">
        <f t="shared" si="31"/>
        <v/>
      </c>
      <c r="M57" s="168" t="str" cm="1">
        <f t="array" ref="M57">IF($Z57&lt;&gt;"",$Z57,IFERROR(IF($AJ57="","",INDEX(OCPD_List,MATCH(TRUE,OCPD_List&gt;=1.25*$AJ57,0))),"—"))</f>
        <v/>
      </c>
      <c r="N57" s="168" t="str" cm="1">
        <f t="array" ref="N57">IF($AA57&lt;&gt;"",$AA57,IFERROR(IF($AK57="","",INDEX(OCPD_List,MATCH(TRUE,OCPD_List&gt;=1.25*$AK57,0))),"—"))</f>
        <v/>
      </c>
      <c r="O57" s="171" t="str">
        <f t="shared" si="32"/>
        <v/>
      </c>
      <c r="P57" s="171" t="str">
        <f t="shared" si="33"/>
        <v/>
      </c>
      <c r="Q57" s="78" t="str">
        <f t="shared" si="34"/>
        <v/>
      </c>
      <c r="R57" s="371"/>
      <c r="S57" s="481" t="str">
        <f t="shared" si="35"/>
        <v/>
      </c>
      <c r="T57" s="482" t="str">
        <f t="shared" si="36"/>
        <v/>
      </c>
      <c r="U57" s="482" t="str">
        <f t="shared" si="37"/>
        <v/>
      </c>
      <c r="V57" s="482" t="str">
        <f t="shared" si="38"/>
        <v/>
      </c>
      <c r="W57" s="169"/>
      <c r="X57" s="169"/>
      <c r="Y57" s="169"/>
      <c r="Z57" s="251"/>
      <c r="AA57" s="251"/>
      <c r="AB57" s="483"/>
      <c r="AC57" s="483"/>
      <c r="AD57" s="483"/>
      <c r="AE57" s="483"/>
      <c r="AF57" s="483"/>
      <c r="AG57" s="254" t="str">
        <f t="shared" si="39"/>
        <v/>
      </c>
      <c r="AH57" s="254" t="str">
        <f t="shared" si="40"/>
        <v/>
      </c>
      <c r="AI57" s="254" t="str">
        <f t="shared" si="41"/>
        <v/>
      </c>
      <c r="AJ57" s="254" t="str">
        <f t="shared" si="42"/>
        <v/>
      </c>
      <c r="AK57" s="254" t="str">
        <f t="shared" si="43"/>
        <v/>
      </c>
      <c r="AL57" s="255" t="str" cm="1">
        <f t="array" ref="AL57">IFERROR(IF(INDEX(_xlfn.ANCHORARRAY($BO$4),ROW()-5,2)="","",_xlfn.XLOOKUP(INDEX(_xlfn.ANCHORARRAY($BO$4),ROW()-5,2),'Short Circuit'!$A$6:$A$255,'Short Circuit'!$J$6:$J$255,"")),"")</f>
        <v/>
      </c>
      <c r="AM57" s="254" t="str">
        <f t="shared" si="44"/>
        <v/>
      </c>
      <c r="AN57" s="254" t="str">
        <f t="shared" si="45"/>
        <v/>
      </c>
      <c r="AO57" s="254" t="str">
        <f t="shared" si="46"/>
        <v/>
      </c>
      <c r="AP57" s="255" t="str">
        <f t="shared" si="47"/>
        <v/>
      </c>
      <c r="AQ57" s="255" t="str">
        <f t="shared" si="48"/>
        <v/>
      </c>
      <c r="AR57" s="255" t="str">
        <f t="shared" si="49"/>
        <v/>
      </c>
      <c r="AS57" s="255" t="str" cm="1">
        <f t="array" ref="AS57">IFERROR(IF($AP57="","",INDEX(AIC_List,MATCH(TRUE,AIC_List&gt;=$AP57,0))),"⚠ &gt; 200 kA")</f>
        <v/>
      </c>
      <c r="AT57" s="255" t="str">
        <f t="shared" si="50"/>
        <v/>
      </c>
      <c r="AU57" s="290" t="str" cm="1">
        <f t="array" ref="AU57">IFERROR(IF($AK57="","",INDEX(Ampacity_Size,MATCH(TRUE,Ampacity_Cu&gt;=1.25*$AK57/$AT57,0))),"—")</f>
        <v/>
      </c>
      <c r="AV57" s="290" t="str" cm="1">
        <f t="array" ref="AV57">IF($AU57="","",IFERROR(INDEX(Gec_Cu,MATCH(TRUE,Gec_CM&gt;=INDEX(Ampacity_CM,MATCH($AU57,Ampacity_Size,0))*$AT57,0)),"—"))</f>
        <v/>
      </c>
      <c r="AW57" s="290" t="str" cm="1">
        <f t="array" ref="AW57">IF($AU57="","",IFERROR(IF(INDEX(Ampacity_CM,MATCH($AU57,Ampacity_Size,0))*$AT57&gt;1100000,"12.5% of phase area",INDEX(Gec_Cu,MATCH(TRUE,Gec_CM&gt;=INDEX(Ampacity_CM,MATCH($AU57,Ampacity_Size,0))*$AT57,0))),"—"))</f>
        <v/>
      </c>
      <c r="AX57" s="533" t="str">
        <f t="shared" si="51"/>
        <v/>
      </c>
      <c r="AY57" s="533" t="str">
        <f t="shared" si="52"/>
        <v/>
      </c>
      <c r="AZ57" s="20" t="str">
        <f t="shared" si="53"/>
        <v/>
      </c>
    </row>
    <row r="58" spans="1:52" ht="15" customHeight="1" x14ac:dyDescent="0.35">
      <c r="A58" s="362" t="str" cm="1">
        <f t="array" ref="A58">IFERROR(IF(INDEX(_xlfn.ANCHORARRAY($BO$4),ROW()-5,1)="","","T-"&amp;INDEX(_xlfn.ANCHORARRAY($BO$4),ROW()-5,1)),"")</f>
        <v/>
      </c>
      <c r="B58" s="362" t="str" cm="1">
        <f t="array" ref="B58">IFERROR(IF(INDEX(_xlfn.ANCHORARRAY($BO$4),ROW()-5,1)="","",INDEX(_xlfn.ANCHORARRAY($BO$4),ROW()-5,1)),"")</f>
        <v/>
      </c>
      <c r="C58" s="362" t="str" cm="1">
        <f t="array" ref="C58">IFERROR(INDEX(_xlfn.ANCHORARRAY($BO$4),ROW()-5,5),"")</f>
        <v/>
      </c>
      <c r="D58" s="362" t="str" cm="1">
        <f t="array" ref="D58">IFERROR(INDEX(_xlfn.ANCHORARRAY($BO$4),ROW()-5,3),"")</f>
        <v/>
      </c>
      <c r="E58" s="362" t="str" cm="1">
        <f t="array" ref="E58">IFERROR(INDEX(_xlfn.ANCHORARRAY($BO$4),ROW()-5,4),"")</f>
        <v/>
      </c>
      <c r="F58" s="36" t="str" cm="1">
        <f t="array" ref="F58">IFERROR(INDEX(_xlfn.ANCHORARRAY($BO$4),ROW()-5,6),"")</f>
        <v/>
      </c>
      <c r="G58" s="362" t="str" cm="1">
        <f t="array" ref="G58">IF($F58="","",_xlfn.LET(_xlpm.ov,N(IFERROR(_xlfn.XLOOKUP($B58,Dashboard!$A$101:$A$350,Dashboard!$O$101:$O$350,0),0)),_xlpm.need,MAX(N($F58),_xlpm.ov*N($E58)*IF($C58=3,SQRT(3),1)/1000),IFERROR(INDEX(IF($C58=1,Xfmr1_kVA,Xfmr3_kVA),MATCH(TRUE,IF($C58=1,Xfmr1_kVA,Xfmr3_kVA)&gt;=_xlpm.need,0)),"OVER")))</f>
        <v/>
      </c>
      <c r="H58" s="362" t="str">
        <f t="shared" si="27"/>
        <v/>
      </c>
      <c r="I58" s="168" t="str">
        <f t="shared" si="28"/>
        <v/>
      </c>
      <c r="J58" s="362" t="str">
        <f t="shared" si="29"/>
        <v/>
      </c>
      <c r="K58" s="362" t="str">
        <f t="shared" si="30"/>
        <v/>
      </c>
      <c r="L58" s="362" t="str">
        <f t="shared" si="31"/>
        <v/>
      </c>
      <c r="M58" s="168" t="str" cm="1">
        <f t="array" ref="M58">IF($Z58&lt;&gt;"",$Z58,IFERROR(IF($AJ58="","",INDEX(OCPD_List,MATCH(TRUE,OCPD_List&gt;=1.25*$AJ58,0))),"—"))</f>
        <v/>
      </c>
      <c r="N58" s="168" t="str" cm="1">
        <f t="array" ref="N58">IF($AA58&lt;&gt;"",$AA58,IFERROR(IF($AK58="","",INDEX(OCPD_List,MATCH(TRUE,OCPD_List&gt;=1.25*$AK58,0))),"—"))</f>
        <v/>
      </c>
      <c r="O58" s="171" t="str">
        <f t="shared" si="32"/>
        <v/>
      </c>
      <c r="P58" s="171" t="str">
        <f t="shared" si="33"/>
        <v/>
      </c>
      <c r="Q58" s="78" t="str">
        <f t="shared" si="34"/>
        <v/>
      </c>
      <c r="R58" s="371"/>
      <c r="S58" s="481" t="str">
        <f t="shared" si="35"/>
        <v/>
      </c>
      <c r="T58" s="482" t="str">
        <f t="shared" si="36"/>
        <v/>
      </c>
      <c r="U58" s="482" t="str">
        <f t="shared" si="37"/>
        <v/>
      </c>
      <c r="V58" s="482" t="str">
        <f t="shared" si="38"/>
        <v/>
      </c>
      <c r="W58" s="169"/>
      <c r="X58" s="169"/>
      <c r="Y58" s="169"/>
      <c r="Z58" s="251"/>
      <c r="AA58" s="251"/>
      <c r="AB58" s="483"/>
      <c r="AC58" s="483"/>
      <c r="AD58" s="483"/>
      <c r="AE58" s="483"/>
      <c r="AF58" s="483"/>
      <c r="AG58" s="254" t="str">
        <f t="shared" si="39"/>
        <v/>
      </c>
      <c r="AH58" s="254" t="str">
        <f t="shared" si="40"/>
        <v/>
      </c>
      <c r="AI58" s="254" t="str">
        <f t="shared" si="41"/>
        <v/>
      </c>
      <c r="AJ58" s="254" t="str">
        <f t="shared" si="42"/>
        <v/>
      </c>
      <c r="AK58" s="254" t="str">
        <f t="shared" si="43"/>
        <v/>
      </c>
      <c r="AL58" s="255" t="str" cm="1">
        <f t="array" ref="AL58">IFERROR(IF(INDEX(_xlfn.ANCHORARRAY($BO$4),ROW()-5,2)="","",_xlfn.XLOOKUP(INDEX(_xlfn.ANCHORARRAY($BO$4),ROW()-5,2),'Short Circuit'!$A$6:$A$255,'Short Circuit'!$J$6:$J$255,"")),"")</f>
        <v/>
      </c>
      <c r="AM58" s="254" t="str">
        <f t="shared" si="44"/>
        <v/>
      </c>
      <c r="AN58" s="254" t="str">
        <f t="shared" si="45"/>
        <v/>
      </c>
      <c r="AO58" s="254" t="str">
        <f t="shared" si="46"/>
        <v/>
      </c>
      <c r="AP58" s="255" t="str">
        <f t="shared" si="47"/>
        <v/>
      </c>
      <c r="AQ58" s="255" t="str">
        <f t="shared" si="48"/>
        <v/>
      </c>
      <c r="AR58" s="255" t="str">
        <f t="shared" si="49"/>
        <v/>
      </c>
      <c r="AS58" s="255" t="str" cm="1">
        <f t="array" ref="AS58">IFERROR(IF($AP58="","",INDEX(AIC_List,MATCH(TRUE,AIC_List&gt;=$AP58,0))),"⚠ &gt; 200 kA")</f>
        <v/>
      </c>
      <c r="AT58" s="255" t="str">
        <f t="shared" si="50"/>
        <v/>
      </c>
      <c r="AU58" s="290" t="str" cm="1">
        <f t="array" ref="AU58">IFERROR(IF($AK58="","",INDEX(Ampacity_Size,MATCH(TRUE,Ampacity_Cu&gt;=1.25*$AK58/$AT58,0))),"—")</f>
        <v/>
      </c>
      <c r="AV58" s="290" t="str" cm="1">
        <f t="array" ref="AV58">IF($AU58="","",IFERROR(INDEX(Gec_Cu,MATCH(TRUE,Gec_CM&gt;=INDEX(Ampacity_CM,MATCH($AU58,Ampacity_Size,0))*$AT58,0)),"—"))</f>
        <v/>
      </c>
      <c r="AW58" s="290" t="str" cm="1">
        <f t="array" ref="AW58">IF($AU58="","",IFERROR(IF(INDEX(Ampacity_CM,MATCH($AU58,Ampacity_Size,0))*$AT58&gt;1100000,"12.5% of phase area",INDEX(Gec_Cu,MATCH(TRUE,Gec_CM&gt;=INDEX(Ampacity_CM,MATCH($AU58,Ampacity_Size,0))*$AT58,0))),"—"))</f>
        <v/>
      </c>
      <c r="AX58" s="533" t="str">
        <f t="shared" si="51"/>
        <v/>
      </c>
      <c r="AY58" s="533" t="str">
        <f t="shared" si="52"/>
        <v/>
      </c>
      <c r="AZ58" s="20" t="str">
        <f t="shared" si="53"/>
        <v/>
      </c>
    </row>
    <row r="59" spans="1:52" ht="15" customHeight="1" x14ac:dyDescent="0.35">
      <c r="A59" s="362" t="str" cm="1">
        <f t="array" ref="A59">IFERROR(IF(INDEX(_xlfn.ANCHORARRAY($BO$4),ROW()-5,1)="","","T-"&amp;INDEX(_xlfn.ANCHORARRAY($BO$4),ROW()-5,1)),"")</f>
        <v/>
      </c>
      <c r="B59" s="362" t="str" cm="1">
        <f t="array" ref="B59">IFERROR(IF(INDEX(_xlfn.ANCHORARRAY($BO$4),ROW()-5,1)="","",INDEX(_xlfn.ANCHORARRAY($BO$4),ROW()-5,1)),"")</f>
        <v/>
      </c>
      <c r="C59" s="362" t="str" cm="1">
        <f t="array" ref="C59">IFERROR(INDEX(_xlfn.ANCHORARRAY($BO$4),ROW()-5,5),"")</f>
        <v/>
      </c>
      <c r="D59" s="362" t="str" cm="1">
        <f t="array" ref="D59">IFERROR(INDEX(_xlfn.ANCHORARRAY($BO$4),ROW()-5,3),"")</f>
        <v/>
      </c>
      <c r="E59" s="362" t="str" cm="1">
        <f t="array" ref="E59">IFERROR(INDEX(_xlfn.ANCHORARRAY($BO$4),ROW()-5,4),"")</f>
        <v/>
      </c>
      <c r="F59" s="36" t="str" cm="1">
        <f t="array" ref="F59">IFERROR(INDEX(_xlfn.ANCHORARRAY($BO$4),ROW()-5,6),"")</f>
        <v/>
      </c>
      <c r="G59" s="362" t="str" cm="1">
        <f t="array" ref="G59">IF($F59="","",_xlfn.LET(_xlpm.ov,N(IFERROR(_xlfn.XLOOKUP($B59,Dashboard!$A$101:$A$350,Dashboard!$O$101:$O$350,0),0)),_xlpm.need,MAX(N($F59),_xlpm.ov*N($E59)*IF($C59=3,SQRT(3),1)/1000),IFERROR(INDEX(IF($C59=1,Xfmr1_kVA,Xfmr3_kVA),MATCH(TRUE,IF($C59=1,Xfmr1_kVA,Xfmr3_kVA)&gt;=_xlpm.need,0)),"OVER")))</f>
        <v/>
      </c>
      <c r="H59" s="362" t="str">
        <f t="shared" si="27"/>
        <v/>
      </c>
      <c r="I59" s="168" t="str">
        <f t="shared" si="28"/>
        <v/>
      </c>
      <c r="J59" s="362" t="str">
        <f t="shared" si="29"/>
        <v/>
      </c>
      <c r="K59" s="362" t="str">
        <f t="shared" si="30"/>
        <v/>
      </c>
      <c r="L59" s="362" t="str">
        <f t="shared" si="31"/>
        <v/>
      </c>
      <c r="M59" s="168" t="str" cm="1">
        <f t="array" ref="M59">IF($Z59&lt;&gt;"",$Z59,IFERROR(IF($AJ59="","",INDEX(OCPD_List,MATCH(TRUE,OCPD_List&gt;=1.25*$AJ59,0))),"—"))</f>
        <v/>
      </c>
      <c r="N59" s="168" t="str" cm="1">
        <f t="array" ref="N59">IF($AA59&lt;&gt;"",$AA59,IFERROR(IF($AK59="","",INDEX(OCPD_List,MATCH(TRUE,OCPD_List&gt;=1.25*$AK59,0))),"—"))</f>
        <v/>
      </c>
      <c r="O59" s="171" t="str">
        <f t="shared" si="32"/>
        <v/>
      </c>
      <c r="P59" s="171" t="str">
        <f t="shared" si="33"/>
        <v/>
      </c>
      <c r="Q59" s="78" t="str">
        <f t="shared" si="34"/>
        <v/>
      </c>
      <c r="R59" s="371"/>
      <c r="S59" s="481" t="str">
        <f t="shared" si="35"/>
        <v/>
      </c>
      <c r="T59" s="482" t="str">
        <f t="shared" si="36"/>
        <v/>
      </c>
      <c r="U59" s="482" t="str">
        <f t="shared" si="37"/>
        <v/>
      </c>
      <c r="V59" s="482" t="str">
        <f t="shared" si="38"/>
        <v/>
      </c>
      <c r="W59" s="169"/>
      <c r="X59" s="169"/>
      <c r="Y59" s="169"/>
      <c r="Z59" s="251"/>
      <c r="AA59" s="251"/>
      <c r="AB59" s="483"/>
      <c r="AC59" s="483"/>
      <c r="AD59" s="483"/>
      <c r="AE59" s="483"/>
      <c r="AF59" s="483"/>
      <c r="AG59" s="254" t="str">
        <f t="shared" si="39"/>
        <v/>
      </c>
      <c r="AH59" s="254" t="str">
        <f t="shared" si="40"/>
        <v/>
      </c>
      <c r="AI59" s="254" t="str">
        <f t="shared" si="41"/>
        <v/>
      </c>
      <c r="AJ59" s="254" t="str">
        <f t="shared" si="42"/>
        <v/>
      </c>
      <c r="AK59" s="254" t="str">
        <f t="shared" si="43"/>
        <v/>
      </c>
      <c r="AL59" s="255" t="str" cm="1">
        <f t="array" ref="AL59">IFERROR(IF(INDEX(_xlfn.ANCHORARRAY($BO$4),ROW()-5,2)="","",_xlfn.XLOOKUP(INDEX(_xlfn.ANCHORARRAY($BO$4),ROW()-5,2),'Short Circuit'!$A$6:$A$255,'Short Circuit'!$J$6:$J$255,"")),"")</f>
        <v/>
      </c>
      <c r="AM59" s="254" t="str">
        <f t="shared" si="44"/>
        <v/>
      </c>
      <c r="AN59" s="254" t="str">
        <f t="shared" si="45"/>
        <v/>
      </c>
      <c r="AO59" s="254" t="str">
        <f t="shared" si="46"/>
        <v/>
      </c>
      <c r="AP59" s="255" t="str">
        <f t="shared" si="47"/>
        <v/>
      </c>
      <c r="AQ59" s="255" t="str">
        <f t="shared" si="48"/>
        <v/>
      </c>
      <c r="AR59" s="255" t="str">
        <f t="shared" si="49"/>
        <v/>
      </c>
      <c r="AS59" s="255" t="str" cm="1">
        <f t="array" ref="AS59">IFERROR(IF($AP59="","",INDEX(AIC_List,MATCH(TRUE,AIC_List&gt;=$AP59,0))),"⚠ &gt; 200 kA")</f>
        <v/>
      </c>
      <c r="AT59" s="255" t="str">
        <f t="shared" si="50"/>
        <v/>
      </c>
      <c r="AU59" s="290" t="str" cm="1">
        <f t="array" ref="AU59">IFERROR(IF($AK59="","",INDEX(Ampacity_Size,MATCH(TRUE,Ampacity_Cu&gt;=1.25*$AK59/$AT59,0))),"—")</f>
        <v/>
      </c>
      <c r="AV59" s="290" t="str" cm="1">
        <f t="array" ref="AV59">IF($AU59="","",IFERROR(INDEX(Gec_Cu,MATCH(TRUE,Gec_CM&gt;=INDEX(Ampacity_CM,MATCH($AU59,Ampacity_Size,0))*$AT59,0)),"—"))</f>
        <v/>
      </c>
      <c r="AW59" s="290" t="str" cm="1">
        <f t="array" ref="AW59">IF($AU59="","",IFERROR(IF(INDEX(Ampacity_CM,MATCH($AU59,Ampacity_Size,0))*$AT59&gt;1100000,"12.5% of phase area",INDEX(Gec_Cu,MATCH(TRUE,Gec_CM&gt;=INDEX(Ampacity_CM,MATCH($AU59,Ampacity_Size,0))*$AT59,0))),"—"))</f>
        <v/>
      </c>
      <c r="AX59" s="533" t="str">
        <f t="shared" si="51"/>
        <v/>
      </c>
      <c r="AY59" s="533" t="str">
        <f t="shared" si="52"/>
        <v/>
      </c>
      <c r="AZ59" s="20" t="str">
        <f t="shared" si="53"/>
        <v/>
      </c>
    </row>
    <row r="60" spans="1:52" ht="15" customHeight="1" x14ac:dyDescent="0.35">
      <c r="A60" s="362" t="str" cm="1">
        <f t="array" ref="A60">IFERROR(IF(INDEX(_xlfn.ANCHORARRAY($BO$4),ROW()-5,1)="","","T-"&amp;INDEX(_xlfn.ANCHORARRAY($BO$4),ROW()-5,1)),"")</f>
        <v/>
      </c>
      <c r="B60" s="362" t="str" cm="1">
        <f t="array" ref="B60">IFERROR(IF(INDEX(_xlfn.ANCHORARRAY($BO$4),ROW()-5,1)="","",INDEX(_xlfn.ANCHORARRAY($BO$4),ROW()-5,1)),"")</f>
        <v/>
      </c>
      <c r="C60" s="362" t="str" cm="1">
        <f t="array" ref="C60">IFERROR(INDEX(_xlfn.ANCHORARRAY($BO$4),ROW()-5,5),"")</f>
        <v/>
      </c>
      <c r="D60" s="362" t="str" cm="1">
        <f t="array" ref="D60">IFERROR(INDEX(_xlfn.ANCHORARRAY($BO$4),ROW()-5,3),"")</f>
        <v/>
      </c>
      <c r="E60" s="362" t="str" cm="1">
        <f t="array" ref="E60">IFERROR(INDEX(_xlfn.ANCHORARRAY($BO$4),ROW()-5,4),"")</f>
        <v/>
      </c>
      <c r="F60" s="36" t="str" cm="1">
        <f t="array" ref="F60">IFERROR(INDEX(_xlfn.ANCHORARRAY($BO$4),ROW()-5,6),"")</f>
        <v/>
      </c>
      <c r="G60" s="362" t="str" cm="1">
        <f t="array" ref="G60">IF($F60="","",_xlfn.LET(_xlpm.ov,N(IFERROR(_xlfn.XLOOKUP($B60,Dashboard!$A$101:$A$350,Dashboard!$O$101:$O$350,0),0)),_xlpm.need,MAX(N($F60),_xlpm.ov*N($E60)*IF($C60=3,SQRT(3),1)/1000),IFERROR(INDEX(IF($C60=1,Xfmr1_kVA,Xfmr3_kVA),MATCH(TRUE,IF($C60=1,Xfmr1_kVA,Xfmr3_kVA)&gt;=_xlpm.need,0)),"OVER")))</f>
        <v/>
      </c>
      <c r="H60" s="362" t="str">
        <f t="shared" si="27"/>
        <v/>
      </c>
      <c r="I60" s="168" t="str">
        <f t="shared" si="28"/>
        <v/>
      </c>
      <c r="J60" s="362" t="str">
        <f t="shared" si="29"/>
        <v/>
      </c>
      <c r="K60" s="362" t="str">
        <f t="shared" si="30"/>
        <v/>
      </c>
      <c r="L60" s="362" t="str">
        <f t="shared" si="31"/>
        <v/>
      </c>
      <c r="M60" s="168" t="str" cm="1">
        <f t="array" ref="M60">IF($Z60&lt;&gt;"",$Z60,IFERROR(IF($AJ60="","",INDEX(OCPD_List,MATCH(TRUE,OCPD_List&gt;=1.25*$AJ60,0))),"—"))</f>
        <v/>
      </c>
      <c r="N60" s="168" t="str" cm="1">
        <f t="array" ref="N60">IF($AA60&lt;&gt;"",$AA60,IFERROR(IF($AK60="","",INDEX(OCPD_List,MATCH(TRUE,OCPD_List&gt;=1.25*$AK60,0))),"—"))</f>
        <v/>
      </c>
      <c r="O60" s="171" t="str">
        <f t="shared" si="32"/>
        <v/>
      </c>
      <c r="P60" s="171" t="str">
        <f t="shared" si="33"/>
        <v/>
      </c>
      <c r="Q60" s="78" t="str">
        <f t="shared" si="34"/>
        <v/>
      </c>
      <c r="R60" s="371"/>
      <c r="S60" s="481" t="str">
        <f t="shared" si="35"/>
        <v/>
      </c>
      <c r="T60" s="482" t="str">
        <f t="shared" si="36"/>
        <v/>
      </c>
      <c r="U60" s="482" t="str">
        <f t="shared" si="37"/>
        <v/>
      </c>
      <c r="V60" s="482" t="str">
        <f t="shared" si="38"/>
        <v/>
      </c>
      <c r="W60" s="169"/>
      <c r="X60" s="169"/>
      <c r="Y60" s="169"/>
      <c r="Z60" s="251"/>
      <c r="AA60" s="251"/>
      <c r="AB60" s="483"/>
      <c r="AC60" s="483"/>
      <c r="AD60" s="483"/>
      <c r="AE60" s="483"/>
      <c r="AF60" s="483"/>
      <c r="AG60" s="254" t="str">
        <f t="shared" si="39"/>
        <v/>
      </c>
      <c r="AH60" s="254" t="str">
        <f t="shared" si="40"/>
        <v/>
      </c>
      <c r="AI60" s="254" t="str">
        <f t="shared" si="41"/>
        <v/>
      </c>
      <c r="AJ60" s="254" t="str">
        <f t="shared" si="42"/>
        <v/>
      </c>
      <c r="AK60" s="254" t="str">
        <f t="shared" si="43"/>
        <v/>
      </c>
      <c r="AL60" s="255" t="str" cm="1">
        <f t="array" ref="AL60">IFERROR(IF(INDEX(_xlfn.ANCHORARRAY($BO$4),ROW()-5,2)="","",_xlfn.XLOOKUP(INDEX(_xlfn.ANCHORARRAY($BO$4),ROW()-5,2),'Short Circuit'!$A$6:$A$255,'Short Circuit'!$J$6:$J$255,"")),"")</f>
        <v/>
      </c>
      <c r="AM60" s="254" t="str">
        <f t="shared" si="44"/>
        <v/>
      </c>
      <c r="AN60" s="254" t="str">
        <f t="shared" si="45"/>
        <v/>
      </c>
      <c r="AO60" s="254" t="str">
        <f t="shared" si="46"/>
        <v/>
      </c>
      <c r="AP60" s="255" t="str">
        <f t="shared" si="47"/>
        <v/>
      </c>
      <c r="AQ60" s="255" t="str">
        <f t="shared" si="48"/>
        <v/>
      </c>
      <c r="AR60" s="255" t="str">
        <f t="shared" si="49"/>
        <v/>
      </c>
      <c r="AS60" s="255" t="str" cm="1">
        <f t="array" ref="AS60">IFERROR(IF($AP60="","",INDEX(AIC_List,MATCH(TRUE,AIC_List&gt;=$AP60,0))),"⚠ &gt; 200 kA")</f>
        <v/>
      </c>
      <c r="AT60" s="255" t="str">
        <f t="shared" si="50"/>
        <v/>
      </c>
      <c r="AU60" s="290" t="str" cm="1">
        <f t="array" ref="AU60">IFERROR(IF($AK60="","",INDEX(Ampacity_Size,MATCH(TRUE,Ampacity_Cu&gt;=1.25*$AK60/$AT60,0))),"—")</f>
        <v/>
      </c>
      <c r="AV60" s="290" t="str" cm="1">
        <f t="array" ref="AV60">IF($AU60="","",IFERROR(INDEX(Gec_Cu,MATCH(TRUE,Gec_CM&gt;=INDEX(Ampacity_CM,MATCH($AU60,Ampacity_Size,0))*$AT60,0)),"—"))</f>
        <v/>
      </c>
      <c r="AW60" s="290" t="str" cm="1">
        <f t="array" ref="AW60">IF($AU60="","",IFERROR(IF(INDEX(Ampacity_CM,MATCH($AU60,Ampacity_Size,0))*$AT60&gt;1100000,"12.5% of phase area",INDEX(Gec_Cu,MATCH(TRUE,Gec_CM&gt;=INDEX(Ampacity_CM,MATCH($AU60,Ampacity_Size,0))*$AT60,0))),"—"))</f>
        <v/>
      </c>
      <c r="AX60" s="533" t="str">
        <f t="shared" si="51"/>
        <v/>
      </c>
      <c r="AY60" s="533" t="str">
        <f t="shared" si="52"/>
        <v/>
      </c>
      <c r="AZ60" s="20" t="str">
        <f t="shared" si="53"/>
        <v/>
      </c>
    </row>
    <row r="61" spans="1:52" ht="15" customHeight="1" x14ac:dyDescent="0.35">
      <c r="A61" s="362" t="str" cm="1">
        <f t="array" ref="A61">IFERROR(IF(INDEX(_xlfn.ANCHORARRAY($BO$4),ROW()-5,1)="","","T-"&amp;INDEX(_xlfn.ANCHORARRAY($BO$4),ROW()-5,1)),"")</f>
        <v/>
      </c>
      <c r="B61" s="362" t="str" cm="1">
        <f t="array" ref="B61">IFERROR(IF(INDEX(_xlfn.ANCHORARRAY($BO$4),ROW()-5,1)="","",INDEX(_xlfn.ANCHORARRAY($BO$4),ROW()-5,1)),"")</f>
        <v/>
      </c>
      <c r="C61" s="362" t="str" cm="1">
        <f t="array" ref="C61">IFERROR(INDEX(_xlfn.ANCHORARRAY($BO$4),ROW()-5,5),"")</f>
        <v/>
      </c>
      <c r="D61" s="362" t="str" cm="1">
        <f t="array" ref="D61">IFERROR(INDEX(_xlfn.ANCHORARRAY($BO$4),ROW()-5,3),"")</f>
        <v/>
      </c>
      <c r="E61" s="362" t="str" cm="1">
        <f t="array" ref="E61">IFERROR(INDEX(_xlfn.ANCHORARRAY($BO$4),ROW()-5,4),"")</f>
        <v/>
      </c>
      <c r="F61" s="36" t="str" cm="1">
        <f t="array" ref="F61">IFERROR(INDEX(_xlfn.ANCHORARRAY($BO$4),ROW()-5,6),"")</f>
        <v/>
      </c>
      <c r="G61" s="362" t="str" cm="1">
        <f t="array" ref="G61">IF($F61="","",_xlfn.LET(_xlpm.ov,N(IFERROR(_xlfn.XLOOKUP($B61,Dashboard!$A$101:$A$350,Dashboard!$O$101:$O$350,0),0)),_xlpm.need,MAX(N($F61),_xlpm.ov*N($E61)*IF($C61=3,SQRT(3),1)/1000),IFERROR(INDEX(IF($C61=1,Xfmr1_kVA,Xfmr3_kVA),MATCH(TRUE,IF($C61=1,Xfmr1_kVA,Xfmr3_kVA)&gt;=_xlpm.need,0)),"OVER")))</f>
        <v/>
      </c>
      <c r="H61" s="362" t="str">
        <f t="shared" si="27"/>
        <v/>
      </c>
      <c r="I61" s="168" t="str">
        <f t="shared" si="28"/>
        <v/>
      </c>
      <c r="J61" s="362" t="str">
        <f t="shared" si="29"/>
        <v/>
      </c>
      <c r="K61" s="362" t="str">
        <f t="shared" si="30"/>
        <v/>
      </c>
      <c r="L61" s="362" t="str">
        <f t="shared" si="31"/>
        <v/>
      </c>
      <c r="M61" s="168" t="str" cm="1">
        <f t="array" ref="M61">IF($Z61&lt;&gt;"",$Z61,IFERROR(IF($AJ61="","",INDEX(OCPD_List,MATCH(TRUE,OCPD_List&gt;=1.25*$AJ61,0))),"—"))</f>
        <v/>
      </c>
      <c r="N61" s="168" t="str" cm="1">
        <f t="array" ref="N61">IF($AA61&lt;&gt;"",$AA61,IFERROR(IF($AK61="","",INDEX(OCPD_List,MATCH(TRUE,OCPD_List&gt;=1.25*$AK61,0))),"—"))</f>
        <v/>
      </c>
      <c r="O61" s="171" t="str">
        <f t="shared" si="32"/>
        <v/>
      </c>
      <c r="P61" s="171" t="str">
        <f t="shared" si="33"/>
        <v/>
      </c>
      <c r="Q61" s="78" t="str">
        <f t="shared" si="34"/>
        <v/>
      </c>
      <c r="R61" s="371"/>
      <c r="S61" s="481" t="str">
        <f t="shared" si="35"/>
        <v/>
      </c>
      <c r="T61" s="482" t="str">
        <f t="shared" si="36"/>
        <v/>
      </c>
      <c r="U61" s="482" t="str">
        <f t="shared" si="37"/>
        <v/>
      </c>
      <c r="V61" s="482" t="str">
        <f t="shared" si="38"/>
        <v/>
      </c>
      <c r="W61" s="169"/>
      <c r="X61" s="169"/>
      <c r="Y61" s="169"/>
      <c r="Z61" s="251"/>
      <c r="AA61" s="251"/>
      <c r="AB61" s="483"/>
      <c r="AC61" s="483"/>
      <c r="AD61" s="483"/>
      <c r="AE61" s="483"/>
      <c r="AF61" s="483"/>
      <c r="AG61" s="254" t="str">
        <f t="shared" si="39"/>
        <v/>
      </c>
      <c r="AH61" s="254" t="str">
        <f t="shared" si="40"/>
        <v/>
      </c>
      <c r="AI61" s="254" t="str">
        <f t="shared" si="41"/>
        <v/>
      </c>
      <c r="AJ61" s="254" t="str">
        <f t="shared" si="42"/>
        <v/>
      </c>
      <c r="AK61" s="254" t="str">
        <f t="shared" si="43"/>
        <v/>
      </c>
      <c r="AL61" s="255" t="str" cm="1">
        <f t="array" ref="AL61">IFERROR(IF(INDEX(_xlfn.ANCHORARRAY($BO$4),ROW()-5,2)="","",_xlfn.XLOOKUP(INDEX(_xlfn.ANCHORARRAY($BO$4),ROW()-5,2),'Short Circuit'!$A$6:$A$255,'Short Circuit'!$J$6:$J$255,"")),"")</f>
        <v/>
      </c>
      <c r="AM61" s="254" t="str">
        <f t="shared" si="44"/>
        <v/>
      </c>
      <c r="AN61" s="254" t="str">
        <f t="shared" si="45"/>
        <v/>
      </c>
      <c r="AO61" s="254" t="str">
        <f t="shared" si="46"/>
        <v/>
      </c>
      <c r="AP61" s="255" t="str">
        <f t="shared" si="47"/>
        <v/>
      </c>
      <c r="AQ61" s="255" t="str">
        <f t="shared" si="48"/>
        <v/>
      </c>
      <c r="AR61" s="255" t="str">
        <f t="shared" si="49"/>
        <v/>
      </c>
      <c r="AS61" s="255" t="str" cm="1">
        <f t="array" ref="AS61">IFERROR(IF($AP61="","",INDEX(AIC_List,MATCH(TRUE,AIC_List&gt;=$AP61,0))),"⚠ &gt; 200 kA")</f>
        <v/>
      </c>
      <c r="AT61" s="255" t="str">
        <f t="shared" si="50"/>
        <v/>
      </c>
      <c r="AU61" s="290" t="str" cm="1">
        <f t="array" ref="AU61">IFERROR(IF($AK61="","",INDEX(Ampacity_Size,MATCH(TRUE,Ampacity_Cu&gt;=1.25*$AK61/$AT61,0))),"—")</f>
        <v/>
      </c>
      <c r="AV61" s="290" t="str" cm="1">
        <f t="array" ref="AV61">IF($AU61="","",IFERROR(INDEX(Gec_Cu,MATCH(TRUE,Gec_CM&gt;=INDEX(Ampacity_CM,MATCH($AU61,Ampacity_Size,0))*$AT61,0)),"—"))</f>
        <v/>
      </c>
      <c r="AW61" s="290" t="str" cm="1">
        <f t="array" ref="AW61">IF($AU61="","",IFERROR(IF(INDEX(Ampacity_CM,MATCH($AU61,Ampacity_Size,0))*$AT61&gt;1100000,"12.5% of phase area",INDEX(Gec_Cu,MATCH(TRUE,Gec_CM&gt;=INDEX(Ampacity_CM,MATCH($AU61,Ampacity_Size,0))*$AT61,0))),"—"))</f>
        <v/>
      </c>
      <c r="AX61" s="533" t="str">
        <f t="shared" si="51"/>
        <v/>
      </c>
      <c r="AY61" s="533" t="str">
        <f t="shared" si="52"/>
        <v/>
      </c>
      <c r="AZ61" s="20" t="str">
        <f t="shared" si="53"/>
        <v/>
      </c>
    </row>
    <row r="62" spans="1:52" ht="15" customHeight="1" x14ac:dyDescent="0.35">
      <c r="A62" s="362" t="str" cm="1">
        <f t="array" ref="A62">IFERROR(IF(INDEX(_xlfn.ANCHORARRAY($BO$4),ROW()-5,1)="","","T-"&amp;INDEX(_xlfn.ANCHORARRAY($BO$4),ROW()-5,1)),"")</f>
        <v/>
      </c>
      <c r="B62" s="362" t="str" cm="1">
        <f t="array" ref="B62">IFERROR(IF(INDEX(_xlfn.ANCHORARRAY($BO$4),ROW()-5,1)="","",INDEX(_xlfn.ANCHORARRAY($BO$4),ROW()-5,1)),"")</f>
        <v/>
      </c>
      <c r="C62" s="362" t="str" cm="1">
        <f t="array" ref="C62">IFERROR(INDEX(_xlfn.ANCHORARRAY($BO$4),ROW()-5,5),"")</f>
        <v/>
      </c>
      <c r="D62" s="362" t="str" cm="1">
        <f t="array" ref="D62">IFERROR(INDEX(_xlfn.ANCHORARRAY($BO$4),ROW()-5,3),"")</f>
        <v/>
      </c>
      <c r="E62" s="362" t="str" cm="1">
        <f t="array" ref="E62">IFERROR(INDEX(_xlfn.ANCHORARRAY($BO$4),ROW()-5,4),"")</f>
        <v/>
      </c>
      <c r="F62" s="36" t="str" cm="1">
        <f t="array" ref="F62">IFERROR(INDEX(_xlfn.ANCHORARRAY($BO$4),ROW()-5,6),"")</f>
        <v/>
      </c>
      <c r="G62" s="362" t="str" cm="1">
        <f t="array" ref="G62">IF($F62="","",_xlfn.LET(_xlpm.ov,N(IFERROR(_xlfn.XLOOKUP($B62,Dashboard!$A$101:$A$350,Dashboard!$O$101:$O$350,0),0)),_xlpm.need,MAX(N($F62),_xlpm.ov*N($E62)*IF($C62=3,SQRT(3),1)/1000),IFERROR(INDEX(IF($C62=1,Xfmr1_kVA,Xfmr3_kVA),MATCH(TRUE,IF($C62=1,Xfmr1_kVA,Xfmr3_kVA)&gt;=_xlpm.need,0)),"OVER")))</f>
        <v/>
      </c>
      <c r="H62" s="362" t="str">
        <f t="shared" si="27"/>
        <v/>
      </c>
      <c r="I62" s="168" t="str">
        <f t="shared" si="28"/>
        <v/>
      </c>
      <c r="J62" s="362" t="str">
        <f t="shared" si="29"/>
        <v/>
      </c>
      <c r="K62" s="362" t="str">
        <f t="shared" si="30"/>
        <v/>
      </c>
      <c r="L62" s="362" t="str">
        <f t="shared" si="31"/>
        <v/>
      </c>
      <c r="M62" s="168" t="str" cm="1">
        <f t="array" ref="M62">IF($Z62&lt;&gt;"",$Z62,IFERROR(IF($AJ62="","",INDEX(OCPD_List,MATCH(TRUE,OCPD_List&gt;=1.25*$AJ62,0))),"—"))</f>
        <v/>
      </c>
      <c r="N62" s="168" t="str" cm="1">
        <f t="array" ref="N62">IF($AA62&lt;&gt;"",$AA62,IFERROR(IF($AK62="","",INDEX(OCPD_List,MATCH(TRUE,OCPD_List&gt;=1.25*$AK62,0))),"—"))</f>
        <v/>
      </c>
      <c r="O62" s="171" t="str">
        <f t="shared" si="32"/>
        <v/>
      </c>
      <c r="P62" s="171" t="str">
        <f t="shared" si="33"/>
        <v/>
      </c>
      <c r="Q62" s="78" t="str">
        <f t="shared" si="34"/>
        <v/>
      </c>
      <c r="R62" s="371"/>
      <c r="S62" s="481" t="str">
        <f t="shared" si="35"/>
        <v/>
      </c>
      <c r="T62" s="482" t="str">
        <f t="shared" si="36"/>
        <v/>
      </c>
      <c r="U62" s="482" t="str">
        <f t="shared" si="37"/>
        <v/>
      </c>
      <c r="V62" s="482" t="str">
        <f t="shared" si="38"/>
        <v/>
      </c>
      <c r="W62" s="169"/>
      <c r="X62" s="169"/>
      <c r="Y62" s="169"/>
      <c r="Z62" s="251"/>
      <c r="AA62" s="251"/>
      <c r="AB62" s="483"/>
      <c r="AC62" s="483"/>
      <c r="AD62" s="483"/>
      <c r="AE62" s="483"/>
      <c r="AF62" s="483"/>
      <c r="AG62" s="254" t="str">
        <f t="shared" si="39"/>
        <v/>
      </c>
      <c r="AH62" s="254" t="str">
        <f t="shared" si="40"/>
        <v/>
      </c>
      <c r="AI62" s="254" t="str">
        <f t="shared" si="41"/>
        <v/>
      </c>
      <c r="AJ62" s="254" t="str">
        <f t="shared" si="42"/>
        <v/>
      </c>
      <c r="AK62" s="254" t="str">
        <f t="shared" si="43"/>
        <v/>
      </c>
      <c r="AL62" s="255" t="str" cm="1">
        <f t="array" ref="AL62">IFERROR(IF(INDEX(_xlfn.ANCHORARRAY($BO$4),ROW()-5,2)="","",_xlfn.XLOOKUP(INDEX(_xlfn.ANCHORARRAY($BO$4),ROW()-5,2),'Short Circuit'!$A$6:$A$255,'Short Circuit'!$J$6:$J$255,"")),"")</f>
        <v/>
      </c>
      <c r="AM62" s="254" t="str">
        <f t="shared" si="44"/>
        <v/>
      </c>
      <c r="AN62" s="254" t="str">
        <f t="shared" si="45"/>
        <v/>
      </c>
      <c r="AO62" s="254" t="str">
        <f t="shared" si="46"/>
        <v/>
      </c>
      <c r="AP62" s="255" t="str">
        <f t="shared" si="47"/>
        <v/>
      </c>
      <c r="AQ62" s="255" t="str">
        <f t="shared" si="48"/>
        <v/>
      </c>
      <c r="AR62" s="255" t="str">
        <f t="shared" si="49"/>
        <v/>
      </c>
      <c r="AS62" s="255" t="str" cm="1">
        <f t="array" ref="AS62">IFERROR(IF($AP62="","",INDEX(AIC_List,MATCH(TRUE,AIC_List&gt;=$AP62,0))),"⚠ &gt; 200 kA")</f>
        <v/>
      </c>
      <c r="AT62" s="255" t="str">
        <f t="shared" si="50"/>
        <v/>
      </c>
      <c r="AU62" s="290" t="str" cm="1">
        <f t="array" ref="AU62">IFERROR(IF($AK62="","",INDEX(Ampacity_Size,MATCH(TRUE,Ampacity_Cu&gt;=1.25*$AK62/$AT62,0))),"—")</f>
        <v/>
      </c>
      <c r="AV62" s="290" t="str" cm="1">
        <f t="array" ref="AV62">IF($AU62="","",IFERROR(INDEX(Gec_Cu,MATCH(TRUE,Gec_CM&gt;=INDEX(Ampacity_CM,MATCH($AU62,Ampacity_Size,0))*$AT62,0)),"—"))</f>
        <v/>
      </c>
      <c r="AW62" s="290" t="str" cm="1">
        <f t="array" ref="AW62">IF($AU62="","",IFERROR(IF(INDEX(Ampacity_CM,MATCH($AU62,Ampacity_Size,0))*$AT62&gt;1100000,"12.5% of phase area",INDEX(Gec_Cu,MATCH(TRUE,Gec_CM&gt;=INDEX(Ampacity_CM,MATCH($AU62,Ampacity_Size,0))*$AT62,0))),"—"))</f>
        <v/>
      </c>
      <c r="AX62" s="533" t="str">
        <f t="shared" si="51"/>
        <v/>
      </c>
      <c r="AY62" s="533" t="str">
        <f t="shared" si="52"/>
        <v/>
      </c>
      <c r="AZ62" s="20" t="str">
        <f t="shared" si="53"/>
        <v/>
      </c>
    </row>
    <row r="63" spans="1:52" ht="15" customHeight="1" x14ac:dyDescent="0.35">
      <c r="A63" s="362" t="str" cm="1">
        <f t="array" ref="A63">IFERROR(IF(INDEX(_xlfn.ANCHORARRAY($BO$4),ROW()-5,1)="","","T-"&amp;INDEX(_xlfn.ANCHORARRAY($BO$4),ROW()-5,1)),"")</f>
        <v/>
      </c>
      <c r="B63" s="362" t="str" cm="1">
        <f t="array" ref="B63">IFERROR(IF(INDEX(_xlfn.ANCHORARRAY($BO$4),ROW()-5,1)="","",INDEX(_xlfn.ANCHORARRAY($BO$4),ROW()-5,1)),"")</f>
        <v/>
      </c>
      <c r="C63" s="362" t="str" cm="1">
        <f t="array" ref="C63">IFERROR(INDEX(_xlfn.ANCHORARRAY($BO$4),ROW()-5,5),"")</f>
        <v/>
      </c>
      <c r="D63" s="362" t="str" cm="1">
        <f t="array" ref="D63">IFERROR(INDEX(_xlfn.ANCHORARRAY($BO$4),ROW()-5,3),"")</f>
        <v/>
      </c>
      <c r="E63" s="362" t="str" cm="1">
        <f t="array" ref="E63">IFERROR(INDEX(_xlfn.ANCHORARRAY($BO$4),ROW()-5,4),"")</f>
        <v/>
      </c>
      <c r="F63" s="36" t="str" cm="1">
        <f t="array" ref="F63">IFERROR(INDEX(_xlfn.ANCHORARRAY($BO$4),ROW()-5,6),"")</f>
        <v/>
      </c>
      <c r="G63" s="362" t="str" cm="1">
        <f t="array" ref="G63">IF($F63="","",_xlfn.LET(_xlpm.ov,N(IFERROR(_xlfn.XLOOKUP($B63,Dashboard!$A$101:$A$350,Dashboard!$O$101:$O$350,0),0)),_xlpm.need,MAX(N($F63),_xlpm.ov*N($E63)*IF($C63=3,SQRT(3),1)/1000),IFERROR(INDEX(IF($C63=1,Xfmr1_kVA,Xfmr3_kVA),MATCH(TRUE,IF($C63=1,Xfmr1_kVA,Xfmr3_kVA)&gt;=_xlpm.need,0)),"OVER")))</f>
        <v/>
      </c>
      <c r="H63" s="362" t="str">
        <f t="shared" si="27"/>
        <v/>
      </c>
      <c r="I63" s="168" t="str">
        <f t="shared" si="28"/>
        <v/>
      </c>
      <c r="J63" s="362" t="str">
        <f t="shared" si="29"/>
        <v/>
      </c>
      <c r="K63" s="362" t="str">
        <f t="shared" si="30"/>
        <v/>
      </c>
      <c r="L63" s="362" t="str">
        <f t="shared" si="31"/>
        <v/>
      </c>
      <c r="M63" s="168" t="str" cm="1">
        <f t="array" ref="M63">IF($Z63&lt;&gt;"",$Z63,IFERROR(IF($AJ63="","",INDEX(OCPD_List,MATCH(TRUE,OCPD_List&gt;=1.25*$AJ63,0))),"—"))</f>
        <v/>
      </c>
      <c r="N63" s="168" t="str" cm="1">
        <f t="array" ref="N63">IF($AA63&lt;&gt;"",$AA63,IFERROR(IF($AK63="","",INDEX(OCPD_List,MATCH(TRUE,OCPD_List&gt;=1.25*$AK63,0))),"—"))</f>
        <v/>
      </c>
      <c r="O63" s="171" t="str">
        <f t="shared" si="32"/>
        <v/>
      </c>
      <c r="P63" s="171" t="str">
        <f t="shared" si="33"/>
        <v/>
      </c>
      <c r="Q63" s="78" t="str">
        <f t="shared" si="34"/>
        <v/>
      </c>
      <c r="R63" s="371"/>
      <c r="S63" s="481" t="str">
        <f t="shared" si="35"/>
        <v/>
      </c>
      <c r="T63" s="482" t="str">
        <f t="shared" si="36"/>
        <v/>
      </c>
      <c r="U63" s="482" t="str">
        <f t="shared" si="37"/>
        <v/>
      </c>
      <c r="V63" s="482" t="str">
        <f t="shared" si="38"/>
        <v/>
      </c>
      <c r="W63" s="169"/>
      <c r="X63" s="169"/>
      <c r="Y63" s="169"/>
      <c r="Z63" s="251"/>
      <c r="AA63" s="251"/>
      <c r="AB63" s="483"/>
      <c r="AC63" s="483"/>
      <c r="AD63" s="483"/>
      <c r="AE63" s="483"/>
      <c r="AF63" s="483"/>
      <c r="AG63" s="254" t="str">
        <f t="shared" si="39"/>
        <v/>
      </c>
      <c r="AH63" s="254" t="str">
        <f t="shared" si="40"/>
        <v/>
      </c>
      <c r="AI63" s="254" t="str">
        <f t="shared" si="41"/>
        <v/>
      </c>
      <c r="AJ63" s="254" t="str">
        <f t="shared" si="42"/>
        <v/>
      </c>
      <c r="AK63" s="254" t="str">
        <f t="shared" si="43"/>
        <v/>
      </c>
      <c r="AL63" s="255" t="str" cm="1">
        <f t="array" ref="AL63">IFERROR(IF(INDEX(_xlfn.ANCHORARRAY($BO$4),ROW()-5,2)="","",_xlfn.XLOOKUP(INDEX(_xlfn.ANCHORARRAY($BO$4),ROW()-5,2),'Short Circuit'!$A$6:$A$255,'Short Circuit'!$J$6:$J$255,"")),"")</f>
        <v/>
      </c>
      <c r="AM63" s="254" t="str">
        <f t="shared" si="44"/>
        <v/>
      </c>
      <c r="AN63" s="254" t="str">
        <f t="shared" si="45"/>
        <v/>
      </c>
      <c r="AO63" s="254" t="str">
        <f t="shared" si="46"/>
        <v/>
      </c>
      <c r="AP63" s="255" t="str">
        <f t="shared" si="47"/>
        <v/>
      </c>
      <c r="AQ63" s="255" t="str">
        <f t="shared" si="48"/>
        <v/>
      </c>
      <c r="AR63" s="255" t="str">
        <f t="shared" si="49"/>
        <v/>
      </c>
      <c r="AS63" s="255" t="str" cm="1">
        <f t="array" ref="AS63">IFERROR(IF($AP63="","",INDEX(AIC_List,MATCH(TRUE,AIC_List&gt;=$AP63,0))),"⚠ &gt; 200 kA")</f>
        <v/>
      </c>
      <c r="AT63" s="255" t="str">
        <f t="shared" si="50"/>
        <v/>
      </c>
      <c r="AU63" s="290" t="str" cm="1">
        <f t="array" ref="AU63">IFERROR(IF($AK63="","",INDEX(Ampacity_Size,MATCH(TRUE,Ampacity_Cu&gt;=1.25*$AK63/$AT63,0))),"—")</f>
        <v/>
      </c>
      <c r="AV63" s="290" t="str" cm="1">
        <f t="array" ref="AV63">IF($AU63="","",IFERROR(INDEX(Gec_Cu,MATCH(TRUE,Gec_CM&gt;=INDEX(Ampacity_CM,MATCH($AU63,Ampacity_Size,0))*$AT63,0)),"—"))</f>
        <v/>
      </c>
      <c r="AW63" s="290" t="str" cm="1">
        <f t="array" ref="AW63">IF($AU63="","",IFERROR(IF(INDEX(Ampacity_CM,MATCH($AU63,Ampacity_Size,0))*$AT63&gt;1100000,"12.5% of phase area",INDEX(Gec_Cu,MATCH(TRUE,Gec_CM&gt;=INDEX(Ampacity_CM,MATCH($AU63,Ampacity_Size,0))*$AT63,0))),"—"))</f>
        <v/>
      </c>
      <c r="AX63" s="533" t="str">
        <f t="shared" si="51"/>
        <v/>
      </c>
      <c r="AY63" s="533" t="str">
        <f t="shared" si="52"/>
        <v/>
      </c>
      <c r="AZ63" s="20" t="str">
        <f t="shared" si="53"/>
        <v/>
      </c>
    </row>
    <row r="64" spans="1:52" ht="15" customHeight="1" x14ac:dyDescent="0.35">
      <c r="A64" s="362" t="str" cm="1">
        <f t="array" ref="A64">IFERROR(IF(INDEX(_xlfn.ANCHORARRAY($BO$4),ROW()-5,1)="","","T-"&amp;INDEX(_xlfn.ANCHORARRAY($BO$4),ROW()-5,1)),"")</f>
        <v/>
      </c>
      <c r="B64" s="362" t="str" cm="1">
        <f t="array" ref="B64">IFERROR(IF(INDEX(_xlfn.ANCHORARRAY($BO$4),ROW()-5,1)="","",INDEX(_xlfn.ANCHORARRAY($BO$4),ROW()-5,1)),"")</f>
        <v/>
      </c>
      <c r="C64" s="362" t="str" cm="1">
        <f t="array" ref="C64">IFERROR(INDEX(_xlfn.ANCHORARRAY($BO$4),ROW()-5,5),"")</f>
        <v/>
      </c>
      <c r="D64" s="362" t="str" cm="1">
        <f t="array" ref="D64">IFERROR(INDEX(_xlfn.ANCHORARRAY($BO$4),ROW()-5,3),"")</f>
        <v/>
      </c>
      <c r="E64" s="362" t="str" cm="1">
        <f t="array" ref="E64">IFERROR(INDEX(_xlfn.ANCHORARRAY($BO$4),ROW()-5,4),"")</f>
        <v/>
      </c>
      <c r="F64" s="36" t="str" cm="1">
        <f t="array" ref="F64">IFERROR(INDEX(_xlfn.ANCHORARRAY($BO$4),ROW()-5,6),"")</f>
        <v/>
      </c>
      <c r="G64" s="362" t="str" cm="1">
        <f t="array" ref="G64">IF($F64="","",_xlfn.LET(_xlpm.ov,N(IFERROR(_xlfn.XLOOKUP($B64,Dashboard!$A$101:$A$350,Dashboard!$O$101:$O$350,0),0)),_xlpm.need,MAX(N($F64),_xlpm.ov*N($E64)*IF($C64=3,SQRT(3),1)/1000),IFERROR(INDEX(IF($C64=1,Xfmr1_kVA,Xfmr3_kVA),MATCH(TRUE,IF($C64=1,Xfmr1_kVA,Xfmr3_kVA)&gt;=_xlpm.need,0)),"OVER")))</f>
        <v/>
      </c>
      <c r="H64" s="362" t="str">
        <f t="shared" si="27"/>
        <v/>
      </c>
      <c r="I64" s="168" t="str">
        <f t="shared" si="28"/>
        <v/>
      </c>
      <c r="J64" s="362" t="str">
        <f t="shared" si="29"/>
        <v/>
      </c>
      <c r="K64" s="362" t="str">
        <f t="shared" si="30"/>
        <v/>
      </c>
      <c r="L64" s="362" t="str">
        <f t="shared" si="31"/>
        <v/>
      </c>
      <c r="M64" s="168" t="str" cm="1">
        <f t="array" ref="M64">IF($Z64&lt;&gt;"",$Z64,IFERROR(IF($AJ64="","",INDEX(OCPD_List,MATCH(TRUE,OCPD_List&gt;=1.25*$AJ64,0))),"—"))</f>
        <v/>
      </c>
      <c r="N64" s="168" t="str" cm="1">
        <f t="array" ref="N64">IF($AA64&lt;&gt;"",$AA64,IFERROR(IF($AK64="","",INDEX(OCPD_List,MATCH(TRUE,OCPD_List&gt;=1.25*$AK64,0))),"—"))</f>
        <v/>
      </c>
      <c r="O64" s="171" t="str">
        <f t="shared" si="32"/>
        <v/>
      </c>
      <c r="P64" s="171" t="str">
        <f t="shared" si="33"/>
        <v/>
      </c>
      <c r="Q64" s="78" t="str">
        <f t="shared" si="34"/>
        <v/>
      </c>
      <c r="R64" s="371"/>
      <c r="S64" s="481" t="str">
        <f t="shared" si="35"/>
        <v/>
      </c>
      <c r="T64" s="482" t="str">
        <f t="shared" si="36"/>
        <v/>
      </c>
      <c r="U64" s="482" t="str">
        <f t="shared" si="37"/>
        <v/>
      </c>
      <c r="V64" s="482" t="str">
        <f t="shared" si="38"/>
        <v/>
      </c>
      <c r="W64" s="169"/>
      <c r="X64" s="169"/>
      <c r="Y64" s="169"/>
      <c r="Z64" s="251"/>
      <c r="AA64" s="251"/>
      <c r="AB64" s="483"/>
      <c r="AC64" s="483"/>
      <c r="AD64" s="483"/>
      <c r="AE64" s="483"/>
      <c r="AF64" s="483"/>
      <c r="AG64" s="254" t="str">
        <f t="shared" si="39"/>
        <v/>
      </c>
      <c r="AH64" s="254" t="str">
        <f t="shared" si="40"/>
        <v/>
      </c>
      <c r="AI64" s="254" t="str">
        <f t="shared" si="41"/>
        <v/>
      </c>
      <c r="AJ64" s="254" t="str">
        <f t="shared" si="42"/>
        <v/>
      </c>
      <c r="AK64" s="254" t="str">
        <f t="shared" si="43"/>
        <v/>
      </c>
      <c r="AL64" s="255" t="str" cm="1">
        <f t="array" ref="AL64">IFERROR(IF(INDEX(_xlfn.ANCHORARRAY($BO$4),ROW()-5,2)="","",_xlfn.XLOOKUP(INDEX(_xlfn.ANCHORARRAY($BO$4),ROW()-5,2),'Short Circuit'!$A$6:$A$255,'Short Circuit'!$J$6:$J$255,"")),"")</f>
        <v/>
      </c>
      <c r="AM64" s="254" t="str">
        <f t="shared" si="44"/>
        <v/>
      </c>
      <c r="AN64" s="254" t="str">
        <f t="shared" si="45"/>
        <v/>
      </c>
      <c r="AO64" s="254" t="str">
        <f t="shared" si="46"/>
        <v/>
      </c>
      <c r="AP64" s="255" t="str">
        <f t="shared" si="47"/>
        <v/>
      </c>
      <c r="AQ64" s="255" t="str">
        <f t="shared" si="48"/>
        <v/>
      </c>
      <c r="AR64" s="255" t="str">
        <f t="shared" si="49"/>
        <v/>
      </c>
      <c r="AS64" s="255" t="str" cm="1">
        <f t="array" ref="AS64">IFERROR(IF($AP64="","",INDEX(AIC_List,MATCH(TRUE,AIC_List&gt;=$AP64,0))),"⚠ &gt; 200 kA")</f>
        <v/>
      </c>
      <c r="AT64" s="255" t="str">
        <f t="shared" si="50"/>
        <v/>
      </c>
      <c r="AU64" s="290" t="str" cm="1">
        <f t="array" ref="AU64">IFERROR(IF($AK64="","",INDEX(Ampacity_Size,MATCH(TRUE,Ampacity_Cu&gt;=1.25*$AK64/$AT64,0))),"—")</f>
        <v/>
      </c>
      <c r="AV64" s="290" t="str" cm="1">
        <f t="array" ref="AV64">IF($AU64="","",IFERROR(INDEX(Gec_Cu,MATCH(TRUE,Gec_CM&gt;=INDEX(Ampacity_CM,MATCH($AU64,Ampacity_Size,0))*$AT64,0)),"—"))</f>
        <v/>
      </c>
      <c r="AW64" s="290" t="str" cm="1">
        <f t="array" ref="AW64">IF($AU64="","",IFERROR(IF(INDEX(Ampacity_CM,MATCH($AU64,Ampacity_Size,0))*$AT64&gt;1100000,"12.5% of phase area",INDEX(Gec_Cu,MATCH(TRUE,Gec_CM&gt;=INDEX(Ampacity_CM,MATCH($AU64,Ampacity_Size,0))*$AT64,0))),"—"))</f>
        <v/>
      </c>
      <c r="AX64" s="533" t="str">
        <f t="shared" si="51"/>
        <v/>
      </c>
      <c r="AY64" s="533" t="str">
        <f t="shared" si="52"/>
        <v/>
      </c>
      <c r="AZ64" s="20" t="str">
        <f t="shared" si="53"/>
        <v/>
      </c>
    </row>
    <row r="65" spans="1:52" ht="15" customHeight="1" x14ac:dyDescent="0.35">
      <c r="A65" s="362" t="str" cm="1">
        <f t="array" ref="A65">IFERROR(IF(INDEX(_xlfn.ANCHORARRAY($BO$4),ROW()-5,1)="","","T-"&amp;INDEX(_xlfn.ANCHORARRAY($BO$4),ROW()-5,1)),"")</f>
        <v/>
      </c>
      <c r="B65" s="362" t="str" cm="1">
        <f t="array" ref="B65">IFERROR(IF(INDEX(_xlfn.ANCHORARRAY($BO$4),ROW()-5,1)="","",INDEX(_xlfn.ANCHORARRAY($BO$4),ROW()-5,1)),"")</f>
        <v/>
      </c>
      <c r="C65" s="362" t="str" cm="1">
        <f t="array" ref="C65">IFERROR(INDEX(_xlfn.ANCHORARRAY($BO$4),ROW()-5,5),"")</f>
        <v/>
      </c>
      <c r="D65" s="362" t="str" cm="1">
        <f t="array" ref="D65">IFERROR(INDEX(_xlfn.ANCHORARRAY($BO$4),ROW()-5,3),"")</f>
        <v/>
      </c>
      <c r="E65" s="362" t="str" cm="1">
        <f t="array" ref="E65">IFERROR(INDEX(_xlfn.ANCHORARRAY($BO$4),ROW()-5,4),"")</f>
        <v/>
      </c>
      <c r="F65" s="36" t="str" cm="1">
        <f t="array" ref="F65">IFERROR(INDEX(_xlfn.ANCHORARRAY($BO$4),ROW()-5,6),"")</f>
        <v/>
      </c>
      <c r="G65" s="362" t="str" cm="1">
        <f t="array" ref="G65">IF($F65="","",_xlfn.LET(_xlpm.ov,N(IFERROR(_xlfn.XLOOKUP($B65,Dashboard!$A$101:$A$350,Dashboard!$O$101:$O$350,0),0)),_xlpm.need,MAX(N($F65),_xlpm.ov*N($E65)*IF($C65=3,SQRT(3),1)/1000),IFERROR(INDEX(IF($C65=1,Xfmr1_kVA,Xfmr3_kVA),MATCH(TRUE,IF($C65=1,Xfmr1_kVA,Xfmr3_kVA)&gt;=_xlpm.need,0)),"OVER")))</f>
        <v/>
      </c>
      <c r="H65" s="362" t="str">
        <f t="shared" si="27"/>
        <v/>
      </c>
      <c r="I65" s="168" t="str">
        <f t="shared" si="28"/>
        <v/>
      </c>
      <c r="J65" s="362" t="str">
        <f t="shared" si="29"/>
        <v/>
      </c>
      <c r="K65" s="362" t="str">
        <f t="shared" si="30"/>
        <v/>
      </c>
      <c r="L65" s="362" t="str">
        <f t="shared" si="31"/>
        <v/>
      </c>
      <c r="M65" s="168" t="str" cm="1">
        <f t="array" ref="M65">IF($Z65&lt;&gt;"",$Z65,IFERROR(IF($AJ65="","",INDEX(OCPD_List,MATCH(TRUE,OCPD_List&gt;=1.25*$AJ65,0))),"—"))</f>
        <v/>
      </c>
      <c r="N65" s="168" t="str" cm="1">
        <f t="array" ref="N65">IF($AA65&lt;&gt;"",$AA65,IFERROR(IF($AK65="","",INDEX(OCPD_List,MATCH(TRUE,OCPD_List&gt;=1.25*$AK65,0))),"—"))</f>
        <v/>
      </c>
      <c r="O65" s="171" t="str">
        <f t="shared" si="32"/>
        <v/>
      </c>
      <c r="P65" s="171" t="str">
        <f t="shared" si="33"/>
        <v/>
      </c>
      <c r="Q65" s="78" t="str">
        <f t="shared" si="34"/>
        <v/>
      </c>
      <c r="R65" s="371"/>
      <c r="S65" s="481" t="str">
        <f t="shared" si="35"/>
        <v/>
      </c>
      <c r="T65" s="482" t="str">
        <f t="shared" si="36"/>
        <v/>
      </c>
      <c r="U65" s="482" t="str">
        <f t="shared" si="37"/>
        <v/>
      </c>
      <c r="V65" s="482" t="str">
        <f t="shared" si="38"/>
        <v/>
      </c>
      <c r="W65" s="169"/>
      <c r="X65" s="169"/>
      <c r="Y65" s="169"/>
      <c r="Z65" s="251"/>
      <c r="AA65" s="251"/>
      <c r="AB65" s="483"/>
      <c r="AC65" s="483"/>
      <c r="AD65" s="483"/>
      <c r="AE65" s="483"/>
      <c r="AF65" s="483"/>
      <c r="AG65" s="254" t="str">
        <f t="shared" si="39"/>
        <v/>
      </c>
      <c r="AH65" s="254" t="str">
        <f t="shared" si="40"/>
        <v/>
      </c>
      <c r="AI65" s="254" t="str">
        <f t="shared" si="41"/>
        <v/>
      </c>
      <c r="AJ65" s="254" t="str">
        <f t="shared" si="42"/>
        <v/>
      </c>
      <c r="AK65" s="254" t="str">
        <f t="shared" si="43"/>
        <v/>
      </c>
      <c r="AL65" s="255" t="str" cm="1">
        <f t="array" ref="AL65">IFERROR(IF(INDEX(_xlfn.ANCHORARRAY($BO$4),ROW()-5,2)="","",_xlfn.XLOOKUP(INDEX(_xlfn.ANCHORARRAY($BO$4),ROW()-5,2),'Short Circuit'!$A$6:$A$255,'Short Circuit'!$J$6:$J$255,"")),"")</f>
        <v/>
      </c>
      <c r="AM65" s="254" t="str">
        <f t="shared" si="44"/>
        <v/>
      </c>
      <c r="AN65" s="254" t="str">
        <f t="shared" si="45"/>
        <v/>
      </c>
      <c r="AO65" s="254" t="str">
        <f t="shared" si="46"/>
        <v/>
      </c>
      <c r="AP65" s="255" t="str">
        <f t="shared" si="47"/>
        <v/>
      </c>
      <c r="AQ65" s="255" t="str">
        <f t="shared" si="48"/>
        <v/>
      </c>
      <c r="AR65" s="255" t="str">
        <f t="shared" si="49"/>
        <v/>
      </c>
      <c r="AS65" s="255" t="str" cm="1">
        <f t="array" ref="AS65">IFERROR(IF($AP65="","",INDEX(AIC_List,MATCH(TRUE,AIC_List&gt;=$AP65,0))),"⚠ &gt; 200 kA")</f>
        <v/>
      </c>
      <c r="AT65" s="255" t="str">
        <f t="shared" si="50"/>
        <v/>
      </c>
      <c r="AU65" s="290" t="str" cm="1">
        <f t="array" ref="AU65">IFERROR(IF($AK65="","",INDEX(Ampacity_Size,MATCH(TRUE,Ampacity_Cu&gt;=1.25*$AK65/$AT65,0))),"—")</f>
        <v/>
      </c>
      <c r="AV65" s="290" t="str" cm="1">
        <f t="array" ref="AV65">IF($AU65="","",IFERROR(INDEX(Gec_Cu,MATCH(TRUE,Gec_CM&gt;=INDEX(Ampacity_CM,MATCH($AU65,Ampacity_Size,0))*$AT65,0)),"—"))</f>
        <v/>
      </c>
      <c r="AW65" s="290" t="str" cm="1">
        <f t="array" ref="AW65">IF($AU65="","",IFERROR(IF(INDEX(Ampacity_CM,MATCH($AU65,Ampacity_Size,0))*$AT65&gt;1100000,"12.5% of phase area",INDEX(Gec_Cu,MATCH(TRUE,Gec_CM&gt;=INDEX(Ampacity_CM,MATCH($AU65,Ampacity_Size,0))*$AT65,0))),"—"))</f>
        <v/>
      </c>
      <c r="AX65" s="533" t="str">
        <f t="shared" si="51"/>
        <v/>
      </c>
      <c r="AY65" s="533" t="str">
        <f t="shared" si="52"/>
        <v/>
      </c>
      <c r="AZ65" s="20" t="str">
        <f t="shared" si="53"/>
        <v/>
      </c>
    </row>
    <row r="66" spans="1:52" ht="15" customHeight="1" x14ac:dyDescent="0.35">
      <c r="A66" s="362" t="str" cm="1">
        <f t="array" ref="A66">IFERROR(IF(INDEX(_xlfn.ANCHORARRAY($BO$4),ROW()-5,1)="","","T-"&amp;INDEX(_xlfn.ANCHORARRAY($BO$4),ROW()-5,1)),"")</f>
        <v/>
      </c>
      <c r="B66" s="362" t="str" cm="1">
        <f t="array" ref="B66">IFERROR(IF(INDEX(_xlfn.ANCHORARRAY($BO$4),ROW()-5,1)="","",INDEX(_xlfn.ANCHORARRAY($BO$4),ROW()-5,1)),"")</f>
        <v/>
      </c>
      <c r="C66" s="362" t="str" cm="1">
        <f t="array" ref="C66">IFERROR(INDEX(_xlfn.ANCHORARRAY($BO$4),ROW()-5,5),"")</f>
        <v/>
      </c>
      <c r="D66" s="362" t="str" cm="1">
        <f t="array" ref="D66">IFERROR(INDEX(_xlfn.ANCHORARRAY($BO$4),ROW()-5,3),"")</f>
        <v/>
      </c>
      <c r="E66" s="362" t="str" cm="1">
        <f t="array" ref="E66">IFERROR(INDEX(_xlfn.ANCHORARRAY($BO$4),ROW()-5,4),"")</f>
        <v/>
      </c>
      <c r="F66" s="36" t="str" cm="1">
        <f t="array" ref="F66">IFERROR(INDEX(_xlfn.ANCHORARRAY($BO$4),ROW()-5,6),"")</f>
        <v/>
      </c>
      <c r="G66" s="362" t="str" cm="1">
        <f t="array" ref="G66">IF($F66="","",_xlfn.LET(_xlpm.ov,N(IFERROR(_xlfn.XLOOKUP($B66,Dashboard!$A$101:$A$350,Dashboard!$O$101:$O$350,0),0)),_xlpm.need,MAX(N($F66),_xlpm.ov*N($E66)*IF($C66=3,SQRT(3),1)/1000),IFERROR(INDEX(IF($C66=1,Xfmr1_kVA,Xfmr3_kVA),MATCH(TRUE,IF($C66=1,Xfmr1_kVA,Xfmr3_kVA)&gt;=_xlpm.need,0)),"OVER")))</f>
        <v/>
      </c>
      <c r="H66" s="362" t="str">
        <f t="shared" si="27"/>
        <v/>
      </c>
      <c r="I66" s="168" t="str">
        <f t="shared" si="28"/>
        <v/>
      </c>
      <c r="J66" s="362" t="str">
        <f t="shared" si="29"/>
        <v/>
      </c>
      <c r="K66" s="362" t="str">
        <f t="shared" si="30"/>
        <v/>
      </c>
      <c r="L66" s="362" t="str">
        <f t="shared" si="31"/>
        <v/>
      </c>
      <c r="M66" s="168" t="str" cm="1">
        <f t="array" ref="M66">IF($Z66&lt;&gt;"",$Z66,IFERROR(IF($AJ66="","",INDEX(OCPD_List,MATCH(TRUE,OCPD_List&gt;=1.25*$AJ66,0))),"—"))</f>
        <v/>
      </c>
      <c r="N66" s="168" t="str" cm="1">
        <f t="array" ref="N66">IF($AA66&lt;&gt;"",$AA66,IFERROR(IF($AK66="","",INDEX(OCPD_List,MATCH(TRUE,OCPD_List&gt;=1.25*$AK66,0))),"—"))</f>
        <v/>
      </c>
      <c r="O66" s="171" t="str">
        <f t="shared" si="32"/>
        <v/>
      </c>
      <c r="P66" s="171" t="str">
        <f t="shared" si="33"/>
        <v/>
      </c>
      <c r="Q66" s="78" t="str">
        <f t="shared" si="34"/>
        <v/>
      </c>
      <c r="R66" s="371"/>
      <c r="S66" s="481" t="str">
        <f t="shared" si="35"/>
        <v/>
      </c>
      <c r="T66" s="482" t="str">
        <f t="shared" si="36"/>
        <v/>
      </c>
      <c r="U66" s="482" t="str">
        <f t="shared" si="37"/>
        <v/>
      </c>
      <c r="V66" s="482" t="str">
        <f t="shared" si="38"/>
        <v/>
      </c>
      <c r="W66" s="169"/>
      <c r="X66" s="169"/>
      <c r="Y66" s="169"/>
      <c r="Z66" s="251"/>
      <c r="AA66" s="251"/>
      <c r="AB66" s="483"/>
      <c r="AC66" s="483"/>
      <c r="AD66" s="483"/>
      <c r="AE66" s="483"/>
      <c r="AF66" s="483"/>
      <c r="AG66" s="254" t="str">
        <f t="shared" si="39"/>
        <v/>
      </c>
      <c r="AH66" s="254" t="str">
        <f t="shared" si="40"/>
        <v/>
      </c>
      <c r="AI66" s="254" t="str">
        <f t="shared" si="41"/>
        <v/>
      </c>
      <c r="AJ66" s="254" t="str">
        <f t="shared" si="42"/>
        <v/>
      </c>
      <c r="AK66" s="254" t="str">
        <f t="shared" si="43"/>
        <v/>
      </c>
      <c r="AL66" s="255" t="str" cm="1">
        <f t="array" ref="AL66">IFERROR(IF(INDEX(_xlfn.ANCHORARRAY($BO$4),ROW()-5,2)="","",_xlfn.XLOOKUP(INDEX(_xlfn.ANCHORARRAY($BO$4),ROW()-5,2),'Short Circuit'!$A$6:$A$255,'Short Circuit'!$J$6:$J$255,"")),"")</f>
        <v/>
      </c>
      <c r="AM66" s="254" t="str">
        <f t="shared" si="44"/>
        <v/>
      </c>
      <c r="AN66" s="254" t="str">
        <f t="shared" si="45"/>
        <v/>
      </c>
      <c r="AO66" s="254" t="str">
        <f t="shared" si="46"/>
        <v/>
      </c>
      <c r="AP66" s="255" t="str">
        <f t="shared" si="47"/>
        <v/>
      </c>
      <c r="AQ66" s="255" t="str">
        <f t="shared" si="48"/>
        <v/>
      </c>
      <c r="AR66" s="255" t="str">
        <f t="shared" si="49"/>
        <v/>
      </c>
      <c r="AS66" s="255" t="str" cm="1">
        <f t="array" ref="AS66">IFERROR(IF($AP66="","",INDEX(AIC_List,MATCH(TRUE,AIC_List&gt;=$AP66,0))),"⚠ &gt; 200 kA")</f>
        <v/>
      </c>
      <c r="AT66" s="255" t="str">
        <f t="shared" si="50"/>
        <v/>
      </c>
      <c r="AU66" s="290" t="str" cm="1">
        <f t="array" ref="AU66">IFERROR(IF($AK66="","",INDEX(Ampacity_Size,MATCH(TRUE,Ampacity_Cu&gt;=1.25*$AK66/$AT66,0))),"—")</f>
        <v/>
      </c>
      <c r="AV66" s="290" t="str" cm="1">
        <f t="array" ref="AV66">IF($AU66="","",IFERROR(INDEX(Gec_Cu,MATCH(TRUE,Gec_CM&gt;=INDEX(Ampacity_CM,MATCH($AU66,Ampacity_Size,0))*$AT66,0)),"—"))</f>
        <v/>
      </c>
      <c r="AW66" s="290" t="str" cm="1">
        <f t="array" ref="AW66">IF($AU66="","",IFERROR(IF(INDEX(Ampacity_CM,MATCH($AU66,Ampacity_Size,0))*$AT66&gt;1100000,"12.5% of phase area",INDEX(Gec_Cu,MATCH(TRUE,Gec_CM&gt;=INDEX(Ampacity_CM,MATCH($AU66,Ampacity_Size,0))*$AT66,0))),"—"))</f>
        <v/>
      </c>
      <c r="AX66" s="533" t="str">
        <f t="shared" si="51"/>
        <v/>
      </c>
      <c r="AY66" s="533" t="str">
        <f t="shared" si="52"/>
        <v/>
      </c>
      <c r="AZ66" s="20" t="str">
        <f t="shared" si="53"/>
        <v/>
      </c>
    </row>
    <row r="67" spans="1:52" ht="15" customHeight="1" x14ac:dyDescent="0.35">
      <c r="A67" s="362" t="str" cm="1">
        <f t="array" ref="A67">IFERROR(IF(INDEX(_xlfn.ANCHORARRAY($BO$4),ROW()-5,1)="","","T-"&amp;INDEX(_xlfn.ANCHORARRAY($BO$4),ROW()-5,1)),"")</f>
        <v/>
      </c>
      <c r="B67" s="362" t="str" cm="1">
        <f t="array" ref="B67">IFERROR(IF(INDEX(_xlfn.ANCHORARRAY($BO$4),ROW()-5,1)="","",INDEX(_xlfn.ANCHORARRAY($BO$4),ROW()-5,1)),"")</f>
        <v/>
      </c>
      <c r="C67" s="362" t="str" cm="1">
        <f t="array" ref="C67">IFERROR(INDEX(_xlfn.ANCHORARRAY($BO$4),ROW()-5,5),"")</f>
        <v/>
      </c>
      <c r="D67" s="362" t="str" cm="1">
        <f t="array" ref="D67">IFERROR(INDEX(_xlfn.ANCHORARRAY($BO$4),ROW()-5,3),"")</f>
        <v/>
      </c>
      <c r="E67" s="362" t="str" cm="1">
        <f t="array" ref="E67">IFERROR(INDEX(_xlfn.ANCHORARRAY($BO$4),ROW()-5,4),"")</f>
        <v/>
      </c>
      <c r="F67" s="36" t="str" cm="1">
        <f t="array" ref="F67">IFERROR(INDEX(_xlfn.ANCHORARRAY($BO$4),ROW()-5,6),"")</f>
        <v/>
      </c>
      <c r="G67" s="362" t="str" cm="1">
        <f t="array" ref="G67">IF($F67="","",_xlfn.LET(_xlpm.ov,N(IFERROR(_xlfn.XLOOKUP($B67,Dashboard!$A$101:$A$350,Dashboard!$O$101:$O$350,0),0)),_xlpm.need,MAX(N($F67),_xlpm.ov*N($E67)*IF($C67=3,SQRT(3),1)/1000),IFERROR(INDEX(IF($C67=1,Xfmr1_kVA,Xfmr3_kVA),MATCH(TRUE,IF($C67=1,Xfmr1_kVA,Xfmr3_kVA)&gt;=_xlpm.need,0)),"OVER")))</f>
        <v/>
      </c>
      <c r="H67" s="362" t="str">
        <f t="shared" si="27"/>
        <v/>
      </c>
      <c r="I67" s="168" t="str">
        <f t="shared" si="28"/>
        <v/>
      </c>
      <c r="J67" s="362" t="str">
        <f t="shared" si="29"/>
        <v/>
      </c>
      <c r="K67" s="362" t="str">
        <f t="shared" si="30"/>
        <v/>
      </c>
      <c r="L67" s="362" t="str">
        <f t="shared" si="31"/>
        <v/>
      </c>
      <c r="M67" s="168" t="str" cm="1">
        <f t="array" ref="M67">IF($Z67&lt;&gt;"",$Z67,IFERROR(IF($AJ67="","",INDEX(OCPD_List,MATCH(TRUE,OCPD_List&gt;=1.25*$AJ67,0))),"—"))</f>
        <v/>
      </c>
      <c r="N67" s="168" t="str" cm="1">
        <f t="array" ref="N67">IF($AA67&lt;&gt;"",$AA67,IFERROR(IF($AK67="","",INDEX(OCPD_List,MATCH(TRUE,OCPD_List&gt;=1.25*$AK67,0))),"—"))</f>
        <v/>
      </c>
      <c r="O67" s="171" t="str">
        <f t="shared" si="32"/>
        <v/>
      </c>
      <c r="P67" s="171" t="str">
        <f t="shared" si="33"/>
        <v/>
      </c>
      <c r="Q67" s="78" t="str">
        <f t="shared" si="34"/>
        <v/>
      </c>
      <c r="R67" s="371"/>
      <c r="S67" s="481" t="str">
        <f t="shared" si="35"/>
        <v/>
      </c>
      <c r="T67" s="482" t="str">
        <f t="shared" si="36"/>
        <v/>
      </c>
      <c r="U67" s="482" t="str">
        <f t="shared" si="37"/>
        <v/>
      </c>
      <c r="V67" s="482" t="str">
        <f t="shared" si="38"/>
        <v/>
      </c>
      <c r="W67" s="169"/>
      <c r="X67" s="169"/>
      <c r="Y67" s="169"/>
      <c r="Z67" s="251"/>
      <c r="AA67" s="251"/>
      <c r="AB67" s="483"/>
      <c r="AC67" s="483"/>
      <c r="AD67" s="483"/>
      <c r="AE67" s="483"/>
      <c r="AF67" s="483"/>
      <c r="AG67" s="254" t="str">
        <f t="shared" si="39"/>
        <v/>
      </c>
      <c r="AH67" s="254" t="str">
        <f t="shared" si="40"/>
        <v/>
      </c>
      <c r="AI67" s="254" t="str">
        <f t="shared" si="41"/>
        <v/>
      </c>
      <c r="AJ67" s="254" t="str">
        <f t="shared" si="42"/>
        <v/>
      </c>
      <c r="AK67" s="254" t="str">
        <f t="shared" si="43"/>
        <v/>
      </c>
      <c r="AL67" s="255" t="str" cm="1">
        <f t="array" ref="AL67">IFERROR(IF(INDEX(_xlfn.ANCHORARRAY($BO$4),ROW()-5,2)="","",_xlfn.XLOOKUP(INDEX(_xlfn.ANCHORARRAY($BO$4),ROW()-5,2),'Short Circuit'!$A$6:$A$255,'Short Circuit'!$J$6:$J$255,"")),"")</f>
        <v/>
      </c>
      <c r="AM67" s="254" t="str">
        <f t="shared" si="44"/>
        <v/>
      </c>
      <c r="AN67" s="254" t="str">
        <f t="shared" si="45"/>
        <v/>
      </c>
      <c r="AO67" s="254" t="str">
        <f t="shared" si="46"/>
        <v/>
      </c>
      <c r="AP67" s="255" t="str">
        <f t="shared" si="47"/>
        <v/>
      </c>
      <c r="AQ67" s="255" t="str">
        <f t="shared" si="48"/>
        <v/>
      </c>
      <c r="AR67" s="255" t="str">
        <f t="shared" si="49"/>
        <v/>
      </c>
      <c r="AS67" s="255" t="str" cm="1">
        <f t="array" ref="AS67">IFERROR(IF($AP67="","",INDEX(AIC_List,MATCH(TRUE,AIC_List&gt;=$AP67,0))),"⚠ &gt; 200 kA")</f>
        <v/>
      </c>
      <c r="AT67" s="255" t="str">
        <f t="shared" si="50"/>
        <v/>
      </c>
      <c r="AU67" s="290" t="str" cm="1">
        <f t="array" ref="AU67">IFERROR(IF($AK67="","",INDEX(Ampacity_Size,MATCH(TRUE,Ampacity_Cu&gt;=1.25*$AK67/$AT67,0))),"—")</f>
        <v/>
      </c>
      <c r="AV67" s="290" t="str" cm="1">
        <f t="array" ref="AV67">IF($AU67="","",IFERROR(INDEX(Gec_Cu,MATCH(TRUE,Gec_CM&gt;=INDEX(Ampacity_CM,MATCH($AU67,Ampacity_Size,0))*$AT67,0)),"—"))</f>
        <v/>
      </c>
      <c r="AW67" s="290" t="str" cm="1">
        <f t="array" ref="AW67">IF($AU67="","",IFERROR(IF(INDEX(Ampacity_CM,MATCH($AU67,Ampacity_Size,0))*$AT67&gt;1100000,"12.5% of phase area",INDEX(Gec_Cu,MATCH(TRUE,Gec_CM&gt;=INDEX(Ampacity_CM,MATCH($AU67,Ampacity_Size,0))*$AT67,0))),"—"))</f>
        <v/>
      </c>
      <c r="AX67" s="533" t="str">
        <f t="shared" si="51"/>
        <v/>
      </c>
      <c r="AY67" s="533" t="str">
        <f t="shared" si="52"/>
        <v/>
      </c>
      <c r="AZ67" s="20" t="str">
        <f t="shared" si="53"/>
        <v/>
      </c>
    </row>
    <row r="68" spans="1:52" ht="15" customHeight="1" x14ac:dyDescent="0.35">
      <c r="A68" s="362" t="str" cm="1">
        <f t="array" ref="A68">IFERROR(IF(INDEX(_xlfn.ANCHORARRAY($BO$4),ROW()-5,1)="","","T-"&amp;INDEX(_xlfn.ANCHORARRAY($BO$4),ROW()-5,1)),"")</f>
        <v/>
      </c>
      <c r="B68" s="362" t="str" cm="1">
        <f t="array" ref="B68">IFERROR(IF(INDEX(_xlfn.ANCHORARRAY($BO$4),ROW()-5,1)="","",INDEX(_xlfn.ANCHORARRAY($BO$4),ROW()-5,1)),"")</f>
        <v/>
      </c>
      <c r="C68" s="362" t="str" cm="1">
        <f t="array" ref="C68">IFERROR(INDEX(_xlfn.ANCHORARRAY($BO$4),ROW()-5,5),"")</f>
        <v/>
      </c>
      <c r="D68" s="362" t="str" cm="1">
        <f t="array" ref="D68">IFERROR(INDEX(_xlfn.ANCHORARRAY($BO$4),ROW()-5,3),"")</f>
        <v/>
      </c>
      <c r="E68" s="362" t="str" cm="1">
        <f t="array" ref="E68">IFERROR(INDEX(_xlfn.ANCHORARRAY($BO$4),ROW()-5,4),"")</f>
        <v/>
      </c>
      <c r="F68" s="36" t="str" cm="1">
        <f t="array" ref="F68">IFERROR(INDEX(_xlfn.ANCHORARRAY($BO$4),ROW()-5,6),"")</f>
        <v/>
      </c>
      <c r="G68" s="362" t="str" cm="1">
        <f t="array" ref="G68">IF($F68="","",_xlfn.LET(_xlpm.ov,N(IFERROR(_xlfn.XLOOKUP($B68,Dashboard!$A$101:$A$350,Dashboard!$O$101:$O$350,0),0)),_xlpm.need,MAX(N($F68),_xlpm.ov*N($E68)*IF($C68=3,SQRT(3),1)/1000),IFERROR(INDEX(IF($C68=1,Xfmr1_kVA,Xfmr3_kVA),MATCH(TRUE,IF($C68=1,Xfmr1_kVA,Xfmr3_kVA)&gt;=_xlpm.need,0)),"OVER")))</f>
        <v/>
      </c>
      <c r="H68" s="362" t="str">
        <f t="shared" si="27"/>
        <v/>
      </c>
      <c r="I68" s="168" t="str">
        <f t="shared" si="28"/>
        <v/>
      </c>
      <c r="J68" s="362" t="str">
        <f t="shared" si="29"/>
        <v/>
      </c>
      <c r="K68" s="362" t="str">
        <f t="shared" si="30"/>
        <v/>
      </c>
      <c r="L68" s="362" t="str">
        <f t="shared" si="31"/>
        <v/>
      </c>
      <c r="M68" s="168" t="str" cm="1">
        <f t="array" ref="M68">IF($Z68&lt;&gt;"",$Z68,IFERROR(IF($AJ68="","",INDEX(OCPD_List,MATCH(TRUE,OCPD_List&gt;=1.25*$AJ68,0))),"—"))</f>
        <v/>
      </c>
      <c r="N68" s="168" t="str" cm="1">
        <f t="array" ref="N68">IF($AA68&lt;&gt;"",$AA68,IFERROR(IF($AK68="","",INDEX(OCPD_List,MATCH(TRUE,OCPD_List&gt;=1.25*$AK68,0))),"—"))</f>
        <v/>
      </c>
      <c r="O68" s="171" t="str">
        <f t="shared" si="32"/>
        <v/>
      </c>
      <c r="P68" s="171" t="str">
        <f t="shared" si="33"/>
        <v/>
      </c>
      <c r="Q68" s="78" t="str">
        <f t="shared" si="34"/>
        <v/>
      </c>
      <c r="R68" s="371"/>
      <c r="S68" s="481" t="str">
        <f t="shared" si="35"/>
        <v/>
      </c>
      <c r="T68" s="482" t="str">
        <f t="shared" si="36"/>
        <v/>
      </c>
      <c r="U68" s="482" t="str">
        <f t="shared" si="37"/>
        <v/>
      </c>
      <c r="V68" s="482" t="str">
        <f t="shared" si="38"/>
        <v/>
      </c>
      <c r="W68" s="169"/>
      <c r="X68" s="169"/>
      <c r="Y68" s="169"/>
      <c r="Z68" s="251"/>
      <c r="AA68" s="251"/>
      <c r="AB68" s="483"/>
      <c r="AC68" s="483"/>
      <c r="AD68" s="483"/>
      <c r="AE68" s="483"/>
      <c r="AF68" s="483"/>
      <c r="AG68" s="254" t="str">
        <f t="shared" si="39"/>
        <v/>
      </c>
      <c r="AH68" s="254" t="str">
        <f t="shared" si="40"/>
        <v/>
      </c>
      <c r="AI68" s="254" t="str">
        <f t="shared" si="41"/>
        <v/>
      </c>
      <c r="AJ68" s="254" t="str">
        <f t="shared" si="42"/>
        <v/>
      </c>
      <c r="AK68" s="254" t="str">
        <f t="shared" si="43"/>
        <v/>
      </c>
      <c r="AL68" s="255" t="str" cm="1">
        <f t="array" ref="AL68">IFERROR(IF(INDEX(_xlfn.ANCHORARRAY($BO$4),ROW()-5,2)="","",_xlfn.XLOOKUP(INDEX(_xlfn.ANCHORARRAY($BO$4),ROW()-5,2),'Short Circuit'!$A$6:$A$255,'Short Circuit'!$J$6:$J$255,"")),"")</f>
        <v/>
      </c>
      <c r="AM68" s="254" t="str">
        <f t="shared" si="44"/>
        <v/>
      </c>
      <c r="AN68" s="254" t="str">
        <f t="shared" si="45"/>
        <v/>
      </c>
      <c r="AO68" s="254" t="str">
        <f t="shared" si="46"/>
        <v/>
      </c>
      <c r="AP68" s="255" t="str">
        <f t="shared" si="47"/>
        <v/>
      </c>
      <c r="AQ68" s="255" t="str">
        <f t="shared" si="48"/>
        <v/>
      </c>
      <c r="AR68" s="255" t="str">
        <f t="shared" si="49"/>
        <v/>
      </c>
      <c r="AS68" s="255" t="str" cm="1">
        <f t="array" ref="AS68">IFERROR(IF($AP68="","",INDEX(AIC_List,MATCH(TRUE,AIC_List&gt;=$AP68,0))),"⚠ &gt; 200 kA")</f>
        <v/>
      </c>
      <c r="AT68" s="255" t="str">
        <f t="shared" si="50"/>
        <v/>
      </c>
      <c r="AU68" s="290" t="str" cm="1">
        <f t="array" ref="AU68">IFERROR(IF($AK68="","",INDEX(Ampacity_Size,MATCH(TRUE,Ampacity_Cu&gt;=1.25*$AK68/$AT68,0))),"—")</f>
        <v/>
      </c>
      <c r="AV68" s="290" t="str" cm="1">
        <f t="array" ref="AV68">IF($AU68="","",IFERROR(INDEX(Gec_Cu,MATCH(TRUE,Gec_CM&gt;=INDEX(Ampacity_CM,MATCH($AU68,Ampacity_Size,0))*$AT68,0)),"—"))</f>
        <v/>
      </c>
      <c r="AW68" s="290" t="str" cm="1">
        <f t="array" ref="AW68">IF($AU68="","",IFERROR(IF(INDEX(Ampacity_CM,MATCH($AU68,Ampacity_Size,0))*$AT68&gt;1100000,"12.5% of phase area",INDEX(Gec_Cu,MATCH(TRUE,Gec_CM&gt;=INDEX(Ampacity_CM,MATCH($AU68,Ampacity_Size,0))*$AT68,0))),"—"))</f>
        <v/>
      </c>
      <c r="AX68" s="533" t="str">
        <f t="shared" si="51"/>
        <v/>
      </c>
      <c r="AY68" s="533" t="str">
        <f t="shared" si="52"/>
        <v/>
      </c>
      <c r="AZ68" s="20" t="str">
        <f t="shared" si="53"/>
        <v/>
      </c>
    </row>
    <row r="69" spans="1:52" ht="15" customHeight="1" x14ac:dyDescent="0.35">
      <c r="A69" s="362" t="str" cm="1">
        <f t="array" ref="A69">IFERROR(IF(INDEX(_xlfn.ANCHORARRAY($BO$4),ROW()-5,1)="","","T-"&amp;INDEX(_xlfn.ANCHORARRAY($BO$4),ROW()-5,1)),"")</f>
        <v/>
      </c>
      <c r="B69" s="362" t="str" cm="1">
        <f t="array" ref="B69">IFERROR(IF(INDEX(_xlfn.ANCHORARRAY($BO$4),ROW()-5,1)="","",INDEX(_xlfn.ANCHORARRAY($BO$4),ROW()-5,1)),"")</f>
        <v/>
      </c>
      <c r="C69" s="362" t="str" cm="1">
        <f t="array" ref="C69">IFERROR(INDEX(_xlfn.ANCHORARRAY($BO$4),ROW()-5,5),"")</f>
        <v/>
      </c>
      <c r="D69" s="362" t="str" cm="1">
        <f t="array" ref="D69">IFERROR(INDEX(_xlfn.ANCHORARRAY($BO$4),ROW()-5,3),"")</f>
        <v/>
      </c>
      <c r="E69" s="362" t="str" cm="1">
        <f t="array" ref="E69">IFERROR(INDEX(_xlfn.ANCHORARRAY($BO$4),ROW()-5,4),"")</f>
        <v/>
      </c>
      <c r="F69" s="36" t="str" cm="1">
        <f t="array" ref="F69">IFERROR(INDEX(_xlfn.ANCHORARRAY($BO$4),ROW()-5,6),"")</f>
        <v/>
      </c>
      <c r="G69" s="362" t="str" cm="1">
        <f t="array" ref="G69">IF($F69="","",_xlfn.LET(_xlpm.ov,N(IFERROR(_xlfn.XLOOKUP($B69,Dashboard!$A$101:$A$350,Dashboard!$O$101:$O$350,0),0)),_xlpm.need,MAX(N($F69),_xlpm.ov*N($E69)*IF($C69=3,SQRT(3),1)/1000),IFERROR(INDEX(IF($C69=1,Xfmr1_kVA,Xfmr3_kVA),MATCH(TRUE,IF($C69=1,Xfmr1_kVA,Xfmr3_kVA)&gt;=_xlpm.need,0)),"OVER")))</f>
        <v/>
      </c>
      <c r="H69" s="362" t="str">
        <f t="shared" si="27"/>
        <v/>
      </c>
      <c r="I69" s="168" t="str">
        <f t="shared" si="28"/>
        <v/>
      </c>
      <c r="J69" s="362" t="str">
        <f t="shared" si="29"/>
        <v/>
      </c>
      <c r="K69" s="362" t="str">
        <f t="shared" si="30"/>
        <v/>
      </c>
      <c r="L69" s="362" t="str">
        <f t="shared" si="31"/>
        <v/>
      </c>
      <c r="M69" s="168" t="str" cm="1">
        <f t="array" ref="M69">IF($Z69&lt;&gt;"",$Z69,IFERROR(IF($AJ69="","",INDEX(OCPD_List,MATCH(TRUE,OCPD_List&gt;=1.25*$AJ69,0))),"—"))</f>
        <v/>
      </c>
      <c r="N69" s="168" t="str" cm="1">
        <f t="array" ref="N69">IF($AA69&lt;&gt;"",$AA69,IFERROR(IF($AK69="","",INDEX(OCPD_List,MATCH(TRUE,OCPD_List&gt;=1.25*$AK69,0))),"—"))</f>
        <v/>
      </c>
      <c r="O69" s="171" t="str">
        <f t="shared" si="32"/>
        <v/>
      </c>
      <c r="P69" s="171" t="str">
        <f t="shared" si="33"/>
        <v/>
      </c>
      <c r="Q69" s="78" t="str">
        <f t="shared" si="34"/>
        <v/>
      </c>
      <c r="R69" s="371"/>
      <c r="S69" s="481" t="str">
        <f t="shared" si="35"/>
        <v/>
      </c>
      <c r="T69" s="482" t="str">
        <f t="shared" si="36"/>
        <v/>
      </c>
      <c r="U69" s="482" t="str">
        <f t="shared" si="37"/>
        <v/>
      </c>
      <c r="V69" s="482" t="str">
        <f t="shared" si="38"/>
        <v/>
      </c>
      <c r="W69" s="169"/>
      <c r="X69" s="169"/>
      <c r="Y69" s="169"/>
      <c r="Z69" s="251"/>
      <c r="AA69" s="251"/>
      <c r="AB69" s="483"/>
      <c r="AC69" s="483"/>
      <c r="AD69" s="483"/>
      <c r="AE69" s="483"/>
      <c r="AF69" s="483"/>
      <c r="AG69" s="254" t="str">
        <f t="shared" si="39"/>
        <v/>
      </c>
      <c r="AH69" s="254" t="str">
        <f t="shared" si="40"/>
        <v/>
      </c>
      <c r="AI69" s="254" t="str">
        <f t="shared" si="41"/>
        <v/>
      </c>
      <c r="AJ69" s="254" t="str">
        <f t="shared" si="42"/>
        <v/>
      </c>
      <c r="AK69" s="254" t="str">
        <f t="shared" si="43"/>
        <v/>
      </c>
      <c r="AL69" s="255" t="str" cm="1">
        <f t="array" ref="AL69">IFERROR(IF(INDEX(_xlfn.ANCHORARRAY($BO$4),ROW()-5,2)="","",_xlfn.XLOOKUP(INDEX(_xlfn.ANCHORARRAY($BO$4),ROW()-5,2),'Short Circuit'!$A$6:$A$255,'Short Circuit'!$J$6:$J$255,"")),"")</f>
        <v/>
      </c>
      <c r="AM69" s="254" t="str">
        <f t="shared" si="44"/>
        <v/>
      </c>
      <c r="AN69" s="254" t="str">
        <f t="shared" si="45"/>
        <v/>
      </c>
      <c r="AO69" s="254" t="str">
        <f t="shared" si="46"/>
        <v/>
      </c>
      <c r="AP69" s="255" t="str">
        <f t="shared" si="47"/>
        <v/>
      </c>
      <c r="AQ69" s="255" t="str">
        <f t="shared" si="48"/>
        <v/>
      </c>
      <c r="AR69" s="255" t="str">
        <f t="shared" si="49"/>
        <v/>
      </c>
      <c r="AS69" s="255" t="str" cm="1">
        <f t="array" ref="AS69">IFERROR(IF($AP69="","",INDEX(AIC_List,MATCH(TRUE,AIC_List&gt;=$AP69,0))),"⚠ &gt; 200 kA")</f>
        <v/>
      </c>
      <c r="AT69" s="255" t="str">
        <f t="shared" si="50"/>
        <v/>
      </c>
      <c r="AU69" s="290" t="str" cm="1">
        <f t="array" ref="AU69">IFERROR(IF($AK69="","",INDEX(Ampacity_Size,MATCH(TRUE,Ampacity_Cu&gt;=1.25*$AK69/$AT69,0))),"—")</f>
        <v/>
      </c>
      <c r="AV69" s="290" t="str" cm="1">
        <f t="array" ref="AV69">IF($AU69="","",IFERROR(INDEX(Gec_Cu,MATCH(TRUE,Gec_CM&gt;=INDEX(Ampacity_CM,MATCH($AU69,Ampacity_Size,0))*$AT69,0)),"—"))</f>
        <v/>
      </c>
      <c r="AW69" s="290" t="str" cm="1">
        <f t="array" ref="AW69">IF($AU69="","",IFERROR(IF(INDEX(Ampacity_CM,MATCH($AU69,Ampacity_Size,0))*$AT69&gt;1100000,"12.5% of phase area",INDEX(Gec_Cu,MATCH(TRUE,Gec_CM&gt;=INDEX(Ampacity_CM,MATCH($AU69,Ampacity_Size,0))*$AT69,0))),"—"))</f>
        <v/>
      </c>
      <c r="AX69" s="533" t="str">
        <f t="shared" si="51"/>
        <v/>
      </c>
      <c r="AY69" s="533" t="str">
        <f t="shared" si="52"/>
        <v/>
      </c>
      <c r="AZ69" s="20" t="str">
        <f t="shared" si="53"/>
        <v/>
      </c>
    </row>
    <row r="70" spans="1:52" ht="15" customHeight="1" x14ac:dyDescent="0.35">
      <c r="A70" s="362" t="str" cm="1">
        <f t="array" ref="A70">IFERROR(IF(INDEX(_xlfn.ANCHORARRAY($BO$4),ROW()-5,1)="","","T-"&amp;INDEX(_xlfn.ANCHORARRAY($BO$4),ROW()-5,1)),"")</f>
        <v/>
      </c>
      <c r="B70" s="362" t="str" cm="1">
        <f t="array" ref="B70">IFERROR(IF(INDEX(_xlfn.ANCHORARRAY($BO$4),ROW()-5,1)="","",INDEX(_xlfn.ANCHORARRAY($BO$4),ROW()-5,1)),"")</f>
        <v/>
      </c>
      <c r="C70" s="362" t="str" cm="1">
        <f t="array" ref="C70">IFERROR(INDEX(_xlfn.ANCHORARRAY($BO$4),ROW()-5,5),"")</f>
        <v/>
      </c>
      <c r="D70" s="362" t="str" cm="1">
        <f t="array" ref="D70">IFERROR(INDEX(_xlfn.ANCHORARRAY($BO$4),ROW()-5,3),"")</f>
        <v/>
      </c>
      <c r="E70" s="362" t="str" cm="1">
        <f t="array" ref="E70">IFERROR(INDEX(_xlfn.ANCHORARRAY($BO$4),ROW()-5,4),"")</f>
        <v/>
      </c>
      <c r="F70" s="36" t="str" cm="1">
        <f t="array" ref="F70">IFERROR(INDEX(_xlfn.ANCHORARRAY($BO$4),ROW()-5,6),"")</f>
        <v/>
      </c>
      <c r="G70" s="362" t="str" cm="1">
        <f t="array" ref="G70">IF($F70="","",_xlfn.LET(_xlpm.ov,N(IFERROR(_xlfn.XLOOKUP($B70,Dashboard!$A$101:$A$350,Dashboard!$O$101:$O$350,0),0)),_xlpm.need,MAX(N($F70),_xlpm.ov*N($E70)*IF($C70=3,SQRT(3),1)/1000),IFERROR(INDEX(IF($C70=1,Xfmr1_kVA,Xfmr3_kVA),MATCH(TRUE,IF($C70=1,Xfmr1_kVA,Xfmr3_kVA)&gt;=_xlpm.need,0)),"OVER")))</f>
        <v/>
      </c>
      <c r="H70" s="362" t="str">
        <f t="shared" ref="H70:H105" si="54">IF($AB70&lt;&gt;"",$AB70,IF($D70="","",IFERROR(_xlfn.XLOOKUP($D70,Xfmr_BaseV,Xfmr_Conn),"")))</f>
        <v/>
      </c>
      <c r="I70" s="168" t="str">
        <f t="shared" ref="I70:I105" si="55">IF($AC70&lt;&gt;"",$AC70,IF($E70="","",IFERROR(_xlfn.XLOOKUP($E70,Xfmr_BaseV,Xfmr_Conn),"")))</f>
        <v/>
      </c>
      <c r="J70" s="362" t="str">
        <f t="shared" ref="J70:J105" si="56">IF($AD70&lt;&gt;"",$AD70,IF($B70="","",Xfmr_DefType))</f>
        <v/>
      </c>
      <c r="K70" s="362" t="str">
        <f t="shared" ref="K70:K105" si="57">IF($AE70&lt;&gt;"",$AE70,IF($B70="","",Xfmr_DefTaps))</f>
        <v/>
      </c>
      <c r="L70" s="362" t="str">
        <f t="shared" ref="L70:L105" si="58">IF($AF70&lt;&gt;"",$AF70,IF($B70="","",Xfmr_DefEncl))</f>
        <v/>
      </c>
      <c r="M70" s="168" t="str" cm="1">
        <f t="array" ref="M70">IF($Z70&lt;&gt;"",$Z70,IFERROR(IF($AJ70="","",INDEX(OCPD_List,MATCH(TRUE,OCPD_List&gt;=1.25*$AJ70,0))),"—"))</f>
        <v/>
      </c>
      <c r="N70" s="168" t="str" cm="1">
        <f t="array" ref="N70">IF($AA70&lt;&gt;"",$AA70,IFERROR(IF($AK70="","",INDEX(OCPD_List,MATCH(TRUE,OCPD_List&gt;=1.25*$AK70,0))),"—"))</f>
        <v/>
      </c>
      <c r="O70" s="171" t="str">
        <f t="shared" ref="O70:O105" si="59">IF($A70="","",$AV70)</f>
        <v/>
      </c>
      <c r="P70" s="171" t="str">
        <f t="shared" ref="P70:P105" si="60">IF($A70="","",$AW70)</f>
        <v/>
      </c>
      <c r="Q70" s="78" t="str">
        <f t="shared" ref="Q70:Q105" si="61">IF(OR($F70="",$G70="",$G70="OVER"),"",$F70/$G70)</f>
        <v/>
      </c>
      <c r="R70" s="371"/>
      <c r="S70" s="481" t="str">
        <f t="shared" ref="S70:S105" si="62">IF($A70="","",$AO70)</f>
        <v/>
      </c>
      <c r="T70" s="482" t="str">
        <f t="shared" ref="T70:T105" si="63">IF($A70="","",$AP70)</f>
        <v/>
      </c>
      <c r="U70" s="482" t="str">
        <f t="shared" ref="U70:U105" si="64">IF($A70="","",$AS70)</f>
        <v/>
      </c>
      <c r="V70" s="482" t="str">
        <f t="shared" ref="V70:V105" si="65">IF($A70="","",$AR70)</f>
        <v/>
      </c>
      <c r="W70" s="169"/>
      <c r="X70" s="169"/>
      <c r="Y70" s="169"/>
      <c r="Z70" s="251"/>
      <c r="AA70" s="251"/>
      <c r="AB70" s="483"/>
      <c r="AC70" s="483"/>
      <c r="AD70" s="483"/>
      <c r="AE70" s="483"/>
      <c r="AF70" s="483"/>
      <c r="AG70" s="254" t="str">
        <f t="shared" ref="AG70:AG105" si="66">IF(OR($AX70="",$G70="",$G70="OVER"),"",$AX70/SQRT(1+$AH70^2))</f>
        <v/>
      </c>
      <c r="AH70" s="254" t="str">
        <f t="shared" ref="AH70:AH105" si="67">IF(OR($AX70="",$G70="",$G70="OVER"),"",IF(AND($Y70&lt;&gt;"",$Y70&gt;0),SQRT(MAX($AX70^2-($Y70/$G70*100)^2,0))/($Y70/$G70*100),IFERROR(INDEX(XR_Typ,MATCH($G70,XR_kVA,1)),3)))</f>
        <v/>
      </c>
      <c r="AI70" s="254" t="str">
        <f t="shared" ref="AI70:AI105" si="68">IF(OR($AX70="",$G70="",$G70="OVER"),"",$AX70*$AH70/SQRT(1+$AH70^2))</f>
        <v/>
      </c>
      <c r="AJ70" s="254" t="str">
        <f t="shared" ref="AJ70:AJ105" si="69">IF(OR($G70="",$G70="OVER",$D70=""),"",$G70*1000/(IF($C70=3,SQRT3,1)*$D70))</f>
        <v/>
      </c>
      <c r="AK70" s="254" t="str">
        <f t="shared" ref="AK70:AK105" si="70">IF(OR($G70="",$G70="OVER",$E70=""),"",$G70*1000/(IF($C70=3,SQRT3,1)*$E70))</f>
        <v/>
      </c>
      <c r="AL70" s="255" t="str" cm="1">
        <f t="array" ref="AL70">IFERROR(IF(INDEX(_xlfn.ANCHORARRAY($BO$4),ROW()-5,2)="","",_xlfn.XLOOKUP(INDEX(_xlfn.ANCHORARRAY($BO$4),ROW()-5,2),'Short Circuit'!$A$6:$A$255,'Short Circuit'!$J$6:$J$255,"")),"")</f>
        <v/>
      </c>
      <c r="AM70" s="254" t="str">
        <f t="shared" ref="AM70:AM105" si="71">IF(OR($AX70="",$AJ70=""),"",$AG70+IF(OR($AL70="",$AL70=0),0,($AJ70/$AL70*100)/SQRT(1+$AY70^2)))</f>
        <v/>
      </c>
      <c r="AN70" s="254" t="str">
        <f t="shared" ref="AN70:AN105" si="72">IF(OR($AX70="",$AJ70=""),"",$AI70+IF(OR($AL70="",$AL70=0),0,($AJ70/$AL70*100)*$AY70/SQRT(1+$AY70^2)))</f>
        <v/>
      </c>
      <c r="AO70" s="254" t="str">
        <f t="shared" ref="AO70:AO105" si="73">IF($AM70="","",SQRT($AM70^2+$AN70^2))</f>
        <v/>
      </c>
      <c r="AP70" s="255" t="str">
        <f t="shared" ref="AP70:AP105" si="74">IF(OR($AK70="",$AO70=""),"",$AK70*100/$AO70)</f>
        <v/>
      </c>
      <c r="AQ70" s="255" t="str">
        <f t="shared" ref="AQ70:AQ105" si="75">IF($AP70="","",$AP70*SQRT(2)*(1+EXP(-PI()/($AN70/$AM70))))</f>
        <v/>
      </c>
      <c r="AR70" s="255" t="str">
        <f t="shared" ref="AR70:AR105" si="76">IF($AJ70="","",$AJ70*Xfmr_Inrush)</f>
        <v/>
      </c>
      <c r="AS70" s="255" t="str" cm="1">
        <f t="array" ref="AS70">IFERROR(IF($AP70="","",INDEX(AIC_List,MATCH(TRUE,AIC_List&gt;=$AP70,0))),"⚠ &gt; 200 kA")</f>
        <v/>
      </c>
      <c r="AT70" s="255" t="str">
        <f t="shared" ref="AT70:AT105" si="77">IF($AK70="","",MAX(1,ROUNDUP(1.25*$AK70/475,0)))</f>
        <v/>
      </c>
      <c r="AU70" s="290" t="str" cm="1">
        <f t="array" ref="AU70">IFERROR(IF($AK70="","",INDEX(Ampacity_Size,MATCH(TRUE,Ampacity_Cu&gt;=1.25*$AK70/$AT70,0))),"—")</f>
        <v/>
      </c>
      <c r="AV70" s="290" t="str" cm="1">
        <f t="array" ref="AV70">IF($AU70="","",IFERROR(INDEX(Gec_Cu,MATCH(TRUE,Gec_CM&gt;=INDEX(Ampacity_CM,MATCH($AU70,Ampacity_Size,0))*$AT70,0)),"—"))</f>
        <v/>
      </c>
      <c r="AW70" s="290" t="str" cm="1">
        <f t="array" ref="AW70">IF($AU70="","",IFERROR(IF(INDEX(Ampacity_CM,MATCH($AU70,Ampacity_Size,0))*$AT70&gt;1100000,"12.5% of phase area",INDEX(Gec_Cu,MATCH(TRUE,Gec_CM&gt;=INDEX(Ampacity_CM,MATCH($AU70,Ampacity_Size,0))*$AT70,0))),"—"))</f>
        <v/>
      </c>
      <c r="AX70" s="533" t="str">
        <f t="shared" ref="AX70:AX105" si="78">IF($B70="","",IF($X70&lt;&gt;"",$X70,Xfmr_DefZ))</f>
        <v/>
      </c>
      <c r="AY70" s="533" t="str">
        <f t="shared" ref="AY70:AY105" si="79">IF($B70="","",IF($W70&lt;&gt;"",$W70,Xfmr_DefXR))</f>
        <v/>
      </c>
      <c r="AZ70" s="20" t="str">
        <f t="shared" ref="AZ70:AZ105" si="80">IF(OR($AR70="",$M70="",$M70="—"),"",IF($AR70&gt;10*$M70,"Inrush "&amp;TEXT($AR70,"#,##0")&amp;"A exceeds 10x the "&amp;TEXT($M70,"#,##0")&amp;"A primary device — check the trip curve or raise the instantaneous setting",""))</f>
        <v/>
      </c>
    </row>
    <row r="71" spans="1:52" ht="15" customHeight="1" x14ac:dyDescent="0.35">
      <c r="A71" s="362" t="str" cm="1">
        <f t="array" ref="A71">IFERROR(IF(INDEX(_xlfn.ANCHORARRAY($BO$4),ROW()-5,1)="","","T-"&amp;INDEX(_xlfn.ANCHORARRAY($BO$4),ROW()-5,1)),"")</f>
        <v/>
      </c>
      <c r="B71" s="362" t="str" cm="1">
        <f t="array" ref="B71">IFERROR(IF(INDEX(_xlfn.ANCHORARRAY($BO$4),ROW()-5,1)="","",INDEX(_xlfn.ANCHORARRAY($BO$4),ROW()-5,1)),"")</f>
        <v/>
      </c>
      <c r="C71" s="362" t="str" cm="1">
        <f t="array" ref="C71">IFERROR(INDEX(_xlfn.ANCHORARRAY($BO$4),ROW()-5,5),"")</f>
        <v/>
      </c>
      <c r="D71" s="362" t="str" cm="1">
        <f t="array" ref="D71">IFERROR(INDEX(_xlfn.ANCHORARRAY($BO$4),ROW()-5,3),"")</f>
        <v/>
      </c>
      <c r="E71" s="362" t="str" cm="1">
        <f t="array" ref="E71">IFERROR(INDEX(_xlfn.ANCHORARRAY($BO$4),ROW()-5,4),"")</f>
        <v/>
      </c>
      <c r="F71" s="36" t="str" cm="1">
        <f t="array" ref="F71">IFERROR(INDEX(_xlfn.ANCHORARRAY($BO$4),ROW()-5,6),"")</f>
        <v/>
      </c>
      <c r="G71" s="362" t="str" cm="1">
        <f t="array" ref="G71">IF($F71="","",_xlfn.LET(_xlpm.ov,N(IFERROR(_xlfn.XLOOKUP($B71,Dashboard!$A$101:$A$350,Dashboard!$O$101:$O$350,0),0)),_xlpm.need,MAX(N($F71),_xlpm.ov*N($E71)*IF($C71=3,SQRT(3),1)/1000),IFERROR(INDEX(IF($C71=1,Xfmr1_kVA,Xfmr3_kVA),MATCH(TRUE,IF($C71=1,Xfmr1_kVA,Xfmr3_kVA)&gt;=_xlpm.need,0)),"OVER")))</f>
        <v/>
      </c>
      <c r="H71" s="362" t="str">
        <f t="shared" si="54"/>
        <v/>
      </c>
      <c r="I71" s="168" t="str">
        <f t="shared" si="55"/>
        <v/>
      </c>
      <c r="J71" s="362" t="str">
        <f t="shared" si="56"/>
        <v/>
      </c>
      <c r="K71" s="362" t="str">
        <f t="shared" si="57"/>
        <v/>
      </c>
      <c r="L71" s="362" t="str">
        <f t="shared" si="58"/>
        <v/>
      </c>
      <c r="M71" s="168" t="str" cm="1">
        <f t="array" ref="M71">IF($Z71&lt;&gt;"",$Z71,IFERROR(IF($AJ71="","",INDEX(OCPD_List,MATCH(TRUE,OCPD_List&gt;=1.25*$AJ71,0))),"—"))</f>
        <v/>
      </c>
      <c r="N71" s="168" t="str" cm="1">
        <f t="array" ref="N71">IF($AA71&lt;&gt;"",$AA71,IFERROR(IF($AK71="","",INDEX(OCPD_List,MATCH(TRUE,OCPD_List&gt;=1.25*$AK71,0))),"—"))</f>
        <v/>
      </c>
      <c r="O71" s="171" t="str">
        <f t="shared" si="59"/>
        <v/>
      </c>
      <c r="P71" s="171" t="str">
        <f t="shared" si="60"/>
        <v/>
      </c>
      <c r="Q71" s="78" t="str">
        <f t="shared" si="61"/>
        <v/>
      </c>
      <c r="R71" s="371"/>
      <c r="S71" s="481" t="str">
        <f t="shared" si="62"/>
        <v/>
      </c>
      <c r="T71" s="482" t="str">
        <f t="shared" si="63"/>
        <v/>
      </c>
      <c r="U71" s="482" t="str">
        <f t="shared" si="64"/>
        <v/>
      </c>
      <c r="V71" s="482" t="str">
        <f t="shared" si="65"/>
        <v/>
      </c>
      <c r="W71" s="169"/>
      <c r="X71" s="169"/>
      <c r="Y71" s="169"/>
      <c r="Z71" s="251"/>
      <c r="AA71" s="251"/>
      <c r="AB71" s="483"/>
      <c r="AC71" s="483"/>
      <c r="AD71" s="483"/>
      <c r="AE71" s="483"/>
      <c r="AF71" s="483"/>
      <c r="AG71" s="254" t="str">
        <f t="shared" si="66"/>
        <v/>
      </c>
      <c r="AH71" s="254" t="str">
        <f t="shared" si="67"/>
        <v/>
      </c>
      <c r="AI71" s="254" t="str">
        <f t="shared" si="68"/>
        <v/>
      </c>
      <c r="AJ71" s="254" t="str">
        <f t="shared" si="69"/>
        <v/>
      </c>
      <c r="AK71" s="254" t="str">
        <f t="shared" si="70"/>
        <v/>
      </c>
      <c r="AL71" s="255" t="str" cm="1">
        <f t="array" ref="AL71">IFERROR(IF(INDEX(_xlfn.ANCHORARRAY($BO$4),ROW()-5,2)="","",_xlfn.XLOOKUP(INDEX(_xlfn.ANCHORARRAY($BO$4),ROW()-5,2),'Short Circuit'!$A$6:$A$255,'Short Circuit'!$J$6:$J$255,"")),"")</f>
        <v/>
      </c>
      <c r="AM71" s="254" t="str">
        <f t="shared" si="71"/>
        <v/>
      </c>
      <c r="AN71" s="254" t="str">
        <f t="shared" si="72"/>
        <v/>
      </c>
      <c r="AO71" s="254" t="str">
        <f t="shared" si="73"/>
        <v/>
      </c>
      <c r="AP71" s="255" t="str">
        <f t="shared" si="74"/>
        <v/>
      </c>
      <c r="AQ71" s="255" t="str">
        <f t="shared" si="75"/>
        <v/>
      </c>
      <c r="AR71" s="255" t="str">
        <f t="shared" si="76"/>
        <v/>
      </c>
      <c r="AS71" s="255" t="str" cm="1">
        <f t="array" ref="AS71">IFERROR(IF($AP71="","",INDEX(AIC_List,MATCH(TRUE,AIC_List&gt;=$AP71,0))),"⚠ &gt; 200 kA")</f>
        <v/>
      </c>
      <c r="AT71" s="255" t="str">
        <f t="shared" si="77"/>
        <v/>
      </c>
      <c r="AU71" s="290" t="str" cm="1">
        <f t="array" ref="AU71">IFERROR(IF($AK71="","",INDEX(Ampacity_Size,MATCH(TRUE,Ampacity_Cu&gt;=1.25*$AK71/$AT71,0))),"—")</f>
        <v/>
      </c>
      <c r="AV71" s="290" t="str" cm="1">
        <f t="array" ref="AV71">IF($AU71="","",IFERROR(INDEX(Gec_Cu,MATCH(TRUE,Gec_CM&gt;=INDEX(Ampacity_CM,MATCH($AU71,Ampacity_Size,0))*$AT71,0)),"—"))</f>
        <v/>
      </c>
      <c r="AW71" s="290" t="str" cm="1">
        <f t="array" ref="AW71">IF($AU71="","",IFERROR(IF(INDEX(Ampacity_CM,MATCH($AU71,Ampacity_Size,0))*$AT71&gt;1100000,"12.5% of phase area",INDEX(Gec_Cu,MATCH(TRUE,Gec_CM&gt;=INDEX(Ampacity_CM,MATCH($AU71,Ampacity_Size,0))*$AT71,0))),"—"))</f>
        <v/>
      </c>
      <c r="AX71" s="533" t="str">
        <f t="shared" si="78"/>
        <v/>
      </c>
      <c r="AY71" s="533" t="str">
        <f t="shared" si="79"/>
        <v/>
      </c>
      <c r="AZ71" s="20" t="str">
        <f t="shared" si="80"/>
        <v/>
      </c>
    </row>
    <row r="72" spans="1:52" ht="15" customHeight="1" x14ac:dyDescent="0.35">
      <c r="A72" s="362" t="str" cm="1">
        <f t="array" ref="A72">IFERROR(IF(INDEX(_xlfn.ANCHORARRAY($BO$4),ROW()-5,1)="","","T-"&amp;INDEX(_xlfn.ANCHORARRAY($BO$4),ROW()-5,1)),"")</f>
        <v/>
      </c>
      <c r="B72" s="362" t="str" cm="1">
        <f t="array" ref="B72">IFERROR(IF(INDEX(_xlfn.ANCHORARRAY($BO$4),ROW()-5,1)="","",INDEX(_xlfn.ANCHORARRAY($BO$4),ROW()-5,1)),"")</f>
        <v/>
      </c>
      <c r="C72" s="362" t="str" cm="1">
        <f t="array" ref="C72">IFERROR(INDEX(_xlfn.ANCHORARRAY($BO$4),ROW()-5,5),"")</f>
        <v/>
      </c>
      <c r="D72" s="362" t="str" cm="1">
        <f t="array" ref="D72">IFERROR(INDEX(_xlfn.ANCHORARRAY($BO$4),ROW()-5,3),"")</f>
        <v/>
      </c>
      <c r="E72" s="362" t="str" cm="1">
        <f t="array" ref="E72">IFERROR(INDEX(_xlfn.ANCHORARRAY($BO$4),ROW()-5,4),"")</f>
        <v/>
      </c>
      <c r="F72" s="36" t="str" cm="1">
        <f t="array" ref="F72">IFERROR(INDEX(_xlfn.ANCHORARRAY($BO$4),ROW()-5,6),"")</f>
        <v/>
      </c>
      <c r="G72" s="362" t="str" cm="1">
        <f t="array" ref="G72">IF($F72="","",_xlfn.LET(_xlpm.ov,N(IFERROR(_xlfn.XLOOKUP($B72,Dashboard!$A$101:$A$350,Dashboard!$O$101:$O$350,0),0)),_xlpm.need,MAX(N($F72),_xlpm.ov*N($E72)*IF($C72=3,SQRT(3),1)/1000),IFERROR(INDEX(IF($C72=1,Xfmr1_kVA,Xfmr3_kVA),MATCH(TRUE,IF($C72=1,Xfmr1_kVA,Xfmr3_kVA)&gt;=_xlpm.need,0)),"OVER")))</f>
        <v/>
      </c>
      <c r="H72" s="362" t="str">
        <f t="shared" si="54"/>
        <v/>
      </c>
      <c r="I72" s="168" t="str">
        <f t="shared" si="55"/>
        <v/>
      </c>
      <c r="J72" s="362" t="str">
        <f t="shared" si="56"/>
        <v/>
      </c>
      <c r="K72" s="362" t="str">
        <f t="shared" si="57"/>
        <v/>
      </c>
      <c r="L72" s="362" t="str">
        <f t="shared" si="58"/>
        <v/>
      </c>
      <c r="M72" s="168" t="str" cm="1">
        <f t="array" ref="M72">IF($Z72&lt;&gt;"",$Z72,IFERROR(IF($AJ72="","",INDEX(OCPD_List,MATCH(TRUE,OCPD_List&gt;=1.25*$AJ72,0))),"—"))</f>
        <v/>
      </c>
      <c r="N72" s="168" t="str" cm="1">
        <f t="array" ref="N72">IF($AA72&lt;&gt;"",$AA72,IFERROR(IF($AK72="","",INDEX(OCPD_List,MATCH(TRUE,OCPD_List&gt;=1.25*$AK72,0))),"—"))</f>
        <v/>
      </c>
      <c r="O72" s="171" t="str">
        <f t="shared" si="59"/>
        <v/>
      </c>
      <c r="P72" s="171" t="str">
        <f t="shared" si="60"/>
        <v/>
      </c>
      <c r="Q72" s="78" t="str">
        <f t="shared" si="61"/>
        <v/>
      </c>
      <c r="R72" s="371"/>
      <c r="S72" s="481" t="str">
        <f t="shared" si="62"/>
        <v/>
      </c>
      <c r="T72" s="482" t="str">
        <f t="shared" si="63"/>
        <v/>
      </c>
      <c r="U72" s="482" t="str">
        <f t="shared" si="64"/>
        <v/>
      </c>
      <c r="V72" s="482" t="str">
        <f t="shared" si="65"/>
        <v/>
      </c>
      <c r="W72" s="169"/>
      <c r="X72" s="169"/>
      <c r="Y72" s="169"/>
      <c r="Z72" s="251"/>
      <c r="AA72" s="251"/>
      <c r="AB72" s="483"/>
      <c r="AC72" s="483"/>
      <c r="AD72" s="483"/>
      <c r="AE72" s="483"/>
      <c r="AF72" s="483"/>
      <c r="AG72" s="254" t="str">
        <f t="shared" si="66"/>
        <v/>
      </c>
      <c r="AH72" s="254" t="str">
        <f t="shared" si="67"/>
        <v/>
      </c>
      <c r="AI72" s="254" t="str">
        <f t="shared" si="68"/>
        <v/>
      </c>
      <c r="AJ72" s="254" t="str">
        <f t="shared" si="69"/>
        <v/>
      </c>
      <c r="AK72" s="254" t="str">
        <f t="shared" si="70"/>
        <v/>
      </c>
      <c r="AL72" s="255" t="str" cm="1">
        <f t="array" ref="AL72">IFERROR(IF(INDEX(_xlfn.ANCHORARRAY($BO$4),ROW()-5,2)="","",_xlfn.XLOOKUP(INDEX(_xlfn.ANCHORARRAY($BO$4),ROW()-5,2),'Short Circuit'!$A$6:$A$255,'Short Circuit'!$J$6:$J$255,"")),"")</f>
        <v/>
      </c>
      <c r="AM72" s="254" t="str">
        <f t="shared" si="71"/>
        <v/>
      </c>
      <c r="AN72" s="254" t="str">
        <f t="shared" si="72"/>
        <v/>
      </c>
      <c r="AO72" s="254" t="str">
        <f t="shared" si="73"/>
        <v/>
      </c>
      <c r="AP72" s="255" t="str">
        <f t="shared" si="74"/>
        <v/>
      </c>
      <c r="AQ72" s="255" t="str">
        <f t="shared" si="75"/>
        <v/>
      </c>
      <c r="AR72" s="255" t="str">
        <f t="shared" si="76"/>
        <v/>
      </c>
      <c r="AS72" s="255" t="str" cm="1">
        <f t="array" ref="AS72">IFERROR(IF($AP72="","",INDEX(AIC_List,MATCH(TRUE,AIC_List&gt;=$AP72,0))),"⚠ &gt; 200 kA")</f>
        <v/>
      </c>
      <c r="AT72" s="255" t="str">
        <f t="shared" si="77"/>
        <v/>
      </c>
      <c r="AU72" s="290" t="str" cm="1">
        <f t="array" ref="AU72">IFERROR(IF($AK72="","",INDEX(Ampacity_Size,MATCH(TRUE,Ampacity_Cu&gt;=1.25*$AK72/$AT72,0))),"—")</f>
        <v/>
      </c>
      <c r="AV72" s="290" t="str" cm="1">
        <f t="array" ref="AV72">IF($AU72="","",IFERROR(INDEX(Gec_Cu,MATCH(TRUE,Gec_CM&gt;=INDEX(Ampacity_CM,MATCH($AU72,Ampacity_Size,0))*$AT72,0)),"—"))</f>
        <v/>
      </c>
      <c r="AW72" s="290" t="str" cm="1">
        <f t="array" ref="AW72">IF($AU72="","",IFERROR(IF(INDEX(Ampacity_CM,MATCH($AU72,Ampacity_Size,0))*$AT72&gt;1100000,"12.5% of phase area",INDEX(Gec_Cu,MATCH(TRUE,Gec_CM&gt;=INDEX(Ampacity_CM,MATCH($AU72,Ampacity_Size,0))*$AT72,0))),"—"))</f>
        <v/>
      </c>
      <c r="AX72" s="533" t="str">
        <f t="shared" si="78"/>
        <v/>
      </c>
      <c r="AY72" s="533" t="str">
        <f t="shared" si="79"/>
        <v/>
      </c>
      <c r="AZ72" s="20" t="str">
        <f t="shared" si="80"/>
        <v/>
      </c>
    </row>
    <row r="73" spans="1:52" ht="15" customHeight="1" x14ac:dyDescent="0.35">
      <c r="A73" s="362" t="str" cm="1">
        <f t="array" ref="A73">IFERROR(IF(INDEX(_xlfn.ANCHORARRAY($BO$4),ROW()-5,1)="","","T-"&amp;INDEX(_xlfn.ANCHORARRAY($BO$4),ROW()-5,1)),"")</f>
        <v/>
      </c>
      <c r="B73" s="362" t="str" cm="1">
        <f t="array" ref="B73">IFERROR(IF(INDEX(_xlfn.ANCHORARRAY($BO$4),ROW()-5,1)="","",INDEX(_xlfn.ANCHORARRAY($BO$4),ROW()-5,1)),"")</f>
        <v/>
      </c>
      <c r="C73" s="362" t="str" cm="1">
        <f t="array" ref="C73">IFERROR(INDEX(_xlfn.ANCHORARRAY($BO$4),ROW()-5,5),"")</f>
        <v/>
      </c>
      <c r="D73" s="362" t="str" cm="1">
        <f t="array" ref="D73">IFERROR(INDEX(_xlfn.ANCHORARRAY($BO$4),ROW()-5,3),"")</f>
        <v/>
      </c>
      <c r="E73" s="362" t="str" cm="1">
        <f t="array" ref="E73">IFERROR(INDEX(_xlfn.ANCHORARRAY($BO$4),ROW()-5,4),"")</f>
        <v/>
      </c>
      <c r="F73" s="36" t="str" cm="1">
        <f t="array" ref="F73">IFERROR(INDEX(_xlfn.ANCHORARRAY($BO$4),ROW()-5,6),"")</f>
        <v/>
      </c>
      <c r="G73" s="362" t="str" cm="1">
        <f t="array" ref="G73">IF($F73="","",_xlfn.LET(_xlpm.ov,N(IFERROR(_xlfn.XLOOKUP($B73,Dashboard!$A$101:$A$350,Dashboard!$O$101:$O$350,0),0)),_xlpm.need,MAX(N($F73),_xlpm.ov*N($E73)*IF($C73=3,SQRT(3),1)/1000),IFERROR(INDEX(IF($C73=1,Xfmr1_kVA,Xfmr3_kVA),MATCH(TRUE,IF($C73=1,Xfmr1_kVA,Xfmr3_kVA)&gt;=_xlpm.need,0)),"OVER")))</f>
        <v/>
      </c>
      <c r="H73" s="362" t="str">
        <f t="shared" si="54"/>
        <v/>
      </c>
      <c r="I73" s="168" t="str">
        <f t="shared" si="55"/>
        <v/>
      </c>
      <c r="J73" s="362" t="str">
        <f t="shared" si="56"/>
        <v/>
      </c>
      <c r="K73" s="362" t="str">
        <f t="shared" si="57"/>
        <v/>
      </c>
      <c r="L73" s="362" t="str">
        <f t="shared" si="58"/>
        <v/>
      </c>
      <c r="M73" s="168" t="str" cm="1">
        <f t="array" ref="M73">IF($Z73&lt;&gt;"",$Z73,IFERROR(IF($AJ73="","",INDEX(OCPD_List,MATCH(TRUE,OCPD_List&gt;=1.25*$AJ73,0))),"—"))</f>
        <v/>
      </c>
      <c r="N73" s="168" t="str" cm="1">
        <f t="array" ref="N73">IF($AA73&lt;&gt;"",$AA73,IFERROR(IF($AK73="","",INDEX(OCPD_List,MATCH(TRUE,OCPD_List&gt;=1.25*$AK73,0))),"—"))</f>
        <v/>
      </c>
      <c r="O73" s="171" t="str">
        <f t="shared" si="59"/>
        <v/>
      </c>
      <c r="P73" s="171" t="str">
        <f t="shared" si="60"/>
        <v/>
      </c>
      <c r="Q73" s="78" t="str">
        <f t="shared" si="61"/>
        <v/>
      </c>
      <c r="R73" s="371"/>
      <c r="S73" s="481" t="str">
        <f t="shared" si="62"/>
        <v/>
      </c>
      <c r="T73" s="482" t="str">
        <f t="shared" si="63"/>
        <v/>
      </c>
      <c r="U73" s="482" t="str">
        <f t="shared" si="64"/>
        <v/>
      </c>
      <c r="V73" s="482" t="str">
        <f t="shared" si="65"/>
        <v/>
      </c>
      <c r="W73" s="169"/>
      <c r="X73" s="169"/>
      <c r="Y73" s="169"/>
      <c r="Z73" s="251"/>
      <c r="AA73" s="251"/>
      <c r="AB73" s="483"/>
      <c r="AC73" s="483"/>
      <c r="AD73" s="483"/>
      <c r="AE73" s="483"/>
      <c r="AF73" s="483"/>
      <c r="AG73" s="254" t="str">
        <f t="shared" si="66"/>
        <v/>
      </c>
      <c r="AH73" s="254" t="str">
        <f t="shared" si="67"/>
        <v/>
      </c>
      <c r="AI73" s="254" t="str">
        <f t="shared" si="68"/>
        <v/>
      </c>
      <c r="AJ73" s="254" t="str">
        <f t="shared" si="69"/>
        <v/>
      </c>
      <c r="AK73" s="254" t="str">
        <f t="shared" si="70"/>
        <v/>
      </c>
      <c r="AL73" s="255" t="str" cm="1">
        <f t="array" ref="AL73">IFERROR(IF(INDEX(_xlfn.ANCHORARRAY($BO$4),ROW()-5,2)="","",_xlfn.XLOOKUP(INDEX(_xlfn.ANCHORARRAY($BO$4),ROW()-5,2),'Short Circuit'!$A$6:$A$255,'Short Circuit'!$J$6:$J$255,"")),"")</f>
        <v/>
      </c>
      <c r="AM73" s="254" t="str">
        <f t="shared" si="71"/>
        <v/>
      </c>
      <c r="AN73" s="254" t="str">
        <f t="shared" si="72"/>
        <v/>
      </c>
      <c r="AO73" s="254" t="str">
        <f t="shared" si="73"/>
        <v/>
      </c>
      <c r="AP73" s="255" t="str">
        <f t="shared" si="74"/>
        <v/>
      </c>
      <c r="AQ73" s="255" t="str">
        <f t="shared" si="75"/>
        <v/>
      </c>
      <c r="AR73" s="255" t="str">
        <f t="shared" si="76"/>
        <v/>
      </c>
      <c r="AS73" s="255" t="str" cm="1">
        <f t="array" ref="AS73">IFERROR(IF($AP73="","",INDEX(AIC_List,MATCH(TRUE,AIC_List&gt;=$AP73,0))),"⚠ &gt; 200 kA")</f>
        <v/>
      </c>
      <c r="AT73" s="255" t="str">
        <f t="shared" si="77"/>
        <v/>
      </c>
      <c r="AU73" s="290" t="str" cm="1">
        <f t="array" ref="AU73">IFERROR(IF($AK73="","",INDEX(Ampacity_Size,MATCH(TRUE,Ampacity_Cu&gt;=1.25*$AK73/$AT73,0))),"—")</f>
        <v/>
      </c>
      <c r="AV73" s="290" t="str" cm="1">
        <f t="array" ref="AV73">IF($AU73="","",IFERROR(INDEX(Gec_Cu,MATCH(TRUE,Gec_CM&gt;=INDEX(Ampacity_CM,MATCH($AU73,Ampacity_Size,0))*$AT73,0)),"—"))</f>
        <v/>
      </c>
      <c r="AW73" s="290" t="str" cm="1">
        <f t="array" ref="AW73">IF($AU73="","",IFERROR(IF(INDEX(Ampacity_CM,MATCH($AU73,Ampacity_Size,0))*$AT73&gt;1100000,"12.5% of phase area",INDEX(Gec_Cu,MATCH(TRUE,Gec_CM&gt;=INDEX(Ampacity_CM,MATCH($AU73,Ampacity_Size,0))*$AT73,0))),"—"))</f>
        <v/>
      </c>
      <c r="AX73" s="533" t="str">
        <f t="shared" si="78"/>
        <v/>
      </c>
      <c r="AY73" s="533" t="str">
        <f t="shared" si="79"/>
        <v/>
      </c>
      <c r="AZ73" s="20" t="str">
        <f t="shared" si="80"/>
        <v/>
      </c>
    </row>
    <row r="74" spans="1:52" ht="15" customHeight="1" x14ac:dyDescent="0.35">
      <c r="A74" s="362" t="str" cm="1">
        <f t="array" ref="A74">IFERROR(IF(INDEX(_xlfn.ANCHORARRAY($BO$4),ROW()-5,1)="","","T-"&amp;INDEX(_xlfn.ANCHORARRAY($BO$4),ROW()-5,1)),"")</f>
        <v/>
      </c>
      <c r="B74" s="362" t="str" cm="1">
        <f t="array" ref="B74">IFERROR(IF(INDEX(_xlfn.ANCHORARRAY($BO$4),ROW()-5,1)="","",INDEX(_xlfn.ANCHORARRAY($BO$4),ROW()-5,1)),"")</f>
        <v/>
      </c>
      <c r="C74" s="362" t="str" cm="1">
        <f t="array" ref="C74">IFERROR(INDEX(_xlfn.ANCHORARRAY($BO$4),ROW()-5,5),"")</f>
        <v/>
      </c>
      <c r="D74" s="362" t="str" cm="1">
        <f t="array" ref="D74">IFERROR(INDEX(_xlfn.ANCHORARRAY($BO$4),ROW()-5,3),"")</f>
        <v/>
      </c>
      <c r="E74" s="362" t="str" cm="1">
        <f t="array" ref="E74">IFERROR(INDEX(_xlfn.ANCHORARRAY($BO$4),ROW()-5,4),"")</f>
        <v/>
      </c>
      <c r="F74" s="36" t="str" cm="1">
        <f t="array" ref="F74">IFERROR(INDEX(_xlfn.ANCHORARRAY($BO$4),ROW()-5,6),"")</f>
        <v/>
      </c>
      <c r="G74" s="362" t="str" cm="1">
        <f t="array" ref="G74">IF($F74="","",_xlfn.LET(_xlpm.ov,N(IFERROR(_xlfn.XLOOKUP($B74,Dashboard!$A$101:$A$350,Dashboard!$O$101:$O$350,0),0)),_xlpm.need,MAX(N($F74),_xlpm.ov*N($E74)*IF($C74=3,SQRT(3),1)/1000),IFERROR(INDEX(IF($C74=1,Xfmr1_kVA,Xfmr3_kVA),MATCH(TRUE,IF($C74=1,Xfmr1_kVA,Xfmr3_kVA)&gt;=_xlpm.need,0)),"OVER")))</f>
        <v/>
      </c>
      <c r="H74" s="362" t="str">
        <f t="shared" si="54"/>
        <v/>
      </c>
      <c r="I74" s="168" t="str">
        <f t="shared" si="55"/>
        <v/>
      </c>
      <c r="J74" s="362" t="str">
        <f t="shared" si="56"/>
        <v/>
      </c>
      <c r="K74" s="362" t="str">
        <f t="shared" si="57"/>
        <v/>
      </c>
      <c r="L74" s="362" t="str">
        <f t="shared" si="58"/>
        <v/>
      </c>
      <c r="M74" s="168" t="str" cm="1">
        <f t="array" ref="M74">IF($Z74&lt;&gt;"",$Z74,IFERROR(IF($AJ74="","",INDEX(OCPD_List,MATCH(TRUE,OCPD_List&gt;=1.25*$AJ74,0))),"—"))</f>
        <v/>
      </c>
      <c r="N74" s="168" t="str" cm="1">
        <f t="array" ref="N74">IF($AA74&lt;&gt;"",$AA74,IFERROR(IF($AK74="","",INDEX(OCPD_List,MATCH(TRUE,OCPD_List&gt;=1.25*$AK74,0))),"—"))</f>
        <v/>
      </c>
      <c r="O74" s="171" t="str">
        <f t="shared" si="59"/>
        <v/>
      </c>
      <c r="P74" s="171" t="str">
        <f t="shared" si="60"/>
        <v/>
      </c>
      <c r="Q74" s="78" t="str">
        <f t="shared" si="61"/>
        <v/>
      </c>
      <c r="R74" s="371"/>
      <c r="S74" s="481" t="str">
        <f t="shared" si="62"/>
        <v/>
      </c>
      <c r="T74" s="482" t="str">
        <f t="shared" si="63"/>
        <v/>
      </c>
      <c r="U74" s="482" t="str">
        <f t="shared" si="64"/>
        <v/>
      </c>
      <c r="V74" s="482" t="str">
        <f t="shared" si="65"/>
        <v/>
      </c>
      <c r="W74" s="169"/>
      <c r="X74" s="169"/>
      <c r="Y74" s="169"/>
      <c r="Z74" s="251"/>
      <c r="AA74" s="251"/>
      <c r="AB74" s="483"/>
      <c r="AC74" s="483"/>
      <c r="AD74" s="483"/>
      <c r="AE74" s="483"/>
      <c r="AF74" s="483"/>
      <c r="AG74" s="254" t="str">
        <f t="shared" si="66"/>
        <v/>
      </c>
      <c r="AH74" s="254" t="str">
        <f t="shared" si="67"/>
        <v/>
      </c>
      <c r="AI74" s="254" t="str">
        <f t="shared" si="68"/>
        <v/>
      </c>
      <c r="AJ74" s="254" t="str">
        <f t="shared" si="69"/>
        <v/>
      </c>
      <c r="AK74" s="254" t="str">
        <f t="shared" si="70"/>
        <v/>
      </c>
      <c r="AL74" s="255" t="str" cm="1">
        <f t="array" ref="AL74">IFERROR(IF(INDEX(_xlfn.ANCHORARRAY($BO$4),ROW()-5,2)="","",_xlfn.XLOOKUP(INDEX(_xlfn.ANCHORARRAY($BO$4),ROW()-5,2),'Short Circuit'!$A$6:$A$255,'Short Circuit'!$J$6:$J$255,"")),"")</f>
        <v/>
      </c>
      <c r="AM74" s="254" t="str">
        <f t="shared" si="71"/>
        <v/>
      </c>
      <c r="AN74" s="254" t="str">
        <f t="shared" si="72"/>
        <v/>
      </c>
      <c r="AO74" s="254" t="str">
        <f t="shared" si="73"/>
        <v/>
      </c>
      <c r="AP74" s="255" t="str">
        <f t="shared" si="74"/>
        <v/>
      </c>
      <c r="AQ74" s="255" t="str">
        <f t="shared" si="75"/>
        <v/>
      </c>
      <c r="AR74" s="255" t="str">
        <f t="shared" si="76"/>
        <v/>
      </c>
      <c r="AS74" s="255" t="str" cm="1">
        <f t="array" ref="AS74">IFERROR(IF($AP74="","",INDEX(AIC_List,MATCH(TRUE,AIC_List&gt;=$AP74,0))),"⚠ &gt; 200 kA")</f>
        <v/>
      </c>
      <c r="AT74" s="255" t="str">
        <f t="shared" si="77"/>
        <v/>
      </c>
      <c r="AU74" s="290" t="str" cm="1">
        <f t="array" ref="AU74">IFERROR(IF($AK74="","",INDEX(Ampacity_Size,MATCH(TRUE,Ampacity_Cu&gt;=1.25*$AK74/$AT74,0))),"—")</f>
        <v/>
      </c>
      <c r="AV74" s="290" t="str" cm="1">
        <f t="array" ref="AV74">IF($AU74="","",IFERROR(INDEX(Gec_Cu,MATCH(TRUE,Gec_CM&gt;=INDEX(Ampacity_CM,MATCH($AU74,Ampacity_Size,0))*$AT74,0)),"—"))</f>
        <v/>
      </c>
      <c r="AW74" s="290" t="str" cm="1">
        <f t="array" ref="AW74">IF($AU74="","",IFERROR(IF(INDEX(Ampacity_CM,MATCH($AU74,Ampacity_Size,0))*$AT74&gt;1100000,"12.5% of phase area",INDEX(Gec_Cu,MATCH(TRUE,Gec_CM&gt;=INDEX(Ampacity_CM,MATCH($AU74,Ampacity_Size,0))*$AT74,0))),"—"))</f>
        <v/>
      </c>
      <c r="AX74" s="533" t="str">
        <f t="shared" si="78"/>
        <v/>
      </c>
      <c r="AY74" s="533" t="str">
        <f t="shared" si="79"/>
        <v/>
      </c>
      <c r="AZ74" s="20" t="str">
        <f t="shared" si="80"/>
        <v/>
      </c>
    </row>
    <row r="75" spans="1:52" ht="15" customHeight="1" x14ac:dyDescent="0.35">
      <c r="A75" s="362" t="str" cm="1">
        <f t="array" ref="A75">IFERROR(IF(INDEX(_xlfn.ANCHORARRAY($BO$4),ROW()-5,1)="","","T-"&amp;INDEX(_xlfn.ANCHORARRAY($BO$4),ROW()-5,1)),"")</f>
        <v/>
      </c>
      <c r="B75" s="362" t="str" cm="1">
        <f t="array" ref="B75">IFERROR(IF(INDEX(_xlfn.ANCHORARRAY($BO$4),ROW()-5,1)="","",INDEX(_xlfn.ANCHORARRAY($BO$4),ROW()-5,1)),"")</f>
        <v/>
      </c>
      <c r="C75" s="362" t="str" cm="1">
        <f t="array" ref="C75">IFERROR(INDEX(_xlfn.ANCHORARRAY($BO$4),ROW()-5,5),"")</f>
        <v/>
      </c>
      <c r="D75" s="362" t="str" cm="1">
        <f t="array" ref="D75">IFERROR(INDEX(_xlfn.ANCHORARRAY($BO$4),ROW()-5,3),"")</f>
        <v/>
      </c>
      <c r="E75" s="362" t="str" cm="1">
        <f t="array" ref="E75">IFERROR(INDEX(_xlfn.ANCHORARRAY($BO$4),ROW()-5,4),"")</f>
        <v/>
      </c>
      <c r="F75" s="36" t="str" cm="1">
        <f t="array" ref="F75">IFERROR(INDEX(_xlfn.ANCHORARRAY($BO$4),ROW()-5,6),"")</f>
        <v/>
      </c>
      <c r="G75" s="362" t="str" cm="1">
        <f t="array" ref="G75">IF($F75="","",_xlfn.LET(_xlpm.ov,N(IFERROR(_xlfn.XLOOKUP($B75,Dashboard!$A$101:$A$350,Dashboard!$O$101:$O$350,0),0)),_xlpm.need,MAX(N($F75),_xlpm.ov*N($E75)*IF($C75=3,SQRT(3),1)/1000),IFERROR(INDEX(IF($C75=1,Xfmr1_kVA,Xfmr3_kVA),MATCH(TRUE,IF($C75=1,Xfmr1_kVA,Xfmr3_kVA)&gt;=_xlpm.need,0)),"OVER")))</f>
        <v/>
      </c>
      <c r="H75" s="362" t="str">
        <f t="shared" si="54"/>
        <v/>
      </c>
      <c r="I75" s="168" t="str">
        <f t="shared" si="55"/>
        <v/>
      </c>
      <c r="J75" s="362" t="str">
        <f t="shared" si="56"/>
        <v/>
      </c>
      <c r="K75" s="362" t="str">
        <f t="shared" si="57"/>
        <v/>
      </c>
      <c r="L75" s="362" t="str">
        <f t="shared" si="58"/>
        <v/>
      </c>
      <c r="M75" s="168" t="str" cm="1">
        <f t="array" ref="M75">IF($Z75&lt;&gt;"",$Z75,IFERROR(IF($AJ75="","",INDEX(OCPD_List,MATCH(TRUE,OCPD_List&gt;=1.25*$AJ75,0))),"—"))</f>
        <v/>
      </c>
      <c r="N75" s="168" t="str" cm="1">
        <f t="array" ref="N75">IF($AA75&lt;&gt;"",$AA75,IFERROR(IF($AK75="","",INDEX(OCPD_List,MATCH(TRUE,OCPD_List&gt;=1.25*$AK75,0))),"—"))</f>
        <v/>
      </c>
      <c r="O75" s="171" t="str">
        <f t="shared" si="59"/>
        <v/>
      </c>
      <c r="P75" s="171" t="str">
        <f t="shared" si="60"/>
        <v/>
      </c>
      <c r="Q75" s="78" t="str">
        <f t="shared" si="61"/>
        <v/>
      </c>
      <c r="R75" s="371"/>
      <c r="S75" s="481" t="str">
        <f t="shared" si="62"/>
        <v/>
      </c>
      <c r="T75" s="482" t="str">
        <f t="shared" si="63"/>
        <v/>
      </c>
      <c r="U75" s="482" t="str">
        <f t="shared" si="64"/>
        <v/>
      </c>
      <c r="V75" s="482" t="str">
        <f t="shared" si="65"/>
        <v/>
      </c>
      <c r="W75" s="169"/>
      <c r="X75" s="169"/>
      <c r="Y75" s="169"/>
      <c r="Z75" s="251"/>
      <c r="AA75" s="251"/>
      <c r="AB75" s="483"/>
      <c r="AC75" s="483"/>
      <c r="AD75" s="483"/>
      <c r="AE75" s="483"/>
      <c r="AF75" s="483"/>
      <c r="AG75" s="254" t="str">
        <f t="shared" si="66"/>
        <v/>
      </c>
      <c r="AH75" s="254" t="str">
        <f t="shared" si="67"/>
        <v/>
      </c>
      <c r="AI75" s="254" t="str">
        <f t="shared" si="68"/>
        <v/>
      </c>
      <c r="AJ75" s="254" t="str">
        <f t="shared" si="69"/>
        <v/>
      </c>
      <c r="AK75" s="254" t="str">
        <f t="shared" si="70"/>
        <v/>
      </c>
      <c r="AL75" s="255" t="str" cm="1">
        <f t="array" ref="AL75">IFERROR(IF(INDEX(_xlfn.ANCHORARRAY($BO$4),ROW()-5,2)="","",_xlfn.XLOOKUP(INDEX(_xlfn.ANCHORARRAY($BO$4),ROW()-5,2),'Short Circuit'!$A$6:$A$255,'Short Circuit'!$J$6:$J$255,"")),"")</f>
        <v/>
      </c>
      <c r="AM75" s="254" t="str">
        <f t="shared" si="71"/>
        <v/>
      </c>
      <c r="AN75" s="254" t="str">
        <f t="shared" si="72"/>
        <v/>
      </c>
      <c r="AO75" s="254" t="str">
        <f t="shared" si="73"/>
        <v/>
      </c>
      <c r="AP75" s="255" t="str">
        <f t="shared" si="74"/>
        <v/>
      </c>
      <c r="AQ75" s="255" t="str">
        <f t="shared" si="75"/>
        <v/>
      </c>
      <c r="AR75" s="255" t="str">
        <f t="shared" si="76"/>
        <v/>
      </c>
      <c r="AS75" s="255" t="str" cm="1">
        <f t="array" ref="AS75">IFERROR(IF($AP75="","",INDEX(AIC_List,MATCH(TRUE,AIC_List&gt;=$AP75,0))),"⚠ &gt; 200 kA")</f>
        <v/>
      </c>
      <c r="AT75" s="255" t="str">
        <f t="shared" si="77"/>
        <v/>
      </c>
      <c r="AU75" s="290" t="str" cm="1">
        <f t="array" ref="AU75">IFERROR(IF($AK75="","",INDEX(Ampacity_Size,MATCH(TRUE,Ampacity_Cu&gt;=1.25*$AK75/$AT75,0))),"—")</f>
        <v/>
      </c>
      <c r="AV75" s="290" t="str" cm="1">
        <f t="array" ref="AV75">IF($AU75="","",IFERROR(INDEX(Gec_Cu,MATCH(TRUE,Gec_CM&gt;=INDEX(Ampacity_CM,MATCH($AU75,Ampacity_Size,0))*$AT75,0)),"—"))</f>
        <v/>
      </c>
      <c r="AW75" s="290" t="str" cm="1">
        <f t="array" ref="AW75">IF($AU75="","",IFERROR(IF(INDEX(Ampacity_CM,MATCH($AU75,Ampacity_Size,0))*$AT75&gt;1100000,"12.5% of phase area",INDEX(Gec_Cu,MATCH(TRUE,Gec_CM&gt;=INDEX(Ampacity_CM,MATCH($AU75,Ampacity_Size,0))*$AT75,0))),"—"))</f>
        <v/>
      </c>
      <c r="AX75" s="533" t="str">
        <f t="shared" si="78"/>
        <v/>
      </c>
      <c r="AY75" s="533" t="str">
        <f t="shared" si="79"/>
        <v/>
      </c>
      <c r="AZ75" s="20" t="str">
        <f t="shared" si="80"/>
        <v/>
      </c>
    </row>
    <row r="76" spans="1:52" ht="15" customHeight="1" x14ac:dyDescent="0.35">
      <c r="A76" s="362" t="str" cm="1">
        <f t="array" ref="A76">IFERROR(IF(INDEX(_xlfn.ANCHORARRAY($BO$4),ROW()-5,1)="","","T-"&amp;INDEX(_xlfn.ANCHORARRAY($BO$4),ROW()-5,1)),"")</f>
        <v/>
      </c>
      <c r="B76" s="362" t="str" cm="1">
        <f t="array" ref="B76">IFERROR(IF(INDEX(_xlfn.ANCHORARRAY($BO$4),ROW()-5,1)="","",INDEX(_xlfn.ANCHORARRAY($BO$4),ROW()-5,1)),"")</f>
        <v/>
      </c>
      <c r="C76" s="362" t="str" cm="1">
        <f t="array" ref="C76">IFERROR(INDEX(_xlfn.ANCHORARRAY($BO$4),ROW()-5,5),"")</f>
        <v/>
      </c>
      <c r="D76" s="362" t="str" cm="1">
        <f t="array" ref="D76">IFERROR(INDEX(_xlfn.ANCHORARRAY($BO$4),ROW()-5,3),"")</f>
        <v/>
      </c>
      <c r="E76" s="362" t="str" cm="1">
        <f t="array" ref="E76">IFERROR(INDEX(_xlfn.ANCHORARRAY($BO$4),ROW()-5,4),"")</f>
        <v/>
      </c>
      <c r="F76" s="36" t="str" cm="1">
        <f t="array" ref="F76">IFERROR(INDEX(_xlfn.ANCHORARRAY($BO$4),ROW()-5,6),"")</f>
        <v/>
      </c>
      <c r="G76" s="362" t="str" cm="1">
        <f t="array" ref="G76">IF($F76="","",_xlfn.LET(_xlpm.ov,N(IFERROR(_xlfn.XLOOKUP($B76,Dashboard!$A$101:$A$350,Dashboard!$O$101:$O$350,0),0)),_xlpm.need,MAX(N($F76),_xlpm.ov*N($E76)*IF($C76=3,SQRT(3),1)/1000),IFERROR(INDEX(IF($C76=1,Xfmr1_kVA,Xfmr3_kVA),MATCH(TRUE,IF($C76=1,Xfmr1_kVA,Xfmr3_kVA)&gt;=_xlpm.need,0)),"OVER")))</f>
        <v/>
      </c>
      <c r="H76" s="362" t="str">
        <f t="shared" si="54"/>
        <v/>
      </c>
      <c r="I76" s="168" t="str">
        <f t="shared" si="55"/>
        <v/>
      </c>
      <c r="J76" s="362" t="str">
        <f t="shared" si="56"/>
        <v/>
      </c>
      <c r="K76" s="362" t="str">
        <f t="shared" si="57"/>
        <v/>
      </c>
      <c r="L76" s="362" t="str">
        <f t="shared" si="58"/>
        <v/>
      </c>
      <c r="M76" s="168" t="str" cm="1">
        <f t="array" ref="M76">IF($Z76&lt;&gt;"",$Z76,IFERROR(IF($AJ76="","",INDEX(OCPD_List,MATCH(TRUE,OCPD_List&gt;=1.25*$AJ76,0))),"—"))</f>
        <v/>
      </c>
      <c r="N76" s="168" t="str" cm="1">
        <f t="array" ref="N76">IF($AA76&lt;&gt;"",$AA76,IFERROR(IF($AK76="","",INDEX(OCPD_List,MATCH(TRUE,OCPD_List&gt;=1.25*$AK76,0))),"—"))</f>
        <v/>
      </c>
      <c r="O76" s="171" t="str">
        <f t="shared" si="59"/>
        <v/>
      </c>
      <c r="P76" s="171" t="str">
        <f t="shared" si="60"/>
        <v/>
      </c>
      <c r="Q76" s="78" t="str">
        <f t="shared" si="61"/>
        <v/>
      </c>
      <c r="R76" s="371"/>
      <c r="S76" s="481" t="str">
        <f t="shared" si="62"/>
        <v/>
      </c>
      <c r="T76" s="482" t="str">
        <f t="shared" si="63"/>
        <v/>
      </c>
      <c r="U76" s="482" t="str">
        <f t="shared" si="64"/>
        <v/>
      </c>
      <c r="V76" s="482" t="str">
        <f t="shared" si="65"/>
        <v/>
      </c>
      <c r="W76" s="169"/>
      <c r="X76" s="169"/>
      <c r="Y76" s="169"/>
      <c r="Z76" s="251"/>
      <c r="AA76" s="251"/>
      <c r="AB76" s="483"/>
      <c r="AC76" s="483"/>
      <c r="AD76" s="483"/>
      <c r="AE76" s="483"/>
      <c r="AF76" s="483"/>
      <c r="AG76" s="254" t="str">
        <f t="shared" si="66"/>
        <v/>
      </c>
      <c r="AH76" s="254" t="str">
        <f t="shared" si="67"/>
        <v/>
      </c>
      <c r="AI76" s="254" t="str">
        <f t="shared" si="68"/>
        <v/>
      </c>
      <c r="AJ76" s="254" t="str">
        <f t="shared" si="69"/>
        <v/>
      </c>
      <c r="AK76" s="254" t="str">
        <f t="shared" si="70"/>
        <v/>
      </c>
      <c r="AL76" s="255" t="str" cm="1">
        <f t="array" ref="AL76">IFERROR(IF(INDEX(_xlfn.ANCHORARRAY($BO$4),ROW()-5,2)="","",_xlfn.XLOOKUP(INDEX(_xlfn.ANCHORARRAY($BO$4),ROW()-5,2),'Short Circuit'!$A$6:$A$255,'Short Circuit'!$J$6:$J$255,"")),"")</f>
        <v/>
      </c>
      <c r="AM76" s="254" t="str">
        <f t="shared" si="71"/>
        <v/>
      </c>
      <c r="AN76" s="254" t="str">
        <f t="shared" si="72"/>
        <v/>
      </c>
      <c r="AO76" s="254" t="str">
        <f t="shared" si="73"/>
        <v/>
      </c>
      <c r="AP76" s="255" t="str">
        <f t="shared" si="74"/>
        <v/>
      </c>
      <c r="AQ76" s="255" t="str">
        <f t="shared" si="75"/>
        <v/>
      </c>
      <c r="AR76" s="255" t="str">
        <f t="shared" si="76"/>
        <v/>
      </c>
      <c r="AS76" s="255" t="str" cm="1">
        <f t="array" ref="AS76">IFERROR(IF($AP76="","",INDEX(AIC_List,MATCH(TRUE,AIC_List&gt;=$AP76,0))),"⚠ &gt; 200 kA")</f>
        <v/>
      </c>
      <c r="AT76" s="255" t="str">
        <f t="shared" si="77"/>
        <v/>
      </c>
      <c r="AU76" s="290" t="str" cm="1">
        <f t="array" ref="AU76">IFERROR(IF($AK76="","",INDEX(Ampacity_Size,MATCH(TRUE,Ampacity_Cu&gt;=1.25*$AK76/$AT76,0))),"—")</f>
        <v/>
      </c>
      <c r="AV76" s="290" t="str" cm="1">
        <f t="array" ref="AV76">IF($AU76="","",IFERROR(INDEX(Gec_Cu,MATCH(TRUE,Gec_CM&gt;=INDEX(Ampacity_CM,MATCH($AU76,Ampacity_Size,0))*$AT76,0)),"—"))</f>
        <v/>
      </c>
      <c r="AW76" s="290" t="str" cm="1">
        <f t="array" ref="AW76">IF($AU76="","",IFERROR(IF(INDEX(Ampacity_CM,MATCH($AU76,Ampacity_Size,0))*$AT76&gt;1100000,"12.5% of phase area",INDEX(Gec_Cu,MATCH(TRUE,Gec_CM&gt;=INDEX(Ampacity_CM,MATCH($AU76,Ampacity_Size,0))*$AT76,0))),"—"))</f>
        <v/>
      </c>
      <c r="AX76" s="533" t="str">
        <f t="shared" si="78"/>
        <v/>
      </c>
      <c r="AY76" s="533" t="str">
        <f t="shared" si="79"/>
        <v/>
      </c>
      <c r="AZ76" s="20" t="str">
        <f t="shared" si="80"/>
        <v/>
      </c>
    </row>
    <row r="77" spans="1:52" ht="15" customHeight="1" x14ac:dyDescent="0.35">
      <c r="A77" s="362" t="str" cm="1">
        <f t="array" ref="A77">IFERROR(IF(INDEX(_xlfn.ANCHORARRAY($BO$4),ROW()-5,1)="","","T-"&amp;INDEX(_xlfn.ANCHORARRAY($BO$4),ROW()-5,1)),"")</f>
        <v/>
      </c>
      <c r="B77" s="362" t="str" cm="1">
        <f t="array" ref="B77">IFERROR(IF(INDEX(_xlfn.ANCHORARRAY($BO$4),ROW()-5,1)="","",INDEX(_xlfn.ANCHORARRAY($BO$4),ROW()-5,1)),"")</f>
        <v/>
      </c>
      <c r="C77" s="362" t="str" cm="1">
        <f t="array" ref="C77">IFERROR(INDEX(_xlfn.ANCHORARRAY($BO$4),ROW()-5,5),"")</f>
        <v/>
      </c>
      <c r="D77" s="362" t="str" cm="1">
        <f t="array" ref="D77">IFERROR(INDEX(_xlfn.ANCHORARRAY($BO$4),ROW()-5,3),"")</f>
        <v/>
      </c>
      <c r="E77" s="362" t="str" cm="1">
        <f t="array" ref="E77">IFERROR(INDEX(_xlfn.ANCHORARRAY($BO$4),ROW()-5,4),"")</f>
        <v/>
      </c>
      <c r="F77" s="36" t="str" cm="1">
        <f t="array" ref="F77">IFERROR(INDEX(_xlfn.ANCHORARRAY($BO$4),ROW()-5,6),"")</f>
        <v/>
      </c>
      <c r="G77" s="362" t="str" cm="1">
        <f t="array" ref="G77">IF($F77="","",_xlfn.LET(_xlpm.ov,N(IFERROR(_xlfn.XLOOKUP($B77,Dashboard!$A$101:$A$350,Dashboard!$O$101:$O$350,0),0)),_xlpm.need,MAX(N($F77),_xlpm.ov*N($E77)*IF($C77=3,SQRT(3),1)/1000),IFERROR(INDEX(IF($C77=1,Xfmr1_kVA,Xfmr3_kVA),MATCH(TRUE,IF($C77=1,Xfmr1_kVA,Xfmr3_kVA)&gt;=_xlpm.need,0)),"OVER")))</f>
        <v/>
      </c>
      <c r="H77" s="362" t="str">
        <f t="shared" si="54"/>
        <v/>
      </c>
      <c r="I77" s="168" t="str">
        <f t="shared" si="55"/>
        <v/>
      </c>
      <c r="J77" s="362" t="str">
        <f t="shared" si="56"/>
        <v/>
      </c>
      <c r="K77" s="362" t="str">
        <f t="shared" si="57"/>
        <v/>
      </c>
      <c r="L77" s="362" t="str">
        <f t="shared" si="58"/>
        <v/>
      </c>
      <c r="M77" s="168" t="str" cm="1">
        <f t="array" ref="M77">IF($Z77&lt;&gt;"",$Z77,IFERROR(IF($AJ77="","",INDEX(OCPD_List,MATCH(TRUE,OCPD_List&gt;=1.25*$AJ77,0))),"—"))</f>
        <v/>
      </c>
      <c r="N77" s="168" t="str" cm="1">
        <f t="array" ref="N77">IF($AA77&lt;&gt;"",$AA77,IFERROR(IF($AK77="","",INDEX(OCPD_List,MATCH(TRUE,OCPD_List&gt;=1.25*$AK77,0))),"—"))</f>
        <v/>
      </c>
      <c r="O77" s="171" t="str">
        <f t="shared" si="59"/>
        <v/>
      </c>
      <c r="P77" s="171" t="str">
        <f t="shared" si="60"/>
        <v/>
      </c>
      <c r="Q77" s="78" t="str">
        <f t="shared" si="61"/>
        <v/>
      </c>
      <c r="R77" s="371"/>
      <c r="S77" s="481" t="str">
        <f t="shared" si="62"/>
        <v/>
      </c>
      <c r="T77" s="482" t="str">
        <f t="shared" si="63"/>
        <v/>
      </c>
      <c r="U77" s="482" t="str">
        <f t="shared" si="64"/>
        <v/>
      </c>
      <c r="V77" s="482" t="str">
        <f t="shared" si="65"/>
        <v/>
      </c>
      <c r="W77" s="169"/>
      <c r="X77" s="169"/>
      <c r="Y77" s="169"/>
      <c r="Z77" s="251"/>
      <c r="AA77" s="251"/>
      <c r="AB77" s="483"/>
      <c r="AC77" s="483"/>
      <c r="AD77" s="483"/>
      <c r="AE77" s="483"/>
      <c r="AF77" s="483"/>
      <c r="AG77" s="254" t="str">
        <f t="shared" si="66"/>
        <v/>
      </c>
      <c r="AH77" s="254" t="str">
        <f t="shared" si="67"/>
        <v/>
      </c>
      <c r="AI77" s="254" t="str">
        <f t="shared" si="68"/>
        <v/>
      </c>
      <c r="AJ77" s="254" t="str">
        <f t="shared" si="69"/>
        <v/>
      </c>
      <c r="AK77" s="254" t="str">
        <f t="shared" si="70"/>
        <v/>
      </c>
      <c r="AL77" s="255" t="str" cm="1">
        <f t="array" ref="AL77">IFERROR(IF(INDEX(_xlfn.ANCHORARRAY($BO$4),ROW()-5,2)="","",_xlfn.XLOOKUP(INDEX(_xlfn.ANCHORARRAY($BO$4),ROW()-5,2),'Short Circuit'!$A$6:$A$255,'Short Circuit'!$J$6:$J$255,"")),"")</f>
        <v/>
      </c>
      <c r="AM77" s="254" t="str">
        <f t="shared" si="71"/>
        <v/>
      </c>
      <c r="AN77" s="254" t="str">
        <f t="shared" si="72"/>
        <v/>
      </c>
      <c r="AO77" s="254" t="str">
        <f t="shared" si="73"/>
        <v/>
      </c>
      <c r="AP77" s="255" t="str">
        <f t="shared" si="74"/>
        <v/>
      </c>
      <c r="AQ77" s="255" t="str">
        <f t="shared" si="75"/>
        <v/>
      </c>
      <c r="AR77" s="255" t="str">
        <f t="shared" si="76"/>
        <v/>
      </c>
      <c r="AS77" s="255" t="str" cm="1">
        <f t="array" ref="AS77">IFERROR(IF($AP77="","",INDEX(AIC_List,MATCH(TRUE,AIC_List&gt;=$AP77,0))),"⚠ &gt; 200 kA")</f>
        <v/>
      </c>
      <c r="AT77" s="255" t="str">
        <f t="shared" si="77"/>
        <v/>
      </c>
      <c r="AU77" s="290" t="str" cm="1">
        <f t="array" ref="AU77">IFERROR(IF($AK77="","",INDEX(Ampacity_Size,MATCH(TRUE,Ampacity_Cu&gt;=1.25*$AK77/$AT77,0))),"—")</f>
        <v/>
      </c>
      <c r="AV77" s="290" t="str" cm="1">
        <f t="array" ref="AV77">IF($AU77="","",IFERROR(INDEX(Gec_Cu,MATCH(TRUE,Gec_CM&gt;=INDEX(Ampacity_CM,MATCH($AU77,Ampacity_Size,0))*$AT77,0)),"—"))</f>
        <v/>
      </c>
      <c r="AW77" s="290" t="str" cm="1">
        <f t="array" ref="AW77">IF($AU77="","",IFERROR(IF(INDEX(Ampacity_CM,MATCH($AU77,Ampacity_Size,0))*$AT77&gt;1100000,"12.5% of phase area",INDEX(Gec_Cu,MATCH(TRUE,Gec_CM&gt;=INDEX(Ampacity_CM,MATCH($AU77,Ampacity_Size,0))*$AT77,0))),"—"))</f>
        <v/>
      </c>
      <c r="AX77" s="533" t="str">
        <f t="shared" si="78"/>
        <v/>
      </c>
      <c r="AY77" s="533" t="str">
        <f t="shared" si="79"/>
        <v/>
      </c>
      <c r="AZ77" s="20" t="str">
        <f t="shared" si="80"/>
        <v/>
      </c>
    </row>
    <row r="78" spans="1:52" ht="15" customHeight="1" x14ac:dyDescent="0.35">
      <c r="A78" s="362" t="str" cm="1">
        <f t="array" ref="A78">IFERROR(IF(INDEX(_xlfn.ANCHORARRAY($BO$4),ROW()-5,1)="","","T-"&amp;INDEX(_xlfn.ANCHORARRAY($BO$4),ROW()-5,1)),"")</f>
        <v/>
      </c>
      <c r="B78" s="362" t="str" cm="1">
        <f t="array" ref="B78">IFERROR(IF(INDEX(_xlfn.ANCHORARRAY($BO$4),ROW()-5,1)="","",INDEX(_xlfn.ANCHORARRAY($BO$4),ROW()-5,1)),"")</f>
        <v/>
      </c>
      <c r="C78" s="362" t="str" cm="1">
        <f t="array" ref="C78">IFERROR(INDEX(_xlfn.ANCHORARRAY($BO$4),ROW()-5,5),"")</f>
        <v/>
      </c>
      <c r="D78" s="362" t="str" cm="1">
        <f t="array" ref="D78">IFERROR(INDEX(_xlfn.ANCHORARRAY($BO$4),ROW()-5,3),"")</f>
        <v/>
      </c>
      <c r="E78" s="362" t="str" cm="1">
        <f t="array" ref="E78">IFERROR(INDEX(_xlfn.ANCHORARRAY($BO$4),ROW()-5,4),"")</f>
        <v/>
      </c>
      <c r="F78" s="36" t="str" cm="1">
        <f t="array" ref="F78">IFERROR(INDEX(_xlfn.ANCHORARRAY($BO$4),ROW()-5,6),"")</f>
        <v/>
      </c>
      <c r="G78" s="362" t="str" cm="1">
        <f t="array" ref="G78">IF($F78="","",_xlfn.LET(_xlpm.ov,N(IFERROR(_xlfn.XLOOKUP($B78,Dashboard!$A$101:$A$350,Dashboard!$O$101:$O$350,0),0)),_xlpm.need,MAX(N($F78),_xlpm.ov*N($E78)*IF($C78=3,SQRT(3),1)/1000),IFERROR(INDEX(IF($C78=1,Xfmr1_kVA,Xfmr3_kVA),MATCH(TRUE,IF($C78=1,Xfmr1_kVA,Xfmr3_kVA)&gt;=_xlpm.need,0)),"OVER")))</f>
        <v/>
      </c>
      <c r="H78" s="362" t="str">
        <f t="shared" si="54"/>
        <v/>
      </c>
      <c r="I78" s="168" t="str">
        <f t="shared" si="55"/>
        <v/>
      </c>
      <c r="J78" s="362" t="str">
        <f t="shared" si="56"/>
        <v/>
      </c>
      <c r="K78" s="362" t="str">
        <f t="shared" si="57"/>
        <v/>
      </c>
      <c r="L78" s="362" t="str">
        <f t="shared" si="58"/>
        <v/>
      </c>
      <c r="M78" s="168" t="str" cm="1">
        <f t="array" ref="M78">IF($Z78&lt;&gt;"",$Z78,IFERROR(IF($AJ78="","",INDEX(OCPD_List,MATCH(TRUE,OCPD_List&gt;=1.25*$AJ78,0))),"—"))</f>
        <v/>
      </c>
      <c r="N78" s="168" t="str" cm="1">
        <f t="array" ref="N78">IF($AA78&lt;&gt;"",$AA78,IFERROR(IF($AK78="","",INDEX(OCPD_List,MATCH(TRUE,OCPD_List&gt;=1.25*$AK78,0))),"—"))</f>
        <v/>
      </c>
      <c r="O78" s="171" t="str">
        <f t="shared" si="59"/>
        <v/>
      </c>
      <c r="P78" s="171" t="str">
        <f t="shared" si="60"/>
        <v/>
      </c>
      <c r="Q78" s="78" t="str">
        <f t="shared" si="61"/>
        <v/>
      </c>
      <c r="R78" s="371"/>
      <c r="S78" s="481" t="str">
        <f t="shared" si="62"/>
        <v/>
      </c>
      <c r="T78" s="482" t="str">
        <f t="shared" si="63"/>
        <v/>
      </c>
      <c r="U78" s="482" t="str">
        <f t="shared" si="64"/>
        <v/>
      </c>
      <c r="V78" s="482" t="str">
        <f t="shared" si="65"/>
        <v/>
      </c>
      <c r="W78" s="169"/>
      <c r="X78" s="169"/>
      <c r="Y78" s="169"/>
      <c r="Z78" s="251"/>
      <c r="AA78" s="251"/>
      <c r="AB78" s="483"/>
      <c r="AC78" s="483"/>
      <c r="AD78" s="483"/>
      <c r="AE78" s="483"/>
      <c r="AF78" s="483"/>
      <c r="AG78" s="254" t="str">
        <f t="shared" si="66"/>
        <v/>
      </c>
      <c r="AH78" s="254" t="str">
        <f t="shared" si="67"/>
        <v/>
      </c>
      <c r="AI78" s="254" t="str">
        <f t="shared" si="68"/>
        <v/>
      </c>
      <c r="AJ78" s="254" t="str">
        <f t="shared" si="69"/>
        <v/>
      </c>
      <c r="AK78" s="254" t="str">
        <f t="shared" si="70"/>
        <v/>
      </c>
      <c r="AL78" s="255" t="str" cm="1">
        <f t="array" ref="AL78">IFERROR(IF(INDEX(_xlfn.ANCHORARRAY($BO$4),ROW()-5,2)="","",_xlfn.XLOOKUP(INDEX(_xlfn.ANCHORARRAY($BO$4),ROW()-5,2),'Short Circuit'!$A$6:$A$255,'Short Circuit'!$J$6:$J$255,"")),"")</f>
        <v/>
      </c>
      <c r="AM78" s="254" t="str">
        <f t="shared" si="71"/>
        <v/>
      </c>
      <c r="AN78" s="254" t="str">
        <f t="shared" si="72"/>
        <v/>
      </c>
      <c r="AO78" s="254" t="str">
        <f t="shared" si="73"/>
        <v/>
      </c>
      <c r="AP78" s="255" t="str">
        <f t="shared" si="74"/>
        <v/>
      </c>
      <c r="AQ78" s="255" t="str">
        <f t="shared" si="75"/>
        <v/>
      </c>
      <c r="AR78" s="255" t="str">
        <f t="shared" si="76"/>
        <v/>
      </c>
      <c r="AS78" s="255" t="str" cm="1">
        <f t="array" ref="AS78">IFERROR(IF($AP78="","",INDEX(AIC_List,MATCH(TRUE,AIC_List&gt;=$AP78,0))),"⚠ &gt; 200 kA")</f>
        <v/>
      </c>
      <c r="AT78" s="255" t="str">
        <f t="shared" si="77"/>
        <v/>
      </c>
      <c r="AU78" s="290" t="str" cm="1">
        <f t="array" ref="AU78">IFERROR(IF($AK78="","",INDEX(Ampacity_Size,MATCH(TRUE,Ampacity_Cu&gt;=1.25*$AK78/$AT78,0))),"—")</f>
        <v/>
      </c>
      <c r="AV78" s="290" t="str" cm="1">
        <f t="array" ref="AV78">IF($AU78="","",IFERROR(INDEX(Gec_Cu,MATCH(TRUE,Gec_CM&gt;=INDEX(Ampacity_CM,MATCH($AU78,Ampacity_Size,0))*$AT78,0)),"—"))</f>
        <v/>
      </c>
      <c r="AW78" s="290" t="str" cm="1">
        <f t="array" ref="AW78">IF($AU78="","",IFERROR(IF(INDEX(Ampacity_CM,MATCH($AU78,Ampacity_Size,0))*$AT78&gt;1100000,"12.5% of phase area",INDEX(Gec_Cu,MATCH(TRUE,Gec_CM&gt;=INDEX(Ampacity_CM,MATCH($AU78,Ampacity_Size,0))*$AT78,0))),"—"))</f>
        <v/>
      </c>
      <c r="AX78" s="533" t="str">
        <f t="shared" si="78"/>
        <v/>
      </c>
      <c r="AY78" s="533" t="str">
        <f t="shared" si="79"/>
        <v/>
      </c>
      <c r="AZ78" s="20" t="str">
        <f t="shared" si="80"/>
        <v/>
      </c>
    </row>
    <row r="79" spans="1:52" ht="15" customHeight="1" x14ac:dyDescent="0.35">
      <c r="A79" s="362" t="str" cm="1">
        <f t="array" ref="A79">IFERROR(IF(INDEX(_xlfn.ANCHORARRAY($BO$4),ROW()-5,1)="","","T-"&amp;INDEX(_xlfn.ANCHORARRAY($BO$4),ROW()-5,1)),"")</f>
        <v/>
      </c>
      <c r="B79" s="362" t="str" cm="1">
        <f t="array" ref="B79">IFERROR(IF(INDEX(_xlfn.ANCHORARRAY($BO$4),ROW()-5,1)="","",INDEX(_xlfn.ANCHORARRAY($BO$4),ROW()-5,1)),"")</f>
        <v/>
      </c>
      <c r="C79" s="362" t="str" cm="1">
        <f t="array" ref="C79">IFERROR(INDEX(_xlfn.ANCHORARRAY($BO$4),ROW()-5,5),"")</f>
        <v/>
      </c>
      <c r="D79" s="362" t="str" cm="1">
        <f t="array" ref="D79">IFERROR(INDEX(_xlfn.ANCHORARRAY($BO$4),ROW()-5,3),"")</f>
        <v/>
      </c>
      <c r="E79" s="362" t="str" cm="1">
        <f t="array" ref="E79">IFERROR(INDEX(_xlfn.ANCHORARRAY($BO$4),ROW()-5,4),"")</f>
        <v/>
      </c>
      <c r="F79" s="36" t="str" cm="1">
        <f t="array" ref="F79">IFERROR(INDEX(_xlfn.ANCHORARRAY($BO$4),ROW()-5,6),"")</f>
        <v/>
      </c>
      <c r="G79" s="362" t="str" cm="1">
        <f t="array" ref="G79">IF($F79="","",_xlfn.LET(_xlpm.ov,N(IFERROR(_xlfn.XLOOKUP($B79,Dashboard!$A$101:$A$350,Dashboard!$O$101:$O$350,0),0)),_xlpm.need,MAX(N($F79),_xlpm.ov*N($E79)*IF($C79=3,SQRT(3),1)/1000),IFERROR(INDEX(IF($C79=1,Xfmr1_kVA,Xfmr3_kVA),MATCH(TRUE,IF($C79=1,Xfmr1_kVA,Xfmr3_kVA)&gt;=_xlpm.need,0)),"OVER")))</f>
        <v/>
      </c>
      <c r="H79" s="362" t="str">
        <f t="shared" si="54"/>
        <v/>
      </c>
      <c r="I79" s="168" t="str">
        <f t="shared" si="55"/>
        <v/>
      </c>
      <c r="J79" s="362" t="str">
        <f t="shared" si="56"/>
        <v/>
      </c>
      <c r="K79" s="362" t="str">
        <f t="shared" si="57"/>
        <v/>
      </c>
      <c r="L79" s="362" t="str">
        <f t="shared" si="58"/>
        <v/>
      </c>
      <c r="M79" s="168" t="str" cm="1">
        <f t="array" ref="M79">IF($Z79&lt;&gt;"",$Z79,IFERROR(IF($AJ79="","",INDEX(OCPD_List,MATCH(TRUE,OCPD_List&gt;=1.25*$AJ79,0))),"—"))</f>
        <v/>
      </c>
      <c r="N79" s="168" t="str" cm="1">
        <f t="array" ref="N79">IF($AA79&lt;&gt;"",$AA79,IFERROR(IF($AK79="","",INDEX(OCPD_List,MATCH(TRUE,OCPD_List&gt;=1.25*$AK79,0))),"—"))</f>
        <v/>
      </c>
      <c r="O79" s="171" t="str">
        <f t="shared" si="59"/>
        <v/>
      </c>
      <c r="P79" s="171" t="str">
        <f t="shared" si="60"/>
        <v/>
      </c>
      <c r="Q79" s="78" t="str">
        <f t="shared" si="61"/>
        <v/>
      </c>
      <c r="R79" s="371"/>
      <c r="S79" s="481" t="str">
        <f t="shared" si="62"/>
        <v/>
      </c>
      <c r="T79" s="482" t="str">
        <f t="shared" si="63"/>
        <v/>
      </c>
      <c r="U79" s="482" t="str">
        <f t="shared" si="64"/>
        <v/>
      </c>
      <c r="V79" s="482" t="str">
        <f t="shared" si="65"/>
        <v/>
      </c>
      <c r="W79" s="169"/>
      <c r="X79" s="169"/>
      <c r="Y79" s="169"/>
      <c r="Z79" s="251"/>
      <c r="AA79" s="251"/>
      <c r="AB79" s="483"/>
      <c r="AC79" s="483"/>
      <c r="AD79" s="483"/>
      <c r="AE79" s="483"/>
      <c r="AF79" s="483"/>
      <c r="AG79" s="254" t="str">
        <f t="shared" si="66"/>
        <v/>
      </c>
      <c r="AH79" s="254" t="str">
        <f t="shared" si="67"/>
        <v/>
      </c>
      <c r="AI79" s="254" t="str">
        <f t="shared" si="68"/>
        <v/>
      </c>
      <c r="AJ79" s="254" t="str">
        <f t="shared" si="69"/>
        <v/>
      </c>
      <c r="AK79" s="254" t="str">
        <f t="shared" si="70"/>
        <v/>
      </c>
      <c r="AL79" s="255" t="str" cm="1">
        <f t="array" ref="AL79">IFERROR(IF(INDEX(_xlfn.ANCHORARRAY($BO$4),ROW()-5,2)="","",_xlfn.XLOOKUP(INDEX(_xlfn.ANCHORARRAY($BO$4),ROW()-5,2),'Short Circuit'!$A$6:$A$255,'Short Circuit'!$J$6:$J$255,"")),"")</f>
        <v/>
      </c>
      <c r="AM79" s="254" t="str">
        <f t="shared" si="71"/>
        <v/>
      </c>
      <c r="AN79" s="254" t="str">
        <f t="shared" si="72"/>
        <v/>
      </c>
      <c r="AO79" s="254" t="str">
        <f t="shared" si="73"/>
        <v/>
      </c>
      <c r="AP79" s="255" t="str">
        <f t="shared" si="74"/>
        <v/>
      </c>
      <c r="AQ79" s="255" t="str">
        <f t="shared" si="75"/>
        <v/>
      </c>
      <c r="AR79" s="255" t="str">
        <f t="shared" si="76"/>
        <v/>
      </c>
      <c r="AS79" s="255" t="str" cm="1">
        <f t="array" ref="AS79">IFERROR(IF($AP79="","",INDEX(AIC_List,MATCH(TRUE,AIC_List&gt;=$AP79,0))),"⚠ &gt; 200 kA")</f>
        <v/>
      </c>
      <c r="AT79" s="255" t="str">
        <f t="shared" si="77"/>
        <v/>
      </c>
      <c r="AU79" s="290" t="str" cm="1">
        <f t="array" ref="AU79">IFERROR(IF($AK79="","",INDEX(Ampacity_Size,MATCH(TRUE,Ampacity_Cu&gt;=1.25*$AK79/$AT79,0))),"—")</f>
        <v/>
      </c>
      <c r="AV79" s="290" t="str" cm="1">
        <f t="array" ref="AV79">IF($AU79="","",IFERROR(INDEX(Gec_Cu,MATCH(TRUE,Gec_CM&gt;=INDEX(Ampacity_CM,MATCH($AU79,Ampacity_Size,0))*$AT79,0)),"—"))</f>
        <v/>
      </c>
      <c r="AW79" s="290" t="str" cm="1">
        <f t="array" ref="AW79">IF($AU79="","",IFERROR(IF(INDEX(Ampacity_CM,MATCH($AU79,Ampacity_Size,0))*$AT79&gt;1100000,"12.5% of phase area",INDEX(Gec_Cu,MATCH(TRUE,Gec_CM&gt;=INDEX(Ampacity_CM,MATCH($AU79,Ampacity_Size,0))*$AT79,0))),"—"))</f>
        <v/>
      </c>
      <c r="AX79" s="533" t="str">
        <f t="shared" si="78"/>
        <v/>
      </c>
      <c r="AY79" s="533" t="str">
        <f t="shared" si="79"/>
        <v/>
      </c>
      <c r="AZ79" s="20" t="str">
        <f t="shared" si="80"/>
        <v/>
      </c>
    </row>
    <row r="80" spans="1:52" ht="15" customHeight="1" x14ac:dyDescent="0.35">
      <c r="A80" s="362" t="str" cm="1">
        <f t="array" ref="A80">IFERROR(IF(INDEX(_xlfn.ANCHORARRAY($BO$4),ROW()-5,1)="","","T-"&amp;INDEX(_xlfn.ANCHORARRAY($BO$4),ROW()-5,1)),"")</f>
        <v/>
      </c>
      <c r="B80" s="362" t="str" cm="1">
        <f t="array" ref="B80">IFERROR(IF(INDEX(_xlfn.ANCHORARRAY($BO$4),ROW()-5,1)="","",INDEX(_xlfn.ANCHORARRAY($BO$4),ROW()-5,1)),"")</f>
        <v/>
      </c>
      <c r="C80" s="362" t="str" cm="1">
        <f t="array" ref="C80">IFERROR(INDEX(_xlfn.ANCHORARRAY($BO$4),ROW()-5,5),"")</f>
        <v/>
      </c>
      <c r="D80" s="362" t="str" cm="1">
        <f t="array" ref="D80">IFERROR(INDEX(_xlfn.ANCHORARRAY($BO$4),ROW()-5,3),"")</f>
        <v/>
      </c>
      <c r="E80" s="362" t="str" cm="1">
        <f t="array" ref="E80">IFERROR(INDEX(_xlfn.ANCHORARRAY($BO$4),ROW()-5,4),"")</f>
        <v/>
      </c>
      <c r="F80" s="36" t="str" cm="1">
        <f t="array" ref="F80">IFERROR(INDEX(_xlfn.ANCHORARRAY($BO$4),ROW()-5,6),"")</f>
        <v/>
      </c>
      <c r="G80" s="362" t="str" cm="1">
        <f t="array" ref="G80">IF($F80="","",_xlfn.LET(_xlpm.ov,N(IFERROR(_xlfn.XLOOKUP($B80,Dashboard!$A$101:$A$350,Dashboard!$O$101:$O$350,0),0)),_xlpm.need,MAX(N($F80),_xlpm.ov*N($E80)*IF($C80=3,SQRT(3),1)/1000),IFERROR(INDEX(IF($C80=1,Xfmr1_kVA,Xfmr3_kVA),MATCH(TRUE,IF($C80=1,Xfmr1_kVA,Xfmr3_kVA)&gt;=_xlpm.need,0)),"OVER")))</f>
        <v/>
      </c>
      <c r="H80" s="362" t="str">
        <f t="shared" si="54"/>
        <v/>
      </c>
      <c r="I80" s="168" t="str">
        <f t="shared" si="55"/>
        <v/>
      </c>
      <c r="J80" s="362" t="str">
        <f t="shared" si="56"/>
        <v/>
      </c>
      <c r="K80" s="362" t="str">
        <f t="shared" si="57"/>
        <v/>
      </c>
      <c r="L80" s="362" t="str">
        <f t="shared" si="58"/>
        <v/>
      </c>
      <c r="M80" s="168" t="str" cm="1">
        <f t="array" ref="M80">IF($Z80&lt;&gt;"",$Z80,IFERROR(IF($AJ80="","",INDEX(OCPD_List,MATCH(TRUE,OCPD_List&gt;=1.25*$AJ80,0))),"—"))</f>
        <v/>
      </c>
      <c r="N80" s="168" t="str" cm="1">
        <f t="array" ref="N80">IF($AA80&lt;&gt;"",$AA80,IFERROR(IF($AK80="","",INDEX(OCPD_List,MATCH(TRUE,OCPD_List&gt;=1.25*$AK80,0))),"—"))</f>
        <v/>
      </c>
      <c r="O80" s="171" t="str">
        <f t="shared" si="59"/>
        <v/>
      </c>
      <c r="P80" s="171" t="str">
        <f t="shared" si="60"/>
        <v/>
      </c>
      <c r="Q80" s="78" t="str">
        <f t="shared" si="61"/>
        <v/>
      </c>
      <c r="R80" s="371"/>
      <c r="S80" s="481" t="str">
        <f t="shared" si="62"/>
        <v/>
      </c>
      <c r="T80" s="482" t="str">
        <f t="shared" si="63"/>
        <v/>
      </c>
      <c r="U80" s="482" t="str">
        <f t="shared" si="64"/>
        <v/>
      </c>
      <c r="V80" s="482" t="str">
        <f t="shared" si="65"/>
        <v/>
      </c>
      <c r="W80" s="169"/>
      <c r="X80" s="169"/>
      <c r="Y80" s="169"/>
      <c r="Z80" s="251"/>
      <c r="AA80" s="251"/>
      <c r="AB80" s="483"/>
      <c r="AC80" s="483"/>
      <c r="AD80" s="483"/>
      <c r="AE80" s="483"/>
      <c r="AF80" s="483"/>
      <c r="AG80" s="254" t="str">
        <f t="shared" si="66"/>
        <v/>
      </c>
      <c r="AH80" s="254" t="str">
        <f t="shared" si="67"/>
        <v/>
      </c>
      <c r="AI80" s="254" t="str">
        <f t="shared" si="68"/>
        <v/>
      </c>
      <c r="AJ80" s="254" t="str">
        <f t="shared" si="69"/>
        <v/>
      </c>
      <c r="AK80" s="254" t="str">
        <f t="shared" si="70"/>
        <v/>
      </c>
      <c r="AL80" s="255" t="str" cm="1">
        <f t="array" ref="AL80">IFERROR(IF(INDEX(_xlfn.ANCHORARRAY($BO$4),ROW()-5,2)="","",_xlfn.XLOOKUP(INDEX(_xlfn.ANCHORARRAY($BO$4),ROW()-5,2),'Short Circuit'!$A$6:$A$255,'Short Circuit'!$J$6:$J$255,"")),"")</f>
        <v/>
      </c>
      <c r="AM80" s="254" t="str">
        <f t="shared" si="71"/>
        <v/>
      </c>
      <c r="AN80" s="254" t="str">
        <f t="shared" si="72"/>
        <v/>
      </c>
      <c r="AO80" s="254" t="str">
        <f t="shared" si="73"/>
        <v/>
      </c>
      <c r="AP80" s="255" t="str">
        <f t="shared" si="74"/>
        <v/>
      </c>
      <c r="AQ80" s="255" t="str">
        <f t="shared" si="75"/>
        <v/>
      </c>
      <c r="AR80" s="255" t="str">
        <f t="shared" si="76"/>
        <v/>
      </c>
      <c r="AS80" s="255" t="str" cm="1">
        <f t="array" ref="AS80">IFERROR(IF($AP80="","",INDEX(AIC_List,MATCH(TRUE,AIC_List&gt;=$AP80,0))),"⚠ &gt; 200 kA")</f>
        <v/>
      </c>
      <c r="AT80" s="255" t="str">
        <f t="shared" si="77"/>
        <v/>
      </c>
      <c r="AU80" s="290" t="str" cm="1">
        <f t="array" ref="AU80">IFERROR(IF($AK80="","",INDEX(Ampacity_Size,MATCH(TRUE,Ampacity_Cu&gt;=1.25*$AK80/$AT80,0))),"—")</f>
        <v/>
      </c>
      <c r="AV80" s="290" t="str" cm="1">
        <f t="array" ref="AV80">IF($AU80="","",IFERROR(INDEX(Gec_Cu,MATCH(TRUE,Gec_CM&gt;=INDEX(Ampacity_CM,MATCH($AU80,Ampacity_Size,0))*$AT80,0)),"—"))</f>
        <v/>
      </c>
      <c r="AW80" s="290" t="str" cm="1">
        <f t="array" ref="AW80">IF($AU80="","",IFERROR(IF(INDEX(Ampacity_CM,MATCH($AU80,Ampacity_Size,0))*$AT80&gt;1100000,"12.5% of phase area",INDEX(Gec_Cu,MATCH(TRUE,Gec_CM&gt;=INDEX(Ampacity_CM,MATCH($AU80,Ampacity_Size,0))*$AT80,0))),"—"))</f>
        <v/>
      </c>
      <c r="AX80" s="533" t="str">
        <f t="shared" si="78"/>
        <v/>
      </c>
      <c r="AY80" s="533" t="str">
        <f t="shared" si="79"/>
        <v/>
      </c>
      <c r="AZ80" s="20" t="str">
        <f t="shared" si="80"/>
        <v/>
      </c>
    </row>
    <row r="81" spans="1:52" ht="15" customHeight="1" x14ac:dyDescent="0.35">
      <c r="A81" s="362" t="str" cm="1">
        <f t="array" ref="A81">IFERROR(IF(INDEX(_xlfn.ANCHORARRAY($BO$4),ROW()-5,1)="","","T-"&amp;INDEX(_xlfn.ANCHORARRAY($BO$4),ROW()-5,1)),"")</f>
        <v/>
      </c>
      <c r="B81" s="362" t="str" cm="1">
        <f t="array" ref="B81">IFERROR(IF(INDEX(_xlfn.ANCHORARRAY($BO$4),ROW()-5,1)="","",INDEX(_xlfn.ANCHORARRAY($BO$4),ROW()-5,1)),"")</f>
        <v/>
      </c>
      <c r="C81" s="362" t="str" cm="1">
        <f t="array" ref="C81">IFERROR(INDEX(_xlfn.ANCHORARRAY($BO$4),ROW()-5,5),"")</f>
        <v/>
      </c>
      <c r="D81" s="362" t="str" cm="1">
        <f t="array" ref="D81">IFERROR(INDEX(_xlfn.ANCHORARRAY($BO$4),ROW()-5,3),"")</f>
        <v/>
      </c>
      <c r="E81" s="362" t="str" cm="1">
        <f t="array" ref="E81">IFERROR(INDEX(_xlfn.ANCHORARRAY($BO$4),ROW()-5,4),"")</f>
        <v/>
      </c>
      <c r="F81" s="36" t="str" cm="1">
        <f t="array" ref="F81">IFERROR(INDEX(_xlfn.ANCHORARRAY($BO$4),ROW()-5,6),"")</f>
        <v/>
      </c>
      <c r="G81" s="362" t="str" cm="1">
        <f t="array" ref="G81">IF($F81="","",_xlfn.LET(_xlpm.ov,N(IFERROR(_xlfn.XLOOKUP($B81,Dashboard!$A$101:$A$350,Dashboard!$O$101:$O$350,0),0)),_xlpm.need,MAX(N($F81),_xlpm.ov*N($E81)*IF($C81=3,SQRT(3),1)/1000),IFERROR(INDEX(IF($C81=1,Xfmr1_kVA,Xfmr3_kVA),MATCH(TRUE,IF($C81=1,Xfmr1_kVA,Xfmr3_kVA)&gt;=_xlpm.need,0)),"OVER")))</f>
        <v/>
      </c>
      <c r="H81" s="362" t="str">
        <f t="shared" si="54"/>
        <v/>
      </c>
      <c r="I81" s="168" t="str">
        <f t="shared" si="55"/>
        <v/>
      </c>
      <c r="J81" s="362" t="str">
        <f t="shared" si="56"/>
        <v/>
      </c>
      <c r="K81" s="362" t="str">
        <f t="shared" si="57"/>
        <v/>
      </c>
      <c r="L81" s="362" t="str">
        <f t="shared" si="58"/>
        <v/>
      </c>
      <c r="M81" s="168" t="str" cm="1">
        <f t="array" ref="M81">IF($Z81&lt;&gt;"",$Z81,IFERROR(IF($AJ81="","",INDEX(OCPD_List,MATCH(TRUE,OCPD_List&gt;=1.25*$AJ81,0))),"—"))</f>
        <v/>
      </c>
      <c r="N81" s="168" t="str" cm="1">
        <f t="array" ref="N81">IF($AA81&lt;&gt;"",$AA81,IFERROR(IF($AK81="","",INDEX(OCPD_List,MATCH(TRUE,OCPD_List&gt;=1.25*$AK81,0))),"—"))</f>
        <v/>
      </c>
      <c r="O81" s="171" t="str">
        <f t="shared" si="59"/>
        <v/>
      </c>
      <c r="P81" s="171" t="str">
        <f t="shared" si="60"/>
        <v/>
      </c>
      <c r="Q81" s="78" t="str">
        <f t="shared" si="61"/>
        <v/>
      </c>
      <c r="R81" s="371"/>
      <c r="S81" s="481" t="str">
        <f t="shared" si="62"/>
        <v/>
      </c>
      <c r="T81" s="482" t="str">
        <f t="shared" si="63"/>
        <v/>
      </c>
      <c r="U81" s="482" t="str">
        <f t="shared" si="64"/>
        <v/>
      </c>
      <c r="V81" s="482" t="str">
        <f t="shared" si="65"/>
        <v/>
      </c>
      <c r="W81" s="169"/>
      <c r="X81" s="169"/>
      <c r="Y81" s="169"/>
      <c r="Z81" s="251"/>
      <c r="AA81" s="251"/>
      <c r="AB81" s="483"/>
      <c r="AC81" s="483"/>
      <c r="AD81" s="483"/>
      <c r="AE81" s="483"/>
      <c r="AF81" s="483"/>
      <c r="AG81" s="254" t="str">
        <f t="shared" si="66"/>
        <v/>
      </c>
      <c r="AH81" s="254" t="str">
        <f t="shared" si="67"/>
        <v/>
      </c>
      <c r="AI81" s="254" t="str">
        <f t="shared" si="68"/>
        <v/>
      </c>
      <c r="AJ81" s="254" t="str">
        <f t="shared" si="69"/>
        <v/>
      </c>
      <c r="AK81" s="254" t="str">
        <f t="shared" si="70"/>
        <v/>
      </c>
      <c r="AL81" s="255" t="str" cm="1">
        <f t="array" ref="AL81">IFERROR(IF(INDEX(_xlfn.ANCHORARRAY($BO$4),ROW()-5,2)="","",_xlfn.XLOOKUP(INDEX(_xlfn.ANCHORARRAY($BO$4),ROW()-5,2),'Short Circuit'!$A$6:$A$255,'Short Circuit'!$J$6:$J$255,"")),"")</f>
        <v/>
      </c>
      <c r="AM81" s="254" t="str">
        <f t="shared" si="71"/>
        <v/>
      </c>
      <c r="AN81" s="254" t="str">
        <f t="shared" si="72"/>
        <v/>
      </c>
      <c r="AO81" s="254" t="str">
        <f t="shared" si="73"/>
        <v/>
      </c>
      <c r="AP81" s="255" t="str">
        <f t="shared" si="74"/>
        <v/>
      </c>
      <c r="AQ81" s="255" t="str">
        <f t="shared" si="75"/>
        <v/>
      </c>
      <c r="AR81" s="255" t="str">
        <f t="shared" si="76"/>
        <v/>
      </c>
      <c r="AS81" s="255" t="str" cm="1">
        <f t="array" ref="AS81">IFERROR(IF($AP81="","",INDEX(AIC_List,MATCH(TRUE,AIC_List&gt;=$AP81,0))),"⚠ &gt; 200 kA")</f>
        <v/>
      </c>
      <c r="AT81" s="255" t="str">
        <f t="shared" si="77"/>
        <v/>
      </c>
      <c r="AU81" s="290" t="str" cm="1">
        <f t="array" ref="AU81">IFERROR(IF($AK81="","",INDEX(Ampacity_Size,MATCH(TRUE,Ampacity_Cu&gt;=1.25*$AK81/$AT81,0))),"—")</f>
        <v/>
      </c>
      <c r="AV81" s="290" t="str" cm="1">
        <f t="array" ref="AV81">IF($AU81="","",IFERROR(INDEX(Gec_Cu,MATCH(TRUE,Gec_CM&gt;=INDEX(Ampacity_CM,MATCH($AU81,Ampacity_Size,0))*$AT81,0)),"—"))</f>
        <v/>
      </c>
      <c r="AW81" s="290" t="str" cm="1">
        <f t="array" ref="AW81">IF($AU81="","",IFERROR(IF(INDEX(Ampacity_CM,MATCH($AU81,Ampacity_Size,0))*$AT81&gt;1100000,"12.5% of phase area",INDEX(Gec_Cu,MATCH(TRUE,Gec_CM&gt;=INDEX(Ampacity_CM,MATCH($AU81,Ampacity_Size,0))*$AT81,0))),"—"))</f>
        <v/>
      </c>
      <c r="AX81" s="533" t="str">
        <f t="shared" si="78"/>
        <v/>
      </c>
      <c r="AY81" s="533" t="str">
        <f t="shared" si="79"/>
        <v/>
      </c>
      <c r="AZ81" s="20" t="str">
        <f t="shared" si="80"/>
        <v/>
      </c>
    </row>
    <row r="82" spans="1:52" ht="15" customHeight="1" x14ac:dyDescent="0.35">
      <c r="A82" s="362" t="str" cm="1">
        <f t="array" ref="A82">IFERROR(IF(INDEX(_xlfn.ANCHORARRAY($BO$4),ROW()-5,1)="","","T-"&amp;INDEX(_xlfn.ANCHORARRAY($BO$4),ROW()-5,1)),"")</f>
        <v/>
      </c>
      <c r="B82" s="362" t="str" cm="1">
        <f t="array" ref="B82">IFERROR(IF(INDEX(_xlfn.ANCHORARRAY($BO$4),ROW()-5,1)="","",INDEX(_xlfn.ANCHORARRAY($BO$4),ROW()-5,1)),"")</f>
        <v/>
      </c>
      <c r="C82" s="362" t="str" cm="1">
        <f t="array" ref="C82">IFERROR(INDEX(_xlfn.ANCHORARRAY($BO$4),ROW()-5,5),"")</f>
        <v/>
      </c>
      <c r="D82" s="362" t="str" cm="1">
        <f t="array" ref="D82">IFERROR(INDEX(_xlfn.ANCHORARRAY($BO$4),ROW()-5,3),"")</f>
        <v/>
      </c>
      <c r="E82" s="362" t="str" cm="1">
        <f t="array" ref="E82">IFERROR(INDEX(_xlfn.ANCHORARRAY($BO$4),ROW()-5,4),"")</f>
        <v/>
      </c>
      <c r="F82" s="36" t="str" cm="1">
        <f t="array" ref="F82">IFERROR(INDEX(_xlfn.ANCHORARRAY($BO$4),ROW()-5,6),"")</f>
        <v/>
      </c>
      <c r="G82" s="362" t="str" cm="1">
        <f t="array" ref="G82">IF($F82="","",_xlfn.LET(_xlpm.ov,N(IFERROR(_xlfn.XLOOKUP($B82,Dashboard!$A$101:$A$350,Dashboard!$O$101:$O$350,0),0)),_xlpm.need,MAX(N($F82),_xlpm.ov*N($E82)*IF($C82=3,SQRT(3),1)/1000),IFERROR(INDEX(IF($C82=1,Xfmr1_kVA,Xfmr3_kVA),MATCH(TRUE,IF($C82=1,Xfmr1_kVA,Xfmr3_kVA)&gt;=_xlpm.need,0)),"OVER")))</f>
        <v/>
      </c>
      <c r="H82" s="362" t="str">
        <f t="shared" si="54"/>
        <v/>
      </c>
      <c r="I82" s="168" t="str">
        <f t="shared" si="55"/>
        <v/>
      </c>
      <c r="J82" s="362" t="str">
        <f t="shared" si="56"/>
        <v/>
      </c>
      <c r="K82" s="362" t="str">
        <f t="shared" si="57"/>
        <v/>
      </c>
      <c r="L82" s="362" t="str">
        <f t="shared" si="58"/>
        <v/>
      </c>
      <c r="M82" s="168" t="str" cm="1">
        <f t="array" ref="M82">IF($Z82&lt;&gt;"",$Z82,IFERROR(IF($AJ82="","",INDEX(OCPD_List,MATCH(TRUE,OCPD_List&gt;=1.25*$AJ82,0))),"—"))</f>
        <v/>
      </c>
      <c r="N82" s="168" t="str" cm="1">
        <f t="array" ref="N82">IF($AA82&lt;&gt;"",$AA82,IFERROR(IF($AK82="","",INDEX(OCPD_List,MATCH(TRUE,OCPD_List&gt;=1.25*$AK82,0))),"—"))</f>
        <v/>
      </c>
      <c r="O82" s="171" t="str">
        <f t="shared" si="59"/>
        <v/>
      </c>
      <c r="P82" s="171" t="str">
        <f t="shared" si="60"/>
        <v/>
      </c>
      <c r="Q82" s="78" t="str">
        <f t="shared" si="61"/>
        <v/>
      </c>
      <c r="R82" s="371"/>
      <c r="S82" s="481" t="str">
        <f t="shared" si="62"/>
        <v/>
      </c>
      <c r="T82" s="482" t="str">
        <f t="shared" si="63"/>
        <v/>
      </c>
      <c r="U82" s="482" t="str">
        <f t="shared" si="64"/>
        <v/>
      </c>
      <c r="V82" s="482" t="str">
        <f t="shared" si="65"/>
        <v/>
      </c>
      <c r="W82" s="169"/>
      <c r="X82" s="169"/>
      <c r="Y82" s="169"/>
      <c r="Z82" s="251"/>
      <c r="AA82" s="251"/>
      <c r="AB82" s="483"/>
      <c r="AC82" s="483"/>
      <c r="AD82" s="483"/>
      <c r="AE82" s="483"/>
      <c r="AF82" s="483"/>
      <c r="AG82" s="254" t="str">
        <f t="shared" si="66"/>
        <v/>
      </c>
      <c r="AH82" s="254" t="str">
        <f t="shared" si="67"/>
        <v/>
      </c>
      <c r="AI82" s="254" t="str">
        <f t="shared" si="68"/>
        <v/>
      </c>
      <c r="AJ82" s="254" t="str">
        <f t="shared" si="69"/>
        <v/>
      </c>
      <c r="AK82" s="254" t="str">
        <f t="shared" si="70"/>
        <v/>
      </c>
      <c r="AL82" s="255" t="str" cm="1">
        <f t="array" ref="AL82">IFERROR(IF(INDEX(_xlfn.ANCHORARRAY($BO$4),ROW()-5,2)="","",_xlfn.XLOOKUP(INDEX(_xlfn.ANCHORARRAY($BO$4),ROW()-5,2),'Short Circuit'!$A$6:$A$255,'Short Circuit'!$J$6:$J$255,"")),"")</f>
        <v/>
      </c>
      <c r="AM82" s="254" t="str">
        <f t="shared" si="71"/>
        <v/>
      </c>
      <c r="AN82" s="254" t="str">
        <f t="shared" si="72"/>
        <v/>
      </c>
      <c r="AO82" s="254" t="str">
        <f t="shared" si="73"/>
        <v/>
      </c>
      <c r="AP82" s="255" t="str">
        <f t="shared" si="74"/>
        <v/>
      </c>
      <c r="AQ82" s="255" t="str">
        <f t="shared" si="75"/>
        <v/>
      </c>
      <c r="AR82" s="255" t="str">
        <f t="shared" si="76"/>
        <v/>
      </c>
      <c r="AS82" s="255" t="str" cm="1">
        <f t="array" ref="AS82">IFERROR(IF($AP82="","",INDEX(AIC_List,MATCH(TRUE,AIC_List&gt;=$AP82,0))),"⚠ &gt; 200 kA")</f>
        <v/>
      </c>
      <c r="AT82" s="255" t="str">
        <f t="shared" si="77"/>
        <v/>
      </c>
      <c r="AU82" s="290" t="str" cm="1">
        <f t="array" ref="AU82">IFERROR(IF($AK82="","",INDEX(Ampacity_Size,MATCH(TRUE,Ampacity_Cu&gt;=1.25*$AK82/$AT82,0))),"—")</f>
        <v/>
      </c>
      <c r="AV82" s="290" t="str" cm="1">
        <f t="array" ref="AV82">IF($AU82="","",IFERROR(INDEX(Gec_Cu,MATCH(TRUE,Gec_CM&gt;=INDEX(Ampacity_CM,MATCH($AU82,Ampacity_Size,0))*$AT82,0)),"—"))</f>
        <v/>
      </c>
      <c r="AW82" s="290" t="str" cm="1">
        <f t="array" ref="AW82">IF($AU82="","",IFERROR(IF(INDEX(Ampacity_CM,MATCH($AU82,Ampacity_Size,0))*$AT82&gt;1100000,"12.5% of phase area",INDEX(Gec_Cu,MATCH(TRUE,Gec_CM&gt;=INDEX(Ampacity_CM,MATCH($AU82,Ampacity_Size,0))*$AT82,0))),"—"))</f>
        <v/>
      </c>
      <c r="AX82" s="533" t="str">
        <f t="shared" si="78"/>
        <v/>
      </c>
      <c r="AY82" s="533" t="str">
        <f t="shared" si="79"/>
        <v/>
      </c>
      <c r="AZ82" s="20" t="str">
        <f t="shared" si="80"/>
        <v/>
      </c>
    </row>
    <row r="83" spans="1:52" ht="15" customHeight="1" x14ac:dyDescent="0.35">
      <c r="A83" s="362" t="str" cm="1">
        <f t="array" ref="A83">IFERROR(IF(INDEX(_xlfn.ANCHORARRAY($BO$4),ROW()-5,1)="","","T-"&amp;INDEX(_xlfn.ANCHORARRAY($BO$4),ROW()-5,1)),"")</f>
        <v/>
      </c>
      <c r="B83" s="362" t="str" cm="1">
        <f t="array" ref="B83">IFERROR(IF(INDEX(_xlfn.ANCHORARRAY($BO$4),ROW()-5,1)="","",INDEX(_xlfn.ANCHORARRAY($BO$4),ROW()-5,1)),"")</f>
        <v/>
      </c>
      <c r="C83" s="362" t="str" cm="1">
        <f t="array" ref="C83">IFERROR(INDEX(_xlfn.ANCHORARRAY($BO$4),ROW()-5,5),"")</f>
        <v/>
      </c>
      <c r="D83" s="362" t="str" cm="1">
        <f t="array" ref="D83">IFERROR(INDEX(_xlfn.ANCHORARRAY($BO$4),ROW()-5,3),"")</f>
        <v/>
      </c>
      <c r="E83" s="362" t="str" cm="1">
        <f t="array" ref="E83">IFERROR(INDEX(_xlfn.ANCHORARRAY($BO$4),ROW()-5,4),"")</f>
        <v/>
      </c>
      <c r="F83" s="36" t="str" cm="1">
        <f t="array" ref="F83">IFERROR(INDEX(_xlfn.ANCHORARRAY($BO$4),ROW()-5,6),"")</f>
        <v/>
      </c>
      <c r="G83" s="362" t="str" cm="1">
        <f t="array" ref="G83">IF($F83="","",_xlfn.LET(_xlpm.ov,N(IFERROR(_xlfn.XLOOKUP($B83,Dashboard!$A$101:$A$350,Dashboard!$O$101:$O$350,0),0)),_xlpm.need,MAX(N($F83),_xlpm.ov*N($E83)*IF($C83=3,SQRT(3),1)/1000),IFERROR(INDEX(IF($C83=1,Xfmr1_kVA,Xfmr3_kVA),MATCH(TRUE,IF($C83=1,Xfmr1_kVA,Xfmr3_kVA)&gt;=_xlpm.need,0)),"OVER")))</f>
        <v/>
      </c>
      <c r="H83" s="362" t="str">
        <f t="shared" si="54"/>
        <v/>
      </c>
      <c r="I83" s="168" t="str">
        <f t="shared" si="55"/>
        <v/>
      </c>
      <c r="J83" s="362" t="str">
        <f t="shared" si="56"/>
        <v/>
      </c>
      <c r="K83" s="362" t="str">
        <f t="shared" si="57"/>
        <v/>
      </c>
      <c r="L83" s="362" t="str">
        <f t="shared" si="58"/>
        <v/>
      </c>
      <c r="M83" s="168" t="str" cm="1">
        <f t="array" ref="M83">IF($Z83&lt;&gt;"",$Z83,IFERROR(IF($AJ83="","",INDEX(OCPD_List,MATCH(TRUE,OCPD_List&gt;=1.25*$AJ83,0))),"—"))</f>
        <v/>
      </c>
      <c r="N83" s="168" t="str" cm="1">
        <f t="array" ref="N83">IF($AA83&lt;&gt;"",$AA83,IFERROR(IF($AK83="","",INDEX(OCPD_List,MATCH(TRUE,OCPD_List&gt;=1.25*$AK83,0))),"—"))</f>
        <v/>
      </c>
      <c r="O83" s="171" t="str">
        <f t="shared" si="59"/>
        <v/>
      </c>
      <c r="P83" s="171" t="str">
        <f t="shared" si="60"/>
        <v/>
      </c>
      <c r="Q83" s="78" t="str">
        <f t="shared" si="61"/>
        <v/>
      </c>
      <c r="R83" s="371"/>
      <c r="S83" s="481" t="str">
        <f t="shared" si="62"/>
        <v/>
      </c>
      <c r="T83" s="482" t="str">
        <f t="shared" si="63"/>
        <v/>
      </c>
      <c r="U83" s="482" t="str">
        <f t="shared" si="64"/>
        <v/>
      </c>
      <c r="V83" s="482" t="str">
        <f t="shared" si="65"/>
        <v/>
      </c>
      <c r="W83" s="169"/>
      <c r="X83" s="169"/>
      <c r="Y83" s="169"/>
      <c r="Z83" s="251"/>
      <c r="AA83" s="251"/>
      <c r="AB83" s="483"/>
      <c r="AC83" s="483"/>
      <c r="AD83" s="483"/>
      <c r="AE83" s="483"/>
      <c r="AF83" s="483"/>
      <c r="AG83" s="254" t="str">
        <f t="shared" si="66"/>
        <v/>
      </c>
      <c r="AH83" s="254" t="str">
        <f t="shared" si="67"/>
        <v/>
      </c>
      <c r="AI83" s="254" t="str">
        <f t="shared" si="68"/>
        <v/>
      </c>
      <c r="AJ83" s="254" t="str">
        <f t="shared" si="69"/>
        <v/>
      </c>
      <c r="AK83" s="254" t="str">
        <f t="shared" si="70"/>
        <v/>
      </c>
      <c r="AL83" s="255" t="str" cm="1">
        <f t="array" ref="AL83">IFERROR(IF(INDEX(_xlfn.ANCHORARRAY($BO$4),ROW()-5,2)="","",_xlfn.XLOOKUP(INDEX(_xlfn.ANCHORARRAY($BO$4),ROW()-5,2),'Short Circuit'!$A$6:$A$255,'Short Circuit'!$J$6:$J$255,"")),"")</f>
        <v/>
      </c>
      <c r="AM83" s="254" t="str">
        <f t="shared" si="71"/>
        <v/>
      </c>
      <c r="AN83" s="254" t="str">
        <f t="shared" si="72"/>
        <v/>
      </c>
      <c r="AO83" s="254" t="str">
        <f t="shared" si="73"/>
        <v/>
      </c>
      <c r="AP83" s="255" t="str">
        <f t="shared" si="74"/>
        <v/>
      </c>
      <c r="AQ83" s="255" t="str">
        <f t="shared" si="75"/>
        <v/>
      </c>
      <c r="AR83" s="255" t="str">
        <f t="shared" si="76"/>
        <v/>
      </c>
      <c r="AS83" s="255" t="str" cm="1">
        <f t="array" ref="AS83">IFERROR(IF($AP83="","",INDEX(AIC_List,MATCH(TRUE,AIC_List&gt;=$AP83,0))),"⚠ &gt; 200 kA")</f>
        <v/>
      </c>
      <c r="AT83" s="255" t="str">
        <f t="shared" si="77"/>
        <v/>
      </c>
      <c r="AU83" s="290" t="str" cm="1">
        <f t="array" ref="AU83">IFERROR(IF($AK83="","",INDEX(Ampacity_Size,MATCH(TRUE,Ampacity_Cu&gt;=1.25*$AK83/$AT83,0))),"—")</f>
        <v/>
      </c>
      <c r="AV83" s="290" t="str" cm="1">
        <f t="array" ref="AV83">IF($AU83="","",IFERROR(INDEX(Gec_Cu,MATCH(TRUE,Gec_CM&gt;=INDEX(Ampacity_CM,MATCH($AU83,Ampacity_Size,0))*$AT83,0)),"—"))</f>
        <v/>
      </c>
      <c r="AW83" s="290" t="str" cm="1">
        <f t="array" ref="AW83">IF($AU83="","",IFERROR(IF(INDEX(Ampacity_CM,MATCH($AU83,Ampacity_Size,0))*$AT83&gt;1100000,"12.5% of phase area",INDEX(Gec_Cu,MATCH(TRUE,Gec_CM&gt;=INDEX(Ampacity_CM,MATCH($AU83,Ampacity_Size,0))*$AT83,0))),"—"))</f>
        <v/>
      </c>
      <c r="AX83" s="533" t="str">
        <f t="shared" si="78"/>
        <v/>
      </c>
      <c r="AY83" s="533" t="str">
        <f t="shared" si="79"/>
        <v/>
      </c>
      <c r="AZ83" s="20" t="str">
        <f t="shared" si="80"/>
        <v/>
      </c>
    </row>
    <row r="84" spans="1:52" ht="15" customHeight="1" x14ac:dyDescent="0.35">
      <c r="A84" s="362" t="str" cm="1">
        <f t="array" ref="A84">IFERROR(IF(INDEX(_xlfn.ANCHORARRAY($BO$4),ROW()-5,1)="","","T-"&amp;INDEX(_xlfn.ANCHORARRAY($BO$4),ROW()-5,1)),"")</f>
        <v/>
      </c>
      <c r="B84" s="362" t="str" cm="1">
        <f t="array" ref="B84">IFERROR(IF(INDEX(_xlfn.ANCHORARRAY($BO$4),ROW()-5,1)="","",INDEX(_xlfn.ANCHORARRAY($BO$4),ROW()-5,1)),"")</f>
        <v/>
      </c>
      <c r="C84" s="362" t="str" cm="1">
        <f t="array" ref="C84">IFERROR(INDEX(_xlfn.ANCHORARRAY($BO$4),ROW()-5,5),"")</f>
        <v/>
      </c>
      <c r="D84" s="362" t="str" cm="1">
        <f t="array" ref="D84">IFERROR(INDEX(_xlfn.ANCHORARRAY($BO$4),ROW()-5,3),"")</f>
        <v/>
      </c>
      <c r="E84" s="362" t="str" cm="1">
        <f t="array" ref="E84">IFERROR(INDEX(_xlfn.ANCHORARRAY($BO$4),ROW()-5,4),"")</f>
        <v/>
      </c>
      <c r="F84" s="36" t="str" cm="1">
        <f t="array" ref="F84">IFERROR(INDEX(_xlfn.ANCHORARRAY($BO$4),ROW()-5,6),"")</f>
        <v/>
      </c>
      <c r="G84" s="362" t="str" cm="1">
        <f t="array" ref="G84">IF($F84="","",_xlfn.LET(_xlpm.ov,N(IFERROR(_xlfn.XLOOKUP($B84,Dashboard!$A$101:$A$350,Dashboard!$O$101:$O$350,0),0)),_xlpm.need,MAX(N($F84),_xlpm.ov*N($E84)*IF($C84=3,SQRT(3),1)/1000),IFERROR(INDEX(IF($C84=1,Xfmr1_kVA,Xfmr3_kVA),MATCH(TRUE,IF($C84=1,Xfmr1_kVA,Xfmr3_kVA)&gt;=_xlpm.need,0)),"OVER")))</f>
        <v/>
      </c>
      <c r="H84" s="362" t="str">
        <f t="shared" si="54"/>
        <v/>
      </c>
      <c r="I84" s="168" t="str">
        <f t="shared" si="55"/>
        <v/>
      </c>
      <c r="J84" s="362" t="str">
        <f t="shared" si="56"/>
        <v/>
      </c>
      <c r="K84" s="362" t="str">
        <f t="shared" si="57"/>
        <v/>
      </c>
      <c r="L84" s="362" t="str">
        <f t="shared" si="58"/>
        <v/>
      </c>
      <c r="M84" s="168" t="str" cm="1">
        <f t="array" ref="M84">IF($Z84&lt;&gt;"",$Z84,IFERROR(IF($AJ84="","",INDEX(OCPD_List,MATCH(TRUE,OCPD_List&gt;=1.25*$AJ84,0))),"—"))</f>
        <v/>
      </c>
      <c r="N84" s="168" t="str" cm="1">
        <f t="array" ref="N84">IF($AA84&lt;&gt;"",$AA84,IFERROR(IF($AK84="","",INDEX(OCPD_List,MATCH(TRUE,OCPD_List&gt;=1.25*$AK84,0))),"—"))</f>
        <v/>
      </c>
      <c r="O84" s="171" t="str">
        <f t="shared" si="59"/>
        <v/>
      </c>
      <c r="P84" s="171" t="str">
        <f t="shared" si="60"/>
        <v/>
      </c>
      <c r="Q84" s="78" t="str">
        <f t="shared" si="61"/>
        <v/>
      </c>
      <c r="R84" s="371"/>
      <c r="S84" s="481" t="str">
        <f t="shared" si="62"/>
        <v/>
      </c>
      <c r="T84" s="482" t="str">
        <f t="shared" si="63"/>
        <v/>
      </c>
      <c r="U84" s="482" t="str">
        <f t="shared" si="64"/>
        <v/>
      </c>
      <c r="V84" s="482" t="str">
        <f t="shared" si="65"/>
        <v/>
      </c>
      <c r="W84" s="169"/>
      <c r="X84" s="169"/>
      <c r="Y84" s="169"/>
      <c r="Z84" s="251"/>
      <c r="AA84" s="251"/>
      <c r="AB84" s="483"/>
      <c r="AC84" s="483"/>
      <c r="AD84" s="483"/>
      <c r="AE84" s="483"/>
      <c r="AF84" s="483"/>
      <c r="AG84" s="254" t="str">
        <f t="shared" si="66"/>
        <v/>
      </c>
      <c r="AH84" s="254" t="str">
        <f t="shared" si="67"/>
        <v/>
      </c>
      <c r="AI84" s="254" t="str">
        <f t="shared" si="68"/>
        <v/>
      </c>
      <c r="AJ84" s="254" t="str">
        <f t="shared" si="69"/>
        <v/>
      </c>
      <c r="AK84" s="254" t="str">
        <f t="shared" si="70"/>
        <v/>
      </c>
      <c r="AL84" s="255" t="str" cm="1">
        <f t="array" ref="AL84">IFERROR(IF(INDEX(_xlfn.ANCHORARRAY($BO$4),ROW()-5,2)="","",_xlfn.XLOOKUP(INDEX(_xlfn.ANCHORARRAY($BO$4),ROW()-5,2),'Short Circuit'!$A$6:$A$255,'Short Circuit'!$J$6:$J$255,"")),"")</f>
        <v/>
      </c>
      <c r="AM84" s="254" t="str">
        <f t="shared" si="71"/>
        <v/>
      </c>
      <c r="AN84" s="254" t="str">
        <f t="shared" si="72"/>
        <v/>
      </c>
      <c r="AO84" s="254" t="str">
        <f t="shared" si="73"/>
        <v/>
      </c>
      <c r="AP84" s="255" t="str">
        <f t="shared" si="74"/>
        <v/>
      </c>
      <c r="AQ84" s="255" t="str">
        <f t="shared" si="75"/>
        <v/>
      </c>
      <c r="AR84" s="255" t="str">
        <f t="shared" si="76"/>
        <v/>
      </c>
      <c r="AS84" s="255" t="str" cm="1">
        <f t="array" ref="AS84">IFERROR(IF($AP84="","",INDEX(AIC_List,MATCH(TRUE,AIC_List&gt;=$AP84,0))),"⚠ &gt; 200 kA")</f>
        <v/>
      </c>
      <c r="AT84" s="255" t="str">
        <f t="shared" si="77"/>
        <v/>
      </c>
      <c r="AU84" s="290" t="str" cm="1">
        <f t="array" ref="AU84">IFERROR(IF($AK84="","",INDEX(Ampacity_Size,MATCH(TRUE,Ampacity_Cu&gt;=1.25*$AK84/$AT84,0))),"—")</f>
        <v/>
      </c>
      <c r="AV84" s="290" t="str" cm="1">
        <f t="array" ref="AV84">IF($AU84="","",IFERROR(INDEX(Gec_Cu,MATCH(TRUE,Gec_CM&gt;=INDEX(Ampacity_CM,MATCH($AU84,Ampacity_Size,0))*$AT84,0)),"—"))</f>
        <v/>
      </c>
      <c r="AW84" s="290" t="str" cm="1">
        <f t="array" ref="AW84">IF($AU84="","",IFERROR(IF(INDEX(Ampacity_CM,MATCH($AU84,Ampacity_Size,0))*$AT84&gt;1100000,"12.5% of phase area",INDEX(Gec_Cu,MATCH(TRUE,Gec_CM&gt;=INDEX(Ampacity_CM,MATCH($AU84,Ampacity_Size,0))*$AT84,0))),"—"))</f>
        <v/>
      </c>
      <c r="AX84" s="533" t="str">
        <f t="shared" si="78"/>
        <v/>
      </c>
      <c r="AY84" s="533" t="str">
        <f t="shared" si="79"/>
        <v/>
      </c>
      <c r="AZ84" s="20" t="str">
        <f t="shared" si="80"/>
        <v/>
      </c>
    </row>
    <row r="85" spans="1:52" ht="15" customHeight="1" x14ac:dyDescent="0.35">
      <c r="A85" s="362" t="str" cm="1">
        <f t="array" ref="A85">IFERROR(IF(INDEX(_xlfn.ANCHORARRAY($BO$4),ROW()-5,1)="","","T-"&amp;INDEX(_xlfn.ANCHORARRAY($BO$4),ROW()-5,1)),"")</f>
        <v/>
      </c>
      <c r="B85" s="362" t="str" cm="1">
        <f t="array" ref="B85">IFERROR(IF(INDEX(_xlfn.ANCHORARRAY($BO$4),ROW()-5,1)="","",INDEX(_xlfn.ANCHORARRAY($BO$4),ROW()-5,1)),"")</f>
        <v/>
      </c>
      <c r="C85" s="362" t="str" cm="1">
        <f t="array" ref="C85">IFERROR(INDEX(_xlfn.ANCHORARRAY($BO$4),ROW()-5,5),"")</f>
        <v/>
      </c>
      <c r="D85" s="362" t="str" cm="1">
        <f t="array" ref="D85">IFERROR(INDEX(_xlfn.ANCHORARRAY($BO$4),ROW()-5,3),"")</f>
        <v/>
      </c>
      <c r="E85" s="362" t="str" cm="1">
        <f t="array" ref="E85">IFERROR(INDEX(_xlfn.ANCHORARRAY($BO$4),ROW()-5,4),"")</f>
        <v/>
      </c>
      <c r="F85" s="36" t="str" cm="1">
        <f t="array" ref="F85">IFERROR(INDEX(_xlfn.ANCHORARRAY($BO$4),ROW()-5,6),"")</f>
        <v/>
      </c>
      <c r="G85" s="362" t="str" cm="1">
        <f t="array" ref="G85">IF($F85="","",_xlfn.LET(_xlpm.ov,N(IFERROR(_xlfn.XLOOKUP($B85,Dashboard!$A$101:$A$350,Dashboard!$O$101:$O$350,0),0)),_xlpm.need,MAX(N($F85),_xlpm.ov*N($E85)*IF($C85=3,SQRT(3),1)/1000),IFERROR(INDEX(IF($C85=1,Xfmr1_kVA,Xfmr3_kVA),MATCH(TRUE,IF($C85=1,Xfmr1_kVA,Xfmr3_kVA)&gt;=_xlpm.need,0)),"OVER")))</f>
        <v/>
      </c>
      <c r="H85" s="362" t="str">
        <f t="shared" si="54"/>
        <v/>
      </c>
      <c r="I85" s="168" t="str">
        <f t="shared" si="55"/>
        <v/>
      </c>
      <c r="J85" s="362" t="str">
        <f t="shared" si="56"/>
        <v/>
      </c>
      <c r="K85" s="362" t="str">
        <f t="shared" si="57"/>
        <v/>
      </c>
      <c r="L85" s="362" t="str">
        <f t="shared" si="58"/>
        <v/>
      </c>
      <c r="M85" s="168" t="str" cm="1">
        <f t="array" ref="M85">IF($Z85&lt;&gt;"",$Z85,IFERROR(IF($AJ85="","",INDEX(OCPD_List,MATCH(TRUE,OCPD_List&gt;=1.25*$AJ85,0))),"—"))</f>
        <v/>
      </c>
      <c r="N85" s="168" t="str" cm="1">
        <f t="array" ref="N85">IF($AA85&lt;&gt;"",$AA85,IFERROR(IF($AK85="","",INDEX(OCPD_List,MATCH(TRUE,OCPD_List&gt;=1.25*$AK85,0))),"—"))</f>
        <v/>
      </c>
      <c r="O85" s="171" t="str">
        <f t="shared" si="59"/>
        <v/>
      </c>
      <c r="P85" s="171" t="str">
        <f t="shared" si="60"/>
        <v/>
      </c>
      <c r="Q85" s="78" t="str">
        <f t="shared" si="61"/>
        <v/>
      </c>
      <c r="R85" s="371"/>
      <c r="S85" s="481" t="str">
        <f t="shared" si="62"/>
        <v/>
      </c>
      <c r="T85" s="482" t="str">
        <f t="shared" si="63"/>
        <v/>
      </c>
      <c r="U85" s="482" t="str">
        <f t="shared" si="64"/>
        <v/>
      </c>
      <c r="V85" s="482" t="str">
        <f t="shared" si="65"/>
        <v/>
      </c>
      <c r="W85" s="169"/>
      <c r="X85" s="169"/>
      <c r="Y85" s="169"/>
      <c r="Z85" s="251"/>
      <c r="AA85" s="251"/>
      <c r="AB85" s="483"/>
      <c r="AC85" s="483"/>
      <c r="AD85" s="483"/>
      <c r="AE85" s="483"/>
      <c r="AF85" s="483"/>
      <c r="AG85" s="254" t="str">
        <f t="shared" si="66"/>
        <v/>
      </c>
      <c r="AH85" s="254" t="str">
        <f t="shared" si="67"/>
        <v/>
      </c>
      <c r="AI85" s="254" t="str">
        <f t="shared" si="68"/>
        <v/>
      </c>
      <c r="AJ85" s="254" t="str">
        <f t="shared" si="69"/>
        <v/>
      </c>
      <c r="AK85" s="254" t="str">
        <f t="shared" si="70"/>
        <v/>
      </c>
      <c r="AL85" s="255" t="str" cm="1">
        <f t="array" ref="AL85">IFERROR(IF(INDEX(_xlfn.ANCHORARRAY($BO$4),ROW()-5,2)="","",_xlfn.XLOOKUP(INDEX(_xlfn.ANCHORARRAY($BO$4),ROW()-5,2),'Short Circuit'!$A$6:$A$255,'Short Circuit'!$J$6:$J$255,"")),"")</f>
        <v/>
      </c>
      <c r="AM85" s="254" t="str">
        <f t="shared" si="71"/>
        <v/>
      </c>
      <c r="AN85" s="254" t="str">
        <f t="shared" si="72"/>
        <v/>
      </c>
      <c r="AO85" s="254" t="str">
        <f t="shared" si="73"/>
        <v/>
      </c>
      <c r="AP85" s="255" t="str">
        <f t="shared" si="74"/>
        <v/>
      </c>
      <c r="AQ85" s="255" t="str">
        <f t="shared" si="75"/>
        <v/>
      </c>
      <c r="AR85" s="255" t="str">
        <f t="shared" si="76"/>
        <v/>
      </c>
      <c r="AS85" s="255" t="str" cm="1">
        <f t="array" ref="AS85">IFERROR(IF($AP85="","",INDEX(AIC_List,MATCH(TRUE,AIC_List&gt;=$AP85,0))),"⚠ &gt; 200 kA")</f>
        <v/>
      </c>
      <c r="AT85" s="255" t="str">
        <f t="shared" si="77"/>
        <v/>
      </c>
      <c r="AU85" s="290" t="str" cm="1">
        <f t="array" ref="AU85">IFERROR(IF($AK85="","",INDEX(Ampacity_Size,MATCH(TRUE,Ampacity_Cu&gt;=1.25*$AK85/$AT85,0))),"—")</f>
        <v/>
      </c>
      <c r="AV85" s="290" t="str" cm="1">
        <f t="array" ref="AV85">IF($AU85="","",IFERROR(INDEX(Gec_Cu,MATCH(TRUE,Gec_CM&gt;=INDEX(Ampacity_CM,MATCH($AU85,Ampacity_Size,0))*$AT85,0)),"—"))</f>
        <v/>
      </c>
      <c r="AW85" s="290" t="str" cm="1">
        <f t="array" ref="AW85">IF($AU85="","",IFERROR(IF(INDEX(Ampacity_CM,MATCH($AU85,Ampacity_Size,0))*$AT85&gt;1100000,"12.5% of phase area",INDEX(Gec_Cu,MATCH(TRUE,Gec_CM&gt;=INDEX(Ampacity_CM,MATCH($AU85,Ampacity_Size,0))*$AT85,0))),"—"))</f>
        <v/>
      </c>
      <c r="AX85" s="533" t="str">
        <f t="shared" si="78"/>
        <v/>
      </c>
      <c r="AY85" s="533" t="str">
        <f t="shared" si="79"/>
        <v/>
      </c>
      <c r="AZ85" s="20" t="str">
        <f t="shared" si="80"/>
        <v/>
      </c>
    </row>
    <row r="86" spans="1:52" ht="15" customHeight="1" x14ac:dyDescent="0.35">
      <c r="A86" s="362" t="str" cm="1">
        <f t="array" ref="A86">IFERROR(IF(INDEX(_xlfn.ANCHORARRAY($BO$4),ROW()-5,1)="","","T-"&amp;INDEX(_xlfn.ANCHORARRAY($BO$4),ROW()-5,1)),"")</f>
        <v/>
      </c>
      <c r="B86" s="362" t="str" cm="1">
        <f t="array" ref="B86">IFERROR(IF(INDEX(_xlfn.ANCHORARRAY($BO$4),ROW()-5,1)="","",INDEX(_xlfn.ANCHORARRAY($BO$4),ROW()-5,1)),"")</f>
        <v/>
      </c>
      <c r="C86" s="362" t="str" cm="1">
        <f t="array" ref="C86">IFERROR(INDEX(_xlfn.ANCHORARRAY($BO$4),ROW()-5,5),"")</f>
        <v/>
      </c>
      <c r="D86" s="362" t="str" cm="1">
        <f t="array" ref="D86">IFERROR(INDEX(_xlfn.ANCHORARRAY($BO$4),ROW()-5,3),"")</f>
        <v/>
      </c>
      <c r="E86" s="362" t="str" cm="1">
        <f t="array" ref="E86">IFERROR(INDEX(_xlfn.ANCHORARRAY($BO$4),ROW()-5,4),"")</f>
        <v/>
      </c>
      <c r="F86" s="36" t="str" cm="1">
        <f t="array" ref="F86">IFERROR(INDEX(_xlfn.ANCHORARRAY($BO$4),ROW()-5,6),"")</f>
        <v/>
      </c>
      <c r="G86" s="362" t="str" cm="1">
        <f t="array" ref="G86">IF($F86="","",_xlfn.LET(_xlpm.ov,N(IFERROR(_xlfn.XLOOKUP($B86,Dashboard!$A$101:$A$350,Dashboard!$O$101:$O$350,0),0)),_xlpm.need,MAX(N($F86),_xlpm.ov*N($E86)*IF($C86=3,SQRT(3),1)/1000),IFERROR(INDEX(IF($C86=1,Xfmr1_kVA,Xfmr3_kVA),MATCH(TRUE,IF($C86=1,Xfmr1_kVA,Xfmr3_kVA)&gt;=_xlpm.need,0)),"OVER")))</f>
        <v/>
      </c>
      <c r="H86" s="362" t="str">
        <f t="shared" si="54"/>
        <v/>
      </c>
      <c r="I86" s="168" t="str">
        <f t="shared" si="55"/>
        <v/>
      </c>
      <c r="J86" s="362" t="str">
        <f t="shared" si="56"/>
        <v/>
      </c>
      <c r="K86" s="362" t="str">
        <f t="shared" si="57"/>
        <v/>
      </c>
      <c r="L86" s="362" t="str">
        <f t="shared" si="58"/>
        <v/>
      </c>
      <c r="M86" s="168" t="str" cm="1">
        <f t="array" ref="M86">IF($Z86&lt;&gt;"",$Z86,IFERROR(IF($AJ86="","",INDEX(OCPD_List,MATCH(TRUE,OCPD_List&gt;=1.25*$AJ86,0))),"—"))</f>
        <v/>
      </c>
      <c r="N86" s="168" t="str" cm="1">
        <f t="array" ref="N86">IF($AA86&lt;&gt;"",$AA86,IFERROR(IF($AK86="","",INDEX(OCPD_List,MATCH(TRUE,OCPD_List&gt;=1.25*$AK86,0))),"—"))</f>
        <v/>
      </c>
      <c r="O86" s="171" t="str">
        <f t="shared" si="59"/>
        <v/>
      </c>
      <c r="P86" s="171" t="str">
        <f t="shared" si="60"/>
        <v/>
      </c>
      <c r="Q86" s="78" t="str">
        <f t="shared" si="61"/>
        <v/>
      </c>
      <c r="R86" s="371"/>
      <c r="S86" s="481" t="str">
        <f t="shared" si="62"/>
        <v/>
      </c>
      <c r="T86" s="482" t="str">
        <f t="shared" si="63"/>
        <v/>
      </c>
      <c r="U86" s="482" t="str">
        <f t="shared" si="64"/>
        <v/>
      </c>
      <c r="V86" s="482" t="str">
        <f t="shared" si="65"/>
        <v/>
      </c>
      <c r="W86" s="169"/>
      <c r="X86" s="169"/>
      <c r="Y86" s="169"/>
      <c r="Z86" s="251"/>
      <c r="AA86" s="251"/>
      <c r="AB86" s="483"/>
      <c r="AC86" s="483"/>
      <c r="AD86" s="483"/>
      <c r="AE86" s="483"/>
      <c r="AF86" s="483"/>
      <c r="AG86" s="254" t="str">
        <f t="shared" si="66"/>
        <v/>
      </c>
      <c r="AH86" s="254" t="str">
        <f t="shared" si="67"/>
        <v/>
      </c>
      <c r="AI86" s="254" t="str">
        <f t="shared" si="68"/>
        <v/>
      </c>
      <c r="AJ86" s="254" t="str">
        <f t="shared" si="69"/>
        <v/>
      </c>
      <c r="AK86" s="254" t="str">
        <f t="shared" si="70"/>
        <v/>
      </c>
      <c r="AL86" s="255" t="str" cm="1">
        <f t="array" ref="AL86">IFERROR(IF(INDEX(_xlfn.ANCHORARRAY($BO$4),ROW()-5,2)="","",_xlfn.XLOOKUP(INDEX(_xlfn.ANCHORARRAY($BO$4),ROW()-5,2),'Short Circuit'!$A$6:$A$255,'Short Circuit'!$J$6:$J$255,"")),"")</f>
        <v/>
      </c>
      <c r="AM86" s="254" t="str">
        <f t="shared" si="71"/>
        <v/>
      </c>
      <c r="AN86" s="254" t="str">
        <f t="shared" si="72"/>
        <v/>
      </c>
      <c r="AO86" s="254" t="str">
        <f t="shared" si="73"/>
        <v/>
      </c>
      <c r="AP86" s="255" t="str">
        <f t="shared" si="74"/>
        <v/>
      </c>
      <c r="AQ86" s="255" t="str">
        <f t="shared" si="75"/>
        <v/>
      </c>
      <c r="AR86" s="255" t="str">
        <f t="shared" si="76"/>
        <v/>
      </c>
      <c r="AS86" s="255" t="str" cm="1">
        <f t="array" ref="AS86">IFERROR(IF($AP86="","",INDEX(AIC_List,MATCH(TRUE,AIC_List&gt;=$AP86,0))),"⚠ &gt; 200 kA")</f>
        <v/>
      </c>
      <c r="AT86" s="255" t="str">
        <f t="shared" si="77"/>
        <v/>
      </c>
      <c r="AU86" s="290" t="str" cm="1">
        <f t="array" ref="AU86">IFERROR(IF($AK86="","",INDEX(Ampacity_Size,MATCH(TRUE,Ampacity_Cu&gt;=1.25*$AK86/$AT86,0))),"—")</f>
        <v/>
      </c>
      <c r="AV86" s="290" t="str" cm="1">
        <f t="array" ref="AV86">IF($AU86="","",IFERROR(INDEX(Gec_Cu,MATCH(TRUE,Gec_CM&gt;=INDEX(Ampacity_CM,MATCH($AU86,Ampacity_Size,0))*$AT86,0)),"—"))</f>
        <v/>
      </c>
      <c r="AW86" s="290" t="str" cm="1">
        <f t="array" ref="AW86">IF($AU86="","",IFERROR(IF(INDEX(Ampacity_CM,MATCH($AU86,Ampacity_Size,0))*$AT86&gt;1100000,"12.5% of phase area",INDEX(Gec_Cu,MATCH(TRUE,Gec_CM&gt;=INDEX(Ampacity_CM,MATCH($AU86,Ampacity_Size,0))*$AT86,0))),"—"))</f>
        <v/>
      </c>
      <c r="AX86" s="533" t="str">
        <f t="shared" si="78"/>
        <v/>
      </c>
      <c r="AY86" s="533" t="str">
        <f t="shared" si="79"/>
        <v/>
      </c>
      <c r="AZ86" s="20" t="str">
        <f t="shared" si="80"/>
        <v/>
      </c>
    </row>
    <row r="87" spans="1:52" ht="15" customHeight="1" x14ac:dyDescent="0.35">
      <c r="A87" s="362" t="str" cm="1">
        <f t="array" ref="A87">IFERROR(IF(INDEX(_xlfn.ANCHORARRAY($BO$4),ROW()-5,1)="","","T-"&amp;INDEX(_xlfn.ANCHORARRAY($BO$4),ROW()-5,1)),"")</f>
        <v/>
      </c>
      <c r="B87" s="362" t="str" cm="1">
        <f t="array" ref="B87">IFERROR(IF(INDEX(_xlfn.ANCHORARRAY($BO$4),ROW()-5,1)="","",INDEX(_xlfn.ANCHORARRAY($BO$4),ROW()-5,1)),"")</f>
        <v/>
      </c>
      <c r="C87" s="362" t="str" cm="1">
        <f t="array" ref="C87">IFERROR(INDEX(_xlfn.ANCHORARRAY($BO$4),ROW()-5,5),"")</f>
        <v/>
      </c>
      <c r="D87" s="362" t="str" cm="1">
        <f t="array" ref="D87">IFERROR(INDEX(_xlfn.ANCHORARRAY($BO$4),ROW()-5,3),"")</f>
        <v/>
      </c>
      <c r="E87" s="362" t="str" cm="1">
        <f t="array" ref="E87">IFERROR(INDEX(_xlfn.ANCHORARRAY($BO$4),ROW()-5,4),"")</f>
        <v/>
      </c>
      <c r="F87" s="36" t="str" cm="1">
        <f t="array" ref="F87">IFERROR(INDEX(_xlfn.ANCHORARRAY($BO$4),ROW()-5,6),"")</f>
        <v/>
      </c>
      <c r="G87" s="362" t="str" cm="1">
        <f t="array" ref="G87">IF($F87="","",_xlfn.LET(_xlpm.ov,N(IFERROR(_xlfn.XLOOKUP($B87,Dashboard!$A$101:$A$350,Dashboard!$O$101:$O$350,0),0)),_xlpm.need,MAX(N($F87),_xlpm.ov*N($E87)*IF($C87=3,SQRT(3),1)/1000),IFERROR(INDEX(IF($C87=1,Xfmr1_kVA,Xfmr3_kVA),MATCH(TRUE,IF($C87=1,Xfmr1_kVA,Xfmr3_kVA)&gt;=_xlpm.need,0)),"OVER")))</f>
        <v/>
      </c>
      <c r="H87" s="362" t="str">
        <f t="shared" si="54"/>
        <v/>
      </c>
      <c r="I87" s="168" t="str">
        <f t="shared" si="55"/>
        <v/>
      </c>
      <c r="J87" s="362" t="str">
        <f t="shared" si="56"/>
        <v/>
      </c>
      <c r="K87" s="362" t="str">
        <f t="shared" si="57"/>
        <v/>
      </c>
      <c r="L87" s="362" t="str">
        <f t="shared" si="58"/>
        <v/>
      </c>
      <c r="M87" s="168" t="str" cm="1">
        <f t="array" ref="M87">IF($Z87&lt;&gt;"",$Z87,IFERROR(IF($AJ87="","",INDEX(OCPD_List,MATCH(TRUE,OCPD_List&gt;=1.25*$AJ87,0))),"—"))</f>
        <v/>
      </c>
      <c r="N87" s="168" t="str" cm="1">
        <f t="array" ref="N87">IF($AA87&lt;&gt;"",$AA87,IFERROR(IF($AK87="","",INDEX(OCPD_List,MATCH(TRUE,OCPD_List&gt;=1.25*$AK87,0))),"—"))</f>
        <v/>
      </c>
      <c r="O87" s="171" t="str">
        <f t="shared" si="59"/>
        <v/>
      </c>
      <c r="P87" s="171" t="str">
        <f t="shared" si="60"/>
        <v/>
      </c>
      <c r="Q87" s="78" t="str">
        <f t="shared" si="61"/>
        <v/>
      </c>
      <c r="R87" s="371"/>
      <c r="S87" s="481" t="str">
        <f t="shared" si="62"/>
        <v/>
      </c>
      <c r="T87" s="482" t="str">
        <f t="shared" si="63"/>
        <v/>
      </c>
      <c r="U87" s="482" t="str">
        <f t="shared" si="64"/>
        <v/>
      </c>
      <c r="V87" s="482" t="str">
        <f t="shared" si="65"/>
        <v/>
      </c>
      <c r="W87" s="169"/>
      <c r="X87" s="169"/>
      <c r="Y87" s="169"/>
      <c r="Z87" s="251"/>
      <c r="AA87" s="251"/>
      <c r="AB87" s="483"/>
      <c r="AC87" s="483"/>
      <c r="AD87" s="483"/>
      <c r="AE87" s="483"/>
      <c r="AF87" s="483"/>
      <c r="AG87" s="254" t="str">
        <f t="shared" si="66"/>
        <v/>
      </c>
      <c r="AH87" s="254" t="str">
        <f t="shared" si="67"/>
        <v/>
      </c>
      <c r="AI87" s="254" t="str">
        <f t="shared" si="68"/>
        <v/>
      </c>
      <c r="AJ87" s="254" t="str">
        <f t="shared" si="69"/>
        <v/>
      </c>
      <c r="AK87" s="254" t="str">
        <f t="shared" si="70"/>
        <v/>
      </c>
      <c r="AL87" s="255" t="str" cm="1">
        <f t="array" ref="AL87">IFERROR(IF(INDEX(_xlfn.ANCHORARRAY($BO$4),ROW()-5,2)="","",_xlfn.XLOOKUP(INDEX(_xlfn.ANCHORARRAY($BO$4),ROW()-5,2),'Short Circuit'!$A$6:$A$255,'Short Circuit'!$J$6:$J$255,"")),"")</f>
        <v/>
      </c>
      <c r="AM87" s="254" t="str">
        <f t="shared" si="71"/>
        <v/>
      </c>
      <c r="AN87" s="254" t="str">
        <f t="shared" si="72"/>
        <v/>
      </c>
      <c r="AO87" s="254" t="str">
        <f t="shared" si="73"/>
        <v/>
      </c>
      <c r="AP87" s="255" t="str">
        <f t="shared" si="74"/>
        <v/>
      </c>
      <c r="AQ87" s="255" t="str">
        <f t="shared" si="75"/>
        <v/>
      </c>
      <c r="AR87" s="255" t="str">
        <f t="shared" si="76"/>
        <v/>
      </c>
      <c r="AS87" s="255" t="str" cm="1">
        <f t="array" ref="AS87">IFERROR(IF($AP87="","",INDEX(AIC_List,MATCH(TRUE,AIC_List&gt;=$AP87,0))),"⚠ &gt; 200 kA")</f>
        <v/>
      </c>
      <c r="AT87" s="255" t="str">
        <f t="shared" si="77"/>
        <v/>
      </c>
      <c r="AU87" s="290" t="str" cm="1">
        <f t="array" ref="AU87">IFERROR(IF($AK87="","",INDEX(Ampacity_Size,MATCH(TRUE,Ampacity_Cu&gt;=1.25*$AK87/$AT87,0))),"—")</f>
        <v/>
      </c>
      <c r="AV87" s="290" t="str" cm="1">
        <f t="array" ref="AV87">IF($AU87="","",IFERROR(INDEX(Gec_Cu,MATCH(TRUE,Gec_CM&gt;=INDEX(Ampacity_CM,MATCH($AU87,Ampacity_Size,0))*$AT87,0)),"—"))</f>
        <v/>
      </c>
      <c r="AW87" s="290" t="str" cm="1">
        <f t="array" ref="AW87">IF($AU87="","",IFERROR(IF(INDEX(Ampacity_CM,MATCH($AU87,Ampacity_Size,0))*$AT87&gt;1100000,"12.5% of phase area",INDEX(Gec_Cu,MATCH(TRUE,Gec_CM&gt;=INDEX(Ampacity_CM,MATCH($AU87,Ampacity_Size,0))*$AT87,0))),"—"))</f>
        <v/>
      </c>
      <c r="AX87" s="533" t="str">
        <f t="shared" si="78"/>
        <v/>
      </c>
      <c r="AY87" s="533" t="str">
        <f t="shared" si="79"/>
        <v/>
      </c>
      <c r="AZ87" s="20" t="str">
        <f t="shared" si="80"/>
        <v/>
      </c>
    </row>
    <row r="88" spans="1:52" ht="15" customHeight="1" x14ac:dyDescent="0.35">
      <c r="A88" s="362" t="str" cm="1">
        <f t="array" ref="A88">IFERROR(IF(INDEX(_xlfn.ANCHORARRAY($BO$4),ROW()-5,1)="","","T-"&amp;INDEX(_xlfn.ANCHORARRAY($BO$4),ROW()-5,1)),"")</f>
        <v/>
      </c>
      <c r="B88" s="362" t="str" cm="1">
        <f t="array" ref="B88">IFERROR(IF(INDEX(_xlfn.ANCHORARRAY($BO$4),ROW()-5,1)="","",INDEX(_xlfn.ANCHORARRAY($BO$4),ROW()-5,1)),"")</f>
        <v/>
      </c>
      <c r="C88" s="362" t="str" cm="1">
        <f t="array" ref="C88">IFERROR(INDEX(_xlfn.ANCHORARRAY($BO$4),ROW()-5,5),"")</f>
        <v/>
      </c>
      <c r="D88" s="362" t="str" cm="1">
        <f t="array" ref="D88">IFERROR(INDEX(_xlfn.ANCHORARRAY($BO$4),ROW()-5,3),"")</f>
        <v/>
      </c>
      <c r="E88" s="362" t="str" cm="1">
        <f t="array" ref="E88">IFERROR(INDEX(_xlfn.ANCHORARRAY($BO$4),ROW()-5,4),"")</f>
        <v/>
      </c>
      <c r="F88" s="36" t="str" cm="1">
        <f t="array" ref="F88">IFERROR(INDEX(_xlfn.ANCHORARRAY($BO$4),ROW()-5,6),"")</f>
        <v/>
      </c>
      <c r="G88" s="362" t="str" cm="1">
        <f t="array" ref="G88">IF($F88="","",_xlfn.LET(_xlpm.ov,N(IFERROR(_xlfn.XLOOKUP($B88,Dashboard!$A$101:$A$350,Dashboard!$O$101:$O$350,0),0)),_xlpm.need,MAX(N($F88),_xlpm.ov*N($E88)*IF($C88=3,SQRT(3),1)/1000),IFERROR(INDEX(IF($C88=1,Xfmr1_kVA,Xfmr3_kVA),MATCH(TRUE,IF($C88=1,Xfmr1_kVA,Xfmr3_kVA)&gt;=_xlpm.need,0)),"OVER")))</f>
        <v/>
      </c>
      <c r="H88" s="362" t="str">
        <f t="shared" si="54"/>
        <v/>
      </c>
      <c r="I88" s="168" t="str">
        <f t="shared" si="55"/>
        <v/>
      </c>
      <c r="J88" s="362" t="str">
        <f t="shared" si="56"/>
        <v/>
      </c>
      <c r="K88" s="362" t="str">
        <f t="shared" si="57"/>
        <v/>
      </c>
      <c r="L88" s="362" t="str">
        <f t="shared" si="58"/>
        <v/>
      </c>
      <c r="M88" s="168" t="str" cm="1">
        <f t="array" ref="M88">IF($Z88&lt;&gt;"",$Z88,IFERROR(IF($AJ88="","",INDEX(OCPD_List,MATCH(TRUE,OCPD_List&gt;=1.25*$AJ88,0))),"—"))</f>
        <v/>
      </c>
      <c r="N88" s="168" t="str" cm="1">
        <f t="array" ref="N88">IF($AA88&lt;&gt;"",$AA88,IFERROR(IF($AK88="","",INDEX(OCPD_List,MATCH(TRUE,OCPD_List&gt;=1.25*$AK88,0))),"—"))</f>
        <v/>
      </c>
      <c r="O88" s="171" t="str">
        <f t="shared" si="59"/>
        <v/>
      </c>
      <c r="P88" s="171" t="str">
        <f t="shared" si="60"/>
        <v/>
      </c>
      <c r="Q88" s="78" t="str">
        <f t="shared" si="61"/>
        <v/>
      </c>
      <c r="R88" s="371"/>
      <c r="S88" s="481" t="str">
        <f t="shared" si="62"/>
        <v/>
      </c>
      <c r="T88" s="482" t="str">
        <f t="shared" si="63"/>
        <v/>
      </c>
      <c r="U88" s="482" t="str">
        <f t="shared" si="64"/>
        <v/>
      </c>
      <c r="V88" s="482" t="str">
        <f t="shared" si="65"/>
        <v/>
      </c>
      <c r="W88" s="169"/>
      <c r="X88" s="169"/>
      <c r="Y88" s="169"/>
      <c r="Z88" s="251"/>
      <c r="AA88" s="251"/>
      <c r="AB88" s="483"/>
      <c r="AC88" s="483"/>
      <c r="AD88" s="483"/>
      <c r="AE88" s="483"/>
      <c r="AF88" s="483"/>
      <c r="AG88" s="254" t="str">
        <f t="shared" si="66"/>
        <v/>
      </c>
      <c r="AH88" s="254" t="str">
        <f t="shared" si="67"/>
        <v/>
      </c>
      <c r="AI88" s="254" t="str">
        <f t="shared" si="68"/>
        <v/>
      </c>
      <c r="AJ88" s="254" t="str">
        <f t="shared" si="69"/>
        <v/>
      </c>
      <c r="AK88" s="254" t="str">
        <f t="shared" si="70"/>
        <v/>
      </c>
      <c r="AL88" s="255" t="str" cm="1">
        <f t="array" ref="AL88">IFERROR(IF(INDEX(_xlfn.ANCHORARRAY($BO$4),ROW()-5,2)="","",_xlfn.XLOOKUP(INDEX(_xlfn.ANCHORARRAY($BO$4),ROW()-5,2),'Short Circuit'!$A$6:$A$255,'Short Circuit'!$J$6:$J$255,"")),"")</f>
        <v/>
      </c>
      <c r="AM88" s="254" t="str">
        <f t="shared" si="71"/>
        <v/>
      </c>
      <c r="AN88" s="254" t="str">
        <f t="shared" si="72"/>
        <v/>
      </c>
      <c r="AO88" s="254" t="str">
        <f t="shared" si="73"/>
        <v/>
      </c>
      <c r="AP88" s="255" t="str">
        <f t="shared" si="74"/>
        <v/>
      </c>
      <c r="AQ88" s="255" t="str">
        <f t="shared" si="75"/>
        <v/>
      </c>
      <c r="AR88" s="255" t="str">
        <f t="shared" si="76"/>
        <v/>
      </c>
      <c r="AS88" s="255" t="str" cm="1">
        <f t="array" ref="AS88">IFERROR(IF($AP88="","",INDEX(AIC_List,MATCH(TRUE,AIC_List&gt;=$AP88,0))),"⚠ &gt; 200 kA")</f>
        <v/>
      </c>
      <c r="AT88" s="255" t="str">
        <f t="shared" si="77"/>
        <v/>
      </c>
      <c r="AU88" s="290" t="str" cm="1">
        <f t="array" ref="AU88">IFERROR(IF($AK88="","",INDEX(Ampacity_Size,MATCH(TRUE,Ampacity_Cu&gt;=1.25*$AK88/$AT88,0))),"—")</f>
        <v/>
      </c>
      <c r="AV88" s="290" t="str" cm="1">
        <f t="array" ref="AV88">IF($AU88="","",IFERROR(INDEX(Gec_Cu,MATCH(TRUE,Gec_CM&gt;=INDEX(Ampacity_CM,MATCH($AU88,Ampacity_Size,0))*$AT88,0)),"—"))</f>
        <v/>
      </c>
      <c r="AW88" s="290" t="str" cm="1">
        <f t="array" ref="AW88">IF($AU88="","",IFERROR(IF(INDEX(Ampacity_CM,MATCH($AU88,Ampacity_Size,0))*$AT88&gt;1100000,"12.5% of phase area",INDEX(Gec_Cu,MATCH(TRUE,Gec_CM&gt;=INDEX(Ampacity_CM,MATCH($AU88,Ampacity_Size,0))*$AT88,0))),"—"))</f>
        <v/>
      </c>
      <c r="AX88" s="533" t="str">
        <f t="shared" si="78"/>
        <v/>
      </c>
      <c r="AY88" s="533" t="str">
        <f t="shared" si="79"/>
        <v/>
      </c>
      <c r="AZ88" s="20" t="str">
        <f t="shared" si="80"/>
        <v/>
      </c>
    </row>
    <row r="89" spans="1:52" ht="15" customHeight="1" x14ac:dyDescent="0.35">
      <c r="A89" s="362" t="str" cm="1">
        <f t="array" ref="A89">IFERROR(IF(INDEX(_xlfn.ANCHORARRAY($BO$4),ROW()-5,1)="","","T-"&amp;INDEX(_xlfn.ANCHORARRAY($BO$4),ROW()-5,1)),"")</f>
        <v/>
      </c>
      <c r="B89" s="362" t="str" cm="1">
        <f t="array" ref="B89">IFERROR(IF(INDEX(_xlfn.ANCHORARRAY($BO$4),ROW()-5,1)="","",INDEX(_xlfn.ANCHORARRAY($BO$4),ROW()-5,1)),"")</f>
        <v/>
      </c>
      <c r="C89" s="362" t="str" cm="1">
        <f t="array" ref="C89">IFERROR(INDEX(_xlfn.ANCHORARRAY($BO$4),ROW()-5,5),"")</f>
        <v/>
      </c>
      <c r="D89" s="362" t="str" cm="1">
        <f t="array" ref="D89">IFERROR(INDEX(_xlfn.ANCHORARRAY($BO$4),ROW()-5,3),"")</f>
        <v/>
      </c>
      <c r="E89" s="362" t="str" cm="1">
        <f t="array" ref="E89">IFERROR(INDEX(_xlfn.ANCHORARRAY($BO$4),ROW()-5,4),"")</f>
        <v/>
      </c>
      <c r="F89" s="36" t="str" cm="1">
        <f t="array" ref="F89">IFERROR(INDEX(_xlfn.ANCHORARRAY($BO$4),ROW()-5,6),"")</f>
        <v/>
      </c>
      <c r="G89" s="362" t="str" cm="1">
        <f t="array" ref="G89">IF($F89="","",_xlfn.LET(_xlpm.ov,N(IFERROR(_xlfn.XLOOKUP($B89,Dashboard!$A$101:$A$350,Dashboard!$O$101:$O$350,0),0)),_xlpm.need,MAX(N($F89),_xlpm.ov*N($E89)*IF($C89=3,SQRT(3),1)/1000),IFERROR(INDEX(IF($C89=1,Xfmr1_kVA,Xfmr3_kVA),MATCH(TRUE,IF($C89=1,Xfmr1_kVA,Xfmr3_kVA)&gt;=_xlpm.need,0)),"OVER")))</f>
        <v/>
      </c>
      <c r="H89" s="362" t="str">
        <f t="shared" si="54"/>
        <v/>
      </c>
      <c r="I89" s="168" t="str">
        <f t="shared" si="55"/>
        <v/>
      </c>
      <c r="J89" s="362" t="str">
        <f t="shared" si="56"/>
        <v/>
      </c>
      <c r="K89" s="362" t="str">
        <f t="shared" si="57"/>
        <v/>
      </c>
      <c r="L89" s="362" t="str">
        <f t="shared" si="58"/>
        <v/>
      </c>
      <c r="M89" s="168" t="str" cm="1">
        <f t="array" ref="M89">IF($Z89&lt;&gt;"",$Z89,IFERROR(IF($AJ89="","",INDEX(OCPD_List,MATCH(TRUE,OCPD_List&gt;=1.25*$AJ89,0))),"—"))</f>
        <v/>
      </c>
      <c r="N89" s="168" t="str" cm="1">
        <f t="array" ref="N89">IF($AA89&lt;&gt;"",$AA89,IFERROR(IF($AK89="","",INDEX(OCPD_List,MATCH(TRUE,OCPD_List&gt;=1.25*$AK89,0))),"—"))</f>
        <v/>
      </c>
      <c r="O89" s="171" t="str">
        <f t="shared" si="59"/>
        <v/>
      </c>
      <c r="P89" s="171" t="str">
        <f t="shared" si="60"/>
        <v/>
      </c>
      <c r="Q89" s="78" t="str">
        <f t="shared" si="61"/>
        <v/>
      </c>
      <c r="R89" s="371"/>
      <c r="S89" s="481" t="str">
        <f t="shared" si="62"/>
        <v/>
      </c>
      <c r="T89" s="482" t="str">
        <f t="shared" si="63"/>
        <v/>
      </c>
      <c r="U89" s="482" t="str">
        <f t="shared" si="64"/>
        <v/>
      </c>
      <c r="V89" s="482" t="str">
        <f t="shared" si="65"/>
        <v/>
      </c>
      <c r="W89" s="169"/>
      <c r="X89" s="169"/>
      <c r="Y89" s="169"/>
      <c r="Z89" s="251"/>
      <c r="AA89" s="251"/>
      <c r="AB89" s="483"/>
      <c r="AC89" s="483"/>
      <c r="AD89" s="483"/>
      <c r="AE89" s="483"/>
      <c r="AF89" s="483"/>
      <c r="AG89" s="254" t="str">
        <f t="shared" si="66"/>
        <v/>
      </c>
      <c r="AH89" s="254" t="str">
        <f t="shared" si="67"/>
        <v/>
      </c>
      <c r="AI89" s="254" t="str">
        <f t="shared" si="68"/>
        <v/>
      </c>
      <c r="AJ89" s="254" t="str">
        <f t="shared" si="69"/>
        <v/>
      </c>
      <c r="AK89" s="254" t="str">
        <f t="shared" si="70"/>
        <v/>
      </c>
      <c r="AL89" s="255" t="str" cm="1">
        <f t="array" ref="AL89">IFERROR(IF(INDEX(_xlfn.ANCHORARRAY($BO$4),ROW()-5,2)="","",_xlfn.XLOOKUP(INDEX(_xlfn.ANCHORARRAY($BO$4),ROW()-5,2),'Short Circuit'!$A$6:$A$255,'Short Circuit'!$J$6:$J$255,"")),"")</f>
        <v/>
      </c>
      <c r="AM89" s="254" t="str">
        <f t="shared" si="71"/>
        <v/>
      </c>
      <c r="AN89" s="254" t="str">
        <f t="shared" si="72"/>
        <v/>
      </c>
      <c r="AO89" s="254" t="str">
        <f t="shared" si="73"/>
        <v/>
      </c>
      <c r="AP89" s="255" t="str">
        <f t="shared" si="74"/>
        <v/>
      </c>
      <c r="AQ89" s="255" t="str">
        <f t="shared" si="75"/>
        <v/>
      </c>
      <c r="AR89" s="255" t="str">
        <f t="shared" si="76"/>
        <v/>
      </c>
      <c r="AS89" s="255" t="str" cm="1">
        <f t="array" ref="AS89">IFERROR(IF($AP89="","",INDEX(AIC_List,MATCH(TRUE,AIC_List&gt;=$AP89,0))),"⚠ &gt; 200 kA")</f>
        <v/>
      </c>
      <c r="AT89" s="255" t="str">
        <f t="shared" si="77"/>
        <v/>
      </c>
      <c r="AU89" s="290" t="str" cm="1">
        <f t="array" ref="AU89">IFERROR(IF($AK89="","",INDEX(Ampacity_Size,MATCH(TRUE,Ampacity_Cu&gt;=1.25*$AK89/$AT89,0))),"—")</f>
        <v/>
      </c>
      <c r="AV89" s="290" t="str" cm="1">
        <f t="array" ref="AV89">IF($AU89="","",IFERROR(INDEX(Gec_Cu,MATCH(TRUE,Gec_CM&gt;=INDEX(Ampacity_CM,MATCH($AU89,Ampacity_Size,0))*$AT89,0)),"—"))</f>
        <v/>
      </c>
      <c r="AW89" s="290" t="str" cm="1">
        <f t="array" ref="AW89">IF($AU89="","",IFERROR(IF(INDEX(Ampacity_CM,MATCH($AU89,Ampacity_Size,0))*$AT89&gt;1100000,"12.5% of phase area",INDEX(Gec_Cu,MATCH(TRUE,Gec_CM&gt;=INDEX(Ampacity_CM,MATCH($AU89,Ampacity_Size,0))*$AT89,0))),"—"))</f>
        <v/>
      </c>
      <c r="AX89" s="533" t="str">
        <f t="shared" si="78"/>
        <v/>
      </c>
      <c r="AY89" s="533" t="str">
        <f t="shared" si="79"/>
        <v/>
      </c>
      <c r="AZ89" s="20" t="str">
        <f t="shared" si="80"/>
        <v/>
      </c>
    </row>
    <row r="90" spans="1:52" ht="15" customHeight="1" x14ac:dyDescent="0.35">
      <c r="A90" s="362" t="str" cm="1">
        <f t="array" ref="A90">IFERROR(IF(INDEX(_xlfn.ANCHORARRAY($BO$4),ROW()-5,1)="","","T-"&amp;INDEX(_xlfn.ANCHORARRAY($BO$4),ROW()-5,1)),"")</f>
        <v/>
      </c>
      <c r="B90" s="362" t="str" cm="1">
        <f t="array" ref="B90">IFERROR(IF(INDEX(_xlfn.ANCHORARRAY($BO$4),ROW()-5,1)="","",INDEX(_xlfn.ANCHORARRAY($BO$4),ROW()-5,1)),"")</f>
        <v/>
      </c>
      <c r="C90" s="362" t="str" cm="1">
        <f t="array" ref="C90">IFERROR(INDEX(_xlfn.ANCHORARRAY($BO$4),ROW()-5,5),"")</f>
        <v/>
      </c>
      <c r="D90" s="362" t="str" cm="1">
        <f t="array" ref="D90">IFERROR(INDEX(_xlfn.ANCHORARRAY($BO$4),ROW()-5,3),"")</f>
        <v/>
      </c>
      <c r="E90" s="362" t="str" cm="1">
        <f t="array" ref="E90">IFERROR(INDEX(_xlfn.ANCHORARRAY($BO$4),ROW()-5,4),"")</f>
        <v/>
      </c>
      <c r="F90" s="36" t="str" cm="1">
        <f t="array" ref="F90">IFERROR(INDEX(_xlfn.ANCHORARRAY($BO$4),ROW()-5,6),"")</f>
        <v/>
      </c>
      <c r="G90" s="362" t="str" cm="1">
        <f t="array" ref="G90">IF($F90="","",_xlfn.LET(_xlpm.ov,N(IFERROR(_xlfn.XLOOKUP($B90,Dashboard!$A$101:$A$350,Dashboard!$O$101:$O$350,0),0)),_xlpm.need,MAX(N($F90),_xlpm.ov*N($E90)*IF($C90=3,SQRT(3),1)/1000),IFERROR(INDEX(IF($C90=1,Xfmr1_kVA,Xfmr3_kVA),MATCH(TRUE,IF($C90=1,Xfmr1_kVA,Xfmr3_kVA)&gt;=_xlpm.need,0)),"OVER")))</f>
        <v/>
      </c>
      <c r="H90" s="362" t="str">
        <f t="shared" si="54"/>
        <v/>
      </c>
      <c r="I90" s="168" t="str">
        <f t="shared" si="55"/>
        <v/>
      </c>
      <c r="J90" s="362" t="str">
        <f t="shared" si="56"/>
        <v/>
      </c>
      <c r="K90" s="362" t="str">
        <f t="shared" si="57"/>
        <v/>
      </c>
      <c r="L90" s="362" t="str">
        <f t="shared" si="58"/>
        <v/>
      </c>
      <c r="M90" s="168" t="str" cm="1">
        <f t="array" ref="M90">IF($Z90&lt;&gt;"",$Z90,IFERROR(IF($AJ90="","",INDEX(OCPD_List,MATCH(TRUE,OCPD_List&gt;=1.25*$AJ90,0))),"—"))</f>
        <v/>
      </c>
      <c r="N90" s="168" t="str" cm="1">
        <f t="array" ref="N90">IF($AA90&lt;&gt;"",$AA90,IFERROR(IF($AK90="","",INDEX(OCPD_List,MATCH(TRUE,OCPD_List&gt;=1.25*$AK90,0))),"—"))</f>
        <v/>
      </c>
      <c r="O90" s="171" t="str">
        <f t="shared" si="59"/>
        <v/>
      </c>
      <c r="P90" s="171" t="str">
        <f t="shared" si="60"/>
        <v/>
      </c>
      <c r="Q90" s="78" t="str">
        <f t="shared" si="61"/>
        <v/>
      </c>
      <c r="R90" s="371"/>
      <c r="S90" s="481" t="str">
        <f t="shared" si="62"/>
        <v/>
      </c>
      <c r="T90" s="482" t="str">
        <f t="shared" si="63"/>
        <v/>
      </c>
      <c r="U90" s="482" t="str">
        <f t="shared" si="64"/>
        <v/>
      </c>
      <c r="V90" s="482" t="str">
        <f t="shared" si="65"/>
        <v/>
      </c>
      <c r="W90" s="169"/>
      <c r="X90" s="169"/>
      <c r="Y90" s="169"/>
      <c r="Z90" s="251"/>
      <c r="AA90" s="251"/>
      <c r="AB90" s="483"/>
      <c r="AC90" s="483"/>
      <c r="AD90" s="483"/>
      <c r="AE90" s="483"/>
      <c r="AF90" s="483"/>
      <c r="AG90" s="254" t="str">
        <f t="shared" si="66"/>
        <v/>
      </c>
      <c r="AH90" s="254" t="str">
        <f t="shared" si="67"/>
        <v/>
      </c>
      <c r="AI90" s="254" t="str">
        <f t="shared" si="68"/>
        <v/>
      </c>
      <c r="AJ90" s="254" t="str">
        <f t="shared" si="69"/>
        <v/>
      </c>
      <c r="AK90" s="254" t="str">
        <f t="shared" si="70"/>
        <v/>
      </c>
      <c r="AL90" s="255" t="str" cm="1">
        <f t="array" ref="AL90">IFERROR(IF(INDEX(_xlfn.ANCHORARRAY($BO$4),ROW()-5,2)="","",_xlfn.XLOOKUP(INDEX(_xlfn.ANCHORARRAY($BO$4),ROW()-5,2),'Short Circuit'!$A$6:$A$255,'Short Circuit'!$J$6:$J$255,"")),"")</f>
        <v/>
      </c>
      <c r="AM90" s="254" t="str">
        <f t="shared" si="71"/>
        <v/>
      </c>
      <c r="AN90" s="254" t="str">
        <f t="shared" si="72"/>
        <v/>
      </c>
      <c r="AO90" s="254" t="str">
        <f t="shared" si="73"/>
        <v/>
      </c>
      <c r="AP90" s="255" t="str">
        <f t="shared" si="74"/>
        <v/>
      </c>
      <c r="AQ90" s="255" t="str">
        <f t="shared" si="75"/>
        <v/>
      </c>
      <c r="AR90" s="255" t="str">
        <f t="shared" si="76"/>
        <v/>
      </c>
      <c r="AS90" s="255" t="str" cm="1">
        <f t="array" ref="AS90">IFERROR(IF($AP90="","",INDEX(AIC_List,MATCH(TRUE,AIC_List&gt;=$AP90,0))),"⚠ &gt; 200 kA")</f>
        <v/>
      </c>
      <c r="AT90" s="255" t="str">
        <f t="shared" si="77"/>
        <v/>
      </c>
      <c r="AU90" s="290" t="str" cm="1">
        <f t="array" ref="AU90">IFERROR(IF($AK90="","",INDEX(Ampacity_Size,MATCH(TRUE,Ampacity_Cu&gt;=1.25*$AK90/$AT90,0))),"—")</f>
        <v/>
      </c>
      <c r="AV90" s="290" t="str" cm="1">
        <f t="array" ref="AV90">IF($AU90="","",IFERROR(INDEX(Gec_Cu,MATCH(TRUE,Gec_CM&gt;=INDEX(Ampacity_CM,MATCH($AU90,Ampacity_Size,0))*$AT90,0)),"—"))</f>
        <v/>
      </c>
      <c r="AW90" s="290" t="str" cm="1">
        <f t="array" ref="AW90">IF($AU90="","",IFERROR(IF(INDEX(Ampacity_CM,MATCH($AU90,Ampacity_Size,0))*$AT90&gt;1100000,"12.5% of phase area",INDEX(Gec_Cu,MATCH(TRUE,Gec_CM&gt;=INDEX(Ampacity_CM,MATCH($AU90,Ampacity_Size,0))*$AT90,0))),"—"))</f>
        <v/>
      </c>
      <c r="AX90" s="533" t="str">
        <f t="shared" si="78"/>
        <v/>
      </c>
      <c r="AY90" s="533" t="str">
        <f t="shared" si="79"/>
        <v/>
      </c>
      <c r="AZ90" s="20" t="str">
        <f t="shared" si="80"/>
        <v/>
      </c>
    </row>
    <row r="91" spans="1:52" ht="15" customHeight="1" x14ac:dyDescent="0.35">
      <c r="A91" s="362" t="str" cm="1">
        <f t="array" ref="A91">IFERROR(IF(INDEX(_xlfn.ANCHORARRAY($BO$4),ROW()-5,1)="","","T-"&amp;INDEX(_xlfn.ANCHORARRAY($BO$4),ROW()-5,1)),"")</f>
        <v/>
      </c>
      <c r="B91" s="362" t="str" cm="1">
        <f t="array" ref="B91">IFERROR(IF(INDEX(_xlfn.ANCHORARRAY($BO$4),ROW()-5,1)="","",INDEX(_xlfn.ANCHORARRAY($BO$4),ROW()-5,1)),"")</f>
        <v/>
      </c>
      <c r="C91" s="362" t="str" cm="1">
        <f t="array" ref="C91">IFERROR(INDEX(_xlfn.ANCHORARRAY($BO$4),ROW()-5,5),"")</f>
        <v/>
      </c>
      <c r="D91" s="362" t="str" cm="1">
        <f t="array" ref="D91">IFERROR(INDEX(_xlfn.ANCHORARRAY($BO$4),ROW()-5,3),"")</f>
        <v/>
      </c>
      <c r="E91" s="362" t="str" cm="1">
        <f t="array" ref="E91">IFERROR(INDEX(_xlfn.ANCHORARRAY($BO$4),ROW()-5,4),"")</f>
        <v/>
      </c>
      <c r="F91" s="36" t="str" cm="1">
        <f t="array" ref="F91">IFERROR(INDEX(_xlfn.ANCHORARRAY($BO$4),ROW()-5,6),"")</f>
        <v/>
      </c>
      <c r="G91" s="362" t="str" cm="1">
        <f t="array" ref="G91">IF($F91="","",_xlfn.LET(_xlpm.ov,N(IFERROR(_xlfn.XLOOKUP($B91,Dashboard!$A$101:$A$350,Dashboard!$O$101:$O$350,0),0)),_xlpm.need,MAX(N($F91),_xlpm.ov*N($E91)*IF($C91=3,SQRT(3),1)/1000),IFERROR(INDEX(IF($C91=1,Xfmr1_kVA,Xfmr3_kVA),MATCH(TRUE,IF($C91=1,Xfmr1_kVA,Xfmr3_kVA)&gt;=_xlpm.need,0)),"OVER")))</f>
        <v/>
      </c>
      <c r="H91" s="362" t="str">
        <f t="shared" si="54"/>
        <v/>
      </c>
      <c r="I91" s="168" t="str">
        <f t="shared" si="55"/>
        <v/>
      </c>
      <c r="J91" s="362" t="str">
        <f t="shared" si="56"/>
        <v/>
      </c>
      <c r="K91" s="362" t="str">
        <f t="shared" si="57"/>
        <v/>
      </c>
      <c r="L91" s="362" t="str">
        <f t="shared" si="58"/>
        <v/>
      </c>
      <c r="M91" s="168" t="str" cm="1">
        <f t="array" ref="M91">IF($Z91&lt;&gt;"",$Z91,IFERROR(IF($AJ91="","",INDEX(OCPD_List,MATCH(TRUE,OCPD_List&gt;=1.25*$AJ91,0))),"—"))</f>
        <v/>
      </c>
      <c r="N91" s="168" t="str" cm="1">
        <f t="array" ref="N91">IF($AA91&lt;&gt;"",$AA91,IFERROR(IF($AK91="","",INDEX(OCPD_List,MATCH(TRUE,OCPD_List&gt;=1.25*$AK91,0))),"—"))</f>
        <v/>
      </c>
      <c r="O91" s="171" t="str">
        <f t="shared" si="59"/>
        <v/>
      </c>
      <c r="P91" s="171" t="str">
        <f t="shared" si="60"/>
        <v/>
      </c>
      <c r="Q91" s="78" t="str">
        <f t="shared" si="61"/>
        <v/>
      </c>
      <c r="R91" s="371"/>
      <c r="S91" s="481" t="str">
        <f t="shared" si="62"/>
        <v/>
      </c>
      <c r="T91" s="482" t="str">
        <f t="shared" si="63"/>
        <v/>
      </c>
      <c r="U91" s="482" t="str">
        <f t="shared" si="64"/>
        <v/>
      </c>
      <c r="V91" s="482" t="str">
        <f t="shared" si="65"/>
        <v/>
      </c>
      <c r="W91" s="169"/>
      <c r="X91" s="169"/>
      <c r="Y91" s="169"/>
      <c r="Z91" s="251"/>
      <c r="AA91" s="251"/>
      <c r="AB91" s="483"/>
      <c r="AC91" s="483"/>
      <c r="AD91" s="483"/>
      <c r="AE91" s="483"/>
      <c r="AF91" s="483"/>
      <c r="AG91" s="254" t="str">
        <f t="shared" si="66"/>
        <v/>
      </c>
      <c r="AH91" s="254" t="str">
        <f t="shared" si="67"/>
        <v/>
      </c>
      <c r="AI91" s="254" t="str">
        <f t="shared" si="68"/>
        <v/>
      </c>
      <c r="AJ91" s="254" t="str">
        <f t="shared" si="69"/>
        <v/>
      </c>
      <c r="AK91" s="254" t="str">
        <f t="shared" si="70"/>
        <v/>
      </c>
      <c r="AL91" s="255" t="str" cm="1">
        <f t="array" ref="AL91">IFERROR(IF(INDEX(_xlfn.ANCHORARRAY($BO$4),ROW()-5,2)="","",_xlfn.XLOOKUP(INDEX(_xlfn.ANCHORARRAY($BO$4),ROW()-5,2),'Short Circuit'!$A$6:$A$255,'Short Circuit'!$J$6:$J$255,"")),"")</f>
        <v/>
      </c>
      <c r="AM91" s="254" t="str">
        <f t="shared" si="71"/>
        <v/>
      </c>
      <c r="AN91" s="254" t="str">
        <f t="shared" si="72"/>
        <v/>
      </c>
      <c r="AO91" s="254" t="str">
        <f t="shared" si="73"/>
        <v/>
      </c>
      <c r="AP91" s="255" t="str">
        <f t="shared" si="74"/>
        <v/>
      </c>
      <c r="AQ91" s="255" t="str">
        <f t="shared" si="75"/>
        <v/>
      </c>
      <c r="AR91" s="255" t="str">
        <f t="shared" si="76"/>
        <v/>
      </c>
      <c r="AS91" s="255" t="str" cm="1">
        <f t="array" ref="AS91">IFERROR(IF($AP91="","",INDEX(AIC_List,MATCH(TRUE,AIC_List&gt;=$AP91,0))),"⚠ &gt; 200 kA")</f>
        <v/>
      </c>
      <c r="AT91" s="255" t="str">
        <f t="shared" si="77"/>
        <v/>
      </c>
      <c r="AU91" s="290" t="str" cm="1">
        <f t="array" ref="AU91">IFERROR(IF($AK91="","",INDEX(Ampacity_Size,MATCH(TRUE,Ampacity_Cu&gt;=1.25*$AK91/$AT91,0))),"—")</f>
        <v/>
      </c>
      <c r="AV91" s="290" t="str" cm="1">
        <f t="array" ref="AV91">IF($AU91="","",IFERROR(INDEX(Gec_Cu,MATCH(TRUE,Gec_CM&gt;=INDEX(Ampacity_CM,MATCH($AU91,Ampacity_Size,0))*$AT91,0)),"—"))</f>
        <v/>
      </c>
      <c r="AW91" s="290" t="str" cm="1">
        <f t="array" ref="AW91">IF($AU91="","",IFERROR(IF(INDEX(Ampacity_CM,MATCH($AU91,Ampacity_Size,0))*$AT91&gt;1100000,"12.5% of phase area",INDEX(Gec_Cu,MATCH(TRUE,Gec_CM&gt;=INDEX(Ampacity_CM,MATCH($AU91,Ampacity_Size,0))*$AT91,0))),"—"))</f>
        <v/>
      </c>
      <c r="AX91" s="533" t="str">
        <f t="shared" si="78"/>
        <v/>
      </c>
      <c r="AY91" s="533" t="str">
        <f t="shared" si="79"/>
        <v/>
      </c>
      <c r="AZ91" s="20" t="str">
        <f t="shared" si="80"/>
        <v/>
      </c>
    </row>
    <row r="92" spans="1:52" ht="15" customHeight="1" x14ac:dyDescent="0.35">
      <c r="A92" s="362" t="str" cm="1">
        <f t="array" ref="A92">IFERROR(IF(INDEX(_xlfn.ANCHORARRAY($BO$4),ROW()-5,1)="","","T-"&amp;INDEX(_xlfn.ANCHORARRAY($BO$4),ROW()-5,1)),"")</f>
        <v/>
      </c>
      <c r="B92" s="362" t="str" cm="1">
        <f t="array" ref="B92">IFERROR(IF(INDEX(_xlfn.ANCHORARRAY($BO$4),ROW()-5,1)="","",INDEX(_xlfn.ANCHORARRAY($BO$4),ROW()-5,1)),"")</f>
        <v/>
      </c>
      <c r="C92" s="362" t="str" cm="1">
        <f t="array" ref="C92">IFERROR(INDEX(_xlfn.ANCHORARRAY($BO$4),ROW()-5,5),"")</f>
        <v/>
      </c>
      <c r="D92" s="362" t="str" cm="1">
        <f t="array" ref="D92">IFERROR(INDEX(_xlfn.ANCHORARRAY($BO$4),ROW()-5,3),"")</f>
        <v/>
      </c>
      <c r="E92" s="362" t="str" cm="1">
        <f t="array" ref="E92">IFERROR(INDEX(_xlfn.ANCHORARRAY($BO$4),ROW()-5,4),"")</f>
        <v/>
      </c>
      <c r="F92" s="36" t="str" cm="1">
        <f t="array" ref="F92">IFERROR(INDEX(_xlfn.ANCHORARRAY($BO$4),ROW()-5,6),"")</f>
        <v/>
      </c>
      <c r="G92" s="362" t="str" cm="1">
        <f t="array" ref="G92">IF($F92="","",_xlfn.LET(_xlpm.ov,N(IFERROR(_xlfn.XLOOKUP($B92,Dashboard!$A$101:$A$350,Dashboard!$O$101:$O$350,0),0)),_xlpm.need,MAX(N($F92),_xlpm.ov*N($E92)*IF($C92=3,SQRT(3),1)/1000),IFERROR(INDEX(IF($C92=1,Xfmr1_kVA,Xfmr3_kVA),MATCH(TRUE,IF($C92=1,Xfmr1_kVA,Xfmr3_kVA)&gt;=_xlpm.need,0)),"OVER")))</f>
        <v/>
      </c>
      <c r="H92" s="362" t="str">
        <f t="shared" si="54"/>
        <v/>
      </c>
      <c r="I92" s="168" t="str">
        <f t="shared" si="55"/>
        <v/>
      </c>
      <c r="J92" s="362" t="str">
        <f t="shared" si="56"/>
        <v/>
      </c>
      <c r="K92" s="362" t="str">
        <f t="shared" si="57"/>
        <v/>
      </c>
      <c r="L92" s="362" t="str">
        <f t="shared" si="58"/>
        <v/>
      </c>
      <c r="M92" s="168" t="str" cm="1">
        <f t="array" ref="M92">IF($Z92&lt;&gt;"",$Z92,IFERROR(IF($AJ92="","",INDEX(OCPD_List,MATCH(TRUE,OCPD_List&gt;=1.25*$AJ92,0))),"—"))</f>
        <v/>
      </c>
      <c r="N92" s="168" t="str" cm="1">
        <f t="array" ref="N92">IF($AA92&lt;&gt;"",$AA92,IFERROR(IF($AK92="","",INDEX(OCPD_List,MATCH(TRUE,OCPD_List&gt;=1.25*$AK92,0))),"—"))</f>
        <v/>
      </c>
      <c r="O92" s="171" t="str">
        <f t="shared" si="59"/>
        <v/>
      </c>
      <c r="P92" s="171" t="str">
        <f t="shared" si="60"/>
        <v/>
      </c>
      <c r="Q92" s="78" t="str">
        <f t="shared" si="61"/>
        <v/>
      </c>
      <c r="R92" s="371"/>
      <c r="S92" s="481" t="str">
        <f t="shared" si="62"/>
        <v/>
      </c>
      <c r="T92" s="482" t="str">
        <f t="shared" si="63"/>
        <v/>
      </c>
      <c r="U92" s="482" t="str">
        <f t="shared" si="64"/>
        <v/>
      </c>
      <c r="V92" s="482" t="str">
        <f t="shared" si="65"/>
        <v/>
      </c>
      <c r="W92" s="169"/>
      <c r="X92" s="169"/>
      <c r="Y92" s="169"/>
      <c r="Z92" s="251"/>
      <c r="AA92" s="251"/>
      <c r="AB92" s="483"/>
      <c r="AC92" s="483"/>
      <c r="AD92" s="483"/>
      <c r="AE92" s="483"/>
      <c r="AF92" s="483"/>
      <c r="AG92" s="254" t="str">
        <f t="shared" si="66"/>
        <v/>
      </c>
      <c r="AH92" s="254" t="str">
        <f t="shared" si="67"/>
        <v/>
      </c>
      <c r="AI92" s="254" t="str">
        <f t="shared" si="68"/>
        <v/>
      </c>
      <c r="AJ92" s="254" t="str">
        <f t="shared" si="69"/>
        <v/>
      </c>
      <c r="AK92" s="254" t="str">
        <f t="shared" si="70"/>
        <v/>
      </c>
      <c r="AL92" s="255" t="str" cm="1">
        <f t="array" ref="AL92">IFERROR(IF(INDEX(_xlfn.ANCHORARRAY($BO$4),ROW()-5,2)="","",_xlfn.XLOOKUP(INDEX(_xlfn.ANCHORARRAY($BO$4),ROW()-5,2),'Short Circuit'!$A$6:$A$255,'Short Circuit'!$J$6:$J$255,"")),"")</f>
        <v/>
      </c>
      <c r="AM92" s="254" t="str">
        <f t="shared" si="71"/>
        <v/>
      </c>
      <c r="AN92" s="254" t="str">
        <f t="shared" si="72"/>
        <v/>
      </c>
      <c r="AO92" s="254" t="str">
        <f t="shared" si="73"/>
        <v/>
      </c>
      <c r="AP92" s="255" t="str">
        <f t="shared" si="74"/>
        <v/>
      </c>
      <c r="AQ92" s="255" t="str">
        <f t="shared" si="75"/>
        <v/>
      </c>
      <c r="AR92" s="255" t="str">
        <f t="shared" si="76"/>
        <v/>
      </c>
      <c r="AS92" s="255" t="str" cm="1">
        <f t="array" ref="AS92">IFERROR(IF($AP92="","",INDEX(AIC_List,MATCH(TRUE,AIC_List&gt;=$AP92,0))),"⚠ &gt; 200 kA")</f>
        <v/>
      </c>
      <c r="AT92" s="255" t="str">
        <f t="shared" si="77"/>
        <v/>
      </c>
      <c r="AU92" s="290" t="str" cm="1">
        <f t="array" ref="AU92">IFERROR(IF($AK92="","",INDEX(Ampacity_Size,MATCH(TRUE,Ampacity_Cu&gt;=1.25*$AK92/$AT92,0))),"—")</f>
        <v/>
      </c>
      <c r="AV92" s="290" t="str" cm="1">
        <f t="array" ref="AV92">IF($AU92="","",IFERROR(INDEX(Gec_Cu,MATCH(TRUE,Gec_CM&gt;=INDEX(Ampacity_CM,MATCH($AU92,Ampacity_Size,0))*$AT92,0)),"—"))</f>
        <v/>
      </c>
      <c r="AW92" s="290" t="str" cm="1">
        <f t="array" ref="AW92">IF($AU92="","",IFERROR(IF(INDEX(Ampacity_CM,MATCH($AU92,Ampacity_Size,0))*$AT92&gt;1100000,"12.5% of phase area",INDEX(Gec_Cu,MATCH(TRUE,Gec_CM&gt;=INDEX(Ampacity_CM,MATCH($AU92,Ampacity_Size,0))*$AT92,0))),"—"))</f>
        <v/>
      </c>
      <c r="AX92" s="533" t="str">
        <f t="shared" si="78"/>
        <v/>
      </c>
      <c r="AY92" s="533" t="str">
        <f t="shared" si="79"/>
        <v/>
      </c>
      <c r="AZ92" s="20" t="str">
        <f t="shared" si="80"/>
        <v/>
      </c>
    </row>
    <row r="93" spans="1:52" ht="15" customHeight="1" x14ac:dyDescent="0.35">
      <c r="A93" s="362" t="str" cm="1">
        <f t="array" ref="A93">IFERROR(IF(INDEX(_xlfn.ANCHORARRAY($BO$4),ROW()-5,1)="","","T-"&amp;INDEX(_xlfn.ANCHORARRAY($BO$4),ROW()-5,1)),"")</f>
        <v/>
      </c>
      <c r="B93" s="362" t="str" cm="1">
        <f t="array" ref="B93">IFERROR(IF(INDEX(_xlfn.ANCHORARRAY($BO$4),ROW()-5,1)="","",INDEX(_xlfn.ANCHORARRAY($BO$4),ROW()-5,1)),"")</f>
        <v/>
      </c>
      <c r="C93" s="362" t="str" cm="1">
        <f t="array" ref="C93">IFERROR(INDEX(_xlfn.ANCHORARRAY($BO$4),ROW()-5,5),"")</f>
        <v/>
      </c>
      <c r="D93" s="362" t="str" cm="1">
        <f t="array" ref="D93">IFERROR(INDEX(_xlfn.ANCHORARRAY($BO$4),ROW()-5,3),"")</f>
        <v/>
      </c>
      <c r="E93" s="362" t="str" cm="1">
        <f t="array" ref="E93">IFERROR(INDEX(_xlfn.ANCHORARRAY($BO$4),ROW()-5,4),"")</f>
        <v/>
      </c>
      <c r="F93" s="36" t="str" cm="1">
        <f t="array" ref="F93">IFERROR(INDEX(_xlfn.ANCHORARRAY($BO$4),ROW()-5,6),"")</f>
        <v/>
      </c>
      <c r="G93" s="362" t="str" cm="1">
        <f t="array" ref="G93">IF($F93="","",_xlfn.LET(_xlpm.ov,N(IFERROR(_xlfn.XLOOKUP($B93,Dashboard!$A$101:$A$350,Dashboard!$O$101:$O$350,0),0)),_xlpm.need,MAX(N($F93),_xlpm.ov*N($E93)*IF($C93=3,SQRT(3),1)/1000),IFERROR(INDEX(IF($C93=1,Xfmr1_kVA,Xfmr3_kVA),MATCH(TRUE,IF($C93=1,Xfmr1_kVA,Xfmr3_kVA)&gt;=_xlpm.need,0)),"OVER")))</f>
        <v/>
      </c>
      <c r="H93" s="362" t="str">
        <f t="shared" si="54"/>
        <v/>
      </c>
      <c r="I93" s="168" t="str">
        <f t="shared" si="55"/>
        <v/>
      </c>
      <c r="J93" s="362" t="str">
        <f t="shared" si="56"/>
        <v/>
      </c>
      <c r="K93" s="362" t="str">
        <f t="shared" si="57"/>
        <v/>
      </c>
      <c r="L93" s="362" t="str">
        <f t="shared" si="58"/>
        <v/>
      </c>
      <c r="M93" s="168" t="str" cm="1">
        <f t="array" ref="M93">IF($Z93&lt;&gt;"",$Z93,IFERROR(IF($AJ93="","",INDEX(OCPD_List,MATCH(TRUE,OCPD_List&gt;=1.25*$AJ93,0))),"—"))</f>
        <v/>
      </c>
      <c r="N93" s="168" t="str" cm="1">
        <f t="array" ref="N93">IF($AA93&lt;&gt;"",$AA93,IFERROR(IF($AK93="","",INDEX(OCPD_List,MATCH(TRUE,OCPD_List&gt;=1.25*$AK93,0))),"—"))</f>
        <v/>
      </c>
      <c r="O93" s="171" t="str">
        <f t="shared" si="59"/>
        <v/>
      </c>
      <c r="P93" s="171" t="str">
        <f t="shared" si="60"/>
        <v/>
      </c>
      <c r="Q93" s="78" t="str">
        <f t="shared" si="61"/>
        <v/>
      </c>
      <c r="R93" s="371"/>
      <c r="S93" s="481" t="str">
        <f t="shared" si="62"/>
        <v/>
      </c>
      <c r="T93" s="482" t="str">
        <f t="shared" si="63"/>
        <v/>
      </c>
      <c r="U93" s="482" t="str">
        <f t="shared" si="64"/>
        <v/>
      </c>
      <c r="V93" s="482" t="str">
        <f t="shared" si="65"/>
        <v/>
      </c>
      <c r="W93" s="169"/>
      <c r="X93" s="169"/>
      <c r="Y93" s="169"/>
      <c r="Z93" s="251"/>
      <c r="AA93" s="251"/>
      <c r="AB93" s="483"/>
      <c r="AC93" s="483"/>
      <c r="AD93" s="483"/>
      <c r="AE93" s="483"/>
      <c r="AF93" s="483"/>
      <c r="AG93" s="254" t="str">
        <f t="shared" si="66"/>
        <v/>
      </c>
      <c r="AH93" s="254" t="str">
        <f t="shared" si="67"/>
        <v/>
      </c>
      <c r="AI93" s="254" t="str">
        <f t="shared" si="68"/>
        <v/>
      </c>
      <c r="AJ93" s="254" t="str">
        <f t="shared" si="69"/>
        <v/>
      </c>
      <c r="AK93" s="254" t="str">
        <f t="shared" si="70"/>
        <v/>
      </c>
      <c r="AL93" s="255" t="str" cm="1">
        <f t="array" ref="AL93">IFERROR(IF(INDEX(_xlfn.ANCHORARRAY($BO$4),ROW()-5,2)="","",_xlfn.XLOOKUP(INDEX(_xlfn.ANCHORARRAY($BO$4),ROW()-5,2),'Short Circuit'!$A$6:$A$255,'Short Circuit'!$J$6:$J$255,"")),"")</f>
        <v/>
      </c>
      <c r="AM93" s="254" t="str">
        <f t="shared" si="71"/>
        <v/>
      </c>
      <c r="AN93" s="254" t="str">
        <f t="shared" si="72"/>
        <v/>
      </c>
      <c r="AO93" s="254" t="str">
        <f t="shared" si="73"/>
        <v/>
      </c>
      <c r="AP93" s="255" t="str">
        <f t="shared" si="74"/>
        <v/>
      </c>
      <c r="AQ93" s="255" t="str">
        <f t="shared" si="75"/>
        <v/>
      </c>
      <c r="AR93" s="255" t="str">
        <f t="shared" si="76"/>
        <v/>
      </c>
      <c r="AS93" s="255" t="str" cm="1">
        <f t="array" ref="AS93">IFERROR(IF($AP93="","",INDEX(AIC_List,MATCH(TRUE,AIC_List&gt;=$AP93,0))),"⚠ &gt; 200 kA")</f>
        <v/>
      </c>
      <c r="AT93" s="255" t="str">
        <f t="shared" si="77"/>
        <v/>
      </c>
      <c r="AU93" s="290" t="str" cm="1">
        <f t="array" ref="AU93">IFERROR(IF($AK93="","",INDEX(Ampacity_Size,MATCH(TRUE,Ampacity_Cu&gt;=1.25*$AK93/$AT93,0))),"—")</f>
        <v/>
      </c>
      <c r="AV93" s="290" t="str" cm="1">
        <f t="array" ref="AV93">IF($AU93="","",IFERROR(INDEX(Gec_Cu,MATCH(TRUE,Gec_CM&gt;=INDEX(Ampacity_CM,MATCH($AU93,Ampacity_Size,0))*$AT93,0)),"—"))</f>
        <v/>
      </c>
      <c r="AW93" s="290" t="str" cm="1">
        <f t="array" ref="AW93">IF($AU93="","",IFERROR(IF(INDEX(Ampacity_CM,MATCH($AU93,Ampacity_Size,0))*$AT93&gt;1100000,"12.5% of phase area",INDEX(Gec_Cu,MATCH(TRUE,Gec_CM&gt;=INDEX(Ampacity_CM,MATCH($AU93,Ampacity_Size,0))*$AT93,0))),"—"))</f>
        <v/>
      </c>
      <c r="AX93" s="533" t="str">
        <f t="shared" si="78"/>
        <v/>
      </c>
      <c r="AY93" s="533" t="str">
        <f t="shared" si="79"/>
        <v/>
      </c>
      <c r="AZ93" s="20" t="str">
        <f t="shared" si="80"/>
        <v/>
      </c>
    </row>
    <row r="94" spans="1:52" ht="15" customHeight="1" x14ac:dyDescent="0.35">
      <c r="A94" s="362" t="str" cm="1">
        <f t="array" ref="A94">IFERROR(IF(INDEX(_xlfn.ANCHORARRAY($BO$4),ROW()-5,1)="","","T-"&amp;INDEX(_xlfn.ANCHORARRAY($BO$4),ROW()-5,1)),"")</f>
        <v/>
      </c>
      <c r="B94" s="362" t="str" cm="1">
        <f t="array" ref="B94">IFERROR(IF(INDEX(_xlfn.ANCHORARRAY($BO$4),ROW()-5,1)="","",INDEX(_xlfn.ANCHORARRAY($BO$4),ROW()-5,1)),"")</f>
        <v/>
      </c>
      <c r="C94" s="362" t="str" cm="1">
        <f t="array" ref="C94">IFERROR(INDEX(_xlfn.ANCHORARRAY($BO$4),ROW()-5,5),"")</f>
        <v/>
      </c>
      <c r="D94" s="362" t="str" cm="1">
        <f t="array" ref="D94">IFERROR(INDEX(_xlfn.ANCHORARRAY($BO$4),ROW()-5,3),"")</f>
        <v/>
      </c>
      <c r="E94" s="362" t="str" cm="1">
        <f t="array" ref="E94">IFERROR(INDEX(_xlfn.ANCHORARRAY($BO$4),ROW()-5,4),"")</f>
        <v/>
      </c>
      <c r="F94" s="36" t="str" cm="1">
        <f t="array" ref="F94">IFERROR(INDEX(_xlfn.ANCHORARRAY($BO$4),ROW()-5,6),"")</f>
        <v/>
      </c>
      <c r="G94" s="362" t="str" cm="1">
        <f t="array" ref="G94">IF($F94="","",_xlfn.LET(_xlpm.ov,N(IFERROR(_xlfn.XLOOKUP($B94,Dashboard!$A$101:$A$350,Dashboard!$O$101:$O$350,0),0)),_xlpm.need,MAX(N($F94),_xlpm.ov*N($E94)*IF($C94=3,SQRT(3),1)/1000),IFERROR(INDEX(IF($C94=1,Xfmr1_kVA,Xfmr3_kVA),MATCH(TRUE,IF($C94=1,Xfmr1_kVA,Xfmr3_kVA)&gt;=_xlpm.need,0)),"OVER")))</f>
        <v/>
      </c>
      <c r="H94" s="362" t="str">
        <f t="shared" si="54"/>
        <v/>
      </c>
      <c r="I94" s="168" t="str">
        <f t="shared" si="55"/>
        <v/>
      </c>
      <c r="J94" s="362" t="str">
        <f t="shared" si="56"/>
        <v/>
      </c>
      <c r="K94" s="362" t="str">
        <f t="shared" si="57"/>
        <v/>
      </c>
      <c r="L94" s="362" t="str">
        <f t="shared" si="58"/>
        <v/>
      </c>
      <c r="M94" s="168" t="str" cm="1">
        <f t="array" ref="M94">IF($Z94&lt;&gt;"",$Z94,IFERROR(IF($AJ94="","",INDEX(OCPD_List,MATCH(TRUE,OCPD_List&gt;=1.25*$AJ94,0))),"—"))</f>
        <v/>
      </c>
      <c r="N94" s="168" t="str" cm="1">
        <f t="array" ref="N94">IF($AA94&lt;&gt;"",$AA94,IFERROR(IF($AK94="","",INDEX(OCPD_List,MATCH(TRUE,OCPD_List&gt;=1.25*$AK94,0))),"—"))</f>
        <v/>
      </c>
      <c r="O94" s="171" t="str">
        <f t="shared" si="59"/>
        <v/>
      </c>
      <c r="P94" s="171" t="str">
        <f t="shared" si="60"/>
        <v/>
      </c>
      <c r="Q94" s="78" t="str">
        <f t="shared" si="61"/>
        <v/>
      </c>
      <c r="R94" s="371"/>
      <c r="S94" s="481" t="str">
        <f t="shared" si="62"/>
        <v/>
      </c>
      <c r="T94" s="482" t="str">
        <f t="shared" si="63"/>
        <v/>
      </c>
      <c r="U94" s="482" t="str">
        <f t="shared" si="64"/>
        <v/>
      </c>
      <c r="V94" s="482" t="str">
        <f t="shared" si="65"/>
        <v/>
      </c>
      <c r="W94" s="169"/>
      <c r="X94" s="169"/>
      <c r="Y94" s="169"/>
      <c r="Z94" s="251"/>
      <c r="AA94" s="251"/>
      <c r="AB94" s="483"/>
      <c r="AC94" s="483"/>
      <c r="AD94" s="483"/>
      <c r="AE94" s="483"/>
      <c r="AF94" s="483"/>
      <c r="AG94" s="254" t="str">
        <f t="shared" si="66"/>
        <v/>
      </c>
      <c r="AH94" s="254" t="str">
        <f t="shared" si="67"/>
        <v/>
      </c>
      <c r="AI94" s="254" t="str">
        <f t="shared" si="68"/>
        <v/>
      </c>
      <c r="AJ94" s="254" t="str">
        <f t="shared" si="69"/>
        <v/>
      </c>
      <c r="AK94" s="254" t="str">
        <f t="shared" si="70"/>
        <v/>
      </c>
      <c r="AL94" s="255" t="str" cm="1">
        <f t="array" ref="AL94">IFERROR(IF(INDEX(_xlfn.ANCHORARRAY($BO$4),ROW()-5,2)="","",_xlfn.XLOOKUP(INDEX(_xlfn.ANCHORARRAY($BO$4),ROW()-5,2),'Short Circuit'!$A$6:$A$255,'Short Circuit'!$J$6:$J$255,"")),"")</f>
        <v/>
      </c>
      <c r="AM94" s="254" t="str">
        <f t="shared" si="71"/>
        <v/>
      </c>
      <c r="AN94" s="254" t="str">
        <f t="shared" si="72"/>
        <v/>
      </c>
      <c r="AO94" s="254" t="str">
        <f t="shared" si="73"/>
        <v/>
      </c>
      <c r="AP94" s="255" t="str">
        <f t="shared" si="74"/>
        <v/>
      </c>
      <c r="AQ94" s="255" t="str">
        <f t="shared" si="75"/>
        <v/>
      </c>
      <c r="AR94" s="255" t="str">
        <f t="shared" si="76"/>
        <v/>
      </c>
      <c r="AS94" s="255" t="str" cm="1">
        <f t="array" ref="AS94">IFERROR(IF($AP94="","",INDEX(AIC_List,MATCH(TRUE,AIC_List&gt;=$AP94,0))),"⚠ &gt; 200 kA")</f>
        <v/>
      </c>
      <c r="AT94" s="255" t="str">
        <f t="shared" si="77"/>
        <v/>
      </c>
      <c r="AU94" s="290" t="str" cm="1">
        <f t="array" ref="AU94">IFERROR(IF($AK94="","",INDEX(Ampacity_Size,MATCH(TRUE,Ampacity_Cu&gt;=1.25*$AK94/$AT94,0))),"—")</f>
        <v/>
      </c>
      <c r="AV94" s="290" t="str" cm="1">
        <f t="array" ref="AV94">IF($AU94="","",IFERROR(INDEX(Gec_Cu,MATCH(TRUE,Gec_CM&gt;=INDEX(Ampacity_CM,MATCH($AU94,Ampacity_Size,0))*$AT94,0)),"—"))</f>
        <v/>
      </c>
      <c r="AW94" s="290" t="str" cm="1">
        <f t="array" ref="AW94">IF($AU94="","",IFERROR(IF(INDEX(Ampacity_CM,MATCH($AU94,Ampacity_Size,0))*$AT94&gt;1100000,"12.5% of phase area",INDEX(Gec_Cu,MATCH(TRUE,Gec_CM&gt;=INDEX(Ampacity_CM,MATCH($AU94,Ampacity_Size,0))*$AT94,0))),"—"))</f>
        <v/>
      </c>
      <c r="AX94" s="533" t="str">
        <f t="shared" si="78"/>
        <v/>
      </c>
      <c r="AY94" s="533" t="str">
        <f t="shared" si="79"/>
        <v/>
      </c>
      <c r="AZ94" s="20" t="str">
        <f t="shared" si="80"/>
        <v/>
      </c>
    </row>
    <row r="95" spans="1:52" ht="15" customHeight="1" x14ac:dyDescent="0.35">
      <c r="A95" s="362" t="str" cm="1">
        <f t="array" ref="A95">IFERROR(IF(INDEX(_xlfn.ANCHORARRAY($BO$4),ROW()-5,1)="","","T-"&amp;INDEX(_xlfn.ANCHORARRAY($BO$4),ROW()-5,1)),"")</f>
        <v/>
      </c>
      <c r="B95" s="362" t="str" cm="1">
        <f t="array" ref="B95">IFERROR(IF(INDEX(_xlfn.ANCHORARRAY($BO$4),ROW()-5,1)="","",INDEX(_xlfn.ANCHORARRAY($BO$4),ROW()-5,1)),"")</f>
        <v/>
      </c>
      <c r="C95" s="362" t="str" cm="1">
        <f t="array" ref="C95">IFERROR(INDEX(_xlfn.ANCHORARRAY($BO$4),ROW()-5,5),"")</f>
        <v/>
      </c>
      <c r="D95" s="362" t="str" cm="1">
        <f t="array" ref="D95">IFERROR(INDEX(_xlfn.ANCHORARRAY($BO$4),ROW()-5,3),"")</f>
        <v/>
      </c>
      <c r="E95" s="362" t="str" cm="1">
        <f t="array" ref="E95">IFERROR(INDEX(_xlfn.ANCHORARRAY($BO$4),ROW()-5,4),"")</f>
        <v/>
      </c>
      <c r="F95" s="36" t="str" cm="1">
        <f t="array" ref="F95">IFERROR(INDEX(_xlfn.ANCHORARRAY($BO$4),ROW()-5,6),"")</f>
        <v/>
      </c>
      <c r="G95" s="362" t="str" cm="1">
        <f t="array" ref="G95">IF($F95="","",_xlfn.LET(_xlpm.ov,N(IFERROR(_xlfn.XLOOKUP($B95,Dashboard!$A$101:$A$350,Dashboard!$O$101:$O$350,0),0)),_xlpm.need,MAX(N($F95),_xlpm.ov*N($E95)*IF($C95=3,SQRT(3),1)/1000),IFERROR(INDEX(IF($C95=1,Xfmr1_kVA,Xfmr3_kVA),MATCH(TRUE,IF($C95=1,Xfmr1_kVA,Xfmr3_kVA)&gt;=_xlpm.need,0)),"OVER")))</f>
        <v/>
      </c>
      <c r="H95" s="362" t="str">
        <f t="shared" si="54"/>
        <v/>
      </c>
      <c r="I95" s="168" t="str">
        <f t="shared" si="55"/>
        <v/>
      </c>
      <c r="J95" s="362" t="str">
        <f t="shared" si="56"/>
        <v/>
      </c>
      <c r="K95" s="362" t="str">
        <f t="shared" si="57"/>
        <v/>
      </c>
      <c r="L95" s="362" t="str">
        <f t="shared" si="58"/>
        <v/>
      </c>
      <c r="M95" s="168" t="str" cm="1">
        <f t="array" ref="M95">IF($Z95&lt;&gt;"",$Z95,IFERROR(IF($AJ95="","",INDEX(OCPD_List,MATCH(TRUE,OCPD_List&gt;=1.25*$AJ95,0))),"—"))</f>
        <v/>
      </c>
      <c r="N95" s="168" t="str" cm="1">
        <f t="array" ref="N95">IF($AA95&lt;&gt;"",$AA95,IFERROR(IF($AK95="","",INDEX(OCPD_List,MATCH(TRUE,OCPD_List&gt;=1.25*$AK95,0))),"—"))</f>
        <v/>
      </c>
      <c r="O95" s="171" t="str">
        <f t="shared" si="59"/>
        <v/>
      </c>
      <c r="P95" s="171" t="str">
        <f t="shared" si="60"/>
        <v/>
      </c>
      <c r="Q95" s="78" t="str">
        <f t="shared" si="61"/>
        <v/>
      </c>
      <c r="R95" s="371"/>
      <c r="S95" s="481" t="str">
        <f t="shared" si="62"/>
        <v/>
      </c>
      <c r="T95" s="482" t="str">
        <f t="shared" si="63"/>
        <v/>
      </c>
      <c r="U95" s="482" t="str">
        <f t="shared" si="64"/>
        <v/>
      </c>
      <c r="V95" s="482" t="str">
        <f t="shared" si="65"/>
        <v/>
      </c>
      <c r="W95" s="169"/>
      <c r="X95" s="169"/>
      <c r="Y95" s="169"/>
      <c r="Z95" s="251"/>
      <c r="AA95" s="251"/>
      <c r="AB95" s="483"/>
      <c r="AC95" s="483"/>
      <c r="AD95" s="483"/>
      <c r="AE95" s="483"/>
      <c r="AF95" s="483"/>
      <c r="AG95" s="254" t="str">
        <f t="shared" si="66"/>
        <v/>
      </c>
      <c r="AH95" s="254" t="str">
        <f t="shared" si="67"/>
        <v/>
      </c>
      <c r="AI95" s="254" t="str">
        <f t="shared" si="68"/>
        <v/>
      </c>
      <c r="AJ95" s="254" t="str">
        <f t="shared" si="69"/>
        <v/>
      </c>
      <c r="AK95" s="254" t="str">
        <f t="shared" si="70"/>
        <v/>
      </c>
      <c r="AL95" s="255" t="str" cm="1">
        <f t="array" ref="AL95">IFERROR(IF(INDEX(_xlfn.ANCHORARRAY($BO$4),ROW()-5,2)="","",_xlfn.XLOOKUP(INDEX(_xlfn.ANCHORARRAY($BO$4),ROW()-5,2),'Short Circuit'!$A$6:$A$255,'Short Circuit'!$J$6:$J$255,"")),"")</f>
        <v/>
      </c>
      <c r="AM95" s="254" t="str">
        <f t="shared" si="71"/>
        <v/>
      </c>
      <c r="AN95" s="254" t="str">
        <f t="shared" si="72"/>
        <v/>
      </c>
      <c r="AO95" s="254" t="str">
        <f t="shared" si="73"/>
        <v/>
      </c>
      <c r="AP95" s="255" t="str">
        <f t="shared" si="74"/>
        <v/>
      </c>
      <c r="AQ95" s="255" t="str">
        <f t="shared" si="75"/>
        <v/>
      </c>
      <c r="AR95" s="255" t="str">
        <f t="shared" si="76"/>
        <v/>
      </c>
      <c r="AS95" s="255" t="str" cm="1">
        <f t="array" ref="AS95">IFERROR(IF($AP95="","",INDEX(AIC_List,MATCH(TRUE,AIC_List&gt;=$AP95,0))),"⚠ &gt; 200 kA")</f>
        <v/>
      </c>
      <c r="AT95" s="255" t="str">
        <f t="shared" si="77"/>
        <v/>
      </c>
      <c r="AU95" s="290" t="str" cm="1">
        <f t="array" ref="AU95">IFERROR(IF($AK95="","",INDEX(Ampacity_Size,MATCH(TRUE,Ampacity_Cu&gt;=1.25*$AK95/$AT95,0))),"—")</f>
        <v/>
      </c>
      <c r="AV95" s="290" t="str" cm="1">
        <f t="array" ref="AV95">IF($AU95="","",IFERROR(INDEX(Gec_Cu,MATCH(TRUE,Gec_CM&gt;=INDEX(Ampacity_CM,MATCH($AU95,Ampacity_Size,0))*$AT95,0)),"—"))</f>
        <v/>
      </c>
      <c r="AW95" s="290" t="str" cm="1">
        <f t="array" ref="AW95">IF($AU95="","",IFERROR(IF(INDEX(Ampacity_CM,MATCH($AU95,Ampacity_Size,0))*$AT95&gt;1100000,"12.5% of phase area",INDEX(Gec_Cu,MATCH(TRUE,Gec_CM&gt;=INDEX(Ampacity_CM,MATCH($AU95,Ampacity_Size,0))*$AT95,0))),"—"))</f>
        <v/>
      </c>
      <c r="AX95" s="533" t="str">
        <f t="shared" si="78"/>
        <v/>
      </c>
      <c r="AY95" s="533" t="str">
        <f t="shared" si="79"/>
        <v/>
      </c>
      <c r="AZ95" s="20" t="str">
        <f t="shared" si="80"/>
        <v/>
      </c>
    </row>
    <row r="96" spans="1:52" ht="15" customHeight="1" x14ac:dyDescent="0.35">
      <c r="A96" s="362" t="str" cm="1">
        <f t="array" ref="A96">IFERROR(IF(INDEX(_xlfn.ANCHORARRAY($BO$4),ROW()-5,1)="","","T-"&amp;INDEX(_xlfn.ANCHORARRAY($BO$4),ROW()-5,1)),"")</f>
        <v/>
      </c>
      <c r="B96" s="362" t="str" cm="1">
        <f t="array" ref="B96">IFERROR(IF(INDEX(_xlfn.ANCHORARRAY($BO$4),ROW()-5,1)="","",INDEX(_xlfn.ANCHORARRAY($BO$4),ROW()-5,1)),"")</f>
        <v/>
      </c>
      <c r="C96" s="362" t="str" cm="1">
        <f t="array" ref="C96">IFERROR(INDEX(_xlfn.ANCHORARRAY($BO$4),ROW()-5,5),"")</f>
        <v/>
      </c>
      <c r="D96" s="362" t="str" cm="1">
        <f t="array" ref="D96">IFERROR(INDEX(_xlfn.ANCHORARRAY($BO$4),ROW()-5,3),"")</f>
        <v/>
      </c>
      <c r="E96" s="362" t="str" cm="1">
        <f t="array" ref="E96">IFERROR(INDEX(_xlfn.ANCHORARRAY($BO$4),ROW()-5,4),"")</f>
        <v/>
      </c>
      <c r="F96" s="36" t="str" cm="1">
        <f t="array" ref="F96">IFERROR(INDEX(_xlfn.ANCHORARRAY($BO$4),ROW()-5,6),"")</f>
        <v/>
      </c>
      <c r="G96" s="362" t="str" cm="1">
        <f t="array" ref="G96">IF($F96="","",_xlfn.LET(_xlpm.ov,N(IFERROR(_xlfn.XLOOKUP($B96,Dashboard!$A$101:$A$350,Dashboard!$O$101:$O$350,0),0)),_xlpm.need,MAX(N($F96),_xlpm.ov*N($E96)*IF($C96=3,SQRT(3),1)/1000),IFERROR(INDEX(IF($C96=1,Xfmr1_kVA,Xfmr3_kVA),MATCH(TRUE,IF($C96=1,Xfmr1_kVA,Xfmr3_kVA)&gt;=_xlpm.need,0)),"OVER")))</f>
        <v/>
      </c>
      <c r="H96" s="362" t="str">
        <f t="shared" si="54"/>
        <v/>
      </c>
      <c r="I96" s="168" t="str">
        <f t="shared" si="55"/>
        <v/>
      </c>
      <c r="J96" s="362" t="str">
        <f t="shared" si="56"/>
        <v/>
      </c>
      <c r="K96" s="362" t="str">
        <f t="shared" si="57"/>
        <v/>
      </c>
      <c r="L96" s="362" t="str">
        <f t="shared" si="58"/>
        <v/>
      </c>
      <c r="M96" s="168" t="str" cm="1">
        <f t="array" ref="M96">IF($Z96&lt;&gt;"",$Z96,IFERROR(IF($AJ96="","",INDEX(OCPD_List,MATCH(TRUE,OCPD_List&gt;=1.25*$AJ96,0))),"—"))</f>
        <v/>
      </c>
      <c r="N96" s="168" t="str" cm="1">
        <f t="array" ref="N96">IF($AA96&lt;&gt;"",$AA96,IFERROR(IF($AK96="","",INDEX(OCPD_List,MATCH(TRUE,OCPD_List&gt;=1.25*$AK96,0))),"—"))</f>
        <v/>
      </c>
      <c r="O96" s="171" t="str">
        <f t="shared" si="59"/>
        <v/>
      </c>
      <c r="P96" s="171" t="str">
        <f t="shared" si="60"/>
        <v/>
      </c>
      <c r="Q96" s="78" t="str">
        <f t="shared" si="61"/>
        <v/>
      </c>
      <c r="R96" s="371"/>
      <c r="S96" s="481" t="str">
        <f t="shared" si="62"/>
        <v/>
      </c>
      <c r="T96" s="482" t="str">
        <f t="shared" si="63"/>
        <v/>
      </c>
      <c r="U96" s="482" t="str">
        <f t="shared" si="64"/>
        <v/>
      </c>
      <c r="V96" s="482" t="str">
        <f t="shared" si="65"/>
        <v/>
      </c>
      <c r="W96" s="169"/>
      <c r="X96" s="169"/>
      <c r="Y96" s="169"/>
      <c r="Z96" s="251"/>
      <c r="AA96" s="251"/>
      <c r="AB96" s="483"/>
      <c r="AC96" s="483"/>
      <c r="AD96" s="483"/>
      <c r="AE96" s="483"/>
      <c r="AF96" s="483"/>
      <c r="AG96" s="254" t="str">
        <f t="shared" si="66"/>
        <v/>
      </c>
      <c r="AH96" s="254" t="str">
        <f t="shared" si="67"/>
        <v/>
      </c>
      <c r="AI96" s="254" t="str">
        <f t="shared" si="68"/>
        <v/>
      </c>
      <c r="AJ96" s="254" t="str">
        <f t="shared" si="69"/>
        <v/>
      </c>
      <c r="AK96" s="254" t="str">
        <f t="shared" si="70"/>
        <v/>
      </c>
      <c r="AL96" s="255" t="str" cm="1">
        <f t="array" ref="AL96">IFERROR(IF(INDEX(_xlfn.ANCHORARRAY($BO$4),ROW()-5,2)="","",_xlfn.XLOOKUP(INDEX(_xlfn.ANCHORARRAY($BO$4),ROW()-5,2),'Short Circuit'!$A$6:$A$255,'Short Circuit'!$J$6:$J$255,"")),"")</f>
        <v/>
      </c>
      <c r="AM96" s="254" t="str">
        <f t="shared" si="71"/>
        <v/>
      </c>
      <c r="AN96" s="254" t="str">
        <f t="shared" si="72"/>
        <v/>
      </c>
      <c r="AO96" s="254" t="str">
        <f t="shared" si="73"/>
        <v/>
      </c>
      <c r="AP96" s="255" t="str">
        <f t="shared" si="74"/>
        <v/>
      </c>
      <c r="AQ96" s="255" t="str">
        <f t="shared" si="75"/>
        <v/>
      </c>
      <c r="AR96" s="255" t="str">
        <f t="shared" si="76"/>
        <v/>
      </c>
      <c r="AS96" s="255" t="str" cm="1">
        <f t="array" ref="AS96">IFERROR(IF($AP96="","",INDEX(AIC_List,MATCH(TRUE,AIC_List&gt;=$AP96,0))),"⚠ &gt; 200 kA")</f>
        <v/>
      </c>
      <c r="AT96" s="255" t="str">
        <f t="shared" si="77"/>
        <v/>
      </c>
      <c r="AU96" s="290" t="str" cm="1">
        <f t="array" ref="AU96">IFERROR(IF($AK96="","",INDEX(Ampacity_Size,MATCH(TRUE,Ampacity_Cu&gt;=1.25*$AK96/$AT96,0))),"—")</f>
        <v/>
      </c>
      <c r="AV96" s="290" t="str" cm="1">
        <f t="array" ref="AV96">IF($AU96="","",IFERROR(INDEX(Gec_Cu,MATCH(TRUE,Gec_CM&gt;=INDEX(Ampacity_CM,MATCH($AU96,Ampacity_Size,0))*$AT96,0)),"—"))</f>
        <v/>
      </c>
      <c r="AW96" s="290" t="str" cm="1">
        <f t="array" ref="AW96">IF($AU96="","",IFERROR(IF(INDEX(Ampacity_CM,MATCH($AU96,Ampacity_Size,0))*$AT96&gt;1100000,"12.5% of phase area",INDEX(Gec_Cu,MATCH(TRUE,Gec_CM&gt;=INDEX(Ampacity_CM,MATCH($AU96,Ampacity_Size,0))*$AT96,0))),"—"))</f>
        <v/>
      </c>
      <c r="AX96" s="533" t="str">
        <f t="shared" si="78"/>
        <v/>
      </c>
      <c r="AY96" s="533" t="str">
        <f t="shared" si="79"/>
        <v/>
      </c>
      <c r="AZ96" s="20" t="str">
        <f t="shared" si="80"/>
        <v/>
      </c>
    </row>
    <row r="97" spans="1:52" ht="15" customHeight="1" x14ac:dyDescent="0.35">
      <c r="A97" s="362" t="str" cm="1">
        <f t="array" ref="A97">IFERROR(IF(INDEX(_xlfn.ANCHORARRAY($BO$4),ROW()-5,1)="","","T-"&amp;INDEX(_xlfn.ANCHORARRAY($BO$4),ROW()-5,1)),"")</f>
        <v/>
      </c>
      <c r="B97" s="362" t="str" cm="1">
        <f t="array" ref="B97">IFERROR(IF(INDEX(_xlfn.ANCHORARRAY($BO$4),ROW()-5,1)="","",INDEX(_xlfn.ANCHORARRAY($BO$4),ROW()-5,1)),"")</f>
        <v/>
      </c>
      <c r="C97" s="362" t="str" cm="1">
        <f t="array" ref="C97">IFERROR(INDEX(_xlfn.ANCHORARRAY($BO$4),ROW()-5,5),"")</f>
        <v/>
      </c>
      <c r="D97" s="362" t="str" cm="1">
        <f t="array" ref="D97">IFERROR(INDEX(_xlfn.ANCHORARRAY($BO$4),ROW()-5,3),"")</f>
        <v/>
      </c>
      <c r="E97" s="362" t="str" cm="1">
        <f t="array" ref="E97">IFERROR(INDEX(_xlfn.ANCHORARRAY($BO$4),ROW()-5,4),"")</f>
        <v/>
      </c>
      <c r="F97" s="36" t="str" cm="1">
        <f t="array" ref="F97">IFERROR(INDEX(_xlfn.ANCHORARRAY($BO$4),ROW()-5,6),"")</f>
        <v/>
      </c>
      <c r="G97" s="362" t="str" cm="1">
        <f t="array" ref="G97">IF($F97="","",_xlfn.LET(_xlpm.ov,N(IFERROR(_xlfn.XLOOKUP($B97,Dashboard!$A$101:$A$350,Dashboard!$O$101:$O$350,0),0)),_xlpm.need,MAX(N($F97),_xlpm.ov*N($E97)*IF($C97=3,SQRT(3),1)/1000),IFERROR(INDEX(IF($C97=1,Xfmr1_kVA,Xfmr3_kVA),MATCH(TRUE,IF($C97=1,Xfmr1_kVA,Xfmr3_kVA)&gt;=_xlpm.need,0)),"OVER")))</f>
        <v/>
      </c>
      <c r="H97" s="362" t="str">
        <f t="shared" si="54"/>
        <v/>
      </c>
      <c r="I97" s="168" t="str">
        <f t="shared" si="55"/>
        <v/>
      </c>
      <c r="J97" s="362" t="str">
        <f t="shared" si="56"/>
        <v/>
      </c>
      <c r="K97" s="362" t="str">
        <f t="shared" si="57"/>
        <v/>
      </c>
      <c r="L97" s="362" t="str">
        <f t="shared" si="58"/>
        <v/>
      </c>
      <c r="M97" s="168" t="str" cm="1">
        <f t="array" ref="M97">IF($Z97&lt;&gt;"",$Z97,IFERROR(IF($AJ97="","",INDEX(OCPD_List,MATCH(TRUE,OCPD_List&gt;=1.25*$AJ97,0))),"—"))</f>
        <v/>
      </c>
      <c r="N97" s="168" t="str" cm="1">
        <f t="array" ref="N97">IF($AA97&lt;&gt;"",$AA97,IFERROR(IF($AK97="","",INDEX(OCPD_List,MATCH(TRUE,OCPD_List&gt;=1.25*$AK97,0))),"—"))</f>
        <v/>
      </c>
      <c r="O97" s="171" t="str">
        <f t="shared" si="59"/>
        <v/>
      </c>
      <c r="P97" s="171" t="str">
        <f t="shared" si="60"/>
        <v/>
      </c>
      <c r="Q97" s="78" t="str">
        <f t="shared" si="61"/>
        <v/>
      </c>
      <c r="R97" s="371"/>
      <c r="S97" s="481" t="str">
        <f t="shared" si="62"/>
        <v/>
      </c>
      <c r="T97" s="482" t="str">
        <f t="shared" si="63"/>
        <v/>
      </c>
      <c r="U97" s="482" t="str">
        <f t="shared" si="64"/>
        <v/>
      </c>
      <c r="V97" s="482" t="str">
        <f t="shared" si="65"/>
        <v/>
      </c>
      <c r="W97" s="169"/>
      <c r="X97" s="169"/>
      <c r="Y97" s="169"/>
      <c r="Z97" s="251"/>
      <c r="AA97" s="251"/>
      <c r="AB97" s="483"/>
      <c r="AC97" s="483"/>
      <c r="AD97" s="483"/>
      <c r="AE97" s="483"/>
      <c r="AF97" s="483"/>
      <c r="AG97" s="254" t="str">
        <f t="shared" si="66"/>
        <v/>
      </c>
      <c r="AH97" s="254" t="str">
        <f t="shared" si="67"/>
        <v/>
      </c>
      <c r="AI97" s="254" t="str">
        <f t="shared" si="68"/>
        <v/>
      </c>
      <c r="AJ97" s="254" t="str">
        <f t="shared" si="69"/>
        <v/>
      </c>
      <c r="AK97" s="254" t="str">
        <f t="shared" si="70"/>
        <v/>
      </c>
      <c r="AL97" s="255" t="str" cm="1">
        <f t="array" ref="AL97">IFERROR(IF(INDEX(_xlfn.ANCHORARRAY($BO$4),ROW()-5,2)="","",_xlfn.XLOOKUP(INDEX(_xlfn.ANCHORARRAY($BO$4),ROW()-5,2),'Short Circuit'!$A$6:$A$255,'Short Circuit'!$J$6:$J$255,"")),"")</f>
        <v/>
      </c>
      <c r="AM97" s="254" t="str">
        <f t="shared" si="71"/>
        <v/>
      </c>
      <c r="AN97" s="254" t="str">
        <f t="shared" si="72"/>
        <v/>
      </c>
      <c r="AO97" s="254" t="str">
        <f t="shared" si="73"/>
        <v/>
      </c>
      <c r="AP97" s="255" t="str">
        <f t="shared" si="74"/>
        <v/>
      </c>
      <c r="AQ97" s="255" t="str">
        <f t="shared" si="75"/>
        <v/>
      </c>
      <c r="AR97" s="255" t="str">
        <f t="shared" si="76"/>
        <v/>
      </c>
      <c r="AS97" s="255" t="str" cm="1">
        <f t="array" ref="AS97">IFERROR(IF($AP97="","",INDEX(AIC_List,MATCH(TRUE,AIC_List&gt;=$AP97,0))),"⚠ &gt; 200 kA")</f>
        <v/>
      </c>
      <c r="AT97" s="255" t="str">
        <f t="shared" si="77"/>
        <v/>
      </c>
      <c r="AU97" s="290" t="str" cm="1">
        <f t="array" ref="AU97">IFERROR(IF($AK97="","",INDEX(Ampacity_Size,MATCH(TRUE,Ampacity_Cu&gt;=1.25*$AK97/$AT97,0))),"—")</f>
        <v/>
      </c>
      <c r="AV97" s="290" t="str" cm="1">
        <f t="array" ref="AV97">IF($AU97="","",IFERROR(INDEX(Gec_Cu,MATCH(TRUE,Gec_CM&gt;=INDEX(Ampacity_CM,MATCH($AU97,Ampacity_Size,0))*$AT97,0)),"—"))</f>
        <v/>
      </c>
      <c r="AW97" s="290" t="str" cm="1">
        <f t="array" ref="AW97">IF($AU97="","",IFERROR(IF(INDEX(Ampacity_CM,MATCH($AU97,Ampacity_Size,0))*$AT97&gt;1100000,"12.5% of phase area",INDEX(Gec_Cu,MATCH(TRUE,Gec_CM&gt;=INDEX(Ampacity_CM,MATCH($AU97,Ampacity_Size,0))*$AT97,0))),"—"))</f>
        <v/>
      </c>
      <c r="AX97" s="533" t="str">
        <f t="shared" si="78"/>
        <v/>
      </c>
      <c r="AY97" s="533" t="str">
        <f t="shared" si="79"/>
        <v/>
      </c>
      <c r="AZ97" s="20" t="str">
        <f t="shared" si="80"/>
        <v/>
      </c>
    </row>
    <row r="98" spans="1:52" ht="15" customHeight="1" x14ac:dyDescent="0.35">
      <c r="A98" s="362" t="str" cm="1">
        <f t="array" ref="A98">IFERROR(IF(INDEX(_xlfn.ANCHORARRAY($BO$4),ROW()-5,1)="","","T-"&amp;INDEX(_xlfn.ANCHORARRAY($BO$4),ROW()-5,1)),"")</f>
        <v/>
      </c>
      <c r="B98" s="362" t="str" cm="1">
        <f t="array" ref="B98">IFERROR(IF(INDEX(_xlfn.ANCHORARRAY($BO$4),ROW()-5,1)="","",INDEX(_xlfn.ANCHORARRAY($BO$4),ROW()-5,1)),"")</f>
        <v/>
      </c>
      <c r="C98" s="362" t="str" cm="1">
        <f t="array" ref="C98">IFERROR(INDEX(_xlfn.ANCHORARRAY($BO$4),ROW()-5,5),"")</f>
        <v/>
      </c>
      <c r="D98" s="362" t="str" cm="1">
        <f t="array" ref="D98">IFERROR(INDEX(_xlfn.ANCHORARRAY($BO$4),ROW()-5,3),"")</f>
        <v/>
      </c>
      <c r="E98" s="362" t="str" cm="1">
        <f t="array" ref="E98">IFERROR(INDEX(_xlfn.ANCHORARRAY($BO$4),ROW()-5,4),"")</f>
        <v/>
      </c>
      <c r="F98" s="36" t="str" cm="1">
        <f t="array" ref="F98">IFERROR(INDEX(_xlfn.ANCHORARRAY($BO$4),ROW()-5,6),"")</f>
        <v/>
      </c>
      <c r="G98" s="362" t="str" cm="1">
        <f t="array" ref="G98">IF($F98="","",_xlfn.LET(_xlpm.ov,N(IFERROR(_xlfn.XLOOKUP($B98,Dashboard!$A$101:$A$350,Dashboard!$O$101:$O$350,0),0)),_xlpm.need,MAX(N($F98),_xlpm.ov*N($E98)*IF($C98=3,SQRT(3),1)/1000),IFERROR(INDEX(IF($C98=1,Xfmr1_kVA,Xfmr3_kVA),MATCH(TRUE,IF($C98=1,Xfmr1_kVA,Xfmr3_kVA)&gt;=_xlpm.need,0)),"OVER")))</f>
        <v/>
      </c>
      <c r="H98" s="362" t="str">
        <f t="shared" si="54"/>
        <v/>
      </c>
      <c r="I98" s="168" t="str">
        <f t="shared" si="55"/>
        <v/>
      </c>
      <c r="J98" s="362" t="str">
        <f t="shared" si="56"/>
        <v/>
      </c>
      <c r="K98" s="362" t="str">
        <f t="shared" si="57"/>
        <v/>
      </c>
      <c r="L98" s="362" t="str">
        <f t="shared" si="58"/>
        <v/>
      </c>
      <c r="M98" s="168" t="str" cm="1">
        <f t="array" ref="M98">IF($Z98&lt;&gt;"",$Z98,IFERROR(IF($AJ98="","",INDEX(OCPD_List,MATCH(TRUE,OCPD_List&gt;=1.25*$AJ98,0))),"—"))</f>
        <v/>
      </c>
      <c r="N98" s="168" t="str" cm="1">
        <f t="array" ref="N98">IF($AA98&lt;&gt;"",$AA98,IFERROR(IF($AK98="","",INDEX(OCPD_List,MATCH(TRUE,OCPD_List&gt;=1.25*$AK98,0))),"—"))</f>
        <v/>
      </c>
      <c r="O98" s="171" t="str">
        <f t="shared" si="59"/>
        <v/>
      </c>
      <c r="P98" s="171" t="str">
        <f t="shared" si="60"/>
        <v/>
      </c>
      <c r="Q98" s="78" t="str">
        <f t="shared" si="61"/>
        <v/>
      </c>
      <c r="R98" s="371"/>
      <c r="S98" s="481" t="str">
        <f t="shared" si="62"/>
        <v/>
      </c>
      <c r="T98" s="482" t="str">
        <f t="shared" si="63"/>
        <v/>
      </c>
      <c r="U98" s="482" t="str">
        <f t="shared" si="64"/>
        <v/>
      </c>
      <c r="V98" s="482" t="str">
        <f t="shared" si="65"/>
        <v/>
      </c>
      <c r="W98" s="169"/>
      <c r="X98" s="169"/>
      <c r="Y98" s="169"/>
      <c r="Z98" s="251"/>
      <c r="AA98" s="251"/>
      <c r="AB98" s="483"/>
      <c r="AC98" s="483"/>
      <c r="AD98" s="483"/>
      <c r="AE98" s="483"/>
      <c r="AF98" s="483"/>
      <c r="AG98" s="254" t="str">
        <f t="shared" si="66"/>
        <v/>
      </c>
      <c r="AH98" s="254" t="str">
        <f t="shared" si="67"/>
        <v/>
      </c>
      <c r="AI98" s="254" t="str">
        <f t="shared" si="68"/>
        <v/>
      </c>
      <c r="AJ98" s="254" t="str">
        <f t="shared" si="69"/>
        <v/>
      </c>
      <c r="AK98" s="254" t="str">
        <f t="shared" si="70"/>
        <v/>
      </c>
      <c r="AL98" s="255" t="str" cm="1">
        <f t="array" ref="AL98">IFERROR(IF(INDEX(_xlfn.ANCHORARRAY($BO$4),ROW()-5,2)="","",_xlfn.XLOOKUP(INDEX(_xlfn.ANCHORARRAY($BO$4),ROW()-5,2),'Short Circuit'!$A$6:$A$255,'Short Circuit'!$J$6:$J$255,"")),"")</f>
        <v/>
      </c>
      <c r="AM98" s="254" t="str">
        <f t="shared" si="71"/>
        <v/>
      </c>
      <c r="AN98" s="254" t="str">
        <f t="shared" si="72"/>
        <v/>
      </c>
      <c r="AO98" s="254" t="str">
        <f t="shared" si="73"/>
        <v/>
      </c>
      <c r="AP98" s="255" t="str">
        <f t="shared" si="74"/>
        <v/>
      </c>
      <c r="AQ98" s="255" t="str">
        <f t="shared" si="75"/>
        <v/>
      </c>
      <c r="AR98" s="255" t="str">
        <f t="shared" si="76"/>
        <v/>
      </c>
      <c r="AS98" s="255" t="str" cm="1">
        <f t="array" ref="AS98">IFERROR(IF($AP98="","",INDEX(AIC_List,MATCH(TRUE,AIC_List&gt;=$AP98,0))),"⚠ &gt; 200 kA")</f>
        <v/>
      </c>
      <c r="AT98" s="255" t="str">
        <f t="shared" si="77"/>
        <v/>
      </c>
      <c r="AU98" s="290" t="str" cm="1">
        <f t="array" ref="AU98">IFERROR(IF($AK98="","",INDEX(Ampacity_Size,MATCH(TRUE,Ampacity_Cu&gt;=1.25*$AK98/$AT98,0))),"—")</f>
        <v/>
      </c>
      <c r="AV98" s="290" t="str" cm="1">
        <f t="array" ref="AV98">IF($AU98="","",IFERROR(INDEX(Gec_Cu,MATCH(TRUE,Gec_CM&gt;=INDEX(Ampacity_CM,MATCH($AU98,Ampacity_Size,0))*$AT98,0)),"—"))</f>
        <v/>
      </c>
      <c r="AW98" s="290" t="str" cm="1">
        <f t="array" ref="AW98">IF($AU98="","",IFERROR(IF(INDEX(Ampacity_CM,MATCH($AU98,Ampacity_Size,0))*$AT98&gt;1100000,"12.5% of phase area",INDEX(Gec_Cu,MATCH(TRUE,Gec_CM&gt;=INDEX(Ampacity_CM,MATCH($AU98,Ampacity_Size,0))*$AT98,0))),"—"))</f>
        <v/>
      </c>
      <c r="AX98" s="533" t="str">
        <f t="shared" si="78"/>
        <v/>
      </c>
      <c r="AY98" s="533" t="str">
        <f t="shared" si="79"/>
        <v/>
      </c>
      <c r="AZ98" s="20" t="str">
        <f t="shared" si="80"/>
        <v/>
      </c>
    </row>
    <row r="99" spans="1:52" ht="15" customHeight="1" x14ac:dyDescent="0.35">
      <c r="A99" s="362" t="str" cm="1">
        <f t="array" ref="A99">IFERROR(IF(INDEX(_xlfn.ANCHORARRAY($BO$4),ROW()-5,1)="","","T-"&amp;INDEX(_xlfn.ANCHORARRAY($BO$4),ROW()-5,1)),"")</f>
        <v/>
      </c>
      <c r="B99" s="362" t="str" cm="1">
        <f t="array" ref="B99">IFERROR(IF(INDEX(_xlfn.ANCHORARRAY($BO$4),ROW()-5,1)="","",INDEX(_xlfn.ANCHORARRAY($BO$4),ROW()-5,1)),"")</f>
        <v/>
      </c>
      <c r="C99" s="362" t="str" cm="1">
        <f t="array" ref="C99">IFERROR(INDEX(_xlfn.ANCHORARRAY($BO$4),ROW()-5,5),"")</f>
        <v/>
      </c>
      <c r="D99" s="362" t="str" cm="1">
        <f t="array" ref="D99">IFERROR(INDEX(_xlfn.ANCHORARRAY($BO$4),ROW()-5,3),"")</f>
        <v/>
      </c>
      <c r="E99" s="362" t="str" cm="1">
        <f t="array" ref="E99">IFERROR(INDEX(_xlfn.ANCHORARRAY($BO$4),ROW()-5,4),"")</f>
        <v/>
      </c>
      <c r="F99" s="36" t="str" cm="1">
        <f t="array" ref="F99">IFERROR(INDEX(_xlfn.ANCHORARRAY($BO$4),ROW()-5,6),"")</f>
        <v/>
      </c>
      <c r="G99" s="362" t="str" cm="1">
        <f t="array" ref="G99">IF($F99="","",_xlfn.LET(_xlpm.ov,N(IFERROR(_xlfn.XLOOKUP($B99,Dashboard!$A$101:$A$350,Dashboard!$O$101:$O$350,0),0)),_xlpm.need,MAX(N($F99),_xlpm.ov*N($E99)*IF($C99=3,SQRT(3),1)/1000),IFERROR(INDEX(IF($C99=1,Xfmr1_kVA,Xfmr3_kVA),MATCH(TRUE,IF($C99=1,Xfmr1_kVA,Xfmr3_kVA)&gt;=_xlpm.need,0)),"OVER")))</f>
        <v/>
      </c>
      <c r="H99" s="362" t="str">
        <f t="shared" si="54"/>
        <v/>
      </c>
      <c r="I99" s="168" t="str">
        <f t="shared" si="55"/>
        <v/>
      </c>
      <c r="J99" s="362" t="str">
        <f t="shared" si="56"/>
        <v/>
      </c>
      <c r="K99" s="362" t="str">
        <f t="shared" si="57"/>
        <v/>
      </c>
      <c r="L99" s="362" t="str">
        <f t="shared" si="58"/>
        <v/>
      </c>
      <c r="M99" s="168" t="str" cm="1">
        <f t="array" ref="M99">IF($Z99&lt;&gt;"",$Z99,IFERROR(IF($AJ99="","",INDEX(OCPD_List,MATCH(TRUE,OCPD_List&gt;=1.25*$AJ99,0))),"—"))</f>
        <v/>
      </c>
      <c r="N99" s="168" t="str" cm="1">
        <f t="array" ref="N99">IF($AA99&lt;&gt;"",$AA99,IFERROR(IF($AK99="","",INDEX(OCPD_List,MATCH(TRUE,OCPD_List&gt;=1.25*$AK99,0))),"—"))</f>
        <v/>
      </c>
      <c r="O99" s="171" t="str">
        <f t="shared" si="59"/>
        <v/>
      </c>
      <c r="P99" s="171" t="str">
        <f t="shared" si="60"/>
        <v/>
      </c>
      <c r="Q99" s="78" t="str">
        <f t="shared" si="61"/>
        <v/>
      </c>
      <c r="R99" s="371"/>
      <c r="S99" s="481" t="str">
        <f t="shared" si="62"/>
        <v/>
      </c>
      <c r="T99" s="482" t="str">
        <f t="shared" si="63"/>
        <v/>
      </c>
      <c r="U99" s="482" t="str">
        <f t="shared" si="64"/>
        <v/>
      </c>
      <c r="V99" s="482" t="str">
        <f t="shared" si="65"/>
        <v/>
      </c>
      <c r="W99" s="169"/>
      <c r="X99" s="169"/>
      <c r="Y99" s="169"/>
      <c r="Z99" s="251"/>
      <c r="AA99" s="251"/>
      <c r="AB99" s="483"/>
      <c r="AC99" s="483"/>
      <c r="AD99" s="483"/>
      <c r="AE99" s="483"/>
      <c r="AF99" s="483"/>
      <c r="AG99" s="254" t="str">
        <f t="shared" si="66"/>
        <v/>
      </c>
      <c r="AH99" s="254" t="str">
        <f t="shared" si="67"/>
        <v/>
      </c>
      <c r="AI99" s="254" t="str">
        <f t="shared" si="68"/>
        <v/>
      </c>
      <c r="AJ99" s="254" t="str">
        <f t="shared" si="69"/>
        <v/>
      </c>
      <c r="AK99" s="254" t="str">
        <f t="shared" si="70"/>
        <v/>
      </c>
      <c r="AL99" s="255" t="str" cm="1">
        <f t="array" ref="AL99">IFERROR(IF(INDEX(_xlfn.ANCHORARRAY($BO$4),ROW()-5,2)="","",_xlfn.XLOOKUP(INDEX(_xlfn.ANCHORARRAY($BO$4),ROW()-5,2),'Short Circuit'!$A$6:$A$255,'Short Circuit'!$J$6:$J$255,"")),"")</f>
        <v/>
      </c>
      <c r="AM99" s="254" t="str">
        <f t="shared" si="71"/>
        <v/>
      </c>
      <c r="AN99" s="254" t="str">
        <f t="shared" si="72"/>
        <v/>
      </c>
      <c r="AO99" s="254" t="str">
        <f t="shared" si="73"/>
        <v/>
      </c>
      <c r="AP99" s="255" t="str">
        <f t="shared" si="74"/>
        <v/>
      </c>
      <c r="AQ99" s="255" t="str">
        <f t="shared" si="75"/>
        <v/>
      </c>
      <c r="AR99" s="255" t="str">
        <f t="shared" si="76"/>
        <v/>
      </c>
      <c r="AS99" s="255" t="str" cm="1">
        <f t="array" ref="AS99">IFERROR(IF($AP99="","",INDEX(AIC_List,MATCH(TRUE,AIC_List&gt;=$AP99,0))),"⚠ &gt; 200 kA")</f>
        <v/>
      </c>
      <c r="AT99" s="255" t="str">
        <f t="shared" si="77"/>
        <v/>
      </c>
      <c r="AU99" s="290" t="str" cm="1">
        <f t="array" ref="AU99">IFERROR(IF($AK99="","",INDEX(Ampacity_Size,MATCH(TRUE,Ampacity_Cu&gt;=1.25*$AK99/$AT99,0))),"—")</f>
        <v/>
      </c>
      <c r="AV99" s="290" t="str" cm="1">
        <f t="array" ref="AV99">IF($AU99="","",IFERROR(INDEX(Gec_Cu,MATCH(TRUE,Gec_CM&gt;=INDEX(Ampacity_CM,MATCH($AU99,Ampacity_Size,0))*$AT99,0)),"—"))</f>
        <v/>
      </c>
      <c r="AW99" s="290" t="str" cm="1">
        <f t="array" ref="AW99">IF($AU99="","",IFERROR(IF(INDEX(Ampacity_CM,MATCH($AU99,Ampacity_Size,0))*$AT99&gt;1100000,"12.5% of phase area",INDEX(Gec_Cu,MATCH(TRUE,Gec_CM&gt;=INDEX(Ampacity_CM,MATCH($AU99,Ampacity_Size,0))*$AT99,0))),"—"))</f>
        <v/>
      </c>
      <c r="AX99" s="533" t="str">
        <f t="shared" si="78"/>
        <v/>
      </c>
      <c r="AY99" s="533" t="str">
        <f t="shared" si="79"/>
        <v/>
      </c>
      <c r="AZ99" s="20" t="str">
        <f t="shared" si="80"/>
        <v/>
      </c>
    </row>
    <row r="100" spans="1:52" ht="15" customHeight="1" x14ac:dyDescent="0.35">
      <c r="A100" s="362" t="str" cm="1">
        <f t="array" ref="A100">IFERROR(IF(INDEX(_xlfn.ANCHORARRAY($BO$4),ROW()-5,1)="","","T-"&amp;INDEX(_xlfn.ANCHORARRAY($BO$4),ROW()-5,1)),"")</f>
        <v/>
      </c>
      <c r="B100" s="362" t="str" cm="1">
        <f t="array" ref="B100">IFERROR(IF(INDEX(_xlfn.ANCHORARRAY($BO$4),ROW()-5,1)="","",INDEX(_xlfn.ANCHORARRAY($BO$4),ROW()-5,1)),"")</f>
        <v/>
      </c>
      <c r="C100" s="362" t="str" cm="1">
        <f t="array" ref="C100">IFERROR(INDEX(_xlfn.ANCHORARRAY($BO$4),ROW()-5,5),"")</f>
        <v/>
      </c>
      <c r="D100" s="362" t="str" cm="1">
        <f t="array" ref="D100">IFERROR(INDEX(_xlfn.ANCHORARRAY($BO$4),ROW()-5,3),"")</f>
        <v/>
      </c>
      <c r="E100" s="362" t="str" cm="1">
        <f t="array" ref="E100">IFERROR(INDEX(_xlfn.ANCHORARRAY($BO$4),ROW()-5,4),"")</f>
        <v/>
      </c>
      <c r="F100" s="36" t="str" cm="1">
        <f t="array" ref="F100">IFERROR(INDEX(_xlfn.ANCHORARRAY($BO$4),ROW()-5,6),"")</f>
        <v/>
      </c>
      <c r="G100" s="362" t="str" cm="1">
        <f t="array" ref="G100">IF($F100="","",_xlfn.LET(_xlpm.ov,N(IFERROR(_xlfn.XLOOKUP($B100,Dashboard!$A$101:$A$350,Dashboard!$O$101:$O$350,0),0)),_xlpm.need,MAX(N($F100),_xlpm.ov*N($E100)*IF($C100=3,SQRT(3),1)/1000),IFERROR(INDEX(IF($C100=1,Xfmr1_kVA,Xfmr3_kVA),MATCH(TRUE,IF($C100=1,Xfmr1_kVA,Xfmr3_kVA)&gt;=_xlpm.need,0)),"OVER")))</f>
        <v/>
      </c>
      <c r="H100" s="362" t="str">
        <f t="shared" si="54"/>
        <v/>
      </c>
      <c r="I100" s="168" t="str">
        <f t="shared" si="55"/>
        <v/>
      </c>
      <c r="J100" s="362" t="str">
        <f t="shared" si="56"/>
        <v/>
      </c>
      <c r="K100" s="362" t="str">
        <f t="shared" si="57"/>
        <v/>
      </c>
      <c r="L100" s="362" t="str">
        <f t="shared" si="58"/>
        <v/>
      </c>
      <c r="M100" s="168" t="str" cm="1">
        <f t="array" ref="M100">IF($Z100&lt;&gt;"",$Z100,IFERROR(IF($AJ100="","",INDEX(OCPD_List,MATCH(TRUE,OCPD_List&gt;=1.25*$AJ100,0))),"—"))</f>
        <v/>
      </c>
      <c r="N100" s="168" t="str" cm="1">
        <f t="array" ref="N100">IF($AA100&lt;&gt;"",$AA100,IFERROR(IF($AK100="","",INDEX(OCPD_List,MATCH(TRUE,OCPD_List&gt;=1.25*$AK100,0))),"—"))</f>
        <v/>
      </c>
      <c r="O100" s="171" t="str">
        <f t="shared" si="59"/>
        <v/>
      </c>
      <c r="P100" s="171" t="str">
        <f t="shared" si="60"/>
        <v/>
      </c>
      <c r="Q100" s="78" t="str">
        <f t="shared" si="61"/>
        <v/>
      </c>
      <c r="R100" s="371"/>
      <c r="S100" s="481" t="str">
        <f t="shared" si="62"/>
        <v/>
      </c>
      <c r="T100" s="482" t="str">
        <f t="shared" si="63"/>
        <v/>
      </c>
      <c r="U100" s="482" t="str">
        <f t="shared" si="64"/>
        <v/>
      </c>
      <c r="V100" s="482" t="str">
        <f t="shared" si="65"/>
        <v/>
      </c>
      <c r="W100" s="169"/>
      <c r="X100" s="169"/>
      <c r="Y100" s="169"/>
      <c r="Z100" s="251"/>
      <c r="AA100" s="251"/>
      <c r="AB100" s="483"/>
      <c r="AC100" s="483"/>
      <c r="AD100" s="483"/>
      <c r="AE100" s="483"/>
      <c r="AF100" s="483"/>
      <c r="AG100" s="254" t="str">
        <f t="shared" si="66"/>
        <v/>
      </c>
      <c r="AH100" s="254" t="str">
        <f t="shared" si="67"/>
        <v/>
      </c>
      <c r="AI100" s="254" t="str">
        <f t="shared" si="68"/>
        <v/>
      </c>
      <c r="AJ100" s="254" t="str">
        <f t="shared" si="69"/>
        <v/>
      </c>
      <c r="AK100" s="254" t="str">
        <f t="shared" si="70"/>
        <v/>
      </c>
      <c r="AL100" s="255" t="str" cm="1">
        <f t="array" ref="AL100">IFERROR(IF(INDEX(_xlfn.ANCHORARRAY($BO$4),ROW()-5,2)="","",_xlfn.XLOOKUP(INDEX(_xlfn.ANCHORARRAY($BO$4),ROW()-5,2),'Short Circuit'!$A$6:$A$255,'Short Circuit'!$J$6:$J$255,"")),"")</f>
        <v/>
      </c>
      <c r="AM100" s="254" t="str">
        <f t="shared" si="71"/>
        <v/>
      </c>
      <c r="AN100" s="254" t="str">
        <f t="shared" si="72"/>
        <v/>
      </c>
      <c r="AO100" s="254" t="str">
        <f t="shared" si="73"/>
        <v/>
      </c>
      <c r="AP100" s="255" t="str">
        <f t="shared" si="74"/>
        <v/>
      </c>
      <c r="AQ100" s="255" t="str">
        <f t="shared" si="75"/>
        <v/>
      </c>
      <c r="AR100" s="255" t="str">
        <f t="shared" si="76"/>
        <v/>
      </c>
      <c r="AS100" s="255" t="str" cm="1">
        <f t="array" ref="AS100">IFERROR(IF($AP100="","",INDEX(AIC_List,MATCH(TRUE,AIC_List&gt;=$AP100,0))),"⚠ &gt; 200 kA")</f>
        <v/>
      </c>
      <c r="AT100" s="255" t="str">
        <f t="shared" si="77"/>
        <v/>
      </c>
      <c r="AU100" s="290" t="str" cm="1">
        <f t="array" ref="AU100">IFERROR(IF($AK100="","",INDEX(Ampacity_Size,MATCH(TRUE,Ampacity_Cu&gt;=1.25*$AK100/$AT100,0))),"—")</f>
        <v/>
      </c>
      <c r="AV100" s="290" t="str" cm="1">
        <f t="array" ref="AV100">IF($AU100="","",IFERROR(INDEX(Gec_Cu,MATCH(TRUE,Gec_CM&gt;=INDEX(Ampacity_CM,MATCH($AU100,Ampacity_Size,0))*$AT100,0)),"—"))</f>
        <v/>
      </c>
      <c r="AW100" s="290" t="str" cm="1">
        <f t="array" ref="AW100">IF($AU100="","",IFERROR(IF(INDEX(Ampacity_CM,MATCH($AU100,Ampacity_Size,0))*$AT100&gt;1100000,"12.5% of phase area",INDEX(Gec_Cu,MATCH(TRUE,Gec_CM&gt;=INDEX(Ampacity_CM,MATCH($AU100,Ampacity_Size,0))*$AT100,0))),"—"))</f>
        <v/>
      </c>
      <c r="AX100" s="533" t="str">
        <f t="shared" si="78"/>
        <v/>
      </c>
      <c r="AY100" s="533" t="str">
        <f t="shared" si="79"/>
        <v/>
      </c>
      <c r="AZ100" s="20" t="str">
        <f t="shared" si="80"/>
        <v/>
      </c>
    </row>
    <row r="101" spans="1:52" ht="15" customHeight="1" x14ac:dyDescent="0.35">
      <c r="A101" s="362" t="str" cm="1">
        <f t="array" ref="A101">IFERROR(IF(INDEX(_xlfn.ANCHORARRAY($BO$4),ROW()-5,1)="","","T-"&amp;INDEX(_xlfn.ANCHORARRAY($BO$4),ROW()-5,1)),"")</f>
        <v/>
      </c>
      <c r="B101" s="362" t="str" cm="1">
        <f t="array" ref="B101">IFERROR(IF(INDEX(_xlfn.ANCHORARRAY($BO$4),ROW()-5,1)="","",INDEX(_xlfn.ANCHORARRAY($BO$4),ROW()-5,1)),"")</f>
        <v/>
      </c>
      <c r="C101" s="362" t="str" cm="1">
        <f t="array" ref="C101">IFERROR(INDEX(_xlfn.ANCHORARRAY($BO$4),ROW()-5,5),"")</f>
        <v/>
      </c>
      <c r="D101" s="362" t="str" cm="1">
        <f t="array" ref="D101">IFERROR(INDEX(_xlfn.ANCHORARRAY($BO$4),ROW()-5,3),"")</f>
        <v/>
      </c>
      <c r="E101" s="362" t="str" cm="1">
        <f t="array" ref="E101">IFERROR(INDEX(_xlfn.ANCHORARRAY($BO$4),ROW()-5,4),"")</f>
        <v/>
      </c>
      <c r="F101" s="36" t="str" cm="1">
        <f t="array" ref="F101">IFERROR(INDEX(_xlfn.ANCHORARRAY($BO$4),ROW()-5,6),"")</f>
        <v/>
      </c>
      <c r="G101" s="362" t="str" cm="1">
        <f t="array" ref="G101">IF($F101="","",_xlfn.LET(_xlpm.ov,N(IFERROR(_xlfn.XLOOKUP($B101,Dashboard!$A$101:$A$350,Dashboard!$O$101:$O$350,0),0)),_xlpm.need,MAX(N($F101),_xlpm.ov*N($E101)*IF($C101=3,SQRT(3),1)/1000),IFERROR(INDEX(IF($C101=1,Xfmr1_kVA,Xfmr3_kVA),MATCH(TRUE,IF($C101=1,Xfmr1_kVA,Xfmr3_kVA)&gt;=_xlpm.need,0)),"OVER")))</f>
        <v/>
      </c>
      <c r="H101" s="362" t="str">
        <f t="shared" si="54"/>
        <v/>
      </c>
      <c r="I101" s="168" t="str">
        <f t="shared" si="55"/>
        <v/>
      </c>
      <c r="J101" s="362" t="str">
        <f t="shared" si="56"/>
        <v/>
      </c>
      <c r="K101" s="362" t="str">
        <f t="shared" si="57"/>
        <v/>
      </c>
      <c r="L101" s="362" t="str">
        <f t="shared" si="58"/>
        <v/>
      </c>
      <c r="M101" s="168" t="str" cm="1">
        <f t="array" ref="M101">IF($Z101&lt;&gt;"",$Z101,IFERROR(IF($AJ101="","",INDEX(OCPD_List,MATCH(TRUE,OCPD_List&gt;=1.25*$AJ101,0))),"—"))</f>
        <v/>
      </c>
      <c r="N101" s="168" t="str" cm="1">
        <f t="array" ref="N101">IF($AA101&lt;&gt;"",$AA101,IFERROR(IF($AK101="","",INDEX(OCPD_List,MATCH(TRUE,OCPD_List&gt;=1.25*$AK101,0))),"—"))</f>
        <v/>
      </c>
      <c r="O101" s="171" t="str">
        <f t="shared" si="59"/>
        <v/>
      </c>
      <c r="P101" s="171" t="str">
        <f t="shared" si="60"/>
        <v/>
      </c>
      <c r="Q101" s="78" t="str">
        <f t="shared" si="61"/>
        <v/>
      </c>
      <c r="R101" s="371"/>
      <c r="S101" s="481" t="str">
        <f t="shared" si="62"/>
        <v/>
      </c>
      <c r="T101" s="482" t="str">
        <f t="shared" si="63"/>
        <v/>
      </c>
      <c r="U101" s="482" t="str">
        <f t="shared" si="64"/>
        <v/>
      </c>
      <c r="V101" s="482" t="str">
        <f t="shared" si="65"/>
        <v/>
      </c>
      <c r="W101" s="169"/>
      <c r="X101" s="169"/>
      <c r="Y101" s="169"/>
      <c r="Z101" s="251"/>
      <c r="AA101" s="251"/>
      <c r="AB101" s="483"/>
      <c r="AC101" s="483"/>
      <c r="AD101" s="483"/>
      <c r="AE101" s="483"/>
      <c r="AF101" s="483"/>
      <c r="AG101" s="254" t="str">
        <f t="shared" si="66"/>
        <v/>
      </c>
      <c r="AH101" s="254" t="str">
        <f t="shared" si="67"/>
        <v/>
      </c>
      <c r="AI101" s="254" t="str">
        <f t="shared" si="68"/>
        <v/>
      </c>
      <c r="AJ101" s="254" t="str">
        <f t="shared" si="69"/>
        <v/>
      </c>
      <c r="AK101" s="254" t="str">
        <f t="shared" si="70"/>
        <v/>
      </c>
      <c r="AL101" s="255" t="str" cm="1">
        <f t="array" ref="AL101">IFERROR(IF(INDEX(_xlfn.ANCHORARRAY($BO$4),ROW()-5,2)="","",_xlfn.XLOOKUP(INDEX(_xlfn.ANCHORARRAY($BO$4),ROW()-5,2),'Short Circuit'!$A$6:$A$255,'Short Circuit'!$J$6:$J$255,"")),"")</f>
        <v/>
      </c>
      <c r="AM101" s="254" t="str">
        <f t="shared" si="71"/>
        <v/>
      </c>
      <c r="AN101" s="254" t="str">
        <f t="shared" si="72"/>
        <v/>
      </c>
      <c r="AO101" s="254" t="str">
        <f t="shared" si="73"/>
        <v/>
      </c>
      <c r="AP101" s="255" t="str">
        <f t="shared" si="74"/>
        <v/>
      </c>
      <c r="AQ101" s="255" t="str">
        <f t="shared" si="75"/>
        <v/>
      </c>
      <c r="AR101" s="255" t="str">
        <f t="shared" si="76"/>
        <v/>
      </c>
      <c r="AS101" s="255" t="str" cm="1">
        <f t="array" ref="AS101">IFERROR(IF($AP101="","",INDEX(AIC_List,MATCH(TRUE,AIC_List&gt;=$AP101,0))),"⚠ &gt; 200 kA")</f>
        <v/>
      </c>
      <c r="AT101" s="255" t="str">
        <f t="shared" si="77"/>
        <v/>
      </c>
      <c r="AU101" s="290" t="str" cm="1">
        <f t="array" ref="AU101">IFERROR(IF($AK101="","",INDEX(Ampacity_Size,MATCH(TRUE,Ampacity_Cu&gt;=1.25*$AK101/$AT101,0))),"—")</f>
        <v/>
      </c>
      <c r="AV101" s="290" t="str" cm="1">
        <f t="array" ref="AV101">IF($AU101="","",IFERROR(INDEX(Gec_Cu,MATCH(TRUE,Gec_CM&gt;=INDEX(Ampacity_CM,MATCH($AU101,Ampacity_Size,0))*$AT101,0)),"—"))</f>
        <v/>
      </c>
      <c r="AW101" s="290" t="str" cm="1">
        <f t="array" ref="AW101">IF($AU101="","",IFERROR(IF(INDEX(Ampacity_CM,MATCH($AU101,Ampacity_Size,0))*$AT101&gt;1100000,"12.5% of phase area",INDEX(Gec_Cu,MATCH(TRUE,Gec_CM&gt;=INDEX(Ampacity_CM,MATCH($AU101,Ampacity_Size,0))*$AT101,0))),"—"))</f>
        <v/>
      </c>
      <c r="AX101" s="533" t="str">
        <f t="shared" si="78"/>
        <v/>
      </c>
      <c r="AY101" s="533" t="str">
        <f t="shared" si="79"/>
        <v/>
      </c>
      <c r="AZ101" s="20" t="str">
        <f t="shared" si="80"/>
        <v/>
      </c>
    </row>
    <row r="102" spans="1:52" ht="15" customHeight="1" x14ac:dyDescent="0.35">
      <c r="A102" s="362" t="str" cm="1">
        <f t="array" ref="A102">IFERROR(IF(INDEX(_xlfn.ANCHORARRAY($BO$4),ROW()-5,1)="","","T-"&amp;INDEX(_xlfn.ANCHORARRAY($BO$4),ROW()-5,1)),"")</f>
        <v/>
      </c>
      <c r="B102" s="362" t="str" cm="1">
        <f t="array" ref="B102">IFERROR(IF(INDEX(_xlfn.ANCHORARRAY($BO$4),ROW()-5,1)="","",INDEX(_xlfn.ANCHORARRAY($BO$4),ROW()-5,1)),"")</f>
        <v/>
      </c>
      <c r="C102" s="362" t="str" cm="1">
        <f t="array" ref="C102">IFERROR(INDEX(_xlfn.ANCHORARRAY($BO$4),ROW()-5,5),"")</f>
        <v/>
      </c>
      <c r="D102" s="362" t="str" cm="1">
        <f t="array" ref="D102">IFERROR(INDEX(_xlfn.ANCHORARRAY($BO$4),ROW()-5,3),"")</f>
        <v/>
      </c>
      <c r="E102" s="362" t="str" cm="1">
        <f t="array" ref="E102">IFERROR(INDEX(_xlfn.ANCHORARRAY($BO$4),ROW()-5,4),"")</f>
        <v/>
      </c>
      <c r="F102" s="36" t="str" cm="1">
        <f t="array" ref="F102">IFERROR(INDEX(_xlfn.ANCHORARRAY($BO$4),ROW()-5,6),"")</f>
        <v/>
      </c>
      <c r="G102" s="362" t="str" cm="1">
        <f t="array" ref="G102">IF($F102="","",_xlfn.LET(_xlpm.ov,N(IFERROR(_xlfn.XLOOKUP($B102,Dashboard!$A$101:$A$350,Dashboard!$O$101:$O$350,0),0)),_xlpm.need,MAX(N($F102),_xlpm.ov*N($E102)*IF($C102=3,SQRT(3),1)/1000),IFERROR(INDEX(IF($C102=1,Xfmr1_kVA,Xfmr3_kVA),MATCH(TRUE,IF($C102=1,Xfmr1_kVA,Xfmr3_kVA)&gt;=_xlpm.need,0)),"OVER")))</f>
        <v/>
      </c>
      <c r="H102" s="362" t="str">
        <f t="shared" si="54"/>
        <v/>
      </c>
      <c r="I102" s="168" t="str">
        <f t="shared" si="55"/>
        <v/>
      </c>
      <c r="J102" s="362" t="str">
        <f t="shared" si="56"/>
        <v/>
      </c>
      <c r="K102" s="362" t="str">
        <f t="shared" si="57"/>
        <v/>
      </c>
      <c r="L102" s="362" t="str">
        <f t="shared" si="58"/>
        <v/>
      </c>
      <c r="M102" s="168" t="str" cm="1">
        <f t="array" ref="M102">IF($Z102&lt;&gt;"",$Z102,IFERROR(IF($AJ102="","",INDEX(OCPD_List,MATCH(TRUE,OCPD_List&gt;=1.25*$AJ102,0))),"—"))</f>
        <v/>
      </c>
      <c r="N102" s="168" t="str" cm="1">
        <f t="array" ref="N102">IF($AA102&lt;&gt;"",$AA102,IFERROR(IF($AK102="","",INDEX(OCPD_List,MATCH(TRUE,OCPD_List&gt;=1.25*$AK102,0))),"—"))</f>
        <v/>
      </c>
      <c r="O102" s="171" t="str">
        <f t="shared" si="59"/>
        <v/>
      </c>
      <c r="P102" s="171" t="str">
        <f t="shared" si="60"/>
        <v/>
      </c>
      <c r="Q102" s="78" t="str">
        <f t="shared" si="61"/>
        <v/>
      </c>
      <c r="R102" s="371"/>
      <c r="S102" s="481" t="str">
        <f t="shared" si="62"/>
        <v/>
      </c>
      <c r="T102" s="482" t="str">
        <f t="shared" si="63"/>
        <v/>
      </c>
      <c r="U102" s="482" t="str">
        <f t="shared" si="64"/>
        <v/>
      </c>
      <c r="V102" s="482" t="str">
        <f t="shared" si="65"/>
        <v/>
      </c>
      <c r="W102" s="169"/>
      <c r="X102" s="169"/>
      <c r="Y102" s="169"/>
      <c r="Z102" s="251"/>
      <c r="AA102" s="251"/>
      <c r="AB102" s="483"/>
      <c r="AC102" s="483"/>
      <c r="AD102" s="483"/>
      <c r="AE102" s="483"/>
      <c r="AF102" s="483"/>
      <c r="AG102" s="254" t="str">
        <f t="shared" si="66"/>
        <v/>
      </c>
      <c r="AH102" s="254" t="str">
        <f t="shared" si="67"/>
        <v/>
      </c>
      <c r="AI102" s="254" t="str">
        <f t="shared" si="68"/>
        <v/>
      </c>
      <c r="AJ102" s="254" t="str">
        <f t="shared" si="69"/>
        <v/>
      </c>
      <c r="AK102" s="254" t="str">
        <f t="shared" si="70"/>
        <v/>
      </c>
      <c r="AL102" s="255" t="str" cm="1">
        <f t="array" ref="AL102">IFERROR(IF(INDEX(_xlfn.ANCHORARRAY($BO$4),ROW()-5,2)="","",_xlfn.XLOOKUP(INDEX(_xlfn.ANCHORARRAY($BO$4),ROW()-5,2),'Short Circuit'!$A$6:$A$255,'Short Circuit'!$J$6:$J$255,"")),"")</f>
        <v/>
      </c>
      <c r="AM102" s="254" t="str">
        <f t="shared" si="71"/>
        <v/>
      </c>
      <c r="AN102" s="254" t="str">
        <f t="shared" si="72"/>
        <v/>
      </c>
      <c r="AO102" s="254" t="str">
        <f t="shared" si="73"/>
        <v/>
      </c>
      <c r="AP102" s="255" t="str">
        <f t="shared" si="74"/>
        <v/>
      </c>
      <c r="AQ102" s="255" t="str">
        <f t="shared" si="75"/>
        <v/>
      </c>
      <c r="AR102" s="255" t="str">
        <f t="shared" si="76"/>
        <v/>
      </c>
      <c r="AS102" s="255" t="str" cm="1">
        <f t="array" ref="AS102">IFERROR(IF($AP102="","",INDEX(AIC_List,MATCH(TRUE,AIC_List&gt;=$AP102,0))),"⚠ &gt; 200 kA")</f>
        <v/>
      </c>
      <c r="AT102" s="255" t="str">
        <f t="shared" si="77"/>
        <v/>
      </c>
      <c r="AU102" s="290" t="str" cm="1">
        <f t="array" ref="AU102">IFERROR(IF($AK102="","",INDEX(Ampacity_Size,MATCH(TRUE,Ampacity_Cu&gt;=1.25*$AK102/$AT102,0))),"—")</f>
        <v/>
      </c>
      <c r="AV102" s="290" t="str" cm="1">
        <f t="array" ref="AV102">IF($AU102="","",IFERROR(INDEX(Gec_Cu,MATCH(TRUE,Gec_CM&gt;=INDEX(Ampacity_CM,MATCH($AU102,Ampacity_Size,0))*$AT102,0)),"—"))</f>
        <v/>
      </c>
      <c r="AW102" s="290" t="str" cm="1">
        <f t="array" ref="AW102">IF($AU102="","",IFERROR(IF(INDEX(Ampacity_CM,MATCH($AU102,Ampacity_Size,0))*$AT102&gt;1100000,"12.5% of phase area",INDEX(Gec_Cu,MATCH(TRUE,Gec_CM&gt;=INDEX(Ampacity_CM,MATCH($AU102,Ampacity_Size,0))*$AT102,0))),"—"))</f>
        <v/>
      </c>
      <c r="AX102" s="533" t="str">
        <f t="shared" si="78"/>
        <v/>
      </c>
      <c r="AY102" s="533" t="str">
        <f t="shared" si="79"/>
        <v/>
      </c>
      <c r="AZ102" s="20" t="str">
        <f t="shared" si="80"/>
        <v/>
      </c>
    </row>
    <row r="103" spans="1:52" ht="15" customHeight="1" x14ac:dyDescent="0.35">
      <c r="A103" s="362" t="str" cm="1">
        <f t="array" ref="A103">IFERROR(IF(INDEX(_xlfn.ANCHORARRAY($BO$4),ROW()-5,1)="","","T-"&amp;INDEX(_xlfn.ANCHORARRAY($BO$4),ROW()-5,1)),"")</f>
        <v/>
      </c>
      <c r="B103" s="362" t="str" cm="1">
        <f t="array" ref="B103">IFERROR(IF(INDEX(_xlfn.ANCHORARRAY($BO$4),ROW()-5,1)="","",INDEX(_xlfn.ANCHORARRAY($BO$4),ROW()-5,1)),"")</f>
        <v/>
      </c>
      <c r="C103" s="362" t="str" cm="1">
        <f t="array" ref="C103">IFERROR(INDEX(_xlfn.ANCHORARRAY($BO$4),ROW()-5,5),"")</f>
        <v/>
      </c>
      <c r="D103" s="362" t="str" cm="1">
        <f t="array" ref="D103">IFERROR(INDEX(_xlfn.ANCHORARRAY($BO$4),ROW()-5,3),"")</f>
        <v/>
      </c>
      <c r="E103" s="362" t="str" cm="1">
        <f t="array" ref="E103">IFERROR(INDEX(_xlfn.ANCHORARRAY($BO$4),ROW()-5,4),"")</f>
        <v/>
      </c>
      <c r="F103" s="36" t="str" cm="1">
        <f t="array" ref="F103">IFERROR(INDEX(_xlfn.ANCHORARRAY($BO$4),ROW()-5,6),"")</f>
        <v/>
      </c>
      <c r="G103" s="362" t="str" cm="1">
        <f t="array" ref="G103">IF($F103="","",_xlfn.LET(_xlpm.ov,N(IFERROR(_xlfn.XLOOKUP($B103,Dashboard!$A$101:$A$350,Dashboard!$O$101:$O$350,0),0)),_xlpm.need,MAX(N($F103),_xlpm.ov*N($E103)*IF($C103=3,SQRT(3),1)/1000),IFERROR(INDEX(IF($C103=1,Xfmr1_kVA,Xfmr3_kVA),MATCH(TRUE,IF($C103=1,Xfmr1_kVA,Xfmr3_kVA)&gt;=_xlpm.need,0)),"OVER")))</f>
        <v/>
      </c>
      <c r="H103" s="362" t="str">
        <f t="shared" si="54"/>
        <v/>
      </c>
      <c r="I103" s="168" t="str">
        <f t="shared" si="55"/>
        <v/>
      </c>
      <c r="J103" s="362" t="str">
        <f t="shared" si="56"/>
        <v/>
      </c>
      <c r="K103" s="362" t="str">
        <f t="shared" si="57"/>
        <v/>
      </c>
      <c r="L103" s="362" t="str">
        <f t="shared" si="58"/>
        <v/>
      </c>
      <c r="M103" s="168" t="str" cm="1">
        <f t="array" ref="M103">IF($Z103&lt;&gt;"",$Z103,IFERROR(IF($AJ103="","",INDEX(OCPD_List,MATCH(TRUE,OCPD_List&gt;=1.25*$AJ103,0))),"—"))</f>
        <v/>
      </c>
      <c r="N103" s="168" t="str" cm="1">
        <f t="array" ref="N103">IF($AA103&lt;&gt;"",$AA103,IFERROR(IF($AK103="","",INDEX(OCPD_List,MATCH(TRUE,OCPD_List&gt;=1.25*$AK103,0))),"—"))</f>
        <v/>
      </c>
      <c r="O103" s="171" t="str">
        <f t="shared" si="59"/>
        <v/>
      </c>
      <c r="P103" s="171" t="str">
        <f t="shared" si="60"/>
        <v/>
      </c>
      <c r="Q103" s="78" t="str">
        <f t="shared" si="61"/>
        <v/>
      </c>
      <c r="R103" s="371"/>
      <c r="S103" s="481" t="str">
        <f t="shared" si="62"/>
        <v/>
      </c>
      <c r="T103" s="482" t="str">
        <f t="shared" si="63"/>
        <v/>
      </c>
      <c r="U103" s="482" t="str">
        <f t="shared" si="64"/>
        <v/>
      </c>
      <c r="V103" s="482" t="str">
        <f t="shared" si="65"/>
        <v/>
      </c>
      <c r="W103" s="169"/>
      <c r="X103" s="169"/>
      <c r="Y103" s="169"/>
      <c r="Z103" s="251"/>
      <c r="AA103" s="251"/>
      <c r="AB103" s="483"/>
      <c r="AC103" s="483"/>
      <c r="AD103" s="483"/>
      <c r="AE103" s="483"/>
      <c r="AF103" s="483"/>
      <c r="AG103" s="254" t="str">
        <f t="shared" si="66"/>
        <v/>
      </c>
      <c r="AH103" s="254" t="str">
        <f t="shared" si="67"/>
        <v/>
      </c>
      <c r="AI103" s="254" t="str">
        <f t="shared" si="68"/>
        <v/>
      </c>
      <c r="AJ103" s="254" t="str">
        <f t="shared" si="69"/>
        <v/>
      </c>
      <c r="AK103" s="254" t="str">
        <f t="shared" si="70"/>
        <v/>
      </c>
      <c r="AL103" s="255" t="str" cm="1">
        <f t="array" ref="AL103">IFERROR(IF(INDEX(_xlfn.ANCHORARRAY($BO$4),ROW()-5,2)="","",_xlfn.XLOOKUP(INDEX(_xlfn.ANCHORARRAY($BO$4),ROW()-5,2),'Short Circuit'!$A$6:$A$255,'Short Circuit'!$J$6:$J$255,"")),"")</f>
        <v/>
      </c>
      <c r="AM103" s="254" t="str">
        <f t="shared" si="71"/>
        <v/>
      </c>
      <c r="AN103" s="254" t="str">
        <f t="shared" si="72"/>
        <v/>
      </c>
      <c r="AO103" s="254" t="str">
        <f t="shared" si="73"/>
        <v/>
      </c>
      <c r="AP103" s="255" t="str">
        <f t="shared" si="74"/>
        <v/>
      </c>
      <c r="AQ103" s="255" t="str">
        <f t="shared" si="75"/>
        <v/>
      </c>
      <c r="AR103" s="255" t="str">
        <f t="shared" si="76"/>
        <v/>
      </c>
      <c r="AS103" s="255" t="str" cm="1">
        <f t="array" ref="AS103">IFERROR(IF($AP103="","",INDEX(AIC_List,MATCH(TRUE,AIC_List&gt;=$AP103,0))),"⚠ &gt; 200 kA")</f>
        <v/>
      </c>
      <c r="AT103" s="255" t="str">
        <f t="shared" si="77"/>
        <v/>
      </c>
      <c r="AU103" s="290" t="str" cm="1">
        <f t="array" ref="AU103">IFERROR(IF($AK103="","",INDEX(Ampacity_Size,MATCH(TRUE,Ampacity_Cu&gt;=1.25*$AK103/$AT103,0))),"—")</f>
        <v/>
      </c>
      <c r="AV103" s="290" t="str" cm="1">
        <f t="array" ref="AV103">IF($AU103="","",IFERROR(INDEX(Gec_Cu,MATCH(TRUE,Gec_CM&gt;=INDEX(Ampacity_CM,MATCH($AU103,Ampacity_Size,0))*$AT103,0)),"—"))</f>
        <v/>
      </c>
      <c r="AW103" s="290" t="str" cm="1">
        <f t="array" ref="AW103">IF($AU103="","",IFERROR(IF(INDEX(Ampacity_CM,MATCH($AU103,Ampacity_Size,0))*$AT103&gt;1100000,"12.5% of phase area",INDEX(Gec_Cu,MATCH(TRUE,Gec_CM&gt;=INDEX(Ampacity_CM,MATCH($AU103,Ampacity_Size,0))*$AT103,0))),"—"))</f>
        <v/>
      </c>
      <c r="AX103" s="533" t="str">
        <f t="shared" si="78"/>
        <v/>
      </c>
      <c r="AY103" s="533" t="str">
        <f t="shared" si="79"/>
        <v/>
      </c>
      <c r="AZ103" s="20" t="str">
        <f t="shared" si="80"/>
        <v/>
      </c>
    </row>
    <row r="104" spans="1:52" ht="15" customHeight="1" x14ac:dyDescent="0.35">
      <c r="A104" s="362" t="str" cm="1">
        <f t="array" ref="A104">IFERROR(IF(INDEX(_xlfn.ANCHORARRAY($BO$4),ROW()-5,1)="","","T-"&amp;INDEX(_xlfn.ANCHORARRAY($BO$4),ROW()-5,1)),"")</f>
        <v/>
      </c>
      <c r="B104" s="362" t="str" cm="1">
        <f t="array" ref="B104">IFERROR(IF(INDEX(_xlfn.ANCHORARRAY($BO$4),ROW()-5,1)="","",INDEX(_xlfn.ANCHORARRAY($BO$4),ROW()-5,1)),"")</f>
        <v/>
      </c>
      <c r="C104" s="362" t="str" cm="1">
        <f t="array" ref="C104">IFERROR(INDEX(_xlfn.ANCHORARRAY($BO$4),ROW()-5,5),"")</f>
        <v/>
      </c>
      <c r="D104" s="362" t="str" cm="1">
        <f t="array" ref="D104">IFERROR(INDEX(_xlfn.ANCHORARRAY($BO$4),ROW()-5,3),"")</f>
        <v/>
      </c>
      <c r="E104" s="362" t="str" cm="1">
        <f t="array" ref="E104">IFERROR(INDEX(_xlfn.ANCHORARRAY($BO$4),ROW()-5,4),"")</f>
        <v/>
      </c>
      <c r="F104" s="36" t="str" cm="1">
        <f t="array" ref="F104">IFERROR(INDEX(_xlfn.ANCHORARRAY($BO$4),ROW()-5,6),"")</f>
        <v/>
      </c>
      <c r="G104" s="362" t="str" cm="1">
        <f t="array" ref="G104">IF($F104="","",_xlfn.LET(_xlpm.ov,N(IFERROR(_xlfn.XLOOKUP($B104,Dashboard!$A$101:$A$350,Dashboard!$O$101:$O$350,0),0)),_xlpm.need,MAX(N($F104),_xlpm.ov*N($E104)*IF($C104=3,SQRT(3),1)/1000),IFERROR(INDEX(IF($C104=1,Xfmr1_kVA,Xfmr3_kVA),MATCH(TRUE,IF($C104=1,Xfmr1_kVA,Xfmr3_kVA)&gt;=_xlpm.need,0)),"OVER")))</f>
        <v/>
      </c>
      <c r="H104" s="362" t="str">
        <f t="shared" si="54"/>
        <v/>
      </c>
      <c r="I104" s="168" t="str">
        <f t="shared" si="55"/>
        <v/>
      </c>
      <c r="J104" s="362" t="str">
        <f t="shared" si="56"/>
        <v/>
      </c>
      <c r="K104" s="362" t="str">
        <f t="shared" si="57"/>
        <v/>
      </c>
      <c r="L104" s="362" t="str">
        <f t="shared" si="58"/>
        <v/>
      </c>
      <c r="M104" s="168" t="str" cm="1">
        <f t="array" ref="M104">IF($Z104&lt;&gt;"",$Z104,IFERROR(IF($AJ104="","",INDEX(OCPD_List,MATCH(TRUE,OCPD_List&gt;=1.25*$AJ104,0))),"—"))</f>
        <v/>
      </c>
      <c r="N104" s="168" t="str" cm="1">
        <f t="array" ref="N104">IF($AA104&lt;&gt;"",$AA104,IFERROR(IF($AK104="","",INDEX(OCPD_List,MATCH(TRUE,OCPD_List&gt;=1.25*$AK104,0))),"—"))</f>
        <v/>
      </c>
      <c r="O104" s="171" t="str">
        <f t="shared" si="59"/>
        <v/>
      </c>
      <c r="P104" s="171" t="str">
        <f t="shared" si="60"/>
        <v/>
      </c>
      <c r="Q104" s="78" t="str">
        <f t="shared" si="61"/>
        <v/>
      </c>
      <c r="R104" s="371"/>
      <c r="S104" s="481" t="str">
        <f t="shared" si="62"/>
        <v/>
      </c>
      <c r="T104" s="482" t="str">
        <f t="shared" si="63"/>
        <v/>
      </c>
      <c r="U104" s="482" t="str">
        <f t="shared" si="64"/>
        <v/>
      </c>
      <c r="V104" s="482" t="str">
        <f t="shared" si="65"/>
        <v/>
      </c>
      <c r="W104" s="169"/>
      <c r="X104" s="169"/>
      <c r="Y104" s="169"/>
      <c r="Z104" s="251"/>
      <c r="AA104" s="251"/>
      <c r="AB104" s="483"/>
      <c r="AC104" s="483"/>
      <c r="AD104" s="483"/>
      <c r="AE104" s="483"/>
      <c r="AF104" s="483"/>
      <c r="AG104" s="254" t="str">
        <f t="shared" si="66"/>
        <v/>
      </c>
      <c r="AH104" s="254" t="str">
        <f t="shared" si="67"/>
        <v/>
      </c>
      <c r="AI104" s="254" t="str">
        <f t="shared" si="68"/>
        <v/>
      </c>
      <c r="AJ104" s="254" t="str">
        <f t="shared" si="69"/>
        <v/>
      </c>
      <c r="AK104" s="254" t="str">
        <f t="shared" si="70"/>
        <v/>
      </c>
      <c r="AL104" s="255" t="str" cm="1">
        <f t="array" ref="AL104">IFERROR(IF(INDEX(_xlfn.ANCHORARRAY($BO$4),ROW()-5,2)="","",_xlfn.XLOOKUP(INDEX(_xlfn.ANCHORARRAY($BO$4),ROW()-5,2),'Short Circuit'!$A$6:$A$255,'Short Circuit'!$J$6:$J$255,"")),"")</f>
        <v/>
      </c>
      <c r="AM104" s="254" t="str">
        <f t="shared" si="71"/>
        <v/>
      </c>
      <c r="AN104" s="254" t="str">
        <f t="shared" si="72"/>
        <v/>
      </c>
      <c r="AO104" s="254" t="str">
        <f t="shared" si="73"/>
        <v/>
      </c>
      <c r="AP104" s="255" t="str">
        <f t="shared" si="74"/>
        <v/>
      </c>
      <c r="AQ104" s="255" t="str">
        <f t="shared" si="75"/>
        <v/>
      </c>
      <c r="AR104" s="255" t="str">
        <f t="shared" si="76"/>
        <v/>
      </c>
      <c r="AS104" s="255" t="str" cm="1">
        <f t="array" ref="AS104">IFERROR(IF($AP104="","",INDEX(AIC_List,MATCH(TRUE,AIC_List&gt;=$AP104,0))),"⚠ &gt; 200 kA")</f>
        <v/>
      </c>
      <c r="AT104" s="255" t="str">
        <f t="shared" si="77"/>
        <v/>
      </c>
      <c r="AU104" s="290" t="str" cm="1">
        <f t="array" ref="AU104">IFERROR(IF($AK104="","",INDEX(Ampacity_Size,MATCH(TRUE,Ampacity_Cu&gt;=1.25*$AK104/$AT104,0))),"—")</f>
        <v/>
      </c>
      <c r="AV104" s="290" t="str" cm="1">
        <f t="array" ref="AV104">IF($AU104="","",IFERROR(INDEX(Gec_Cu,MATCH(TRUE,Gec_CM&gt;=INDEX(Ampacity_CM,MATCH($AU104,Ampacity_Size,0))*$AT104,0)),"—"))</f>
        <v/>
      </c>
      <c r="AW104" s="290" t="str" cm="1">
        <f t="array" ref="AW104">IF($AU104="","",IFERROR(IF(INDEX(Ampacity_CM,MATCH($AU104,Ampacity_Size,0))*$AT104&gt;1100000,"12.5% of phase area",INDEX(Gec_Cu,MATCH(TRUE,Gec_CM&gt;=INDEX(Ampacity_CM,MATCH($AU104,Ampacity_Size,0))*$AT104,0))),"—"))</f>
        <v/>
      </c>
      <c r="AX104" s="533" t="str">
        <f t="shared" si="78"/>
        <v/>
      </c>
      <c r="AY104" s="533" t="str">
        <f t="shared" si="79"/>
        <v/>
      </c>
      <c r="AZ104" s="20" t="str">
        <f t="shared" si="80"/>
        <v/>
      </c>
    </row>
    <row r="105" spans="1:52" ht="15" customHeight="1" x14ac:dyDescent="0.35">
      <c r="A105" s="362" t="str" cm="1">
        <f t="array" ref="A105">IFERROR(IF(INDEX(_xlfn.ANCHORARRAY($BO$4),ROW()-5,1)="","","T-"&amp;INDEX(_xlfn.ANCHORARRAY($BO$4),ROW()-5,1)),"")</f>
        <v/>
      </c>
      <c r="B105" s="362" t="str" cm="1">
        <f t="array" ref="B105">IFERROR(IF(INDEX(_xlfn.ANCHORARRAY($BO$4),ROW()-5,1)="","",INDEX(_xlfn.ANCHORARRAY($BO$4),ROW()-5,1)),"")</f>
        <v/>
      </c>
      <c r="C105" s="362" t="str" cm="1">
        <f t="array" ref="C105">IFERROR(INDEX(_xlfn.ANCHORARRAY($BO$4),ROW()-5,5),"")</f>
        <v/>
      </c>
      <c r="D105" s="362" t="str" cm="1">
        <f t="array" ref="D105">IFERROR(INDEX(_xlfn.ANCHORARRAY($BO$4),ROW()-5,3),"")</f>
        <v/>
      </c>
      <c r="E105" s="362" t="str" cm="1">
        <f t="array" ref="E105">IFERROR(INDEX(_xlfn.ANCHORARRAY($BO$4),ROW()-5,4),"")</f>
        <v/>
      </c>
      <c r="F105" s="36" t="str" cm="1">
        <f t="array" ref="F105">IFERROR(INDEX(_xlfn.ANCHORARRAY($BO$4),ROW()-5,6),"")</f>
        <v/>
      </c>
      <c r="G105" s="362" t="str" cm="1">
        <f t="array" ref="G105">IF($F105="","",_xlfn.LET(_xlpm.ov,N(IFERROR(_xlfn.XLOOKUP($B105,Dashboard!$A$101:$A$350,Dashboard!$O$101:$O$350,0),0)),_xlpm.need,MAX(N($F105),_xlpm.ov*N($E105)*IF($C105=3,SQRT(3),1)/1000),IFERROR(INDEX(IF($C105=1,Xfmr1_kVA,Xfmr3_kVA),MATCH(TRUE,IF($C105=1,Xfmr1_kVA,Xfmr3_kVA)&gt;=_xlpm.need,0)),"OVER")))</f>
        <v/>
      </c>
      <c r="H105" s="362" t="str">
        <f t="shared" si="54"/>
        <v/>
      </c>
      <c r="I105" s="168" t="str">
        <f t="shared" si="55"/>
        <v/>
      </c>
      <c r="J105" s="362" t="str">
        <f t="shared" si="56"/>
        <v/>
      </c>
      <c r="K105" s="362" t="str">
        <f t="shared" si="57"/>
        <v/>
      </c>
      <c r="L105" s="362" t="str">
        <f t="shared" si="58"/>
        <v/>
      </c>
      <c r="M105" s="168" t="str" cm="1">
        <f t="array" ref="M105">IF($Z105&lt;&gt;"",$Z105,IFERROR(IF($AJ105="","",INDEX(OCPD_List,MATCH(TRUE,OCPD_List&gt;=1.25*$AJ105,0))),"—"))</f>
        <v/>
      </c>
      <c r="N105" s="168" t="str" cm="1">
        <f t="array" ref="N105">IF($AA105&lt;&gt;"",$AA105,IFERROR(IF($AK105="","",INDEX(OCPD_List,MATCH(TRUE,OCPD_List&gt;=1.25*$AK105,0))),"—"))</f>
        <v/>
      </c>
      <c r="O105" s="171" t="str">
        <f t="shared" si="59"/>
        <v/>
      </c>
      <c r="P105" s="171" t="str">
        <f t="shared" si="60"/>
        <v/>
      </c>
      <c r="Q105" s="78" t="str">
        <f t="shared" si="61"/>
        <v/>
      </c>
      <c r="R105" s="371"/>
      <c r="S105" s="481" t="str">
        <f t="shared" si="62"/>
        <v/>
      </c>
      <c r="T105" s="482" t="str">
        <f t="shared" si="63"/>
        <v/>
      </c>
      <c r="U105" s="482" t="str">
        <f t="shared" si="64"/>
        <v/>
      </c>
      <c r="V105" s="482" t="str">
        <f t="shared" si="65"/>
        <v/>
      </c>
      <c r="W105" s="169"/>
      <c r="X105" s="169"/>
      <c r="Y105" s="169"/>
      <c r="Z105" s="251"/>
      <c r="AA105" s="251"/>
      <c r="AB105" s="483"/>
      <c r="AC105" s="483"/>
      <c r="AD105" s="483"/>
      <c r="AE105" s="483"/>
      <c r="AF105" s="483"/>
      <c r="AG105" s="254" t="str">
        <f t="shared" si="66"/>
        <v/>
      </c>
      <c r="AH105" s="254" t="str">
        <f t="shared" si="67"/>
        <v/>
      </c>
      <c r="AI105" s="254" t="str">
        <f t="shared" si="68"/>
        <v/>
      </c>
      <c r="AJ105" s="254" t="str">
        <f t="shared" si="69"/>
        <v/>
      </c>
      <c r="AK105" s="254" t="str">
        <f t="shared" si="70"/>
        <v/>
      </c>
      <c r="AL105" s="255" t="str" cm="1">
        <f t="array" ref="AL105">IFERROR(IF(INDEX(_xlfn.ANCHORARRAY($BO$4),ROW()-5,2)="","",_xlfn.XLOOKUP(INDEX(_xlfn.ANCHORARRAY($BO$4),ROW()-5,2),'Short Circuit'!$A$6:$A$255,'Short Circuit'!$J$6:$J$255,"")),"")</f>
        <v/>
      </c>
      <c r="AM105" s="254" t="str">
        <f t="shared" si="71"/>
        <v/>
      </c>
      <c r="AN105" s="254" t="str">
        <f t="shared" si="72"/>
        <v/>
      </c>
      <c r="AO105" s="254" t="str">
        <f t="shared" si="73"/>
        <v/>
      </c>
      <c r="AP105" s="255" t="str">
        <f t="shared" si="74"/>
        <v/>
      </c>
      <c r="AQ105" s="255" t="str">
        <f t="shared" si="75"/>
        <v/>
      </c>
      <c r="AR105" s="255" t="str">
        <f t="shared" si="76"/>
        <v/>
      </c>
      <c r="AS105" s="255" t="str" cm="1">
        <f t="array" ref="AS105">IFERROR(IF($AP105="","",INDEX(AIC_List,MATCH(TRUE,AIC_List&gt;=$AP105,0))),"⚠ &gt; 200 kA")</f>
        <v/>
      </c>
      <c r="AT105" s="255" t="str">
        <f t="shared" si="77"/>
        <v/>
      </c>
      <c r="AU105" s="290" t="str" cm="1">
        <f t="array" ref="AU105">IFERROR(IF($AK105="","",INDEX(Ampacity_Size,MATCH(TRUE,Ampacity_Cu&gt;=1.25*$AK105/$AT105,0))),"—")</f>
        <v/>
      </c>
      <c r="AV105" s="290" t="str" cm="1">
        <f t="array" ref="AV105">IF($AU105="","",IFERROR(INDEX(Gec_Cu,MATCH(TRUE,Gec_CM&gt;=INDEX(Ampacity_CM,MATCH($AU105,Ampacity_Size,0))*$AT105,0)),"—"))</f>
        <v/>
      </c>
      <c r="AW105" s="290" t="str" cm="1">
        <f t="array" ref="AW105">IF($AU105="","",IFERROR(IF(INDEX(Ampacity_CM,MATCH($AU105,Ampacity_Size,0))*$AT105&gt;1100000,"12.5% of phase area",INDEX(Gec_Cu,MATCH(TRUE,Gec_CM&gt;=INDEX(Ampacity_CM,MATCH($AU105,Ampacity_Size,0))*$AT105,0))),"—"))</f>
        <v/>
      </c>
      <c r="AX105" s="533" t="str">
        <f t="shared" si="78"/>
        <v/>
      </c>
      <c r="AY105" s="533" t="str">
        <f t="shared" si="79"/>
        <v/>
      </c>
      <c r="AZ105" s="20" t="str">
        <f t="shared" si="80"/>
        <v/>
      </c>
    </row>
    <row r="108" spans="1:52" ht="30" customHeight="1" x14ac:dyDescent="0.35">
      <c r="A108" s="514" t="s">
        <v>1769</v>
      </c>
      <c r="B108" s="514"/>
      <c r="C108" s="514"/>
      <c r="D108" s="514"/>
      <c r="E108" s="514"/>
      <c r="F108" s="514"/>
      <c r="G108" s="514"/>
      <c r="H108" s="514"/>
      <c r="I108" s="514"/>
      <c r="J108" s="514"/>
      <c r="K108" s="514"/>
      <c r="L108" s="514"/>
      <c r="M108" s="514"/>
      <c r="N108" s="514"/>
      <c r="O108" s="514"/>
      <c r="P108" s="514"/>
      <c r="Q108" s="514"/>
      <c r="R108" s="514"/>
      <c r="S108" s="514"/>
      <c r="T108" s="514"/>
      <c r="U108" s="514"/>
    </row>
    <row r="110" spans="1:52" ht="30" customHeight="1" x14ac:dyDescent="0.35">
      <c r="A110" s="515" t="s">
        <v>198</v>
      </c>
      <c r="B110" s="515" t="s">
        <v>199</v>
      </c>
      <c r="C110" s="515" t="s">
        <v>194</v>
      </c>
      <c r="D110" s="515" t="s">
        <v>200</v>
      </c>
      <c r="E110" s="515" t="s">
        <v>201</v>
      </c>
      <c r="F110" s="515" t="s">
        <v>202</v>
      </c>
      <c r="G110" s="515" t="s">
        <v>203</v>
      </c>
      <c r="H110" s="515" t="s">
        <v>849</v>
      </c>
      <c r="I110" s="515" t="s">
        <v>850</v>
      </c>
      <c r="J110" s="515" t="s">
        <v>851</v>
      </c>
      <c r="K110" s="515" t="s">
        <v>852</v>
      </c>
      <c r="L110" s="515" t="s">
        <v>106</v>
      </c>
      <c r="M110" s="515" t="s">
        <v>853</v>
      </c>
      <c r="N110" s="515" t="s">
        <v>854</v>
      </c>
      <c r="O110" s="515" t="str" cm="1">
        <f t="array" ref="O110">"GEC "&amp;NECREF("250.66")</f>
        <v>GEC 250.66</v>
      </c>
      <c r="P110" s="515" t="str" cm="1">
        <f t="array" ref="P110">"Bonding Jumper "&amp;NECREF("250.102")&amp;"(C)(1)"</f>
        <v>Bonding Jumper 250.102(C)(1)</v>
      </c>
      <c r="Q110" s="515" t="s">
        <v>855</v>
      </c>
      <c r="R110" s="515" t="s">
        <v>206</v>
      </c>
      <c r="S110" s="515" t="s">
        <v>869</v>
      </c>
      <c r="T110" s="515" t="s">
        <v>870</v>
      </c>
      <c r="U110" s="515" t="s">
        <v>1755</v>
      </c>
    </row>
    <row r="111" spans="1:52" x14ac:dyDescent="0.35">
      <c r="A111" s="516" t="str" cm="1">
        <f t="array" ref="A111">_xlfn.LET(_xlpm.x,INDEX(Util_Tags,(ROW()-110)),IF(_xlpm.x="","",_xlpm.x))</f>
        <v/>
      </c>
      <c r="B111" s="517" t="str" cm="1">
        <f t="array" ref="B111">IF($A111="","",_xlfn.LET(_xlpm.f,_xlfn._xlws.FILTER(Equip_List,Equip_FedFrom=$A111,""),IF(INDEX(_xlpm.f,1)="","—",_xlfn.TEXTJOIN(", ",TRUE,_xlpm.f))))</f>
        <v/>
      </c>
      <c r="C111" s="516" t="str">
        <f>IF($A111="","",Cfg_Phase)</f>
        <v/>
      </c>
      <c r="D111" s="518" t="str" cm="1">
        <f t="array" ref="D111">IF($A111="","",_xlfn.LET(_xlpm.x,INDEX(Util_PriV,(ROW()-110)),IF(_xlpm.x="","",_xlpm.x)))</f>
        <v/>
      </c>
      <c r="E111" s="518" t="str" cm="1">
        <f t="array" ref="E111">IF($A111="","",_xlfn.LET(_xlpm.x,INDEX(Util_SecV,(ROW()-110)),IF(_xlpm.x="","",_xlpm.x)))</f>
        <v/>
      </c>
      <c r="F111" s="519" t="str">
        <f>IF($A111="","",_xlfn.LET(_xlpm.k,SUMIFS(Equip_Demand,Equip_FedFrom,$A111),IF(_xlpm.k=0,"",_xlpm.k)))</f>
        <v/>
      </c>
      <c r="G111" s="519" t="str" cm="1">
        <f t="array" ref="G111">IF($A111="","",_xlfn.LET(_xlpm.x,INDEX(Util_KVA,(ROW()-110)),IF(_xlpm.x="","",_xlpm.x)))</f>
        <v/>
      </c>
      <c r="H111" s="516" t="str" cm="1">
        <f t="array" ref="H111">IF($A111="","",IF(INDEX(Util_Owner,(ROW()-110))="Owner","⚠ specify","By utility"))</f>
        <v/>
      </c>
      <c r="I111" s="518" t="str" cm="1">
        <f t="array" ref="I111">IF($A111="","",IF(INDEX(Util_Owner,(ROW()-110))="Owner","⚠ specify","By utility"))</f>
        <v/>
      </c>
      <c r="J111" s="516" t="str" cm="1">
        <f t="array" ref="J111">IF($A111="","",IF(INDEX(Util_Owner,(ROW()-110))="Owner","⚠ specify","By utility"))</f>
        <v/>
      </c>
      <c r="K111" s="516" t="str" cm="1">
        <f t="array" ref="K111">IF($A111="","",IF(INDEX(Util_Owner,(ROW()-110))="Owner","⚠ specify","By utility"))</f>
        <v/>
      </c>
      <c r="L111" s="516" t="str" cm="1">
        <f t="array" ref="L111">IF($A111="","",IF(INDEX(Util_Owner,(ROW()-110))="Owner","⚠ specify","By utility"))</f>
        <v/>
      </c>
      <c r="M111" s="518" t="str" cm="1">
        <f t="array" ref="M111">IF($A111="","",IF(INDEX(Util_Owner,(ROW()-110))="Owner","⚠ specify","By utility"))</f>
        <v/>
      </c>
      <c r="N111" s="518" t="str">
        <f>IF($A111="","","Service main")</f>
        <v/>
      </c>
      <c r="O111" s="518" t="str">
        <f>IF($A111="","","At service equip.")</f>
        <v/>
      </c>
      <c r="P111" s="518" t="str">
        <f>IF($A111="","","At service equip.")</f>
        <v/>
      </c>
      <c r="Q111" s="520" t="str">
        <f>IF(OR($A111="",N($G111)=0),"",$F111/$G111)</f>
        <v/>
      </c>
      <c r="R111" s="517" t="str" cm="1">
        <f t="array" ref="R111">IF($A111="","",INDEX(Util_Provider,(ROW()-110))&amp;"")</f>
        <v/>
      </c>
      <c r="S111" s="521" t="str" cm="1">
        <f t="array" ref="S111">IF($A111="","",_xlfn.LET(_xlpm.x,INDEX(Util_Z,(ROW()-110)),IF(_xlpm.x="","",_xlpm.x)))</f>
        <v/>
      </c>
      <c r="T111" s="518" t="str" cm="1">
        <f t="array" ref="T111">IF($A111="","",_xlfn.LET(_xlpm.x,INDEX(Util_SCAEff,(ROW()-110)),IF(_xlpm.x="","",_xlpm.x)))</f>
        <v/>
      </c>
      <c r="U111" s="518" t="str" cm="1">
        <f t="array" ref="U111">IF($A111="","",IF(INDEX(Util_Owner,(ROW()-110))="Owner","Owner","Utility"))</f>
        <v/>
      </c>
    </row>
    <row r="112" spans="1:52" x14ac:dyDescent="0.35">
      <c r="A112" s="516" t="str" cm="1">
        <f t="array" ref="A112">_xlfn.LET(_xlpm.x,INDEX(Util_Tags,(ROW()-110)),IF(_xlpm.x="","",_xlpm.x))</f>
        <v/>
      </c>
      <c r="B112" s="517" t="str" cm="1">
        <f t="array" ref="B112">IF($A112="","",_xlfn.LET(_xlpm.f,_xlfn._xlws.FILTER(Equip_List,Equip_FedFrom=$A112,""),IF(INDEX(_xlpm.f,1)="","—",_xlfn.TEXTJOIN(", ",TRUE,_xlpm.f))))</f>
        <v/>
      </c>
      <c r="C112" s="516" t="str">
        <f>IF($A112="","",Cfg_Phase)</f>
        <v/>
      </c>
      <c r="D112" s="518" t="str" cm="1">
        <f t="array" ref="D112">IF($A112="","",_xlfn.LET(_xlpm.x,INDEX(Util_PriV,(ROW()-110)),IF(_xlpm.x="","",_xlpm.x)))</f>
        <v/>
      </c>
      <c r="E112" s="518" t="str" cm="1">
        <f t="array" ref="E112">IF($A112="","",_xlfn.LET(_xlpm.x,INDEX(Util_SecV,(ROW()-110)),IF(_xlpm.x="","",_xlpm.x)))</f>
        <v/>
      </c>
      <c r="F112" s="519" t="str">
        <f>IF($A112="","",_xlfn.LET(_xlpm.k,SUMIFS(Equip_Demand,Equip_FedFrom,$A112),IF(_xlpm.k=0,"",_xlpm.k)))</f>
        <v/>
      </c>
      <c r="G112" s="519" t="str" cm="1">
        <f t="array" ref="G112">IF($A112="","",_xlfn.LET(_xlpm.x,INDEX(Util_KVA,(ROW()-110)),IF(_xlpm.x="","",_xlpm.x)))</f>
        <v/>
      </c>
      <c r="H112" s="516" t="str" cm="1">
        <f t="array" ref="H112">IF($A112="","",IF(INDEX(Util_Owner,(ROW()-110))="Owner","⚠ specify","By utility"))</f>
        <v/>
      </c>
      <c r="I112" s="518" t="str" cm="1">
        <f t="array" ref="I112">IF($A112="","",IF(INDEX(Util_Owner,(ROW()-110))="Owner","⚠ specify","By utility"))</f>
        <v/>
      </c>
      <c r="J112" s="516" t="str" cm="1">
        <f t="array" ref="J112">IF($A112="","",IF(INDEX(Util_Owner,(ROW()-110))="Owner","⚠ specify","By utility"))</f>
        <v/>
      </c>
      <c r="K112" s="516" t="str" cm="1">
        <f t="array" ref="K112">IF($A112="","",IF(INDEX(Util_Owner,(ROW()-110))="Owner","⚠ specify","By utility"))</f>
        <v/>
      </c>
      <c r="L112" s="516" t="str" cm="1">
        <f t="array" ref="L112">IF($A112="","",IF(INDEX(Util_Owner,(ROW()-110))="Owner","⚠ specify","By utility"))</f>
        <v/>
      </c>
      <c r="M112" s="518" t="str" cm="1">
        <f t="array" ref="M112">IF($A112="","",IF(INDEX(Util_Owner,(ROW()-110))="Owner","⚠ specify","By utility"))</f>
        <v/>
      </c>
      <c r="N112" s="518" t="str">
        <f>IF($A112="","","Service main")</f>
        <v/>
      </c>
      <c r="O112" s="518" t="str">
        <f t="shared" ref="O112:P114" si="81">IF($A112="","","At service equip.")</f>
        <v/>
      </c>
      <c r="P112" s="518" t="str">
        <f t="shared" si="81"/>
        <v/>
      </c>
      <c r="Q112" s="520" t="str">
        <f>IF(OR($A112="",N($G112)=0),"",$F112/$G112)</f>
        <v/>
      </c>
      <c r="R112" s="517" t="str" cm="1">
        <f t="array" ref="R112">IF($A112="","",INDEX(Util_Provider,(ROW()-110))&amp;"")</f>
        <v/>
      </c>
      <c r="S112" s="521" t="str" cm="1">
        <f t="array" ref="S112">IF($A112="","",_xlfn.LET(_xlpm.x,INDEX(Util_Z,(ROW()-110)),IF(_xlpm.x="","",_xlpm.x)))</f>
        <v/>
      </c>
      <c r="T112" s="518" t="str" cm="1">
        <f t="array" ref="T112">IF($A112="","",_xlfn.LET(_xlpm.x,INDEX(Util_SCAEff,(ROW()-110)),IF(_xlpm.x="","",_xlpm.x)))</f>
        <v/>
      </c>
      <c r="U112" s="518" t="str" cm="1">
        <f t="array" ref="U112">IF($A112="","",IF(INDEX(Util_Owner,(ROW()-110))="Owner","Owner","Utility"))</f>
        <v/>
      </c>
    </row>
    <row r="113" spans="1:21" x14ac:dyDescent="0.35">
      <c r="A113" s="516" t="str" cm="1">
        <f t="array" ref="A113">_xlfn.LET(_xlpm.x,INDEX(Util_Tags,(ROW()-110)),IF(_xlpm.x="","",_xlpm.x))</f>
        <v/>
      </c>
      <c r="B113" s="517" t="str" cm="1">
        <f t="array" ref="B113">IF($A113="","",_xlfn.LET(_xlpm.f,_xlfn._xlws.FILTER(Equip_List,Equip_FedFrom=$A113,""),IF(INDEX(_xlpm.f,1)="","—",_xlfn.TEXTJOIN(", ",TRUE,_xlpm.f))))</f>
        <v/>
      </c>
      <c r="C113" s="516" t="str">
        <f>IF($A113="","",Cfg_Phase)</f>
        <v/>
      </c>
      <c r="D113" s="518" t="str" cm="1">
        <f t="array" ref="D113">IF($A113="","",_xlfn.LET(_xlpm.x,INDEX(Util_PriV,(ROW()-110)),IF(_xlpm.x="","",_xlpm.x)))</f>
        <v/>
      </c>
      <c r="E113" s="518" t="str" cm="1">
        <f t="array" ref="E113">IF($A113="","",_xlfn.LET(_xlpm.x,INDEX(Util_SecV,(ROW()-110)),IF(_xlpm.x="","",_xlpm.x)))</f>
        <v/>
      </c>
      <c r="F113" s="519" t="str">
        <f>IF($A113="","",_xlfn.LET(_xlpm.k,SUMIFS(Equip_Demand,Equip_FedFrom,$A113),IF(_xlpm.k=0,"",_xlpm.k)))</f>
        <v/>
      </c>
      <c r="G113" s="519" t="str" cm="1">
        <f t="array" ref="G113">IF($A113="","",_xlfn.LET(_xlpm.x,INDEX(Util_KVA,(ROW()-110)),IF(_xlpm.x="","",_xlpm.x)))</f>
        <v/>
      </c>
      <c r="H113" s="516" t="str" cm="1">
        <f t="array" ref="H113">IF($A113="","",IF(INDEX(Util_Owner,(ROW()-110))="Owner","⚠ specify","By utility"))</f>
        <v/>
      </c>
      <c r="I113" s="518" t="str" cm="1">
        <f t="array" ref="I113">IF($A113="","",IF(INDEX(Util_Owner,(ROW()-110))="Owner","⚠ specify","By utility"))</f>
        <v/>
      </c>
      <c r="J113" s="516" t="str" cm="1">
        <f t="array" ref="J113">IF($A113="","",IF(INDEX(Util_Owner,(ROW()-110))="Owner","⚠ specify","By utility"))</f>
        <v/>
      </c>
      <c r="K113" s="516" t="str" cm="1">
        <f t="array" ref="K113">IF($A113="","",IF(INDEX(Util_Owner,(ROW()-110))="Owner","⚠ specify","By utility"))</f>
        <v/>
      </c>
      <c r="L113" s="516" t="str" cm="1">
        <f t="array" ref="L113">IF($A113="","",IF(INDEX(Util_Owner,(ROW()-110))="Owner","⚠ specify","By utility"))</f>
        <v/>
      </c>
      <c r="M113" s="518" t="str" cm="1">
        <f t="array" ref="M113">IF($A113="","",IF(INDEX(Util_Owner,(ROW()-110))="Owner","⚠ specify","By utility"))</f>
        <v/>
      </c>
      <c r="N113" s="518" t="str">
        <f>IF($A113="","","Service main")</f>
        <v/>
      </c>
      <c r="O113" s="518" t="str">
        <f t="shared" si="81"/>
        <v/>
      </c>
      <c r="P113" s="518" t="str">
        <f t="shared" si="81"/>
        <v/>
      </c>
      <c r="Q113" s="520" t="str">
        <f>IF(OR($A113="",N($G113)=0),"",$F113/$G113)</f>
        <v/>
      </c>
      <c r="R113" s="517" t="str" cm="1">
        <f t="array" ref="R113">IF($A113="","",INDEX(Util_Provider,(ROW()-110))&amp;"")</f>
        <v/>
      </c>
      <c r="S113" s="521" t="str" cm="1">
        <f t="array" ref="S113">IF($A113="","",_xlfn.LET(_xlpm.x,INDEX(Util_Z,(ROW()-110)),IF(_xlpm.x="","",_xlpm.x)))</f>
        <v/>
      </c>
      <c r="T113" s="518" t="str" cm="1">
        <f t="array" ref="T113">IF($A113="","",_xlfn.LET(_xlpm.x,INDEX(Util_SCAEff,(ROW()-110)),IF(_xlpm.x="","",_xlpm.x)))</f>
        <v/>
      </c>
      <c r="U113" s="518" t="str" cm="1">
        <f t="array" ref="U113">IF($A113="","",IF(INDEX(Util_Owner,(ROW()-110))="Owner","Owner","Utility"))</f>
        <v/>
      </c>
    </row>
    <row r="114" spans="1:21" x14ac:dyDescent="0.35">
      <c r="A114" s="516" t="str" cm="1">
        <f t="array" ref="A114">_xlfn.LET(_xlpm.x,INDEX(Util_Tags,(ROW()-110)),IF(_xlpm.x="","",_xlpm.x))</f>
        <v/>
      </c>
      <c r="B114" s="517" t="str" cm="1">
        <f t="array" ref="B114">IF($A114="","",_xlfn.LET(_xlpm.f,_xlfn._xlws.FILTER(Equip_List,Equip_FedFrom=$A114,""),IF(INDEX(_xlpm.f,1)="","—",_xlfn.TEXTJOIN(", ",TRUE,_xlpm.f))))</f>
        <v/>
      </c>
      <c r="C114" s="516" t="str">
        <f>IF($A114="","",Cfg_Phase)</f>
        <v/>
      </c>
      <c r="D114" s="518" t="str" cm="1">
        <f t="array" ref="D114">IF($A114="","",_xlfn.LET(_xlpm.x,INDEX(Util_PriV,(ROW()-110)),IF(_xlpm.x="","",_xlpm.x)))</f>
        <v/>
      </c>
      <c r="E114" s="518" t="str" cm="1">
        <f t="array" ref="E114">IF($A114="","",_xlfn.LET(_xlpm.x,INDEX(Util_SecV,(ROW()-110)),IF(_xlpm.x="","",_xlpm.x)))</f>
        <v/>
      </c>
      <c r="F114" s="519" t="str">
        <f>IF($A114="","",_xlfn.LET(_xlpm.k,SUMIFS(Equip_Demand,Equip_FedFrom,$A114),IF(_xlpm.k=0,"",_xlpm.k)))</f>
        <v/>
      </c>
      <c r="G114" s="519" t="str" cm="1">
        <f t="array" ref="G114">IF($A114="","",_xlfn.LET(_xlpm.x,INDEX(Util_KVA,(ROW()-110)),IF(_xlpm.x="","",_xlpm.x)))</f>
        <v/>
      </c>
      <c r="H114" s="516" t="str" cm="1">
        <f t="array" ref="H114">IF($A114="","",IF(INDEX(Util_Owner,(ROW()-110))="Owner","⚠ specify","By utility"))</f>
        <v/>
      </c>
      <c r="I114" s="518" t="str" cm="1">
        <f t="array" ref="I114">IF($A114="","",IF(INDEX(Util_Owner,(ROW()-110))="Owner","⚠ specify","By utility"))</f>
        <v/>
      </c>
      <c r="J114" s="516" t="str" cm="1">
        <f t="array" ref="J114">IF($A114="","",IF(INDEX(Util_Owner,(ROW()-110))="Owner","⚠ specify","By utility"))</f>
        <v/>
      </c>
      <c r="K114" s="516" t="str" cm="1">
        <f t="array" ref="K114">IF($A114="","",IF(INDEX(Util_Owner,(ROW()-110))="Owner","⚠ specify","By utility"))</f>
        <v/>
      </c>
      <c r="L114" s="516" t="str" cm="1">
        <f t="array" ref="L114">IF($A114="","",IF(INDEX(Util_Owner,(ROW()-110))="Owner","⚠ specify","By utility"))</f>
        <v/>
      </c>
      <c r="M114" s="518" t="str" cm="1">
        <f t="array" ref="M114">IF($A114="","",IF(INDEX(Util_Owner,(ROW()-110))="Owner","⚠ specify","By utility"))</f>
        <v/>
      </c>
      <c r="N114" s="518" t="str">
        <f>IF($A114="","","Service main")</f>
        <v/>
      </c>
      <c r="O114" s="518" t="str">
        <f t="shared" si="81"/>
        <v/>
      </c>
      <c r="P114" s="518" t="str">
        <f t="shared" si="81"/>
        <v/>
      </c>
      <c r="Q114" s="520" t="str">
        <f>IF(OR($A114="",N($G114)=0),"",$F114/$G114)</f>
        <v/>
      </c>
      <c r="R114" s="517" t="str" cm="1">
        <f t="array" ref="R114">IF($A114="","",INDEX(Util_Provider,(ROW()-110))&amp;"")</f>
        <v/>
      </c>
      <c r="S114" s="521" t="str" cm="1">
        <f t="array" ref="S114">IF($A114="","",_xlfn.LET(_xlpm.x,INDEX(Util_Z,(ROW()-110)),IF(_xlpm.x="","",_xlpm.x)))</f>
        <v/>
      </c>
      <c r="T114" s="518" t="str" cm="1">
        <f t="array" ref="T114">IF($A114="","",_xlfn.LET(_xlpm.x,INDEX(Util_SCAEff,(ROW()-110)),IF(_xlpm.x="","",_xlpm.x)))</f>
        <v/>
      </c>
      <c r="U114" s="518" t="str" cm="1">
        <f t="array" ref="U114">IF($A114="","",IF(INDEX(Util_Owner,(ROW()-110))="Owner","Owner","Utility"))</f>
        <v/>
      </c>
    </row>
  </sheetData>
  <sheetProtection sheet="1" objects="1" scenarios="1"/>
  <mergeCells count="62">
    <mergeCell ref="AD4:AD5"/>
    <mergeCell ref="AE4:AE5"/>
    <mergeCell ref="AF4:AF5"/>
    <mergeCell ref="Z3:AB3"/>
    <mergeCell ref="AC3:AE3"/>
    <mergeCell ref="A1:Y1"/>
    <mergeCell ref="O3:P3"/>
    <mergeCell ref="Q3:R3"/>
    <mergeCell ref="W3:Y3"/>
    <mergeCell ref="A4:A5"/>
    <mergeCell ref="X4:X5"/>
    <mergeCell ref="A3:B3"/>
    <mergeCell ref="C3:E3"/>
    <mergeCell ref="F3:G3"/>
    <mergeCell ref="H3:L3"/>
    <mergeCell ref="M3:N3"/>
    <mergeCell ref="Y4:Y5"/>
    <mergeCell ref="D4:D5"/>
    <mergeCell ref="N4:N5"/>
    <mergeCell ref="M4:M5"/>
    <mergeCell ref="L4:L5"/>
    <mergeCell ref="AP4:AP5"/>
    <mergeCell ref="AO4:AO5"/>
    <mergeCell ref="AN4:AN5"/>
    <mergeCell ref="W4:W5"/>
    <mergeCell ref="O4:O5"/>
    <mergeCell ref="P4:P5"/>
    <mergeCell ref="R4:R5"/>
    <mergeCell ref="Q4:Q5"/>
    <mergeCell ref="S4:S5"/>
    <mergeCell ref="T4:T5"/>
    <mergeCell ref="U4:U5"/>
    <mergeCell ref="V4:V5"/>
    <mergeCell ref="Z4:Z5"/>
    <mergeCell ref="AA4:AA5"/>
    <mergeCell ref="AB4:AB5"/>
    <mergeCell ref="AC4:AC5"/>
    <mergeCell ref="F4:F5"/>
    <mergeCell ref="E4:E5"/>
    <mergeCell ref="C4:C5"/>
    <mergeCell ref="B4:B5"/>
    <mergeCell ref="A2:Y2"/>
    <mergeCell ref="K4:K5"/>
    <mergeCell ref="J4:J5"/>
    <mergeCell ref="I4:I5"/>
    <mergeCell ref="H4:H5"/>
    <mergeCell ref="G4:G5"/>
    <mergeCell ref="S3:V3"/>
    <mergeCell ref="AI4:AI5"/>
    <mergeCell ref="AH4:AH5"/>
    <mergeCell ref="AG4:AG5"/>
    <mergeCell ref="AM4:AM5"/>
    <mergeCell ref="AL4:AL5"/>
    <mergeCell ref="AK4:AK5"/>
    <mergeCell ref="AJ4:AJ5"/>
    <mergeCell ref="AR4:AR5"/>
    <mergeCell ref="AQ4:AQ5"/>
    <mergeCell ref="AW4:AW5"/>
    <mergeCell ref="AV4:AV5"/>
    <mergeCell ref="AU4:AU5"/>
    <mergeCell ref="AT4:AT5"/>
    <mergeCell ref="AS4:AS5"/>
  </mergeCells>
  <conditionalFormatting sqref="A6:AZ105">
    <cfRule type="expression" dxfId="61" priority="9">
      <formula>OR($A6&lt;&gt;"",ROW()=6)</formula>
    </cfRule>
  </conditionalFormatting>
  <conditionalFormatting sqref="X6:X105">
    <cfRule type="expression" dxfId="60" priority="8">
      <formula>AND($A6&lt;&gt;"",$X6="")</formula>
    </cfRule>
  </conditionalFormatting>
  <conditionalFormatting sqref="R6:R105 W6:AF105">
    <cfRule type="expression" dxfId="59" priority="7">
      <formula>OR($A6&lt;&gt;"",ROW()=6)</formula>
    </cfRule>
  </conditionalFormatting>
  <conditionalFormatting sqref="M6:M105">
    <cfRule type="expression" dxfId="58" priority="29">
      <formula>AND($A6&lt;&gt;"",$AZ6&lt;&gt;"")</formula>
    </cfRule>
  </conditionalFormatting>
  <conditionalFormatting sqref="A111:U114">
    <cfRule type="expression" dxfId="57" priority="2">
      <formula>OR($A111&lt;&gt;"",ROW()=6)</formula>
    </cfRule>
  </conditionalFormatting>
  <conditionalFormatting sqref="R111:R114">
    <cfRule type="expression" dxfId="56" priority="1">
      <formula>OR($A111&lt;&gt;"",ROW()=6)</formula>
    </cfRule>
  </conditionalFormatting>
  <conditionalFormatting sqref="M111:M114">
    <cfRule type="expression" dxfId="55" priority="3">
      <formula>AND($A111&lt;&gt;"",$AZ111&lt;&gt;"")</formula>
    </cfRule>
  </conditionalFormatting>
  <dataValidations count="9">
    <dataValidation type="list" errorStyle="warning" allowBlank="1" showErrorMessage="1" errorTitle="Not a standard value" error="That value is not in the picklist on NEC_Data. Choose from the list, or keep your entry if this is a special-order unit." prompt="Phase — 1 or 3." sqref="C46:C101" xr:uid="{3F418E48-16A5-454C-8874-1133C945202F}">
      <formula1>TxPh</formula1>
    </dataValidation>
    <dataValidation type="list" errorStyle="warning" allowBlank="1" showErrorMessage="1" errorTitle="Not a standard value" error="That value is not in the picklist on NEC_Data. Choose from the list, or keep your entry if this is a special-order unit." prompt="Primary line-to-line voltage." sqref="D46:D101" xr:uid="{CD3A8159-7F22-471C-8967-486B2778C7ED}">
      <formula1>TxPriV</formula1>
    </dataValidation>
    <dataValidation type="list" errorStyle="warning" allowBlank="1" showErrorMessage="1" errorTitle="Not a standard value" error="That value is not in the picklist on NEC_Data. Choose from the list, or keep your entry if this is a special-order unit." prompt="Secondary line-to-line voltage." sqref="E46:E101" xr:uid="{24899937-7D46-4C85-AF4C-FB3DF8BA26F4}">
      <formula1>TxSecV</formula1>
    </dataValidation>
    <dataValidation type="list" errorStyle="warning" allowBlank="1" showErrorMessage="1" errorTitle="Not a standard value" error="That value is not in the picklist on NEC_Data. Choose from the list, or keep your entry if this is a special-order unit." prompt="Primary winding connection." sqref="H46:H101" xr:uid="{CC45D734-4266-4465-87A3-8BCD930A0243}">
      <formula1>TxPriConn</formula1>
    </dataValidation>
    <dataValidation type="list" errorStyle="warning" allowBlank="1" showErrorMessage="1" errorTitle="Not a standard value" error="That value is not in the picklist on NEC_Data. Choose from the list, or keep your entry if this is a special-order unit." prompt="Secondary winding connection and grounding." sqref="I46:I101" xr:uid="{A17F664C-FF1D-4B3B-AAB7-07573A5E7A7E}">
      <formula1>TxSecConn</formula1>
    </dataValidation>
    <dataValidation type="list" errorStyle="warning" allowBlank="1" showErrorMessage="1" errorTitle="Not a standard value" error="That value is not in the picklist on NEC_Data. Choose from the list, or keep your entry if this is a special-order unit." prompt="Transformer type and temperature rise." sqref="J46:J101" xr:uid="{F9712BD8-A35E-423F-8CD6-B2A91FCE7C7D}">
      <formula1>TxType</formula1>
    </dataValidation>
    <dataValidation type="list" errorStyle="warning" allowBlank="1" showErrorMessage="1" errorTitle="Not a standard value" error="That value is not in the picklist on NEC_Data. Choose from the list, or keep your entry if this is a special-order unit." prompt="Tap configuration." sqref="K46:K101" xr:uid="{5904FE37-24D3-4506-8E6B-95C6953C422B}">
      <formula1>TxTaps</formula1>
    </dataValidation>
    <dataValidation type="list" errorStyle="warning" allowBlank="1" showErrorMessage="1" errorTitle="Not a standard value" error="That value is not in the picklist on NEC_Data. Choose from the list, or keep your entry if this is a special-order unit." prompt="Enclosure type and location." sqref="L46:L101" xr:uid="{15F3DB65-6423-4DE1-8166-5603C22AEA11}">
      <formula1>TxEncl</formula1>
    </dataValidation>
    <dataValidation type="list" errorStyle="warning" allowBlank="1" showInputMessage="1" showErrorMessage="1" errorTitle="Non-standard device size" error="That size is not in the standard 240.6 list. Keep it only if the device is a special order." sqref="Z46:AA101 Z6:AA6" xr:uid="{07F0A838-A192-4B3A-B2BF-ECE24BEFBACB}">
      <formula1>OCPD_List</formula1>
    </dataValidation>
  </dataValidations>
  <pageMargins left="0.7" right="0.7" top="0.75" bottom="0.75" header="0.3" footer="0.3"/>
  <pageSetup scale="28"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4116-8A15-42FD-8BF6-B18B4A835F24}">
  <sheetPr codeName="Sheet18">
    <tabColor rgb="FF4DAB51"/>
    <pageSetUpPr fitToPage="1"/>
  </sheetPr>
  <dimension ref="A1:CK254"/>
  <sheetViews>
    <sheetView showGridLines="0" showRowColHeaders="0" workbookViewId="0">
      <pane ySplit="4" topLeftCell="A5" activePane="bottomLeft" state="frozen"/>
      <selection pane="bottomLeft" sqref="A1:W1"/>
    </sheetView>
  </sheetViews>
  <sheetFormatPr defaultColWidth="9.1796875" defaultRowHeight="16" outlineLevelCol="1" x14ac:dyDescent="0.35"/>
  <cols>
    <col min="1" max="1" width="9.1796875" style="10"/>
    <col min="2" max="21" width="15.7265625" style="10" customWidth="1"/>
    <col min="22" max="22" width="60.7265625" style="10" customWidth="1"/>
    <col min="23" max="23" width="45.7265625" style="10" customWidth="1"/>
    <col min="24" max="27" width="15.7265625" style="10" customWidth="1" outlineLevel="1"/>
    <col min="28" max="89" width="0" style="829" hidden="1" customWidth="1"/>
    <col min="90" max="16384" width="9.1796875" style="10"/>
  </cols>
  <sheetData>
    <row r="1" spans="1:89" ht="30" customHeight="1" x14ac:dyDescent="0.35">
      <c r="A1" s="703" t="s">
        <v>561</v>
      </c>
      <c r="B1" s="703"/>
      <c r="C1" s="703"/>
      <c r="D1" s="703"/>
      <c r="E1" s="703"/>
      <c r="F1" s="703"/>
      <c r="G1" s="703"/>
      <c r="H1" s="703"/>
      <c r="I1" s="703"/>
      <c r="J1" s="703"/>
      <c r="K1" s="703"/>
      <c r="L1" s="703"/>
      <c r="M1" s="703"/>
      <c r="N1" s="703"/>
      <c r="O1" s="703"/>
      <c r="P1" s="703"/>
      <c r="Q1" s="703"/>
      <c r="R1" s="703"/>
      <c r="S1" s="703"/>
      <c r="T1" s="703"/>
      <c r="U1" s="703"/>
      <c r="V1" s="703"/>
      <c r="W1" s="703"/>
      <c r="BE1" s="829" t="s">
        <v>1370</v>
      </c>
    </row>
    <row r="2" spans="1:89" ht="72" customHeight="1" x14ac:dyDescent="0.35">
      <c r="A2" s="704" t="s">
        <v>2139</v>
      </c>
      <c r="B2" s="704"/>
      <c r="C2" s="704"/>
      <c r="D2" s="704"/>
      <c r="E2" s="704"/>
      <c r="F2" s="704"/>
      <c r="G2" s="704"/>
      <c r="H2" s="704"/>
      <c r="I2" s="704"/>
      <c r="J2" s="704"/>
      <c r="K2" s="704"/>
      <c r="L2" s="704"/>
      <c r="M2" s="704"/>
      <c r="N2" s="704"/>
      <c r="O2" s="704"/>
      <c r="P2" s="704"/>
      <c r="Q2" s="704"/>
      <c r="R2" s="704"/>
      <c r="S2" s="704"/>
      <c r="T2" s="704"/>
      <c r="U2" s="704"/>
      <c r="V2" s="704"/>
      <c r="W2" s="704"/>
      <c r="BE2" s="829" t="str">
        <f>IFERROR(IF(INDEX(_xlfn.ANCHORARRAY($BE$4),1,1)="","— no feeders derived —",ROWS(_xlfn.ANCHORARRAY($BE$4))&amp;" feeder(s) derived"),"Requires Microsoft 365 or Excel for the web")</f>
        <v>— no feeders derived —</v>
      </c>
      <c r="BL2" s="829" t="s">
        <v>1371</v>
      </c>
    </row>
    <row r="3" spans="1:89" s="32" customFormat="1" ht="30" customHeight="1" x14ac:dyDescent="0.35">
      <c r="A3" s="700" t="s">
        <v>1357</v>
      </c>
      <c r="B3" s="701"/>
      <c r="C3" s="701"/>
      <c r="D3" s="702"/>
      <c r="E3" s="700" t="s">
        <v>1372</v>
      </c>
      <c r="F3" s="701"/>
      <c r="G3" s="702"/>
      <c r="H3" s="700" t="s">
        <v>1373</v>
      </c>
      <c r="I3" s="701"/>
      <c r="J3" s="701"/>
      <c r="K3" s="702"/>
      <c r="L3" s="700" t="s">
        <v>1575</v>
      </c>
      <c r="M3" s="701"/>
      <c r="N3" s="702"/>
      <c r="O3" s="700" t="s">
        <v>1558</v>
      </c>
      <c r="P3" s="701"/>
      <c r="Q3" s="701"/>
      <c r="R3" s="701"/>
      <c r="S3" s="702"/>
      <c r="T3" s="700" t="s">
        <v>1559</v>
      </c>
      <c r="U3" s="701"/>
      <c r="V3" s="701"/>
      <c r="W3" s="701"/>
      <c r="X3" s="699" t="s">
        <v>1564</v>
      </c>
      <c r="Y3" s="699"/>
      <c r="Z3" s="699"/>
      <c r="AA3" s="699"/>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t="s">
        <v>563</v>
      </c>
      <c r="BF3" s="830" t="s">
        <v>564</v>
      </c>
      <c r="BG3" s="830" t="s">
        <v>202</v>
      </c>
      <c r="BH3" s="830" t="s">
        <v>280</v>
      </c>
      <c r="BI3" s="830" t="s">
        <v>194</v>
      </c>
      <c r="BJ3" s="830"/>
      <c r="BK3" s="830"/>
      <c r="BL3" s="830" t="str" cm="1">
        <f t="array" ref="BL3">_xlfn.LET(_xlpm.tag,Dashboard!$A$101:$A$350,_xlpm.fd0,Dashboard!$D$101:$D$350,_xlpm.fed,IF((_xlpm.fd0&lt;&gt;"")*ISNUMBER(MATCH(_xlpm.fd0&amp;"",Util_TagList,0)),"Source",_xlpm.fd0),_xlpm.bad,(_xlpm.tag&lt;&gt;"")*(_xlpm.fed&lt;&gt;"")*(_xlpm.fed&lt;&gt;"Source")*ISNA(MATCH(_xlpm.fed,_xlpm.tag,0)),IFERROR(IF(SUM(_xlpm.bad)=0,"✓ every Fed From resolves to a registry tag","⚠ unresolved source: "&amp;_xlfn.TEXTJOIN(", ",TRUE,_xlfn._xlws.FILTER(_xlpm.tag&amp;" fed from "&amp;_xlpm.fed,_xlpm.bad=1))),"Requires Microsoft 365 or Excel for the web"))</f>
        <v>✓ every Fed From resolves to a registry tag</v>
      </c>
      <c r="BM3" s="830"/>
      <c r="BN3" s="830"/>
      <c r="BO3" s="830"/>
      <c r="BP3" s="830"/>
      <c r="BQ3" s="830"/>
      <c r="BR3" s="830"/>
      <c r="BS3" s="830"/>
      <c r="BT3" s="830"/>
      <c r="BU3" s="830"/>
      <c r="BV3" s="830"/>
      <c r="BW3" s="830"/>
      <c r="BX3" s="830"/>
      <c r="BY3" s="830"/>
      <c r="BZ3" s="830"/>
      <c r="CA3" s="830"/>
      <c r="CB3" s="830"/>
      <c r="CC3" s="830"/>
      <c r="CD3" s="830"/>
      <c r="CE3" s="830"/>
      <c r="CF3" s="830"/>
      <c r="CG3" s="830"/>
      <c r="CH3" s="830"/>
      <c r="CI3" s="830"/>
      <c r="CJ3" s="830"/>
      <c r="CK3" s="830"/>
    </row>
    <row r="4" spans="1:89" s="9" customFormat="1" ht="30" customHeight="1" x14ac:dyDescent="0.45">
      <c r="A4" s="374" t="s">
        <v>1560</v>
      </c>
      <c r="B4" s="375" t="s">
        <v>562</v>
      </c>
      <c r="C4" s="375" t="s">
        <v>563</v>
      </c>
      <c r="D4" s="375" t="s">
        <v>564</v>
      </c>
      <c r="E4" s="375" t="s">
        <v>565</v>
      </c>
      <c r="F4" s="375" t="s">
        <v>280</v>
      </c>
      <c r="G4" s="375" t="s">
        <v>194</v>
      </c>
      <c r="H4" s="777" t="s">
        <v>566</v>
      </c>
      <c r="I4" s="375" t="s">
        <v>567</v>
      </c>
      <c r="J4" s="375" t="s">
        <v>568</v>
      </c>
      <c r="K4" s="375" t="s">
        <v>569</v>
      </c>
      <c r="L4" s="375" t="s">
        <v>570</v>
      </c>
      <c r="M4" s="375" t="s">
        <v>68</v>
      </c>
      <c r="N4" s="375" t="s">
        <v>1563</v>
      </c>
      <c r="O4" s="375" t="s">
        <v>571</v>
      </c>
      <c r="P4" s="375" t="s">
        <v>572</v>
      </c>
      <c r="Q4" s="375" t="s">
        <v>1433</v>
      </c>
      <c r="R4" s="375" t="s">
        <v>558</v>
      </c>
      <c r="S4" s="375" t="s">
        <v>1434</v>
      </c>
      <c r="T4" s="375" t="s">
        <v>1561</v>
      </c>
      <c r="U4" s="375" t="s">
        <v>1562</v>
      </c>
      <c r="V4" s="375" t="s">
        <v>225</v>
      </c>
      <c r="W4" s="376" t="s">
        <v>206</v>
      </c>
      <c r="X4" s="375" t="s">
        <v>1565</v>
      </c>
      <c r="Y4" s="375" t="s">
        <v>1566</v>
      </c>
      <c r="Z4" s="375" t="s">
        <v>1567</v>
      </c>
      <c r="AA4" s="375" t="s">
        <v>1568</v>
      </c>
      <c r="AB4" s="831"/>
      <c r="AC4" s="831"/>
      <c r="AD4" s="831"/>
      <c r="AE4" s="831"/>
      <c r="AF4" s="831"/>
      <c r="AG4" s="831"/>
      <c r="AH4" s="831"/>
      <c r="AI4" s="831"/>
      <c r="AJ4" s="831"/>
      <c r="AK4" s="831"/>
      <c r="AL4" s="831"/>
      <c r="AM4" s="831"/>
      <c r="AN4" s="831"/>
      <c r="AO4" s="831"/>
      <c r="AP4" s="831"/>
      <c r="AQ4" s="831"/>
      <c r="AR4" s="831"/>
      <c r="AS4" s="831"/>
      <c r="AT4" s="831"/>
      <c r="AU4" s="831"/>
      <c r="AV4" s="831"/>
      <c r="AW4" s="831"/>
      <c r="AX4" s="831"/>
      <c r="AY4" s="831"/>
      <c r="AZ4" s="831"/>
      <c r="BA4" s="831"/>
      <c r="BB4" s="831"/>
      <c r="BC4" s="831"/>
      <c r="BD4" s="831"/>
      <c r="BE4" s="831" t="str" cm="1">
        <f t="array" ref="BE4">_xlfn.LET(_xlpm.tag,Dashboard!$A$101:$A$350,_xlpm.vlt,Dashboard!$C$101:$C$350,_xlpm.fd0,Dashboard!$D$101:$D$350&amp;"",_xlpm.fed,IF((_xlpm.fd0&lt;&gt;"")*ISNUMBER(MATCH(_xlpm.fd0&amp;"",Util_TagList,0)),"Source",_xlpm.fd0),_xlpm.kva,Dashboard!$F$101:$F$350,_xlpm.cv,IFERROR(_xlfn.XLOOKUP(_xlpm.vlt,Xfmr_VoltStr,Xfmr_BaseV),""),_xlpm.cph,IFERROR(_xlfn.XLOOKUP(_xlpm.vlt,Xfmr_VoltStr,Xfmr_Ph),""),_xlpm.pvlt,IFERROR(_xlfn.XLOOKUP(_xlpm.fed,_xlpm.tag,_xlpm.vlt),""),_xlpm.pv,IFERROR(_xlfn.XLOOKUP(_xlpm.pvlt,Xfmr_VoltStr,Xfmr_BaseV),""),_xlpm.stdk,_xlfn.MAP(_xlpm.kva,_xlpm.cph,_xlfn.LAMBDA(_xlpm.v,_xlpm.p,IF(OR(_xlpm.v="",_xlpm.v=0),"",_xlfn.LET(_xlpm.lst,IF(_xlpm.p=1,Xfmr1_kVA,Xfmr3_kVA),IFERROR(INDEX(_xlpm.lst,MATCH(1,(_xlpm.lst&lt;&gt;"")*(_xlpm.lst&gt;=_xlpm.v),0)),_xlpm.v))))),_xlpm.hf,(_xlpm.tag&lt;&gt;"")*(_xlpm.fed&lt;&gt;""),_xlpm.isX,_xlpm.hf*ISNUMBER(_xlpm.cv)*ISNUMBER(_xlpm.pv)*(_xlpm.cv&lt;&gt;_xlpm.pv),_xlpm.pl,_xlpm.hf*(1-_xlpm.isX),_xlpm.alt,Dashboard!$L$101:$L$350,_xlpm.em,(_xlpm.tag&lt;&gt;"")*(_xlpm.alt&lt;&gt;""),_xlpm.blk,IF(_xlpm.tag=_xlpm.tag,""),_xlpm.emg,IF(_xlpm.tag=_xlpm.tag,"EMERG"),_xlpm.d,_xlfn.VSTACK(_xlfn.HSTACK(_xlpm.fed,_xlpm.tag,_xlpm.kva,_xlpm.cv,_xlpm.cph,_xlpm.blk),_xlfn.HSTACK(_xlpm.fed,"T-"&amp;_xlpm.tag,_xlpm.stdk,_xlpm.pv,_xlpm.cph,_xlpm.blk),_xlfn.HSTACK("T-"&amp;_xlpm.tag,_xlpm.tag,_xlpm.stdk,_xlpm.cv,_xlpm.cph,_xlpm.blk),_xlfn.HSTACK(_xlpm.alt,_xlpm.tag,_xlpm.kva,_xlpm.cv,_xlpm.cph,_xlpm.emg)),_xlpm.k,_xlfn.VSTACK(_xlpm.pl,_xlpm.isX,_xlpm.isX,_xlpm.em),IF(SUM(_xlpm.k)=0,"",_xlfn.LET(_xlpm.f,_xlfn._xlws.FILTER(_xlpm.d,_xlpm.k=1),_xlpm.fr,INDEX(_xlpm.f,0,1)&amp;"",_xlpm.ft,INDEX(_xlpm.f,0,2)&amp;"",_xlpm.fe,INDEX(_xlpm.f,0,6)&amp;"",_xlpm.key,_xlfn.MAP(_xlpm.ft,_xlpm.fe,_xlfn.LAMBDA(_xlpm.t,_xlpm.e,_xlfn.LET(_xlpm.b,IF(AND(LEFT(_xlpm.t,2)="T-",ISNA(MATCH(_xlpm.t,_xlpm.tag,0))),MID(_xlpm.t,3,99),_xlpm.t),_xlpm.ch,_xlfn.SCAN(_xlpm.b,_xlfn.SEQUENCE(12),_xlfn.LAMBDA(_xlpm.a,_xlpm.i,IF(_xlpm.a="","",IFERROR(_xlfn.XLOOKUP(_xlpm.a,_xlpm.tag,_xlpm.fed,"")&amp;"","")))),_xlpm.rv,INDEX(_xlpm.ch,13-_xlfn.SEQUENCE(12)),_xlpm.pth,_xlfn.TEXTJOIN("&gt;",TRUE,_xlfn._xlws.FILTER(_xlpm.rv,(_xlpm.rv&lt;&gt;"")*(_xlpm.rv&lt;&gt;"Source"),"")),_xlpm.pth&amp;"&gt;"&amp;_xlpm.b&amp;IF(_xlpm.b&lt;&gt;_xlpm.t," 0",IF(_xlpm.e="EMERG"," 2"," 1"))))),_xlfn.SORTBY(_xlpm.f,_xlpm.key,1,_xlpm.fr,1))))</f>
        <v/>
      </c>
      <c r="BF4" s="831"/>
      <c r="BG4" s="831"/>
      <c r="BH4" s="831"/>
      <c r="BI4" s="831"/>
      <c r="BJ4" s="831"/>
      <c r="BK4" s="831"/>
      <c r="BL4" s="831"/>
      <c r="BM4" s="831"/>
      <c r="BN4" s="831" t="s">
        <v>1542</v>
      </c>
      <c r="BO4" s="831" t="s">
        <v>1543</v>
      </c>
      <c r="BP4" s="831" t="s">
        <v>1544</v>
      </c>
      <c r="BQ4" s="831" t="s">
        <v>1545</v>
      </c>
      <c r="BR4" s="831" t="s">
        <v>1546</v>
      </c>
      <c r="BS4" s="831" t="s">
        <v>1547</v>
      </c>
      <c r="BT4" s="831" t="s">
        <v>1557</v>
      </c>
      <c r="BU4" s="831" t="s">
        <v>1548</v>
      </c>
      <c r="BV4" s="831" t="s">
        <v>1549</v>
      </c>
      <c r="BW4" s="831" t="s">
        <v>1550</v>
      </c>
      <c r="BX4" s="831" t="s">
        <v>1551</v>
      </c>
      <c r="BY4" s="831" t="s">
        <v>1552</v>
      </c>
      <c r="BZ4" s="831" t="s">
        <v>1553</v>
      </c>
      <c r="CA4" s="831" t="s">
        <v>1554</v>
      </c>
      <c r="CB4" s="831" t="s">
        <v>1555</v>
      </c>
      <c r="CC4" s="831" t="s">
        <v>1556</v>
      </c>
      <c r="CD4" s="831" t="s">
        <v>1569</v>
      </c>
      <c r="CE4" s="831" t="s">
        <v>1570</v>
      </c>
      <c r="CF4" s="831" t="s">
        <v>1571</v>
      </c>
      <c r="CG4" s="831" t="s">
        <v>1572</v>
      </c>
      <c r="CH4" s="831" t="s">
        <v>1573</v>
      </c>
      <c r="CI4" s="831" t="s">
        <v>1574</v>
      </c>
      <c r="CJ4" s="831" t="s">
        <v>2123</v>
      </c>
      <c r="CK4" s="831" t="s">
        <v>2124</v>
      </c>
    </row>
    <row r="5" spans="1:89" ht="15" customHeight="1" x14ac:dyDescent="0.35">
      <c r="A5" s="821" t="str">
        <f>IF($B5="","",IF(UPPER($N5&amp;"")="Y","EXIST",IF($BP5="","",$BP5)))</f>
        <v/>
      </c>
      <c r="B5" s="821" t="str" cm="1">
        <f t="array" ref="B5">IFERROR(IF(INDEX(_xlfn.ANCHORARRAY($BE$4),ROW()-4,2)="","","F-"&amp;INDEX(_xlfn.ANCHORARRAY($BE$4),ROW()-4,2)&amp;IF(IFERROR(INDEX(_xlfn.ANCHORARRAY($BE$4),ROW()-4,6),"")="EMERG","-E","")),"")</f>
        <v/>
      </c>
      <c r="C5" s="821" t="str" cm="1">
        <f t="array" ref="C5">IFERROR(IF($B5="","",INDEX(_xlfn.ANCHORARRAY($BE$4),ROW()-4,1)),"")</f>
        <v/>
      </c>
      <c r="D5" s="821" t="str" cm="1">
        <f t="array" ref="D5">IFERROR(IF($B5="","",INDEX(_xlfn.ANCHORARRAY($BE$4),ROW()-4,2)),"")</f>
        <v/>
      </c>
      <c r="E5" s="806" t="str" cm="1">
        <f t="array" ref="E5">IFERROR(IF($B5="","",INDEX(_xlfn.ANCHORARRAY($BE$4),ROW()-4,3)),"")</f>
        <v/>
      </c>
      <c r="F5" s="822" t="str" cm="1">
        <f t="array" ref="F5">IFERROR(IF($B5="","",INDEX(_xlfn.ANCHORARRAY($BE$4),ROW()-4,4)),"")</f>
        <v/>
      </c>
      <c r="G5" s="823" t="str" cm="1">
        <f t="array" ref="G5">IFERROR(IF($B5="","",INDEX(_xlfn.ANCHORARRAY($BE$4),ROW()-4,5)),"")</f>
        <v/>
      </c>
      <c r="H5" s="824" t="str" cm="1">
        <f t="array" ref="H5">IF($CJ5="","",_xlfn.LET(_xlpm.v,_xlfn.XLOOKUP($CJ5,Equip_List,IF($CK5="E",Equip_EmLen,IF($CK5="P",Equip_XfPriLen,Equip_FdrLen)),""),IF(_xlpm.v="","",_xlpm.v)))</f>
        <v/>
      </c>
      <c r="I5" s="806" t="str">
        <f t="shared" ref="I5:I68" si="0">IF(OR(E5="",F5=""),"",E5*1000/(F5*IF(G5=3,SQRT3,1)))</f>
        <v/>
      </c>
      <c r="J5" s="820"/>
      <c r="K5" s="806" t="str">
        <f>_xlfn.LET(_xlpm.k,IF($I5="","",IF(COUNTIF(UPS!$B$57:$B$64,$C5&amp;"")&gt;0,1.25*MAX($I5,N(_xlfn.XLOOKUP($C5&amp;"",UPS!$B$57:$B$64,UPS!$M$57:$M$64,0))),IF(COUNTIF(UPS!$B$57:$B$64,$D5&amp;"")&gt;0,1.25*MAX($I5,N(_xlfn.XLOOKUP($D5&amp;"",UPS!$B$57:$B$64,UPS!$Q$57:$Q$64,0))),$I5*IF(OR(UPPER($J5)="Y",LEFT($C5,2)="T-",LEFT($D5,2)="T-"),1.25,1)))),IF(_xlpm.k="","",MAX(_xlpm.k,N(IFERROR(_xlfn.XLOOKUP($D5&amp;"",Dashboard!$A$101:$A$350,Dashboard!$O$101:$O$350,0),0)))))</f>
        <v/>
      </c>
      <c r="L5" s="825" t="str">
        <f>IF($CJ5="","",_xlfn.LET(_xlpm.v,UPPER(TRIM(_xlfn.XLOOKUP($CJ5,Equip_List,Equip_FdrMat,"")&amp;"")),IF(_xlpm.v="",UPPER(TRIM(Cfg_FeederMat&amp;"")),_xlpm.v)))</f>
        <v/>
      </c>
      <c r="M5" s="825" t="str">
        <f>IF($CJ5="","",_xlfn.LET(_xlpm.v,TRIM(_xlfn.XLOOKUP($CJ5,Equip_List,Equip_FdrRace,"")&amp;""),IF(_xlpm.v="",Cfg_Conduit&amp;"",_xlpm.v)))</f>
        <v/>
      </c>
      <c r="N5" s="825" t="str">
        <f>IF($CJ5="","",IF(UPPER(TRIM(_xlfn.XLOOKUP($CJ5,Equip_List,Equip_FdrExist,"")&amp;""))="Y","Y",""))</f>
        <v/>
      </c>
      <c r="O5" s="823" t="str">
        <f>IF($CD5="","",$CD5)</f>
        <v/>
      </c>
      <c r="P5" s="821" t="str">
        <f>IF($CE5="","",$CE5)</f>
        <v/>
      </c>
      <c r="Q5" s="821" t="str">
        <f>IF($CF5="","",$CF5)</f>
        <v/>
      </c>
      <c r="R5" s="822" t="str" cm="1">
        <f t="array" ref="R5">IF(K5="","",INDEX(OCPD_List,MATCH(TRUE,OCPD_List&gt;=K5,0)))</f>
        <v/>
      </c>
      <c r="S5" s="821" t="str">
        <f>IF($CG5="","",$CG5)</f>
        <v/>
      </c>
      <c r="T5" s="826" t="str">
        <f t="shared" ref="T5:T68" si="1">IF(UPPER($N5&amp;"")="Y","",IFERROR(IF(OR($I5="",$H5="",$BW5="",$F5="",$BU5=""),"",(IF($G5=3,SQRT3,2))*IF($BV5="AL",K_Al,K_Cu)*$I5*$H5/(_xlfn.XLOOKUP($BW5,Ampacity_Size,Ampacity_CM)*$BU5)/$F5),""))</f>
        <v/>
      </c>
      <c r="U5" s="826" t="str">
        <f t="shared" ref="U5:U68" si="2">IFERROR(IF(OR($I5="",$H5="",$CH5="",$F5="",NOT(ISNUMBER($CD5))),"",(IF($G5=3,SQRT3,2))*IF($BV5="AL",K_Al,K_Cu)*$I5*$H5/(_xlfn.XLOOKUP($CH5,Ampacity_Size,Ampacity_CM)*$CD5)/$F5),"")</f>
        <v/>
      </c>
      <c r="V5" s="827" t="str">
        <f t="shared" ref="V5:V68" si="3">IF($B5="","",IF(UPPER($N5&amp;"")="Y","EXIST — existing feeder to remain; verify capacity for the new load",IF(AND($BV5="AL",$G5=1),IF($CI5&lt;&gt;"",$CI5,"⚠ no aluminium single-phase standard schedule — set Material to Cu on this row, or record what is installed in the Override columns"),IF($BP5="","",IF($BQ5="","⚠ OCPD "&amp;TEXT($R5,"0")&amp;"A is not in the "&amp;IF($BV5="AL","aluminium","copper")&amp;" standard schedule",IF($CI5&lt;&gt;"",$CI5,IF($BT5&lt;&gt;"",$BT5,IF($H5="","⚠ Enter length to check voltage drop",IF(NOT(ISNUMBER($U5)),"⚠ Voltage drop cannot be calculated",IF($U5&gt;Cfg_VDFeeder,"⚠ VD "&amp;TEXT($U5,"0.0%")&amp;" exceeds "&amp;TEXT(Cfg_VDFeeder,"0%")&amp;" — shorten run or add sets",IF($BX5&lt;&gt;$BP5,"↑ Conductors upsized to code "&amp;$BX5&amp;" for VD","OK")))))))))))</f>
        <v/>
      </c>
      <c r="W5" s="828"/>
      <c r="X5" s="819"/>
      <c r="Y5" s="820"/>
      <c r="Z5" s="820"/>
      <c r="AA5" s="820"/>
      <c r="BN5" s="832" t="str">
        <f>IF($B5="","",IFERROR(_xlfn.XLOOKUP($D5,Dashboard!$A$101:$A$350,Dashboard!$C$101:$C$350),""))</f>
        <v/>
      </c>
      <c r="BO5" s="832" t="str">
        <f t="shared" ref="BO5:BO68" si="4">IF($B5="","",IF(OR(ISNUMBER(SEARCH("4W",$BN5)),ISNUMBER(SEARCH("3W",$BN5))),"Y","N"))</f>
        <v/>
      </c>
      <c r="BP5" s="832" t="str" cm="1">
        <f t="array" ref="BP5">IF(OR($B5="",$R5="",NOT(ISNUMBER($R5))),"",IF(AND($BV5="AL",$G5=1),"",_xlfn.LET(_xlpm.codes,IF($BV5="AL",Std_Al3_Code,IF($G5=1,Std_Cu1_Code,Std_Cu3_Code)),_xlpm.amps,IFERROR(--SUBSTITUTE(_xlpm.codes&amp;"","N",""),""),_xlpm.a,MIN(IF(ISNUMBER(_xlpm.amps),IF(_xlpm.amps&gt;=$R5,_xlpm.amps,""),"")),_xlpm.k,IF(_xlpm.a=0,$R5,_xlpm.a),IF($BO5="Y",TEXT(_xlpm.k,"0")&amp;"N",_xlpm.k))))</f>
        <v/>
      </c>
      <c r="BQ5" s="832" t="str" cm="1">
        <f t="array" ref="BQ5">IF($BP5="","",IFERROR(IF($BV5="AL",_xlfn.XLOOKUP($BP5,Std_Al3_Code,INDEX(Std_Al3_Table,0,3)),IF($G5=1,_xlfn.XLOOKUP($BP5,Std_Cu1_Code,INDEX(Std_Cu1_Table,0,3)),_xlfn.XLOOKUP($BP5,Std_Cu3_Code,INDEX(Std_Cu3_Table,0,3)))),""))</f>
        <v/>
      </c>
      <c r="BR5" s="832" t="str" cm="1">
        <f t="array" ref="BR5">IF($BP5="","",IFERROR(IF($BV5="AL",_xlfn.XLOOKUP($BP5,Std_Al3_Code,INDEX(Std_Al3_Table,0,4)),IF($G5=1,_xlfn.XLOOKUP($BP5,Std_Cu1_Code,INDEX(Std_Cu1_Table,0,4)),_xlfn.XLOOKUP($BP5,Std_Cu3_Code,INDEX(Std_Cu3_Table,0,4)))),""))</f>
        <v/>
      </c>
      <c r="BS5" s="832" t="str" cm="1">
        <f t="array" ref="BS5">IF($BP5="","",IFERROR(IF($BV5="AL",_xlfn.XLOOKUP($BP5,Std_Al3_Code,INDEX(Std_Al3_Table,0,5)),IF($G5=1,_xlfn.XLOOKUP($BP5,Std_Cu1_Code,INDEX(Std_Cu1_Table,0,5)),_xlfn.XLOOKUP($BP5,Std_Cu3_Code,INDEX(Std_Cu3_Table,0,5)))),""))</f>
        <v/>
      </c>
      <c r="BT5" s="832" t="str">
        <f t="shared" ref="BT5:BT68" si="5">IF(AND($CH5&lt;&gt;"",ISNA(MATCH(TRIM($CH5),Ampacity_Size,0))),"⚠ conductor above 750 kcmil (max) — use parallel sets (Ovr Sets)",IF(OR($B5="",$CC5="",$R5="",$BY5=""),"",IFERROR(_xlfn.LET(_xlpm.amp,INDEX(IF($BV5="AL",Ampacity_Al,Ampacity_Cu),MATCH($CC5,Ampacity_Size,0))*$BY5,IF(_xlpm.amp&lt;$R5,"⚠ standard conductor ampacity "&amp;TEXT(_xlpm.amp,"0")&amp;"A is below OCPD "&amp;TEXT($R5,"0")&amp;"A","")),"")))</f>
        <v/>
      </c>
      <c r="BU5" s="832" t="str" cm="1">
        <f t="array" ref="BU5">IF($BP5="","",IFERROR(IF($BV5="AL",_xlfn.XLOOKUP($BP5,Std_Al3_Code,INDEX(Std_Al3_Table,0,2)),IF($G5=1,_xlfn.XLOOKUP($BP5,Std_Cu1_Code,INDEX(Std_Cu1_Table,0,2)),_xlfn.XLOOKUP($BP5,Std_Cu3_Code,INDEX(Std_Cu3_Table,0,2)))),""))</f>
        <v/>
      </c>
      <c r="BV5" s="829" t="str">
        <f t="shared" ref="BV5:BV68" si="6">IF($B5="","",IF(UPPER(TRIM($L5&amp;""))="AL","AL",IF(UPPER(TRIM($L5&amp;""))="CU","CU",IF(UPPER(TRIM(Cfg_FeederMat&amp;""))="AL","AL","CU"))))</f>
        <v/>
      </c>
      <c r="BW5" s="829" t="str">
        <f>IF($BR5="","",IFERROR(_xlfn.LET(_xlpm.a,_xlfn.TEXTAFTER($BR5,"#"),_xlpm.b,IFERROR(_xlfn.TEXTBEFORE(_xlpm.a,","),_xlpm.a),TRIM(_xlpm.b)),""))</f>
        <v/>
      </c>
      <c r="BX5" s="829" t="str" cm="1">
        <f t="array" ref="BX5">IF(OR($BP5="",$H5="",$I5="",$F5="",$BW5=""),"",IFERROR(_xlfn.LET(_xlpm.codes,IF($BV5="AL",Std_Al3_Code,IF($G5=1,Std_Cu1_Code,Std_Cu3_Code)),_xlpm.tbl,IF($BV5="AL",Std_Al3_Table,IF($G5=1,Std_Cu1_Table,Std_Cu3_Table)),_xlpm.i,MATCH($BP5,_xlpm.codes,0),_xlpm.idx,_xlfn.SEQUENCE(ROWS(_xlpm.codes)),_xlpm.cnd,INDEX(_xlpm.tbl,0,4),_xlpm.sts,INDEX(_xlpm.tbl,0,2),_xlpm.sz,IFERROR(_xlfn.TEXTBEFORE(_xlfn.TEXTAFTER(_xlpm.cnd,"#"),","),IFERROR(_xlfn.TEXTAFTER(_xlpm.cnd,"#"),"")),_xlpm.cm,IFERROR(_xlfn.XLOOKUP(TRIM(_xlpm.sz),Ampacity_Size,Ampacity_CM),0),_xlpm.mult,IF($G5=3,SQRT3,2),_xlpm.kk,IF($BV5="AL",K_Al,K_Cu),_xlpm.vd,IF(_xlpm.cm*IF(ISNUMBER(_xlpm.sts),_xlpm.sts,0)=0,9,_xlpm.mult*_xlpm.kk*$I5*$H5/(_xlpm.cm*_xlpm.sts)/$F5),_xlpm.hasN,--(RIGHT(_xlpm.codes&amp;"",1)="N"),_xlpm.wantN,--(RIGHT($BP5&amp;"",1)="N"),_xlpm.ok,(_xlpm.idx&gt;=_xlpm.i)*(_xlpm.vd&lt;=Cfg_VDFeeder)*(_xlpm.cm&gt;0)*ISNUMBER(_xlpm.sts)*(_xlpm.hasN=_xlpm.wantN),_xlpm.m,MIN(IF(_xlpm.ok=1,_xlpm.idx)),INDEX(_xlpm.codes,IF(_xlpm.m=0,_xlpm.i,_xlpm.m))),""))</f>
        <v/>
      </c>
      <c r="BY5" s="829" t="str" cm="1">
        <f t="array" ref="BY5">IF($BP5="","",IF($BX5="",$BU5,IFERROR(IF($BV5="AL",_xlfn.XLOOKUP($BX5,Std_Al3_Code,INDEX(Std_Al3_Table,0,2)),IF($G5=1,_xlfn.XLOOKUP($BX5,Std_Cu1_Code,INDEX(Std_Cu1_Table,0,2)),_xlfn.XLOOKUP($BX5,Std_Cu3_Code,INDEX(Std_Cu3_Table,0,2)))),"")))</f>
        <v/>
      </c>
      <c r="BZ5" s="829" t="str" cm="1">
        <f t="array" ref="BZ5">IF($BP5="","",IF($BX5="",$BR5,IFERROR(IF($BV5="AL",_xlfn.XLOOKUP($BX5,Std_Al3_Code,INDEX(Std_Al3_Table,0,4)),IF($G5=1,_xlfn.XLOOKUP($BX5,Std_Cu1_Code,INDEX(Std_Cu1_Table,0,4)),_xlfn.XLOOKUP($BX5,Std_Cu3_Code,INDEX(Std_Cu3_Table,0,4)))),"")))</f>
        <v/>
      </c>
      <c r="CA5" s="829" t="str" cm="1">
        <f t="array" ref="CA5">IF($BP5="","",IF($BX5="",$BQ5,IFERROR(IF($BV5="AL",_xlfn.XLOOKUP($BX5,Std_Al3_Code,INDEX(Std_Al3_Table,0,3)),IF($G5=1,_xlfn.XLOOKUP($BX5,Std_Cu1_Code,INDEX(Std_Cu1_Table,0,3)),_xlfn.XLOOKUP($BX5,Std_Cu3_Code,INDEX(Std_Cu3_Table,0,3)))),"")))</f>
        <v/>
      </c>
      <c r="CB5" s="829" t="str" cm="1">
        <f t="array" ref="CB5">IF($BP5="","",IF($BX5="",$BS5,IFERROR(IF($BV5="AL",_xlfn.XLOOKUP($BX5,Std_Al3_Code,INDEX(Std_Al3_Table,0,5)),IF($G5=1,_xlfn.XLOOKUP($BX5,Std_Cu1_Code,INDEX(Std_Cu1_Table,0,5)),_xlfn.XLOOKUP($BX5,Std_Cu3_Code,INDEX(Std_Cu3_Table,0,5)))),"")))</f>
        <v/>
      </c>
      <c r="CC5" s="829" t="str">
        <f>IF($BZ5="","",IFERROR(_xlfn.LET(_xlpm.a,_xlfn.TEXTAFTER($BZ5,"#"),_xlpm.b,IFERROR(_xlfn.TEXTBEFORE(_xlpm.a,","),_xlpm.a),TRIM(_xlpm.b)),""))</f>
        <v/>
      </c>
      <c r="CD5" s="829" t="str">
        <f>IF($B5="","",IF(UPPER($N5&amp;"")="Y",IF($X5="","—",$X5),IF($X5&lt;&gt;"",$X5,$BY5)))</f>
        <v/>
      </c>
      <c r="CE5" s="829" t="str">
        <f>IF($B5="","",IF(UPPER($N5&amp;"")="Y",IF($Y5="","EXISTING",$Y5),IF($Y5&lt;&gt;"",$Y5,$BZ5)))</f>
        <v/>
      </c>
      <c r="CF5" s="829" t="str">
        <f>IF($B5="","",IF(UPPER($N5&amp;"")="Y",IF($Z5="","—",$Z5),IF($Z5&lt;&gt;"",$Z5,$CA5)))</f>
        <v/>
      </c>
      <c r="CG5" s="829" t="str">
        <f>IF($B5="","",IF(UPPER($N5&amp;"")="Y",IF($AA5="","—",$AA5),IF($AA5&lt;&gt;"",$AA5,$CB5)))</f>
        <v/>
      </c>
      <c r="CH5" s="829" t="str">
        <f>IF($CE5="","",IFERROR(_xlfn.LET(_xlpm.a,_xlfn.TEXTAFTER($CE5,"#"),_xlpm.b,IFERROR(_xlfn.TEXTBEFORE(_xlpm.a,","),_xlpm.a),TRIM(_xlpm.b)),""))</f>
        <v/>
      </c>
      <c r="CI5" s="829" t="str">
        <f>IF($B5="","",IF(COUNTA($X5:$AA5)=0,"","✎ Manual override — "&amp;_xlfn.TEXTJOIN(", ",TRUE,IF($X5&lt;&gt;"","sets",""),IF($Y5&lt;&gt;"","conductor",""),IF($Z5&lt;&gt;"","conduit",""),IF($AA5&lt;&gt;"","ground",""))))</f>
        <v/>
      </c>
      <c r="CJ5" s="829" t="str" cm="1">
        <f t="array" ref="CJ5">IF($B5="","",_xlfn.LET(_xlpm.to,$D5&amp;"",_xlpm.em,IFERROR(INDEX(_xlfn.ANCHORARRAY($BE$4),ROW()-4,6),"")="EMERG",_xlpm.pri,AND(NOT(_xlpm.em),LEFT(_xlpm.to,2)="T-",ISNUMBER(MATCH(MID(_xlpm.to,3,99),Equip_List,0)),ISNA(MATCH(_xlpm.to,Equip_List,0))),IF(_xlpm.pri,MID(_xlpm.to,3,99),_xlpm.to)))</f>
        <v/>
      </c>
      <c r="CK5" s="829" t="str" cm="1">
        <f t="array" ref="CK5">IF($CJ5="","",IF(IFERROR(INDEX(_xlfn.ANCHORARRAY($BE$4),ROW()-4,6),"")="EMERG","E",IF($CJ5&lt;&gt;$D5&amp;"","P","N")))</f>
        <v/>
      </c>
    </row>
    <row r="6" spans="1:89" ht="15" customHeight="1" x14ac:dyDescent="0.35">
      <c r="A6" s="821" t="str">
        <f t="shared" ref="A6:A69" si="7">IF($B6="","",IF(UPPER($N6&amp;"")="Y","EXIST",IF($BP6="","",$BP6)))</f>
        <v/>
      </c>
      <c r="B6" s="821" t="str" cm="1">
        <f t="array" ref="B6">IFERROR(IF(INDEX(_xlfn.ANCHORARRAY($BE$4),ROW()-4,2)="","","F-"&amp;INDEX(_xlfn.ANCHORARRAY($BE$4),ROW()-4,2)&amp;IF(IFERROR(INDEX(_xlfn.ANCHORARRAY($BE$4),ROW()-4,6),"")="EMERG","-E","")),"")</f>
        <v/>
      </c>
      <c r="C6" s="821" t="str" cm="1">
        <f t="array" ref="C6">IFERROR(IF($B6="","",INDEX(_xlfn.ANCHORARRAY($BE$4),ROW()-4,1)),"")</f>
        <v/>
      </c>
      <c r="D6" s="821" t="str" cm="1">
        <f t="array" ref="D6">IFERROR(IF($B6="","",INDEX(_xlfn.ANCHORARRAY($BE$4),ROW()-4,2)),"")</f>
        <v/>
      </c>
      <c r="E6" s="806" t="str" cm="1">
        <f t="array" ref="E6">IFERROR(IF($B6="","",INDEX(_xlfn.ANCHORARRAY($BE$4),ROW()-4,3)),"")</f>
        <v/>
      </c>
      <c r="F6" s="822" t="str" cm="1">
        <f t="array" ref="F6">IFERROR(IF($B6="","",INDEX(_xlfn.ANCHORARRAY($BE$4),ROW()-4,4)),"")</f>
        <v/>
      </c>
      <c r="G6" s="823" t="str" cm="1">
        <f t="array" ref="G6">IFERROR(IF($B6="","",INDEX(_xlfn.ANCHORARRAY($BE$4),ROW()-4,5)),"")</f>
        <v/>
      </c>
      <c r="H6" s="824" t="str" cm="1">
        <f t="array" ref="H6">IF($CJ6="","",_xlfn.LET(_xlpm.v,_xlfn.XLOOKUP($CJ6,Equip_List,IF($CK6="E",Equip_EmLen,IF($CK6="P",Equip_XfPriLen,Equip_FdrLen)),""),IF(_xlpm.v="","",_xlpm.v)))</f>
        <v/>
      </c>
      <c r="I6" s="806" t="str">
        <f t="shared" si="0"/>
        <v/>
      </c>
      <c r="J6" s="820"/>
      <c r="K6" s="806" t="str">
        <f>_xlfn.LET(_xlpm.k,IF($I6="","",IF(COUNTIF(UPS!$B$57:$B$64,$C6&amp;"")&gt;0,1.25*MAX($I6,N(_xlfn.XLOOKUP($C6&amp;"",UPS!$B$57:$B$64,UPS!$M$57:$M$64,0))),IF(COUNTIF(UPS!$B$57:$B$64,$D6&amp;"")&gt;0,1.25*MAX($I6,N(_xlfn.XLOOKUP($D6&amp;"",UPS!$B$57:$B$64,UPS!$Q$57:$Q$64,0))),$I6*IF(OR(UPPER($J6)="Y",LEFT($C6,2)="T-",LEFT($D6,2)="T-"),1.25,1)))),IF(_xlpm.k="","",MAX(_xlpm.k,N(IFERROR(_xlfn.XLOOKUP($D6&amp;"",Dashboard!$A$101:$A$350,Dashboard!$O$101:$O$350,0),0)))))</f>
        <v/>
      </c>
      <c r="L6" s="825" t="str">
        <f>IF($CJ6="","",_xlfn.LET(_xlpm.v,UPPER(TRIM(_xlfn.XLOOKUP($CJ6,Equip_List,Equip_FdrMat,"")&amp;"")),IF(_xlpm.v="",UPPER(TRIM(Cfg_FeederMat&amp;"")),_xlpm.v)))</f>
        <v/>
      </c>
      <c r="M6" s="825" t="str">
        <f>IF($CJ6="","",_xlfn.LET(_xlpm.v,TRIM(_xlfn.XLOOKUP($CJ6,Equip_List,Equip_FdrRace,"")&amp;""),IF(_xlpm.v="",Cfg_Conduit&amp;"",_xlpm.v)))</f>
        <v/>
      </c>
      <c r="N6" s="825" t="str">
        <f>IF($CJ6="","",IF(UPPER(TRIM(_xlfn.XLOOKUP($CJ6,Equip_List,Equip_FdrExist,"")&amp;""))="Y","Y",""))</f>
        <v/>
      </c>
      <c r="O6" s="823" t="str">
        <f t="shared" ref="O6:O69" si="8">IF($CD6="","",$CD6)</f>
        <v/>
      </c>
      <c r="P6" s="821" t="str">
        <f t="shared" ref="P6:P69" si="9">IF($CE6="","",$CE6)</f>
        <v/>
      </c>
      <c r="Q6" s="821" t="str">
        <f t="shared" ref="Q6:Q69" si="10">IF($CF6="","",$CF6)</f>
        <v/>
      </c>
      <c r="R6" s="822" t="str" cm="1">
        <f t="array" ref="R6">IF(K6="","",INDEX(OCPD_List,MATCH(TRUE,OCPD_List&gt;=K6,0)))</f>
        <v/>
      </c>
      <c r="S6" s="821" t="str">
        <f t="shared" ref="S6:S69" si="11">IF($CG6="","",$CG6)</f>
        <v/>
      </c>
      <c r="T6" s="826" t="str">
        <f t="shared" si="1"/>
        <v/>
      </c>
      <c r="U6" s="826" t="str">
        <f t="shared" si="2"/>
        <v/>
      </c>
      <c r="V6" s="827" t="str">
        <f t="shared" si="3"/>
        <v/>
      </c>
      <c r="W6" s="828"/>
      <c r="X6" s="819"/>
      <c r="Y6" s="820"/>
      <c r="Z6" s="820"/>
      <c r="AA6" s="820"/>
      <c r="BN6" s="832" t="str">
        <f>IF($B6="","",IFERROR(_xlfn.XLOOKUP($D6,Dashboard!$A$101:$A$350,Dashboard!$C$101:$C$350),""))</f>
        <v/>
      </c>
      <c r="BO6" s="832" t="str">
        <f t="shared" si="4"/>
        <v/>
      </c>
      <c r="BP6" s="832" t="str" cm="1">
        <f t="array" ref="BP6">IF(OR($B6="",$R6="",NOT(ISNUMBER($R6))),"",IF(AND($BV6="AL",$G6=1),"",_xlfn.LET(_xlpm.codes,IF($BV6="AL",Std_Al3_Code,IF($G6=1,Std_Cu1_Code,Std_Cu3_Code)),_xlpm.amps,IFERROR(--SUBSTITUTE(_xlpm.codes&amp;"","N",""),""),_xlpm.a,MIN(IF(ISNUMBER(_xlpm.amps),IF(_xlpm.amps&gt;=$R6,_xlpm.amps,""),"")),_xlpm.k,IF(_xlpm.a=0,$R6,_xlpm.a),IF($BO6="Y",TEXT(_xlpm.k,"0")&amp;"N",_xlpm.k))))</f>
        <v/>
      </c>
      <c r="BQ6" s="832" t="str" cm="1">
        <f t="array" ref="BQ6">IF($BP6="","",IFERROR(IF($BV6="AL",_xlfn.XLOOKUP($BP6,Std_Al3_Code,INDEX(Std_Al3_Table,0,3)),IF($G6=1,_xlfn.XLOOKUP($BP6,Std_Cu1_Code,INDEX(Std_Cu1_Table,0,3)),_xlfn.XLOOKUP($BP6,Std_Cu3_Code,INDEX(Std_Cu3_Table,0,3)))),""))</f>
        <v/>
      </c>
      <c r="BR6" s="832" t="str" cm="1">
        <f t="array" ref="BR6">IF($BP6="","",IFERROR(IF($BV6="AL",_xlfn.XLOOKUP($BP6,Std_Al3_Code,INDEX(Std_Al3_Table,0,4)),IF($G6=1,_xlfn.XLOOKUP($BP6,Std_Cu1_Code,INDEX(Std_Cu1_Table,0,4)),_xlfn.XLOOKUP($BP6,Std_Cu3_Code,INDEX(Std_Cu3_Table,0,4)))),""))</f>
        <v/>
      </c>
      <c r="BS6" s="832" t="str" cm="1">
        <f t="array" ref="BS6">IF($BP6="","",IFERROR(IF($BV6="AL",_xlfn.XLOOKUP($BP6,Std_Al3_Code,INDEX(Std_Al3_Table,0,5)),IF($G6=1,_xlfn.XLOOKUP($BP6,Std_Cu1_Code,INDEX(Std_Cu1_Table,0,5)),_xlfn.XLOOKUP($BP6,Std_Cu3_Code,INDEX(Std_Cu3_Table,0,5)))),""))</f>
        <v/>
      </c>
      <c r="BT6" s="832" t="str">
        <f t="shared" si="5"/>
        <v/>
      </c>
      <c r="BU6" s="832" t="str" cm="1">
        <f t="array" ref="BU6">IF($BP6="","",IFERROR(IF($BV6="AL",_xlfn.XLOOKUP($BP6,Std_Al3_Code,INDEX(Std_Al3_Table,0,2)),IF($G6=1,_xlfn.XLOOKUP($BP6,Std_Cu1_Code,INDEX(Std_Cu1_Table,0,2)),_xlfn.XLOOKUP($BP6,Std_Cu3_Code,INDEX(Std_Cu3_Table,0,2)))),""))</f>
        <v/>
      </c>
      <c r="BV6" s="829" t="str">
        <f t="shared" si="6"/>
        <v/>
      </c>
      <c r="BW6" s="829" t="str">
        <f t="shared" ref="BW6:BW69" si="12">IF($BR6="","",IFERROR(_xlfn.LET(_xlpm.a,_xlfn.TEXTAFTER($BR6,"#"),_xlpm.b,IFERROR(_xlfn.TEXTBEFORE(_xlpm.a,","),_xlpm.a),TRIM(_xlpm.b)),""))</f>
        <v/>
      </c>
      <c r="BX6" s="829" t="str" cm="1">
        <f t="array" ref="BX6">IF(OR($BP6="",$H6="",$I6="",$F6="",$BW6=""),"",IFERROR(_xlfn.LET(_xlpm.codes,IF($BV6="AL",Std_Al3_Code,IF($G6=1,Std_Cu1_Code,Std_Cu3_Code)),_xlpm.tbl,IF($BV6="AL",Std_Al3_Table,IF($G6=1,Std_Cu1_Table,Std_Cu3_Table)),_xlpm.i,MATCH($BP6,_xlpm.codes,0),_xlpm.idx,_xlfn.SEQUENCE(ROWS(_xlpm.codes)),_xlpm.cnd,INDEX(_xlpm.tbl,0,4),_xlpm.sts,INDEX(_xlpm.tbl,0,2),_xlpm.sz,IFERROR(_xlfn.TEXTBEFORE(_xlfn.TEXTAFTER(_xlpm.cnd,"#"),","),IFERROR(_xlfn.TEXTAFTER(_xlpm.cnd,"#"),"")),_xlpm.cm,IFERROR(_xlfn.XLOOKUP(TRIM(_xlpm.sz),Ampacity_Size,Ampacity_CM),0),_xlpm.mult,IF($G6=3,SQRT3,2),_xlpm.kk,IF($BV6="AL",K_Al,K_Cu),_xlpm.vd,IF(_xlpm.cm*IF(ISNUMBER(_xlpm.sts),_xlpm.sts,0)=0,9,_xlpm.mult*_xlpm.kk*$I6*$H6/(_xlpm.cm*_xlpm.sts)/$F6),_xlpm.hasN,--(RIGHT(_xlpm.codes&amp;"",1)="N"),_xlpm.wantN,--(RIGHT($BP6&amp;"",1)="N"),_xlpm.ok,(_xlpm.idx&gt;=_xlpm.i)*(_xlpm.vd&lt;=Cfg_VDFeeder)*(_xlpm.cm&gt;0)*ISNUMBER(_xlpm.sts)*(_xlpm.hasN=_xlpm.wantN),_xlpm.m,MIN(IF(_xlpm.ok=1,_xlpm.idx)),INDEX(_xlpm.codes,IF(_xlpm.m=0,_xlpm.i,_xlpm.m))),""))</f>
        <v/>
      </c>
      <c r="BY6" s="829" t="str" cm="1">
        <f t="array" ref="BY6">IF($BP6="","",IF($BX6="",$BU6,IFERROR(IF($BV6="AL",_xlfn.XLOOKUP($BX6,Std_Al3_Code,INDEX(Std_Al3_Table,0,2)),IF($G6=1,_xlfn.XLOOKUP($BX6,Std_Cu1_Code,INDEX(Std_Cu1_Table,0,2)),_xlfn.XLOOKUP($BX6,Std_Cu3_Code,INDEX(Std_Cu3_Table,0,2)))),"")))</f>
        <v/>
      </c>
      <c r="BZ6" s="829" t="str" cm="1">
        <f t="array" ref="BZ6">IF($BP6="","",IF($BX6="",$BR6,IFERROR(IF($BV6="AL",_xlfn.XLOOKUP($BX6,Std_Al3_Code,INDEX(Std_Al3_Table,0,4)),IF($G6=1,_xlfn.XLOOKUP($BX6,Std_Cu1_Code,INDEX(Std_Cu1_Table,0,4)),_xlfn.XLOOKUP($BX6,Std_Cu3_Code,INDEX(Std_Cu3_Table,0,4)))),"")))</f>
        <v/>
      </c>
      <c r="CA6" s="829" t="str" cm="1">
        <f t="array" ref="CA6">IF($BP6="","",IF($BX6="",$BQ6,IFERROR(IF($BV6="AL",_xlfn.XLOOKUP($BX6,Std_Al3_Code,INDEX(Std_Al3_Table,0,3)),IF($G6=1,_xlfn.XLOOKUP($BX6,Std_Cu1_Code,INDEX(Std_Cu1_Table,0,3)),_xlfn.XLOOKUP($BX6,Std_Cu3_Code,INDEX(Std_Cu3_Table,0,3)))),"")))</f>
        <v/>
      </c>
      <c r="CB6" s="829" t="str" cm="1">
        <f t="array" ref="CB6">IF($BP6="","",IF($BX6="",$BS6,IFERROR(IF($BV6="AL",_xlfn.XLOOKUP($BX6,Std_Al3_Code,INDEX(Std_Al3_Table,0,5)),IF($G6=1,_xlfn.XLOOKUP($BX6,Std_Cu1_Code,INDEX(Std_Cu1_Table,0,5)),_xlfn.XLOOKUP($BX6,Std_Cu3_Code,INDEX(Std_Cu3_Table,0,5)))),"")))</f>
        <v/>
      </c>
      <c r="CC6" s="829" t="str">
        <f t="shared" ref="CC6:CC69" si="13">IF($BZ6="","",IFERROR(_xlfn.LET(_xlpm.a,_xlfn.TEXTAFTER($BZ6,"#"),_xlpm.b,IFERROR(_xlfn.TEXTBEFORE(_xlpm.a,","),_xlpm.a),TRIM(_xlpm.b)),""))</f>
        <v/>
      </c>
      <c r="CD6" s="829" t="str">
        <f t="shared" ref="CD6:CD69" si="14">IF($B6="","",IF(UPPER($N6&amp;"")="Y",IF($X6="","—",$X6),IF($X6&lt;&gt;"",$X6,$BY6)))</f>
        <v/>
      </c>
      <c r="CE6" s="829" t="str">
        <f t="shared" ref="CE6:CE69" si="15">IF($B6="","",IF(UPPER($N6&amp;"")="Y",IF($Y6="","EXISTING",$Y6),IF($Y6&lt;&gt;"",$Y6,$BZ6)))</f>
        <v/>
      </c>
      <c r="CF6" s="829" t="str">
        <f t="shared" ref="CF6:CF69" si="16">IF($B6="","",IF(UPPER($N6&amp;"")="Y",IF($Z6="","—",$Z6),IF($Z6&lt;&gt;"",$Z6,$CA6)))</f>
        <v/>
      </c>
      <c r="CG6" s="829" t="str">
        <f t="shared" ref="CG6:CG69" si="17">IF($B6="","",IF(UPPER($N6&amp;"")="Y",IF($AA6="","—",$AA6),IF($AA6&lt;&gt;"",$AA6,$CB6)))</f>
        <v/>
      </c>
      <c r="CH6" s="829" t="str">
        <f t="shared" ref="CH6:CH69" si="18">IF($CE6="","",IFERROR(_xlfn.LET(_xlpm.a,_xlfn.TEXTAFTER($CE6,"#"),_xlpm.b,IFERROR(_xlfn.TEXTBEFORE(_xlpm.a,","),_xlpm.a),TRIM(_xlpm.b)),""))</f>
        <v/>
      </c>
      <c r="CI6" s="829" t="str">
        <f t="shared" ref="CI6:CI69" si="19">IF($B6="","",IF(COUNTA($X6:$AA6)=0,"","✎ Manual override — "&amp;_xlfn.TEXTJOIN(", ",TRUE,IF($X6&lt;&gt;"","sets",""),IF($Y6&lt;&gt;"","conductor",""),IF($Z6&lt;&gt;"","conduit",""),IF($AA6&lt;&gt;"","ground",""))))</f>
        <v/>
      </c>
      <c r="CJ6" s="829" t="str" cm="1">
        <f t="array" ref="CJ6">IF($B6="","",_xlfn.LET(_xlpm.to,$D6&amp;"",_xlpm.em,IFERROR(INDEX(_xlfn.ANCHORARRAY($BE$4),ROW()-4,6),"")="EMERG",_xlpm.pri,AND(NOT(_xlpm.em),LEFT(_xlpm.to,2)="T-",ISNUMBER(MATCH(MID(_xlpm.to,3,99),Equip_List,0)),ISNA(MATCH(_xlpm.to,Equip_List,0))),IF(_xlpm.pri,MID(_xlpm.to,3,99),_xlpm.to)))</f>
        <v/>
      </c>
      <c r="CK6" s="829" t="str" cm="1">
        <f t="array" ref="CK6">IF($CJ6="","",IF(IFERROR(INDEX(_xlfn.ANCHORARRAY($BE$4),ROW()-4,6),"")="EMERG","E",IF($CJ6&lt;&gt;$D6&amp;"","P","N")))</f>
        <v/>
      </c>
    </row>
    <row r="7" spans="1:89" ht="15" customHeight="1" x14ac:dyDescent="0.35">
      <c r="A7" s="821" t="str">
        <f t="shared" si="7"/>
        <v/>
      </c>
      <c r="B7" s="821" t="str" cm="1">
        <f t="array" ref="B7">IFERROR(IF(INDEX(_xlfn.ANCHORARRAY($BE$4),ROW()-4,2)="","","F-"&amp;INDEX(_xlfn.ANCHORARRAY($BE$4),ROW()-4,2)&amp;IF(IFERROR(INDEX(_xlfn.ANCHORARRAY($BE$4),ROW()-4,6),"")="EMERG","-E","")),"")</f>
        <v/>
      </c>
      <c r="C7" s="821" t="str" cm="1">
        <f t="array" ref="C7">IFERROR(IF($B7="","",INDEX(_xlfn.ANCHORARRAY($BE$4),ROW()-4,1)),"")</f>
        <v/>
      </c>
      <c r="D7" s="821" t="str" cm="1">
        <f t="array" ref="D7">IFERROR(IF($B7="","",INDEX(_xlfn.ANCHORARRAY($BE$4),ROW()-4,2)),"")</f>
        <v/>
      </c>
      <c r="E7" s="806" t="str" cm="1">
        <f t="array" ref="E7">IFERROR(IF($B7="","",INDEX(_xlfn.ANCHORARRAY($BE$4),ROW()-4,3)),"")</f>
        <v/>
      </c>
      <c r="F7" s="822" t="str" cm="1">
        <f t="array" ref="F7">IFERROR(IF($B7="","",INDEX(_xlfn.ANCHORARRAY($BE$4),ROW()-4,4)),"")</f>
        <v/>
      </c>
      <c r="G7" s="823" t="str" cm="1">
        <f t="array" ref="G7">IFERROR(IF($B7="","",INDEX(_xlfn.ANCHORARRAY($BE$4),ROW()-4,5)),"")</f>
        <v/>
      </c>
      <c r="H7" s="824" t="str" cm="1">
        <f t="array" ref="H7">IF($CJ7="","",_xlfn.LET(_xlpm.v,_xlfn.XLOOKUP($CJ7,Equip_List,IF($CK7="E",Equip_EmLen,IF($CK7="P",Equip_XfPriLen,Equip_FdrLen)),""),IF(_xlpm.v="","",_xlpm.v)))</f>
        <v/>
      </c>
      <c r="I7" s="806" t="str">
        <f t="shared" si="0"/>
        <v/>
      </c>
      <c r="J7" s="820"/>
      <c r="K7" s="806" t="str">
        <f>_xlfn.LET(_xlpm.k,IF($I7="","",IF(COUNTIF(UPS!$B$57:$B$64,$C7&amp;"")&gt;0,1.25*MAX($I7,N(_xlfn.XLOOKUP($C7&amp;"",UPS!$B$57:$B$64,UPS!$M$57:$M$64,0))),IF(COUNTIF(UPS!$B$57:$B$64,$D7&amp;"")&gt;0,1.25*MAX($I7,N(_xlfn.XLOOKUP($D7&amp;"",UPS!$B$57:$B$64,UPS!$Q$57:$Q$64,0))),$I7*IF(OR(UPPER($J7)="Y",LEFT($C7,2)="T-",LEFT($D7,2)="T-"),1.25,1)))),IF(_xlpm.k="","",MAX(_xlpm.k,N(IFERROR(_xlfn.XLOOKUP($D7&amp;"",Dashboard!$A$101:$A$350,Dashboard!$O$101:$O$350,0),0)))))</f>
        <v/>
      </c>
      <c r="L7" s="825" t="str">
        <f>IF($CJ7="","",_xlfn.LET(_xlpm.v,UPPER(TRIM(_xlfn.XLOOKUP($CJ7,Equip_List,Equip_FdrMat,"")&amp;"")),IF(_xlpm.v="",UPPER(TRIM(Cfg_FeederMat&amp;"")),_xlpm.v)))</f>
        <v/>
      </c>
      <c r="M7" s="825" t="str">
        <f>IF($CJ7="","",_xlfn.LET(_xlpm.v,TRIM(_xlfn.XLOOKUP($CJ7,Equip_List,Equip_FdrRace,"")&amp;""),IF(_xlpm.v="",Cfg_Conduit&amp;"",_xlpm.v)))</f>
        <v/>
      </c>
      <c r="N7" s="825" t="str">
        <f>IF($CJ7="","",IF(UPPER(TRIM(_xlfn.XLOOKUP($CJ7,Equip_List,Equip_FdrExist,"")&amp;""))="Y","Y",""))</f>
        <v/>
      </c>
      <c r="O7" s="823" t="str">
        <f t="shared" si="8"/>
        <v/>
      </c>
      <c r="P7" s="821" t="str">
        <f t="shared" si="9"/>
        <v/>
      </c>
      <c r="Q7" s="821" t="str">
        <f t="shared" si="10"/>
        <v/>
      </c>
      <c r="R7" s="822" t="str" cm="1">
        <f t="array" ref="R7">IF(K7="","",INDEX(OCPD_List,MATCH(TRUE,OCPD_List&gt;=K7,0)))</f>
        <v/>
      </c>
      <c r="S7" s="821" t="str">
        <f t="shared" si="11"/>
        <v/>
      </c>
      <c r="T7" s="826" t="str">
        <f t="shared" si="1"/>
        <v/>
      </c>
      <c r="U7" s="826" t="str">
        <f t="shared" si="2"/>
        <v/>
      </c>
      <c r="V7" s="827" t="str">
        <f t="shared" si="3"/>
        <v/>
      </c>
      <c r="W7" s="828"/>
      <c r="X7" s="819"/>
      <c r="Y7" s="820"/>
      <c r="Z7" s="820"/>
      <c r="AA7" s="820"/>
      <c r="BN7" s="832" t="str">
        <f>IF($B7="","",IFERROR(_xlfn.XLOOKUP($D7,Dashboard!$A$101:$A$350,Dashboard!$C$101:$C$350),""))</f>
        <v/>
      </c>
      <c r="BO7" s="832" t="str">
        <f t="shared" si="4"/>
        <v/>
      </c>
      <c r="BP7" s="832" t="str" cm="1">
        <f t="array" ref="BP7">IF(OR($B7="",$R7="",NOT(ISNUMBER($R7))),"",IF(AND($BV7="AL",$G7=1),"",_xlfn.LET(_xlpm.codes,IF($BV7="AL",Std_Al3_Code,IF($G7=1,Std_Cu1_Code,Std_Cu3_Code)),_xlpm.amps,IFERROR(--SUBSTITUTE(_xlpm.codes&amp;"","N",""),""),_xlpm.a,MIN(IF(ISNUMBER(_xlpm.amps),IF(_xlpm.amps&gt;=$R7,_xlpm.amps,""),"")),_xlpm.k,IF(_xlpm.a=0,$R7,_xlpm.a),IF($BO7="Y",TEXT(_xlpm.k,"0")&amp;"N",_xlpm.k))))</f>
        <v/>
      </c>
      <c r="BQ7" s="832" t="str" cm="1">
        <f t="array" ref="BQ7">IF($BP7="","",IFERROR(IF($BV7="AL",_xlfn.XLOOKUP($BP7,Std_Al3_Code,INDEX(Std_Al3_Table,0,3)),IF($G7=1,_xlfn.XLOOKUP($BP7,Std_Cu1_Code,INDEX(Std_Cu1_Table,0,3)),_xlfn.XLOOKUP($BP7,Std_Cu3_Code,INDEX(Std_Cu3_Table,0,3)))),""))</f>
        <v/>
      </c>
      <c r="BR7" s="832" t="str" cm="1">
        <f t="array" ref="BR7">IF($BP7="","",IFERROR(IF($BV7="AL",_xlfn.XLOOKUP($BP7,Std_Al3_Code,INDEX(Std_Al3_Table,0,4)),IF($G7=1,_xlfn.XLOOKUP($BP7,Std_Cu1_Code,INDEX(Std_Cu1_Table,0,4)),_xlfn.XLOOKUP($BP7,Std_Cu3_Code,INDEX(Std_Cu3_Table,0,4)))),""))</f>
        <v/>
      </c>
      <c r="BS7" s="832" t="str" cm="1">
        <f t="array" ref="BS7">IF($BP7="","",IFERROR(IF($BV7="AL",_xlfn.XLOOKUP($BP7,Std_Al3_Code,INDEX(Std_Al3_Table,0,5)),IF($G7=1,_xlfn.XLOOKUP($BP7,Std_Cu1_Code,INDEX(Std_Cu1_Table,0,5)),_xlfn.XLOOKUP($BP7,Std_Cu3_Code,INDEX(Std_Cu3_Table,0,5)))),""))</f>
        <v/>
      </c>
      <c r="BT7" s="832" t="str">
        <f t="shared" si="5"/>
        <v/>
      </c>
      <c r="BU7" s="832" t="str" cm="1">
        <f t="array" ref="BU7">IF($BP7="","",IFERROR(IF($BV7="AL",_xlfn.XLOOKUP($BP7,Std_Al3_Code,INDEX(Std_Al3_Table,0,2)),IF($G7=1,_xlfn.XLOOKUP($BP7,Std_Cu1_Code,INDEX(Std_Cu1_Table,0,2)),_xlfn.XLOOKUP($BP7,Std_Cu3_Code,INDEX(Std_Cu3_Table,0,2)))),""))</f>
        <v/>
      </c>
      <c r="BV7" s="829" t="str">
        <f t="shared" si="6"/>
        <v/>
      </c>
      <c r="BW7" s="829" t="str">
        <f t="shared" si="12"/>
        <v/>
      </c>
      <c r="BX7" s="829" t="str" cm="1">
        <f t="array" ref="BX7">IF(OR($BP7="",$H7="",$I7="",$F7="",$BW7=""),"",IFERROR(_xlfn.LET(_xlpm.codes,IF($BV7="AL",Std_Al3_Code,IF($G7=1,Std_Cu1_Code,Std_Cu3_Code)),_xlpm.tbl,IF($BV7="AL",Std_Al3_Table,IF($G7=1,Std_Cu1_Table,Std_Cu3_Table)),_xlpm.i,MATCH($BP7,_xlpm.codes,0),_xlpm.idx,_xlfn.SEQUENCE(ROWS(_xlpm.codes)),_xlpm.cnd,INDEX(_xlpm.tbl,0,4),_xlpm.sts,INDEX(_xlpm.tbl,0,2),_xlpm.sz,IFERROR(_xlfn.TEXTBEFORE(_xlfn.TEXTAFTER(_xlpm.cnd,"#"),","),IFERROR(_xlfn.TEXTAFTER(_xlpm.cnd,"#"),"")),_xlpm.cm,IFERROR(_xlfn.XLOOKUP(TRIM(_xlpm.sz),Ampacity_Size,Ampacity_CM),0),_xlpm.mult,IF($G7=3,SQRT3,2),_xlpm.kk,IF($BV7="AL",K_Al,K_Cu),_xlpm.vd,IF(_xlpm.cm*IF(ISNUMBER(_xlpm.sts),_xlpm.sts,0)=0,9,_xlpm.mult*_xlpm.kk*$I7*$H7/(_xlpm.cm*_xlpm.sts)/$F7),_xlpm.hasN,--(RIGHT(_xlpm.codes&amp;"",1)="N"),_xlpm.wantN,--(RIGHT($BP7&amp;"",1)="N"),_xlpm.ok,(_xlpm.idx&gt;=_xlpm.i)*(_xlpm.vd&lt;=Cfg_VDFeeder)*(_xlpm.cm&gt;0)*ISNUMBER(_xlpm.sts)*(_xlpm.hasN=_xlpm.wantN),_xlpm.m,MIN(IF(_xlpm.ok=1,_xlpm.idx)),INDEX(_xlpm.codes,IF(_xlpm.m=0,_xlpm.i,_xlpm.m))),""))</f>
        <v/>
      </c>
      <c r="BY7" s="829" t="str" cm="1">
        <f t="array" ref="BY7">IF($BP7="","",IF($BX7="",$BU7,IFERROR(IF($BV7="AL",_xlfn.XLOOKUP($BX7,Std_Al3_Code,INDEX(Std_Al3_Table,0,2)),IF($G7=1,_xlfn.XLOOKUP($BX7,Std_Cu1_Code,INDEX(Std_Cu1_Table,0,2)),_xlfn.XLOOKUP($BX7,Std_Cu3_Code,INDEX(Std_Cu3_Table,0,2)))),"")))</f>
        <v/>
      </c>
      <c r="BZ7" s="829" t="str" cm="1">
        <f t="array" ref="BZ7">IF($BP7="","",IF($BX7="",$BR7,IFERROR(IF($BV7="AL",_xlfn.XLOOKUP($BX7,Std_Al3_Code,INDEX(Std_Al3_Table,0,4)),IF($G7=1,_xlfn.XLOOKUP($BX7,Std_Cu1_Code,INDEX(Std_Cu1_Table,0,4)),_xlfn.XLOOKUP($BX7,Std_Cu3_Code,INDEX(Std_Cu3_Table,0,4)))),"")))</f>
        <v/>
      </c>
      <c r="CA7" s="829" t="str" cm="1">
        <f t="array" ref="CA7">IF($BP7="","",IF($BX7="",$BQ7,IFERROR(IF($BV7="AL",_xlfn.XLOOKUP($BX7,Std_Al3_Code,INDEX(Std_Al3_Table,0,3)),IF($G7=1,_xlfn.XLOOKUP($BX7,Std_Cu1_Code,INDEX(Std_Cu1_Table,0,3)),_xlfn.XLOOKUP($BX7,Std_Cu3_Code,INDEX(Std_Cu3_Table,0,3)))),"")))</f>
        <v/>
      </c>
      <c r="CB7" s="829" t="str" cm="1">
        <f t="array" ref="CB7">IF($BP7="","",IF($BX7="",$BS7,IFERROR(IF($BV7="AL",_xlfn.XLOOKUP($BX7,Std_Al3_Code,INDEX(Std_Al3_Table,0,5)),IF($G7=1,_xlfn.XLOOKUP($BX7,Std_Cu1_Code,INDEX(Std_Cu1_Table,0,5)),_xlfn.XLOOKUP($BX7,Std_Cu3_Code,INDEX(Std_Cu3_Table,0,5)))),"")))</f>
        <v/>
      </c>
      <c r="CC7" s="829" t="str">
        <f t="shared" si="13"/>
        <v/>
      </c>
      <c r="CD7" s="829" t="str">
        <f t="shared" si="14"/>
        <v/>
      </c>
      <c r="CE7" s="829" t="str">
        <f t="shared" si="15"/>
        <v/>
      </c>
      <c r="CF7" s="829" t="str">
        <f t="shared" si="16"/>
        <v/>
      </c>
      <c r="CG7" s="829" t="str">
        <f t="shared" si="17"/>
        <v/>
      </c>
      <c r="CH7" s="829" t="str">
        <f t="shared" si="18"/>
        <v/>
      </c>
      <c r="CI7" s="829" t="str">
        <f t="shared" si="19"/>
        <v/>
      </c>
      <c r="CJ7" s="829" t="str" cm="1">
        <f t="array" ref="CJ7">IF($B7="","",_xlfn.LET(_xlpm.to,$D7&amp;"",_xlpm.em,IFERROR(INDEX(_xlfn.ANCHORARRAY($BE$4),ROW()-4,6),"")="EMERG",_xlpm.pri,AND(NOT(_xlpm.em),LEFT(_xlpm.to,2)="T-",ISNUMBER(MATCH(MID(_xlpm.to,3,99),Equip_List,0)),ISNA(MATCH(_xlpm.to,Equip_List,0))),IF(_xlpm.pri,MID(_xlpm.to,3,99),_xlpm.to)))</f>
        <v/>
      </c>
      <c r="CK7" s="829" t="str" cm="1">
        <f t="array" ref="CK7">IF($CJ7="","",IF(IFERROR(INDEX(_xlfn.ANCHORARRAY($BE$4),ROW()-4,6),"")="EMERG","E",IF($CJ7&lt;&gt;$D7&amp;"","P","N")))</f>
        <v/>
      </c>
    </row>
    <row r="8" spans="1:89" ht="15" customHeight="1" x14ac:dyDescent="0.35">
      <c r="A8" s="821" t="str">
        <f t="shared" si="7"/>
        <v/>
      </c>
      <c r="B8" s="821" t="str" cm="1">
        <f t="array" ref="B8">IFERROR(IF(INDEX(_xlfn.ANCHORARRAY($BE$4),ROW()-4,2)="","","F-"&amp;INDEX(_xlfn.ANCHORARRAY($BE$4),ROW()-4,2)&amp;IF(IFERROR(INDEX(_xlfn.ANCHORARRAY($BE$4),ROW()-4,6),"")="EMERG","-E","")),"")</f>
        <v/>
      </c>
      <c r="C8" s="821" t="str" cm="1">
        <f t="array" ref="C8">IFERROR(IF($B8="","",INDEX(_xlfn.ANCHORARRAY($BE$4),ROW()-4,1)),"")</f>
        <v/>
      </c>
      <c r="D8" s="821" t="str" cm="1">
        <f t="array" ref="D8">IFERROR(IF($B8="","",INDEX(_xlfn.ANCHORARRAY($BE$4),ROW()-4,2)),"")</f>
        <v/>
      </c>
      <c r="E8" s="806" t="str" cm="1">
        <f t="array" ref="E8">IFERROR(IF($B8="","",INDEX(_xlfn.ANCHORARRAY($BE$4),ROW()-4,3)),"")</f>
        <v/>
      </c>
      <c r="F8" s="822" t="str" cm="1">
        <f t="array" ref="F8">IFERROR(IF($B8="","",INDEX(_xlfn.ANCHORARRAY($BE$4),ROW()-4,4)),"")</f>
        <v/>
      </c>
      <c r="G8" s="823" t="str" cm="1">
        <f t="array" ref="G8">IFERROR(IF($B8="","",INDEX(_xlfn.ANCHORARRAY($BE$4),ROW()-4,5)),"")</f>
        <v/>
      </c>
      <c r="H8" s="824" t="str" cm="1">
        <f t="array" ref="H8">IF($CJ8="","",_xlfn.LET(_xlpm.v,_xlfn.XLOOKUP($CJ8,Equip_List,IF($CK8="E",Equip_EmLen,IF($CK8="P",Equip_XfPriLen,Equip_FdrLen)),""),IF(_xlpm.v="","",_xlpm.v)))</f>
        <v/>
      </c>
      <c r="I8" s="806" t="str">
        <f t="shared" si="0"/>
        <v/>
      </c>
      <c r="J8" s="820"/>
      <c r="K8" s="806" t="str">
        <f>_xlfn.LET(_xlpm.k,IF($I8="","",IF(COUNTIF(UPS!$B$57:$B$64,$C8&amp;"")&gt;0,1.25*MAX($I8,N(_xlfn.XLOOKUP($C8&amp;"",UPS!$B$57:$B$64,UPS!$M$57:$M$64,0))),IF(COUNTIF(UPS!$B$57:$B$64,$D8&amp;"")&gt;0,1.25*MAX($I8,N(_xlfn.XLOOKUP($D8&amp;"",UPS!$B$57:$B$64,UPS!$Q$57:$Q$64,0))),$I8*IF(OR(UPPER($J8)="Y",LEFT($C8,2)="T-",LEFT($D8,2)="T-"),1.25,1)))),IF(_xlpm.k="","",MAX(_xlpm.k,N(IFERROR(_xlfn.XLOOKUP($D8&amp;"",Dashboard!$A$101:$A$350,Dashboard!$O$101:$O$350,0),0)))))</f>
        <v/>
      </c>
      <c r="L8" s="825" t="str">
        <f>IF($CJ8="","",_xlfn.LET(_xlpm.v,UPPER(TRIM(_xlfn.XLOOKUP($CJ8,Equip_List,Equip_FdrMat,"")&amp;"")),IF(_xlpm.v="",UPPER(TRIM(Cfg_FeederMat&amp;"")),_xlpm.v)))</f>
        <v/>
      </c>
      <c r="M8" s="825" t="str">
        <f>IF($CJ8="","",_xlfn.LET(_xlpm.v,TRIM(_xlfn.XLOOKUP($CJ8,Equip_List,Equip_FdrRace,"")&amp;""),IF(_xlpm.v="",Cfg_Conduit&amp;"",_xlpm.v)))</f>
        <v/>
      </c>
      <c r="N8" s="825" t="str">
        <f>IF($CJ8="","",IF(UPPER(TRIM(_xlfn.XLOOKUP($CJ8,Equip_List,Equip_FdrExist,"")&amp;""))="Y","Y",""))</f>
        <v/>
      </c>
      <c r="O8" s="823" t="str">
        <f t="shared" si="8"/>
        <v/>
      </c>
      <c r="P8" s="821" t="str">
        <f t="shared" si="9"/>
        <v/>
      </c>
      <c r="Q8" s="821" t="str">
        <f t="shared" si="10"/>
        <v/>
      </c>
      <c r="R8" s="822" t="str" cm="1">
        <f t="array" ref="R8">IF(K8="","",INDEX(OCPD_List,MATCH(TRUE,OCPD_List&gt;=K8,0)))</f>
        <v/>
      </c>
      <c r="S8" s="821" t="str">
        <f t="shared" si="11"/>
        <v/>
      </c>
      <c r="T8" s="826" t="str">
        <f t="shared" si="1"/>
        <v/>
      </c>
      <c r="U8" s="826" t="str">
        <f t="shared" si="2"/>
        <v/>
      </c>
      <c r="V8" s="827" t="str">
        <f t="shared" si="3"/>
        <v/>
      </c>
      <c r="W8" s="828"/>
      <c r="X8" s="819"/>
      <c r="Y8" s="820"/>
      <c r="Z8" s="820"/>
      <c r="AA8" s="820"/>
      <c r="BN8" s="832" t="str">
        <f>IF($B8="","",IFERROR(_xlfn.XLOOKUP($D8,Dashboard!$A$101:$A$350,Dashboard!$C$101:$C$350),""))</f>
        <v/>
      </c>
      <c r="BO8" s="832" t="str">
        <f t="shared" si="4"/>
        <v/>
      </c>
      <c r="BP8" s="832" t="str" cm="1">
        <f t="array" ref="BP8">IF(OR($B8="",$R8="",NOT(ISNUMBER($R8))),"",IF(AND($BV8="AL",$G8=1),"",_xlfn.LET(_xlpm.codes,IF($BV8="AL",Std_Al3_Code,IF($G8=1,Std_Cu1_Code,Std_Cu3_Code)),_xlpm.amps,IFERROR(--SUBSTITUTE(_xlpm.codes&amp;"","N",""),""),_xlpm.a,MIN(IF(ISNUMBER(_xlpm.amps),IF(_xlpm.amps&gt;=$R8,_xlpm.amps,""),"")),_xlpm.k,IF(_xlpm.a=0,$R8,_xlpm.a),IF($BO8="Y",TEXT(_xlpm.k,"0")&amp;"N",_xlpm.k))))</f>
        <v/>
      </c>
      <c r="BQ8" s="832" t="str" cm="1">
        <f t="array" ref="BQ8">IF($BP8="","",IFERROR(IF($BV8="AL",_xlfn.XLOOKUP($BP8,Std_Al3_Code,INDEX(Std_Al3_Table,0,3)),IF($G8=1,_xlfn.XLOOKUP($BP8,Std_Cu1_Code,INDEX(Std_Cu1_Table,0,3)),_xlfn.XLOOKUP($BP8,Std_Cu3_Code,INDEX(Std_Cu3_Table,0,3)))),""))</f>
        <v/>
      </c>
      <c r="BR8" s="832" t="str" cm="1">
        <f t="array" ref="BR8">IF($BP8="","",IFERROR(IF($BV8="AL",_xlfn.XLOOKUP($BP8,Std_Al3_Code,INDEX(Std_Al3_Table,0,4)),IF($G8=1,_xlfn.XLOOKUP($BP8,Std_Cu1_Code,INDEX(Std_Cu1_Table,0,4)),_xlfn.XLOOKUP($BP8,Std_Cu3_Code,INDEX(Std_Cu3_Table,0,4)))),""))</f>
        <v/>
      </c>
      <c r="BS8" s="832" t="str" cm="1">
        <f t="array" ref="BS8">IF($BP8="","",IFERROR(IF($BV8="AL",_xlfn.XLOOKUP($BP8,Std_Al3_Code,INDEX(Std_Al3_Table,0,5)),IF($G8=1,_xlfn.XLOOKUP($BP8,Std_Cu1_Code,INDEX(Std_Cu1_Table,0,5)),_xlfn.XLOOKUP($BP8,Std_Cu3_Code,INDEX(Std_Cu3_Table,0,5)))),""))</f>
        <v/>
      </c>
      <c r="BT8" s="832" t="str">
        <f t="shared" si="5"/>
        <v/>
      </c>
      <c r="BU8" s="832" t="str" cm="1">
        <f t="array" ref="BU8">IF($BP8="","",IFERROR(IF($BV8="AL",_xlfn.XLOOKUP($BP8,Std_Al3_Code,INDEX(Std_Al3_Table,0,2)),IF($G8=1,_xlfn.XLOOKUP($BP8,Std_Cu1_Code,INDEX(Std_Cu1_Table,0,2)),_xlfn.XLOOKUP($BP8,Std_Cu3_Code,INDEX(Std_Cu3_Table,0,2)))),""))</f>
        <v/>
      </c>
      <c r="BV8" s="829" t="str">
        <f t="shared" si="6"/>
        <v/>
      </c>
      <c r="BW8" s="829" t="str">
        <f t="shared" si="12"/>
        <v/>
      </c>
      <c r="BX8" s="829" t="str" cm="1">
        <f t="array" ref="BX8">IF(OR($BP8="",$H8="",$I8="",$F8="",$BW8=""),"",IFERROR(_xlfn.LET(_xlpm.codes,IF($BV8="AL",Std_Al3_Code,IF($G8=1,Std_Cu1_Code,Std_Cu3_Code)),_xlpm.tbl,IF($BV8="AL",Std_Al3_Table,IF($G8=1,Std_Cu1_Table,Std_Cu3_Table)),_xlpm.i,MATCH($BP8,_xlpm.codes,0),_xlpm.idx,_xlfn.SEQUENCE(ROWS(_xlpm.codes)),_xlpm.cnd,INDEX(_xlpm.tbl,0,4),_xlpm.sts,INDEX(_xlpm.tbl,0,2),_xlpm.sz,IFERROR(_xlfn.TEXTBEFORE(_xlfn.TEXTAFTER(_xlpm.cnd,"#"),","),IFERROR(_xlfn.TEXTAFTER(_xlpm.cnd,"#"),"")),_xlpm.cm,IFERROR(_xlfn.XLOOKUP(TRIM(_xlpm.sz),Ampacity_Size,Ampacity_CM),0),_xlpm.mult,IF($G8=3,SQRT3,2),_xlpm.kk,IF($BV8="AL",K_Al,K_Cu),_xlpm.vd,IF(_xlpm.cm*IF(ISNUMBER(_xlpm.sts),_xlpm.sts,0)=0,9,_xlpm.mult*_xlpm.kk*$I8*$H8/(_xlpm.cm*_xlpm.sts)/$F8),_xlpm.hasN,--(RIGHT(_xlpm.codes&amp;"",1)="N"),_xlpm.wantN,--(RIGHT($BP8&amp;"",1)="N"),_xlpm.ok,(_xlpm.idx&gt;=_xlpm.i)*(_xlpm.vd&lt;=Cfg_VDFeeder)*(_xlpm.cm&gt;0)*ISNUMBER(_xlpm.sts)*(_xlpm.hasN=_xlpm.wantN),_xlpm.m,MIN(IF(_xlpm.ok=1,_xlpm.idx)),INDEX(_xlpm.codes,IF(_xlpm.m=0,_xlpm.i,_xlpm.m))),""))</f>
        <v/>
      </c>
      <c r="BY8" s="829" t="str" cm="1">
        <f t="array" ref="BY8">IF($BP8="","",IF($BX8="",$BU8,IFERROR(IF($BV8="AL",_xlfn.XLOOKUP($BX8,Std_Al3_Code,INDEX(Std_Al3_Table,0,2)),IF($G8=1,_xlfn.XLOOKUP($BX8,Std_Cu1_Code,INDEX(Std_Cu1_Table,0,2)),_xlfn.XLOOKUP($BX8,Std_Cu3_Code,INDEX(Std_Cu3_Table,0,2)))),"")))</f>
        <v/>
      </c>
      <c r="BZ8" s="829" t="str" cm="1">
        <f t="array" ref="BZ8">IF($BP8="","",IF($BX8="",$BR8,IFERROR(IF($BV8="AL",_xlfn.XLOOKUP($BX8,Std_Al3_Code,INDEX(Std_Al3_Table,0,4)),IF($G8=1,_xlfn.XLOOKUP($BX8,Std_Cu1_Code,INDEX(Std_Cu1_Table,0,4)),_xlfn.XLOOKUP($BX8,Std_Cu3_Code,INDEX(Std_Cu3_Table,0,4)))),"")))</f>
        <v/>
      </c>
      <c r="CA8" s="829" t="str" cm="1">
        <f t="array" ref="CA8">IF($BP8="","",IF($BX8="",$BQ8,IFERROR(IF($BV8="AL",_xlfn.XLOOKUP($BX8,Std_Al3_Code,INDEX(Std_Al3_Table,0,3)),IF($G8=1,_xlfn.XLOOKUP($BX8,Std_Cu1_Code,INDEX(Std_Cu1_Table,0,3)),_xlfn.XLOOKUP($BX8,Std_Cu3_Code,INDEX(Std_Cu3_Table,0,3)))),"")))</f>
        <v/>
      </c>
      <c r="CB8" s="829" t="str" cm="1">
        <f t="array" ref="CB8">IF($BP8="","",IF($BX8="",$BS8,IFERROR(IF($BV8="AL",_xlfn.XLOOKUP($BX8,Std_Al3_Code,INDEX(Std_Al3_Table,0,5)),IF($G8=1,_xlfn.XLOOKUP($BX8,Std_Cu1_Code,INDEX(Std_Cu1_Table,0,5)),_xlfn.XLOOKUP($BX8,Std_Cu3_Code,INDEX(Std_Cu3_Table,0,5)))),"")))</f>
        <v/>
      </c>
      <c r="CC8" s="829" t="str">
        <f t="shared" si="13"/>
        <v/>
      </c>
      <c r="CD8" s="829" t="str">
        <f t="shared" si="14"/>
        <v/>
      </c>
      <c r="CE8" s="829" t="str">
        <f t="shared" si="15"/>
        <v/>
      </c>
      <c r="CF8" s="829" t="str">
        <f t="shared" si="16"/>
        <v/>
      </c>
      <c r="CG8" s="829" t="str">
        <f t="shared" si="17"/>
        <v/>
      </c>
      <c r="CH8" s="829" t="str">
        <f t="shared" si="18"/>
        <v/>
      </c>
      <c r="CI8" s="829" t="str">
        <f t="shared" si="19"/>
        <v/>
      </c>
      <c r="CJ8" s="829" t="str" cm="1">
        <f t="array" ref="CJ8">IF($B8="","",_xlfn.LET(_xlpm.to,$D8&amp;"",_xlpm.em,IFERROR(INDEX(_xlfn.ANCHORARRAY($BE$4),ROW()-4,6),"")="EMERG",_xlpm.pri,AND(NOT(_xlpm.em),LEFT(_xlpm.to,2)="T-",ISNUMBER(MATCH(MID(_xlpm.to,3,99),Equip_List,0)),ISNA(MATCH(_xlpm.to,Equip_List,0))),IF(_xlpm.pri,MID(_xlpm.to,3,99),_xlpm.to)))</f>
        <v/>
      </c>
      <c r="CK8" s="829" t="str" cm="1">
        <f t="array" ref="CK8">IF($CJ8="","",IF(IFERROR(INDEX(_xlfn.ANCHORARRAY($BE$4),ROW()-4,6),"")="EMERG","E",IF($CJ8&lt;&gt;$D8&amp;"","P","N")))</f>
        <v/>
      </c>
    </row>
    <row r="9" spans="1:89" ht="15" customHeight="1" x14ac:dyDescent="0.35">
      <c r="A9" s="821" t="str">
        <f t="shared" si="7"/>
        <v/>
      </c>
      <c r="B9" s="821" t="str" cm="1">
        <f t="array" ref="B9">IFERROR(IF(INDEX(_xlfn.ANCHORARRAY($BE$4),ROW()-4,2)="","","F-"&amp;INDEX(_xlfn.ANCHORARRAY($BE$4),ROW()-4,2)&amp;IF(IFERROR(INDEX(_xlfn.ANCHORARRAY($BE$4),ROW()-4,6),"")="EMERG","-E","")),"")</f>
        <v/>
      </c>
      <c r="C9" s="821" t="str" cm="1">
        <f t="array" ref="C9">IFERROR(IF($B9="","",INDEX(_xlfn.ANCHORARRAY($BE$4),ROW()-4,1)),"")</f>
        <v/>
      </c>
      <c r="D9" s="821" t="str" cm="1">
        <f t="array" ref="D9">IFERROR(IF($B9="","",INDEX(_xlfn.ANCHORARRAY($BE$4),ROW()-4,2)),"")</f>
        <v/>
      </c>
      <c r="E9" s="806" t="str" cm="1">
        <f t="array" ref="E9">IFERROR(IF($B9="","",INDEX(_xlfn.ANCHORARRAY($BE$4),ROW()-4,3)),"")</f>
        <v/>
      </c>
      <c r="F9" s="822" t="str" cm="1">
        <f t="array" ref="F9">IFERROR(IF($B9="","",INDEX(_xlfn.ANCHORARRAY($BE$4),ROW()-4,4)),"")</f>
        <v/>
      </c>
      <c r="G9" s="823" t="str" cm="1">
        <f t="array" ref="G9">IFERROR(IF($B9="","",INDEX(_xlfn.ANCHORARRAY($BE$4),ROW()-4,5)),"")</f>
        <v/>
      </c>
      <c r="H9" s="824" t="str" cm="1">
        <f t="array" ref="H9">IF($CJ9="","",_xlfn.LET(_xlpm.v,_xlfn.XLOOKUP($CJ9,Equip_List,IF($CK9="E",Equip_EmLen,IF($CK9="P",Equip_XfPriLen,Equip_FdrLen)),""),IF(_xlpm.v="","",_xlpm.v)))</f>
        <v/>
      </c>
      <c r="I9" s="806" t="str">
        <f t="shared" si="0"/>
        <v/>
      </c>
      <c r="J9" s="820"/>
      <c r="K9" s="806" t="str">
        <f>_xlfn.LET(_xlpm.k,IF($I9="","",IF(COUNTIF(UPS!$B$57:$B$64,$C9&amp;"")&gt;0,1.25*MAX($I9,N(_xlfn.XLOOKUP($C9&amp;"",UPS!$B$57:$B$64,UPS!$M$57:$M$64,0))),IF(COUNTIF(UPS!$B$57:$B$64,$D9&amp;"")&gt;0,1.25*MAX($I9,N(_xlfn.XLOOKUP($D9&amp;"",UPS!$B$57:$B$64,UPS!$Q$57:$Q$64,0))),$I9*IF(OR(UPPER($J9)="Y",LEFT($C9,2)="T-",LEFT($D9,2)="T-"),1.25,1)))),IF(_xlpm.k="","",MAX(_xlpm.k,N(IFERROR(_xlfn.XLOOKUP($D9&amp;"",Dashboard!$A$101:$A$350,Dashboard!$O$101:$O$350,0),0)))))</f>
        <v/>
      </c>
      <c r="L9" s="825" t="str">
        <f>IF($CJ9="","",_xlfn.LET(_xlpm.v,UPPER(TRIM(_xlfn.XLOOKUP($CJ9,Equip_List,Equip_FdrMat,"")&amp;"")),IF(_xlpm.v="",UPPER(TRIM(Cfg_FeederMat&amp;"")),_xlpm.v)))</f>
        <v/>
      </c>
      <c r="M9" s="825" t="str">
        <f>IF($CJ9="","",_xlfn.LET(_xlpm.v,TRIM(_xlfn.XLOOKUP($CJ9,Equip_List,Equip_FdrRace,"")&amp;""),IF(_xlpm.v="",Cfg_Conduit&amp;"",_xlpm.v)))</f>
        <v/>
      </c>
      <c r="N9" s="825" t="str">
        <f>IF($CJ9="","",IF(UPPER(TRIM(_xlfn.XLOOKUP($CJ9,Equip_List,Equip_FdrExist,"")&amp;""))="Y","Y",""))</f>
        <v/>
      </c>
      <c r="O9" s="823" t="str">
        <f t="shared" si="8"/>
        <v/>
      </c>
      <c r="P9" s="821" t="str">
        <f t="shared" si="9"/>
        <v/>
      </c>
      <c r="Q9" s="821" t="str">
        <f t="shared" si="10"/>
        <v/>
      </c>
      <c r="R9" s="822" t="str" cm="1">
        <f t="array" ref="R9">IF(K9="","",INDEX(OCPD_List,MATCH(TRUE,OCPD_List&gt;=K9,0)))</f>
        <v/>
      </c>
      <c r="S9" s="821" t="str">
        <f t="shared" si="11"/>
        <v/>
      </c>
      <c r="T9" s="826" t="str">
        <f t="shared" si="1"/>
        <v/>
      </c>
      <c r="U9" s="826" t="str">
        <f t="shared" si="2"/>
        <v/>
      </c>
      <c r="V9" s="827" t="str">
        <f t="shared" si="3"/>
        <v/>
      </c>
      <c r="W9" s="828"/>
      <c r="X9" s="819"/>
      <c r="Y9" s="820"/>
      <c r="Z9" s="820"/>
      <c r="AA9" s="820"/>
      <c r="BN9" s="832" t="str">
        <f>IF($B9="","",IFERROR(_xlfn.XLOOKUP($D9,Dashboard!$A$101:$A$350,Dashboard!$C$101:$C$350),""))</f>
        <v/>
      </c>
      <c r="BO9" s="832" t="str">
        <f t="shared" si="4"/>
        <v/>
      </c>
      <c r="BP9" s="832" t="str" cm="1">
        <f t="array" ref="BP9">IF(OR($B9="",$R9="",NOT(ISNUMBER($R9))),"",IF(AND($BV9="AL",$G9=1),"",_xlfn.LET(_xlpm.codes,IF($BV9="AL",Std_Al3_Code,IF($G9=1,Std_Cu1_Code,Std_Cu3_Code)),_xlpm.amps,IFERROR(--SUBSTITUTE(_xlpm.codes&amp;"","N",""),""),_xlpm.a,MIN(IF(ISNUMBER(_xlpm.amps),IF(_xlpm.amps&gt;=$R9,_xlpm.amps,""),"")),_xlpm.k,IF(_xlpm.a=0,$R9,_xlpm.a),IF($BO9="Y",TEXT(_xlpm.k,"0")&amp;"N",_xlpm.k))))</f>
        <v/>
      </c>
      <c r="BQ9" s="832" t="str" cm="1">
        <f t="array" ref="BQ9">IF($BP9="","",IFERROR(IF($BV9="AL",_xlfn.XLOOKUP($BP9,Std_Al3_Code,INDEX(Std_Al3_Table,0,3)),IF($G9=1,_xlfn.XLOOKUP($BP9,Std_Cu1_Code,INDEX(Std_Cu1_Table,0,3)),_xlfn.XLOOKUP($BP9,Std_Cu3_Code,INDEX(Std_Cu3_Table,0,3)))),""))</f>
        <v/>
      </c>
      <c r="BR9" s="832" t="str" cm="1">
        <f t="array" ref="BR9">IF($BP9="","",IFERROR(IF($BV9="AL",_xlfn.XLOOKUP($BP9,Std_Al3_Code,INDEX(Std_Al3_Table,0,4)),IF($G9=1,_xlfn.XLOOKUP($BP9,Std_Cu1_Code,INDEX(Std_Cu1_Table,0,4)),_xlfn.XLOOKUP($BP9,Std_Cu3_Code,INDEX(Std_Cu3_Table,0,4)))),""))</f>
        <v/>
      </c>
      <c r="BS9" s="832" t="str" cm="1">
        <f t="array" ref="BS9">IF($BP9="","",IFERROR(IF($BV9="AL",_xlfn.XLOOKUP($BP9,Std_Al3_Code,INDEX(Std_Al3_Table,0,5)),IF($G9=1,_xlfn.XLOOKUP($BP9,Std_Cu1_Code,INDEX(Std_Cu1_Table,0,5)),_xlfn.XLOOKUP($BP9,Std_Cu3_Code,INDEX(Std_Cu3_Table,0,5)))),""))</f>
        <v/>
      </c>
      <c r="BT9" s="832" t="str">
        <f t="shared" si="5"/>
        <v/>
      </c>
      <c r="BU9" s="832" t="str" cm="1">
        <f t="array" ref="BU9">IF($BP9="","",IFERROR(IF($BV9="AL",_xlfn.XLOOKUP($BP9,Std_Al3_Code,INDEX(Std_Al3_Table,0,2)),IF($G9=1,_xlfn.XLOOKUP($BP9,Std_Cu1_Code,INDEX(Std_Cu1_Table,0,2)),_xlfn.XLOOKUP($BP9,Std_Cu3_Code,INDEX(Std_Cu3_Table,0,2)))),""))</f>
        <v/>
      </c>
      <c r="BV9" s="829" t="str">
        <f t="shared" si="6"/>
        <v/>
      </c>
      <c r="BW9" s="829" t="str">
        <f t="shared" si="12"/>
        <v/>
      </c>
      <c r="BX9" s="829" t="str" cm="1">
        <f t="array" ref="BX9">IF(OR($BP9="",$H9="",$I9="",$F9="",$BW9=""),"",IFERROR(_xlfn.LET(_xlpm.codes,IF($BV9="AL",Std_Al3_Code,IF($G9=1,Std_Cu1_Code,Std_Cu3_Code)),_xlpm.tbl,IF($BV9="AL",Std_Al3_Table,IF($G9=1,Std_Cu1_Table,Std_Cu3_Table)),_xlpm.i,MATCH($BP9,_xlpm.codes,0),_xlpm.idx,_xlfn.SEQUENCE(ROWS(_xlpm.codes)),_xlpm.cnd,INDEX(_xlpm.tbl,0,4),_xlpm.sts,INDEX(_xlpm.tbl,0,2),_xlpm.sz,IFERROR(_xlfn.TEXTBEFORE(_xlfn.TEXTAFTER(_xlpm.cnd,"#"),","),IFERROR(_xlfn.TEXTAFTER(_xlpm.cnd,"#"),"")),_xlpm.cm,IFERROR(_xlfn.XLOOKUP(TRIM(_xlpm.sz),Ampacity_Size,Ampacity_CM),0),_xlpm.mult,IF($G9=3,SQRT3,2),_xlpm.kk,IF($BV9="AL",K_Al,K_Cu),_xlpm.vd,IF(_xlpm.cm*IF(ISNUMBER(_xlpm.sts),_xlpm.sts,0)=0,9,_xlpm.mult*_xlpm.kk*$I9*$H9/(_xlpm.cm*_xlpm.sts)/$F9),_xlpm.hasN,--(RIGHT(_xlpm.codes&amp;"",1)="N"),_xlpm.wantN,--(RIGHT($BP9&amp;"",1)="N"),_xlpm.ok,(_xlpm.idx&gt;=_xlpm.i)*(_xlpm.vd&lt;=Cfg_VDFeeder)*(_xlpm.cm&gt;0)*ISNUMBER(_xlpm.sts)*(_xlpm.hasN=_xlpm.wantN),_xlpm.m,MIN(IF(_xlpm.ok=1,_xlpm.idx)),INDEX(_xlpm.codes,IF(_xlpm.m=0,_xlpm.i,_xlpm.m))),""))</f>
        <v/>
      </c>
      <c r="BY9" s="829" t="str" cm="1">
        <f t="array" ref="BY9">IF($BP9="","",IF($BX9="",$BU9,IFERROR(IF($BV9="AL",_xlfn.XLOOKUP($BX9,Std_Al3_Code,INDEX(Std_Al3_Table,0,2)),IF($G9=1,_xlfn.XLOOKUP($BX9,Std_Cu1_Code,INDEX(Std_Cu1_Table,0,2)),_xlfn.XLOOKUP($BX9,Std_Cu3_Code,INDEX(Std_Cu3_Table,0,2)))),"")))</f>
        <v/>
      </c>
      <c r="BZ9" s="829" t="str" cm="1">
        <f t="array" ref="BZ9">IF($BP9="","",IF($BX9="",$BR9,IFERROR(IF($BV9="AL",_xlfn.XLOOKUP($BX9,Std_Al3_Code,INDEX(Std_Al3_Table,0,4)),IF($G9=1,_xlfn.XLOOKUP($BX9,Std_Cu1_Code,INDEX(Std_Cu1_Table,0,4)),_xlfn.XLOOKUP($BX9,Std_Cu3_Code,INDEX(Std_Cu3_Table,0,4)))),"")))</f>
        <v/>
      </c>
      <c r="CA9" s="829" t="str" cm="1">
        <f t="array" ref="CA9">IF($BP9="","",IF($BX9="",$BQ9,IFERROR(IF($BV9="AL",_xlfn.XLOOKUP($BX9,Std_Al3_Code,INDEX(Std_Al3_Table,0,3)),IF($G9=1,_xlfn.XLOOKUP($BX9,Std_Cu1_Code,INDEX(Std_Cu1_Table,0,3)),_xlfn.XLOOKUP($BX9,Std_Cu3_Code,INDEX(Std_Cu3_Table,0,3)))),"")))</f>
        <v/>
      </c>
      <c r="CB9" s="829" t="str" cm="1">
        <f t="array" ref="CB9">IF($BP9="","",IF($BX9="",$BS9,IFERROR(IF($BV9="AL",_xlfn.XLOOKUP($BX9,Std_Al3_Code,INDEX(Std_Al3_Table,0,5)),IF($G9=1,_xlfn.XLOOKUP($BX9,Std_Cu1_Code,INDEX(Std_Cu1_Table,0,5)),_xlfn.XLOOKUP($BX9,Std_Cu3_Code,INDEX(Std_Cu3_Table,0,5)))),"")))</f>
        <v/>
      </c>
      <c r="CC9" s="829" t="str">
        <f t="shared" si="13"/>
        <v/>
      </c>
      <c r="CD9" s="829" t="str">
        <f t="shared" si="14"/>
        <v/>
      </c>
      <c r="CE9" s="829" t="str">
        <f t="shared" si="15"/>
        <v/>
      </c>
      <c r="CF9" s="829" t="str">
        <f t="shared" si="16"/>
        <v/>
      </c>
      <c r="CG9" s="829" t="str">
        <f t="shared" si="17"/>
        <v/>
      </c>
      <c r="CH9" s="829" t="str">
        <f t="shared" si="18"/>
        <v/>
      </c>
      <c r="CI9" s="829" t="str">
        <f t="shared" si="19"/>
        <v/>
      </c>
      <c r="CJ9" s="829" t="str" cm="1">
        <f t="array" ref="CJ9">IF($B9="","",_xlfn.LET(_xlpm.to,$D9&amp;"",_xlpm.em,IFERROR(INDEX(_xlfn.ANCHORARRAY($BE$4),ROW()-4,6),"")="EMERG",_xlpm.pri,AND(NOT(_xlpm.em),LEFT(_xlpm.to,2)="T-",ISNUMBER(MATCH(MID(_xlpm.to,3,99),Equip_List,0)),ISNA(MATCH(_xlpm.to,Equip_List,0))),IF(_xlpm.pri,MID(_xlpm.to,3,99),_xlpm.to)))</f>
        <v/>
      </c>
      <c r="CK9" s="829" t="str" cm="1">
        <f t="array" ref="CK9">IF($CJ9="","",IF(IFERROR(INDEX(_xlfn.ANCHORARRAY($BE$4),ROW()-4,6),"")="EMERG","E",IF($CJ9&lt;&gt;$D9&amp;"","P","N")))</f>
        <v/>
      </c>
    </row>
    <row r="10" spans="1:89" ht="15" customHeight="1" x14ac:dyDescent="0.35">
      <c r="A10" s="821" t="str">
        <f t="shared" si="7"/>
        <v/>
      </c>
      <c r="B10" s="821" t="str" cm="1">
        <f t="array" ref="B10">IFERROR(IF(INDEX(_xlfn.ANCHORARRAY($BE$4),ROW()-4,2)="","","F-"&amp;INDEX(_xlfn.ANCHORARRAY($BE$4),ROW()-4,2)&amp;IF(IFERROR(INDEX(_xlfn.ANCHORARRAY($BE$4),ROW()-4,6),"")="EMERG","-E","")),"")</f>
        <v/>
      </c>
      <c r="C10" s="821" t="str" cm="1">
        <f t="array" ref="C10">IFERROR(IF($B10="","",INDEX(_xlfn.ANCHORARRAY($BE$4),ROW()-4,1)),"")</f>
        <v/>
      </c>
      <c r="D10" s="821" t="str" cm="1">
        <f t="array" ref="D10">IFERROR(IF($B10="","",INDEX(_xlfn.ANCHORARRAY($BE$4),ROW()-4,2)),"")</f>
        <v/>
      </c>
      <c r="E10" s="806" t="str" cm="1">
        <f t="array" ref="E10">IFERROR(IF($B10="","",INDEX(_xlfn.ANCHORARRAY($BE$4),ROW()-4,3)),"")</f>
        <v/>
      </c>
      <c r="F10" s="822" t="str" cm="1">
        <f t="array" ref="F10">IFERROR(IF($B10="","",INDEX(_xlfn.ANCHORARRAY($BE$4),ROW()-4,4)),"")</f>
        <v/>
      </c>
      <c r="G10" s="823" t="str" cm="1">
        <f t="array" ref="G10">IFERROR(IF($B10="","",INDEX(_xlfn.ANCHORARRAY($BE$4),ROW()-4,5)),"")</f>
        <v/>
      </c>
      <c r="H10" s="824" t="str" cm="1">
        <f t="array" ref="H10">IF($CJ10="","",_xlfn.LET(_xlpm.v,_xlfn.XLOOKUP($CJ10,Equip_List,IF($CK10="E",Equip_EmLen,IF($CK10="P",Equip_XfPriLen,Equip_FdrLen)),""),IF(_xlpm.v="","",_xlpm.v)))</f>
        <v/>
      </c>
      <c r="I10" s="806" t="str">
        <f t="shared" si="0"/>
        <v/>
      </c>
      <c r="J10" s="820"/>
      <c r="K10" s="806" t="str">
        <f>_xlfn.LET(_xlpm.k,IF($I10="","",IF(COUNTIF(UPS!$B$57:$B$64,$C10&amp;"")&gt;0,1.25*MAX($I10,N(_xlfn.XLOOKUP($C10&amp;"",UPS!$B$57:$B$64,UPS!$M$57:$M$64,0))),IF(COUNTIF(UPS!$B$57:$B$64,$D10&amp;"")&gt;0,1.25*MAX($I10,N(_xlfn.XLOOKUP($D10&amp;"",UPS!$B$57:$B$64,UPS!$Q$57:$Q$64,0))),$I10*IF(OR(UPPER($J10)="Y",LEFT($C10,2)="T-",LEFT($D10,2)="T-"),1.25,1)))),IF(_xlpm.k="","",MAX(_xlpm.k,N(IFERROR(_xlfn.XLOOKUP($D10&amp;"",Dashboard!$A$101:$A$350,Dashboard!$O$101:$O$350,0),0)))))</f>
        <v/>
      </c>
      <c r="L10" s="825" t="str">
        <f>IF($CJ10="","",_xlfn.LET(_xlpm.v,UPPER(TRIM(_xlfn.XLOOKUP($CJ10,Equip_List,Equip_FdrMat,"")&amp;"")),IF(_xlpm.v="",UPPER(TRIM(Cfg_FeederMat&amp;"")),_xlpm.v)))</f>
        <v/>
      </c>
      <c r="M10" s="825" t="str">
        <f>IF($CJ10="","",_xlfn.LET(_xlpm.v,TRIM(_xlfn.XLOOKUP($CJ10,Equip_List,Equip_FdrRace,"")&amp;""),IF(_xlpm.v="",Cfg_Conduit&amp;"",_xlpm.v)))</f>
        <v/>
      </c>
      <c r="N10" s="825" t="str">
        <f>IF($CJ10="","",IF(UPPER(TRIM(_xlfn.XLOOKUP($CJ10,Equip_List,Equip_FdrExist,"")&amp;""))="Y","Y",""))</f>
        <v/>
      </c>
      <c r="O10" s="823" t="str">
        <f t="shared" si="8"/>
        <v/>
      </c>
      <c r="P10" s="821" t="str">
        <f t="shared" si="9"/>
        <v/>
      </c>
      <c r="Q10" s="821" t="str">
        <f t="shared" si="10"/>
        <v/>
      </c>
      <c r="R10" s="822" t="str" cm="1">
        <f t="array" ref="R10">IF(K10="","",INDEX(OCPD_List,MATCH(TRUE,OCPD_List&gt;=K10,0)))</f>
        <v/>
      </c>
      <c r="S10" s="821" t="str">
        <f t="shared" si="11"/>
        <v/>
      </c>
      <c r="T10" s="826" t="str">
        <f t="shared" si="1"/>
        <v/>
      </c>
      <c r="U10" s="826" t="str">
        <f t="shared" si="2"/>
        <v/>
      </c>
      <c r="V10" s="827" t="str">
        <f t="shared" si="3"/>
        <v/>
      </c>
      <c r="W10" s="828"/>
      <c r="X10" s="819"/>
      <c r="Y10" s="820"/>
      <c r="Z10" s="820"/>
      <c r="AA10" s="820"/>
      <c r="BN10" s="832" t="str">
        <f>IF($B10="","",IFERROR(_xlfn.XLOOKUP($D10,Dashboard!$A$101:$A$350,Dashboard!$C$101:$C$350),""))</f>
        <v/>
      </c>
      <c r="BO10" s="832" t="str">
        <f t="shared" si="4"/>
        <v/>
      </c>
      <c r="BP10" s="832" t="str" cm="1">
        <f t="array" ref="BP10">IF(OR($B10="",$R10="",NOT(ISNUMBER($R10))),"",IF(AND($BV10="AL",$G10=1),"",_xlfn.LET(_xlpm.codes,IF($BV10="AL",Std_Al3_Code,IF($G10=1,Std_Cu1_Code,Std_Cu3_Code)),_xlpm.amps,IFERROR(--SUBSTITUTE(_xlpm.codes&amp;"","N",""),""),_xlpm.a,MIN(IF(ISNUMBER(_xlpm.amps),IF(_xlpm.amps&gt;=$R10,_xlpm.amps,""),"")),_xlpm.k,IF(_xlpm.a=0,$R10,_xlpm.a),IF($BO10="Y",TEXT(_xlpm.k,"0")&amp;"N",_xlpm.k))))</f>
        <v/>
      </c>
      <c r="BQ10" s="832" t="str" cm="1">
        <f t="array" ref="BQ10">IF($BP10="","",IFERROR(IF($BV10="AL",_xlfn.XLOOKUP($BP10,Std_Al3_Code,INDEX(Std_Al3_Table,0,3)),IF($G10=1,_xlfn.XLOOKUP($BP10,Std_Cu1_Code,INDEX(Std_Cu1_Table,0,3)),_xlfn.XLOOKUP($BP10,Std_Cu3_Code,INDEX(Std_Cu3_Table,0,3)))),""))</f>
        <v/>
      </c>
      <c r="BR10" s="832" t="str" cm="1">
        <f t="array" ref="BR10">IF($BP10="","",IFERROR(IF($BV10="AL",_xlfn.XLOOKUP($BP10,Std_Al3_Code,INDEX(Std_Al3_Table,0,4)),IF($G10=1,_xlfn.XLOOKUP($BP10,Std_Cu1_Code,INDEX(Std_Cu1_Table,0,4)),_xlfn.XLOOKUP($BP10,Std_Cu3_Code,INDEX(Std_Cu3_Table,0,4)))),""))</f>
        <v/>
      </c>
      <c r="BS10" s="832" t="str" cm="1">
        <f t="array" ref="BS10">IF($BP10="","",IFERROR(IF($BV10="AL",_xlfn.XLOOKUP($BP10,Std_Al3_Code,INDEX(Std_Al3_Table,0,5)),IF($G10=1,_xlfn.XLOOKUP($BP10,Std_Cu1_Code,INDEX(Std_Cu1_Table,0,5)),_xlfn.XLOOKUP($BP10,Std_Cu3_Code,INDEX(Std_Cu3_Table,0,5)))),""))</f>
        <v/>
      </c>
      <c r="BT10" s="832" t="str">
        <f t="shared" si="5"/>
        <v/>
      </c>
      <c r="BU10" s="832" t="str" cm="1">
        <f t="array" ref="BU10">IF($BP10="","",IFERROR(IF($BV10="AL",_xlfn.XLOOKUP($BP10,Std_Al3_Code,INDEX(Std_Al3_Table,0,2)),IF($G10=1,_xlfn.XLOOKUP($BP10,Std_Cu1_Code,INDEX(Std_Cu1_Table,0,2)),_xlfn.XLOOKUP($BP10,Std_Cu3_Code,INDEX(Std_Cu3_Table,0,2)))),""))</f>
        <v/>
      </c>
      <c r="BV10" s="829" t="str">
        <f t="shared" si="6"/>
        <v/>
      </c>
      <c r="BW10" s="829" t="str">
        <f t="shared" si="12"/>
        <v/>
      </c>
      <c r="BX10" s="829" t="str" cm="1">
        <f t="array" ref="BX10">IF(OR($BP10="",$H10="",$I10="",$F10="",$BW10=""),"",IFERROR(_xlfn.LET(_xlpm.codes,IF($BV10="AL",Std_Al3_Code,IF($G10=1,Std_Cu1_Code,Std_Cu3_Code)),_xlpm.tbl,IF($BV10="AL",Std_Al3_Table,IF($G10=1,Std_Cu1_Table,Std_Cu3_Table)),_xlpm.i,MATCH($BP10,_xlpm.codes,0),_xlpm.idx,_xlfn.SEQUENCE(ROWS(_xlpm.codes)),_xlpm.cnd,INDEX(_xlpm.tbl,0,4),_xlpm.sts,INDEX(_xlpm.tbl,0,2),_xlpm.sz,IFERROR(_xlfn.TEXTBEFORE(_xlfn.TEXTAFTER(_xlpm.cnd,"#"),","),IFERROR(_xlfn.TEXTAFTER(_xlpm.cnd,"#"),"")),_xlpm.cm,IFERROR(_xlfn.XLOOKUP(TRIM(_xlpm.sz),Ampacity_Size,Ampacity_CM),0),_xlpm.mult,IF($G10=3,SQRT3,2),_xlpm.kk,IF($BV10="AL",K_Al,K_Cu),_xlpm.vd,IF(_xlpm.cm*IF(ISNUMBER(_xlpm.sts),_xlpm.sts,0)=0,9,_xlpm.mult*_xlpm.kk*$I10*$H10/(_xlpm.cm*_xlpm.sts)/$F10),_xlpm.hasN,--(RIGHT(_xlpm.codes&amp;"",1)="N"),_xlpm.wantN,--(RIGHT($BP10&amp;"",1)="N"),_xlpm.ok,(_xlpm.idx&gt;=_xlpm.i)*(_xlpm.vd&lt;=Cfg_VDFeeder)*(_xlpm.cm&gt;0)*ISNUMBER(_xlpm.sts)*(_xlpm.hasN=_xlpm.wantN),_xlpm.m,MIN(IF(_xlpm.ok=1,_xlpm.idx)),INDEX(_xlpm.codes,IF(_xlpm.m=0,_xlpm.i,_xlpm.m))),""))</f>
        <v/>
      </c>
      <c r="BY10" s="829" t="str" cm="1">
        <f t="array" ref="BY10">IF($BP10="","",IF($BX10="",$BU10,IFERROR(IF($BV10="AL",_xlfn.XLOOKUP($BX10,Std_Al3_Code,INDEX(Std_Al3_Table,0,2)),IF($G10=1,_xlfn.XLOOKUP($BX10,Std_Cu1_Code,INDEX(Std_Cu1_Table,0,2)),_xlfn.XLOOKUP($BX10,Std_Cu3_Code,INDEX(Std_Cu3_Table,0,2)))),"")))</f>
        <v/>
      </c>
      <c r="BZ10" s="829" t="str" cm="1">
        <f t="array" ref="BZ10">IF($BP10="","",IF($BX10="",$BR10,IFERROR(IF($BV10="AL",_xlfn.XLOOKUP($BX10,Std_Al3_Code,INDEX(Std_Al3_Table,0,4)),IF($G10=1,_xlfn.XLOOKUP($BX10,Std_Cu1_Code,INDEX(Std_Cu1_Table,0,4)),_xlfn.XLOOKUP($BX10,Std_Cu3_Code,INDEX(Std_Cu3_Table,0,4)))),"")))</f>
        <v/>
      </c>
      <c r="CA10" s="829" t="str" cm="1">
        <f t="array" ref="CA10">IF($BP10="","",IF($BX10="",$BQ10,IFERROR(IF($BV10="AL",_xlfn.XLOOKUP($BX10,Std_Al3_Code,INDEX(Std_Al3_Table,0,3)),IF($G10=1,_xlfn.XLOOKUP($BX10,Std_Cu1_Code,INDEX(Std_Cu1_Table,0,3)),_xlfn.XLOOKUP($BX10,Std_Cu3_Code,INDEX(Std_Cu3_Table,0,3)))),"")))</f>
        <v/>
      </c>
      <c r="CB10" s="829" t="str" cm="1">
        <f t="array" ref="CB10">IF($BP10="","",IF($BX10="",$BS10,IFERROR(IF($BV10="AL",_xlfn.XLOOKUP($BX10,Std_Al3_Code,INDEX(Std_Al3_Table,0,5)),IF($G10=1,_xlfn.XLOOKUP($BX10,Std_Cu1_Code,INDEX(Std_Cu1_Table,0,5)),_xlfn.XLOOKUP($BX10,Std_Cu3_Code,INDEX(Std_Cu3_Table,0,5)))),"")))</f>
        <v/>
      </c>
      <c r="CC10" s="829" t="str">
        <f t="shared" si="13"/>
        <v/>
      </c>
      <c r="CD10" s="829" t="str">
        <f t="shared" si="14"/>
        <v/>
      </c>
      <c r="CE10" s="829" t="str">
        <f t="shared" si="15"/>
        <v/>
      </c>
      <c r="CF10" s="829" t="str">
        <f t="shared" si="16"/>
        <v/>
      </c>
      <c r="CG10" s="829" t="str">
        <f t="shared" si="17"/>
        <v/>
      </c>
      <c r="CH10" s="829" t="str">
        <f t="shared" si="18"/>
        <v/>
      </c>
      <c r="CI10" s="829" t="str">
        <f t="shared" si="19"/>
        <v/>
      </c>
      <c r="CJ10" s="829" t="str" cm="1">
        <f t="array" ref="CJ10">IF($B10="","",_xlfn.LET(_xlpm.to,$D10&amp;"",_xlpm.em,IFERROR(INDEX(_xlfn.ANCHORARRAY($BE$4),ROW()-4,6),"")="EMERG",_xlpm.pri,AND(NOT(_xlpm.em),LEFT(_xlpm.to,2)="T-",ISNUMBER(MATCH(MID(_xlpm.to,3,99),Equip_List,0)),ISNA(MATCH(_xlpm.to,Equip_List,0))),IF(_xlpm.pri,MID(_xlpm.to,3,99),_xlpm.to)))</f>
        <v/>
      </c>
      <c r="CK10" s="829" t="str" cm="1">
        <f t="array" ref="CK10">IF($CJ10="","",IF(IFERROR(INDEX(_xlfn.ANCHORARRAY($BE$4),ROW()-4,6),"")="EMERG","E",IF($CJ10&lt;&gt;$D10&amp;"","P","N")))</f>
        <v/>
      </c>
    </row>
    <row r="11" spans="1:89" ht="15" customHeight="1" x14ac:dyDescent="0.35">
      <c r="A11" s="821" t="str">
        <f t="shared" si="7"/>
        <v/>
      </c>
      <c r="B11" s="821" t="str" cm="1">
        <f t="array" ref="B11">IFERROR(IF(INDEX(_xlfn.ANCHORARRAY($BE$4),ROW()-4,2)="","","F-"&amp;INDEX(_xlfn.ANCHORARRAY($BE$4),ROW()-4,2)&amp;IF(IFERROR(INDEX(_xlfn.ANCHORARRAY($BE$4),ROW()-4,6),"")="EMERG","-E","")),"")</f>
        <v/>
      </c>
      <c r="C11" s="821" t="str" cm="1">
        <f t="array" ref="C11">IFERROR(IF($B11="","",INDEX(_xlfn.ANCHORARRAY($BE$4),ROW()-4,1)),"")</f>
        <v/>
      </c>
      <c r="D11" s="821" t="str" cm="1">
        <f t="array" ref="D11">IFERROR(IF($B11="","",INDEX(_xlfn.ANCHORARRAY($BE$4),ROW()-4,2)),"")</f>
        <v/>
      </c>
      <c r="E11" s="806" t="str" cm="1">
        <f t="array" ref="E11">IFERROR(IF($B11="","",INDEX(_xlfn.ANCHORARRAY($BE$4),ROW()-4,3)),"")</f>
        <v/>
      </c>
      <c r="F11" s="822" t="str" cm="1">
        <f t="array" ref="F11">IFERROR(IF($B11="","",INDEX(_xlfn.ANCHORARRAY($BE$4),ROW()-4,4)),"")</f>
        <v/>
      </c>
      <c r="G11" s="823" t="str" cm="1">
        <f t="array" ref="G11">IFERROR(IF($B11="","",INDEX(_xlfn.ANCHORARRAY($BE$4),ROW()-4,5)),"")</f>
        <v/>
      </c>
      <c r="H11" s="824" t="str" cm="1">
        <f t="array" ref="H11">IF($CJ11="","",_xlfn.LET(_xlpm.v,_xlfn.XLOOKUP($CJ11,Equip_List,IF($CK11="E",Equip_EmLen,IF($CK11="P",Equip_XfPriLen,Equip_FdrLen)),""),IF(_xlpm.v="","",_xlpm.v)))</f>
        <v/>
      </c>
      <c r="I11" s="806" t="str">
        <f t="shared" si="0"/>
        <v/>
      </c>
      <c r="J11" s="820"/>
      <c r="K11" s="806" t="str">
        <f>_xlfn.LET(_xlpm.k,IF($I11="","",IF(COUNTIF(UPS!$B$57:$B$64,$C11&amp;"")&gt;0,1.25*MAX($I11,N(_xlfn.XLOOKUP($C11&amp;"",UPS!$B$57:$B$64,UPS!$M$57:$M$64,0))),IF(COUNTIF(UPS!$B$57:$B$64,$D11&amp;"")&gt;0,1.25*MAX($I11,N(_xlfn.XLOOKUP($D11&amp;"",UPS!$B$57:$B$64,UPS!$Q$57:$Q$64,0))),$I11*IF(OR(UPPER($J11)="Y",LEFT($C11,2)="T-",LEFT($D11,2)="T-"),1.25,1)))),IF(_xlpm.k="","",MAX(_xlpm.k,N(IFERROR(_xlfn.XLOOKUP($D11&amp;"",Dashboard!$A$101:$A$350,Dashboard!$O$101:$O$350,0),0)))))</f>
        <v/>
      </c>
      <c r="L11" s="825" t="str">
        <f>IF($CJ11="","",_xlfn.LET(_xlpm.v,UPPER(TRIM(_xlfn.XLOOKUP($CJ11,Equip_List,Equip_FdrMat,"")&amp;"")),IF(_xlpm.v="",UPPER(TRIM(Cfg_FeederMat&amp;"")),_xlpm.v)))</f>
        <v/>
      </c>
      <c r="M11" s="825" t="str">
        <f>IF($CJ11="","",_xlfn.LET(_xlpm.v,TRIM(_xlfn.XLOOKUP($CJ11,Equip_List,Equip_FdrRace,"")&amp;""),IF(_xlpm.v="",Cfg_Conduit&amp;"",_xlpm.v)))</f>
        <v/>
      </c>
      <c r="N11" s="825" t="str">
        <f>IF($CJ11="","",IF(UPPER(TRIM(_xlfn.XLOOKUP($CJ11,Equip_List,Equip_FdrExist,"")&amp;""))="Y","Y",""))</f>
        <v/>
      </c>
      <c r="O11" s="823" t="str">
        <f t="shared" si="8"/>
        <v/>
      </c>
      <c r="P11" s="821" t="str">
        <f t="shared" si="9"/>
        <v/>
      </c>
      <c r="Q11" s="821" t="str">
        <f t="shared" si="10"/>
        <v/>
      </c>
      <c r="R11" s="822" t="str" cm="1">
        <f t="array" ref="R11">IF(K11="","",INDEX(OCPD_List,MATCH(TRUE,OCPD_List&gt;=K11,0)))</f>
        <v/>
      </c>
      <c r="S11" s="821" t="str">
        <f t="shared" si="11"/>
        <v/>
      </c>
      <c r="T11" s="826" t="str">
        <f t="shared" si="1"/>
        <v/>
      </c>
      <c r="U11" s="826" t="str">
        <f t="shared" si="2"/>
        <v/>
      </c>
      <c r="V11" s="827" t="str">
        <f t="shared" si="3"/>
        <v/>
      </c>
      <c r="W11" s="828"/>
      <c r="X11" s="819"/>
      <c r="Y11" s="820"/>
      <c r="Z11" s="820"/>
      <c r="AA11" s="820"/>
      <c r="BN11" s="832" t="str">
        <f>IF($B11="","",IFERROR(_xlfn.XLOOKUP($D11,Dashboard!$A$101:$A$350,Dashboard!$C$101:$C$350),""))</f>
        <v/>
      </c>
      <c r="BO11" s="832" t="str">
        <f t="shared" si="4"/>
        <v/>
      </c>
      <c r="BP11" s="832" t="str" cm="1">
        <f t="array" ref="BP11">IF(OR($B11="",$R11="",NOT(ISNUMBER($R11))),"",IF(AND($BV11="AL",$G11=1),"",_xlfn.LET(_xlpm.codes,IF($BV11="AL",Std_Al3_Code,IF($G11=1,Std_Cu1_Code,Std_Cu3_Code)),_xlpm.amps,IFERROR(--SUBSTITUTE(_xlpm.codes&amp;"","N",""),""),_xlpm.a,MIN(IF(ISNUMBER(_xlpm.amps),IF(_xlpm.amps&gt;=$R11,_xlpm.amps,""),"")),_xlpm.k,IF(_xlpm.a=0,$R11,_xlpm.a),IF($BO11="Y",TEXT(_xlpm.k,"0")&amp;"N",_xlpm.k))))</f>
        <v/>
      </c>
      <c r="BQ11" s="832" t="str" cm="1">
        <f t="array" ref="BQ11">IF($BP11="","",IFERROR(IF($BV11="AL",_xlfn.XLOOKUP($BP11,Std_Al3_Code,INDEX(Std_Al3_Table,0,3)),IF($G11=1,_xlfn.XLOOKUP($BP11,Std_Cu1_Code,INDEX(Std_Cu1_Table,0,3)),_xlfn.XLOOKUP($BP11,Std_Cu3_Code,INDEX(Std_Cu3_Table,0,3)))),""))</f>
        <v/>
      </c>
      <c r="BR11" s="832" t="str" cm="1">
        <f t="array" ref="BR11">IF($BP11="","",IFERROR(IF($BV11="AL",_xlfn.XLOOKUP($BP11,Std_Al3_Code,INDEX(Std_Al3_Table,0,4)),IF($G11=1,_xlfn.XLOOKUP($BP11,Std_Cu1_Code,INDEX(Std_Cu1_Table,0,4)),_xlfn.XLOOKUP($BP11,Std_Cu3_Code,INDEX(Std_Cu3_Table,0,4)))),""))</f>
        <v/>
      </c>
      <c r="BS11" s="832" t="str" cm="1">
        <f t="array" ref="BS11">IF($BP11="","",IFERROR(IF($BV11="AL",_xlfn.XLOOKUP($BP11,Std_Al3_Code,INDEX(Std_Al3_Table,0,5)),IF($G11=1,_xlfn.XLOOKUP($BP11,Std_Cu1_Code,INDEX(Std_Cu1_Table,0,5)),_xlfn.XLOOKUP($BP11,Std_Cu3_Code,INDEX(Std_Cu3_Table,0,5)))),""))</f>
        <v/>
      </c>
      <c r="BT11" s="832" t="str">
        <f t="shared" si="5"/>
        <v/>
      </c>
      <c r="BU11" s="832" t="str" cm="1">
        <f t="array" ref="BU11">IF($BP11="","",IFERROR(IF($BV11="AL",_xlfn.XLOOKUP($BP11,Std_Al3_Code,INDEX(Std_Al3_Table,0,2)),IF($G11=1,_xlfn.XLOOKUP($BP11,Std_Cu1_Code,INDEX(Std_Cu1_Table,0,2)),_xlfn.XLOOKUP($BP11,Std_Cu3_Code,INDEX(Std_Cu3_Table,0,2)))),""))</f>
        <v/>
      </c>
      <c r="BV11" s="829" t="str">
        <f t="shared" si="6"/>
        <v/>
      </c>
      <c r="BW11" s="829" t="str">
        <f t="shared" si="12"/>
        <v/>
      </c>
      <c r="BX11" s="829" t="str" cm="1">
        <f t="array" ref="BX11">IF(OR($BP11="",$H11="",$I11="",$F11="",$BW11=""),"",IFERROR(_xlfn.LET(_xlpm.codes,IF($BV11="AL",Std_Al3_Code,IF($G11=1,Std_Cu1_Code,Std_Cu3_Code)),_xlpm.tbl,IF($BV11="AL",Std_Al3_Table,IF($G11=1,Std_Cu1_Table,Std_Cu3_Table)),_xlpm.i,MATCH($BP11,_xlpm.codes,0),_xlpm.idx,_xlfn.SEQUENCE(ROWS(_xlpm.codes)),_xlpm.cnd,INDEX(_xlpm.tbl,0,4),_xlpm.sts,INDEX(_xlpm.tbl,0,2),_xlpm.sz,IFERROR(_xlfn.TEXTBEFORE(_xlfn.TEXTAFTER(_xlpm.cnd,"#"),","),IFERROR(_xlfn.TEXTAFTER(_xlpm.cnd,"#"),"")),_xlpm.cm,IFERROR(_xlfn.XLOOKUP(TRIM(_xlpm.sz),Ampacity_Size,Ampacity_CM),0),_xlpm.mult,IF($G11=3,SQRT3,2),_xlpm.kk,IF($BV11="AL",K_Al,K_Cu),_xlpm.vd,IF(_xlpm.cm*IF(ISNUMBER(_xlpm.sts),_xlpm.sts,0)=0,9,_xlpm.mult*_xlpm.kk*$I11*$H11/(_xlpm.cm*_xlpm.sts)/$F11),_xlpm.hasN,--(RIGHT(_xlpm.codes&amp;"",1)="N"),_xlpm.wantN,--(RIGHT($BP11&amp;"",1)="N"),_xlpm.ok,(_xlpm.idx&gt;=_xlpm.i)*(_xlpm.vd&lt;=Cfg_VDFeeder)*(_xlpm.cm&gt;0)*ISNUMBER(_xlpm.sts)*(_xlpm.hasN=_xlpm.wantN),_xlpm.m,MIN(IF(_xlpm.ok=1,_xlpm.idx)),INDEX(_xlpm.codes,IF(_xlpm.m=0,_xlpm.i,_xlpm.m))),""))</f>
        <v/>
      </c>
      <c r="BY11" s="829" t="str" cm="1">
        <f t="array" ref="BY11">IF($BP11="","",IF($BX11="",$BU11,IFERROR(IF($BV11="AL",_xlfn.XLOOKUP($BX11,Std_Al3_Code,INDEX(Std_Al3_Table,0,2)),IF($G11=1,_xlfn.XLOOKUP($BX11,Std_Cu1_Code,INDEX(Std_Cu1_Table,0,2)),_xlfn.XLOOKUP($BX11,Std_Cu3_Code,INDEX(Std_Cu3_Table,0,2)))),"")))</f>
        <v/>
      </c>
      <c r="BZ11" s="829" t="str" cm="1">
        <f t="array" ref="BZ11">IF($BP11="","",IF($BX11="",$BR11,IFERROR(IF($BV11="AL",_xlfn.XLOOKUP($BX11,Std_Al3_Code,INDEX(Std_Al3_Table,0,4)),IF($G11=1,_xlfn.XLOOKUP($BX11,Std_Cu1_Code,INDEX(Std_Cu1_Table,0,4)),_xlfn.XLOOKUP($BX11,Std_Cu3_Code,INDEX(Std_Cu3_Table,0,4)))),"")))</f>
        <v/>
      </c>
      <c r="CA11" s="829" t="str" cm="1">
        <f t="array" ref="CA11">IF($BP11="","",IF($BX11="",$BQ11,IFERROR(IF($BV11="AL",_xlfn.XLOOKUP($BX11,Std_Al3_Code,INDEX(Std_Al3_Table,0,3)),IF($G11=1,_xlfn.XLOOKUP($BX11,Std_Cu1_Code,INDEX(Std_Cu1_Table,0,3)),_xlfn.XLOOKUP($BX11,Std_Cu3_Code,INDEX(Std_Cu3_Table,0,3)))),"")))</f>
        <v/>
      </c>
      <c r="CB11" s="829" t="str" cm="1">
        <f t="array" ref="CB11">IF($BP11="","",IF($BX11="",$BS11,IFERROR(IF($BV11="AL",_xlfn.XLOOKUP($BX11,Std_Al3_Code,INDEX(Std_Al3_Table,0,5)),IF($G11=1,_xlfn.XLOOKUP($BX11,Std_Cu1_Code,INDEX(Std_Cu1_Table,0,5)),_xlfn.XLOOKUP($BX11,Std_Cu3_Code,INDEX(Std_Cu3_Table,0,5)))),"")))</f>
        <v/>
      </c>
      <c r="CC11" s="829" t="str">
        <f t="shared" si="13"/>
        <v/>
      </c>
      <c r="CD11" s="829" t="str">
        <f t="shared" si="14"/>
        <v/>
      </c>
      <c r="CE11" s="829" t="str">
        <f t="shared" si="15"/>
        <v/>
      </c>
      <c r="CF11" s="829" t="str">
        <f t="shared" si="16"/>
        <v/>
      </c>
      <c r="CG11" s="829" t="str">
        <f t="shared" si="17"/>
        <v/>
      </c>
      <c r="CH11" s="829" t="str">
        <f t="shared" si="18"/>
        <v/>
      </c>
      <c r="CI11" s="829" t="str">
        <f t="shared" si="19"/>
        <v/>
      </c>
      <c r="CJ11" s="829" t="str" cm="1">
        <f t="array" ref="CJ11">IF($B11="","",_xlfn.LET(_xlpm.to,$D11&amp;"",_xlpm.em,IFERROR(INDEX(_xlfn.ANCHORARRAY($BE$4),ROW()-4,6),"")="EMERG",_xlpm.pri,AND(NOT(_xlpm.em),LEFT(_xlpm.to,2)="T-",ISNUMBER(MATCH(MID(_xlpm.to,3,99),Equip_List,0)),ISNA(MATCH(_xlpm.to,Equip_List,0))),IF(_xlpm.pri,MID(_xlpm.to,3,99),_xlpm.to)))</f>
        <v/>
      </c>
      <c r="CK11" s="829" t="str" cm="1">
        <f t="array" ref="CK11">IF($CJ11="","",IF(IFERROR(INDEX(_xlfn.ANCHORARRAY($BE$4),ROW()-4,6),"")="EMERG","E",IF($CJ11&lt;&gt;$D11&amp;"","P","N")))</f>
        <v/>
      </c>
    </row>
    <row r="12" spans="1:89" ht="15" customHeight="1" x14ac:dyDescent="0.35">
      <c r="A12" s="821" t="str">
        <f t="shared" si="7"/>
        <v/>
      </c>
      <c r="B12" s="821" t="str" cm="1">
        <f t="array" ref="B12">IFERROR(IF(INDEX(_xlfn.ANCHORARRAY($BE$4),ROW()-4,2)="","","F-"&amp;INDEX(_xlfn.ANCHORARRAY($BE$4),ROW()-4,2)&amp;IF(IFERROR(INDEX(_xlfn.ANCHORARRAY($BE$4),ROW()-4,6),"")="EMERG","-E","")),"")</f>
        <v/>
      </c>
      <c r="C12" s="821" t="str" cm="1">
        <f t="array" ref="C12">IFERROR(IF($B12="","",INDEX(_xlfn.ANCHORARRAY($BE$4),ROW()-4,1)),"")</f>
        <v/>
      </c>
      <c r="D12" s="821" t="str" cm="1">
        <f t="array" ref="D12">IFERROR(IF($B12="","",INDEX(_xlfn.ANCHORARRAY($BE$4),ROW()-4,2)),"")</f>
        <v/>
      </c>
      <c r="E12" s="806" t="str" cm="1">
        <f t="array" ref="E12">IFERROR(IF($B12="","",INDEX(_xlfn.ANCHORARRAY($BE$4),ROW()-4,3)),"")</f>
        <v/>
      </c>
      <c r="F12" s="822" t="str" cm="1">
        <f t="array" ref="F12">IFERROR(IF($B12="","",INDEX(_xlfn.ANCHORARRAY($BE$4),ROW()-4,4)),"")</f>
        <v/>
      </c>
      <c r="G12" s="823" t="str" cm="1">
        <f t="array" ref="G12">IFERROR(IF($B12="","",INDEX(_xlfn.ANCHORARRAY($BE$4),ROW()-4,5)),"")</f>
        <v/>
      </c>
      <c r="H12" s="824" t="str" cm="1">
        <f t="array" ref="H12">IF($CJ12="","",_xlfn.LET(_xlpm.v,_xlfn.XLOOKUP($CJ12,Equip_List,IF($CK12="E",Equip_EmLen,IF($CK12="P",Equip_XfPriLen,Equip_FdrLen)),""),IF(_xlpm.v="","",_xlpm.v)))</f>
        <v/>
      </c>
      <c r="I12" s="806" t="str">
        <f t="shared" si="0"/>
        <v/>
      </c>
      <c r="J12" s="820"/>
      <c r="K12" s="806" t="str">
        <f>_xlfn.LET(_xlpm.k,IF($I12="","",IF(COUNTIF(UPS!$B$57:$B$64,$C12&amp;"")&gt;0,1.25*MAX($I12,N(_xlfn.XLOOKUP($C12&amp;"",UPS!$B$57:$B$64,UPS!$M$57:$M$64,0))),IF(COUNTIF(UPS!$B$57:$B$64,$D12&amp;"")&gt;0,1.25*MAX($I12,N(_xlfn.XLOOKUP($D12&amp;"",UPS!$B$57:$B$64,UPS!$Q$57:$Q$64,0))),$I12*IF(OR(UPPER($J12)="Y",LEFT($C12,2)="T-",LEFT($D12,2)="T-"),1.25,1)))),IF(_xlpm.k="","",MAX(_xlpm.k,N(IFERROR(_xlfn.XLOOKUP($D12&amp;"",Dashboard!$A$101:$A$350,Dashboard!$O$101:$O$350,0),0)))))</f>
        <v/>
      </c>
      <c r="L12" s="825" t="str">
        <f>IF($CJ12="","",_xlfn.LET(_xlpm.v,UPPER(TRIM(_xlfn.XLOOKUP($CJ12,Equip_List,Equip_FdrMat,"")&amp;"")),IF(_xlpm.v="",UPPER(TRIM(Cfg_FeederMat&amp;"")),_xlpm.v)))</f>
        <v/>
      </c>
      <c r="M12" s="825" t="str">
        <f>IF($CJ12="","",_xlfn.LET(_xlpm.v,TRIM(_xlfn.XLOOKUP($CJ12,Equip_List,Equip_FdrRace,"")&amp;""),IF(_xlpm.v="",Cfg_Conduit&amp;"",_xlpm.v)))</f>
        <v/>
      </c>
      <c r="N12" s="825" t="str">
        <f>IF($CJ12="","",IF(UPPER(TRIM(_xlfn.XLOOKUP($CJ12,Equip_List,Equip_FdrExist,"")&amp;""))="Y","Y",""))</f>
        <v/>
      </c>
      <c r="O12" s="823" t="str">
        <f t="shared" si="8"/>
        <v/>
      </c>
      <c r="P12" s="821" t="str">
        <f t="shared" si="9"/>
        <v/>
      </c>
      <c r="Q12" s="821" t="str">
        <f t="shared" si="10"/>
        <v/>
      </c>
      <c r="R12" s="822" t="str" cm="1">
        <f t="array" ref="R12">IF(K12="","",INDEX(OCPD_List,MATCH(TRUE,OCPD_List&gt;=K12,0)))</f>
        <v/>
      </c>
      <c r="S12" s="821" t="str">
        <f t="shared" si="11"/>
        <v/>
      </c>
      <c r="T12" s="826" t="str">
        <f t="shared" si="1"/>
        <v/>
      </c>
      <c r="U12" s="826" t="str">
        <f t="shared" si="2"/>
        <v/>
      </c>
      <c r="V12" s="827" t="str">
        <f t="shared" si="3"/>
        <v/>
      </c>
      <c r="W12" s="828"/>
      <c r="X12" s="819"/>
      <c r="Y12" s="820"/>
      <c r="Z12" s="820"/>
      <c r="AA12" s="820"/>
      <c r="BN12" s="832" t="str">
        <f>IF($B12="","",IFERROR(_xlfn.XLOOKUP($D12,Dashboard!$A$101:$A$350,Dashboard!$C$101:$C$350),""))</f>
        <v/>
      </c>
      <c r="BO12" s="832" t="str">
        <f t="shared" si="4"/>
        <v/>
      </c>
      <c r="BP12" s="832" t="str" cm="1">
        <f t="array" ref="BP12">IF(OR($B12="",$R12="",NOT(ISNUMBER($R12))),"",IF(AND($BV12="AL",$G12=1),"",_xlfn.LET(_xlpm.codes,IF($BV12="AL",Std_Al3_Code,IF($G12=1,Std_Cu1_Code,Std_Cu3_Code)),_xlpm.amps,IFERROR(--SUBSTITUTE(_xlpm.codes&amp;"","N",""),""),_xlpm.a,MIN(IF(ISNUMBER(_xlpm.amps),IF(_xlpm.amps&gt;=$R12,_xlpm.amps,""),"")),_xlpm.k,IF(_xlpm.a=0,$R12,_xlpm.a),IF($BO12="Y",TEXT(_xlpm.k,"0")&amp;"N",_xlpm.k))))</f>
        <v/>
      </c>
      <c r="BQ12" s="832" t="str" cm="1">
        <f t="array" ref="BQ12">IF($BP12="","",IFERROR(IF($BV12="AL",_xlfn.XLOOKUP($BP12,Std_Al3_Code,INDEX(Std_Al3_Table,0,3)),IF($G12=1,_xlfn.XLOOKUP($BP12,Std_Cu1_Code,INDEX(Std_Cu1_Table,0,3)),_xlfn.XLOOKUP($BP12,Std_Cu3_Code,INDEX(Std_Cu3_Table,0,3)))),""))</f>
        <v/>
      </c>
      <c r="BR12" s="832" t="str" cm="1">
        <f t="array" ref="BR12">IF($BP12="","",IFERROR(IF($BV12="AL",_xlfn.XLOOKUP($BP12,Std_Al3_Code,INDEX(Std_Al3_Table,0,4)),IF($G12=1,_xlfn.XLOOKUP($BP12,Std_Cu1_Code,INDEX(Std_Cu1_Table,0,4)),_xlfn.XLOOKUP($BP12,Std_Cu3_Code,INDEX(Std_Cu3_Table,0,4)))),""))</f>
        <v/>
      </c>
      <c r="BS12" s="832" t="str" cm="1">
        <f t="array" ref="BS12">IF($BP12="","",IFERROR(IF($BV12="AL",_xlfn.XLOOKUP($BP12,Std_Al3_Code,INDEX(Std_Al3_Table,0,5)),IF($G12=1,_xlfn.XLOOKUP($BP12,Std_Cu1_Code,INDEX(Std_Cu1_Table,0,5)),_xlfn.XLOOKUP($BP12,Std_Cu3_Code,INDEX(Std_Cu3_Table,0,5)))),""))</f>
        <v/>
      </c>
      <c r="BT12" s="832" t="str">
        <f t="shared" si="5"/>
        <v/>
      </c>
      <c r="BU12" s="832" t="str" cm="1">
        <f t="array" ref="BU12">IF($BP12="","",IFERROR(IF($BV12="AL",_xlfn.XLOOKUP($BP12,Std_Al3_Code,INDEX(Std_Al3_Table,0,2)),IF($G12=1,_xlfn.XLOOKUP($BP12,Std_Cu1_Code,INDEX(Std_Cu1_Table,0,2)),_xlfn.XLOOKUP($BP12,Std_Cu3_Code,INDEX(Std_Cu3_Table,0,2)))),""))</f>
        <v/>
      </c>
      <c r="BV12" s="829" t="str">
        <f t="shared" si="6"/>
        <v/>
      </c>
      <c r="BW12" s="829" t="str">
        <f t="shared" si="12"/>
        <v/>
      </c>
      <c r="BX12" s="829" t="str" cm="1">
        <f t="array" ref="BX12">IF(OR($BP12="",$H12="",$I12="",$F12="",$BW12=""),"",IFERROR(_xlfn.LET(_xlpm.codes,IF($BV12="AL",Std_Al3_Code,IF($G12=1,Std_Cu1_Code,Std_Cu3_Code)),_xlpm.tbl,IF($BV12="AL",Std_Al3_Table,IF($G12=1,Std_Cu1_Table,Std_Cu3_Table)),_xlpm.i,MATCH($BP12,_xlpm.codes,0),_xlpm.idx,_xlfn.SEQUENCE(ROWS(_xlpm.codes)),_xlpm.cnd,INDEX(_xlpm.tbl,0,4),_xlpm.sts,INDEX(_xlpm.tbl,0,2),_xlpm.sz,IFERROR(_xlfn.TEXTBEFORE(_xlfn.TEXTAFTER(_xlpm.cnd,"#"),","),IFERROR(_xlfn.TEXTAFTER(_xlpm.cnd,"#"),"")),_xlpm.cm,IFERROR(_xlfn.XLOOKUP(TRIM(_xlpm.sz),Ampacity_Size,Ampacity_CM),0),_xlpm.mult,IF($G12=3,SQRT3,2),_xlpm.kk,IF($BV12="AL",K_Al,K_Cu),_xlpm.vd,IF(_xlpm.cm*IF(ISNUMBER(_xlpm.sts),_xlpm.sts,0)=0,9,_xlpm.mult*_xlpm.kk*$I12*$H12/(_xlpm.cm*_xlpm.sts)/$F12),_xlpm.hasN,--(RIGHT(_xlpm.codes&amp;"",1)="N"),_xlpm.wantN,--(RIGHT($BP12&amp;"",1)="N"),_xlpm.ok,(_xlpm.idx&gt;=_xlpm.i)*(_xlpm.vd&lt;=Cfg_VDFeeder)*(_xlpm.cm&gt;0)*ISNUMBER(_xlpm.sts)*(_xlpm.hasN=_xlpm.wantN),_xlpm.m,MIN(IF(_xlpm.ok=1,_xlpm.idx)),INDEX(_xlpm.codes,IF(_xlpm.m=0,_xlpm.i,_xlpm.m))),""))</f>
        <v/>
      </c>
      <c r="BY12" s="829" t="str" cm="1">
        <f t="array" ref="BY12">IF($BP12="","",IF($BX12="",$BU12,IFERROR(IF($BV12="AL",_xlfn.XLOOKUP($BX12,Std_Al3_Code,INDEX(Std_Al3_Table,0,2)),IF($G12=1,_xlfn.XLOOKUP($BX12,Std_Cu1_Code,INDEX(Std_Cu1_Table,0,2)),_xlfn.XLOOKUP($BX12,Std_Cu3_Code,INDEX(Std_Cu3_Table,0,2)))),"")))</f>
        <v/>
      </c>
      <c r="BZ12" s="829" t="str" cm="1">
        <f t="array" ref="BZ12">IF($BP12="","",IF($BX12="",$BR12,IFERROR(IF($BV12="AL",_xlfn.XLOOKUP($BX12,Std_Al3_Code,INDEX(Std_Al3_Table,0,4)),IF($G12=1,_xlfn.XLOOKUP($BX12,Std_Cu1_Code,INDEX(Std_Cu1_Table,0,4)),_xlfn.XLOOKUP($BX12,Std_Cu3_Code,INDEX(Std_Cu3_Table,0,4)))),"")))</f>
        <v/>
      </c>
      <c r="CA12" s="829" t="str" cm="1">
        <f t="array" ref="CA12">IF($BP12="","",IF($BX12="",$BQ12,IFERROR(IF($BV12="AL",_xlfn.XLOOKUP($BX12,Std_Al3_Code,INDEX(Std_Al3_Table,0,3)),IF($G12=1,_xlfn.XLOOKUP($BX12,Std_Cu1_Code,INDEX(Std_Cu1_Table,0,3)),_xlfn.XLOOKUP($BX12,Std_Cu3_Code,INDEX(Std_Cu3_Table,0,3)))),"")))</f>
        <v/>
      </c>
      <c r="CB12" s="829" t="str" cm="1">
        <f t="array" ref="CB12">IF($BP12="","",IF($BX12="",$BS12,IFERROR(IF($BV12="AL",_xlfn.XLOOKUP($BX12,Std_Al3_Code,INDEX(Std_Al3_Table,0,5)),IF($G12=1,_xlfn.XLOOKUP($BX12,Std_Cu1_Code,INDEX(Std_Cu1_Table,0,5)),_xlfn.XLOOKUP($BX12,Std_Cu3_Code,INDEX(Std_Cu3_Table,0,5)))),"")))</f>
        <v/>
      </c>
      <c r="CC12" s="829" t="str">
        <f t="shared" si="13"/>
        <v/>
      </c>
      <c r="CD12" s="829" t="str">
        <f t="shared" si="14"/>
        <v/>
      </c>
      <c r="CE12" s="829" t="str">
        <f t="shared" si="15"/>
        <v/>
      </c>
      <c r="CF12" s="829" t="str">
        <f t="shared" si="16"/>
        <v/>
      </c>
      <c r="CG12" s="829" t="str">
        <f t="shared" si="17"/>
        <v/>
      </c>
      <c r="CH12" s="829" t="str">
        <f t="shared" si="18"/>
        <v/>
      </c>
      <c r="CI12" s="829" t="str">
        <f t="shared" si="19"/>
        <v/>
      </c>
      <c r="CJ12" s="829" t="str" cm="1">
        <f t="array" ref="CJ12">IF($B12="","",_xlfn.LET(_xlpm.to,$D12&amp;"",_xlpm.em,IFERROR(INDEX(_xlfn.ANCHORARRAY($BE$4),ROW()-4,6),"")="EMERG",_xlpm.pri,AND(NOT(_xlpm.em),LEFT(_xlpm.to,2)="T-",ISNUMBER(MATCH(MID(_xlpm.to,3,99),Equip_List,0)),ISNA(MATCH(_xlpm.to,Equip_List,0))),IF(_xlpm.pri,MID(_xlpm.to,3,99),_xlpm.to)))</f>
        <v/>
      </c>
      <c r="CK12" s="829" t="str" cm="1">
        <f t="array" ref="CK12">IF($CJ12="","",IF(IFERROR(INDEX(_xlfn.ANCHORARRAY($BE$4),ROW()-4,6),"")="EMERG","E",IF($CJ12&lt;&gt;$D12&amp;"","P","N")))</f>
        <v/>
      </c>
    </row>
    <row r="13" spans="1:89" ht="15" customHeight="1" x14ac:dyDescent="0.35">
      <c r="A13" s="821" t="str">
        <f t="shared" si="7"/>
        <v/>
      </c>
      <c r="B13" s="821" t="str" cm="1">
        <f t="array" ref="B13">IFERROR(IF(INDEX(_xlfn.ANCHORARRAY($BE$4),ROW()-4,2)="","","F-"&amp;INDEX(_xlfn.ANCHORARRAY($BE$4),ROW()-4,2)&amp;IF(IFERROR(INDEX(_xlfn.ANCHORARRAY($BE$4),ROW()-4,6),"")="EMERG","-E","")),"")</f>
        <v/>
      </c>
      <c r="C13" s="821" t="str" cm="1">
        <f t="array" ref="C13">IFERROR(IF($B13="","",INDEX(_xlfn.ANCHORARRAY($BE$4),ROW()-4,1)),"")</f>
        <v/>
      </c>
      <c r="D13" s="821" t="str" cm="1">
        <f t="array" ref="D13">IFERROR(IF($B13="","",INDEX(_xlfn.ANCHORARRAY($BE$4),ROW()-4,2)),"")</f>
        <v/>
      </c>
      <c r="E13" s="806" t="str" cm="1">
        <f t="array" ref="E13">IFERROR(IF($B13="","",INDEX(_xlfn.ANCHORARRAY($BE$4),ROW()-4,3)),"")</f>
        <v/>
      </c>
      <c r="F13" s="822" t="str" cm="1">
        <f t="array" ref="F13">IFERROR(IF($B13="","",INDEX(_xlfn.ANCHORARRAY($BE$4),ROW()-4,4)),"")</f>
        <v/>
      </c>
      <c r="G13" s="823" t="str" cm="1">
        <f t="array" ref="G13">IFERROR(IF($B13="","",INDEX(_xlfn.ANCHORARRAY($BE$4),ROW()-4,5)),"")</f>
        <v/>
      </c>
      <c r="H13" s="824" t="str" cm="1">
        <f t="array" ref="H13">IF($CJ13="","",_xlfn.LET(_xlpm.v,_xlfn.XLOOKUP($CJ13,Equip_List,IF($CK13="E",Equip_EmLen,IF($CK13="P",Equip_XfPriLen,Equip_FdrLen)),""),IF(_xlpm.v="","",_xlpm.v)))</f>
        <v/>
      </c>
      <c r="I13" s="806" t="str">
        <f t="shared" si="0"/>
        <v/>
      </c>
      <c r="J13" s="820"/>
      <c r="K13" s="806" t="str">
        <f>_xlfn.LET(_xlpm.k,IF($I13="","",IF(COUNTIF(UPS!$B$57:$B$64,$C13&amp;"")&gt;0,1.25*MAX($I13,N(_xlfn.XLOOKUP($C13&amp;"",UPS!$B$57:$B$64,UPS!$M$57:$M$64,0))),IF(COUNTIF(UPS!$B$57:$B$64,$D13&amp;"")&gt;0,1.25*MAX($I13,N(_xlfn.XLOOKUP($D13&amp;"",UPS!$B$57:$B$64,UPS!$Q$57:$Q$64,0))),$I13*IF(OR(UPPER($J13)="Y",LEFT($C13,2)="T-",LEFT($D13,2)="T-"),1.25,1)))),IF(_xlpm.k="","",MAX(_xlpm.k,N(IFERROR(_xlfn.XLOOKUP($D13&amp;"",Dashboard!$A$101:$A$350,Dashboard!$O$101:$O$350,0),0)))))</f>
        <v/>
      </c>
      <c r="L13" s="825" t="str">
        <f>IF($CJ13="","",_xlfn.LET(_xlpm.v,UPPER(TRIM(_xlfn.XLOOKUP($CJ13,Equip_List,Equip_FdrMat,"")&amp;"")),IF(_xlpm.v="",UPPER(TRIM(Cfg_FeederMat&amp;"")),_xlpm.v)))</f>
        <v/>
      </c>
      <c r="M13" s="825" t="str">
        <f>IF($CJ13="","",_xlfn.LET(_xlpm.v,TRIM(_xlfn.XLOOKUP($CJ13,Equip_List,Equip_FdrRace,"")&amp;""),IF(_xlpm.v="",Cfg_Conduit&amp;"",_xlpm.v)))</f>
        <v/>
      </c>
      <c r="N13" s="825" t="str">
        <f>IF($CJ13="","",IF(UPPER(TRIM(_xlfn.XLOOKUP($CJ13,Equip_List,Equip_FdrExist,"")&amp;""))="Y","Y",""))</f>
        <v/>
      </c>
      <c r="O13" s="823" t="str">
        <f t="shared" si="8"/>
        <v/>
      </c>
      <c r="P13" s="821" t="str">
        <f t="shared" si="9"/>
        <v/>
      </c>
      <c r="Q13" s="821" t="str">
        <f t="shared" si="10"/>
        <v/>
      </c>
      <c r="R13" s="822" t="str" cm="1">
        <f t="array" ref="R13">IF(K13="","",INDEX(OCPD_List,MATCH(TRUE,OCPD_List&gt;=K13,0)))</f>
        <v/>
      </c>
      <c r="S13" s="821" t="str">
        <f t="shared" si="11"/>
        <v/>
      </c>
      <c r="T13" s="826" t="str">
        <f t="shared" si="1"/>
        <v/>
      </c>
      <c r="U13" s="826" t="str">
        <f t="shared" si="2"/>
        <v/>
      </c>
      <c r="V13" s="827" t="str">
        <f t="shared" si="3"/>
        <v/>
      </c>
      <c r="W13" s="828"/>
      <c r="X13" s="819"/>
      <c r="Y13" s="820"/>
      <c r="Z13" s="820"/>
      <c r="AA13" s="820"/>
      <c r="BN13" s="832" t="str">
        <f>IF($B13="","",IFERROR(_xlfn.XLOOKUP($D13,Dashboard!$A$101:$A$350,Dashboard!$C$101:$C$350),""))</f>
        <v/>
      </c>
      <c r="BO13" s="832" t="str">
        <f t="shared" si="4"/>
        <v/>
      </c>
      <c r="BP13" s="832" t="str" cm="1">
        <f t="array" ref="BP13">IF(OR($B13="",$R13="",NOT(ISNUMBER($R13))),"",IF(AND($BV13="AL",$G13=1),"",_xlfn.LET(_xlpm.codes,IF($BV13="AL",Std_Al3_Code,IF($G13=1,Std_Cu1_Code,Std_Cu3_Code)),_xlpm.amps,IFERROR(--SUBSTITUTE(_xlpm.codes&amp;"","N",""),""),_xlpm.a,MIN(IF(ISNUMBER(_xlpm.amps),IF(_xlpm.amps&gt;=$R13,_xlpm.amps,""),"")),_xlpm.k,IF(_xlpm.a=0,$R13,_xlpm.a),IF($BO13="Y",TEXT(_xlpm.k,"0")&amp;"N",_xlpm.k))))</f>
        <v/>
      </c>
      <c r="BQ13" s="832" t="str" cm="1">
        <f t="array" ref="BQ13">IF($BP13="","",IFERROR(IF($BV13="AL",_xlfn.XLOOKUP($BP13,Std_Al3_Code,INDEX(Std_Al3_Table,0,3)),IF($G13=1,_xlfn.XLOOKUP($BP13,Std_Cu1_Code,INDEX(Std_Cu1_Table,0,3)),_xlfn.XLOOKUP($BP13,Std_Cu3_Code,INDEX(Std_Cu3_Table,0,3)))),""))</f>
        <v/>
      </c>
      <c r="BR13" s="832" t="str" cm="1">
        <f t="array" ref="BR13">IF($BP13="","",IFERROR(IF($BV13="AL",_xlfn.XLOOKUP($BP13,Std_Al3_Code,INDEX(Std_Al3_Table,0,4)),IF($G13=1,_xlfn.XLOOKUP($BP13,Std_Cu1_Code,INDEX(Std_Cu1_Table,0,4)),_xlfn.XLOOKUP($BP13,Std_Cu3_Code,INDEX(Std_Cu3_Table,0,4)))),""))</f>
        <v/>
      </c>
      <c r="BS13" s="832" t="str" cm="1">
        <f t="array" ref="BS13">IF($BP13="","",IFERROR(IF($BV13="AL",_xlfn.XLOOKUP($BP13,Std_Al3_Code,INDEX(Std_Al3_Table,0,5)),IF($G13=1,_xlfn.XLOOKUP($BP13,Std_Cu1_Code,INDEX(Std_Cu1_Table,0,5)),_xlfn.XLOOKUP($BP13,Std_Cu3_Code,INDEX(Std_Cu3_Table,0,5)))),""))</f>
        <v/>
      </c>
      <c r="BT13" s="832" t="str">
        <f t="shared" si="5"/>
        <v/>
      </c>
      <c r="BU13" s="832" t="str" cm="1">
        <f t="array" ref="BU13">IF($BP13="","",IFERROR(IF($BV13="AL",_xlfn.XLOOKUP($BP13,Std_Al3_Code,INDEX(Std_Al3_Table,0,2)),IF($G13=1,_xlfn.XLOOKUP($BP13,Std_Cu1_Code,INDEX(Std_Cu1_Table,0,2)),_xlfn.XLOOKUP($BP13,Std_Cu3_Code,INDEX(Std_Cu3_Table,0,2)))),""))</f>
        <v/>
      </c>
      <c r="BV13" s="829" t="str">
        <f t="shared" si="6"/>
        <v/>
      </c>
      <c r="BW13" s="829" t="str">
        <f t="shared" si="12"/>
        <v/>
      </c>
      <c r="BX13" s="829" t="str" cm="1">
        <f t="array" ref="BX13">IF(OR($BP13="",$H13="",$I13="",$F13="",$BW13=""),"",IFERROR(_xlfn.LET(_xlpm.codes,IF($BV13="AL",Std_Al3_Code,IF($G13=1,Std_Cu1_Code,Std_Cu3_Code)),_xlpm.tbl,IF($BV13="AL",Std_Al3_Table,IF($G13=1,Std_Cu1_Table,Std_Cu3_Table)),_xlpm.i,MATCH($BP13,_xlpm.codes,0),_xlpm.idx,_xlfn.SEQUENCE(ROWS(_xlpm.codes)),_xlpm.cnd,INDEX(_xlpm.tbl,0,4),_xlpm.sts,INDEX(_xlpm.tbl,0,2),_xlpm.sz,IFERROR(_xlfn.TEXTBEFORE(_xlfn.TEXTAFTER(_xlpm.cnd,"#"),","),IFERROR(_xlfn.TEXTAFTER(_xlpm.cnd,"#"),"")),_xlpm.cm,IFERROR(_xlfn.XLOOKUP(TRIM(_xlpm.sz),Ampacity_Size,Ampacity_CM),0),_xlpm.mult,IF($G13=3,SQRT3,2),_xlpm.kk,IF($BV13="AL",K_Al,K_Cu),_xlpm.vd,IF(_xlpm.cm*IF(ISNUMBER(_xlpm.sts),_xlpm.sts,0)=0,9,_xlpm.mult*_xlpm.kk*$I13*$H13/(_xlpm.cm*_xlpm.sts)/$F13),_xlpm.hasN,--(RIGHT(_xlpm.codes&amp;"",1)="N"),_xlpm.wantN,--(RIGHT($BP13&amp;"",1)="N"),_xlpm.ok,(_xlpm.idx&gt;=_xlpm.i)*(_xlpm.vd&lt;=Cfg_VDFeeder)*(_xlpm.cm&gt;0)*ISNUMBER(_xlpm.sts)*(_xlpm.hasN=_xlpm.wantN),_xlpm.m,MIN(IF(_xlpm.ok=1,_xlpm.idx)),INDEX(_xlpm.codes,IF(_xlpm.m=0,_xlpm.i,_xlpm.m))),""))</f>
        <v/>
      </c>
      <c r="BY13" s="829" t="str" cm="1">
        <f t="array" ref="BY13">IF($BP13="","",IF($BX13="",$BU13,IFERROR(IF($BV13="AL",_xlfn.XLOOKUP($BX13,Std_Al3_Code,INDEX(Std_Al3_Table,0,2)),IF($G13=1,_xlfn.XLOOKUP($BX13,Std_Cu1_Code,INDEX(Std_Cu1_Table,0,2)),_xlfn.XLOOKUP($BX13,Std_Cu3_Code,INDEX(Std_Cu3_Table,0,2)))),"")))</f>
        <v/>
      </c>
      <c r="BZ13" s="829" t="str" cm="1">
        <f t="array" ref="BZ13">IF($BP13="","",IF($BX13="",$BR13,IFERROR(IF($BV13="AL",_xlfn.XLOOKUP($BX13,Std_Al3_Code,INDEX(Std_Al3_Table,0,4)),IF($G13=1,_xlfn.XLOOKUP($BX13,Std_Cu1_Code,INDEX(Std_Cu1_Table,0,4)),_xlfn.XLOOKUP($BX13,Std_Cu3_Code,INDEX(Std_Cu3_Table,0,4)))),"")))</f>
        <v/>
      </c>
      <c r="CA13" s="829" t="str" cm="1">
        <f t="array" ref="CA13">IF($BP13="","",IF($BX13="",$BQ13,IFERROR(IF($BV13="AL",_xlfn.XLOOKUP($BX13,Std_Al3_Code,INDEX(Std_Al3_Table,0,3)),IF($G13=1,_xlfn.XLOOKUP($BX13,Std_Cu1_Code,INDEX(Std_Cu1_Table,0,3)),_xlfn.XLOOKUP($BX13,Std_Cu3_Code,INDEX(Std_Cu3_Table,0,3)))),"")))</f>
        <v/>
      </c>
      <c r="CB13" s="829" t="str" cm="1">
        <f t="array" ref="CB13">IF($BP13="","",IF($BX13="",$BS13,IFERROR(IF($BV13="AL",_xlfn.XLOOKUP($BX13,Std_Al3_Code,INDEX(Std_Al3_Table,0,5)),IF($G13=1,_xlfn.XLOOKUP($BX13,Std_Cu1_Code,INDEX(Std_Cu1_Table,0,5)),_xlfn.XLOOKUP($BX13,Std_Cu3_Code,INDEX(Std_Cu3_Table,0,5)))),"")))</f>
        <v/>
      </c>
      <c r="CC13" s="829" t="str">
        <f t="shared" si="13"/>
        <v/>
      </c>
      <c r="CD13" s="829" t="str">
        <f t="shared" si="14"/>
        <v/>
      </c>
      <c r="CE13" s="829" t="str">
        <f t="shared" si="15"/>
        <v/>
      </c>
      <c r="CF13" s="829" t="str">
        <f t="shared" si="16"/>
        <v/>
      </c>
      <c r="CG13" s="829" t="str">
        <f t="shared" si="17"/>
        <v/>
      </c>
      <c r="CH13" s="829" t="str">
        <f t="shared" si="18"/>
        <v/>
      </c>
      <c r="CI13" s="829" t="str">
        <f t="shared" si="19"/>
        <v/>
      </c>
      <c r="CJ13" s="829" t="str" cm="1">
        <f t="array" ref="CJ13">IF($B13="","",_xlfn.LET(_xlpm.to,$D13&amp;"",_xlpm.em,IFERROR(INDEX(_xlfn.ANCHORARRAY($BE$4),ROW()-4,6),"")="EMERG",_xlpm.pri,AND(NOT(_xlpm.em),LEFT(_xlpm.to,2)="T-",ISNUMBER(MATCH(MID(_xlpm.to,3,99),Equip_List,0)),ISNA(MATCH(_xlpm.to,Equip_List,0))),IF(_xlpm.pri,MID(_xlpm.to,3,99),_xlpm.to)))</f>
        <v/>
      </c>
      <c r="CK13" s="829" t="str" cm="1">
        <f t="array" ref="CK13">IF($CJ13="","",IF(IFERROR(INDEX(_xlfn.ANCHORARRAY($BE$4),ROW()-4,6),"")="EMERG","E",IF($CJ13&lt;&gt;$D13&amp;"","P","N")))</f>
        <v/>
      </c>
    </row>
    <row r="14" spans="1:89" ht="15" customHeight="1" x14ac:dyDescent="0.35">
      <c r="A14" s="821" t="str">
        <f t="shared" si="7"/>
        <v/>
      </c>
      <c r="B14" s="821" t="str" cm="1">
        <f t="array" ref="B14">IFERROR(IF(INDEX(_xlfn.ANCHORARRAY($BE$4),ROW()-4,2)="","","F-"&amp;INDEX(_xlfn.ANCHORARRAY($BE$4),ROW()-4,2)&amp;IF(IFERROR(INDEX(_xlfn.ANCHORARRAY($BE$4),ROW()-4,6),"")="EMERG","-E","")),"")</f>
        <v/>
      </c>
      <c r="C14" s="821" t="str" cm="1">
        <f t="array" ref="C14">IFERROR(IF($B14="","",INDEX(_xlfn.ANCHORARRAY($BE$4),ROW()-4,1)),"")</f>
        <v/>
      </c>
      <c r="D14" s="821" t="str" cm="1">
        <f t="array" ref="D14">IFERROR(IF($B14="","",INDEX(_xlfn.ANCHORARRAY($BE$4),ROW()-4,2)),"")</f>
        <v/>
      </c>
      <c r="E14" s="806" t="str" cm="1">
        <f t="array" ref="E14">IFERROR(IF($B14="","",INDEX(_xlfn.ANCHORARRAY($BE$4),ROW()-4,3)),"")</f>
        <v/>
      </c>
      <c r="F14" s="822" t="str" cm="1">
        <f t="array" ref="F14">IFERROR(IF($B14="","",INDEX(_xlfn.ANCHORARRAY($BE$4),ROW()-4,4)),"")</f>
        <v/>
      </c>
      <c r="G14" s="823" t="str" cm="1">
        <f t="array" ref="G14">IFERROR(IF($B14="","",INDEX(_xlfn.ANCHORARRAY($BE$4),ROW()-4,5)),"")</f>
        <v/>
      </c>
      <c r="H14" s="824" t="str" cm="1">
        <f t="array" ref="H14">IF($CJ14="","",_xlfn.LET(_xlpm.v,_xlfn.XLOOKUP($CJ14,Equip_List,IF($CK14="E",Equip_EmLen,IF($CK14="P",Equip_XfPriLen,Equip_FdrLen)),""),IF(_xlpm.v="","",_xlpm.v)))</f>
        <v/>
      </c>
      <c r="I14" s="806" t="str">
        <f t="shared" si="0"/>
        <v/>
      </c>
      <c r="J14" s="820"/>
      <c r="K14" s="806" t="str">
        <f>_xlfn.LET(_xlpm.k,IF($I14="","",IF(COUNTIF(UPS!$B$57:$B$64,$C14&amp;"")&gt;0,1.25*MAX($I14,N(_xlfn.XLOOKUP($C14&amp;"",UPS!$B$57:$B$64,UPS!$M$57:$M$64,0))),IF(COUNTIF(UPS!$B$57:$B$64,$D14&amp;"")&gt;0,1.25*MAX($I14,N(_xlfn.XLOOKUP($D14&amp;"",UPS!$B$57:$B$64,UPS!$Q$57:$Q$64,0))),$I14*IF(OR(UPPER($J14)="Y",LEFT($C14,2)="T-",LEFT($D14,2)="T-"),1.25,1)))),IF(_xlpm.k="","",MAX(_xlpm.k,N(IFERROR(_xlfn.XLOOKUP($D14&amp;"",Dashboard!$A$101:$A$350,Dashboard!$O$101:$O$350,0),0)))))</f>
        <v/>
      </c>
      <c r="L14" s="825" t="str">
        <f>IF($CJ14="","",_xlfn.LET(_xlpm.v,UPPER(TRIM(_xlfn.XLOOKUP($CJ14,Equip_List,Equip_FdrMat,"")&amp;"")),IF(_xlpm.v="",UPPER(TRIM(Cfg_FeederMat&amp;"")),_xlpm.v)))</f>
        <v/>
      </c>
      <c r="M14" s="825" t="str">
        <f>IF($CJ14="","",_xlfn.LET(_xlpm.v,TRIM(_xlfn.XLOOKUP($CJ14,Equip_List,Equip_FdrRace,"")&amp;""),IF(_xlpm.v="",Cfg_Conduit&amp;"",_xlpm.v)))</f>
        <v/>
      </c>
      <c r="N14" s="825" t="str">
        <f>IF($CJ14="","",IF(UPPER(TRIM(_xlfn.XLOOKUP($CJ14,Equip_List,Equip_FdrExist,"")&amp;""))="Y","Y",""))</f>
        <v/>
      </c>
      <c r="O14" s="823" t="str">
        <f t="shared" si="8"/>
        <v/>
      </c>
      <c r="P14" s="821" t="str">
        <f t="shared" si="9"/>
        <v/>
      </c>
      <c r="Q14" s="821" t="str">
        <f t="shared" si="10"/>
        <v/>
      </c>
      <c r="R14" s="822" t="str" cm="1">
        <f t="array" ref="R14">IF(K14="","",INDEX(OCPD_List,MATCH(TRUE,OCPD_List&gt;=K14,0)))</f>
        <v/>
      </c>
      <c r="S14" s="821" t="str">
        <f t="shared" si="11"/>
        <v/>
      </c>
      <c r="T14" s="826" t="str">
        <f t="shared" si="1"/>
        <v/>
      </c>
      <c r="U14" s="826" t="str">
        <f t="shared" si="2"/>
        <v/>
      </c>
      <c r="V14" s="827" t="str">
        <f t="shared" si="3"/>
        <v/>
      </c>
      <c r="W14" s="828"/>
      <c r="X14" s="819"/>
      <c r="Y14" s="820"/>
      <c r="Z14" s="820"/>
      <c r="AA14" s="820"/>
      <c r="BN14" s="832" t="str">
        <f>IF($B14="","",IFERROR(_xlfn.XLOOKUP($D14,Dashboard!$A$101:$A$350,Dashboard!$C$101:$C$350),""))</f>
        <v/>
      </c>
      <c r="BO14" s="832" t="str">
        <f t="shared" si="4"/>
        <v/>
      </c>
      <c r="BP14" s="832" t="str" cm="1">
        <f t="array" ref="BP14">IF(OR($B14="",$R14="",NOT(ISNUMBER($R14))),"",IF(AND($BV14="AL",$G14=1),"",_xlfn.LET(_xlpm.codes,IF($BV14="AL",Std_Al3_Code,IF($G14=1,Std_Cu1_Code,Std_Cu3_Code)),_xlpm.amps,IFERROR(--SUBSTITUTE(_xlpm.codes&amp;"","N",""),""),_xlpm.a,MIN(IF(ISNUMBER(_xlpm.amps),IF(_xlpm.amps&gt;=$R14,_xlpm.amps,""),"")),_xlpm.k,IF(_xlpm.a=0,$R14,_xlpm.a),IF($BO14="Y",TEXT(_xlpm.k,"0")&amp;"N",_xlpm.k))))</f>
        <v/>
      </c>
      <c r="BQ14" s="832" t="str" cm="1">
        <f t="array" ref="BQ14">IF($BP14="","",IFERROR(IF($BV14="AL",_xlfn.XLOOKUP($BP14,Std_Al3_Code,INDEX(Std_Al3_Table,0,3)),IF($G14=1,_xlfn.XLOOKUP($BP14,Std_Cu1_Code,INDEX(Std_Cu1_Table,0,3)),_xlfn.XLOOKUP($BP14,Std_Cu3_Code,INDEX(Std_Cu3_Table,0,3)))),""))</f>
        <v/>
      </c>
      <c r="BR14" s="832" t="str" cm="1">
        <f t="array" ref="BR14">IF($BP14="","",IFERROR(IF($BV14="AL",_xlfn.XLOOKUP($BP14,Std_Al3_Code,INDEX(Std_Al3_Table,0,4)),IF($G14=1,_xlfn.XLOOKUP($BP14,Std_Cu1_Code,INDEX(Std_Cu1_Table,0,4)),_xlfn.XLOOKUP($BP14,Std_Cu3_Code,INDEX(Std_Cu3_Table,0,4)))),""))</f>
        <v/>
      </c>
      <c r="BS14" s="832" t="str" cm="1">
        <f t="array" ref="BS14">IF($BP14="","",IFERROR(IF($BV14="AL",_xlfn.XLOOKUP($BP14,Std_Al3_Code,INDEX(Std_Al3_Table,0,5)),IF($G14=1,_xlfn.XLOOKUP($BP14,Std_Cu1_Code,INDEX(Std_Cu1_Table,0,5)),_xlfn.XLOOKUP($BP14,Std_Cu3_Code,INDEX(Std_Cu3_Table,0,5)))),""))</f>
        <v/>
      </c>
      <c r="BT14" s="832" t="str">
        <f t="shared" si="5"/>
        <v/>
      </c>
      <c r="BU14" s="832" t="str" cm="1">
        <f t="array" ref="BU14">IF($BP14="","",IFERROR(IF($BV14="AL",_xlfn.XLOOKUP($BP14,Std_Al3_Code,INDEX(Std_Al3_Table,0,2)),IF($G14=1,_xlfn.XLOOKUP($BP14,Std_Cu1_Code,INDEX(Std_Cu1_Table,0,2)),_xlfn.XLOOKUP($BP14,Std_Cu3_Code,INDEX(Std_Cu3_Table,0,2)))),""))</f>
        <v/>
      </c>
      <c r="BV14" s="829" t="str">
        <f t="shared" si="6"/>
        <v/>
      </c>
      <c r="BW14" s="829" t="str">
        <f t="shared" si="12"/>
        <v/>
      </c>
      <c r="BX14" s="829" t="str" cm="1">
        <f t="array" ref="BX14">IF(OR($BP14="",$H14="",$I14="",$F14="",$BW14=""),"",IFERROR(_xlfn.LET(_xlpm.codes,IF($BV14="AL",Std_Al3_Code,IF($G14=1,Std_Cu1_Code,Std_Cu3_Code)),_xlpm.tbl,IF($BV14="AL",Std_Al3_Table,IF($G14=1,Std_Cu1_Table,Std_Cu3_Table)),_xlpm.i,MATCH($BP14,_xlpm.codes,0),_xlpm.idx,_xlfn.SEQUENCE(ROWS(_xlpm.codes)),_xlpm.cnd,INDEX(_xlpm.tbl,0,4),_xlpm.sts,INDEX(_xlpm.tbl,0,2),_xlpm.sz,IFERROR(_xlfn.TEXTBEFORE(_xlfn.TEXTAFTER(_xlpm.cnd,"#"),","),IFERROR(_xlfn.TEXTAFTER(_xlpm.cnd,"#"),"")),_xlpm.cm,IFERROR(_xlfn.XLOOKUP(TRIM(_xlpm.sz),Ampacity_Size,Ampacity_CM),0),_xlpm.mult,IF($G14=3,SQRT3,2),_xlpm.kk,IF($BV14="AL",K_Al,K_Cu),_xlpm.vd,IF(_xlpm.cm*IF(ISNUMBER(_xlpm.sts),_xlpm.sts,0)=0,9,_xlpm.mult*_xlpm.kk*$I14*$H14/(_xlpm.cm*_xlpm.sts)/$F14),_xlpm.hasN,--(RIGHT(_xlpm.codes&amp;"",1)="N"),_xlpm.wantN,--(RIGHT($BP14&amp;"",1)="N"),_xlpm.ok,(_xlpm.idx&gt;=_xlpm.i)*(_xlpm.vd&lt;=Cfg_VDFeeder)*(_xlpm.cm&gt;0)*ISNUMBER(_xlpm.sts)*(_xlpm.hasN=_xlpm.wantN),_xlpm.m,MIN(IF(_xlpm.ok=1,_xlpm.idx)),INDEX(_xlpm.codes,IF(_xlpm.m=0,_xlpm.i,_xlpm.m))),""))</f>
        <v/>
      </c>
      <c r="BY14" s="829" t="str" cm="1">
        <f t="array" ref="BY14">IF($BP14="","",IF($BX14="",$BU14,IFERROR(IF($BV14="AL",_xlfn.XLOOKUP($BX14,Std_Al3_Code,INDEX(Std_Al3_Table,0,2)),IF($G14=1,_xlfn.XLOOKUP($BX14,Std_Cu1_Code,INDEX(Std_Cu1_Table,0,2)),_xlfn.XLOOKUP($BX14,Std_Cu3_Code,INDEX(Std_Cu3_Table,0,2)))),"")))</f>
        <v/>
      </c>
      <c r="BZ14" s="829" t="str" cm="1">
        <f t="array" ref="BZ14">IF($BP14="","",IF($BX14="",$BR14,IFERROR(IF($BV14="AL",_xlfn.XLOOKUP($BX14,Std_Al3_Code,INDEX(Std_Al3_Table,0,4)),IF($G14=1,_xlfn.XLOOKUP($BX14,Std_Cu1_Code,INDEX(Std_Cu1_Table,0,4)),_xlfn.XLOOKUP($BX14,Std_Cu3_Code,INDEX(Std_Cu3_Table,0,4)))),"")))</f>
        <v/>
      </c>
      <c r="CA14" s="829" t="str" cm="1">
        <f t="array" ref="CA14">IF($BP14="","",IF($BX14="",$BQ14,IFERROR(IF($BV14="AL",_xlfn.XLOOKUP($BX14,Std_Al3_Code,INDEX(Std_Al3_Table,0,3)),IF($G14=1,_xlfn.XLOOKUP($BX14,Std_Cu1_Code,INDEX(Std_Cu1_Table,0,3)),_xlfn.XLOOKUP($BX14,Std_Cu3_Code,INDEX(Std_Cu3_Table,0,3)))),"")))</f>
        <v/>
      </c>
      <c r="CB14" s="829" t="str" cm="1">
        <f t="array" ref="CB14">IF($BP14="","",IF($BX14="",$BS14,IFERROR(IF($BV14="AL",_xlfn.XLOOKUP($BX14,Std_Al3_Code,INDEX(Std_Al3_Table,0,5)),IF($G14=1,_xlfn.XLOOKUP($BX14,Std_Cu1_Code,INDEX(Std_Cu1_Table,0,5)),_xlfn.XLOOKUP($BX14,Std_Cu3_Code,INDEX(Std_Cu3_Table,0,5)))),"")))</f>
        <v/>
      </c>
      <c r="CC14" s="829" t="str">
        <f t="shared" si="13"/>
        <v/>
      </c>
      <c r="CD14" s="829" t="str">
        <f t="shared" si="14"/>
        <v/>
      </c>
      <c r="CE14" s="829" t="str">
        <f t="shared" si="15"/>
        <v/>
      </c>
      <c r="CF14" s="829" t="str">
        <f t="shared" si="16"/>
        <v/>
      </c>
      <c r="CG14" s="829" t="str">
        <f t="shared" si="17"/>
        <v/>
      </c>
      <c r="CH14" s="829" t="str">
        <f t="shared" si="18"/>
        <v/>
      </c>
      <c r="CI14" s="829" t="str">
        <f t="shared" si="19"/>
        <v/>
      </c>
      <c r="CJ14" s="829" t="str" cm="1">
        <f t="array" ref="CJ14">IF($B14="","",_xlfn.LET(_xlpm.to,$D14&amp;"",_xlpm.em,IFERROR(INDEX(_xlfn.ANCHORARRAY($BE$4),ROW()-4,6),"")="EMERG",_xlpm.pri,AND(NOT(_xlpm.em),LEFT(_xlpm.to,2)="T-",ISNUMBER(MATCH(MID(_xlpm.to,3,99),Equip_List,0)),ISNA(MATCH(_xlpm.to,Equip_List,0))),IF(_xlpm.pri,MID(_xlpm.to,3,99),_xlpm.to)))</f>
        <v/>
      </c>
      <c r="CK14" s="829" t="str" cm="1">
        <f t="array" ref="CK14">IF($CJ14="","",IF(IFERROR(INDEX(_xlfn.ANCHORARRAY($BE$4),ROW()-4,6),"")="EMERG","E",IF($CJ14&lt;&gt;$D14&amp;"","P","N")))</f>
        <v/>
      </c>
    </row>
    <row r="15" spans="1:89" ht="15" customHeight="1" x14ac:dyDescent="0.35">
      <c r="A15" s="821" t="str">
        <f t="shared" si="7"/>
        <v/>
      </c>
      <c r="B15" s="821" t="str" cm="1">
        <f t="array" ref="B15">IFERROR(IF(INDEX(_xlfn.ANCHORARRAY($BE$4),ROW()-4,2)="","","F-"&amp;INDEX(_xlfn.ANCHORARRAY($BE$4),ROW()-4,2)&amp;IF(IFERROR(INDEX(_xlfn.ANCHORARRAY($BE$4),ROW()-4,6),"")="EMERG","-E","")),"")</f>
        <v/>
      </c>
      <c r="C15" s="821" t="str" cm="1">
        <f t="array" ref="C15">IFERROR(IF($B15="","",INDEX(_xlfn.ANCHORARRAY($BE$4),ROW()-4,1)),"")</f>
        <v/>
      </c>
      <c r="D15" s="821" t="str" cm="1">
        <f t="array" ref="D15">IFERROR(IF($B15="","",INDEX(_xlfn.ANCHORARRAY($BE$4),ROW()-4,2)),"")</f>
        <v/>
      </c>
      <c r="E15" s="806" t="str" cm="1">
        <f t="array" ref="E15">IFERROR(IF($B15="","",INDEX(_xlfn.ANCHORARRAY($BE$4),ROW()-4,3)),"")</f>
        <v/>
      </c>
      <c r="F15" s="822" t="str" cm="1">
        <f t="array" ref="F15">IFERROR(IF($B15="","",INDEX(_xlfn.ANCHORARRAY($BE$4),ROW()-4,4)),"")</f>
        <v/>
      </c>
      <c r="G15" s="823" t="str" cm="1">
        <f t="array" ref="G15">IFERROR(IF($B15="","",INDEX(_xlfn.ANCHORARRAY($BE$4),ROW()-4,5)),"")</f>
        <v/>
      </c>
      <c r="H15" s="824" t="str" cm="1">
        <f t="array" ref="H15">IF($CJ15="","",_xlfn.LET(_xlpm.v,_xlfn.XLOOKUP($CJ15,Equip_List,IF($CK15="E",Equip_EmLen,IF($CK15="P",Equip_XfPriLen,Equip_FdrLen)),""),IF(_xlpm.v="","",_xlpm.v)))</f>
        <v/>
      </c>
      <c r="I15" s="806" t="str">
        <f t="shared" si="0"/>
        <v/>
      </c>
      <c r="J15" s="820"/>
      <c r="K15" s="806" t="str">
        <f>_xlfn.LET(_xlpm.k,IF($I15="","",IF(COUNTIF(UPS!$B$57:$B$64,$C15&amp;"")&gt;0,1.25*MAX($I15,N(_xlfn.XLOOKUP($C15&amp;"",UPS!$B$57:$B$64,UPS!$M$57:$M$64,0))),IF(COUNTIF(UPS!$B$57:$B$64,$D15&amp;"")&gt;0,1.25*MAX($I15,N(_xlfn.XLOOKUP($D15&amp;"",UPS!$B$57:$B$64,UPS!$Q$57:$Q$64,0))),$I15*IF(OR(UPPER($J15)="Y",LEFT($C15,2)="T-",LEFT($D15,2)="T-"),1.25,1)))),IF(_xlpm.k="","",MAX(_xlpm.k,N(IFERROR(_xlfn.XLOOKUP($D15&amp;"",Dashboard!$A$101:$A$350,Dashboard!$O$101:$O$350,0),0)))))</f>
        <v/>
      </c>
      <c r="L15" s="825" t="str">
        <f>IF($CJ15="","",_xlfn.LET(_xlpm.v,UPPER(TRIM(_xlfn.XLOOKUP($CJ15,Equip_List,Equip_FdrMat,"")&amp;"")),IF(_xlpm.v="",UPPER(TRIM(Cfg_FeederMat&amp;"")),_xlpm.v)))</f>
        <v/>
      </c>
      <c r="M15" s="825" t="str">
        <f>IF($CJ15="","",_xlfn.LET(_xlpm.v,TRIM(_xlfn.XLOOKUP($CJ15,Equip_List,Equip_FdrRace,"")&amp;""),IF(_xlpm.v="",Cfg_Conduit&amp;"",_xlpm.v)))</f>
        <v/>
      </c>
      <c r="N15" s="825" t="str">
        <f>IF($CJ15="","",IF(UPPER(TRIM(_xlfn.XLOOKUP($CJ15,Equip_List,Equip_FdrExist,"")&amp;""))="Y","Y",""))</f>
        <v/>
      </c>
      <c r="O15" s="823" t="str">
        <f t="shared" si="8"/>
        <v/>
      </c>
      <c r="P15" s="821" t="str">
        <f t="shared" si="9"/>
        <v/>
      </c>
      <c r="Q15" s="821" t="str">
        <f t="shared" si="10"/>
        <v/>
      </c>
      <c r="R15" s="822" t="str" cm="1">
        <f t="array" ref="R15">IF(K15="","",INDEX(OCPD_List,MATCH(TRUE,OCPD_List&gt;=K15,0)))</f>
        <v/>
      </c>
      <c r="S15" s="821" t="str">
        <f t="shared" si="11"/>
        <v/>
      </c>
      <c r="T15" s="826" t="str">
        <f t="shared" si="1"/>
        <v/>
      </c>
      <c r="U15" s="826" t="str">
        <f t="shared" si="2"/>
        <v/>
      </c>
      <c r="V15" s="827" t="str">
        <f t="shared" si="3"/>
        <v/>
      </c>
      <c r="W15" s="828"/>
      <c r="X15" s="819"/>
      <c r="Y15" s="820"/>
      <c r="Z15" s="820"/>
      <c r="AA15" s="820"/>
      <c r="BN15" s="832" t="str">
        <f>IF($B15="","",IFERROR(_xlfn.XLOOKUP($D15,Dashboard!$A$101:$A$350,Dashboard!$C$101:$C$350),""))</f>
        <v/>
      </c>
      <c r="BO15" s="832" t="str">
        <f t="shared" si="4"/>
        <v/>
      </c>
      <c r="BP15" s="832" t="str" cm="1">
        <f t="array" ref="BP15">IF(OR($B15="",$R15="",NOT(ISNUMBER($R15))),"",IF(AND($BV15="AL",$G15=1),"",_xlfn.LET(_xlpm.codes,IF($BV15="AL",Std_Al3_Code,IF($G15=1,Std_Cu1_Code,Std_Cu3_Code)),_xlpm.amps,IFERROR(--SUBSTITUTE(_xlpm.codes&amp;"","N",""),""),_xlpm.a,MIN(IF(ISNUMBER(_xlpm.amps),IF(_xlpm.amps&gt;=$R15,_xlpm.amps,""),"")),_xlpm.k,IF(_xlpm.a=0,$R15,_xlpm.a),IF($BO15="Y",TEXT(_xlpm.k,"0")&amp;"N",_xlpm.k))))</f>
        <v/>
      </c>
      <c r="BQ15" s="832" t="str" cm="1">
        <f t="array" ref="BQ15">IF($BP15="","",IFERROR(IF($BV15="AL",_xlfn.XLOOKUP($BP15,Std_Al3_Code,INDEX(Std_Al3_Table,0,3)),IF($G15=1,_xlfn.XLOOKUP($BP15,Std_Cu1_Code,INDEX(Std_Cu1_Table,0,3)),_xlfn.XLOOKUP($BP15,Std_Cu3_Code,INDEX(Std_Cu3_Table,0,3)))),""))</f>
        <v/>
      </c>
      <c r="BR15" s="832" t="str" cm="1">
        <f t="array" ref="BR15">IF($BP15="","",IFERROR(IF($BV15="AL",_xlfn.XLOOKUP($BP15,Std_Al3_Code,INDEX(Std_Al3_Table,0,4)),IF($G15=1,_xlfn.XLOOKUP($BP15,Std_Cu1_Code,INDEX(Std_Cu1_Table,0,4)),_xlfn.XLOOKUP($BP15,Std_Cu3_Code,INDEX(Std_Cu3_Table,0,4)))),""))</f>
        <v/>
      </c>
      <c r="BS15" s="832" t="str" cm="1">
        <f t="array" ref="BS15">IF($BP15="","",IFERROR(IF($BV15="AL",_xlfn.XLOOKUP($BP15,Std_Al3_Code,INDEX(Std_Al3_Table,0,5)),IF($G15=1,_xlfn.XLOOKUP($BP15,Std_Cu1_Code,INDEX(Std_Cu1_Table,0,5)),_xlfn.XLOOKUP($BP15,Std_Cu3_Code,INDEX(Std_Cu3_Table,0,5)))),""))</f>
        <v/>
      </c>
      <c r="BT15" s="832" t="str">
        <f t="shared" si="5"/>
        <v/>
      </c>
      <c r="BU15" s="832" t="str" cm="1">
        <f t="array" ref="BU15">IF($BP15="","",IFERROR(IF($BV15="AL",_xlfn.XLOOKUP($BP15,Std_Al3_Code,INDEX(Std_Al3_Table,0,2)),IF($G15=1,_xlfn.XLOOKUP($BP15,Std_Cu1_Code,INDEX(Std_Cu1_Table,0,2)),_xlfn.XLOOKUP($BP15,Std_Cu3_Code,INDEX(Std_Cu3_Table,0,2)))),""))</f>
        <v/>
      </c>
      <c r="BV15" s="829" t="str">
        <f t="shared" si="6"/>
        <v/>
      </c>
      <c r="BW15" s="829" t="str">
        <f t="shared" si="12"/>
        <v/>
      </c>
      <c r="BX15" s="829" t="str" cm="1">
        <f t="array" ref="BX15">IF(OR($BP15="",$H15="",$I15="",$F15="",$BW15=""),"",IFERROR(_xlfn.LET(_xlpm.codes,IF($BV15="AL",Std_Al3_Code,IF($G15=1,Std_Cu1_Code,Std_Cu3_Code)),_xlpm.tbl,IF($BV15="AL",Std_Al3_Table,IF($G15=1,Std_Cu1_Table,Std_Cu3_Table)),_xlpm.i,MATCH($BP15,_xlpm.codes,0),_xlpm.idx,_xlfn.SEQUENCE(ROWS(_xlpm.codes)),_xlpm.cnd,INDEX(_xlpm.tbl,0,4),_xlpm.sts,INDEX(_xlpm.tbl,0,2),_xlpm.sz,IFERROR(_xlfn.TEXTBEFORE(_xlfn.TEXTAFTER(_xlpm.cnd,"#"),","),IFERROR(_xlfn.TEXTAFTER(_xlpm.cnd,"#"),"")),_xlpm.cm,IFERROR(_xlfn.XLOOKUP(TRIM(_xlpm.sz),Ampacity_Size,Ampacity_CM),0),_xlpm.mult,IF($G15=3,SQRT3,2),_xlpm.kk,IF($BV15="AL",K_Al,K_Cu),_xlpm.vd,IF(_xlpm.cm*IF(ISNUMBER(_xlpm.sts),_xlpm.sts,0)=0,9,_xlpm.mult*_xlpm.kk*$I15*$H15/(_xlpm.cm*_xlpm.sts)/$F15),_xlpm.hasN,--(RIGHT(_xlpm.codes&amp;"",1)="N"),_xlpm.wantN,--(RIGHT($BP15&amp;"",1)="N"),_xlpm.ok,(_xlpm.idx&gt;=_xlpm.i)*(_xlpm.vd&lt;=Cfg_VDFeeder)*(_xlpm.cm&gt;0)*ISNUMBER(_xlpm.sts)*(_xlpm.hasN=_xlpm.wantN),_xlpm.m,MIN(IF(_xlpm.ok=1,_xlpm.idx)),INDEX(_xlpm.codes,IF(_xlpm.m=0,_xlpm.i,_xlpm.m))),""))</f>
        <v/>
      </c>
      <c r="BY15" s="829" t="str" cm="1">
        <f t="array" ref="BY15">IF($BP15="","",IF($BX15="",$BU15,IFERROR(IF($BV15="AL",_xlfn.XLOOKUP($BX15,Std_Al3_Code,INDEX(Std_Al3_Table,0,2)),IF($G15=1,_xlfn.XLOOKUP($BX15,Std_Cu1_Code,INDEX(Std_Cu1_Table,0,2)),_xlfn.XLOOKUP($BX15,Std_Cu3_Code,INDEX(Std_Cu3_Table,0,2)))),"")))</f>
        <v/>
      </c>
      <c r="BZ15" s="829" t="str" cm="1">
        <f t="array" ref="BZ15">IF($BP15="","",IF($BX15="",$BR15,IFERROR(IF($BV15="AL",_xlfn.XLOOKUP($BX15,Std_Al3_Code,INDEX(Std_Al3_Table,0,4)),IF($G15=1,_xlfn.XLOOKUP($BX15,Std_Cu1_Code,INDEX(Std_Cu1_Table,0,4)),_xlfn.XLOOKUP($BX15,Std_Cu3_Code,INDEX(Std_Cu3_Table,0,4)))),"")))</f>
        <v/>
      </c>
      <c r="CA15" s="829" t="str" cm="1">
        <f t="array" ref="CA15">IF($BP15="","",IF($BX15="",$BQ15,IFERROR(IF($BV15="AL",_xlfn.XLOOKUP($BX15,Std_Al3_Code,INDEX(Std_Al3_Table,0,3)),IF($G15=1,_xlfn.XLOOKUP($BX15,Std_Cu1_Code,INDEX(Std_Cu1_Table,0,3)),_xlfn.XLOOKUP($BX15,Std_Cu3_Code,INDEX(Std_Cu3_Table,0,3)))),"")))</f>
        <v/>
      </c>
      <c r="CB15" s="829" t="str" cm="1">
        <f t="array" ref="CB15">IF($BP15="","",IF($BX15="",$BS15,IFERROR(IF($BV15="AL",_xlfn.XLOOKUP($BX15,Std_Al3_Code,INDEX(Std_Al3_Table,0,5)),IF($G15=1,_xlfn.XLOOKUP($BX15,Std_Cu1_Code,INDEX(Std_Cu1_Table,0,5)),_xlfn.XLOOKUP($BX15,Std_Cu3_Code,INDEX(Std_Cu3_Table,0,5)))),"")))</f>
        <v/>
      </c>
      <c r="CC15" s="829" t="str">
        <f t="shared" si="13"/>
        <v/>
      </c>
      <c r="CD15" s="829" t="str">
        <f t="shared" si="14"/>
        <v/>
      </c>
      <c r="CE15" s="829" t="str">
        <f t="shared" si="15"/>
        <v/>
      </c>
      <c r="CF15" s="829" t="str">
        <f t="shared" si="16"/>
        <v/>
      </c>
      <c r="CG15" s="829" t="str">
        <f t="shared" si="17"/>
        <v/>
      </c>
      <c r="CH15" s="829" t="str">
        <f t="shared" si="18"/>
        <v/>
      </c>
      <c r="CI15" s="829" t="str">
        <f t="shared" si="19"/>
        <v/>
      </c>
      <c r="CJ15" s="829" t="str" cm="1">
        <f t="array" ref="CJ15">IF($B15="","",_xlfn.LET(_xlpm.to,$D15&amp;"",_xlpm.em,IFERROR(INDEX(_xlfn.ANCHORARRAY($BE$4),ROW()-4,6),"")="EMERG",_xlpm.pri,AND(NOT(_xlpm.em),LEFT(_xlpm.to,2)="T-",ISNUMBER(MATCH(MID(_xlpm.to,3,99),Equip_List,0)),ISNA(MATCH(_xlpm.to,Equip_List,0))),IF(_xlpm.pri,MID(_xlpm.to,3,99),_xlpm.to)))</f>
        <v/>
      </c>
      <c r="CK15" s="829" t="str" cm="1">
        <f t="array" ref="CK15">IF($CJ15="","",IF(IFERROR(INDEX(_xlfn.ANCHORARRAY($BE$4),ROW()-4,6),"")="EMERG","E",IF($CJ15&lt;&gt;$D15&amp;"","P","N")))</f>
        <v/>
      </c>
    </row>
    <row r="16" spans="1:89" ht="15" customHeight="1" x14ac:dyDescent="0.35">
      <c r="A16" s="821" t="str">
        <f t="shared" si="7"/>
        <v/>
      </c>
      <c r="B16" s="821" t="str" cm="1">
        <f t="array" ref="B16">IFERROR(IF(INDEX(_xlfn.ANCHORARRAY($BE$4),ROW()-4,2)="","","F-"&amp;INDEX(_xlfn.ANCHORARRAY($BE$4),ROW()-4,2)&amp;IF(IFERROR(INDEX(_xlfn.ANCHORARRAY($BE$4),ROW()-4,6),"")="EMERG","-E","")),"")</f>
        <v/>
      </c>
      <c r="C16" s="821" t="str" cm="1">
        <f t="array" ref="C16">IFERROR(IF($B16="","",INDEX(_xlfn.ANCHORARRAY($BE$4),ROW()-4,1)),"")</f>
        <v/>
      </c>
      <c r="D16" s="821" t="str" cm="1">
        <f t="array" ref="D16">IFERROR(IF($B16="","",INDEX(_xlfn.ANCHORARRAY($BE$4),ROW()-4,2)),"")</f>
        <v/>
      </c>
      <c r="E16" s="806" t="str" cm="1">
        <f t="array" ref="E16">IFERROR(IF($B16="","",INDEX(_xlfn.ANCHORARRAY($BE$4),ROW()-4,3)),"")</f>
        <v/>
      </c>
      <c r="F16" s="822" t="str" cm="1">
        <f t="array" ref="F16">IFERROR(IF($B16="","",INDEX(_xlfn.ANCHORARRAY($BE$4),ROW()-4,4)),"")</f>
        <v/>
      </c>
      <c r="G16" s="823" t="str" cm="1">
        <f t="array" ref="G16">IFERROR(IF($B16="","",INDEX(_xlfn.ANCHORARRAY($BE$4),ROW()-4,5)),"")</f>
        <v/>
      </c>
      <c r="H16" s="824" t="str" cm="1">
        <f t="array" ref="H16">IF($CJ16="","",_xlfn.LET(_xlpm.v,_xlfn.XLOOKUP($CJ16,Equip_List,IF($CK16="E",Equip_EmLen,IF($CK16="P",Equip_XfPriLen,Equip_FdrLen)),""),IF(_xlpm.v="","",_xlpm.v)))</f>
        <v/>
      </c>
      <c r="I16" s="806" t="str">
        <f t="shared" si="0"/>
        <v/>
      </c>
      <c r="J16" s="820"/>
      <c r="K16" s="806" t="str">
        <f>_xlfn.LET(_xlpm.k,IF($I16="","",IF(COUNTIF(UPS!$B$57:$B$64,$C16&amp;"")&gt;0,1.25*MAX($I16,N(_xlfn.XLOOKUP($C16&amp;"",UPS!$B$57:$B$64,UPS!$M$57:$M$64,0))),IF(COUNTIF(UPS!$B$57:$B$64,$D16&amp;"")&gt;0,1.25*MAX($I16,N(_xlfn.XLOOKUP($D16&amp;"",UPS!$B$57:$B$64,UPS!$Q$57:$Q$64,0))),$I16*IF(OR(UPPER($J16)="Y",LEFT($C16,2)="T-",LEFT($D16,2)="T-"),1.25,1)))),IF(_xlpm.k="","",MAX(_xlpm.k,N(IFERROR(_xlfn.XLOOKUP($D16&amp;"",Dashboard!$A$101:$A$350,Dashboard!$O$101:$O$350,0),0)))))</f>
        <v/>
      </c>
      <c r="L16" s="825" t="str">
        <f>IF($CJ16="","",_xlfn.LET(_xlpm.v,UPPER(TRIM(_xlfn.XLOOKUP($CJ16,Equip_List,Equip_FdrMat,"")&amp;"")),IF(_xlpm.v="",UPPER(TRIM(Cfg_FeederMat&amp;"")),_xlpm.v)))</f>
        <v/>
      </c>
      <c r="M16" s="825" t="str">
        <f>IF($CJ16="","",_xlfn.LET(_xlpm.v,TRIM(_xlfn.XLOOKUP($CJ16,Equip_List,Equip_FdrRace,"")&amp;""),IF(_xlpm.v="",Cfg_Conduit&amp;"",_xlpm.v)))</f>
        <v/>
      </c>
      <c r="N16" s="825" t="str">
        <f>IF($CJ16="","",IF(UPPER(TRIM(_xlfn.XLOOKUP($CJ16,Equip_List,Equip_FdrExist,"")&amp;""))="Y","Y",""))</f>
        <v/>
      </c>
      <c r="O16" s="823" t="str">
        <f t="shared" si="8"/>
        <v/>
      </c>
      <c r="P16" s="821" t="str">
        <f t="shared" si="9"/>
        <v/>
      </c>
      <c r="Q16" s="821" t="str">
        <f t="shared" si="10"/>
        <v/>
      </c>
      <c r="R16" s="822" t="str" cm="1">
        <f t="array" ref="R16">IF(K16="","",INDEX(OCPD_List,MATCH(TRUE,OCPD_List&gt;=K16,0)))</f>
        <v/>
      </c>
      <c r="S16" s="821" t="str">
        <f t="shared" si="11"/>
        <v/>
      </c>
      <c r="T16" s="826" t="str">
        <f t="shared" si="1"/>
        <v/>
      </c>
      <c r="U16" s="826" t="str">
        <f t="shared" si="2"/>
        <v/>
      </c>
      <c r="V16" s="827" t="str">
        <f t="shared" si="3"/>
        <v/>
      </c>
      <c r="W16" s="828"/>
      <c r="X16" s="819"/>
      <c r="Y16" s="820"/>
      <c r="Z16" s="820"/>
      <c r="AA16" s="820"/>
      <c r="BN16" s="832" t="str">
        <f>IF($B16="","",IFERROR(_xlfn.XLOOKUP($D16,Dashboard!$A$101:$A$350,Dashboard!$C$101:$C$350),""))</f>
        <v/>
      </c>
      <c r="BO16" s="832" t="str">
        <f t="shared" si="4"/>
        <v/>
      </c>
      <c r="BP16" s="832" t="str" cm="1">
        <f t="array" ref="BP16">IF(OR($B16="",$R16="",NOT(ISNUMBER($R16))),"",IF(AND($BV16="AL",$G16=1),"",_xlfn.LET(_xlpm.codes,IF($BV16="AL",Std_Al3_Code,IF($G16=1,Std_Cu1_Code,Std_Cu3_Code)),_xlpm.amps,IFERROR(--SUBSTITUTE(_xlpm.codes&amp;"","N",""),""),_xlpm.a,MIN(IF(ISNUMBER(_xlpm.amps),IF(_xlpm.amps&gt;=$R16,_xlpm.amps,""),"")),_xlpm.k,IF(_xlpm.a=0,$R16,_xlpm.a),IF($BO16="Y",TEXT(_xlpm.k,"0")&amp;"N",_xlpm.k))))</f>
        <v/>
      </c>
      <c r="BQ16" s="832" t="str" cm="1">
        <f t="array" ref="BQ16">IF($BP16="","",IFERROR(IF($BV16="AL",_xlfn.XLOOKUP($BP16,Std_Al3_Code,INDEX(Std_Al3_Table,0,3)),IF($G16=1,_xlfn.XLOOKUP($BP16,Std_Cu1_Code,INDEX(Std_Cu1_Table,0,3)),_xlfn.XLOOKUP($BP16,Std_Cu3_Code,INDEX(Std_Cu3_Table,0,3)))),""))</f>
        <v/>
      </c>
      <c r="BR16" s="832" t="str" cm="1">
        <f t="array" ref="BR16">IF($BP16="","",IFERROR(IF($BV16="AL",_xlfn.XLOOKUP($BP16,Std_Al3_Code,INDEX(Std_Al3_Table,0,4)),IF($G16=1,_xlfn.XLOOKUP($BP16,Std_Cu1_Code,INDEX(Std_Cu1_Table,0,4)),_xlfn.XLOOKUP($BP16,Std_Cu3_Code,INDEX(Std_Cu3_Table,0,4)))),""))</f>
        <v/>
      </c>
      <c r="BS16" s="832" t="str" cm="1">
        <f t="array" ref="BS16">IF($BP16="","",IFERROR(IF($BV16="AL",_xlfn.XLOOKUP($BP16,Std_Al3_Code,INDEX(Std_Al3_Table,0,5)),IF($G16=1,_xlfn.XLOOKUP($BP16,Std_Cu1_Code,INDEX(Std_Cu1_Table,0,5)),_xlfn.XLOOKUP($BP16,Std_Cu3_Code,INDEX(Std_Cu3_Table,0,5)))),""))</f>
        <v/>
      </c>
      <c r="BT16" s="832" t="str">
        <f t="shared" si="5"/>
        <v/>
      </c>
      <c r="BU16" s="832" t="str" cm="1">
        <f t="array" ref="BU16">IF($BP16="","",IFERROR(IF($BV16="AL",_xlfn.XLOOKUP($BP16,Std_Al3_Code,INDEX(Std_Al3_Table,0,2)),IF($G16=1,_xlfn.XLOOKUP($BP16,Std_Cu1_Code,INDEX(Std_Cu1_Table,0,2)),_xlfn.XLOOKUP($BP16,Std_Cu3_Code,INDEX(Std_Cu3_Table,0,2)))),""))</f>
        <v/>
      </c>
      <c r="BV16" s="829" t="str">
        <f t="shared" si="6"/>
        <v/>
      </c>
      <c r="BW16" s="829" t="str">
        <f t="shared" si="12"/>
        <v/>
      </c>
      <c r="BX16" s="829" t="str" cm="1">
        <f t="array" ref="BX16">IF(OR($BP16="",$H16="",$I16="",$F16="",$BW16=""),"",IFERROR(_xlfn.LET(_xlpm.codes,IF($BV16="AL",Std_Al3_Code,IF($G16=1,Std_Cu1_Code,Std_Cu3_Code)),_xlpm.tbl,IF($BV16="AL",Std_Al3_Table,IF($G16=1,Std_Cu1_Table,Std_Cu3_Table)),_xlpm.i,MATCH($BP16,_xlpm.codes,0),_xlpm.idx,_xlfn.SEQUENCE(ROWS(_xlpm.codes)),_xlpm.cnd,INDEX(_xlpm.tbl,0,4),_xlpm.sts,INDEX(_xlpm.tbl,0,2),_xlpm.sz,IFERROR(_xlfn.TEXTBEFORE(_xlfn.TEXTAFTER(_xlpm.cnd,"#"),","),IFERROR(_xlfn.TEXTAFTER(_xlpm.cnd,"#"),"")),_xlpm.cm,IFERROR(_xlfn.XLOOKUP(TRIM(_xlpm.sz),Ampacity_Size,Ampacity_CM),0),_xlpm.mult,IF($G16=3,SQRT3,2),_xlpm.kk,IF($BV16="AL",K_Al,K_Cu),_xlpm.vd,IF(_xlpm.cm*IF(ISNUMBER(_xlpm.sts),_xlpm.sts,0)=0,9,_xlpm.mult*_xlpm.kk*$I16*$H16/(_xlpm.cm*_xlpm.sts)/$F16),_xlpm.hasN,--(RIGHT(_xlpm.codes&amp;"",1)="N"),_xlpm.wantN,--(RIGHT($BP16&amp;"",1)="N"),_xlpm.ok,(_xlpm.idx&gt;=_xlpm.i)*(_xlpm.vd&lt;=Cfg_VDFeeder)*(_xlpm.cm&gt;0)*ISNUMBER(_xlpm.sts)*(_xlpm.hasN=_xlpm.wantN),_xlpm.m,MIN(IF(_xlpm.ok=1,_xlpm.idx)),INDEX(_xlpm.codes,IF(_xlpm.m=0,_xlpm.i,_xlpm.m))),""))</f>
        <v/>
      </c>
      <c r="BY16" s="829" t="str" cm="1">
        <f t="array" ref="BY16">IF($BP16="","",IF($BX16="",$BU16,IFERROR(IF($BV16="AL",_xlfn.XLOOKUP($BX16,Std_Al3_Code,INDEX(Std_Al3_Table,0,2)),IF($G16=1,_xlfn.XLOOKUP($BX16,Std_Cu1_Code,INDEX(Std_Cu1_Table,0,2)),_xlfn.XLOOKUP($BX16,Std_Cu3_Code,INDEX(Std_Cu3_Table,0,2)))),"")))</f>
        <v/>
      </c>
      <c r="BZ16" s="829" t="str" cm="1">
        <f t="array" ref="BZ16">IF($BP16="","",IF($BX16="",$BR16,IFERROR(IF($BV16="AL",_xlfn.XLOOKUP($BX16,Std_Al3_Code,INDEX(Std_Al3_Table,0,4)),IF($G16=1,_xlfn.XLOOKUP($BX16,Std_Cu1_Code,INDEX(Std_Cu1_Table,0,4)),_xlfn.XLOOKUP($BX16,Std_Cu3_Code,INDEX(Std_Cu3_Table,0,4)))),"")))</f>
        <v/>
      </c>
      <c r="CA16" s="829" t="str" cm="1">
        <f t="array" ref="CA16">IF($BP16="","",IF($BX16="",$BQ16,IFERROR(IF($BV16="AL",_xlfn.XLOOKUP($BX16,Std_Al3_Code,INDEX(Std_Al3_Table,0,3)),IF($G16=1,_xlfn.XLOOKUP($BX16,Std_Cu1_Code,INDEX(Std_Cu1_Table,0,3)),_xlfn.XLOOKUP($BX16,Std_Cu3_Code,INDEX(Std_Cu3_Table,0,3)))),"")))</f>
        <v/>
      </c>
      <c r="CB16" s="829" t="str" cm="1">
        <f t="array" ref="CB16">IF($BP16="","",IF($BX16="",$BS16,IFERROR(IF($BV16="AL",_xlfn.XLOOKUP($BX16,Std_Al3_Code,INDEX(Std_Al3_Table,0,5)),IF($G16=1,_xlfn.XLOOKUP($BX16,Std_Cu1_Code,INDEX(Std_Cu1_Table,0,5)),_xlfn.XLOOKUP($BX16,Std_Cu3_Code,INDEX(Std_Cu3_Table,0,5)))),"")))</f>
        <v/>
      </c>
      <c r="CC16" s="829" t="str">
        <f t="shared" si="13"/>
        <v/>
      </c>
      <c r="CD16" s="829" t="str">
        <f t="shared" si="14"/>
        <v/>
      </c>
      <c r="CE16" s="829" t="str">
        <f t="shared" si="15"/>
        <v/>
      </c>
      <c r="CF16" s="829" t="str">
        <f t="shared" si="16"/>
        <v/>
      </c>
      <c r="CG16" s="829" t="str">
        <f t="shared" si="17"/>
        <v/>
      </c>
      <c r="CH16" s="829" t="str">
        <f t="shared" si="18"/>
        <v/>
      </c>
      <c r="CI16" s="829" t="str">
        <f t="shared" si="19"/>
        <v/>
      </c>
      <c r="CJ16" s="829" t="str" cm="1">
        <f t="array" ref="CJ16">IF($B16="","",_xlfn.LET(_xlpm.to,$D16&amp;"",_xlpm.em,IFERROR(INDEX(_xlfn.ANCHORARRAY($BE$4),ROW()-4,6),"")="EMERG",_xlpm.pri,AND(NOT(_xlpm.em),LEFT(_xlpm.to,2)="T-",ISNUMBER(MATCH(MID(_xlpm.to,3,99),Equip_List,0)),ISNA(MATCH(_xlpm.to,Equip_List,0))),IF(_xlpm.pri,MID(_xlpm.to,3,99),_xlpm.to)))</f>
        <v/>
      </c>
      <c r="CK16" s="829" t="str" cm="1">
        <f t="array" ref="CK16">IF($CJ16="","",IF(IFERROR(INDEX(_xlfn.ANCHORARRAY($BE$4),ROW()-4,6),"")="EMERG","E",IF($CJ16&lt;&gt;$D16&amp;"","P","N")))</f>
        <v/>
      </c>
    </row>
    <row r="17" spans="1:89" ht="15" customHeight="1" x14ac:dyDescent="0.35">
      <c r="A17" s="821" t="str">
        <f t="shared" si="7"/>
        <v/>
      </c>
      <c r="B17" s="821" t="str" cm="1">
        <f t="array" ref="B17">IFERROR(IF(INDEX(_xlfn.ANCHORARRAY($BE$4),ROW()-4,2)="","","F-"&amp;INDEX(_xlfn.ANCHORARRAY($BE$4),ROW()-4,2)&amp;IF(IFERROR(INDEX(_xlfn.ANCHORARRAY($BE$4),ROW()-4,6),"")="EMERG","-E","")),"")</f>
        <v/>
      </c>
      <c r="C17" s="821" t="str" cm="1">
        <f t="array" ref="C17">IFERROR(IF($B17="","",INDEX(_xlfn.ANCHORARRAY($BE$4),ROW()-4,1)),"")</f>
        <v/>
      </c>
      <c r="D17" s="821" t="str" cm="1">
        <f t="array" ref="D17">IFERROR(IF($B17="","",INDEX(_xlfn.ANCHORARRAY($BE$4),ROW()-4,2)),"")</f>
        <v/>
      </c>
      <c r="E17" s="806" t="str" cm="1">
        <f t="array" ref="E17">IFERROR(IF($B17="","",INDEX(_xlfn.ANCHORARRAY($BE$4),ROW()-4,3)),"")</f>
        <v/>
      </c>
      <c r="F17" s="822" t="str" cm="1">
        <f t="array" ref="F17">IFERROR(IF($B17="","",INDEX(_xlfn.ANCHORARRAY($BE$4),ROW()-4,4)),"")</f>
        <v/>
      </c>
      <c r="G17" s="823" t="str" cm="1">
        <f t="array" ref="G17">IFERROR(IF($B17="","",INDEX(_xlfn.ANCHORARRAY($BE$4),ROW()-4,5)),"")</f>
        <v/>
      </c>
      <c r="H17" s="824" t="str" cm="1">
        <f t="array" ref="H17">IF($CJ17="","",_xlfn.LET(_xlpm.v,_xlfn.XLOOKUP($CJ17,Equip_List,IF($CK17="E",Equip_EmLen,IF($CK17="P",Equip_XfPriLen,Equip_FdrLen)),""),IF(_xlpm.v="","",_xlpm.v)))</f>
        <v/>
      </c>
      <c r="I17" s="806" t="str">
        <f t="shared" si="0"/>
        <v/>
      </c>
      <c r="J17" s="820"/>
      <c r="K17" s="806" t="str">
        <f>_xlfn.LET(_xlpm.k,IF($I17="","",IF(COUNTIF(UPS!$B$57:$B$64,$C17&amp;"")&gt;0,1.25*MAX($I17,N(_xlfn.XLOOKUP($C17&amp;"",UPS!$B$57:$B$64,UPS!$M$57:$M$64,0))),IF(COUNTIF(UPS!$B$57:$B$64,$D17&amp;"")&gt;0,1.25*MAX($I17,N(_xlfn.XLOOKUP($D17&amp;"",UPS!$B$57:$B$64,UPS!$Q$57:$Q$64,0))),$I17*IF(OR(UPPER($J17)="Y",LEFT($C17,2)="T-",LEFT($D17,2)="T-"),1.25,1)))),IF(_xlpm.k="","",MAX(_xlpm.k,N(IFERROR(_xlfn.XLOOKUP($D17&amp;"",Dashboard!$A$101:$A$350,Dashboard!$O$101:$O$350,0),0)))))</f>
        <v/>
      </c>
      <c r="L17" s="825" t="str">
        <f>IF($CJ17="","",_xlfn.LET(_xlpm.v,UPPER(TRIM(_xlfn.XLOOKUP($CJ17,Equip_List,Equip_FdrMat,"")&amp;"")),IF(_xlpm.v="",UPPER(TRIM(Cfg_FeederMat&amp;"")),_xlpm.v)))</f>
        <v/>
      </c>
      <c r="M17" s="825" t="str">
        <f>IF($CJ17="","",_xlfn.LET(_xlpm.v,TRIM(_xlfn.XLOOKUP($CJ17,Equip_List,Equip_FdrRace,"")&amp;""),IF(_xlpm.v="",Cfg_Conduit&amp;"",_xlpm.v)))</f>
        <v/>
      </c>
      <c r="N17" s="825" t="str">
        <f>IF($CJ17="","",IF(UPPER(TRIM(_xlfn.XLOOKUP($CJ17,Equip_List,Equip_FdrExist,"")&amp;""))="Y","Y",""))</f>
        <v/>
      </c>
      <c r="O17" s="823" t="str">
        <f t="shared" si="8"/>
        <v/>
      </c>
      <c r="P17" s="821" t="str">
        <f t="shared" si="9"/>
        <v/>
      </c>
      <c r="Q17" s="821" t="str">
        <f t="shared" si="10"/>
        <v/>
      </c>
      <c r="R17" s="822" t="str" cm="1">
        <f t="array" ref="R17">IF(K17="","",INDEX(OCPD_List,MATCH(TRUE,OCPD_List&gt;=K17,0)))</f>
        <v/>
      </c>
      <c r="S17" s="821" t="str">
        <f t="shared" si="11"/>
        <v/>
      </c>
      <c r="T17" s="826" t="str">
        <f t="shared" si="1"/>
        <v/>
      </c>
      <c r="U17" s="826" t="str">
        <f t="shared" si="2"/>
        <v/>
      </c>
      <c r="V17" s="827" t="str">
        <f t="shared" si="3"/>
        <v/>
      </c>
      <c r="W17" s="828"/>
      <c r="X17" s="819"/>
      <c r="Y17" s="820"/>
      <c r="Z17" s="820"/>
      <c r="AA17" s="820"/>
      <c r="BN17" s="832" t="str">
        <f>IF($B17="","",IFERROR(_xlfn.XLOOKUP($D17,Dashboard!$A$101:$A$350,Dashboard!$C$101:$C$350),""))</f>
        <v/>
      </c>
      <c r="BO17" s="832" t="str">
        <f t="shared" si="4"/>
        <v/>
      </c>
      <c r="BP17" s="832" t="str" cm="1">
        <f t="array" ref="BP17">IF(OR($B17="",$R17="",NOT(ISNUMBER($R17))),"",IF(AND($BV17="AL",$G17=1),"",_xlfn.LET(_xlpm.codes,IF($BV17="AL",Std_Al3_Code,IF($G17=1,Std_Cu1_Code,Std_Cu3_Code)),_xlpm.amps,IFERROR(--SUBSTITUTE(_xlpm.codes&amp;"","N",""),""),_xlpm.a,MIN(IF(ISNUMBER(_xlpm.amps),IF(_xlpm.amps&gt;=$R17,_xlpm.amps,""),"")),_xlpm.k,IF(_xlpm.a=0,$R17,_xlpm.a),IF($BO17="Y",TEXT(_xlpm.k,"0")&amp;"N",_xlpm.k))))</f>
        <v/>
      </c>
      <c r="BQ17" s="832" t="str" cm="1">
        <f t="array" ref="BQ17">IF($BP17="","",IFERROR(IF($BV17="AL",_xlfn.XLOOKUP($BP17,Std_Al3_Code,INDEX(Std_Al3_Table,0,3)),IF($G17=1,_xlfn.XLOOKUP($BP17,Std_Cu1_Code,INDEX(Std_Cu1_Table,0,3)),_xlfn.XLOOKUP($BP17,Std_Cu3_Code,INDEX(Std_Cu3_Table,0,3)))),""))</f>
        <v/>
      </c>
      <c r="BR17" s="832" t="str" cm="1">
        <f t="array" ref="BR17">IF($BP17="","",IFERROR(IF($BV17="AL",_xlfn.XLOOKUP($BP17,Std_Al3_Code,INDEX(Std_Al3_Table,0,4)),IF($G17=1,_xlfn.XLOOKUP($BP17,Std_Cu1_Code,INDEX(Std_Cu1_Table,0,4)),_xlfn.XLOOKUP($BP17,Std_Cu3_Code,INDEX(Std_Cu3_Table,0,4)))),""))</f>
        <v/>
      </c>
      <c r="BS17" s="832" t="str" cm="1">
        <f t="array" ref="BS17">IF($BP17="","",IFERROR(IF($BV17="AL",_xlfn.XLOOKUP($BP17,Std_Al3_Code,INDEX(Std_Al3_Table,0,5)),IF($G17=1,_xlfn.XLOOKUP($BP17,Std_Cu1_Code,INDEX(Std_Cu1_Table,0,5)),_xlfn.XLOOKUP($BP17,Std_Cu3_Code,INDEX(Std_Cu3_Table,0,5)))),""))</f>
        <v/>
      </c>
      <c r="BT17" s="832" t="str">
        <f t="shared" si="5"/>
        <v/>
      </c>
      <c r="BU17" s="832" t="str" cm="1">
        <f t="array" ref="BU17">IF($BP17="","",IFERROR(IF($BV17="AL",_xlfn.XLOOKUP($BP17,Std_Al3_Code,INDEX(Std_Al3_Table,0,2)),IF($G17=1,_xlfn.XLOOKUP($BP17,Std_Cu1_Code,INDEX(Std_Cu1_Table,0,2)),_xlfn.XLOOKUP($BP17,Std_Cu3_Code,INDEX(Std_Cu3_Table,0,2)))),""))</f>
        <v/>
      </c>
      <c r="BV17" s="829" t="str">
        <f t="shared" si="6"/>
        <v/>
      </c>
      <c r="BW17" s="829" t="str">
        <f t="shared" si="12"/>
        <v/>
      </c>
      <c r="BX17" s="829" t="str" cm="1">
        <f t="array" ref="BX17">IF(OR($BP17="",$H17="",$I17="",$F17="",$BW17=""),"",IFERROR(_xlfn.LET(_xlpm.codes,IF($BV17="AL",Std_Al3_Code,IF($G17=1,Std_Cu1_Code,Std_Cu3_Code)),_xlpm.tbl,IF($BV17="AL",Std_Al3_Table,IF($G17=1,Std_Cu1_Table,Std_Cu3_Table)),_xlpm.i,MATCH($BP17,_xlpm.codes,0),_xlpm.idx,_xlfn.SEQUENCE(ROWS(_xlpm.codes)),_xlpm.cnd,INDEX(_xlpm.tbl,0,4),_xlpm.sts,INDEX(_xlpm.tbl,0,2),_xlpm.sz,IFERROR(_xlfn.TEXTBEFORE(_xlfn.TEXTAFTER(_xlpm.cnd,"#"),","),IFERROR(_xlfn.TEXTAFTER(_xlpm.cnd,"#"),"")),_xlpm.cm,IFERROR(_xlfn.XLOOKUP(TRIM(_xlpm.sz),Ampacity_Size,Ampacity_CM),0),_xlpm.mult,IF($G17=3,SQRT3,2),_xlpm.kk,IF($BV17="AL",K_Al,K_Cu),_xlpm.vd,IF(_xlpm.cm*IF(ISNUMBER(_xlpm.sts),_xlpm.sts,0)=0,9,_xlpm.mult*_xlpm.kk*$I17*$H17/(_xlpm.cm*_xlpm.sts)/$F17),_xlpm.hasN,--(RIGHT(_xlpm.codes&amp;"",1)="N"),_xlpm.wantN,--(RIGHT($BP17&amp;"",1)="N"),_xlpm.ok,(_xlpm.idx&gt;=_xlpm.i)*(_xlpm.vd&lt;=Cfg_VDFeeder)*(_xlpm.cm&gt;0)*ISNUMBER(_xlpm.sts)*(_xlpm.hasN=_xlpm.wantN),_xlpm.m,MIN(IF(_xlpm.ok=1,_xlpm.idx)),INDEX(_xlpm.codes,IF(_xlpm.m=0,_xlpm.i,_xlpm.m))),""))</f>
        <v/>
      </c>
      <c r="BY17" s="829" t="str" cm="1">
        <f t="array" ref="BY17">IF($BP17="","",IF($BX17="",$BU17,IFERROR(IF($BV17="AL",_xlfn.XLOOKUP($BX17,Std_Al3_Code,INDEX(Std_Al3_Table,0,2)),IF($G17=1,_xlfn.XLOOKUP($BX17,Std_Cu1_Code,INDEX(Std_Cu1_Table,0,2)),_xlfn.XLOOKUP($BX17,Std_Cu3_Code,INDEX(Std_Cu3_Table,0,2)))),"")))</f>
        <v/>
      </c>
      <c r="BZ17" s="829" t="str" cm="1">
        <f t="array" ref="BZ17">IF($BP17="","",IF($BX17="",$BR17,IFERROR(IF($BV17="AL",_xlfn.XLOOKUP($BX17,Std_Al3_Code,INDEX(Std_Al3_Table,0,4)),IF($G17=1,_xlfn.XLOOKUP($BX17,Std_Cu1_Code,INDEX(Std_Cu1_Table,0,4)),_xlfn.XLOOKUP($BX17,Std_Cu3_Code,INDEX(Std_Cu3_Table,0,4)))),"")))</f>
        <v/>
      </c>
      <c r="CA17" s="829" t="str" cm="1">
        <f t="array" ref="CA17">IF($BP17="","",IF($BX17="",$BQ17,IFERROR(IF($BV17="AL",_xlfn.XLOOKUP($BX17,Std_Al3_Code,INDEX(Std_Al3_Table,0,3)),IF($G17=1,_xlfn.XLOOKUP($BX17,Std_Cu1_Code,INDEX(Std_Cu1_Table,0,3)),_xlfn.XLOOKUP($BX17,Std_Cu3_Code,INDEX(Std_Cu3_Table,0,3)))),"")))</f>
        <v/>
      </c>
      <c r="CB17" s="829" t="str" cm="1">
        <f t="array" ref="CB17">IF($BP17="","",IF($BX17="",$BS17,IFERROR(IF($BV17="AL",_xlfn.XLOOKUP($BX17,Std_Al3_Code,INDEX(Std_Al3_Table,0,5)),IF($G17=1,_xlfn.XLOOKUP($BX17,Std_Cu1_Code,INDEX(Std_Cu1_Table,0,5)),_xlfn.XLOOKUP($BX17,Std_Cu3_Code,INDEX(Std_Cu3_Table,0,5)))),"")))</f>
        <v/>
      </c>
      <c r="CC17" s="829" t="str">
        <f t="shared" si="13"/>
        <v/>
      </c>
      <c r="CD17" s="829" t="str">
        <f t="shared" si="14"/>
        <v/>
      </c>
      <c r="CE17" s="829" t="str">
        <f t="shared" si="15"/>
        <v/>
      </c>
      <c r="CF17" s="829" t="str">
        <f t="shared" si="16"/>
        <v/>
      </c>
      <c r="CG17" s="829" t="str">
        <f t="shared" si="17"/>
        <v/>
      </c>
      <c r="CH17" s="829" t="str">
        <f t="shared" si="18"/>
        <v/>
      </c>
      <c r="CI17" s="829" t="str">
        <f t="shared" si="19"/>
        <v/>
      </c>
      <c r="CJ17" s="829" t="str" cm="1">
        <f t="array" ref="CJ17">IF($B17="","",_xlfn.LET(_xlpm.to,$D17&amp;"",_xlpm.em,IFERROR(INDEX(_xlfn.ANCHORARRAY($BE$4),ROW()-4,6),"")="EMERG",_xlpm.pri,AND(NOT(_xlpm.em),LEFT(_xlpm.to,2)="T-",ISNUMBER(MATCH(MID(_xlpm.to,3,99),Equip_List,0)),ISNA(MATCH(_xlpm.to,Equip_List,0))),IF(_xlpm.pri,MID(_xlpm.to,3,99),_xlpm.to)))</f>
        <v/>
      </c>
      <c r="CK17" s="829" t="str" cm="1">
        <f t="array" ref="CK17">IF($CJ17="","",IF(IFERROR(INDEX(_xlfn.ANCHORARRAY($BE$4),ROW()-4,6),"")="EMERG","E",IF($CJ17&lt;&gt;$D17&amp;"","P","N")))</f>
        <v/>
      </c>
    </row>
    <row r="18" spans="1:89" ht="15" customHeight="1" x14ac:dyDescent="0.35">
      <c r="A18" s="821" t="str">
        <f t="shared" si="7"/>
        <v/>
      </c>
      <c r="B18" s="821" t="str" cm="1">
        <f t="array" ref="B18">IFERROR(IF(INDEX(_xlfn.ANCHORARRAY($BE$4),ROW()-4,2)="","","F-"&amp;INDEX(_xlfn.ANCHORARRAY($BE$4),ROW()-4,2)&amp;IF(IFERROR(INDEX(_xlfn.ANCHORARRAY($BE$4),ROW()-4,6),"")="EMERG","-E","")),"")</f>
        <v/>
      </c>
      <c r="C18" s="821" t="str" cm="1">
        <f t="array" ref="C18">IFERROR(IF($B18="","",INDEX(_xlfn.ANCHORARRAY($BE$4),ROW()-4,1)),"")</f>
        <v/>
      </c>
      <c r="D18" s="821" t="str" cm="1">
        <f t="array" ref="D18">IFERROR(IF($B18="","",INDEX(_xlfn.ANCHORARRAY($BE$4),ROW()-4,2)),"")</f>
        <v/>
      </c>
      <c r="E18" s="806" t="str" cm="1">
        <f t="array" ref="E18">IFERROR(IF($B18="","",INDEX(_xlfn.ANCHORARRAY($BE$4),ROW()-4,3)),"")</f>
        <v/>
      </c>
      <c r="F18" s="822" t="str" cm="1">
        <f t="array" ref="F18">IFERROR(IF($B18="","",INDEX(_xlfn.ANCHORARRAY($BE$4),ROW()-4,4)),"")</f>
        <v/>
      </c>
      <c r="G18" s="823" t="str" cm="1">
        <f t="array" ref="G18">IFERROR(IF($B18="","",INDEX(_xlfn.ANCHORARRAY($BE$4),ROW()-4,5)),"")</f>
        <v/>
      </c>
      <c r="H18" s="824" t="str" cm="1">
        <f t="array" ref="H18">IF($CJ18="","",_xlfn.LET(_xlpm.v,_xlfn.XLOOKUP($CJ18,Equip_List,IF($CK18="E",Equip_EmLen,IF($CK18="P",Equip_XfPriLen,Equip_FdrLen)),""),IF(_xlpm.v="","",_xlpm.v)))</f>
        <v/>
      </c>
      <c r="I18" s="806" t="str">
        <f t="shared" si="0"/>
        <v/>
      </c>
      <c r="J18" s="820"/>
      <c r="K18" s="806" t="str">
        <f>_xlfn.LET(_xlpm.k,IF($I18="","",IF(COUNTIF(UPS!$B$57:$B$64,$C18&amp;"")&gt;0,1.25*MAX($I18,N(_xlfn.XLOOKUP($C18&amp;"",UPS!$B$57:$B$64,UPS!$M$57:$M$64,0))),IF(COUNTIF(UPS!$B$57:$B$64,$D18&amp;"")&gt;0,1.25*MAX($I18,N(_xlfn.XLOOKUP($D18&amp;"",UPS!$B$57:$B$64,UPS!$Q$57:$Q$64,0))),$I18*IF(OR(UPPER($J18)="Y",LEFT($C18,2)="T-",LEFT($D18,2)="T-"),1.25,1)))),IF(_xlpm.k="","",MAX(_xlpm.k,N(IFERROR(_xlfn.XLOOKUP($D18&amp;"",Dashboard!$A$101:$A$350,Dashboard!$O$101:$O$350,0),0)))))</f>
        <v/>
      </c>
      <c r="L18" s="825" t="str">
        <f>IF($CJ18="","",_xlfn.LET(_xlpm.v,UPPER(TRIM(_xlfn.XLOOKUP($CJ18,Equip_List,Equip_FdrMat,"")&amp;"")),IF(_xlpm.v="",UPPER(TRIM(Cfg_FeederMat&amp;"")),_xlpm.v)))</f>
        <v/>
      </c>
      <c r="M18" s="825" t="str">
        <f>IF($CJ18="","",_xlfn.LET(_xlpm.v,TRIM(_xlfn.XLOOKUP($CJ18,Equip_List,Equip_FdrRace,"")&amp;""),IF(_xlpm.v="",Cfg_Conduit&amp;"",_xlpm.v)))</f>
        <v/>
      </c>
      <c r="N18" s="825" t="str">
        <f>IF($CJ18="","",IF(UPPER(TRIM(_xlfn.XLOOKUP($CJ18,Equip_List,Equip_FdrExist,"")&amp;""))="Y","Y",""))</f>
        <v/>
      </c>
      <c r="O18" s="823" t="str">
        <f t="shared" si="8"/>
        <v/>
      </c>
      <c r="P18" s="821" t="str">
        <f t="shared" si="9"/>
        <v/>
      </c>
      <c r="Q18" s="821" t="str">
        <f t="shared" si="10"/>
        <v/>
      </c>
      <c r="R18" s="822" t="str" cm="1">
        <f t="array" ref="R18">IF(K18="","",INDEX(OCPD_List,MATCH(TRUE,OCPD_List&gt;=K18,0)))</f>
        <v/>
      </c>
      <c r="S18" s="821" t="str">
        <f t="shared" si="11"/>
        <v/>
      </c>
      <c r="T18" s="826" t="str">
        <f t="shared" si="1"/>
        <v/>
      </c>
      <c r="U18" s="826" t="str">
        <f t="shared" si="2"/>
        <v/>
      </c>
      <c r="V18" s="827" t="str">
        <f t="shared" si="3"/>
        <v/>
      </c>
      <c r="W18" s="828"/>
      <c r="X18" s="819"/>
      <c r="Y18" s="820"/>
      <c r="Z18" s="820"/>
      <c r="AA18" s="820"/>
      <c r="BN18" s="832" t="str">
        <f>IF($B18="","",IFERROR(_xlfn.XLOOKUP($D18,Dashboard!$A$101:$A$350,Dashboard!$C$101:$C$350),""))</f>
        <v/>
      </c>
      <c r="BO18" s="832" t="str">
        <f t="shared" si="4"/>
        <v/>
      </c>
      <c r="BP18" s="832" t="str" cm="1">
        <f t="array" ref="BP18">IF(OR($B18="",$R18="",NOT(ISNUMBER($R18))),"",IF(AND($BV18="AL",$G18=1),"",_xlfn.LET(_xlpm.codes,IF($BV18="AL",Std_Al3_Code,IF($G18=1,Std_Cu1_Code,Std_Cu3_Code)),_xlpm.amps,IFERROR(--SUBSTITUTE(_xlpm.codes&amp;"","N",""),""),_xlpm.a,MIN(IF(ISNUMBER(_xlpm.amps),IF(_xlpm.amps&gt;=$R18,_xlpm.amps,""),"")),_xlpm.k,IF(_xlpm.a=0,$R18,_xlpm.a),IF($BO18="Y",TEXT(_xlpm.k,"0")&amp;"N",_xlpm.k))))</f>
        <v/>
      </c>
      <c r="BQ18" s="832" t="str" cm="1">
        <f t="array" ref="BQ18">IF($BP18="","",IFERROR(IF($BV18="AL",_xlfn.XLOOKUP($BP18,Std_Al3_Code,INDEX(Std_Al3_Table,0,3)),IF($G18=1,_xlfn.XLOOKUP($BP18,Std_Cu1_Code,INDEX(Std_Cu1_Table,0,3)),_xlfn.XLOOKUP($BP18,Std_Cu3_Code,INDEX(Std_Cu3_Table,0,3)))),""))</f>
        <v/>
      </c>
      <c r="BR18" s="832" t="str" cm="1">
        <f t="array" ref="BR18">IF($BP18="","",IFERROR(IF($BV18="AL",_xlfn.XLOOKUP($BP18,Std_Al3_Code,INDEX(Std_Al3_Table,0,4)),IF($G18=1,_xlfn.XLOOKUP($BP18,Std_Cu1_Code,INDEX(Std_Cu1_Table,0,4)),_xlfn.XLOOKUP($BP18,Std_Cu3_Code,INDEX(Std_Cu3_Table,0,4)))),""))</f>
        <v/>
      </c>
      <c r="BS18" s="832" t="str" cm="1">
        <f t="array" ref="BS18">IF($BP18="","",IFERROR(IF($BV18="AL",_xlfn.XLOOKUP($BP18,Std_Al3_Code,INDEX(Std_Al3_Table,0,5)),IF($G18=1,_xlfn.XLOOKUP($BP18,Std_Cu1_Code,INDEX(Std_Cu1_Table,0,5)),_xlfn.XLOOKUP($BP18,Std_Cu3_Code,INDEX(Std_Cu3_Table,0,5)))),""))</f>
        <v/>
      </c>
      <c r="BT18" s="832" t="str">
        <f t="shared" si="5"/>
        <v/>
      </c>
      <c r="BU18" s="832" t="str" cm="1">
        <f t="array" ref="BU18">IF($BP18="","",IFERROR(IF($BV18="AL",_xlfn.XLOOKUP($BP18,Std_Al3_Code,INDEX(Std_Al3_Table,0,2)),IF($G18=1,_xlfn.XLOOKUP($BP18,Std_Cu1_Code,INDEX(Std_Cu1_Table,0,2)),_xlfn.XLOOKUP($BP18,Std_Cu3_Code,INDEX(Std_Cu3_Table,0,2)))),""))</f>
        <v/>
      </c>
      <c r="BV18" s="829" t="str">
        <f t="shared" si="6"/>
        <v/>
      </c>
      <c r="BW18" s="829" t="str">
        <f t="shared" si="12"/>
        <v/>
      </c>
      <c r="BX18" s="829" t="str" cm="1">
        <f t="array" ref="BX18">IF(OR($BP18="",$H18="",$I18="",$F18="",$BW18=""),"",IFERROR(_xlfn.LET(_xlpm.codes,IF($BV18="AL",Std_Al3_Code,IF($G18=1,Std_Cu1_Code,Std_Cu3_Code)),_xlpm.tbl,IF($BV18="AL",Std_Al3_Table,IF($G18=1,Std_Cu1_Table,Std_Cu3_Table)),_xlpm.i,MATCH($BP18,_xlpm.codes,0),_xlpm.idx,_xlfn.SEQUENCE(ROWS(_xlpm.codes)),_xlpm.cnd,INDEX(_xlpm.tbl,0,4),_xlpm.sts,INDEX(_xlpm.tbl,0,2),_xlpm.sz,IFERROR(_xlfn.TEXTBEFORE(_xlfn.TEXTAFTER(_xlpm.cnd,"#"),","),IFERROR(_xlfn.TEXTAFTER(_xlpm.cnd,"#"),"")),_xlpm.cm,IFERROR(_xlfn.XLOOKUP(TRIM(_xlpm.sz),Ampacity_Size,Ampacity_CM),0),_xlpm.mult,IF($G18=3,SQRT3,2),_xlpm.kk,IF($BV18="AL",K_Al,K_Cu),_xlpm.vd,IF(_xlpm.cm*IF(ISNUMBER(_xlpm.sts),_xlpm.sts,0)=0,9,_xlpm.mult*_xlpm.kk*$I18*$H18/(_xlpm.cm*_xlpm.sts)/$F18),_xlpm.hasN,--(RIGHT(_xlpm.codes&amp;"",1)="N"),_xlpm.wantN,--(RIGHT($BP18&amp;"",1)="N"),_xlpm.ok,(_xlpm.idx&gt;=_xlpm.i)*(_xlpm.vd&lt;=Cfg_VDFeeder)*(_xlpm.cm&gt;0)*ISNUMBER(_xlpm.sts)*(_xlpm.hasN=_xlpm.wantN),_xlpm.m,MIN(IF(_xlpm.ok=1,_xlpm.idx)),INDEX(_xlpm.codes,IF(_xlpm.m=0,_xlpm.i,_xlpm.m))),""))</f>
        <v/>
      </c>
      <c r="BY18" s="829" t="str" cm="1">
        <f t="array" ref="BY18">IF($BP18="","",IF($BX18="",$BU18,IFERROR(IF($BV18="AL",_xlfn.XLOOKUP($BX18,Std_Al3_Code,INDEX(Std_Al3_Table,0,2)),IF($G18=1,_xlfn.XLOOKUP($BX18,Std_Cu1_Code,INDEX(Std_Cu1_Table,0,2)),_xlfn.XLOOKUP($BX18,Std_Cu3_Code,INDEX(Std_Cu3_Table,0,2)))),"")))</f>
        <v/>
      </c>
      <c r="BZ18" s="829" t="str" cm="1">
        <f t="array" ref="BZ18">IF($BP18="","",IF($BX18="",$BR18,IFERROR(IF($BV18="AL",_xlfn.XLOOKUP($BX18,Std_Al3_Code,INDEX(Std_Al3_Table,0,4)),IF($G18=1,_xlfn.XLOOKUP($BX18,Std_Cu1_Code,INDEX(Std_Cu1_Table,0,4)),_xlfn.XLOOKUP($BX18,Std_Cu3_Code,INDEX(Std_Cu3_Table,0,4)))),"")))</f>
        <v/>
      </c>
      <c r="CA18" s="829" t="str" cm="1">
        <f t="array" ref="CA18">IF($BP18="","",IF($BX18="",$BQ18,IFERROR(IF($BV18="AL",_xlfn.XLOOKUP($BX18,Std_Al3_Code,INDEX(Std_Al3_Table,0,3)),IF($G18=1,_xlfn.XLOOKUP($BX18,Std_Cu1_Code,INDEX(Std_Cu1_Table,0,3)),_xlfn.XLOOKUP($BX18,Std_Cu3_Code,INDEX(Std_Cu3_Table,0,3)))),"")))</f>
        <v/>
      </c>
      <c r="CB18" s="829" t="str" cm="1">
        <f t="array" ref="CB18">IF($BP18="","",IF($BX18="",$BS18,IFERROR(IF($BV18="AL",_xlfn.XLOOKUP($BX18,Std_Al3_Code,INDEX(Std_Al3_Table,0,5)),IF($G18=1,_xlfn.XLOOKUP($BX18,Std_Cu1_Code,INDEX(Std_Cu1_Table,0,5)),_xlfn.XLOOKUP($BX18,Std_Cu3_Code,INDEX(Std_Cu3_Table,0,5)))),"")))</f>
        <v/>
      </c>
      <c r="CC18" s="829" t="str">
        <f t="shared" si="13"/>
        <v/>
      </c>
      <c r="CD18" s="829" t="str">
        <f t="shared" si="14"/>
        <v/>
      </c>
      <c r="CE18" s="829" t="str">
        <f t="shared" si="15"/>
        <v/>
      </c>
      <c r="CF18" s="829" t="str">
        <f t="shared" si="16"/>
        <v/>
      </c>
      <c r="CG18" s="829" t="str">
        <f t="shared" si="17"/>
        <v/>
      </c>
      <c r="CH18" s="829" t="str">
        <f t="shared" si="18"/>
        <v/>
      </c>
      <c r="CI18" s="829" t="str">
        <f t="shared" si="19"/>
        <v/>
      </c>
      <c r="CJ18" s="829" t="str" cm="1">
        <f t="array" ref="CJ18">IF($B18="","",_xlfn.LET(_xlpm.to,$D18&amp;"",_xlpm.em,IFERROR(INDEX(_xlfn.ANCHORARRAY($BE$4),ROW()-4,6),"")="EMERG",_xlpm.pri,AND(NOT(_xlpm.em),LEFT(_xlpm.to,2)="T-",ISNUMBER(MATCH(MID(_xlpm.to,3,99),Equip_List,0)),ISNA(MATCH(_xlpm.to,Equip_List,0))),IF(_xlpm.pri,MID(_xlpm.to,3,99),_xlpm.to)))</f>
        <v/>
      </c>
      <c r="CK18" s="829" t="str" cm="1">
        <f t="array" ref="CK18">IF($CJ18="","",IF(IFERROR(INDEX(_xlfn.ANCHORARRAY($BE$4),ROW()-4,6),"")="EMERG","E",IF($CJ18&lt;&gt;$D18&amp;"","P","N")))</f>
        <v/>
      </c>
    </row>
    <row r="19" spans="1:89" ht="15" customHeight="1" x14ac:dyDescent="0.35">
      <c r="A19" s="821" t="str">
        <f t="shared" si="7"/>
        <v/>
      </c>
      <c r="B19" s="821" t="str" cm="1">
        <f t="array" ref="B19">IFERROR(IF(INDEX(_xlfn.ANCHORARRAY($BE$4),ROW()-4,2)="","","F-"&amp;INDEX(_xlfn.ANCHORARRAY($BE$4),ROW()-4,2)&amp;IF(IFERROR(INDEX(_xlfn.ANCHORARRAY($BE$4),ROW()-4,6),"")="EMERG","-E","")),"")</f>
        <v/>
      </c>
      <c r="C19" s="821" t="str" cm="1">
        <f t="array" ref="C19">IFERROR(IF($B19="","",INDEX(_xlfn.ANCHORARRAY($BE$4),ROW()-4,1)),"")</f>
        <v/>
      </c>
      <c r="D19" s="821" t="str" cm="1">
        <f t="array" ref="D19">IFERROR(IF($B19="","",INDEX(_xlfn.ANCHORARRAY($BE$4),ROW()-4,2)),"")</f>
        <v/>
      </c>
      <c r="E19" s="806" t="str" cm="1">
        <f t="array" ref="E19">IFERROR(IF($B19="","",INDEX(_xlfn.ANCHORARRAY($BE$4),ROW()-4,3)),"")</f>
        <v/>
      </c>
      <c r="F19" s="822" t="str" cm="1">
        <f t="array" ref="F19">IFERROR(IF($B19="","",INDEX(_xlfn.ANCHORARRAY($BE$4),ROW()-4,4)),"")</f>
        <v/>
      </c>
      <c r="G19" s="823" t="str" cm="1">
        <f t="array" ref="G19">IFERROR(IF($B19="","",INDEX(_xlfn.ANCHORARRAY($BE$4),ROW()-4,5)),"")</f>
        <v/>
      </c>
      <c r="H19" s="824" t="str" cm="1">
        <f t="array" ref="H19">IF($CJ19="","",_xlfn.LET(_xlpm.v,_xlfn.XLOOKUP($CJ19,Equip_List,IF($CK19="E",Equip_EmLen,IF($CK19="P",Equip_XfPriLen,Equip_FdrLen)),""),IF(_xlpm.v="","",_xlpm.v)))</f>
        <v/>
      </c>
      <c r="I19" s="806" t="str">
        <f t="shared" si="0"/>
        <v/>
      </c>
      <c r="J19" s="820"/>
      <c r="K19" s="806" t="str">
        <f>_xlfn.LET(_xlpm.k,IF($I19="","",IF(COUNTIF(UPS!$B$57:$B$64,$C19&amp;"")&gt;0,1.25*MAX($I19,N(_xlfn.XLOOKUP($C19&amp;"",UPS!$B$57:$B$64,UPS!$M$57:$M$64,0))),IF(COUNTIF(UPS!$B$57:$B$64,$D19&amp;"")&gt;0,1.25*MAX($I19,N(_xlfn.XLOOKUP($D19&amp;"",UPS!$B$57:$B$64,UPS!$Q$57:$Q$64,0))),$I19*IF(OR(UPPER($J19)="Y",LEFT($C19,2)="T-",LEFT($D19,2)="T-"),1.25,1)))),IF(_xlpm.k="","",MAX(_xlpm.k,N(IFERROR(_xlfn.XLOOKUP($D19&amp;"",Dashboard!$A$101:$A$350,Dashboard!$O$101:$O$350,0),0)))))</f>
        <v/>
      </c>
      <c r="L19" s="825" t="str">
        <f>IF($CJ19="","",_xlfn.LET(_xlpm.v,UPPER(TRIM(_xlfn.XLOOKUP($CJ19,Equip_List,Equip_FdrMat,"")&amp;"")),IF(_xlpm.v="",UPPER(TRIM(Cfg_FeederMat&amp;"")),_xlpm.v)))</f>
        <v/>
      </c>
      <c r="M19" s="825" t="str">
        <f>IF($CJ19="","",_xlfn.LET(_xlpm.v,TRIM(_xlfn.XLOOKUP($CJ19,Equip_List,Equip_FdrRace,"")&amp;""),IF(_xlpm.v="",Cfg_Conduit&amp;"",_xlpm.v)))</f>
        <v/>
      </c>
      <c r="N19" s="825" t="str">
        <f>IF($CJ19="","",IF(UPPER(TRIM(_xlfn.XLOOKUP($CJ19,Equip_List,Equip_FdrExist,"")&amp;""))="Y","Y",""))</f>
        <v/>
      </c>
      <c r="O19" s="823" t="str">
        <f t="shared" si="8"/>
        <v/>
      </c>
      <c r="P19" s="821" t="str">
        <f t="shared" si="9"/>
        <v/>
      </c>
      <c r="Q19" s="821" t="str">
        <f t="shared" si="10"/>
        <v/>
      </c>
      <c r="R19" s="822" t="str" cm="1">
        <f t="array" ref="R19">IF(K19="","",INDEX(OCPD_List,MATCH(TRUE,OCPD_List&gt;=K19,0)))</f>
        <v/>
      </c>
      <c r="S19" s="821" t="str">
        <f t="shared" si="11"/>
        <v/>
      </c>
      <c r="T19" s="826" t="str">
        <f t="shared" si="1"/>
        <v/>
      </c>
      <c r="U19" s="826" t="str">
        <f t="shared" si="2"/>
        <v/>
      </c>
      <c r="V19" s="827" t="str">
        <f t="shared" si="3"/>
        <v/>
      </c>
      <c r="W19" s="828"/>
      <c r="X19" s="819"/>
      <c r="Y19" s="820"/>
      <c r="Z19" s="820"/>
      <c r="AA19" s="820"/>
      <c r="BN19" s="832" t="str">
        <f>IF($B19="","",IFERROR(_xlfn.XLOOKUP($D19,Dashboard!$A$101:$A$350,Dashboard!$C$101:$C$350),""))</f>
        <v/>
      </c>
      <c r="BO19" s="832" t="str">
        <f t="shared" si="4"/>
        <v/>
      </c>
      <c r="BP19" s="832" t="str" cm="1">
        <f t="array" ref="BP19">IF(OR($B19="",$R19="",NOT(ISNUMBER($R19))),"",IF(AND($BV19="AL",$G19=1),"",_xlfn.LET(_xlpm.codes,IF($BV19="AL",Std_Al3_Code,IF($G19=1,Std_Cu1_Code,Std_Cu3_Code)),_xlpm.amps,IFERROR(--SUBSTITUTE(_xlpm.codes&amp;"","N",""),""),_xlpm.a,MIN(IF(ISNUMBER(_xlpm.amps),IF(_xlpm.amps&gt;=$R19,_xlpm.amps,""),"")),_xlpm.k,IF(_xlpm.a=0,$R19,_xlpm.a),IF($BO19="Y",TEXT(_xlpm.k,"0")&amp;"N",_xlpm.k))))</f>
        <v/>
      </c>
      <c r="BQ19" s="832" t="str" cm="1">
        <f t="array" ref="BQ19">IF($BP19="","",IFERROR(IF($BV19="AL",_xlfn.XLOOKUP($BP19,Std_Al3_Code,INDEX(Std_Al3_Table,0,3)),IF($G19=1,_xlfn.XLOOKUP($BP19,Std_Cu1_Code,INDEX(Std_Cu1_Table,0,3)),_xlfn.XLOOKUP($BP19,Std_Cu3_Code,INDEX(Std_Cu3_Table,0,3)))),""))</f>
        <v/>
      </c>
      <c r="BR19" s="832" t="str" cm="1">
        <f t="array" ref="BR19">IF($BP19="","",IFERROR(IF($BV19="AL",_xlfn.XLOOKUP($BP19,Std_Al3_Code,INDEX(Std_Al3_Table,0,4)),IF($G19=1,_xlfn.XLOOKUP($BP19,Std_Cu1_Code,INDEX(Std_Cu1_Table,0,4)),_xlfn.XLOOKUP($BP19,Std_Cu3_Code,INDEX(Std_Cu3_Table,0,4)))),""))</f>
        <v/>
      </c>
      <c r="BS19" s="832" t="str" cm="1">
        <f t="array" ref="BS19">IF($BP19="","",IFERROR(IF($BV19="AL",_xlfn.XLOOKUP($BP19,Std_Al3_Code,INDEX(Std_Al3_Table,0,5)),IF($G19=1,_xlfn.XLOOKUP($BP19,Std_Cu1_Code,INDEX(Std_Cu1_Table,0,5)),_xlfn.XLOOKUP($BP19,Std_Cu3_Code,INDEX(Std_Cu3_Table,0,5)))),""))</f>
        <v/>
      </c>
      <c r="BT19" s="832" t="str">
        <f t="shared" si="5"/>
        <v/>
      </c>
      <c r="BU19" s="832" t="str" cm="1">
        <f t="array" ref="BU19">IF($BP19="","",IFERROR(IF($BV19="AL",_xlfn.XLOOKUP($BP19,Std_Al3_Code,INDEX(Std_Al3_Table,0,2)),IF($G19=1,_xlfn.XLOOKUP($BP19,Std_Cu1_Code,INDEX(Std_Cu1_Table,0,2)),_xlfn.XLOOKUP($BP19,Std_Cu3_Code,INDEX(Std_Cu3_Table,0,2)))),""))</f>
        <v/>
      </c>
      <c r="BV19" s="829" t="str">
        <f t="shared" si="6"/>
        <v/>
      </c>
      <c r="BW19" s="829" t="str">
        <f t="shared" si="12"/>
        <v/>
      </c>
      <c r="BX19" s="829" t="str" cm="1">
        <f t="array" ref="BX19">IF(OR($BP19="",$H19="",$I19="",$F19="",$BW19=""),"",IFERROR(_xlfn.LET(_xlpm.codes,IF($BV19="AL",Std_Al3_Code,IF($G19=1,Std_Cu1_Code,Std_Cu3_Code)),_xlpm.tbl,IF($BV19="AL",Std_Al3_Table,IF($G19=1,Std_Cu1_Table,Std_Cu3_Table)),_xlpm.i,MATCH($BP19,_xlpm.codes,0),_xlpm.idx,_xlfn.SEQUENCE(ROWS(_xlpm.codes)),_xlpm.cnd,INDEX(_xlpm.tbl,0,4),_xlpm.sts,INDEX(_xlpm.tbl,0,2),_xlpm.sz,IFERROR(_xlfn.TEXTBEFORE(_xlfn.TEXTAFTER(_xlpm.cnd,"#"),","),IFERROR(_xlfn.TEXTAFTER(_xlpm.cnd,"#"),"")),_xlpm.cm,IFERROR(_xlfn.XLOOKUP(TRIM(_xlpm.sz),Ampacity_Size,Ampacity_CM),0),_xlpm.mult,IF($G19=3,SQRT3,2),_xlpm.kk,IF($BV19="AL",K_Al,K_Cu),_xlpm.vd,IF(_xlpm.cm*IF(ISNUMBER(_xlpm.sts),_xlpm.sts,0)=0,9,_xlpm.mult*_xlpm.kk*$I19*$H19/(_xlpm.cm*_xlpm.sts)/$F19),_xlpm.hasN,--(RIGHT(_xlpm.codes&amp;"",1)="N"),_xlpm.wantN,--(RIGHT($BP19&amp;"",1)="N"),_xlpm.ok,(_xlpm.idx&gt;=_xlpm.i)*(_xlpm.vd&lt;=Cfg_VDFeeder)*(_xlpm.cm&gt;0)*ISNUMBER(_xlpm.sts)*(_xlpm.hasN=_xlpm.wantN),_xlpm.m,MIN(IF(_xlpm.ok=1,_xlpm.idx)),INDEX(_xlpm.codes,IF(_xlpm.m=0,_xlpm.i,_xlpm.m))),""))</f>
        <v/>
      </c>
      <c r="BY19" s="829" t="str" cm="1">
        <f t="array" ref="BY19">IF($BP19="","",IF($BX19="",$BU19,IFERROR(IF($BV19="AL",_xlfn.XLOOKUP($BX19,Std_Al3_Code,INDEX(Std_Al3_Table,0,2)),IF($G19=1,_xlfn.XLOOKUP($BX19,Std_Cu1_Code,INDEX(Std_Cu1_Table,0,2)),_xlfn.XLOOKUP($BX19,Std_Cu3_Code,INDEX(Std_Cu3_Table,0,2)))),"")))</f>
        <v/>
      </c>
      <c r="BZ19" s="829" t="str" cm="1">
        <f t="array" ref="BZ19">IF($BP19="","",IF($BX19="",$BR19,IFERROR(IF($BV19="AL",_xlfn.XLOOKUP($BX19,Std_Al3_Code,INDEX(Std_Al3_Table,0,4)),IF($G19=1,_xlfn.XLOOKUP($BX19,Std_Cu1_Code,INDEX(Std_Cu1_Table,0,4)),_xlfn.XLOOKUP($BX19,Std_Cu3_Code,INDEX(Std_Cu3_Table,0,4)))),"")))</f>
        <v/>
      </c>
      <c r="CA19" s="829" t="str" cm="1">
        <f t="array" ref="CA19">IF($BP19="","",IF($BX19="",$BQ19,IFERROR(IF($BV19="AL",_xlfn.XLOOKUP($BX19,Std_Al3_Code,INDEX(Std_Al3_Table,0,3)),IF($G19=1,_xlfn.XLOOKUP($BX19,Std_Cu1_Code,INDEX(Std_Cu1_Table,0,3)),_xlfn.XLOOKUP($BX19,Std_Cu3_Code,INDEX(Std_Cu3_Table,0,3)))),"")))</f>
        <v/>
      </c>
      <c r="CB19" s="829" t="str" cm="1">
        <f t="array" ref="CB19">IF($BP19="","",IF($BX19="",$BS19,IFERROR(IF($BV19="AL",_xlfn.XLOOKUP($BX19,Std_Al3_Code,INDEX(Std_Al3_Table,0,5)),IF($G19=1,_xlfn.XLOOKUP($BX19,Std_Cu1_Code,INDEX(Std_Cu1_Table,0,5)),_xlfn.XLOOKUP($BX19,Std_Cu3_Code,INDEX(Std_Cu3_Table,0,5)))),"")))</f>
        <v/>
      </c>
      <c r="CC19" s="829" t="str">
        <f t="shared" si="13"/>
        <v/>
      </c>
      <c r="CD19" s="829" t="str">
        <f t="shared" si="14"/>
        <v/>
      </c>
      <c r="CE19" s="829" t="str">
        <f t="shared" si="15"/>
        <v/>
      </c>
      <c r="CF19" s="829" t="str">
        <f t="shared" si="16"/>
        <v/>
      </c>
      <c r="CG19" s="829" t="str">
        <f t="shared" si="17"/>
        <v/>
      </c>
      <c r="CH19" s="829" t="str">
        <f t="shared" si="18"/>
        <v/>
      </c>
      <c r="CI19" s="829" t="str">
        <f t="shared" si="19"/>
        <v/>
      </c>
      <c r="CJ19" s="829" t="str" cm="1">
        <f t="array" ref="CJ19">IF($B19="","",_xlfn.LET(_xlpm.to,$D19&amp;"",_xlpm.em,IFERROR(INDEX(_xlfn.ANCHORARRAY($BE$4),ROW()-4,6),"")="EMERG",_xlpm.pri,AND(NOT(_xlpm.em),LEFT(_xlpm.to,2)="T-",ISNUMBER(MATCH(MID(_xlpm.to,3,99),Equip_List,0)),ISNA(MATCH(_xlpm.to,Equip_List,0))),IF(_xlpm.pri,MID(_xlpm.to,3,99),_xlpm.to)))</f>
        <v/>
      </c>
      <c r="CK19" s="829" t="str" cm="1">
        <f t="array" ref="CK19">IF($CJ19="","",IF(IFERROR(INDEX(_xlfn.ANCHORARRAY($BE$4),ROW()-4,6),"")="EMERG","E",IF($CJ19&lt;&gt;$D19&amp;"","P","N")))</f>
        <v/>
      </c>
    </row>
    <row r="20" spans="1:89" ht="15" customHeight="1" x14ac:dyDescent="0.35">
      <c r="A20" s="821" t="str">
        <f t="shared" si="7"/>
        <v/>
      </c>
      <c r="B20" s="821" t="str" cm="1">
        <f t="array" ref="B20">IFERROR(IF(INDEX(_xlfn.ANCHORARRAY($BE$4),ROW()-4,2)="","","F-"&amp;INDEX(_xlfn.ANCHORARRAY($BE$4),ROW()-4,2)&amp;IF(IFERROR(INDEX(_xlfn.ANCHORARRAY($BE$4),ROW()-4,6),"")="EMERG","-E","")),"")</f>
        <v/>
      </c>
      <c r="C20" s="821" t="str" cm="1">
        <f t="array" ref="C20">IFERROR(IF($B20="","",INDEX(_xlfn.ANCHORARRAY($BE$4),ROW()-4,1)),"")</f>
        <v/>
      </c>
      <c r="D20" s="821" t="str" cm="1">
        <f t="array" ref="D20">IFERROR(IF($B20="","",INDEX(_xlfn.ANCHORARRAY($BE$4),ROW()-4,2)),"")</f>
        <v/>
      </c>
      <c r="E20" s="806" t="str" cm="1">
        <f t="array" ref="E20">IFERROR(IF($B20="","",INDEX(_xlfn.ANCHORARRAY($BE$4),ROW()-4,3)),"")</f>
        <v/>
      </c>
      <c r="F20" s="822" t="str" cm="1">
        <f t="array" ref="F20">IFERROR(IF($B20="","",INDEX(_xlfn.ANCHORARRAY($BE$4),ROW()-4,4)),"")</f>
        <v/>
      </c>
      <c r="G20" s="823" t="str" cm="1">
        <f t="array" ref="G20">IFERROR(IF($B20="","",INDEX(_xlfn.ANCHORARRAY($BE$4),ROW()-4,5)),"")</f>
        <v/>
      </c>
      <c r="H20" s="824" t="str" cm="1">
        <f t="array" ref="H20">IF($CJ20="","",_xlfn.LET(_xlpm.v,_xlfn.XLOOKUP($CJ20,Equip_List,IF($CK20="E",Equip_EmLen,IF($CK20="P",Equip_XfPriLen,Equip_FdrLen)),""),IF(_xlpm.v="","",_xlpm.v)))</f>
        <v/>
      </c>
      <c r="I20" s="806" t="str">
        <f t="shared" si="0"/>
        <v/>
      </c>
      <c r="J20" s="820"/>
      <c r="K20" s="806" t="str">
        <f>_xlfn.LET(_xlpm.k,IF($I20="","",IF(COUNTIF(UPS!$B$57:$B$64,$C20&amp;"")&gt;0,1.25*MAX($I20,N(_xlfn.XLOOKUP($C20&amp;"",UPS!$B$57:$B$64,UPS!$M$57:$M$64,0))),IF(COUNTIF(UPS!$B$57:$B$64,$D20&amp;"")&gt;0,1.25*MAX($I20,N(_xlfn.XLOOKUP($D20&amp;"",UPS!$B$57:$B$64,UPS!$Q$57:$Q$64,0))),$I20*IF(OR(UPPER($J20)="Y",LEFT($C20,2)="T-",LEFT($D20,2)="T-"),1.25,1)))),IF(_xlpm.k="","",MAX(_xlpm.k,N(IFERROR(_xlfn.XLOOKUP($D20&amp;"",Dashboard!$A$101:$A$350,Dashboard!$O$101:$O$350,0),0)))))</f>
        <v/>
      </c>
      <c r="L20" s="825" t="str">
        <f>IF($CJ20="","",_xlfn.LET(_xlpm.v,UPPER(TRIM(_xlfn.XLOOKUP($CJ20,Equip_List,Equip_FdrMat,"")&amp;"")),IF(_xlpm.v="",UPPER(TRIM(Cfg_FeederMat&amp;"")),_xlpm.v)))</f>
        <v/>
      </c>
      <c r="M20" s="825" t="str">
        <f>IF($CJ20="","",_xlfn.LET(_xlpm.v,TRIM(_xlfn.XLOOKUP($CJ20,Equip_List,Equip_FdrRace,"")&amp;""),IF(_xlpm.v="",Cfg_Conduit&amp;"",_xlpm.v)))</f>
        <v/>
      </c>
      <c r="N20" s="825" t="str">
        <f>IF($CJ20="","",IF(UPPER(TRIM(_xlfn.XLOOKUP($CJ20,Equip_List,Equip_FdrExist,"")&amp;""))="Y","Y",""))</f>
        <v/>
      </c>
      <c r="O20" s="823" t="str">
        <f t="shared" si="8"/>
        <v/>
      </c>
      <c r="P20" s="821" t="str">
        <f t="shared" si="9"/>
        <v/>
      </c>
      <c r="Q20" s="821" t="str">
        <f t="shared" si="10"/>
        <v/>
      </c>
      <c r="R20" s="822" t="str" cm="1">
        <f t="array" ref="R20">IF(K20="","",INDEX(OCPD_List,MATCH(TRUE,OCPD_List&gt;=K20,0)))</f>
        <v/>
      </c>
      <c r="S20" s="821" t="str">
        <f t="shared" si="11"/>
        <v/>
      </c>
      <c r="T20" s="826" t="str">
        <f t="shared" si="1"/>
        <v/>
      </c>
      <c r="U20" s="826" t="str">
        <f t="shared" si="2"/>
        <v/>
      </c>
      <c r="V20" s="827" t="str">
        <f t="shared" si="3"/>
        <v/>
      </c>
      <c r="W20" s="828"/>
      <c r="X20" s="819"/>
      <c r="Y20" s="820"/>
      <c r="Z20" s="820"/>
      <c r="AA20" s="820"/>
      <c r="BN20" s="832" t="str">
        <f>IF($B20="","",IFERROR(_xlfn.XLOOKUP($D20,Dashboard!$A$101:$A$350,Dashboard!$C$101:$C$350),""))</f>
        <v/>
      </c>
      <c r="BO20" s="832" t="str">
        <f t="shared" si="4"/>
        <v/>
      </c>
      <c r="BP20" s="832" t="str" cm="1">
        <f t="array" ref="BP20">IF(OR($B20="",$R20="",NOT(ISNUMBER($R20))),"",IF(AND($BV20="AL",$G20=1),"",_xlfn.LET(_xlpm.codes,IF($BV20="AL",Std_Al3_Code,IF($G20=1,Std_Cu1_Code,Std_Cu3_Code)),_xlpm.amps,IFERROR(--SUBSTITUTE(_xlpm.codes&amp;"","N",""),""),_xlpm.a,MIN(IF(ISNUMBER(_xlpm.amps),IF(_xlpm.amps&gt;=$R20,_xlpm.amps,""),"")),_xlpm.k,IF(_xlpm.a=0,$R20,_xlpm.a),IF($BO20="Y",TEXT(_xlpm.k,"0")&amp;"N",_xlpm.k))))</f>
        <v/>
      </c>
      <c r="BQ20" s="832" t="str" cm="1">
        <f t="array" ref="BQ20">IF($BP20="","",IFERROR(IF($BV20="AL",_xlfn.XLOOKUP($BP20,Std_Al3_Code,INDEX(Std_Al3_Table,0,3)),IF($G20=1,_xlfn.XLOOKUP($BP20,Std_Cu1_Code,INDEX(Std_Cu1_Table,0,3)),_xlfn.XLOOKUP($BP20,Std_Cu3_Code,INDEX(Std_Cu3_Table,0,3)))),""))</f>
        <v/>
      </c>
      <c r="BR20" s="832" t="str" cm="1">
        <f t="array" ref="BR20">IF($BP20="","",IFERROR(IF($BV20="AL",_xlfn.XLOOKUP($BP20,Std_Al3_Code,INDEX(Std_Al3_Table,0,4)),IF($G20=1,_xlfn.XLOOKUP($BP20,Std_Cu1_Code,INDEX(Std_Cu1_Table,0,4)),_xlfn.XLOOKUP($BP20,Std_Cu3_Code,INDEX(Std_Cu3_Table,0,4)))),""))</f>
        <v/>
      </c>
      <c r="BS20" s="832" t="str" cm="1">
        <f t="array" ref="BS20">IF($BP20="","",IFERROR(IF($BV20="AL",_xlfn.XLOOKUP($BP20,Std_Al3_Code,INDEX(Std_Al3_Table,0,5)),IF($G20=1,_xlfn.XLOOKUP($BP20,Std_Cu1_Code,INDEX(Std_Cu1_Table,0,5)),_xlfn.XLOOKUP($BP20,Std_Cu3_Code,INDEX(Std_Cu3_Table,0,5)))),""))</f>
        <v/>
      </c>
      <c r="BT20" s="832" t="str">
        <f t="shared" si="5"/>
        <v/>
      </c>
      <c r="BU20" s="832" t="str" cm="1">
        <f t="array" ref="BU20">IF($BP20="","",IFERROR(IF($BV20="AL",_xlfn.XLOOKUP($BP20,Std_Al3_Code,INDEX(Std_Al3_Table,0,2)),IF($G20=1,_xlfn.XLOOKUP($BP20,Std_Cu1_Code,INDEX(Std_Cu1_Table,0,2)),_xlfn.XLOOKUP($BP20,Std_Cu3_Code,INDEX(Std_Cu3_Table,0,2)))),""))</f>
        <v/>
      </c>
      <c r="BV20" s="829" t="str">
        <f t="shared" si="6"/>
        <v/>
      </c>
      <c r="BW20" s="829" t="str">
        <f t="shared" si="12"/>
        <v/>
      </c>
      <c r="BX20" s="829" t="str" cm="1">
        <f t="array" ref="BX20">IF(OR($BP20="",$H20="",$I20="",$F20="",$BW20=""),"",IFERROR(_xlfn.LET(_xlpm.codes,IF($BV20="AL",Std_Al3_Code,IF($G20=1,Std_Cu1_Code,Std_Cu3_Code)),_xlpm.tbl,IF($BV20="AL",Std_Al3_Table,IF($G20=1,Std_Cu1_Table,Std_Cu3_Table)),_xlpm.i,MATCH($BP20,_xlpm.codes,0),_xlpm.idx,_xlfn.SEQUENCE(ROWS(_xlpm.codes)),_xlpm.cnd,INDEX(_xlpm.tbl,0,4),_xlpm.sts,INDEX(_xlpm.tbl,0,2),_xlpm.sz,IFERROR(_xlfn.TEXTBEFORE(_xlfn.TEXTAFTER(_xlpm.cnd,"#"),","),IFERROR(_xlfn.TEXTAFTER(_xlpm.cnd,"#"),"")),_xlpm.cm,IFERROR(_xlfn.XLOOKUP(TRIM(_xlpm.sz),Ampacity_Size,Ampacity_CM),0),_xlpm.mult,IF($G20=3,SQRT3,2),_xlpm.kk,IF($BV20="AL",K_Al,K_Cu),_xlpm.vd,IF(_xlpm.cm*IF(ISNUMBER(_xlpm.sts),_xlpm.sts,0)=0,9,_xlpm.mult*_xlpm.kk*$I20*$H20/(_xlpm.cm*_xlpm.sts)/$F20),_xlpm.hasN,--(RIGHT(_xlpm.codes&amp;"",1)="N"),_xlpm.wantN,--(RIGHT($BP20&amp;"",1)="N"),_xlpm.ok,(_xlpm.idx&gt;=_xlpm.i)*(_xlpm.vd&lt;=Cfg_VDFeeder)*(_xlpm.cm&gt;0)*ISNUMBER(_xlpm.sts)*(_xlpm.hasN=_xlpm.wantN),_xlpm.m,MIN(IF(_xlpm.ok=1,_xlpm.idx)),INDEX(_xlpm.codes,IF(_xlpm.m=0,_xlpm.i,_xlpm.m))),""))</f>
        <v/>
      </c>
      <c r="BY20" s="829" t="str" cm="1">
        <f t="array" ref="BY20">IF($BP20="","",IF($BX20="",$BU20,IFERROR(IF($BV20="AL",_xlfn.XLOOKUP($BX20,Std_Al3_Code,INDEX(Std_Al3_Table,0,2)),IF($G20=1,_xlfn.XLOOKUP($BX20,Std_Cu1_Code,INDEX(Std_Cu1_Table,0,2)),_xlfn.XLOOKUP($BX20,Std_Cu3_Code,INDEX(Std_Cu3_Table,0,2)))),"")))</f>
        <v/>
      </c>
      <c r="BZ20" s="829" t="str" cm="1">
        <f t="array" ref="BZ20">IF($BP20="","",IF($BX20="",$BR20,IFERROR(IF($BV20="AL",_xlfn.XLOOKUP($BX20,Std_Al3_Code,INDEX(Std_Al3_Table,0,4)),IF($G20=1,_xlfn.XLOOKUP($BX20,Std_Cu1_Code,INDEX(Std_Cu1_Table,0,4)),_xlfn.XLOOKUP($BX20,Std_Cu3_Code,INDEX(Std_Cu3_Table,0,4)))),"")))</f>
        <v/>
      </c>
      <c r="CA20" s="829" t="str" cm="1">
        <f t="array" ref="CA20">IF($BP20="","",IF($BX20="",$BQ20,IFERROR(IF($BV20="AL",_xlfn.XLOOKUP($BX20,Std_Al3_Code,INDEX(Std_Al3_Table,0,3)),IF($G20=1,_xlfn.XLOOKUP($BX20,Std_Cu1_Code,INDEX(Std_Cu1_Table,0,3)),_xlfn.XLOOKUP($BX20,Std_Cu3_Code,INDEX(Std_Cu3_Table,0,3)))),"")))</f>
        <v/>
      </c>
      <c r="CB20" s="829" t="str" cm="1">
        <f t="array" ref="CB20">IF($BP20="","",IF($BX20="",$BS20,IFERROR(IF($BV20="AL",_xlfn.XLOOKUP($BX20,Std_Al3_Code,INDEX(Std_Al3_Table,0,5)),IF($G20=1,_xlfn.XLOOKUP($BX20,Std_Cu1_Code,INDEX(Std_Cu1_Table,0,5)),_xlfn.XLOOKUP($BX20,Std_Cu3_Code,INDEX(Std_Cu3_Table,0,5)))),"")))</f>
        <v/>
      </c>
      <c r="CC20" s="829" t="str">
        <f t="shared" si="13"/>
        <v/>
      </c>
      <c r="CD20" s="829" t="str">
        <f t="shared" si="14"/>
        <v/>
      </c>
      <c r="CE20" s="829" t="str">
        <f t="shared" si="15"/>
        <v/>
      </c>
      <c r="CF20" s="829" t="str">
        <f t="shared" si="16"/>
        <v/>
      </c>
      <c r="CG20" s="829" t="str">
        <f t="shared" si="17"/>
        <v/>
      </c>
      <c r="CH20" s="829" t="str">
        <f t="shared" si="18"/>
        <v/>
      </c>
      <c r="CI20" s="829" t="str">
        <f t="shared" si="19"/>
        <v/>
      </c>
      <c r="CJ20" s="829" t="str" cm="1">
        <f t="array" ref="CJ20">IF($B20="","",_xlfn.LET(_xlpm.to,$D20&amp;"",_xlpm.em,IFERROR(INDEX(_xlfn.ANCHORARRAY($BE$4),ROW()-4,6),"")="EMERG",_xlpm.pri,AND(NOT(_xlpm.em),LEFT(_xlpm.to,2)="T-",ISNUMBER(MATCH(MID(_xlpm.to,3,99),Equip_List,0)),ISNA(MATCH(_xlpm.to,Equip_List,0))),IF(_xlpm.pri,MID(_xlpm.to,3,99),_xlpm.to)))</f>
        <v/>
      </c>
      <c r="CK20" s="829" t="str" cm="1">
        <f t="array" ref="CK20">IF($CJ20="","",IF(IFERROR(INDEX(_xlfn.ANCHORARRAY($BE$4),ROW()-4,6),"")="EMERG","E",IF($CJ20&lt;&gt;$D20&amp;"","P","N")))</f>
        <v/>
      </c>
    </row>
    <row r="21" spans="1:89" ht="15" customHeight="1" x14ac:dyDescent="0.35">
      <c r="A21" s="821" t="str">
        <f t="shared" si="7"/>
        <v/>
      </c>
      <c r="B21" s="821" t="str" cm="1">
        <f t="array" ref="B21">IFERROR(IF(INDEX(_xlfn.ANCHORARRAY($BE$4),ROW()-4,2)="","","F-"&amp;INDEX(_xlfn.ANCHORARRAY($BE$4),ROW()-4,2)&amp;IF(IFERROR(INDEX(_xlfn.ANCHORARRAY($BE$4),ROW()-4,6),"")="EMERG","-E","")),"")</f>
        <v/>
      </c>
      <c r="C21" s="821" t="str" cm="1">
        <f t="array" ref="C21">IFERROR(IF($B21="","",INDEX(_xlfn.ANCHORARRAY($BE$4),ROW()-4,1)),"")</f>
        <v/>
      </c>
      <c r="D21" s="821" t="str" cm="1">
        <f t="array" ref="D21">IFERROR(IF($B21="","",INDEX(_xlfn.ANCHORARRAY($BE$4),ROW()-4,2)),"")</f>
        <v/>
      </c>
      <c r="E21" s="806" t="str" cm="1">
        <f t="array" ref="E21">IFERROR(IF($B21="","",INDEX(_xlfn.ANCHORARRAY($BE$4),ROW()-4,3)),"")</f>
        <v/>
      </c>
      <c r="F21" s="822" t="str" cm="1">
        <f t="array" ref="F21">IFERROR(IF($B21="","",INDEX(_xlfn.ANCHORARRAY($BE$4),ROW()-4,4)),"")</f>
        <v/>
      </c>
      <c r="G21" s="823" t="str" cm="1">
        <f t="array" ref="G21">IFERROR(IF($B21="","",INDEX(_xlfn.ANCHORARRAY($BE$4),ROW()-4,5)),"")</f>
        <v/>
      </c>
      <c r="H21" s="824" t="str" cm="1">
        <f t="array" ref="H21">IF($CJ21="","",_xlfn.LET(_xlpm.v,_xlfn.XLOOKUP($CJ21,Equip_List,IF($CK21="E",Equip_EmLen,IF($CK21="P",Equip_XfPriLen,Equip_FdrLen)),""),IF(_xlpm.v="","",_xlpm.v)))</f>
        <v/>
      </c>
      <c r="I21" s="806" t="str">
        <f t="shared" si="0"/>
        <v/>
      </c>
      <c r="J21" s="820"/>
      <c r="K21" s="806" t="str">
        <f>_xlfn.LET(_xlpm.k,IF($I21="","",IF(COUNTIF(UPS!$B$57:$B$64,$C21&amp;"")&gt;0,1.25*MAX($I21,N(_xlfn.XLOOKUP($C21&amp;"",UPS!$B$57:$B$64,UPS!$M$57:$M$64,0))),IF(COUNTIF(UPS!$B$57:$B$64,$D21&amp;"")&gt;0,1.25*MAX($I21,N(_xlfn.XLOOKUP($D21&amp;"",UPS!$B$57:$B$64,UPS!$Q$57:$Q$64,0))),$I21*IF(OR(UPPER($J21)="Y",LEFT($C21,2)="T-",LEFT($D21,2)="T-"),1.25,1)))),IF(_xlpm.k="","",MAX(_xlpm.k,N(IFERROR(_xlfn.XLOOKUP($D21&amp;"",Dashboard!$A$101:$A$350,Dashboard!$O$101:$O$350,0),0)))))</f>
        <v/>
      </c>
      <c r="L21" s="825" t="str">
        <f>IF($CJ21="","",_xlfn.LET(_xlpm.v,UPPER(TRIM(_xlfn.XLOOKUP($CJ21,Equip_List,Equip_FdrMat,"")&amp;"")),IF(_xlpm.v="",UPPER(TRIM(Cfg_FeederMat&amp;"")),_xlpm.v)))</f>
        <v/>
      </c>
      <c r="M21" s="825" t="str">
        <f>IF($CJ21="","",_xlfn.LET(_xlpm.v,TRIM(_xlfn.XLOOKUP($CJ21,Equip_List,Equip_FdrRace,"")&amp;""),IF(_xlpm.v="",Cfg_Conduit&amp;"",_xlpm.v)))</f>
        <v/>
      </c>
      <c r="N21" s="825" t="str">
        <f>IF($CJ21="","",IF(UPPER(TRIM(_xlfn.XLOOKUP($CJ21,Equip_List,Equip_FdrExist,"")&amp;""))="Y","Y",""))</f>
        <v/>
      </c>
      <c r="O21" s="823" t="str">
        <f t="shared" si="8"/>
        <v/>
      </c>
      <c r="P21" s="821" t="str">
        <f t="shared" si="9"/>
        <v/>
      </c>
      <c r="Q21" s="821" t="str">
        <f t="shared" si="10"/>
        <v/>
      </c>
      <c r="R21" s="822" t="str" cm="1">
        <f t="array" ref="R21">IF(K21="","",INDEX(OCPD_List,MATCH(TRUE,OCPD_List&gt;=K21,0)))</f>
        <v/>
      </c>
      <c r="S21" s="821" t="str">
        <f t="shared" si="11"/>
        <v/>
      </c>
      <c r="T21" s="826" t="str">
        <f t="shared" si="1"/>
        <v/>
      </c>
      <c r="U21" s="826" t="str">
        <f t="shared" si="2"/>
        <v/>
      </c>
      <c r="V21" s="827" t="str">
        <f t="shared" si="3"/>
        <v/>
      </c>
      <c r="W21" s="828"/>
      <c r="X21" s="819"/>
      <c r="Y21" s="820"/>
      <c r="Z21" s="820"/>
      <c r="AA21" s="820"/>
      <c r="BN21" s="832" t="str">
        <f>IF($B21="","",IFERROR(_xlfn.XLOOKUP($D21,Dashboard!$A$101:$A$350,Dashboard!$C$101:$C$350),""))</f>
        <v/>
      </c>
      <c r="BO21" s="832" t="str">
        <f t="shared" si="4"/>
        <v/>
      </c>
      <c r="BP21" s="832" t="str" cm="1">
        <f t="array" ref="BP21">IF(OR($B21="",$R21="",NOT(ISNUMBER($R21))),"",IF(AND($BV21="AL",$G21=1),"",_xlfn.LET(_xlpm.codes,IF($BV21="AL",Std_Al3_Code,IF($G21=1,Std_Cu1_Code,Std_Cu3_Code)),_xlpm.amps,IFERROR(--SUBSTITUTE(_xlpm.codes&amp;"","N",""),""),_xlpm.a,MIN(IF(ISNUMBER(_xlpm.amps),IF(_xlpm.amps&gt;=$R21,_xlpm.amps,""),"")),_xlpm.k,IF(_xlpm.a=0,$R21,_xlpm.a),IF($BO21="Y",TEXT(_xlpm.k,"0")&amp;"N",_xlpm.k))))</f>
        <v/>
      </c>
      <c r="BQ21" s="832" t="str" cm="1">
        <f t="array" ref="BQ21">IF($BP21="","",IFERROR(IF($BV21="AL",_xlfn.XLOOKUP($BP21,Std_Al3_Code,INDEX(Std_Al3_Table,0,3)),IF($G21=1,_xlfn.XLOOKUP($BP21,Std_Cu1_Code,INDEX(Std_Cu1_Table,0,3)),_xlfn.XLOOKUP($BP21,Std_Cu3_Code,INDEX(Std_Cu3_Table,0,3)))),""))</f>
        <v/>
      </c>
      <c r="BR21" s="832" t="str" cm="1">
        <f t="array" ref="BR21">IF($BP21="","",IFERROR(IF($BV21="AL",_xlfn.XLOOKUP($BP21,Std_Al3_Code,INDEX(Std_Al3_Table,0,4)),IF($G21=1,_xlfn.XLOOKUP($BP21,Std_Cu1_Code,INDEX(Std_Cu1_Table,0,4)),_xlfn.XLOOKUP($BP21,Std_Cu3_Code,INDEX(Std_Cu3_Table,0,4)))),""))</f>
        <v/>
      </c>
      <c r="BS21" s="832" t="str" cm="1">
        <f t="array" ref="BS21">IF($BP21="","",IFERROR(IF($BV21="AL",_xlfn.XLOOKUP($BP21,Std_Al3_Code,INDEX(Std_Al3_Table,0,5)),IF($G21=1,_xlfn.XLOOKUP($BP21,Std_Cu1_Code,INDEX(Std_Cu1_Table,0,5)),_xlfn.XLOOKUP($BP21,Std_Cu3_Code,INDEX(Std_Cu3_Table,0,5)))),""))</f>
        <v/>
      </c>
      <c r="BT21" s="832" t="str">
        <f t="shared" si="5"/>
        <v/>
      </c>
      <c r="BU21" s="832" t="str" cm="1">
        <f t="array" ref="BU21">IF($BP21="","",IFERROR(IF($BV21="AL",_xlfn.XLOOKUP($BP21,Std_Al3_Code,INDEX(Std_Al3_Table,0,2)),IF($G21=1,_xlfn.XLOOKUP($BP21,Std_Cu1_Code,INDEX(Std_Cu1_Table,0,2)),_xlfn.XLOOKUP($BP21,Std_Cu3_Code,INDEX(Std_Cu3_Table,0,2)))),""))</f>
        <v/>
      </c>
      <c r="BV21" s="829" t="str">
        <f t="shared" si="6"/>
        <v/>
      </c>
      <c r="BW21" s="829" t="str">
        <f t="shared" si="12"/>
        <v/>
      </c>
      <c r="BX21" s="829" t="str" cm="1">
        <f t="array" ref="BX21">IF(OR($BP21="",$H21="",$I21="",$F21="",$BW21=""),"",IFERROR(_xlfn.LET(_xlpm.codes,IF($BV21="AL",Std_Al3_Code,IF($G21=1,Std_Cu1_Code,Std_Cu3_Code)),_xlpm.tbl,IF($BV21="AL",Std_Al3_Table,IF($G21=1,Std_Cu1_Table,Std_Cu3_Table)),_xlpm.i,MATCH($BP21,_xlpm.codes,0),_xlpm.idx,_xlfn.SEQUENCE(ROWS(_xlpm.codes)),_xlpm.cnd,INDEX(_xlpm.tbl,0,4),_xlpm.sts,INDEX(_xlpm.tbl,0,2),_xlpm.sz,IFERROR(_xlfn.TEXTBEFORE(_xlfn.TEXTAFTER(_xlpm.cnd,"#"),","),IFERROR(_xlfn.TEXTAFTER(_xlpm.cnd,"#"),"")),_xlpm.cm,IFERROR(_xlfn.XLOOKUP(TRIM(_xlpm.sz),Ampacity_Size,Ampacity_CM),0),_xlpm.mult,IF($G21=3,SQRT3,2),_xlpm.kk,IF($BV21="AL",K_Al,K_Cu),_xlpm.vd,IF(_xlpm.cm*IF(ISNUMBER(_xlpm.sts),_xlpm.sts,0)=0,9,_xlpm.mult*_xlpm.kk*$I21*$H21/(_xlpm.cm*_xlpm.sts)/$F21),_xlpm.hasN,--(RIGHT(_xlpm.codes&amp;"",1)="N"),_xlpm.wantN,--(RIGHT($BP21&amp;"",1)="N"),_xlpm.ok,(_xlpm.idx&gt;=_xlpm.i)*(_xlpm.vd&lt;=Cfg_VDFeeder)*(_xlpm.cm&gt;0)*ISNUMBER(_xlpm.sts)*(_xlpm.hasN=_xlpm.wantN),_xlpm.m,MIN(IF(_xlpm.ok=1,_xlpm.idx)),INDEX(_xlpm.codes,IF(_xlpm.m=0,_xlpm.i,_xlpm.m))),""))</f>
        <v/>
      </c>
      <c r="BY21" s="829" t="str" cm="1">
        <f t="array" ref="BY21">IF($BP21="","",IF($BX21="",$BU21,IFERROR(IF($BV21="AL",_xlfn.XLOOKUP($BX21,Std_Al3_Code,INDEX(Std_Al3_Table,0,2)),IF($G21=1,_xlfn.XLOOKUP($BX21,Std_Cu1_Code,INDEX(Std_Cu1_Table,0,2)),_xlfn.XLOOKUP($BX21,Std_Cu3_Code,INDEX(Std_Cu3_Table,0,2)))),"")))</f>
        <v/>
      </c>
      <c r="BZ21" s="829" t="str" cm="1">
        <f t="array" ref="BZ21">IF($BP21="","",IF($BX21="",$BR21,IFERROR(IF($BV21="AL",_xlfn.XLOOKUP($BX21,Std_Al3_Code,INDEX(Std_Al3_Table,0,4)),IF($G21=1,_xlfn.XLOOKUP($BX21,Std_Cu1_Code,INDEX(Std_Cu1_Table,0,4)),_xlfn.XLOOKUP($BX21,Std_Cu3_Code,INDEX(Std_Cu3_Table,0,4)))),"")))</f>
        <v/>
      </c>
      <c r="CA21" s="829" t="str" cm="1">
        <f t="array" ref="CA21">IF($BP21="","",IF($BX21="",$BQ21,IFERROR(IF($BV21="AL",_xlfn.XLOOKUP($BX21,Std_Al3_Code,INDEX(Std_Al3_Table,0,3)),IF($G21=1,_xlfn.XLOOKUP($BX21,Std_Cu1_Code,INDEX(Std_Cu1_Table,0,3)),_xlfn.XLOOKUP($BX21,Std_Cu3_Code,INDEX(Std_Cu3_Table,0,3)))),"")))</f>
        <v/>
      </c>
      <c r="CB21" s="829" t="str" cm="1">
        <f t="array" ref="CB21">IF($BP21="","",IF($BX21="",$BS21,IFERROR(IF($BV21="AL",_xlfn.XLOOKUP($BX21,Std_Al3_Code,INDEX(Std_Al3_Table,0,5)),IF($G21=1,_xlfn.XLOOKUP($BX21,Std_Cu1_Code,INDEX(Std_Cu1_Table,0,5)),_xlfn.XLOOKUP($BX21,Std_Cu3_Code,INDEX(Std_Cu3_Table,0,5)))),"")))</f>
        <v/>
      </c>
      <c r="CC21" s="829" t="str">
        <f t="shared" si="13"/>
        <v/>
      </c>
      <c r="CD21" s="829" t="str">
        <f t="shared" si="14"/>
        <v/>
      </c>
      <c r="CE21" s="829" t="str">
        <f t="shared" si="15"/>
        <v/>
      </c>
      <c r="CF21" s="829" t="str">
        <f t="shared" si="16"/>
        <v/>
      </c>
      <c r="CG21" s="829" t="str">
        <f t="shared" si="17"/>
        <v/>
      </c>
      <c r="CH21" s="829" t="str">
        <f t="shared" si="18"/>
        <v/>
      </c>
      <c r="CI21" s="829" t="str">
        <f t="shared" si="19"/>
        <v/>
      </c>
      <c r="CJ21" s="829" t="str" cm="1">
        <f t="array" ref="CJ21">IF($B21="","",_xlfn.LET(_xlpm.to,$D21&amp;"",_xlpm.em,IFERROR(INDEX(_xlfn.ANCHORARRAY($BE$4),ROW()-4,6),"")="EMERG",_xlpm.pri,AND(NOT(_xlpm.em),LEFT(_xlpm.to,2)="T-",ISNUMBER(MATCH(MID(_xlpm.to,3,99),Equip_List,0)),ISNA(MATCH(_xlpm.to,Equip_List,0))),IF(_xlpm.pri,MID(_xlpm.to,3,99),_xlpm.to)))</f>
        <v/>
      </c>
      <c r="CK21" s="829" t="str" cm="1">
        <f t="array" ref="CK21">IF($CJ21="","",IF(IFERROR(INDEX(_xlfn.ANCHORARRAY($BE$4),ROW()-4,6),"")="EMERG","E",IF($CJ21&lt;&gt;$D21&amp;"","P","N")))</f>
        <v/>
      </c>
    </row>
    <row r="22" spans="1:89" ht="15" customHeight="1" x14ac:dyDescent="0.35">
      <c r="A22" s="821" t="str">
        <f t="shared" si="7"/>
        <v/>
      </c>
      <c r="B22" s="821" t="str" cm="1">
        <f t="array" ref="B22">IFERROR(IF(INDEX(_xlfn.ANCHORARRAY($BE$4),ROW()-4,2)="","","F-"&amp;INDEX(_xlfn.ANCHORARRAY($BE$4),ROW()-4,2)&amp;IF(IFERROR(INDEX(_xlfn.ANCHORARRAY($BE$4),ROW()-4,6),"")="EMERG","-E","")),"")</f>
        <v/>
      </c>
      <c r="C22" s="821" t="str" cm="1">
        <f t="array" ref="C22">IFERROR(IF($B22="","",INDEX(_xlfn.ANCHORARRAY($BE$4),ROW()-4,1)),"")</f>
        <v/>
      </c>
      <c r="D22" s="821" t="str" cm="1">
        <f t="array" ref="D22">IFERROR(IF($B22="","",INDEX(_xlfn.ANCHORARRAY($BE$4),ROW()-4,2)),"")</f>
        <v/>
      </c>
      <c r="E22" s="806" t="str" cm="1">
        <f t="array" ref="E22">IFERROR(IF($B22="","",INDEX(_xlfn.ANCHORARRAY($BE$4),ROW()-4,3)),"")</f>
        <v/>
      </c>
      <c r="F22" s="822" t="str" cm="1">
        <f t="array" ref="F22">IFERROR(IF($B22="","",INDEX(_xlfn.ANCHORARRAY($BE$4),ROW()-4,4)),"")</f>
        <v/>
      </c>
      <c r="G22" s="823" t="str" cm="1">
        <f t="array" ref="G22">IFERROR(IF($B22="","",INDEX(_xlfn.ANCHORARRAY($BE$4),ROW()-4,5)),"")</f>
        <v/>
      </c>
      <c r="H22" s="824" t="str" cm="1">
        <f t="array" ref="H22">IF($CJ22="","",_xlfn.LET(_xlpm.v,_xlfn.XLOOKUP($CJ22,Equip_List,IF($CK22="E",Equip_EmLen,IF($CK22="P",Equip_XfPriLen,Equip_FdrLen)),""),IF(_xlpm.v="","",_xlpm.v)))</f>
        <v/>
      </c>
      <c r="I22" s="806" t="str">
        <f t="shared" si="0"/>
        <v/>
      </c>
      <c r="J22" s="820"/>
      <c r="K22" s="806" t="str">
        <f>_xlfn.LET(_xlpm.k,IF($I22="","",IF(COUNTIF(UPS!$B$57:$B$64,$C22&amp;"")&gt;0,1.25*MAX($I22,N(_xlfn.XLOOKUP($C22&amp;"",UPS!$B$57:$B$64,UPS!$M$57:$M$64,0))),IF(COUNTIF(UPS!$B$57:$B$64,$D22&amp;"")&gt;0,1.25*MAX($I22,N(_xlfn.XLOOKUP($D22&amp;"",UPS!$B$57:$B$64,UPS!$Q$57:$Q$64,0))),$I22*IF(OR(UPPER($J22)="Y",LEFT($C22,2)="T-",LEFT($D22,2)="T-"),1.25,1)))),IF(_xlpm.k="","",MAX(_xlpm.k,N(IFERROR(_xlfn.XLOOKUP($D22&amp;"",Dashboard!$A$101:$A$350,Dashboard!$O$101:$O$350,0),0)))))</f>
        <v/>
      </c>
      <c r="L22" s="825" t="str">
        <f>IF($CJ22="","",_xlfn.LET(_xlpm.v,UPPER(TRIM(_xlfn.XLOOKUP($CJ22,Equip_List,Equip_FdrMat,"")&amp;"")),IF(_xlpm.v="",UPPER(TRIM(Cfg_FeederMat&amp;"")),_xlpm.v)))</f>
        <v/>
      </c>
      <c r="M22" s="825" t="str">
        <f>IF($CJ22="","",_xlfn.LET(_xlpm.v,TRIM(_xlfn.XLOOKUP($CJ22,Equip_List,Equip_FdrRace,"")&amp;""),IF(_xlpm.v="",Cfg_Conduit&amp;"",_xlpm.v)))</f>
        <v/>
      </c>
      <c r="N22" s="825" t="str">
        <f>IF($CJ22="","",IF(UPPER(TRIM(_xlfn.XLOOKUP($CJ22,Equip_List,Equip_FdrExist,"")&amp;""))="Y","Y",""))</f>
        <v/>
      </c>
      <c r="O22" s="823" t="str">
        <f t="shared" si="8"/>
        <v/>
      </c>
      <c r="P22" s="821" t="str">
        <f t="shared" si="9"/>
        <v/>
      </c>
      <c r="Q22" s="821" t="str">
        <f t="shared" si="10"/>
        <v/>
      </c>
      <c r="R22" s="822" t="str" cm="1">
        <f t="array" ref="R22">IF(K22="","",INDEX(OCPD_List,MATCH(TRUE,OCPD_List&gt;=K22,0)))</f>
        <v/>
      </c>
      <c r="S22" s="821" t="str">
        <f t="shared" si="11"/>
        <v/>
      </c>
      <c r="T22" s="826" t="str">
        <f t="shared" si="1"/>
        <v/>
      </c>
      <c r="U22" s="826" t="str">
        <f t="shared" si="2"/>
        <v/>
      </c>
      <c r="V22" s="827" t="str">
        <f t="shared" si="3"/>
        <v/>
      </c>
      <c r="W22" s="828"/>
      <c r="X22" s="819"/>
      <c r="Y22" s="820"/>
      <c r="Z22" s="820"/>
      <c r="AA22" s="820"/>
      <c r="BN22" s="832" t="str">
        <f>IF($B22="","",IFERROR(_xlfn.XLOOKUP($D22,Dashboard!$A$101:$A$350,Dashboard!$C$101:$C$350),""))</f>
        <v/>
      </c>
      <c r="BO22" s="832" t="str">
        <f t="shared" si="4"/>
        <v/>
      </c>
      <c r="BP22" s="832" t="str" cm="1">
        <f t="array" ref="BP22">IF(OR($B22="",$R22="",NOT(ISNUMBER($R22))),"",IF(AND($BV22="AL",$G22=1),"",_xlfn.LET(_xlpm.codes,IF($BV22="AL",Std_Al3_Code,IF($G22=1,Std_Cu1_Code,Std_Cu3_Code)),_xlpm.amps,IFERROR(--SUBSTITUTE(_xlpm.codes&amp;"","N",""),""),_xlpm.a,MIN(IF(ISNUMBER(_xlpm.amps),IF(_xlpm.amps&gt;=$R22,_xlpm.amps,""),"")),_xlpm.k,IF(_xlpm.a=0,$R22,_xlpm.a),IF($BO22="Y",TEXT(_xlpm.k,"0")&amp;"N",_xlpm.k))))</f>
        <v/>
      </c>
      <c r="BQ22" s="832" t="str" cm="1">
        <f t="array" ref="BQ22">IF($BP22="","",IFERROR(IF($BV22="AL",_xlfn.XLOOKUP($BP22,Std_Al3_Code,INDEX(Std_Al3_Table,0,3)),IF($G22=1,_xlfn.XLOOKUP($BP22,Std_Cu1_Code,INDEX(Std_Cu1_Table,0,3)),_xlfn.XLOOKUP($BP22,Std_Cu3_Code,INDEX(Std_Cu3_Table,0,3)))),""))</f>
        <v/>
      </c>
      <c r="BR22" s="832" t="str" cm="1">
        <f t="array" ref="BR22">IF($BP22="","",IFERROR(IF($BV22="AL",_xlfn.XLOOKUP($BP22,Std_Al3_Code,INDEX(Std_Al3_Table,0,4)),IF($G22=1,_xlfn.XLOOKUP($BP22,Std_Cu1_Code,INDEX(Std_Cu1_Table,0,4)),_xlfn.XLOOKUP($BP22,Std_Cu3_Code,INDEX(Std_Cu3_Table,0,4)))),""))</f>
        <v/>
      </c>
      <c r="BS22" s="832" t="str" cm="1">
        <f t="array" ref="BS22">IF($BP22="","",IFERROR(IF($BV22="AL",_xlfn.XLOOKUP($BP22,Std_Al3_Code,INDEX(Std_Al3_Table,0,5)),IF($G22=1,_xlfn.XLOOKUP($BP22,Std_Cu1_Code,INDEX(Std_Cu1_Table,0,5)),_xlfn.XLOOKUP($BP22,Std_Cu3_Code,INDEX(Std_Cu3_Table,0,5)))),""))</f>
        <v/>
      </c>
      <c r="BT22" s="832" t="str">
        <f t="shared" si="5"/>
        <v/>
      </c>
      <c r="BU22" s="832" t="str" cm="1">
        <f t="array" ref="BU22">IF($BP22="","",IFERROR(IF($BV22="AL",_xlfn.XLOOKUP($BP22,Std_Al3_Code,INDEX(Std_Al3_Table,0,2)),IF($G22=1,_xlfn.XLOOKUP($BP22,Std_Cu1_Code,INDEX(Std_Cu1_Table,0,2)),_xlfn.XLOOKUP($BP22,Std_Cu3_Code,INDEX(Std_Cu3_Table,0,2)))),""))</f>
        <v/>
      </c>
      <c r="BV22" s="829" t="str">
        <f t="shared" si="6"/>
        <v/>
      </c>
      <c r="BW22" s="829" t="str">
        <f t="shared" si="12"/>
        <v/>
      </c>
      <c r="BX22" s="829" t="str" cm="1">
        <f t="array" ref="BX22">IF(OR($BP22="",$H22="",$I22="",$F22="",$BW22=""),"",IFERROR(_xlfn.LET(_xlpm.codes,IF($BV22="AL",Std_Al3_Code,IF($G22=1,Std_Cu1_Code,Std_Cu3_Code)),_xlpm.tbl,IF($BV22="AL",Std_Al3_Table,IF($G22=1,Std_Cu1_Table,Std_Cu3_Table)),_xlpm.i,MATCH($BP22,_xlpm.codes,0),_xlpm.idx,_xlfn.SEQUENCE(ROWS(_xlpm.codes)),_xlpm.cnd,INDEX(_xlpm.tbl,0,4),_xlpm.sts,INDEX(_xlpm.tbl,0,2),_xlpm.sz,IFERROR(_xlfn.TEXTBEFORE(_xlfn.TEXTAFTER(_xlpm.cnd,"#"),","),IFERROR(_xlfn.TEXTAFTER(_xlpm.cnd,"#"),"")),_xlpm.cm,IFERROR(_xlfn.XLOOKUP(TRIM(_xlpm.sz),Ampacity_Size,Ampacity_CM),0),_xlpm.mult,IF($G22=3,SQRT3,2),_xlpm.kk,IF($BV22="AL",K_Al,K_Cu),_xlpm.vd,IF(_xlpm.cm*IF(ISNUMBER(_xlpm.sts),_xlpm.sts,0)=0,9,_xlpm.mult*_xlpm.kk*$I22*$H22/(_xlpm.cm*_xlpm.sts)/$F22),_xlpm.hasN,--(RIGHT(_xlpm.codes&amp;"",1)="N"),_xlpm.wantN,--(RIGHT($BP22&amp;"",1)="N"),_xlpm.ok,(_xlpm.idx&gt;=_xlpm.i)*(_xlpm.vd&lt;=Cfg_VDFeeder)*(_xlpm.cm&gt;0)*ISNUMBER(_xlpm.sts)*(_xlpm.hasN=_xlpm.wantN),_xlpm.m,MIN(IF(_xlpm.ok=1,_xlpm.idx)),INDEX(_xlpm.codes,IF(_xlpm.m=0,_xlpm.i,_xlpm.m))),""))</f>
        <v/>
      </c>
      <c r="BY22" s="829" t="str" cm="1">
        <f t="array" ref="BY22">IF($BP22="","",IF($BX22="",$BU22,IFERROR(IF($BV22="AL",_xlfn.XLOOKUP($BX22,Std_Al3_Code,INDEX(Std_Al3_Table,0,2)),IF($G22=1,_xlfn.XLOOKUP($BX22,Std_Cu1_Code,INDEX(Std_Cu1_Table,0,2)),_xlfn.XLOOKUP($BX22,Std_Cu3_Code,INDEX(Std_Cu3_Table,0,2)))),"")))</f>
        <v/>
      </c>
      <c r="BZ22" s="829" t="str" cm="1">
        <f t="array" ref="BZ22">IF($BP22="","",IF($BX22="",$BR22,IFERROR(IF($BV22="AL",_xlfn.XLOOKUP($BX22,Std_Al3_Code,INDEX(Std_Al3_Table,0,4)),IF($G22=1,_xlfn.XLOOKUP($BX22,Std_Cu1_Code,INDEX(Std_Cu1_Table,0,4)),_xlfn.XLOOKUP($BX22,Std_Cu3_Code,INDEX(Std_Cu3_Table,0,4)))),"")))</f>
        <v/>
      </c>
      <c r="CA22" s="829" t="str" cm="1">
        <f t="array" ref="CA22">IF($BP22="","",IF($BX22="",$BQ22,IFERROR(IF($BV22="AL",_xlfn.XLOOKUP($BX22,Std_Al3_Code,INDEX(Std_Al3_Table,0,3)),IF($G22=1,_xlfn.XLOOKUP($BX22,Std_Cu1_Code,INDEX(Std_Cu1_Table,0,3)),_xlfn.XLOOKUP($BX22,Std_Cu3_Code,INDEX(Std_Cu3_Table,0,3)))),"")))</f>
        <v/>
      </c>
      <c r="CB22" s="829" t="str" cm="1">
        <f t="array" ref="CB22">IF($BP22="","",IF($BX22="",$BS22,IFERROR(IF($BV22="AL",_xlfn.XLOOKUP($BX22,Std_Al3_Code,INDEX(Std_Al3_Table,0,5)),IF($G22=1,_xlfn.XLOOKUP($BX22,Std_Cu1_Code,INDEX(Std_Cu1_Table,0,5)),_xlfn.XLOOKUP($BX22,Std_Cu3_Code,INDEX(Std_Cu3_Table,0,5)))),"")))</f>
        <v/>
      </c>
      <c r="CC22" s="829" t="str">
        <f t="shared" si="13"/>
        <v/>
      </c>
      <c r="CD22" s="829" t="str">
        <f t="shared" si="14"/>
        <v/>
      </c>
      <c r="CE22" s="829" t="str">
        <f t="shared" si="15"/>
        <v/>
      </c>
      <c r="CF22" s="829" t="str">
        <f t="shared" si="16"/>
        <v/>
      </c>
      <c r="CG22" s="829" t="str">
        <f t="shared" si="17"/>
        <v/>
      </c>
      <c r="CH22" s="829" t="str">
        <f t="shared" si="18"/>
        <v/>
      </c>
      <c r="CI22" s="829" t="str">
        <f t="shared" si="19"/>
        <v/>
      </c>
      <c r="CJ22" s="829" t="str" cm="1">
        <f t="array" ref="CJ22">IF($B22="","",_xlfn.LET(_xlpm.to,$D22&amp;"",_xlpm.em,IFERROR(INDEX(_xlfn.ANCHORARRAY($BE$4),ROW()-4,6),"")="EMERG",_xlpm.pri,AND(NOT(_xlpm.em),LEFT(_xlpm.to,2)="T-",ISNUMBER(MATCH(MID(_xlpm.to,3,99),Equip_List,0)),ISNA(MATCH(_xlpm.to,Equip_List,0))),IF(_xlpm.pri,MID(_xlpm.to,3,99),_xlpm.to)))</f>
        <v/>
      </c>
      <c r="CK22" s="829" t="str" cm="1">
        <f t="array" ref="CK22">IF($CJ22="","",IF(IFERROR(INDEX(_xlfn.ANCHORARRAY($BE$4),ROW()-4,6),"")="EMERG","E",IF($CJ22&lt;&gt;$D22&amp;"","P","N")))</f>
        <v/>
      </c>
    </row>
    <row r="23" spans="1:89" ht="15" customHeight="1" x14ac:dyDescent="0.35">
      <c r="A23" s="821" t="str">
        <f t="shared" si="7"/>
        <v/>
      </c>
      <c r="B23" s="821" t="str" cm="1">
        <f t="array" ref="B23">IFERROR(IF(INDEX(_xlfn.ANCHORARRAY($BE$4),ROW()-4,2)="","","F-"&amp;INDEX(_xlfn.ANCHORARRAY($BE$4),ROW()-4,2)&amp;IF(IFERROR(INDEX(_xlfn.ANCHORARRAY($BE$4),ROW()-4,6),"")="EMERG","-E","")),"")</f>
        <v/>
      </c>
      <c r="C23" s="821" t="str" cm="1">
        <f t="array" ref="C23">IFERROR(IF($B23="","",INDEX(_xlfn.ANCHORARRAY($BE$4),ROW()-4,1)),"")</f>
        <v/>
      </c>
      <c r="D23" s="821" t="str" cm="1">
        <f t="array" ref="D23">IFERROR(IF($B23="","",INDEX(_xlfn.ANCHORARRAY($BE$4),ROW()-4,2)),"")</f>
        <v/>
      </c>
      <c r="E23" s="806" t="str" cm="1">
        <f t="array" ref="E23">IFERROR(IF($B23="","",INDEX(_xlfn.ANCHORARRAY($BE$4),ROW()-4,3)),"")</f>
        <v/>
      </c>
      <c r="F23" s="822" t="str" cm="1">
        <f t="array" ref="F23">IFERROR(IF($B23="","",INDEX(_xlfn.ANCHORARRAY($BE$4),ROW()-4,4)),"")</f>
        <v/>
      </c>
      <c r="G23" s="823" t="str" cm="1">
        <f t="array" ref="G23">IFERROR(IF($B23="","",INDEX(_xlfn.ANCHORARRAY($BE$4),ROW()-4,5)),"")</f>
        <v/>
      </c>
      <c r="H23" s="824" t="str" cm="1">
        <f t="array" ref="H23">IF($CJ23="","",_xlfn.LET(_xlpm.v,_xlfn.XLOOKUP($CJ23,Equip_List,IF($CK23="E",Equip_EmLen,IF($CK23="P",Equip_XfPriLen,Equip_FdrLen)),""),IF(_xlpm.v="","",_xlpm.v)))</f>
        <v/>
      </c>
      <c r="I23" s="806" t="str">
        <f t="shared" si="0"/>
        <v/>
      </c>
      <c r="J23" s="820"/>
      <c r="K23" s="806" t="str">
        <f>_xlfn.LET(_xlpm.k,IF($I23="","",IF(COUNTIF(UPS!$B$57:$B$64,$C23&amp;"")&gt;0,1.25*MAX($I23,N(_xlfn.XLOOKUP($C23&amp;"",UPS!$B$57:$B$64,UPS!$M$57:$M$64,0))),IF(COUNTIF(UPS!$B$57:$B$64,$D23&amp;"")&gt;0,1.25*MAX($I23,N(_xlfn.XLOOKUP($D23&amp;"",UPS!$B$57:$B$64,UPS!$Q$57:$Q$64,0))),$I23*IF(OR(UPPER($J23)="Y",LEFT($C23,2)="T-",LEFT($D23,2)="T-"),1.25,1)))),IF(_xlpm.k="","",MAX(_xlpm.k,N(IFERROR(_xlfn.XLOOKUP($D23&amp;"",Dashboard!$A$101:$A$350,Dashboard!$O$101:$O$350,0),0)))))</f>
        <v/>
      </c>
      <c r="L23" s="825" t="str">
        <f>IF($CJ23="","",_xlfn.LET(_xlpm.v,UPPER(TRIM(_xlfn.XLOOKUP($CJ23,Equip_List,Equip_FdrMat,"")&amp;"")),IF(_xlpm.v="",UPPER(TRIM(Cfg_FeederMat&amp;"")),_xlpm.v)))</f>
        <v/>
      </c>
      <c r="M23" s="825" t="str">
        <f>IF($CJ23="","",_xlfn.LET(_xlpm.v,TRIM(_xlfn.XLOOKUP($CJ23,Equip_List,Equip_FdrRace,"")&amp;""),IF(_xlpm.v="",Cfg_Conduit&amp;"",_xlpm.v)))</f>
        <v/>
      </c>
      <c r="N23" s="825" t="str">
        <f>IF($CJ23="","",IF(UPPER(TRIM(_xlfn.XLOOKUP($CJ23,Equip_List,Equip_FdrExist,"")&amp;""))="Y","Y",""))</f>
        <v/>
      </c>
      <c r="O23" s="823" t="str">
        <f t="shared" si="8"/>
        <v/>
      </c>
      <c r="P23" s="821" t="str">
        <f t="shared" si="9"/>
        <v/>
      </c>
      <c r="Q23" s="821" t="str">
        <f t="shared" si="10"/>
        <v/>
      </c>
      <c r="R23" s="822" t="str" cm="1">
        <f t="array" ref="R23">IF(K23="","",INDEX(OCPD_List,MATCH(TRUE,OCPD_List&gt;=K23,0)))</f>
        <v/>
      </c>
      <c r="S23" s="821" t="str">
        <f t="shared" si="11"/>
        <v/>
      </c>
      <c r="T23" s="826" t="str">
        <f t="shared" si="1"/>
        <v/>
      </c>
      <c r="U23" s="826" t="str">
        <f t="shared" si="2"/>
        <v/>
      </c>
      <c r="V23" s="827" t="str">
        <f t="shared" si="3"/>
        <v/>
      </c>
      <c r="W23" s="828"/>
      <c r="X23" s="819"/>
      <c r="Y23" s="820"/>
      <c r="Z23" s="820"/>
      <c r="AA23" s="820"/>
      <c r="BN23" s="832" t="str">
        <f>IF($B23="","",IFERROR(_xlfn.XLOOKUP($D23,Dashboard!$A$101:$A$350,Dashboard!$C$101:$C$350),""))</f>
        <v/>
      </c>
      <c r="BO23" s="832" t="str">
        <f t="shared" si="4"/>
        <v/>
      </c>
      <c r="BP23" s="832" t="str" cm="1">
        <f t="array" ref="BP23">IF(OR($B23="",$R23="",NOT(ISNUMBER($R23))),"",IF(AND($BV23="AL",$G23=1),"",_xlfn.LET(_xlpm.codes,IF($BV23="AL",Std_Al3_Code,IF($G23=1,Std_Cu1_Code,Std_Cu3_Code)),_xlpm.amps,IFERROR(--SUBSTITUTE(_xlpm.codes&amp;"","N",""),""),_xlpm.a,MIN(IF(ISNUMBER(_xlpm.amps),IF(_xlpm.amps&gt;=$R23,_xlpm.amps,""),"")),_xlpm.k,IF(_xlpm.a=0,$R23,_xlpm.a),IF($BO23="Y",TEXT(_xlpm.k,"0")&amp;"N",_xlpm.k))))</f>
        <v/>
      </c>
      <c r="BQ23" s="832" t="str" cm="1">
        <f t="array" ref="BQ23">IF($BP23="","",IFERROR(IF($BV23="AL",_xlfn.XLOOKUP($BP23,Std_Al3_Code,INDEX(Std_Al3_Table,0,3)),IF($G23=1,_xlfn.XLOOKUP($BP23,Std_Cu1_Code,INDEX(Std_Cu1_Table,0,3)),_xlfn.XLOOKUP($BP23,Std_Cu3_Code,INDEX(Std_Cu3_Table,0,3)))),""))</f>
        <v/>
      </c>
      <c r="BR23" s="832" t="str" cm="1">
        <f t="array" ref="BR23">IF($BP23="","",IFERROR(IF($BV23="AL",_xlfn.XLOOKUP($BP23,Std_Al3_Code,INDEX(Std_Al3_Table,0,4)),IF($G23=1,_xlfn.XLOOKUP($BP23,Std_Cu1_Code,INDEX(Std_Cu1_Table,0,4)),_xlfn.XLOOKUP($BP23,Std_Cu3_Code,INDEX(Std_Cu3_Table,0,4)))),""))</f>
        <v/>
      </c>
      <c r="BS23" s="832" t="str" cm="1">
        <f t="array" ref="BS23">IF($BP23="","",IFERROR(IF($BV23="AL",_xlfn.XLOOKUP($BP23,Std_Al3_Code,INDEX(Std_Al3_Table,0,5)),IF($G23=1,_xlfn.XLOOKUP($BP23,Std_Cu1_Code,INDEX(Std_Cu1_Table,0,5)),_xlfn.XLOOKUP($BP23,Std_Cu3_Code,INDEX(Std_Cu3_Table,0,5)))),""))</f>
        <v/>
      </c>
      <c r="BT23" s="832" t="str">
        <f t="shared" si="5"/>
        <v/>
      </c>
      <c r="BU23" s="832" t="str" cm="1">
        <f t="array" ref="BU23">IF($BP23="","",IFERROR(IF($BV23="AL",_xlfn.XLOOKUP($BP23,Std_Al3_Code,INDEX(Std_Al3_Table,0,2)),IF($G23=1,_xlfn.XLOOKUP($BP23,Std_Cu1_Code,INDEX(Std_Cu1_Table,0,2)),_xlfn.XLOOKUP($BP23,Std_Cu3_Code,INDEX(Std_Cu3_Table,0,2)))),""))</f>
        <v/>
      </c>
      <c r="BV23" s="829" t="str">
        <f t="shared" si="6"/>
        <v/>
      </c>
      <c r="BW23" s="829" t="str">
        <f t="shared" si="12"/>
        <v/>
      </c>
      <c r="BX23" s="829" t="str" cm="1">
        <f t="array" ref="BX23">IF(OR($BP23="",$H23="",$I23="",$F23="",$BW23=""),"",IFERROR(_xlfn.LET(_xlpm.codes,IF($BV23="AL",Std_Al3_Code,IF($G23=1,Std_Cu1_Code,Std_Cu3_Code)),_xlpm.tbl,IF($BV23="AL",Std_Al3_Table,IF($G23=1,Std_Cu1_Table,Std_Cu3_Table)),_xlpm.i,MATCH($BP23,_xlpm.codes,0),_xlpm.idx,_xlfn.SEQUENCE(ROWS(_xlpm.codes)),_xlpm.cnd,INDEX(_xlpm.tbl,0,4),_xlpm.sts,INDEX(_xlpm.tbl,0,2),_xlpm.sz,IFERROR(_xlfn.TEXTBEFORE(_xlfn.TEXTAFTER(_xlpm.cnd,"#"),","),IFERROR(_xlfn.TEXTAFTER(_xlpm.cnd,"#"),"")),_xlpm.cm,IFERROR(_xlfn.XLOOKUP(TRIM(_xlpm.sz),Ampacity_Size,Ampacity_CM),0),_xlpm.mult,IF($G23=3,SQRT3,2),_xlpm.kk,IF($BV23="AL",K_Al,K_Cu),_xlpm.vd,IF(_xlpm.cm*IF(ISNUMBER(_xlpm.sts),_xlpm.sts,0)=0,9,_xlpm.mult*_xlpm.kk*$I23*$H23/(_xlpm.cm*_xlpm.sts)/$F23),_xlpm.hasN,--(RIGHT(_xlpm.codes&amp;"",1)="N"),_xlpm.wantN,--(RIGHT($BP23&amp;"",1)="N"),_xlpm.ok,(_xlpm.idx&gt;=_xlpm.i)*(_xlpm.vd&lt;=Cfg_VDFeeder)*(_xlpm.cm&gt;0)*ISNUMBER(_xlpm.sts)*(_xlpm.hasN=_xlpm.wantN),_xlpm.m,MIN(IF(_xlpm.ok=1,_xlpm.idx)),INDEX(_xlpm.codes,IF(_xlpm.m=0,_xlpm.i,_xlpm.m))),""))</f>
        <v/>
      </c>
      <c r="BY23" s="829" t="str" cm="1">
        <f t="array" ref="BY23">IF($BP23="","",IF($BX23="",$BU23,IFERROR(IF($BV23="AL",_xlfn.XLOOKUP($BX23,Std_Al3_Code,INDEX(Std_Al3_Table,0,2)),IF($G23=1,_xlfn.XLOOKUP($BX23,Std_Cu1_Code,INDEX(Std_Cu1_Table,0,2)),_xlfn.XLOOKUP($BX23,Std_Cu3_Code,INDEX(Std_Cu3_Table,0,2)))),"")))</f>
        <v/>
      </c>
      <c r="BZ23" s="829" t="str" cm="1">
        <f t="array" ref="BZ23">IF($BP23="","",IF($BX23="",$BR23,IFERROR(IF($BV23="AL",_xlfn.XLOOKUP($BX23,Std_Al3_Code,INDEX(Std_Al3_Table,0,4)),IF($G23=1,_xlfn.XLOOKUP($BX23,Std_Cu1_Code,INDEX(Std_Cu1_Table,0,4)),_xlfn.XLOOKUP($BX23,Std_Cu3_Code,INDEX(Std_Cu3_Table,0,4)))),"")))</f>
        <v/>
      </c>
      <c r="CA23" s="829" t="str" cm="1">
        <f t="array" ref="CA23">IF($BP23="","",IF($BX23="",$BQ23,IFERROR(IF($BV23="AL",_xlfn.XLOOKUP($BX23,Std_Al3_Code,INDEX(Std_Al3_Table,0,3)),IF($G23=1,_xlfn.XLOOKUP($BX23,Std_Cu1_Code,INDEX(Std_Cu1_Table,0,3)),_xlfn.XLOOKUP($BX23,Std_Cu3_Code,INDEX(Std_Cu3_Table,0,3)))),"")))</f>
        <v/>
      </c>
      <c r="CB23" s="829" t="str" cm="1">
        <f t="array" ref="CB23">IF($BP23="","",IF($BX23="",$BS23,IFERROR(IF($BV23="AL",_xlfn.XLOOKUP($BX23,Std_Al3_Code,INDEX(Std_Al3_Table,0,5)),IF($G23=1,_xlfn.XLOOKUP($BX23,Std_Cu1_Code,INDEX(Std_Cu1_Table,0,5)),_xlfn.XLOOKUP($BX23,Std_Cu3_Code,INDEX(Std_Cu3_Table,0,5)))),"")))</f>
        <v/>
      </c>
      <c r="CC23" s="829" t="str">
        <f t="shared" si="13"/>
        <v/>
      </c>
      <c r="CD23" s="829" t="str">
        <f t="shared" si="14"/>
        <v/>
      </c>
      <c r="CE23" s="829" t="str">
        <f t="shared" si="15"/>
        <v/>
      </c>
      <c r="CF23" s="829" t="str">
        <f t="shared" si="16"/>
        <v/>
      </c>
      <c r="CG23" s="829" t="str">
        <f t="shared" si="17"/>
        <v/>
      </c>
      <c r="CH23" s="829" t="str">
        <f t="shared" si="18"/>
        <v/>
      </c>
      <c r="CI23" s="829" t="str">
        <f t="shared" si="19"/>
        <v/>
      </c>
      <c r="CJ23" s="829" t="str" cm="1">
        <f t="array" ref="CJ23">IF($B23="","",_xlfn.LET(_xlpm.to,$D23&amp;"",_xlpm.em,IFERROR(INDEX(_xlfn.ANCHORARRAY($BE$4),ROW()-4,6),"")="EMERG",_xlpm.pri,AND(NOT(_xlpm.em),LEFT(_xlpm.to,2)="T-",ISNUMBER(MATCH(MID(_xlpm.to,3,99),Equip_List,0)),ISNA(MATCH(_xlpm.to,Equip_List,0))),IF(_xlpm.pri,MID(_xlpm.to,3,99),_xlpm.to)))</f>
        <v/>
      </c>
      <c r="CK23" s="829" t="str" cm="1">
        <f t="array" ref="CK23">IF($CJ23="","",IF(IFERROR(INDEX(_xlfn.ANCHORARRAY($BE$4),ROW()-4,6),"")="EMERG","E",IF($CJ23&lt;&gt;$D23&amp;"","P","N")))</f>
        <v/>
      </c>
    </row>
    <row r="24" spans="1:89" ht="15" customHeight="1" x14ac:dyDescent="0.35">
      <c r="A24" s="821" t="str">
        <f t="shared" si="7"/>
        <v/>
      </c>
      <c r="B24" s="821" t="str" cm="1">
        <f t="array" ref="B24">IFERROR(IF(INDEX(_xlfn.ANCHORARRAY($BE$4),ROW()-4,2)="","","F-"&amp;INDEX(_xlfn.ANCHORARRAY($BE$4),ROW()-4,2)&amp;IF(IFERROR(INDEX(_xlfn.ANCHORARRAY($BE$4),ROW()-4,6),"")="EMERG","-E","")),"")</f>
        <v/>
      </c>
      <c r="C24" s="821" t="str" cm="1">
        <f t="array" ref="C24">IFERROR(IF($B24="","",INDEX(_xlfn.ANCHORARRAY($BE$4),ROW()-4,1)),"")</f>
        <v/>
      </c>
      <c r="D24" s="821" t="str" cm="1">
        <f t="array" ref="D24">IFERROR(IF($B24="","",INDEX(_xlfn.ANCHORARRAY($BE$4),ROW()-4,2)),"")</f>
        <v/>
      </c>
      <c r="E24" s="806" t="str" cm="1">
        <f t="array" ref="E24">IFERROR(IF($B24="","",INDEX(_xlfn.ANCHORARRAY($BE$4),ROW()-4,3)),"")</f>
        <v/>
      </c>
      <c r="F24" s="822" t="str" cm="1">
        <f t="array" ref="F24">IFERROR(IF($B24="","",INDEX(_xlfn.ANCHORARRAY($BE$4),ROW()-4,4)),"")</f>
        <v/>
      </c>
      <c r="G24" s="823" t="str" cm="1">
        <f t="array" ref="G24">IFERROR(IF($B24="","",INDEX(_xlfn.ANCHORARRAY($BE$4),ROW()-4,5)),"")</f>
        <v/>
      </c>
      <c r="H24" s="824" t="str" cm="1">
        <f t="array" ref="H24">IF($CJ24="","",_xlfn.LET(_xlpm.v,_xlfn.XLOOKUP($CJ24,Equip_List,IF($CK24="E",Equip_EmLen,IF($CK24="P",Equip_XfPriLen,Equip_FdrLen)),""),IF(_xlpm.v="","",_xlpm.v)))</f>
        <v/>
      </c>
      <c r="I24" s="806" t="str">
        <f t="shared" si="0"/>
        <v/>
      </c>
      <c r="J24" s="820"/>
      <c r="K24" s="806" t="str">
        <f>_xlfn.LET(_xlpm.k,IF($I24="","",IF(COUNTIF(UPS!$B$57:$B$64,$C24&amp;"")&gt;0,1.25*MAX($I24,N(_xlfn.XLOOKUP($C24&amp;"",UPS!$B$57:$B$64,UPS!$M$57:$M$64,0))),IF(COUNTIF(UPS!$B$57:$B$64,$D24&amp;"")&gt;0,1.25*MAX($I24,N(_xlfn.XLOOKUP($D24&amp;"",UPS!$B$57:$B$64,UPS!$Q$57:$Q$64,0))),$I24*IF(OR(UPPER($J24)="Y",LEFT($C24,2)="T-",LEFT($D24,2)="T-"),1.25,1)))),IF(_xlpm.k="","",MAX(_xlpm.k,N(IFERROR(_xlfn.XLOOKUP($D24&amp;"",Dashboard!$A$101:$A$350,Dashboard!$O$101:$O$350,0),0)))))</f>
        <v/>
      </c>
      <c r="L24" s="825" t="str">
        <f>IF($CJ24="","",_xlfn.LET(_xlpm.v,UPPER(TRIM(_xlfn.XLOOKUP($CJ24,Equip_List,Equip_FdrMat,"")&amp;"")),IF(_xlpm.v="",UPPER(TRIM(Cfg_FeederMat&amp;"")),_xlpm.v)))</f>
        <v/>
      </c>
      <c r="M24" s="825" t="str">
        <f>IF($CJ24="","",_xlfn.LET(_xlpm.v,TRIM(_xlfn.XLOOKUP($CJ24,Equip_List,Equip_FdrRace,"")&amp;""),IF(_xlpm.v="",Cfg_Conduit&amp;"",_xlpm.v)))</f>
        <v/>
      </c>
      <c r="N24" s="825" t="str">
        <f>IF($CJ24="","",IF(UPPER(TRIM(_xlfn.XLOOKUP($CJ24,Equip_List,Equip_FdrExist,"")&amp;""))="Y","Y",""))</f>
        <v/>
      </c>
      <c r="O24" s="823" t="str">
        <f t="shared" si="8"/>
        <v/>
      </c>
      <c r="P24" s="821" t="str">
        <f t="shared" si="9"/>
        <v/>
      </c>
      <c r="Q24" s="821" t="str">
        <f t="shared" si="10"/>
        <v/>
      </c>
      <c r="R24" s="822" t="str" cm="1">
        <f t="array" ref="R24">IF(K24="","",INDEX(OCPD_List,MATCH(TRUE,OCPD_List&gt;=K24,0)))</f>
        <v/>
      </c>
      <c r="S24" s="821" t="str">
        <f t="shared" si="11"/>
        <v/>
      </c>
      <c r="T24" s="826" t="str">
        <f t="shared" si="1"/>
        <v/>
      </c>
      <c r="U24" s="826" t="str">
        <f t="shared" si="2"/>
        <v/>
      </c>
      <c r="V24" s="827" t="str">
        <f t="shared" si="3"/>
        <v/>
      </c>
      <c r="W24" s="828"/>
      <c r="X24" s="819"/>
      <c r="Y24" s="820"/>
      <c r="Z24" s="820"/>
      <c r="AA24" s="820"/>
      <c r="BN24" s="832" t="str">
        <f>IF($B24="","",IFERROR(_xlfn.XLOOKUP($D24,Dashboard!$A$101:$A$350,Dashboard!$C$101:$C$350),""))</f>
        <v/>
      </c>
      <c r="BO24" s="832" t="str">
        <f t="shared" si="4"/>
        <v/>
      </c>
      <c r="BP24" s="832" t="str" cm="1">
        <f t="array" ref="BP24">IF(OR($B24="",$R24="",NOT(ISNUMBER($R24))),"",IF(AND($BV24="AL",$G24=1),"",_xlfn.LET(_xlpm.codes,IF($BV24="AL",Std_Al3_Code,IF($G24=1,Std_Cu1_Code,Std_Cu3_Code)),_xlpm.amps,IFERROR(--SUBSTITUTE(_xlpm.codes&amp;"","N",""),""),_xlpm.a,MIN(IF(ISNUMBER(_xlpm.amps),IF(_xlpm.amps&gt;=$R24,_xlpm.amps,""),"")),_xlpm.k,IF(_xlpm.a=0,$R24,_xlpm.a),IF($BO24="Y",TEXT(_xlpm.k,"0")&amp;"N",_xlpm.k))))</f>
        <v/>
      </c>
      <c r="BQ24" s="832" t="str" cm="1">
        <f t="array" ref="BQ24">IF($BP24="","",IFERROR(IF($BV24="AL",_xlfn.XLOOKUP($BP24,Std_Al3_Code,INDEX(Std_Al3_Table,0,3)),IF($G24=1,_xlfn.XLOOKUP($BP24,Std_Cu1_Code,INDEX(Std_Cu1_Table,0,3)),_xlfn.XLOOKUP($BP24,Std_Cu3_Code,INDEX(Std_Cu3_Table,0,3)))),""))</f>
        <v/>
      </c>
      <c r="BR24" s="832" t="str" cm="1">
        <f t="array" ref="BR24">IF($BP24="","",IFERROR(IF($BV24="AL",_xlfn.XLOOKUP($BP24,Std_Al3_Code,INDEX(Std_Al3_Table,0,4)),IF($G24=1,_xlfn.XLOOKUP($BP24,Std_Cu1_Code,INDEX(Std_Cu1_Table,0,4)),_xlfn.XLOOKUP($BP24,Std_Cu3_Code,INDEX(Std_Cu3_Table,0,4)))),""))</f>
        <v/>
      </c>
      <c r="BS24" s="832" t="str" cm="1">
        <f t="array" ref="BS24">IF($BP24="","",IFERROR(IF($BV24="AL",_xlfn.XLOOKUP($BP24,Std_Al3_Code,INDEX(Std_Al3_Table,0,5)),IF($G24=1,_xlfn.XLOOKUP($BP24,Std_Cu1_Code,INDEX(Std_Cu1_Table,0,5)),_xlfn.XLOOKUP($BP24,Std_Cu3_Code,INDEX(Std_Cu3_Table,0,5)))),""))</f>
        <v/>
      </c>
      <c r="BT24" s="832" t="str">
        <f t="shared" si="5"/>
        <v/>
      </c>
      <c r="BU24" s="832" t="str" cm="1">
        <f t="array" ref="BU24">IF($BP24="","",IFERROR(IF($BV24="AL",_xlfn.XLOOKUP($BP24,Std_Al3_Code,INDEX(Std_Al3_Table,0,2)),IF($G24=1,_xlfn.XLOOKUP($BP24,Std_Cu1_Code,INDEX(Std_Cu1_Table,0,2)),_xlfn.XLOOKUP($BP24,Std_Cu3_Code,INDEX(Std_Cu3_Table,0,2)))),""))</f>
        <v/>
      </c>
      <c r="BV24" s="829" t="str">
        <f t="shared" si="6"/>
        <v/>
      </c>
      <c r="BW24" s="829" t="str">
        <f t="shared" si="12"/>
        <v/>
      </c>
      <c r="BX24" s="829" t="str" cm="1">
        <f t="array" ref="BX24">IF(OR($BP24="",$H24="",$I24="",$F24="",$BW24=""),"",IFERROR(_xlfn.LET(_xlpm.codes,IF($BV24="AL",Std_Al3_Code,IF($G24=1,Std_Cu1_Code,Std_Cu3_Code)),_xlpm.tbl,IF($BV24="AL",Std_Al3_Table,IF($G24=1,Std_Cu1_Table,Std_Cu3_Table)),_xlpm.i,MATCH($BP24,_xlpm.codes,0),_xlpm.idx,_xlfn.SEQUENCE(ROWS(_xlpm.codes)),_xlpm.cnd,INDEX(_xlpm.tbl,0,4),_xlpm.sts,INDEX(_xlpm.tbl,0,2),_xlpm.sz,IFERROR(_xlfn.TEXTBEFORE(_xlfn.TEXTAFTER(_xlpm.cnd,"#"),","),IFERROR(_xlfn.TEXTAFTER(_xlpm.cnd,"#"),"")),_xlpm.cm,IFERROR(_xlfn.XLOOKUP(TRIM(_xlpm.sz),Ampacity_Size,Ampacity_CM),0),_xlpm.mult,IF($G24=3,SQRT3,2),_xlpm.kk,IF($BV24="AL",K_Al,K_Cu),_xlpm.vd,IF(_xlpm.cm*IF(ISNUMBER(_xlpm.sts),_xlpm.sts,0)=0,9,_xlpm.mult*_xlpm.kk*$I24*$H24/(_xlpm.cm*_xlpm.sts)/$F24),_xlpm.hasN,--(RIGHT(_xlpm.codes&amp;"",1)="N"),_xlpm.wantN,--(RIGHT($BP24&amp;"",1)="N"),_xlpm.ok,(_xlpm.idx&gt;=_xlpm.i)*(_xlpm.vd&lt;=Cfg_VDFeeder)*(_xlpm.cm&gt;0)*ISNUMBER(_xlpm.sts)*(_xlpm.hasN=_xlpm.wantN),_xlpm.m,MIN(IF(_xlpm.ok=1,_xlpm.idx)),INDEX(_xlpm.codes,IF(_xlpm.m=0,_xlpm.i,_xlpm.m))),""))</f>
        <v/>
      </c>
      <c r="BY24" s="829" t="str" cm="1">
        <f t="array" ref="BY24">IF($BP24="","",IF($BX24="",$BU24,IFERROR(IF($BV24="AL",_xlfn.XLOOKUP($BX24,Std_Al3_Code,INDEX(Std_Al3_Table,0,2)),IF($G24=1,_xlfn.XLOOKUP($BX24,Std_Cu1_Code,INDEX(Std_Cu1_Table,0,2)),_xlfn.XLOOKUP($BX24,Std_Cu3_Code,INDEX(Std_Cu3_Table,0,2)))),"")))</f>
        <v/>
      </c>
      <c r="BZ24" s="829" t="str" cm="1">
        <f t="array" ref="BZ24">IF($BP24="","",IF($BX24="",$BR24,IFERROR(IF($BV24="AL",_xlfn.XLOOKUP($BX24,Std_Al3_Code,INDEX(Std_Al3_Table,0,4)),IF($G24=1,_xlfn.XLOOKUP($BX24,Std_Cu1_Code,INDEX(Std_Cu1_Table,0,4)),_xlfn.XLOOKUP($BX24,Std_Cu3_Code,INDEX(Std_Cu3_Table,0,4)))),"")))</f>
        <v/>
      </c>
      <c r="CA24" s="829" t="str" cm="1">
        <f t="array" ref="CA24">IF($BP24="","",IF($BX24="",$BQ24,IFERROR(IF($BV24="AL",_xlfn.XLOOKUP($BX24,Std_Al3_Code,INDEX(Std_Al3_Table,0,3)),IF($G24=1,_xlfn.XLOOKUP($BX24,Std_Cu1_Code,INDEX(Std_Cu1_Table,0,3)),_xlfn.XLOOKUP($BX24,Std_Cu3_Code,INDEX(Std_Cu3_Table,0,3)))),"")))</f>
        <v/>
      </c>
      <c r="CB24" s="829" t="str" cm="1">
        <f t="array" ref="CB24">IF($BP24="","",IF($BX24="",$BS24,IFERROR(IF($BV24="AL",_xlfn.XLOOKUP($BX24,Std_Al3_Code,INDEX(Std_Al3_Table,0,5)),IF($G24=1,_xlfn.XLOOKUP($BX24,Std_Cu1_Code,INDEX(Std_Cu1_Table,0,5)),_xlfn.XLOOKUP($BX24,Std_Cu3_Code,INDEX(Std_Cu3_Table,0,5)))),"")))</f>
        <v/>
      </c>
      <c r="CC24" s="829" t="str">
        <f t="shared" si="13"/>
        <v/>
      </c>
      <c r="CD24" s="829" t="str">
        <f t="shared" si="14"/>
        <v/>
      </c>
      <c r="CE24" s="829" t="str">
        <f t="shared" si="15"/>
        <v/>
      </c>
      <c r="CF24" s="829" t="str">
        <f t="shared" si="16"/>
        <v/>
      </c>
      <c r="CG24" s="829" t="str">
        <f t="shared" si="17"/>
        <v/>
      </c>
      <c r="CH24" s="829" t="str">
        <f t="shared" si="18"/>
        <v/>
      </c>
      <c r="CI24" s="829" t="str">
        <f t="shared" si="19"/>
        <v/>
      </c>
      <c r="CJ24" s="829" t="str" cm="1">
        <f t="array" ref="CJ24">IF($B24="","",_xlfn.LET(_xlpm.to,$D24&amp;"",_xlpm.em,IFERROR(INDEX(_xlfn.ANCHORARRAY($BE$4),ROW()-4,6),"")="EMERG",_xlpm.pri,AND(NOT(_xlpm.em),LEFT(_xlpm.to,2)="T-",ISNUMBER(MATCH(MID(_xlpm.to,3,99),Equip_List,0)),ISNA(MATCH(_xlpm.to,Equip_List,0))),IF(_xlpm.pri,MID(_xlpm.to,3,99),_xlpm.to)))</f>
        <v/>
      </c>
      <c r="CK24" s="829" t="str" cm="1">
        <f t="array" ref="CK24">IF($CJ24="","",IF(IFERROR(INDEX(_xlfn.ANCHORARRAY($BE$4),ROW()-4,6),"")="EMERG","E",IF($CJ24&lt;&gt;$D24&amp;"","P","N")))</f>
        <v/>
      </c>
    </row>
    <row r="25" spans="1:89" ht="15" customHeight="1" x14ac:dyDescent="0.35">
      <c r="A25" s="821" t="str">
        <f t="shared" si="7"/>
        <v/>
      </c>
      <c r="B25" s="821" t="str" cm="1">
        <f t="array" ref="B25">IFERROR(IF(INDEX(_xlfn.ANCHORARRAY($BE$4),ROW()-4,2)="","","F-"&amp;INDEX(_xlfn.ANCHORARRAY($BE$4),ROW()-4,2)&amp;IF(IFERROR(INDEX(_xlfn.ANCHORARRAY($BE$4),ROW()-4,6),"")="EMERG","-E","")),"")</f>
        <v/>
      </c>
      <c r="C25" s="821" t="str" cm="1">
        <f t="array" ref="C25">IFERROR(IF($B25="","",INDEX(_xlfn.ANCHORARRAY($BE$4),ROW()-4,1)),"")</f>
        <v/>
      </c>
      <c r="D25" s="821" t="str" cm="1">
        <f t="array" ref="D25">IFERROR(IF($B25="","",INDEX(_xlfn.ANCHORARRAY($BE$4),ROW()-4,2)),"")</f>
        <v/>
      </c>
      <c r="E25" s="806" t="str" cm="1">
        <f t="array" ref="E25">IFERROR(IF($B25="","",INDEX(_xlfn.ANCHORARRAY($BE$4),ROW()-4,3)),"")</f>
        <v/>
      </c>
      <c r="F25" s="822" t="str" cm="1">
        <f t="array" ref="F25">IFERROR(IF($B25="","",INDEX(_xlfn.ANCHORARRAY($BE$4),ROW()-4,4)),"")</f>
        <v/>
      </c>
      <c r="G25" s="823" t="str" cm="1">
        <f t="array" ref="G25">IFERROR(IF($B25="","",INDEX(_xlfn.ANCHORARRAY($BE$4),ROW()-4,5)),"")</f>
        <v/>
      </c>
      <c r="H25" s="824" t="str" cm="1">
        <f t="array" ref="H25">IF($CJ25="","",_xlfn.LET(_xlpm.v,_xlfn.XLOOKUP($CJ25,Equip_List,IF($CK25="E",Equip_EmLen,IF($CK25="P",Equip_XfPriLen,Equip_FdrLen)),""),IF(_xlpm.v="","",_xlpm.v)))</f>
        <v/>
      </c>
      <c r="I25" s="806" t="str">
        <f t="shared" si="0"/>
        <v/>
      </c>
      <c r="J25" s="820"/>
      <c r="K25" s="806" t="str">
        <f>_xlfn.LET(_xlpm.k,IF($I25="","",IF(COUNTIF(UPS!$B$57:$B$64,$C25&amp;"")&gt;0,1.25*MAX($I25,N(_xlfn.XLOOKUP($C25&amp;"",UPS!$B$57:$B$64,UPS!$M$57:$M$64,0))),IF(COUNTIF(UPS!$B$57:$B$64,$D25&amp;"")&gt;0,1.25*MAX($I25,N(_xlfn.XLOOKUP($D25&amp;"",UPS!$B$57:$B$64,UPS!$Q$57:$Q$64,0))),$I25*IF(OR(UPPER($J25)="Y",LEFT($C25,2)="T-",LEFT($D25,2)="T-"),1.25,1)))),IF(_xlpm.k="","",MAX(_xlpm.k,N(IFERROR(_xlfn.XLOOKUP($D25&amp;"",Dashboard!$A$101:$A$350,Dashboard!$O$101:$O$350,0),0)))))</f>
        <v/>
      </c>
      <c r="L25" s="825" t="str">
        <f>IF($CJ25="","",_xlfn.LET(_xlpm.v,UPPER(TRIM(_xlfn.XLOOKUP($CJ25,Equip_List,Equip_FdrMat,"")&amp;"")),IF(_xlpm.v="",UPPER(TRIM(Cfg_FeederMat&amp;"")),_xlpm.v)))</f>
        <v/>
      </c>
      <c r="M25" s="825" t="str">
        <f>IF($CJ25="","",_xlfn.LET(_xlpm.v,TRIM(_xlfn.XLOOKUP($CJ25,Equip_List,Equip_FdrRace,"")&amp;""),IF(_xlpm.v="",Cfg_Conduit&amp;"",_xlpm.v)))</f>
        <v/>
      </c>
      <c r="N25" s="825" t="str">
        <f>IF($CJ25="","",IF(UPPER(TRIM(_xlfn.XLOOKUP($CJ25,Equip_List,Equip_FdrExist,"")&amp;""))="Y","Y",""))</f>
        <v/>
      </c>
      <c r="O25" s="823" t="str">
        <f t="shared" si="8"/>
        <v/>
      </c>
      <c r="P25" s="821" t="str">
        <f t="shared" si="9"/>
        <v/>
      </c>
      <c r="Q25" s="821" t="str">
        <f t="shared" si="10"/>
        <v/>
      </c>
      <c r="R25" s="822" t="str" cm="1">
        <f t="array" ref="R25">IF(K25="","",INDEX(OCPD_List,MATCH(TRUE,OCPD_List&gt;=K25,0)))</f>
        <v/>
      </c>
      <c r="S25" s="821" t="str">
        <f t="shared" si="11"/>
        <v/>
      </c>
      <c r="T25" s="826" t="str">
        <f t="shared" si="1"/>
        <v/>
      </c>
      <c r="U25" s="826" t="str">
        <f t="shared" si="2"/>
        <v/>
      </c>
      <c r="V25" s="827" t="str">
        <f t="shared" si="3"/>
        <v/>
      </c>
      <c r="W25" s="828"/>
      <c r="X25" s="819"/>
      <c r="Y25" s="820"/>
      <c r="Z25" s="820"/>
      <c r="AA25" s="820"/>
      <c r="BN25" s="832" t="str">
        <f>IF($B25="","",IFERROR(_xlfn.XLOOKUP($D25,Dashboard!$A$101:$A$350,Dashboard!$C$101:$C$350),""))</f>
        <v/>
      </c>
      <c r="BO25" s="832" t="str">
        <f t="shared" si="4"/>
        <v/>
      </c>
      <c r="BP25" s="832" t="str" cm="1">
        <f t="array" ref="BP25">IF(OR($B25="",$R25="",NOT(ISNUMBER($R25))),"",IF(AND($BV25="AL",$G25=1),"",_xlfn.LET(_xlpm.codes,IF($BV25="AL",Std_Al3_Code,IF($G25=1,Std_Cu1_Code,Std_Cu3_Code)),_xlpm.amps,IFERROR(--SUBSTITUTE(_xlpm.codes&amp;"","N",""),""),_xlpm.a,MIN(IF(ISNUMBER(_xlpm.amps),IF(_xlpm.amps&gt;=$R25,_xlpm.amps,""),"")),_xlpm.k,IF(_xlpm.a=0,$R25,_xlpm.a),IF($BO25="Y",TEXT(_xlpm.k,"0")&amp;"N",_xlpm.k))))</f>
        <v/>
      </c>
      <c r="BQ25" s="832" t="str" cm="1">
        <f t="array" ref="BQ25">IF($BP25="","",IFERROR(IF($BV25="AL",_xlfn.XLOOKUP($BP25,Std_Al3_Code,INDEX(Std_Al3_Table,0,3)),IF($G25=1,_xlfn.XLOOKUP($BP25,Std_Cu1_Code,INDEX(Std_Cu1_Table,0,3)),_xlfn.XLOOKUP($BP25,Std_Cu3_Code,INDEX(Std_Cu3_Table,0,3)))),""))</f>
        <v/>
      </c>
      <c r="BR25" s="832" t="str" cm="1">
        <f t="array" ref="BR25">IF($BP25="","",IFERROR(IF($BV25="AL",_xlfn.XLOOKUP($BP25,Std_Al3_Code,INDEX(Std_Al3_Table,0,4)),IF($G25=1,_xlfn.XLOOKUP($BP25,Std_Cu1_Code,INDEX(Std_Cu1_Table,0,4)),_xlfn.XLOOKUP($BP25,Std_Cu3_Code,INDEX(Std_Cu3_Table,0,4)))),""))</f>
        <v/>
      </c>
      <c r="BS25" s="832" t="str" cm="1">
        <f t="array" ref="BS25">IF($BP25="","",IFERROR(IF($BV25="AL",_xlfn.XLOOKUP($BP25,Std_Al3_Code,INDEX(Std_Al3_Table,0,5)),IF($G25=1,_xlfn.XLOOKUP($BP25,Std_Cu1_Code,INDEX(Std_Cu1_Table,0,5)),_xlfn.XLOOKUP($BP25,Std_Cu3_Code,INDEX(Std_Cu3_Table,0,5)))),""))</f>
        <v/>
      </c>
      <c r="BT25" s="832" t="str">
        <f t="shared" si="5"/>
        <v/>
      </c>
      <c r="BU25" s="832" t="str" cm="1">
        <f t="array" ref="BU25">IF($BP25="","",IFERROR(IF($BV25="AL",_xlfn.XLOOKUP($BP25,Std_Al3_Code,INDEX(Std_Al3_Table,0,2)),IF($G25=1,_xlfn.XLOOKUP($BP25,Std_Cu1_Code,INDEX(Std_Cu1_Table,0,2)),_xlfn.XLOOKUP($BP25,Std_Cu3_Code,INDEX(Std_Cu3_Table,0,2)))),""))</f>
        <v/>
      </c>
      <c r="BV25" s="829" t="str">
        <f t="shared" si="6"/>
        <v/>
      </c>
      <c r="BW25" s="829" t="str">
        <f t="shared" si="12"/>
        <v/>
      </c>
      <c r="BX25" s="829" t="str" cm="1">
        <f t="array" ref="BX25">IF(OR($BP25="",$H25="",$I25="",$F25="",$BW25=""),"",IFERROR(_xlfn.LET(_xlpm.codes,IF($BV25="AL",Std_Al3_Code,IF($G25=1,Std_Cu1_Code,Std_Cu3_Code)),_xlpm.tbl,IF($BV25="AL",Std_Al3_Table,IF($G25=1,Std_Cu1_Table,Std_Cu3_Table)),_xlpm.i,MATCH($BP25,_xlpm.codes,0),_xlpm.idx,_xlfn.SEQUENCE(ROWS(_xlpm.codes)),_xlpm.cnd,INDEX(_xlpm.tbl,0,4),_xlpm.sts,INDEX(_xlpm.tbl,0,2),_xlpm.sz,IFERROR(_xlfn.TEXTBEFORE(_xlfn.TEXTAFTER(_xlpm.cnd,"#"),","),IFERROR(_xlfn.TEXTAFTER(_xlpm.cnd,"#"),"")),_xlpm.cm,IFERROR(_xlfn.XLOOKUP(TRIM(_xlpm.sz),Ampacity_Size,Ampacity_CM),0),_xlpm.mult,IF($G25=3,SQRT3,2),_xlpm.kk,IF($BV25="AL",K_Al,K_Cu),_xlpm.vd,IF(_xlpm.cm*IF(ISNUMBER(_xlpm.sts),_xlpm.sts,0)=0,9,_xlpm.mult*_xlpm.kk*$I25*$H25/(_xlpm.cm*_xlpm.sts)/$F25),_xlpm.hasN,--(RIGHT(_xlpm.codes&amp;"",1)="N"),_xlpm.wantN,--(RIGHT($BP25&amp;"",1)="N"),_xlpm.ok,(_xlpm.idx&gt;=_xlpm.i)*(_xlpm.vd&lt;=Cfg_VDFeeder)*(_xlpm.cm&gt;0)*ISNUMBER(_xlpm.sts)*(_xlpm.hasN=_xlpm.wantN),_xlpm.m,MIN(IF(_xlpm.ok=1,_xlpm.idx)),INDEX(_xlpm.codes,IF(_xlpm.m=0,_xlpm.i,_xlpm.m))),""))</f>
        <v/>
      </c>
      <c r="BY25" s="829" t="str" cm="1">
        <f t="array" ref="BY25">IF($BP25="","",IF($BX25="",$BU25,IFERROR(IF($BV25="AL",_xlfn.XLOOKUP($BX25,Std_Al3_Code,INDEX(Std_Al3_Table,0,2)),IF($G25=1,_xlfn.XLOOKUP($BX25,Std_Cu1_Code,INDEX(Std_Cu1_Table,0,2)),_xlfn.XLOOKUP($BX25,Std_Cu3_Code,INDEX(Std_Cu3_Table,0,2)))),"")))</f>
        <v/>
      </c>
      <c r="BZ25" s="829" t="str" cm="1">
        <f t="array" ref="BZ25">IF($BP25="","",IF($BX25="",$BR25,IFERROR(IF($BV25="AL",_xlfn.XLOOKUP($BX25,Std_Al3_Code,INDEX(Std_Al3_Table,0,4)),IF($G25=1,_xlfn.XLOOKUP($BX25,Std_Cu1_Code,INDEX(Std_Cu1_Table,0,4)),_xlfn.XLOOKUP($BX25,Std_Cu3_Code,INDEX(Std_Cu3_Table,0,4)))),"")))</f>
        <v/>
      </c>
      <c r="CA25" s="829" t="str" cm="1">
        <f t="array" ref="CA25">IF($BP25="","",IF($BX25="",$BQ25,IFERROR(IF($BV25="AL",_xlfn.XLOOKUP($BX25,Std_Al3_Code,INDEX(Std_Al3_Table,0,3)),IF($G25=1,_xlfn.XLOOKUP($BX25,Std_Cu1_Code,INDEX(Std_Cu1_Table,0,3)),_xlfn.XLOOKUP($BX25,Std_Cu3_Code,INDEX(Std_Cu3_Table,0,3)))),"")))</f>
        <v/>
      </c>
      <c r="CB25" s="829" t="str" cm="1">
        <f t="array" ref="CB25">IF($BP25="","",IF($BX25="",$BS25,IFERROR(IF($BV25="AL",_xlfn.XLOOKUP($BX25,Std_Al3_Code,INDEX(Std_Al3_Table,0,5)),IF($G25=1,_xlfn.XLOOKUP($BX25,Std_Cu1_Code,INDEX(Std_Cu1_Table,0,5)),_xlfn.XLOOKUP($BX25,Std_Cu3_Code,INDEX(Std_Cu3_Table,0,5)))),"")))</f>
        <v/>
      </c>
      <c r="CC25" s="829" t="str">
        <f t="shared" si="13"/>
        <v/>
      </c>
      <c r="CD25" s="829" t="str">
        <f t="shared" si="14"/>
        <v/>
      </c>
      <c r="CE25" s="829" t="str">
        <f t="shared" si="15"/>
        <v/>
      </c>
      <c r="CF25" s="829" t="str">
        <f t="shared" si="16"/>
        <v/>
      </c>
      <c r="CG25" s="829" t="str">
        <f t="shared" si="17"/>
        <v/>
      </c>
      <c r="CH25" s="829" t="str">
        <f t="shared" si="18"/>
        <v/>
      </c>
      <c r="CI25" s="829" t="str">
        <f t="shared" si="19"/>
        <v/>
      </c>
      <c r="CJ25" s="829" t="str" cm="1">
        <f t="array" ref="CJ25">IF($B25="","",_xlfn.LET(_xlpm.to,$D25&amp;"",_xlpm.em,IFERROR(INDEX(_xlfn.ANCHORARRAY($BE$4),ROW()-4,6),"")="EMERG",_xlpm.pri,AND(NOT(_xlpm.em),LEFT(_xlpm.to,2)="T-",ISNUMBER(MATCH(MID(_xlpm.to,3,99),Equip_List,0)),ISNA(MATCH(_xlpm.to,Equip_List,0))),IF(_xlpm.pri,MID(_xlpm.to,3,99),_xlpm.to)))</f>
        <v/>
      </c>
      <c r="CK25" s="829" t="str" cm="1">
        <f t="array" ref="CK25">IF($CJ25="","",IF(IFERROR(INDEX(_xlfn.ANCHORARRAY($BE$4),ROW()-4,6),"")="EMERG","E",IF($CJ25&lt;&gt;$D25&amp;"","P","N")))</f>
        <v/>
      </c>
    </row>
    <row r="26" spans="1:89" ht="15" customHeight="1" x14ac:dyDescent="0.35">
      <c r="A26" s="821" t="str">
        <f t="shared" si="7"/>
        <v/>
      </c>
      <c r="B26" s="821" t="str" cm="1">
        <f t="array" ref="B26">IFERROR(IF(INDEX(_xlfn.ANCHORARRAY($BE$4),ROW()-4,2)="","","F-"&amp;INDEX(_xlfn.ANCHORARRAY($BE$4),ROW()-4,2)&amp;IF(IFERROR(INDEX(_xlfn.ANCHORARRAY($BE$4),ROW()-4,6),"")="EMERG","-E","")),"")</f>
        <v/>
      </c>
      <c r="C26" s="821" t="str" cm="1">
        <f t="array" ref="C26">IFERROR(IF($B26="","",INDEX(_xlfn.ANCHORARRAY($BE$4),ROW()-4,1)),"")</f>
        <v/>
      </c>
      <c r="D26" s="821" t="str" cm="1">
        <f t="array" ref="D26">IFERROR(IF($B26="","",INDEX(_xlfn.ANCHORARRAY($BE$4),ROW()-4,2)),"")</f>
        <v/>
      </c>
      <c r="E26" s="806" t="str" cm="1">
        <f t="array" ref="E26">IFERROR(IF($B26="","",INDEX(_xlfn.ANCHORARRAY($BE$4),ROW()-4,3)),"")</f>
        <v/>
      </c>
      <c r="F26" s="822" t="str" cm="1">
        <f t="array" ref="F26">IFERROR(IF($B26="","",INDEX(_xlfn.ANCHORARRAY($BE$4),ROW()-4,4)),"")</f>
        <v/>
      </c>
      <c r="G26" s="823" t="str" cm="1">
        <f t="array" ref="G26">IFERROR(IF($B26="","",INDEX(_xlfn.ANCHORARRAY($BE$4),ROW()-4,5)),"")</f>
        <v/>
      </c>
      <c r="H26" s="824" t="str" cm="1">
        <f t="array" ref="H26">IF($CJ26="","",_xlfn.LET(_xlpm.v,_xlfn.XLOOKUP($CJ26,Equip_List,IF($CK26="E",Equip_EmLen,IF($CK26="P",Equip_XfPriLen,Equip_FdrLen)),""),IF(_xlpm.v="","",_xlpm.v)))</f>
        <v/>
      </c>
      <c r="I26" s="806" t="str">
        <f t="shared" si="0"/>
        <v/>
      </c>
      <c r="J26" s="820"/>
      <c r="K26" s="806" t="str">
        <f>_xlfn.LET(_xlpm.k,IF($I26="","",IF(COUNTIF(UPS!$B$57:$B$64,$C26&amp;"")&gt;0,1.25*MAX($I26,N(_xlfn.XLOOKUP($C26&amp;"",UPS!$B$57:$B$64,UPS!$M$57:$M$64,0))),IF(COUNTIF(UPS!$B$57:$B$64,$D26&amp;"")&gt;0,1.25*MAX($I26,N(_xlfn.XLOOKUP($D26&amp;"",UPS!$B$57:$B$64,UPS!$Q$57:$Q$64,0))),$I26*IF(OR(UPPER($J26)="Y",LEFT($C26,2)="T-",LEFT($D26,2)="T-"),1.25,1)))),IF(_xlpm.k="","",MAX(_xlpm.k,N(IFERROR(_xlfn.XLOOKUP($D26&amp;"",Dashboard!$A$101:$A$350,Dashboard!$O$101:$O$350,0),0)))))</f>
        <v/>
      </c>
      <c r="L26" s="825" t="str">
        <f>IF($CJ26="","",_xlfn.LET(_xlpm.v,UPPER(TRIM(_xlfn.XLOOKUP($CJ26,Equip_List,Equip_FdrMat,"")&amp;"")),IF(_xlpm.v="",UPPER(TRIM(Cfg_FeederMat&amp;"")),_xlpm.v)))</f>
        <v/>
      </c>
      <c r="M26" s="825" t="str">
        <f>IF($CJ26="","",_xlfn.LET(_xlpm.v,TRIM(_xlfn.XLOOKUP($CJ26,Equip_List,Equip_FdrRace,"")&amp;""),IF(_xlpm.v="",Cfg_Conduit&amp;"",_xlpm.v)))</f>
        <v/>
      </c>
      <c r="N26" s="825" t="str">
        <f>IF($CJ26="","",IF(UPPER(TRIM(_xlfn.XLOOKUP($CJ26,Equip_List,Equip_FdrExist,"")&amp;""))="Y","Y",""))</f>
        <v/>
      </c>
      <c r="O26" s="823" t="str">
        <f t="shared" si="8"/>
        <v/>
      </c>
      <c r="P26" s="821" t="str">
        <f t="shared" si="9"/>
        <v/>
      </c>
      <c r="Q26" s="821" t="str">
        <f t="shared" si="10"/>
        <v/>
      </c>
      <c r="R26" s="822" t="str" cm="1">
        <f t="array" ref="R26">IF(K26="","",INDEX(OCPD_List,MATCH(TRUE,OCPD_List&gt;=K26,0)))</f>
        <v/>
      </c>
      <c r="S26" s="821" t="str">
        <f t="shared" si="11"/>
        <v/>
      </c>
      <c r="T26" s="826" t="str">
        <f t="shared" si="1"/>
        <v/>
      </c>
      <c r="U26" s="826" t="str">
        <f t="shared" si="2"/>
        <v/>
      </c>
      <c r="V26" s="827" t="str">
        <f t="shared" si="3"/>
        <v/>
      </c>
      <c r="W26" s="828"/>
      <c r="X26" s="819"/>
      <c r="Y26" s="820"/>
      <c r="Z26" s="820"/>
      <c r="AA26" s="820"/>
      <c r="BN26" s="832" t="str">
        <f>IF($B26="","",IFERROR(_xlfn.XLOOKUP($D26,Dashboard!$A$101:$A$350,Dashboard!$C$101:$C$350),""))</f>
        <v/>
      </c>
      <c r="BO26" s="832" t="str">
        <f t="shared" si="4"/>
        <v/>
      </c>
      <c r="BP26" s="832" t="str" cm="1">
        <f t="array" ref="BP26">IF(OR($B26="",$R26="",NOT(ISNUMBER($R26))),"",IF(AND($BV26="AL",$G26=1),"",_xlfn.LET(_xlpm.codes,IF($BV26="AL",Std_Al3_Code,IF($G26=1,Std_Cu1_Code,Std_Cu3_Code)),_xlpm.amps,IFERROR(--SUBSTITUTE(_xlpm.codes&amp;"","N",""),""),_xlpm.a,MIN(IF(ISNUMBER(_xlpm.amps),IF(_xlpm.amps&gt;=$R26,_xlpm.amps,""),"")),_xlpm.k,IF(_xlpm.a=0,$R26,_xlpm.a),IF($BO26="Y",TEXT(_xlpm.k,"0")&amp;"N",_xlpm.k))))</f>
        <v/>
      </c>
      <c r="BQ26" s="832" t="str" cm="1">
        <f t="array" ref="BQ26">IF($BP26="","",IFERROR(IF($BV26="AL",_xlfn.XLOOKUP($BP26,Std_Al3_Code,INDEX(Std_Al3_Table,0,3)),IF($G26=1,_xlfn.XLOOKUP($BP26,Std_Cu1_Code,INDEX(Std_Cu1_Table,0,3)),_xlfn.XLOOKUP($BP26,Std_Cu3_Code,INDEX(Std_Cu3_Table,0,3)))),""))</f>
        <v/>
      </c>
      <c r="BR26" s="832" t="str" cm="1">
        <f t="array" ref="BR26">IF($BP26="","",IFERROR(IF($BV26="AL",_xlfn.XLOOKUP($BP26,Std_Al3_Code,INDEX(Std_Al3_Table,0,4)),IF($G26=1,_xlfn.XLOOKUP($BP26,Std_Cu1_Code,INDEX(Std_Cu1_Table,0,4)),_xlfn.XLOOKUP($BP26,Std_Cu3_Code,INDEX(Std_Cu3_Table,0,4)))),""))</f>
        <v/>
      </c>
      <c r="BS26" s="832" t="str" cm="1">
        <f t="array" ref="BS26">IF($BP26="","",IFERROR(IF($BV26="AL",_xlfn.XLOOKUP($BP26,Std_Al3_Code,INDEX(Std_Al3_Table,0,5)),IF($G26=1,_xlfn.XLOOKUP($BP26,Std_Cu1_Code,INDEX(Std_Cu1_Table,0,5)),_xlfn.XLOOKUP($BP26,Std_Cu3_Code,INDEX(Std_Cu3_Table,0,5)))),""))</f>
        <v/>
      </c>
      <c r="BT26" s="832" t="str">
        <f t="shared" si="5"/>
        <v/>
      </c>
      <c r="BU26" s="832" t="str" cm="1">
        <f t="array" ref="BU26">IF($BP26="","",IFERROR(IF($BV26="AL",_xlfn.XLOOKUP($BP26,Std_Al3_Code,INDEX(Std_Al3_Table,0,2)),IF($G26=1,_xlfn.XLOOKUP($BP26,Std_Cu1_Code,INDEX(Std_Cu1_Table,0,2)),_xlfn.XLOOKUP($BP26,Std_Cu3_Code,INDEX(Std_Cu3_Table,0,2)))),""))</f>
        <v/>
      </c>
      <c r="BV26" s="829" t="str">
        <f t="shared" si="6"/>
        <v/>
      </c>
      <c r="BW26" s="829" t="str">
        <f t="shared" si="12"/>
        <v/>
      </c>
      <c r="BX26" s="829" t="str" cm="1">
        <f t="array" ref="BX26">IF(OR($BP26="",$H26="",$I26="",$F26="",$BW26=""),"",IFERROR(_xlfn.LET(_xlpm.codes,IF($BV26="AL",Std_Al3_Code,IF($G26=1,Std_Cu1_Code,Std_Cu3_Code)),_xlpm.tbl,IF($BV26="AL",Std_Al3_Table,IF($G26=1,Std_Cu1_Table,Std_Cu3_Table)),_xlpm.i,MATCH($BP26,_xlpm.codes,0),_xlpm.idx,_xlfn.SEQUENCE(ROWS(_xlpm.codes)),_xlpm.cnd,INDEX(_xlpm.tbl,0,4),_xlpm.sts,INDEX(_xlpm.tbl,0,2),_xlpm.sz,IFERROR(_xlfn.TEXTBEFORE(_xlfn.TEXTAFTER(_xlpm.cnd,"#"),","),IFERROR(_xlfn.TEXTAFTER(_xlpm.cnd,"#"),"")),_xlpm.cm,IFERROR(_xlfn.XLOOKUP(TRIM(_xlpm.sz),Ampacity_Size,Ampacity_CM),0),_xlpm.mult,IF($G26=3,SQRT3,2),_xlpm.kk,IF($BV26="AL",K_Al,K_Cu),_xlpm.vd,IF(_xlpm.cm*IF(ISNUMBER(_xlpm.sts),_xlpm.sts,0)=0,9,_xlpm.mult*_xlpm.kk*$I26*$H26/(_xlpm.cm*_xlpm.sts)/$F26),_xlpm.hasN,--(RIGHT(_xlpm.codes&amp;"",1)="N"),_xlpm.wantN,--(RIGHT($BP26&amp;"",1)="N"),_xlpm.ok,(_xlpm.idx&gt;=_xlpm.i)*(_xlpm.vd&lt;=Cfg_VDFeeder)*(_xlpm.cm&gt;0)*ISNUMBER(_xlpm.sts)*(_xlpm.hasN=_xlpm.wantN),_xlpm.m,MIN(IF(_xlpm.ok=1,_xlpm.idx)),INDEX(_xlpm.codes,IF(_xlpm.m=0,_xlpm.i,_xlpm.m))),""))</f>
        <v/>
      </c>
      <c r="BY26" s="829" t="str" cm="1">
        <f t="array" ref="BY26">IF($BP26="","",IF($BX26="",$BU26,IFERROR(IF($BV26="AL",_xlfn.XLOOKUP($BX26,Std_Al3_Code,INDEX(Std_Al3_Table,0,2)),IF($G26=1,_xlfn.XLOOKUP($BX26,Std_Cu1_Code,INDEX(Std_Cu1_Table,0,2)),_xlfn.XLOOKUP($BX26,Std_Cu3_Code,INDEX(Std_Cu3_Table,0,2)))),"")))</f>
        <v/>
      </c>
      <c r="BZ26" s="829" t="str" cm="1">
        <f t="array" ref="BZ26">IF($BP26="","",IF($BX26="",$BR26,IFERROR(IF($BV26="AL",_xlfn.XLOOKUP($BX26,Std_Al3_Code,INDEX(Std_Al3_Table,0,4)),IF($G26=1,_xlfn.XLOOKUP($BX26,Std_Cu1_Code,INDEX(Std_Cu1_Table,0,4)),_xlfn.XLOOKUP($BX26,Std_Cu3_Code,INDEX(Std_Cu3_Table,0,4)))),"")))</f>
        <v/>
      </c>
      <c r="CA26" s="829" t="str" cm="1">
        <f t="array" ref="CA26">IF($BP26="","",IF($BX26="",$BQ26,IFERROR(IF($BV26="AL",_xlfn.XLOOKUP($BX26,Std_Al3_Code,INDEX(Std_Al3_Table,0,3)),IF($G26=1,_xlfn.XLOOKUP($BX26,Std_Cu1_Code,INDEX(Std_Cu1_Table,0,3)),_xlfn.XLOOKUP($BX26,Std_Cu3_Code,INDEX(Std_Cu3_Table,0,3)))),"")))</f>
        <v/>
      </c>
      <c r="CB26" s="829" t="str" cm="1">
        <f t="array" ref="CB26">IF($BP26="","",IF($BX26="",$BS26,IFERROR(IF($BV26="AL",_xlfn.XLOOKUP($BX26,Std_Al3_Code,INDEX(Std_Al3_Table,0,5)),IF($G26=1,_xlfn.XLOOKUP($BX26,Std_Cu1_Code,INDEX(Std_Cu1_Table,0,5)),_xlfn.XLOOKUP($BX26,Std_Cu3_Code,INDEX(Std_Cu3_Table,0,5)))),"")))</f>
        <v/>
      </c>
      <c r="CC26" s="829" t="str">
        <f t="shared" si="13"/>
        <v/>
      </c>
      <c r="CD26" s="829" t="str">
        <f t="shared" si="14"/>
        <v/>
      </c>
      <c r="CE26" s="829" t="str">
        <f t="shared" si="15"/>
        <v/>
      </c>
      <c r="CF26" s="829" t="str">
        <f t="shared" si="16"/>
        <v/>
      </c>
      <c r="CG26" s="829" t="str">
        <f t="shared" si="17"/>
        <v/>
      </c>
      <c r="CH26" s="829" t="str">
        <f t="shared" si="18"/>
        <v/>
      </c>
      <c r="CI26" s="829" t="str">
        <f t="shared" si="19"/>
        <v/>
      </c>
      <c r="CJ26" s="829" t="str" cm="1">
        <f t="array" ref="CJ26">IF($B26="","",_xlfn.LET(_xlpm.to,$D26&amp;"",_xlpm.em,IFERROR(INDEX(_xlfn.ANCHORARRAY($BE$4),ROW()-4,6),"")="EMERG",_xlpm.pri,AND(NOT(_xlpm.em),LEFT(_xlpm.to,2)="T-",ISNUMBER(MATCH(MID(_xlpm.to,3,99),Equip_List,0)),ISNA(MATCH(_xlpm.to,Equip_List,0))),IF(_xlpm.pri,MID(_xlpm.to,3,99),_xlpm.to)))</f>
        <v/>
      </c>
      <c r="CK26" s="829" t="str" cm="1">
        <f t="array" ref="CK26">IF($CJ26="","",IF(IFERROR(INDEX(_xlfn.ANCHORARRAY($BE$4),ROW()-4,6),"")="EMERG","E",IF($CJ26&lt;&gt;$D26&amp;"","P","N")))</f>
        <v/>
      </c>
    </row>
    <row r="27" spans="1:89" ht="15" customHeight="1" x14ac:dyDescent="0.35">
      <c r="A27" s="821" t="str">
        <f t="shared" si="7"/>
        <v/>
      </c>
      <c r="B27" s="821" t="str" cm="1">
        <f t="array" ref="B27">IFERROR(IF(INDEX(_xlfn.ANCHORARRAY($BE$4),ROW()-4,2)="","","F-"&amp;INDEX(_xlfn.ANCHORARRAY($BE$4),ROW()-4,2)&amp;IF(IFERROR(INDEX(_xlfn.ANCHORARRAY($BE$4),ROW()-4,6),"")="EMERG","-E","")),"")</f>
        <v/>
      </c>
      <c r="C27" s="821" t="str" cm="1">
        <f t="array" ref="C27">IFERROR(IF($B27="","",INDEX(_xlfn.ANCHORARRAY($BE$4),ROW()-4,1)),"")</f>
        <v/>
      </c>
      <c r="D27" s="821" t="str" cm="1">
        <f t="array" ref="D27">IFERROR(IF($B27="","",INDEX(_xlfn.ANCHORARRAY($BE$4),ROW()-4,2)),"")</f>
        <v/>
      </c>
      <c r="E27" s="806" t="str" cm="1">
        <f t="array" ref="E27">IFERROR(IF($B27="","",INDEX(_xlfn.ANCHORARRAY($BE$4),ROW()-4,3)),"")</f>
        <v/>
      </c>
      <c r="F27" s="822" t="str" cm="1">
        <f t="array" ref="F27">IFERROR(IF($B27="","",INDEX(_xlfn.ANCHORARRAY($BE$4),ROW()-4,4)),"")</f>
        <v/>
      </c>
      <c r="G27" s="823" t="str" cm="1">
        <f t="array" ref="G27">IFERROR(IF($B27="","",INDEX(_xlfn.ANCHORARRAY($BE$4),ROW()-4,5)),"")</f>
        <v/>
      </c>
      <c r="H27" s="824" t="str" cm="1">
        <f t="array" ref="H27">IF($CJ27="","",_xlfn.LET(_xlpm.v,_xlfn.XLOOKUP($CJ27,Equip_List,IF($CK27="E",Equip_EmLen,IF($CK27="P",Equip_XfPriLen,Equip_FdrLen)),""),IF(_xlpm.v="","",_xlpm.v)))</f>
        <v/>
      </c>
      <c r="I27" s="806" t="str">
        <f t="shared" si="0"/>
        <v/>
      </c>
      <c r="J27" s="820"/>
      <c r="K27" s="806" t="str">
        <f>_xlfn.LET(_xlpm.k,IF($I27="","",IF(COUNTIF(UPS!$B$57:$B$64,$C27&amp;"")&gt;0,1.25*MAX($I27,N(_xlfn.XLOOKUP($C27&amp;"",UPS!$B$57:$B$64,UPS!$M$57:$M$64,0))),IF(COUNTIF(UPS!$B$57:$B$64,$D27&amp;"")&gt;0,1.25*MAX($I27,N(_xlfn.XLOOKUP($D27&amp;"",UPS!$B$57:$B$64,UPS!$Q$57:$Q$64,0))),$I27*IF(OR(UPPER($J27)="Y",LEFT($C27,2)="T-",LEFT($D27,2)="T-"),1.25,1)))),IF(_xlpm.k="","",MAX(_xlpm.k,N(IFERROR(_xlfn.XLOOKUP($D27&amp;"",Dashboard!$A$101:$A$350,Dashboard!$O$101:$O$350,0),0)))))</f>
        <v/>
      </c>
      <c r="L27" s="825" t="str">
        <f>IF($CJ27="","",_xlfn.LET(_xlpm.v,UPPER(TRIM(_xlfn.XLOOKUP($CJ27,Equip_List,Equip_FdrMat,"")&amp;"")),IF(_xlpm.v="",UPPER(TRIM(Cfg_FeederMat&amp;"")),_xlpm.v)))</f>
        <v/>
      </c>
      <c r="M27" s="825" t="str">
        <f>IF($CJ27="","",_xlfn.LET(_xlpm.v,TRIM(_xlfn.XLOOKUP($CJ27,Equip_List,Equip_FdrRace,"")&amp;""),IF(_xlpm.v="",Cfg_Conduit&amp;"",_xlpm.v)))</f>
        <v/>
      </c>
      <c r="N27" s="825" t="str">
        <f>IF($CJ27="","",IF(UPPER(TRIM(_xlfn.XLOOKUP($CJ27,Equip_List,Equip_FdrExist,"")&amp;""))="Y","Y",""))</f>
        <v/>
      </c>
      <c r="O27" s="823" t="str">
        <f t="shared" si="8"/>
        <v/>
      </c>
      <c r="P27" s="821" t="str">
        <f t="shared" si="9"/>
        <v/>
      </c>
      <c r="Q27" s="821" t="str">
        <f t="shared" si="10"/>
        <v/>
      </c>
      <c r="R27" s="822" t="str" cm="1">
        <f t="array" ref="R27">IF(K27="","",INDEX(OCPD_List,MATCH(TRUE,OCPD_List&gt;=K27,0)))</f>
        <v/>
      </c>
      <c r="S27" s="821" t="str">
        <f t="shared" si="11"/>
        <v/>
      </c>
      <c r="T27" s="826" t="str">
        <f t="shared" si="1"/>
        <v/>
      </c>
      <c r="U27" s="826" t="str">
        <f t="shared" si="2"/>
        <v/>
      </c>
      <c r="V27" s="827" t="str">
        <f t="shared" si="3"/>
        <v/>
      </c>
      <c r="W27" s="828"/>
      <c r="X27" s="819"/>
      <c r="Y27" s="820"/>
      <c r="Z27" s="820"/>
      <c r="AA27" s="820"/>
      <c r="BN27" s="832" t="str">
        <f>IF($B27="","",IFERROR(_xlfn.XLOOKUP($D27,Dashboard!$A$101:$A$350,Dashboard!$C$101:$C$350),""))</f>
        <v/>
      </c>
      <c r="BO27" s="832" t="str">
        <f t="shared" si="4"/>
        <v/>
      </c>
      <c r="BP27" s="832" t="str" cm="1">
        <f t="array" ref="BP27">IF(OR($B27="",$R27="",NOT(ISNUMBER($R27))),"",IF(AND($BV27="AL",$G27=1),"",_xlfn.LET(_xlpm.codes,IF($BV27="AL",Std_Al3_Code,IF($G27=1,Std_Cu1_Code,Std_Cu3_Code)),_xlpm.amps,IFERROR(--SUBSTITUTE(_xlpm.codes&amp;"","N",""),""),_xlpm.a,MIN(IF(ISNUMBER(_xlpm.amps),IF(_xlpm.amps&gt;=$R27,_xlpm.amps,""),"")),_xlpm.k,IF(_xlpm.a=0,$R27,_xlpm.a),IF($BO27="Y",TEXT(_xlpm.k,"0")&amp;"N",_xlpm.k))))</f>
        <v/>
      </c>
      <c r="BQ27" s="832" t="str" cm="1">
        <f t="array" ref="BQ27">IF($BP27="","",IFERROR(IF($BV27="AL",_xlfn.XLOOKUP($BP27,Std_Al3_Code,INDEX(Std_Al3_Table,0,3)),IF($G27=1,_xlfn.XLOOKUP($BP27,Std_Cu1_Code,INDEX(Std_Cu1_Table,0,3)),_xlfn.XLOOKUP($BP27,Std_Cu3_Code,INDEX(Std_Cu3_Table,0,3)))),""))</f>
        <v/>
      </c>
      <c r="BR27" s="832" t="str" cm="1">
        <f t="array" ref="BR27">IF($BP27="","",IFERROR(IF($BV27="AL",_xlfn.XLOOKUP($BP27,Std_Al3_Code,INDEX(Std_Al3_Table,0,4)),IF($G27=1,_xlfn.XLOOKUP($BP27,Std_Cu1_Code,INDEX(Std_Cu1_Table,0,4)),_xlfn.XLOOKUP($BP27,Std_Cu3_Code,INDEX(Std_Cu3_Table,0,4)))),""))</f>
        <v/>
      </c>
      <c r="BS27" s="832" t="str" cm="1">
        <f t="array" ref="BS27">IF($BP27="","",IFERROR(IF($BV27="AL",_xlfn.XLOOKUP($BP27,Std_Al3_Code,INDEX(Std_Al3_Table,0,5)),IF($G27=1,_xlfn.XLOOKUP($BP27,Std_Cu1_Code,INDEX(Std_Cu1_Table,0,5)),_xlfn.XLOOKUP($BP27,Std_Cu3_Code,INDEX(Std_Cu3_Table,0,5)))),""))</f>
        <v/>
      </c>
      <c r="BT27" s="832" t="str">
        <f t="shared" si="5"/>
        <v/>
      </c>
      <c r="BU27" s="832" t="str" cm="1">
        <f t="array" ref="BU27">IF($BP27="","",IFERROR(IF($BV27="AL",_xlfn.XLOOKUP($BP27,Std_Al3_Code,INDEX(Std_Al3_Table,0,2)),IF($G27=1,_xlfn.XLOOKUP($BP27,Std_Cu1_Code,INDEX(Std_Cu1_Table,0,2)),_xlfn.XLOOKUP($BP27,Std_Cu3_Code,INDEX(Std_Cu3_Table,0,2)))),""))</f>
        <v/>
      </c>
      <c r="BV27" s="829" t="str">
        <f t="shared" si="6"/>
        <v/>
      </c>
      <c r="BW27" s="829" t="str">
        <f t="shared" si="12"/>
        <v/>
      </c>
      <c r="BX27" s="829" t="str" cm="1">
        <f t="array" ref="BX27">IF(OR($BP27="",$H27="",$I27="",$F27="",$BW27=""),"",IFERROR(_xlfn.LET(_xlpm.codes,IF($BV27="AL",Std_Al3_Code,IF($G27=1,Std_Cu1_Code,Std_Cu3_Code)),_xlpm.tbl,IF($BV27="AL",Std_Al3_Table,IF($G27=1,Std_Cu1_Table,Std_Cu3_Table)),_xlpm.i,MATCH($BP27,_xlpm.codes,0),_xlpm.idx,_xlfn.SEQUENCE(ROWS(_xlpm.codes)),_xlpm.cnd,INDEX(_xlpm.tbl,0,4),_xlpm.sts,INDEX(_xlpm.tbl,0,2),_xlpm.sz,IFERROR(_xlfn.TEXTBEFORE(_xlfn.TEXTAFTER(_xlpm.cnd,"#"),","),IFERROR(_xlfn.TEXTAFTER(_xlpm.cnd,"#"),"")),_xlpm.cm,IFERROR(_xlfn.XLOOKUP(TRIM(_xlpm.sz),Ampacity_Size,Ampacity_CM),0),_xlpm.mult,IF($G27=3,SQRT3,2),_xlpm.kk,IF($BV27="AL",K_Al,K_Cu),_xlpm.vd,IF(_xlpm.cm*IF(ISNUMBER(_xlpm.sts),_xlpm.sts,0)=0,9,_xlpm.mult*_xlpm.kk*$I27*$H27/(_xlpm.cm*_xlpm.sts)/$F27),_xlpm.hasN,--(RIGHT(_xlpm.codes&amp;"",1)="N"),_xlpm.wantN,--(RIGHT($BP27&amp;"",1)="N"),_xlpm.ok,(_xlpm.idx&gt;=_xlpm.i)*(_xlpm.vd&lt;=Cfg_VDFeeder)*(_xlpm.cm&gt;0)*ISNUMBER(_xlpm.sts)*(_xlpm.hasN=_xlpm.wantN),_xlpm.m,MIN(IF(_xlpm.ok=1,_xlpm.idx)),INDEX(_xlpm.codes,IF(_xlpm.m=0,_xlpm.i,_xlpm.m))),""))</f>
        <v/>
      </c>
      <c r="BY27" s="829" t="str" cm="1">
        <f t="array" ref="BY27">IF($BP27="","",IF($BX27="",$BU27,IFERROR(IF($BV27="AL",_xlfn.XLOOKUP($BX27,Std_Al3_Code,INDEX(Std_Al3_Table,0,2)),IF($G27=1,_xlfn.XLOOKUP($BX27,Std_Cu1_Code,INDEX(Std_Cu1_Table,0,2)),_xlfn.XLOOKUP($BX27,Std_Cu3_Code,INDEX(Std_Cu3_Table,0,2)))),"")))</f>
        <v/>
      </c>
      <c r="BZ27" s="829" t="str" cm="1">
        <f t="array" ref="BZ27">IF($BP27="","",IF($BX27="",$BR27,IFERROR(IF($BV27="AL",_xlfn.XLOOKUP($BX27,Std_Al3_Code,INDEX(Std_Al3_Table,0,4)),IF($G27=1,_xlfn.XLOOKUP($BX27,Std_Cu1_Code,INDEX(Std_Cu1_Table,0,4)),_xlfn.XLOOKUP($BX27,Std_Cu3_Code,INDEX(Std_Cu3_Table,0,4)))),"")))</f>
        <v/>
      </c>
      <c r="CA27" s="829" t="str" cm="1">
        <f t="array" ref="CA27">IF($BP27="","",IF($BX27="",$BQ27,IFERROR(IF($BV27="AL",_xlfn.XLOOKUP($BX27,Std_Al3_Code,INDEX(Std_Al3_Table,0,3)),IF($G27=1,_xlfn.XLOOKUP($BX27,Std_Cu1_Code,INDEX(Std_Cu1_Table,0,3)),_xlfn.XLOOKUP($BX27,Std_Cu3_Code,INDEX(Std_Cu3_Table,0,3)))),"")))</f>
        <v/>
      </c>
      <c r="CB27" s="829" t="str" cm="1">
        <f t="array" ref="CB27">IF($BP27="","",IF($BX27="",$BS27,IFERROR(IF($BV27="AL",_xlfn.XLOOKUP($BX27,Std_Al3_Code,INDEX(Std_Al3_Table,0,5)),IF($G27=1,_xlfn.XLOOKUP($BX27,Std_Cu1_Code,INDEX(Std_Cu1_Table,0,5)),_xlfn.XLOOKUP($BX27,Std_Cu3_Code,INDEX(Std_Cu3_Table,0,5)))),"")))</f>
        <v/>
      </c>
      <c r="CC27" s="829" t="str">
        <f t="shared" si="13"/>
        <v/>
      </c>
      <c r="CD27" s="829" t="str">
        <f t="shared" si="14"/>
        <v/>
      </c>
      <c r="CE27" s="829" t="str">
        <f t="shared" si="15"/>
        <v/>
      </c>
      <c r="CF27" s="829" t="str">
        <f t="shared" si="16"/>
        <v/>
      </c>
      <c r="CG27" s="829" t="str">
        <f t="shared" si="17"/>
        <v/>
      </c>
      <c r="CH27" s="829" t="str">
        <f t="shared" si="18"/>
        <v/>
      </c>
      <c r="CI27" s="829" t="str">
        <f t="shared" si="19"/>
        <v/>
      </c>
      <c r="CJ27" s="829" t="str" cm="1">
        <f t="array" ref="CJ27">IF($B27="","",_xlfn.LET(_xlpm.to,$D27&amp;"",_xlpm.em,IFERROR(INDEX(_xlfn.ANCHORARRAY($BE$4),ROW()-4,6),"")="EMERG",_xlpm.pri,AND(NOT(_xlpm.em),LEFT(_xlpm.to,2)="T-",ISNUMBER(MATCH(MID(_xlpm.to,3,99),Equip_List,0)),ISNA(MATCH(_xlpm.to,Equip_List,0))),IF(_xlpm.pri,MID(_xlpm.to,3,99),_xlpm.to)))</f>
        <v/>
      </c>
      <c r="CK27" s="829" t="str" cm="1">
        <f t="array" ref="CK27">IF($CJ27="","",IF(IFERROR(INDEX(_xlfn.ANCHORARRAY($BE$4),ROW()-4,6),"")="EMERG","E",IF($CJ27&lt;&gt;$D27&amp;"","P","N")))</f>
        <v/>
      </c>
    </row>
    <row r="28" spans="1:89" ht="15" customHeight="1" x14ac:dyDescent="0.35">
      <c r="A28" s="821" t="str">
        <f t="shared" si="7"/>
        <v/>
      </c>
      <c r="B28" s="821" t="str" cm="1">
        <f t="array" ref="B28">IFERROR(IF(INDEX(_xlfn.ANCHORARRAY($BE$4),ROW()-4,2)="","","F-"&amp;INDEX(_xlfn.ANCHORARRAY($BE$4),ROW()-4,2)&amp;IF(IFERROR(INDEX(_xlfn.ANCHORARRAY($BE$4),ROW()-4,6),"")="EMERG","-E","")),"")</f>
        <v/>
      </c>
      <c r="C28" s="821" t="str" cm="1">
        <f t="array" ref="C28">IFERROR(IF($B28="","",INDEX(_xlfn.ANCHORARRAY($BE$4),ROW()-4,1)),"")</f>
        <v/>
      </c>
      <c r="D28" s="821" t="str" cm="1">
        <f t="array" ref="D28">IFERROR(IF($B28="","",INDEX(_xlfn.ANCHORARRAY($BE$4),ROW()-4,2)),"")</f>
        <v/>
      </c>
      <c r="E28" s="806" t="str" cm="1">
        <f t="array" ref="E28">IFERROR(IF($B28="","",INDEX(_xlfn.ANCHORARRAY($BE$4),ROW()-4,3)),"")</f>
        <v/>
      </c>
      <c r="F28" s="822" t="str" cm="1">
        <f t="array" ref="F28">IFERROR(IF($B28="","",INDEX(_xlfn.ANCHORARRAY($BE$4),ROW()-4,4)),"")</f>
        <v/>
      </c>
      <c r="G28" s="823" t="str" cm="1">
        <f t="array" ref="G28">IFERROR(IF($B28="","",INDEX(_xlfn.ANCHORARRAY($BE$4),ROW()-4,5)),"")</f>
        <v/>
      </c>
      <c r="H28" s="824" t="str" cm="1">
        <f t="array" ref="H28">IF($CJ28="","",_xlfn.LET(_xlpm.v,_xlfn.XLOOKUP($CJ28,Equip_List,IF($CK28="E",Equip_EmLen,IF($CK28="P",Equip_XfPriLen,Equip_FdrLen)),""),IF(_xlpm.v="","",_xlpm.v)))</f>
        <v/>
      </c>
      <c r="I28" s="806" t="str">
        <f t="shared" si="0"/>
        <v/>
      </c>
      <c r="J28" s="820"/>
      <c r="K28" s="806" t="str">
        <f>_xlfn.LET(_xlpm.k,IF($I28="","",IF(COUNTIF(UPS!$B$57:$B$64,$C28&amp;"")&gt;0,1.25*MAX($I28,N(_xlfn.XLOOKUP($C28&amp;"",UPS!$B$57:$B$64,UPS!$M$57:$M$64,0))),IF(COUNTIF(UPS!$B$57:$B$64,$D28&amp;"")&gt;0,1.25*MAX($I28,N(_xlfn.XLOOKUP($D28&amp;"",UPS!$B$57:$B$64,UPS!$Q$57:$Q$64,0))),$I28*IF(OR(UPPER($J28)="Y",LEFT($C28,2)="T-",LEFT($D28,2)="T-"),1.25,1)))),IF(_xlpm.k="","",MAX(_xlpm.k,N(IFERROR(_xlfn.XLOOKUP($D28&amp;"",Dashboard!$A$101:$A$350,Dashboard!$O$101:$O$350,0),0)))))</f>
        <v/>
      </c>
      <c r="L28" s="825" t="str">
        <f>IF($CJ28="","",_xlfn.LET(_xlpm.v,UPPER(TRIM(_xlfn.XLOOKUP($CJ28,Equip_List,Equip_FdrMat,"")&amp;"")),IF(_xlpm.v="",UPPER(TRIM(Cfg_FeederMat&amp;"")),_xlpm.v)))</f>
        <v/>
      </c>
      <c r="M28" s="825" t="str">
        <f>IF($CJ28="","",_xlfn.LET(_xlpm.v,TRIM(_xlfn.XLOOKUP($CJ28,Equip_List,Equip_FdrRace,"")&amp;""),IF(_xlpm.v="",Cfg_Conduit&amp;"",_xlpm.v)))</f>
        <v/>
      </c>
      <c r="N28" s="825" t="str">
        <f>IF($CJ28="","",IF(UPPER(TRIM(_xlfn.XLOOKUP($CJ28,Equip_List,Equip_FdrExist,"")&amp;""))="Y","Y",""))</f>
        <v/>
      </c>
      <c r="O28" s="823" t="str">
        <f t="shared" si="8"/>
        <v/>
      </c>
      <c r="P28" s="821" t="str">
        <f t="shared" si="9"/>
        <v/>
      </c>
      <c r="Q28" s="821" t="str">
        <f t="shared" si="10"/>
        <v/>
      </c>
      <c r="R28" s="822" t="str" cm="1">
        <f t="array" ref="R28">IF(K28="","",INDEX(OCPD_List,MATCH(TRUE,OCPD_List&gt;=K28,0)))</f>
        <v/>
      </c>
      <c r="S28" s="821" t="str">
        <f t="shared" si="11"/>
        <v/>
      </c>
      <c r="T28" s="826" t="str">
        <f t="shared" si="1"/>
        <v/>
      </c>
      <c r="U28" s="826" t="str">
        <f t="shared" si="2"/>
        <v/>
      </c>
      <c r="V28" s="827" t="str">
        <f t="shared" si="3"/>
        <v/>
      </c>
      <c r="W28" s="828"/>
      <c r="X28" s="819"/>
      <c r="Y28" s="820"/>
      <c r="Z28" s="820"/>
      <c r="AA28" s="820"/>
      <c r="BN28" s="832" t="str">
        <f>IF($B28="","",IFERROR(_xlfn.XLOOKUP($D28,Dashboard!$A$101:$A$350,Dashboard!$C$101:$C$350),""))</f>
        <v/>
      </c>
      <c r="BO28" s="832" t="str">
        <f t="shared" si="4"/>
        <v/>
      </c>
      <c r="BP28" s="832" t="str" cm="1">
        <f t="array" ref="BP28">IF(OR($B28="",$R28="",NOT(ISNUMBER($R28))),"",IF(AND($BV28="AL",$G28=1),"",_xlfn.LET(_xlpm.codes,IF($BV28="AL",Std_Al3_Code,IF($G28=1,Std_Cu1_Code,Std_Cu3_Code)),_xlpm.amps,IFERROR(--SUBSTITUTE(_xlpm.codes&amp;"","N",""),""),_xlpm.a,MIN(IF(ISNUMBER(_xlpm.amps),IF(_xlpm.amps&gt;=$R28,_xlpm.amps,""),"")),_xlpm.k,IF(_xlpm.a=0,$R28,_xlpm.a),IF($BO28="Y",TEXT(_xlpm.k,"0")&amp;"N",_xlpm.k))))</f>
        <v/>
      </c>
      <c r="BQ28" s="832" t="str" cm="1">
        <f t="array" ref="BQ28">IF($BP28="","",IFERROR(IF($BV28="AL",_xlfn.XLOOKUP($BP28,Std_Al3_Code,INDEX(Std_Al3_Table,0,3)),IF($G28=1,_xlfn.XLOOKUP($BP28,Std_Cu1_Code,INDEX(Std_Cu1_Table,0,3)),_xlfn.XLOOKUP($BP28,Std_Cu3_Code,INDEX(Std_Cu3_Table,0,3)))),""))</f>
        <v/>
      </c>
      <c r="BR28" s="832" t="str" cm="1">
        <f t="array" ref="BR28">IF($BP28="","",IFERROR(IF($BV28="AL",_xlfn.XLOOKUP($BP28,Std_Al3_Code,INDEX(Std_Al3_Table,0,4)),IF($G28=1,_xlfn.XLOOKUP($BP28,Std_Cu1_Code,INDEX(Std_Cu1_Table,0,4)),_xlfn.XLOOKUP($BP28,Std_Cu3_Code,INDEX(Std_Cu3_Table,0,4)))),""))</f>
        <v/>
      </c>
      <c r="BS28" s="832" t="str" cm="1">
        <f t="array" ref="BS28">IF($BP28="","",IFERROR(IF($BV28="AL",_xlfn.XLOOKUP($BP28,Std_Al3_Code,INDEX(Std_Al3_Table,0,5)),IF($G28=1,_xlfn.XLOOKUP($BP28,Std_Cu1_Code,INDEX(Std_Cu1_Table,0,5)),_xlfn.XLOOKUP($BP28,Std_Cu3_Code,INDEX(Std_Cu3_Table,0,5)))),""))</f>
        <v/>
      </c>
      <c r="BT28" s="832" t="str">
        <f t="shared" si="5"/>
        <v/>
      </c>
      <c r="BU28" s="832" t="str" cm="1">
        <f t="array" ref="BU28">IF($BP28="","",IFERROR(IF($BV28="AL",_xlfn.XLOOKUP($BP28,Std_Al3_Code,INDEX(Std_Al3_Table,0,2)),IF($G28=1,_xlfn.XLOOKUP($BP28,Std_Cu1_Code,INDEX(Std_Cu1_Table,0,2)),_xlfn.XLOOKUP($BP28,Std_Cu3_Code,INDEX(Std_Cu3_Table,0,2)))),""))</f>
        <v/>
      </c>
      <c r="BV28" s="829" t="str">
        <f t="shared" si="6"/>
        <v/>
      </c>
      <c r="BW28" s="829" t="str">
        <f t="shared" si="12"/>
        <v/>
      </c>
      <c r="BX28" s="829" t="str" cm="1">
        <f t="array" ref="BX28">IF(OR($BP28="",$H28="",$I28="",$F28="",$BW28=""),"",IFERROR(_xlfn.LET(_xlpm.codes,IF($BV28="AL",Std_Al3_Code,IF($G28=1,Std_Cu1_Code,Std_Cu3_Code)),_xlpm.tbl,IF($BV28="AL",Std_Al3_Table,IF($G28=1,Std_Cu1_Table,Std_Cu3_Table)),_xlpm.i,MATCH($BP28,_xlpm.codes,0),_xlpm.idx,_xlfn.SEQUENCE(ROWS(_xlpm.codes)),_xlpm.cnd,INDEX(_xlpm.tbl,0,4),_xlpm.sts,INDEX(_xlpm.tbl,0,2),_xlpm.sz,IFERROR(_xlfn.TEXTBEFORE(_xlfn.TEXTAFTER(_xlpm.cnd,"#"),","),IFERROR(_xlfn.TEXTAFTER(_xlpm.cnd,"#"),"")),_xlpm.cm,IFERROR(_xlfn.XLOOKUP(TRIM(_xlpm.sz),Ampacity_Size,Ampacity_CM),0),_xlpm.mult,IF($G28=3,SQRT3,2),_xlpm.kk,IF($BV28="AL",K_Al,K_Cu),_xlpm.vd,IF(_xlpm.cm*IF(ISNUMBER(_xlpm.sts),_xlpm.sts,0)=0,9,_xlpm.mult*_xlpm.kk*$I28*$H28/(_xlpm.cm*_xlpm.sts)/$F28),_xlpm.hasN,--(RIGHT(_xlpm.codes&amp;"",1)="N"),_xlpm.wantN,--(RIGHT($BP28&amp;"",1)="N"),_xlpm.ok,(_xlpm.idx&gt;=_xlpm.i)*(_xlpm.vd&lt;=Cfg_VDFeeder)*(_xlpm.cm&gt;0)*ISNUMBER(_xlpm.sts)*(_xlpm.hasN=_xlpm.wantN),_xlpm.m,MIN(IF(_xlpm.ok=1,_xlpm.idx)),INDEX(_xlpm.codes,IF(_xlpm.m=0,_xlpm.i,_xlpm.m))),""))</f>
        <v/>
      </c>
      <c r="BY28" s="829" t="str" cm="1">
        <f t="array" ref="BY28">IF($BP28="","",IF($BX28="",$BU28,IFERROR(IF($BV28="AL",_xlfn.XLOOKUP($BX28,Std_Al3_Code,INDEX(Std_Al3_Table,0,2)),IF($G28=1,_xlfn.XLOOKUP($BX28,Std_Cu1_Code,INDEX(Std_Cu1_Table,0,2)),_xlfn.XLOOKUP($BX28,Std_Cu3_Code,INDEX(Std_Cu3_Table,0,2)))),"")))</f>
        <v/>
      </c>
      <c r="BZ28" s="829" t="str" cm="1">
        <f t="array" ref="BZ28">IF($BP28="","",IF($BX28="",$BR28,IFERROR(IF($BV28="AL",_xlfn.XLOOKUP($BX28,Std_Al3_Code,INDEX(Std_Al3_Table,0,4)),IF($G28=1,_xlfn.XLOOKUP($BX28,Std_Cu1_Code,INDEX(Std_Cu1_Table,0,4)),_xlfn.XLOOKUP($BX28,Std_Cu3_Code,INDEX(Std_Cu3_Table,0,4)))),"")))</f>
        <v/>
      </c>
      <c r="CA28" s="829" t="str" cm="1">
        <f t="array" ref="CA28">IF($BP28="","",IF($BX28="",$BQ28,IFERROR(IF($BV28="AL",_xlfn.XLOOKUP($BX28,Std_Al3_Code,INDEX(Std_Al3_Table,0,3)),IF($G28=1,_xlfn.XLOOKUP($BX28,Std_Cu1_Code,INDEX(Std_Cu1_Table,0,3)),_xlfn.XLOOKUP($BX28,Std_Cu3_Code,INDEX(Std_Cu3_Table,0,3)))),"")))</f>
        <v/>
      </c>
      <c r="CB28" s="829" t="str" cm="1">
        <f t="array" ref="CB28">IF($BP28="","",IF($BX28="",$BS28,IFERROR(IF($BV28="AL",_xlfn.XLOOKUP($BX28,Std_Al3_Code,INDEX(Std_Al3_Table,0,5)),IF($G28=1,_xlfn.XLOOKUP($BX28,Std_Cu1_Code,INDEX(Std_Cu1_Table,0,5)),_xlfn.XLOOKUP($BX28,Std_Cu3_Code,INDEX(Std_Cu3_Table,0,5)))),"")))</f>
        <v/>
      </c>
      <c r="CC28" s="829" t="str">
        <f t="shared" si="13"/>
        <v/>
      </c>
      <c r="CD28" s="829" t="str">
        <f t="shared" si="14"/>
        <v/>
      </c>
      <c r="CE28" s="829" t="str">
        <f t="shared" si="15"/>
        <v/>
      </c>
      <c r="CF28" s="829" t="str">
        <f t="shared" si="16"/>
        <v/>
      </c>
      <c r="CG28" s="829" t="str">
        <f t="shared" si="17"/>
        <v/>
      </c>
      <c r="CH28" s="829" t="str">
        <f t="shared" si="18"/>
        <v/>
      </c>
      <c r="CI28" s="829" t="str">
        <f t="shared" si="19"/>
        <v/>
      </c>
      <c r="CJ28" s="829" t="str" cm="1">
        <f t="array" ref="CJ28">IF($B28="","",_xlfn.LET(_xlpm.to,$D28&amp;"",_xlpm.em,IFERROR(INDEX(_xlfn.ANCHORARRAY($BE$4),ROW()-4,6),"")="EMERG",_xlpm.pri,AND(NOT(_xlpm.em),LEFT(_xlpm.to,2)="T-",ISNUMBER(MATCH(MID(_xlpm.to,3,99),Equip_List,0)),ISNA(MATCH(_xlpm.to,Equip_List,0))),IF(_xlpm.pri,MID(_xlpm.to,3,99),_xlpm.to)))</f>
        <v/>
      </c>
      <c r="CK28" s="829" t="str" cm="1">
        <f t="array" ref="CK28">IF($CJ28="","",IF(IFERROR(INDEX(_xlfn.ANCHORARRAY($BE$4),ROW()-4,6),"")="EMERG","E",IF($CJ28&lt;&gt;$D28&amp;"","P","N")))</f>
        <v/>
      </c>
    </row>
    <row r="29" spans="1:89" ht="15" customHeight="1" x14ac:dyDescent="0.35">
      <c r="A29" s="821" t="str">
        <f t="shared" si="7"/>
        <v/>
      </c>
      <c r="B29" s="821" t="str" cm="1">
        <f t="array" ref="B29">IFERROR(IF(INDEX(_xlfn.ANCHORARRAY($BE$4),ROW()-4,2)="","","F-"&amp;INDEX(_xlfn.ANCHORARRAY($BE$4),ROW()-4,2)&amp;IF(IFERROR(INDEX(_xlfn.ANCHORARRAY($BE$4),ROW()-4,6),"")="EMERG","-E","")),"")</f>
        <v/>
      </c>
      <c r="C29" s="821" t="str" cm="1">
        <f t="array" ref="C29">IFERROR(IF($B29="","",INDEX(_xlfn.ANCHORARRAY($BE$4),ROW()-4,1)),"")</f>
        <v/>
      </c>
      <c r="D29" s="821" t="str" cm="1">
        <f t="array" ref="D29">IFERROR(IF($B29="","",INDEX(_xlfn.ANCHORARRAY($BE$4),ROW()-4,2)),"")</f>
        <v/>
      </c>
      <c r="E29" s="806" t="str" cm="1">
        <f t="array" ref="E29">IFERROR(IF($B29="","",INDEX(_xlfn.ANCHORARRAY($BE$4),ROW()-4,3)),"")</f>
        <v/>
      </c>
      <c r="F29" s="822" t="str" cm="1">
        <f t="array" ref="F29">IFERROR(IF($B29="","",INDEX(_xlfn.ANCHORARRAY($BE$4),ROW()-4,4)),"")</f>
        <v/>
      </c>
      <c r="G29" s="823" t="str" cm="1">
        <f t="array" ref="G29">IFERROR(IF($B29="","",INDEX(_xlfn.ANCHORARRAY($BE$4),ROW()-4,5)),"")</f>
        <v/>
      </c>
      <c r="H29" s="824" t="str" cm="1">
        <f t="array" ref="H29">IF($CJ29="","",_xlfn.LET(_xlpm.v,_xlfn.XLOOKUP($CJ29,Equip_List,IF($CK29="E",Equip_EmLen,IF($CK29="P",Equip_XfPriLen,Equip_FdrLen)),""),IF(_xlpm.v="","",_xlpm.v)))</f>
        <v/>
      </c>
      <c r="I29" s="806" t="str">
        <f t="shared" si="0"/>
        <v/>
      </c>
      <c r="J29" s="820"/>
      <c r="K29" s="806" t="str">
        <f>_xlfn.LET(_xlpm.k,IF($I29="","",IF(COUNTIF(UPS!$B$57:$B$64,$C29&amp;"")&gt;0,1.25*MAX($I29,N(_xlfn.XLOOKUP($C29&amp;"",UPS!$B$57:$B$64,UPS!$M$57:$M$64,0))),IF(COUNTIF(UPS!$B$57:$B$64,$D29&amp;"")&gt;0,1.25*MAX($I29,N(_xlfn.XLOOKUP($D29&amp;"",UPS!$B$57:$B$64,UPS!$Q$57:$Q$64,0))),$I29*IF(OR(UPPER($J29)="Y",LEFT($C29,2)="T-",LEFT($D29,2)="T-"),1.25,1)))),IF(_xlpm.k="","",MAX(_xlpm.k,N(IFERROR(_xlfn.XLOOKUP($D29&amp;"",Dashboard!$A$101:$A$350,Dashboard!$O$101:$O$350,0),0)))))</f>
        <v/>
      </c>
      <c r="L29" s="825" t="str">
        <f>IF($CJ29="","",_xlfn.LET(_xlpm.v,UPPER(TRIM(_xlfn.XLOOKUP($CJ29,Equip_List,Equip_FdrMat,"")&amp;"")),IF(_xlpm.v="",UPPER(TRIM(Cfg_FeederMat&amp;"")),_xlpm.v)))</f>
        <v/>
      </c>
      <c r="M29" s="825" t="str">
        <f>IF($CJ29="","",_xlfn.LET(_xlpm.v,TRIM(_xlfn.XLOOKUP($CJ29,Equip_List,Equip_FdrRace,"")&amp;""),IF(_xlpm.v="",Cfg_Conduit&amp;"",_xlpm.v)))</f>
        <v/>
      </c>
      <c r="N29" s="825" t="str">
        <f>IF($CJ29="","",IF(UPPER(TRIM(_xlfn.XLOOKUP($CJ29,Equip_List,Equip_FdrExist,"")&amp;""))="Y","Y",""))</f>
        <v/>
      </c>
      <c r="O29" s="823" t="str">
        <f t="shared" si="8"/>
        <v/>
      </c>
      <c r="P29" s="821" t="str">
        <f t="shared" si="9"/>
        <v/>
      </c>
      <c r="Q29" s="821" t="str">
        <f t="shared" si="10"/>
        <v/>
      </c>
      <c r="R29" s="822" t="str" cm="1">
        <f t="array" ref="R29">IF(K29="","",INDEX(OCPD_List,MATCH(TRUE,OCPD_List&gt;=K29,0)))</f>
        <v/>
      </c>
      <c r="S29" s="821" t="str">
        <f t="shared" si="11"/>
        <v/>
      </c>
      <c r="T29" s="826" t="str">
        <f t="shared" si="1"/>
        <v/>
      </c>
      <c r="U29" s="826" t="str">
        <f t="shared" si="2"/>
        <v/>
      </c>
      <c r="V29" s="827" t="str">
        <f t="shared" si="3"/>
        <v/>
      </c>
      <c r="W29" s="828"/>
      <c r="X29" s="819"/>
      <c r="Y29" s="820"/>
      <c r="Z29" s="820"/>
      <c r="AA29" s="820"/>
      <c r="BN29" s="832" t="str">
        <f>IF($B29="","",IFERROR(_xlfn.XLOOKUP($D29,Dashboard!$A$101:$A$350,Dashboard!$C$101:$C$350),""))</f>
        <v/>
      </c>
      <c r="BO29" s="832" t="str">
        <f t="shared" si="4"/>
        <v/>
      </c>
      <c r="BP29" s="832" t="str" cm="1">
        <f t="array" ref="BP29">IF(OR($B29="",$R29="",NOT(ISNUMBER($R29))),"",IF(AND($BV29="AL",$G29=1),"",_xlfn.LET(_xlpm.codes,IF($BV29="AL",Std_Al3_Code,IF($G29=1,Std_Cu1_Code,Std_Cu3_Code)),_xlpm.amps,IFERROR(--SUBSTITUTE(_xlpm.codes&amp;"","N",""),""),_xlpm.a,MIN(IF(ISNUMBER(_xlpm.amps),IF(_xlpm.amps&gt;=$R29,_xlpm.amps,""),"")),_xlpm.k,IF(_xlpm.a=0,$R29,_xlpm.a),IF($BO29="Y",TEXT(_xlpm.k,"0")&amp;"N",_xlpm.k))))</f>
        <v/>
      </c>
      <c r="BQ29" s="832" t="str" cm="1">
        <f t="array" ref="BQ29">IF($BP29="","",IFERROR(IF($BV29="AL",_xlfn.XLOOKUP($BP29,Std_Al3_Code,INDEX(Std_Al3_Table,0,3)),IF($G29=1,_xlfn.XLOOKUP($BP29,Std_Cu1_Code,INDEX(Std_Cu1_Table,0,3)),_xlfn.XLOOKUP($BP29,Std_Cu3_Code,INDEX(Std_Cu3_Table,0,3)))),""))</f>
        <v/>
      </c>
      <c r="BR29" s="832" t="str" cm="1">
        <f t="array" ref="BR29">IF($BP29="","",IFERROR(IF($BV29="AL",_xlfn.XLOOKUP($BP29,Std_Al3_Code,INDEX(Std_Al3_Table,0,4)),IF($G29=1,_xlfn.XLOOKUP($BP29,Std_Cu1_Code,INDEX(Std_Cu1_Table,0,4)),_xlfn.XLOOKUP($BP29,Std_Cu3_Code,INDEX(Std_Cu3_Table,0,4)))),""))</f>
        <v/>
      </c>
      <c r="BS29" s="832" t="str" cm="1">
        <f t="array" ref="BS29">IF($BP29="","",IFERROR(IF($BV29="AL",_xlfn.XLOOKUP($BP29,Std_Al3_Code,INDEX(Std_Al3_Table,0,5)),IF($G29=1,_xlfn.XLOOKUP($BP29,Std_Cu1_Code,INDEX(Std_Cu1_Table,0,5)),_xlfn.XLOOKUP($BP29,Std_Cu3_Code,INDEX(Std_Cu3_Table,0,5)))),""))</f>
        <v/>
      </c>
      <c r="BT29" s="832" t="str">
        <f t="shared" si="5"/>
        <v/>
      </c>
      <c r="BU29" s="832" t="str" cm="1">
        <f t="array" ref="BU29">IF($BP29="","",IFERROR(IF($BV29="AL",_xlfn.XLOOKUP($BP29,Std_Al3_Code,INDEX(Std_Al3_Table,0,2)),IF($G29=1,_xlfn.XLOOKUP($BP29,Std_Cu1_Code,INDEX(Std_Cu1_Table,0,2)),_xlfn.XLOOKUP($BP29,Std_Cu3_Code,INDEX(Std_Cu3_Table,0,2)))),""))</f>
        <v/>
      </c>
      <c r="BV29" s="829" t="str">
        <f t="shared" si="6"/>
        <v/>
      </c>
      <c r="BW29" s="829" t="str">
        <f t="shared" si="12"/>
        <v/>
      </c>
      <c r="BX29" s="829" t="str" cm="1">
        <f t="array" ref="BX29">IF(OR($BP29="",$H29="",$I29="",$F29="",$BW29=""),"",IFERROR(_xlfn.LET(_xlpm.codes,IF($BV29="AL",Std_Al3_Code,IF($G29=1,Std_Cu1_Code,Std_Cu3_Code)),_xlpm.tbl,IF($BV29="AL",Std_Al3_Table,IF($G29=1,Std_Cu1_Table,Std_Cu3_Table)),_xlpm.i,MATCH($BP29,_xlpm.codes,0),_xlpm.idx,_xlfn.SEQUENCE(ROWS(_xlpm.codes)),_xlpm.cnd,INDEX(_xlpm.tbl,0,4),_xlpm.sts,INDEX(_xlpm.tbl,0,2),_xlpm.sz,IFERROR(_xlfn.TEXTBEFORE(_xlfn.TEXTAFTER(_xlpm.cnd,"#"),","),IFERROR(_xlfn.TEXTAFTER(_xlpm.cnd,"#"),"")),_xlpm.cm,IFERROR(_xlfn.XLOOKUP(TRIM(_xlpm.sz),Ampacity_Size,Ampacity_CM),0),_xlpm.mult,IF($G29=3,SQRT3,2),_xlpm.kk,IF($BV29="AL",K_Al,K_Cu),_xlpm.vd,IF(_xlpm.cm*IF(ISNUMBER(_xlpm.sts),_xlpm.sts,0)=0,9,_xlpm.mult*_xlpm.kk*$I29*$H29/(_xlpm.cm*_xlpm.sts)/$F29),_xlpm.hasN,--(RIGHT(_xlpm.codes&amp;"",1)="N"),_xlpm.wantN,--(RIGHT($BP29&amp;"",1)="N"),_xlpm.ok,(_xlpm.idx&gt;=_xlpm.i)*(_xlpm.vd&lt;=Cfg_VDFeeder)*(_xlpm.cm&gt;0)*ISNUMBER(_xlpm.sts)*(_xlpm.hasN=_xlpm.wantN),_xlpm.m,MIN(IF(_xlpm.ok=1,_xlpm.idx)),INDEX(_xlpm.codes,IF(_xlpm.m=0,_xlpm.i,_xlpm.m))),""))</f>
        <v/>
      </c>
      <c r="BY29" s="829" t="str" cm="1">
        <f t="array" ref="BY29">IF($BP29="","",IF($BX29="",$BU29,IFERROR(IF($BV29="AL",_xlfn.XLOOKUP($BX29,Std_Al3_Code,INDEX(Std_Al3_Table,0,2)),IF($G29=1,_xlfn.XLOOKUP($BX29,Std_Cu1_Code,INDEX(Std_Cu1_Table,0,2)),_xlfn.XLOOKUP($BX29,Std_Cu3_Code,INDEX(Std_Cu3_Table,0,2)))),"")))</f>
        <v/>
      </c>
      <c r="BZ29" s="829" t="str" cm="1">
        <f t="array" ref="BZ29">IF($BP29="","",IF($BX29="",$BR29,IFERROR(IF($BV29="AL",_xlfn.XLOOKUP($BX29,Std_Al3_Code,INDEX(Std_Al3_Table,0,4)),IF($G29=1,_xlfn.XLOOKUP($BX29,Std_Cu1_Code,INDEX(Std_Cu1_Table,0,4)),_xlfn.XLOOKUP($BX29,Std_Cu3_Code,INDEX(Std_Cu3_Table,0,4)))),"")))</f>
        <v/>
      </c>
      <c r="CA29" s="829" t="str" cm="1">
        <f t="array" ref="CA29">IF($BP29="","",IF($BX29="",$BQ29,IFERROR(IF($BV29="AL",_xlfn.XLOOKUP($BX29,Std_Al3_Code,INDEX(Std_Al3_Table,0,3)),IF($G29=1,_xlfn.XLOOKUP($BX29,Std_Cu1_Code,INDEX(Std_Cu1_Table,0,3)),_xlfn.XLOOKUP($BX29,Std_Cu3_Code,INDEX(Std_Cu3_Table,0,3)))),"")))</f>
        <v/>
      </c>
      <c r="CB29" s="829" t="str" cm="1">
        <f t="array" ref="CB29">IF($BP29="","",IF($BX29="",$BS29,IFERROR(IF($BV29="AL",_xlfn.XLOOKUP($BX29,Std_Al3_Code,INDEX(Std_Al3_Table,0,5)),IF($G29=1,_xlfn.XLOOKUP($BX29,Std_Cu1_Code,INDEX(Std_Cu1_Table,0,5)),_xlfn.XLOOKUP($BX29,Std_Cu3_Code,INDEX(Std_Cu3_Table,0,5)))),"")))</f>
        <v/>
      </c>
      <c r="CC29" s="829" t="str">
        <f t="shared" si="13"/>
        <v/>
      </c>
      <c r="CD29" s="829" t="str">
        <f t="shared" si="14"/>
        <v/>
      </c>
      <c r="CE29" s="829" t="str">
        <f t="shared" si="15"/>
        <v/>
      </c>
      <c r="CF29" s="829" t="str">
        <f t="shared" si="16"/>
        <v/>
      </c>
      <c r="CG29" s="829" t="str">
        <f t="shared" si="17"/>
        <v/>
      </c>
      <c r="CH29" s="829" t="str">
        <f t="shared" si="18"/>
        <v/>
      </c>
      <c r="CI29" s="829" t="str">
        <f t="shared" si="19"/>
        <v/>
      </c>
      <c r="CJ29" s="829" t="str" cm="1">
        <f t="array" ref="CJ29">IF($B29="","",_xlfn.LET(_xlpm.to,$D29&amp;"",_xlpm.em,IFERROR(INDEX(_xlfn.ANCHORARRAY($BE$4),ROW()-4,6),"")="EMERG",_xlpm.pri,AND(NOT(_xlpm.em),LEFT(_xlpm.to,2)="T-",ISNUMBER(MATCH(MID(_xlpm.to,3,99),Equip_List,0)),ISNA(MATCH(_xlpm.to,Equip_List,0))),IF(_xlpm.pri,MID(_xlpm.to,3,99),_xlpm.to)))</f>
        <v/>
      </c>
      <c r="CK29" s="829" t="str" cm="1">
        <f t="array" ref="CK29">IF($CJ29="","",IF(IFERROR(INDEX(_xlfn.ANCHORARRAY($BE$4),ROW()-4,6),"")="EMERG","E",IF($CJ29&lt;&gt;$D29&amp;"","P","N")))</f>
        <v/>
      </c>
    </row>
    <row r="30" spans="1:89" ht="15" customHeight="1" x14ac:dyDescent="0.35">
      <c r="A30" s="821" t="str">
        <f t="shared" si="7"/>
        <v/>
      </c>
      <c r="B30" s="821" t="str" cm="1">
        <f t="array" ref="B30">IFERROR(IF(INDEX(_xlfn.ANCHORARRAY($BE$4),ROW()-4,2)="","","F-"&amp;INDEX(_xlfn.ANCHORARRAY($BE$4),ROW()-4,2)&amp;IF(IFERROR(INDEX(_xlfn.ANCHORARRAY($BE$4),ROW()-4,6),"")="EMERG","-E","")),"")</f>
        <v/>
      </c>
      <c r="C30" s="821" t="str" cm="1">
        <f t="array" ref="C30">IFERROR(IF($B30="","",INDEX(_xlfn.ANCHORARRAY($BE$4),ROW()-4,1)),"")</f>
        <v/>
      </c>
      <c r="D30" s="821" t="str" cm="1">
        <f t="array" ref="D30">IFERROR(IF($B30="","",INDEX(_xlfn.ANCHORARRAY($BE$4),ROW()-4,2)),"")</f>
        <v/>
      </c>
      <c r="E30" s="806" t="str" cm="1">
        <f t="array" ref="E30">IFERROR(IF($B30="","",INDEX(_xlfn.ANCHORARRAY($BE$4),ROW()-4,3)),"")</f>
        <v/>
      </c>
      <c r="F30" s="822" t="str" cm="1">
        <f t="array" ref="F30">IFERROR(IF($B30="","",INDEX(_xlfn.ANCHORARRAY($BE$4),ROW()-4,4)),"")</f>
        <v/>
      </c>
      <c r="G30" s="823" t="str" cm="1">
        <f t="array" ref="G30">IFERROR(IF($B30="","",INDEX(_xlfn.ANCHORARRAY($BE$4),ROW()-4,5)),"")</f>
        <v/>
      </c>
      <c r="H30" s="824" t="str" cm="1">
        <f t="array" ref="H30">IF($CJ30="","",_xlfn.LET(_xlpm.v,_xlfn.XLOOKUP($CJ30,Equip_List,IF($CK30="E",Equip_EmLen,IF($CK30="P",Equip_XfPriLen,Equip_FdrLen)),""),IF(_xlpm.v="","",_xlpm.v)))</f>
        <v/>
      </c>
      <c r="I30" s="806" t="str">
        <f t="shared" si="0"/>
        <v/>
      </c>
      <c r="J30" s="820"/>
      <c r="K30" s="806" t="str">
        <f>_xlfn.LET(_xlpm.k,IF($I30="","",IF(COUNTIF(UPS!$B$57:$B$64,$C30&amp;"")&gt;0,1.25*MAX($I30,N(_xlfn.XLOOKUP($C30&amp;"",UPS!$B$57:$B$64,UPS!$M$57:$M$64,0))),IF(COUNTIF(UPS!$B$57:$B$64,$D30&amp;"")&gt;0,1.25*MAX($I30,N(_xlfn.XLOOKUP($D30&amp;"",UPS!$B$57:$B$64,UPS!$Q$57:$Q$64,0))),$I30*IF(OR(UPPER($J30)="Y",LEFT($C30,2)="T-",LEFT($D30,2)="T-"),1.25,1)))),IF(_xlpm.k="","",MAX(_xlpm.k,N(IFERROR(_xlfn.XLOOKUP($D30&amp;"",Dashboard!$A$101:$A$350,Dashboard!$O$101:$O$350,0),0)))))</f>
        <v/>
      </c>
      <c r="L30" s="825" t="str">
        <f>IF($CJ30="","",_xlfn.LET(_xlpm.v,UPPER(TRIM(_xlfn.XLOOKUP($CJ30,Equip_List,Equip_FdrMat,"")&amp;"")),IF(_xlpm.v="",UPPER(TRIM(Cfg_FeederMat&amp;"")),_xlpm.v)))</f>
        <v/>
      </c>
      <c r="M30" s="825" t="str">
        <f>IF($CJ30="","",_xlfn.LET(_xlpm.v,TRIM(_xlfn.XLOOKUP($CJ30,Equip_List,Equip_FdrRace,"")&amp;""),IF(_xlpm.v="",Cfg_Conduit&amp;"",_xlpm.v)))</f>
        <v/>
      </c>
      <c r="N30" s="825" t="str">
        <f>IF($CJ30="","",IF(UPPER(TRIM(_xlfn.XLOOKUP($CJ30,Equip_List,Equip_FdrExist,"")&amp;""))="Y","Y",""))</f>
        <v/>
      </c>
      <c r="O30" s="823" t="str">
        <f t="shared" si="8"/>
        <v/>
      </c>
      <c r="P30" s="821" t="str">
        <f t="shared" si="9"/>
        <v/>
      </c>
      <c r="Q30" s="821" t="str">
        <f t="shared" si="10"/>
        <v/>
      </c>
      <c r="R30" s="822" t="str" cm="1">
        <f t="array" ref="R30">IF(K30="","",INDEX(OCPD_List,MATCH(TRUE,OCPD_List&gt;=K30,0)))</f>
        <v/>
      </c>
      <c r="S30" s="821" t="str">
        <f t="shared" si="11"/>
        <v/>
      </c>
      <c r="T30" s="826" t="str">
        <f t="shared" si="1"/>
        <v/>
      </c>
      <c r="U30" s="826" t="str">
        <f t="shared" si="2"/>
        <v/>
      </c>
      <c r="V30" s="827" t="str">
        <f t="shared" si="3"/>
        <v/>
      </c>
      <c r="W30" s="828"/>
      <c r="X30" s="819"/>
      <c r="Y30" s="820"/>
      <c r="Z30" s="820"/>
      <c r="AA30" s="820"/>
      <c r="BN30" s="832" t="str">
        <f>IF($B30="","",IFERROR(_xlfn.XLOOKUP($D30,Dashboard!$A$101:$A$350,Dashboard!$C$101:$C$350),""))</f>
        <v/>
      </c>
      <c r="BO30" s="832" t="str">
        <f t="shared" si="4"/>
        <v/>
      </c>
      <c r="BP30" s="832" t="str" cm="1">
        <f t="array" ref="BP30">IF(OR($B30="",$R30="",NOT(ISNUMBER($R30))),"",IF(AND($BV30="AL",$G30=1),"",_xlfn.LET(_xlpm.codes,IF($BV30="AL",Std_Al3_Code,IF($G30=1,Std_Cu1_Code,Std_Cu3_Code)),_xlpm.amps,IFERROR(--SUBSTITUTE(_xlpm.codes&amp;"","N",""),""),_xlpm.a,MIN(IF(ISNUMBER(_xlpm.amps),IF(_xlpm.amps&gt;=$R30,_xlpm.amps,""),"")),_xlpm.k,IF(_xlpm.a=0,$R30,_xlpm.a),IF($BO30="Y",TEXT(_xlpm.k,"0")&amp;"N",_xlpm.k))))</f>
        <v/>
      </c>
      <c r="BQ30" s="832" t="str" cm="1">
        <f t="array" ref="BQ30">IF($BP30="","",IFERROR(IF($BV30="AL",_xlfn.XLOOKUP($BP30,Std_Al3_Code,INDEX(Std_Al3_Table,0,3)),IF($G30=1,_xlfn.XLOOKUP($BP30,Std_Cu1_Code,INDEX(Std_Cu1_Table,0,3)),_xlfn.XLOOKUP($BP30,Std_Cu3_Code,INDEX(Std_Cu3_Table,0,3)))),""))</f>
        <v/>
      </c>
      <c r="BR30" s="832" t="str" cm="1">
        <f t="array" ref="BR30">IF($BP30="","",IFERROR(IF($BV30="AL",_xlfn.XLOOKUP($BP30,Std_Al3_Code,INDEX(Std_Al3_Table,0,4)),IF($G30=1,_xlfn.XLOOKUP($BP30,Std_Cu1_Code,INDEX(Std_Cu1_Table,0,4)),_xlfn.XLOOKUP($BP30,Std_Cu3_Code,INDEX(Std_Cu3_Table,0,4)))),""))</f>
        <v/>
      </c>
      <c r="BS30" s="832" t="str" cm="1">
        <f t="array" ref="BS30">IF($BP30="","",IFERROR(IF($BV30="AL",_xlfn.XLOOKUP($BP30,Std_Al3_Code,INDEX(Std_Al3_Table,0,5)),IF($G30=1,_xlfn.XLOOKUP($BP30,Std_Cu1_Code,INDEX(Std_Cu1_Table,0,5)),_xlfn.XLOOKUP($BP30,Std_Cu3_Code,INDEX(Std_Cu3_Table,0,5)))),""))</f>
        <v/>
      </c>
      <c r="BT30" s="832" t="str">
        <f t="shared" si="5"/>
        <v/>
      </c>
      <c r="BU30" s="832" t="str" cm="1">
        <f t="array" ref="BU30">IF($BP30="","",IFERROR(IF($BV30="AL",_xlfn.XLOOKUP($BP30,Std_Al3_Code,INDEX(Std_Al3_Table,0,2)),IF($G30=1,_xlfn.XLOOKUP($BP30,Std_Cu1_Code,INDEX(Std_Cu1_Table,0,2)),_xlfn.XLOOKUP($BP30,Std_Cu3_Code,INDEX(Std_Cu3_Table,0,2)))),""))</f>
        <v/>
      </c>
      <c r="BV30" s="829" t="str">
        <f t="shared" si="6"/>
        <v/>
      </c>
      <c r="BW30" s="829" t="str">
        <f t="shared" si="12"/>
        <v/>
      </c>
      <c r="BX30" s="829" t="str" cm="1">
        <f t="array" ref="BX30">IF(OR($BP30="",$H30="",$I30="",$F30="",$BW30=""),"",IFERROR(_xlfn.LET(_xlpm.codes,IF($BV30="AL",Std_Al3_Code,IF($G30=1,Std_Cu1_Code,Std_Cu3_Code)),_xlpm.tbl,IF($BV30="AL",Std_Al3_Table,IF($G30=1,Std_Cu1_Table,Std_Cu3_Table)),_xlpm.i,MATCH($BP30,_xlpm.codes,0),_xlpm.idx,_xlfn.SEQUENCE(ROWS(_xlpm.codes)),_xlpm.cnd,INDEX(_xlpm.tbl,0,4),_xlpm.sts,INDEX(_xlpm.tbl,0,2),_xlpm.sz,IFERROR(_xlfn.TEXTBEFORE(_xlfn.TEXTAFTER(_xlpm.cnd,"#"),","),IFERROR(_xlfn.TEXTAFTER(_xlpm.cnd,"#"),"")),_xlpm.cm,IFERROR(_xlfn.XLOOKUP(TRIM(_xlpm.sz),Ampacity_Size,Ampacity_CM),0),_xlpm.mult,IF($G30=3,SQRT3,2),_xlpm.kk,IF($BV30="AL",K_Al,K_Cu),_xlpm.vd,IF(_xlpm.cm*IF(ISNUMBER(_xlpm.sts),_xlpm.sts,0)=0,9,_xlpm.mult*_xlpm.kk*$I30*$H30/(_xlpm.cm*_xlpm.sts)/$F30),_xlpm.hasN,--(RIGHT(_xlpm.codes&amp;"",1)="N"),_xlpm.wantN,--(RIGHT($BP30&amp;"",1)="N"),_xlpm.ok,(_xlpm.idx&gt;=_xlpm.i)*(_xlpm.vd&lt;=Cfg_VDFeeder)*(_xlpm.cm&gt;0)*ISNUMBER(_xlpm.sts)*(_xlpm.hasN=_xlpm.wantN),_xlpm.m,MIN(IF(_xlpm.ok=1,_xlpm.idx)),INDEX(_xlpm.codes,IF(_xlpm.m=0,_xlpm.i,_xlpm.m))),""))</f>
        <v/>
      </c>
      <c r="BY30" s="829" t="str" cm="1">
        <f t="array" ref="BY30">IF($BP30="","",IF($BX30="",$BU30,IFERROR(IF($BV30="AL",_xlfn.XLOOKUP($BX30,Std_Al3_Code,INDEX(Std_Al3_Table,0,2)),IF($G30=1,_xlfn.XLOOKUP($BX30,Std_Cu1_Code,INDEX(Std_Cu1_Table,0,2)),_xlfn.XLOOKUP($BX30,Std_Cu3_Code,INDEX(Std_Cu3_Table,0,2)))),"")))</f>
        <v/>
      </c>
      <c r="BZ30" s="829" t="str" cm="1">
        <f t="array" ref="BZ30">IF($BP30="","",IF($BX30="",$BR30,IFERROR(IF($BV30="AL",_xlfn.XLOOKUP($BX30,Std_Al3_Code,INDEX(Std_Al3_Table,0,4)),IF($G30=1,_xlfn.XLOOKUP($BX30,Std_Cu1_Code,INDEX(Std_Cu1_Table,0,4)),_xlfn.XLOOKUP($BX30,Std_Cu3_Code,INDEX(Std_Cu3_Table,0,4)))),"")))</f>
        <v/>
      </c>
      <c r="CA30" s="829" t="str" cm="1">
        <f t="array" ref="CA30">IF($BP30="","",IF($BX30="",$BQ30,IFERROR(IF($BV30="AL",_xlfn.XLOOKUP($BX30,Std_Al3_Code,INDEX(Std_Al3_Table,0,3)),IF($G30=1,_xlfn.XLOOKUP($BX30,Std_Cu1_Code,INDEX(Std_Cu1_Table,0,3)),_xlfn.XLOOKUP($BX30,Std_Cu3_Code,INDEX(Std_Cu3_Table,0,3)))),"")))</f>
        <v/>
      </c>
      <c r="CB30" s="829" t="str" cm="1">
        <f t="array" ref="CB30">IF($BP30="","",IF($BX30="",$BS30,IFERROR(IF($BV30="AL",_xlfn.XLOOKUP($BX30,Std_Al3_Code,INDEX(Std_Al3_Table,0,5)),IF($G30=1,_xlfn.XLOOKUP($BX30,Std_Cu1_Code,INDEX(Std_Cu1_Table,0,5)),_xlfn.XLOOKUP($BX30,Std_Cu3_Code,INDEX(Std_Cu3_Table,0,5)))),"")))</f>
        <v/>
      </c>
      <c r="CC30" s="829" t="str">
        <f t="shared" si="13"/>
        <v/>
      </c>
      <c r="CD30" s="829" t="str">
        <f t="shared" si="14"/>
        <v/>
      </c>
      <c r="CE30" s="829" t="str">
        <f t="shared" si="15"/>
        <v/>
      </c>
      <c r="CF30" s="829" t="str">
        <f t="shared" si="16"/>
        <v/>
      </c>
      <c r="CG30" s="829" t="str">
        <f t="shared" si="17"/>
        <v/>
      </c>
      <c r="CH30" s="829" t="str">
        <f t="shared" si="18"/>
        <v/>
      </c>
      <c r="CI30" s="829" t="str">
        <f t="shared" si="19"/>
        <v/>
      </c>
      <c r="CJ30" s="829" t="str" cm="1">
        <f t="array" ref="CJ30">IF($B30="","",_xlfn.LET(_xlpm.to,$D30&amp;"",_xlpm.em,IFERROR(INDEX(_xlfn.ANCHORARRAY($BE$4),ROW()-4,6),"")="EMERG",_xlpm.pri,AND(NOT(_xlpm.em),LEFT(_xlpm.to,2)="T-",ISNUMBER(MATCH(MID(_xlpm.to,3,99),Equip_List,0)),ISNA(MATCH(_xlpm.to,Equip_List,0))),IF(_xlpm.pri,MID(_xlpm.to,3,99),_xlpm.to)))</f>
        <v/>
      </c>
      <c r="CK30" s="829" t="str" cm="1">
        <f t="array" ref="CK30">IF($CJ30="","",IF(IFERROR(INDEX(_xlfn.ANCHORARRAY($BE$4),ROW()-4,6),"")="EMERG","E",IF($CJ30&lt;&gt;$D30&amp;"","P","N")))</f>
        <v/>
      </c>
    </row>
    <row r="31" spans="1:89" ht="15" customHeight="1" x14ac:dyDescent="0.35">
      <c r="A31" s="821" t="str">
        <f t="shared" si="7"/>
        <v/>
      </c>
      <c r="B31" s="821" t="str" cm="1">
        <f t="array" ref="B31">IFERROR(IF(INDEX(_xlfn.ANCHORARRAY($BE$4),ROW()-4,2)="","","F-"&amp;INDEX(_xlfn.ANCHORARRAY($BE$4),ROW()-4,2)&amp;IF(IFERROR(INDEX(_xlfn.ANCHORARRAY($BE$4),ROW()-4,6),"")="EMERG","-E","")),"")</f>
        <v/>
      </c>
      <c r="C31" s="821" t="str" cm="1">
        <f t="array" ref="C31">IFERROR(IF($B31="","",INDEX(_xlfn.ANCHORARRAY($BE$4),ROW()-4,1)),"")</f>
        <v/>
      </c>
      <c r="D31" s="821" t="str" cm="1">
        <f t="array" ref="D31">IFERROR(IF($B31="","",INDEX(_xlfn.ANCHORARRAY($BE$4),ROW()-4,2)),"")</f>
        <v/>
      </c>
      <c r="E31" s="806" t="str" cm="1">
        <f t="array" ref="E31">IFERROR(IF($B31="","",INDEX(_xlfn.ANCHORARRAY($BE$4),ROW()-4,3)),"")</f>
        <v/>
      </c>
      <c r="F31" s="822" t="str" cm="1">
        <f t="array" ref="F31">IFERROR(IF($B31="","",INDEX(_xlfn.ANCHORARRAY($BE$4),ROW()-4,4)),"")</f>
        <v/>
      </c>
      <c r="G31" s="823" t="str" cm="1">
        <f t="array" ref="G31">IFERROR(IF($B31="","",INDEX(_xlfn.ANCHORARRAY($BE$4),ROW()-4,5)),"")</f>
        <v/>
      </c>
      <c r="H31" s="824" t="str" cm="1">
        <f t="array" ref="H31">IF($CJ31="","",_xlfn.LET(_xlpm.v,_xlfn.XLOOKUP($CJ31,Equip_List,IF($CK31="E",Equip_EmLen,IF($CK31="P",Equip_XfPriLen,Equip_FdrLen)),""),IF(_xlpm.v="","",_xlpm.v)))</f>
        <v/>
      </c>
      <c r="I31" s="806" t="str">
        <f t="shared" si="0"/>
        <v/>
      </c>
      <c r="J31" s="820"/>
      <c r="K31" s="806" t="str">
        <f>_xlfn.LET(_xlpm.k,IF($I31="","",IF(COUNTIF(UPS!$B$57:$B$64,$C31&amp;"")&gt;0,1.25*MAX($I31,N(_xlfn.XLOOKUP($C31&amp;"",UPS!$B$57:$B$64,UPS!$M$57:$M$64,0))),IF(COUNTIF(UPS!$B$57:$B$64,$D31&amp;"")&gt;0,1.25*MAX($I31,N(_xlfn.XLOOKUP($D31&amp;"",UPS!$B$57:$B$64,UPS!$Q$57:$Q$64,0))),$I31*IF(OR(UPPER($J31)="Y",LEFT($C31,2)="T-",LEFT($D31,2)="T-"),1.25,1)))),IF(_xlpm.k="","",MAX(_xlpm.k,N(IFERROR(_xlfn.XLOOKUP($D31&amp;"",Dashboard!$A$101:$A$350,Dashboard!$O$101:$O$350,0),0)))))</f>
        <v/>
      </c>
      <c r="L31" s="825" t="str">
        <f>IF($CJ31="","",_xlfn.LET(_xlpm.v,UPPER(TRIM(_xlfn.XLOOKUP($CJ31,Equip_List,Equip_FdrMat,"")&amp;"")),IF(_xlpm.v="",UPPER(TRIM(Cfg_FeederMat&amp;"")),_xlpm.v)))</f>
        <v/>
      </c>
      <c r="M31" s="825" t="str">
        <f>IF($CJ31="","",_xlfn.LET(_xlpm.v,TRIM(_xlfn.XLOOKUP($CJ31,Equip_List,Equip_FdrRace,"")&amp;""),IF(_xlpm.v="",Cfg_Conduit&amp;"",_xlpm.v)))</f>
        <v/>
      </c>
      <c r="N31" s="825" t="str">
        <f>IF($CJ31="","",IF(UPPER(TRIM(_xlfn.XLOOKUP($CJ31,Equip_List,Equip_FdrExist,"")&amp;""))="Y","Y",""))</f>
        <v/>
      </c>
      <c r="O31" s="823" t="str">
        <f t="shared" si="8"/>
        <v/>
      </c>
      <c r="P31" s="821" t="str">
        <f t="shared" si="9"/>
        <v/>
      </c>
      <c r="Q31" s="821" t="str">
        <f t="shared" si="10"/>
        <v/>
      </c>
      <c r="R31" s="822" t="str" cm="1">
        <f t="array" ref="R31">IF(K31="","",INDEX(OCPD_List,MATCH(TRUE,OCPD_List&gt;=K31,0)))</f>
        <v/>
      </c>
      <c r="S31" s="821" t="str">
        <f t="shared" si="11"/>
        <v/>
      </c>
      <c r="T31" s="826" t="str">
        <f t="shared" si="1"/>
        <v/>
      </c>
      <c r="U31" s="826" t="str">
        <f t="shared" si="2"/>
        <v/>
      </c>
      <c r="V31" s="827" t="str">
        <f t="shared" si="3"/>
        <v/>
      </c>
      <c r="W31" s="828"/>
      <c r="X31" s="819"/>
      <c r="Y31" s="820"/>
      <c r="Z31" s="820"/>
      <c r="AA31" s="820"/>
      <c r="BN31" s="832" t="str">
        <f>IF($B31="","",IFERROR(_xlfn.XLOOKUP($D31,Dashboard!$A$101:$A$350,Dashboard!$C$101:$C$350),""))</f>
        <v/>
      </c>
      <c r="BO31" s="832" t="str">
        <f t="shared" si="4"/>
        <v/>
      </c>
      <c r="BP31" s="832" t="str" cm="1">
        <f t="array" ref="BP31">IF(OR($B31="",$R31="",NOT(ISNUMBER($R31))),"",IF(AND($BV31="AL",$G31=1),"",_xlfn.LET(_xlpm.codes,IF($BV31="AL",Std_Al3_Code,IF($G31=1,Std_Cu1_Code,Std_Cu3_Code)),_xlpm.amps,IFERROR(--SUBSTITUTE(_xlpm.codes&amp;"","N",""),""),_xlpm.a,MIN(IF(ISNUMBER(_xlpm.amps),IF(_xlpm.amps&gt;=$R31,_xlpm.amps,""),"")),_xlpm.k,IF(_xlpm.a=0,$R31,_xlpm.a),IF($BO31="Y",TEXT(_xlpm.k,"0")&amp;"N",_xlpm.k))))</f>
        <v/>
      </c>
      <c r="BQ31" s="832" t="str" cm="1">
        <f t="array" ref="BQ31">IF($BP31="","",IFERROR(IF($BV31="AL",_xlfn.XLOOKUP($BP31,Std_Al3_Code,INDEX(Std_Al3_Table,0,3)),IF($G31=1,_xlfn.XLOOKUP($BP31,Std_Cu1_Code,INDEX(Std_Cu1_Table,0,3)),_xlfn.XLOOKUP($BP31,Std_Cu3_Code,INDEX(Std_Cu3_Table,0,3)))),""))</f>
        <v/>
      </c>
      <c r="BR31" s="832" t="str" cm="1">
        <f t="array" ref="BR31">IF($BP31="","",IFERROR(IF($BV31="AL",_xlfn.XLOOKUP($BP31,Std_Al3_Code,INDEX(Std_Al3_Table,0,4)),IF($G31=1,_xlfn.XLOOKUP($BP31,Std_Cu1_Code,INDEX(Std_Cu1_Table,0,4)),_xlfn.XLOOKUP($BP31,Std_Cu3_Code,INDEX(Std_Cu3_Table,0,4)))),""))</f>
        <v/>
      </c>
      <c r="BS31" s="832" t="str" cm="1">
        <f t="array" ref="BS31">IF($BP31="","",IFERROR(IF($BV31="AL",_xlfn.XLOOKUP($BP31,Std_Al3_Code,INDEX(Std_Al3_Table,0,5)),IF($G31=1,_xlfn.XLOOKUP($BP31,Std_Cu1_Code,INDEX(Std_Cu1_Table,0,5)),_xlfn.XLOOKUP($BP31,Std_Cu3_Code,INDEX(Std_Cu3_Table,0,5)))),""))</f>
        <v/>
      </c>
      <c r="BT31" s="832" t="str">
        <f t="shared" si="5"/>
        <v/>
      </c>
      <c r="BU31" s="832" t="str" cm="1">
        <f t="array" ref="BU31">IF($BP31="","",IFERROR(IF($BV31="AL",_xlfn.XLOOKUP($BP31,Std_Al3_Code,INDEX(Std_Al3_Table,0,2)),IF($G31=1,_xlfn.XLOOKUP($BP31,Std_Cu1_Code,INDEX(Std_Cu1_Table,0,2)),_xlfn.XLOOKUP($BP31,Std_Cu3_Code,INDEX(Std_Cu3_Table,0,2)))),""))</f>
        <v/>
      </c>
      <c r="BV31" s="829" t="str">
        <f t="shared" si="6"/>
        <v/>
      </c>
      <c r="BW31" s="829" t="str">
        <f t="shared" si="12"/>
        <v/>
      </c>
      <c r="BX31" s="829" t="str" cm="1">
        <f t="array" ref="BX31">IF(OR($BP31="",$H31="",$I31="",$F31="",$BW31=""),"",IFERROR(_xlfn.LET(_xlpm.codes,IF($BV31="AL",Std_Al3_Code,IF($G31=1,Std_Cu1_Code,Std_Cu3_Code)),_xlpm.tbl,IF($BV31="AL",Std_Al3_Table,IF($G31=1,Std_Cu1_Table,Std_Cu3_Table)),_xlpm.i,MATCH($BP31,_xlpm.codes,0),_xlpm.idx,_xlfn.SEQUENCE(ROWS(_xlpm.codes)),_xlpm.cnd,INDEX(_xlpm.tbl,0,4),_xlpm.sts,INDEX(_xlpm.tbl,0,2),_xlpm.sz,IFERROR(_xlfn.TEXTBEFORE(_xlfn.TEXTAFTER(_xlpm.cnd,"#"),","),IFERROR(_xlfn.TEXTAFTER(_xlpm.cnd,"#"),"")),_xlpm.cm,IFERROR(_xlfn.XLOOKUP(TRIM(_xlpm.sz),Ampacity_Size,Ampacity_CM),0),_xlpm.mult,IF($G31=3,SQRT3,2),_xlpm.kk,IF($BV31="AL",K_Al,K_Cu),_xlpm.vd,IF(_xlpm.cm*IF(ISNUMBER(_xlpm.sts),_xlpm.sts,0)=0,9,_xlpm.mult*_xlpm.kk*$I31*$H31/(_xlpm.cm*_xlpm.sts)/$F31),_xlpm.hasN,--(RIGHT(_xlpm.codes&amp;"",1)="N"),_xlpm.wantN,--(RIGHT($BP31&amp;"",1)="N"),_xlpm.ok,(_xlpm.idx&gt;=_xlpm.i)*(_xlpm.vd&lt;=Cfg_VDFeeder)*(_xlpm.cm&gt;0)*ISNUMBER(_xlpm.sts)*(_xlpm.hasN=_xlpm.wantN),_xlpm.m,MIN(IF(_xlpm.ok=1,_xlpm.idx)),INDEX(_xlpm.codes,IF(_xlpm.m=0,_xlpm.i,_xlpm.m))),""))</f>
        <v/>
      </c>
      <c r="BY31" s="829" t="str" cm="1">
        <f t="array" ref="BY31">IF($BP31="","",IF($BX31="",$BU31,IFERROR(IF($BV31="AL",_xlfn.XLOOKUP($BX31,Std_Al3_Code,INDEX(Std_Al3_Table,0,2)),IF($G31=1,_xlfn.XLOOKUP($BX31,Std_Cu1_Code,INDEX(Std_Cu1_Table,0,2)),_xlfn.XLOOKUP($BX31,Std_Cu3_Code,INDEX(Std_Cu3_Table,0,2)))),"")))</f>
        <v/>
      </c>
      <c r="BZ31" s="829" t="str" cm="1">
        <f t="array" ref="BZ31">IF($BP31="","",IF($BX31="",$BR31,IFERROR(IF($BV31="AL",_xlfn.XLOOKUP($BX31,Std_Al3_Code,INDEX(Std_Al3_Table,0,4)),IF($G31=1,_xlfn.XLOOKUP($BX31,Std_Cu1_Code,INDEX(Std_Cu1_Table,0,4)),_xlfn.XLOOKUP($BX31,Std_Cu3_Code,INDEX(Std_Cu3_Table,0,4)))),"")))</f>
        <v/>
      </c>
      <c r="CA31" s="829" t="str" cm="1">
        <f t="array" ref="CA31">IF($BP31="","",IF($BX31="",$BQ31,IFERROR(IF($BV31="AL",_xlfn.XLOOKUP($BX31,Std_Al3_Code,INDEX(Std_Al3_Table,0,3)),IF($G31=1,_xlfn.XLOOKUP($BX31,Std_Cu1_Code,INDEX(Std_Cu1_Table,0,3)),_xlfn.XLOOKUP($BX31,Std_Cu3_Code,INDEX(Std_Cu3_Table,0,3)))),"")))</f>
        <v/>
      </c>
      <c r="CB31" s="829" t="str" cm="1">
        <f t="array" ref="CB31">IF($BP31="","",IF($BX31="",$BS31,IFERROR(IF($BV31="AL",_xlfn.XLOOKUP($BX31,Std_Al3_Code,INDEX(Std_Al3_Table,0,5)),IF($G31=1,_xlfn.XLOOKUP($BX31,Std_Cu1_Code,INDEX(Std_Cu1_Table,0,5)),_xlfn.XLOOKUP($BX31,Std_Cu3_Code,INDEX(Std_Cu3_Table,0,5)))),"")))</f>
        <v/>
      </c>
      <c r="CC31" s="829" t="str">
        <f t="shared" si="13"/>
        <v/>
      </c>
      <c r="CD31" s="829" t="str">
        <f t="shared" si="14"/>
        <v/>
      </c>
      <c r="CE31" s="829" t="str">
        <f t="shared" si="15"/>
        <v/>
      </c>
      <c r="CF31" s="829" t="str">
        <f t="shared" si="16"/>
        <v/>
      </c>
      <c r="CG31" s="829" t="str">
        <f t="shared" si="17"/>
        <v/>
      </c>
      <c r="CH31" s="829" t="str">
        <f t="shared" si="18"/>
        <v/>
      </c>
      <c r="CI31" s="829" t="str">
        <f t="shared" si="19"/>
        <v/>
      </c>
      <c r="CJ31" s="829" t="str" cm="1">
        <f t="array" ref="CJ31">IF($B31="","",_xlfn.LET(_xlpm.to,$D31&amp;"",_xlpm.em,IFERROR(INDEX(_xlfn.ANCHORARRAY($BE$4),ROW()-4,6),"")="EMERG",_xlpm.pri,AND(NOT(_xlpm.em),LEFT(_xlpm.to,2)="T-",ISNUMBER(MATCH(MID(_xlpm.to,3,99),Equip_List,0)),ISNA(MATCH(_xlpm.to,Equip_List,0))),IF(_xlpm.pri,MID(_xlpm.to,3,99),_xlpm.to)))</f>
        <v/>
      </c>
      <c r="CK31" s="829" t="str" cm="1">
        <f t="array" ref="CK31">IF($CJ31="","",IF(IFERROR(INDEX(_xlfn.ANCHORARRAY($BE$4),ROW()-4,6),"")="EMERG","E",IF($CJ31&lt;&gt;$D31&amp;"","P","N")))</f>
        <v/>
      </c>
    </row>
    <row r="32" spans="1:89" ht="15" customHeight="1" x14ac:dyDescent="0.35">
      <c r="A32" s="821" t="str">
        <f t="shared" si="7"/>
        <v/>
      </c>
      <c r="B32" s="821" t="str" cm="1">
        <f t="array" ref="B32">IFERROR(IF(INDEX(_xlfn.ANCHORARRAY($BE$4),ROW()-4,2)="","","F-"&amp;INDEX(_xlfn.ANCHORARRAY($BE$4),ROW()-4,2)&amp;IF(IFERROR(INDEX(_xlfn.ANCHORARRAY($BE$4),ROW()-4,6),"")="EMERG","-E","")),"")</f>
        <v/>
      </c>
      <c r="C32" s="821" t="str" cm="1">
        <f t="array" ref="C32">IFERROR(IF($B32="","",INDEX(_xlfn.ANCHORARRAY($BE$4),ROW()-4,1)),"")</f>
        <v/>
      </c>
      <c r="D32" s="821" t="str" cm="1">
        <f t="array" ref="D32">IFERROR(IF($B32="","",INDEX(_xlfn.ANCHORARRAY($BE$4),ROW()-4,2)),"")</f>
        <v/>
      </c>
      <c r="E32" s="806" t="str" cm="1">
        <f t="array" ref="E32">IFERROR(IF($B32="","",INDEX(_xlfn.ANCHORARRAY($BE$4),ROW()-4,3)),"")</f>
        <v/>
      </c>
      <c r="F32" s="822" t="str" cm="1">
        <f t="array" ref="F32">IFERROR(IF($B32="","",INDEX(_xlfn.ANCHORARRAY($BE$4),ROW()-4,4)),"")</f>
        <v/>
      </c>
      <c r="G32" s="823" t="str" cm="1">
        <f t="array" ref="G32">IFERROR(IF($B32="","",INDEX(_xlfn.ANCHORARRAY($BE$4),ROW()-4,5)),"")</f>
        <v/>
      </c>
      <c r="H32" s="824" t="str" cm="1">
        <f t="array" ref="H32">IF($CJ32="","",_xlfn.LET(_xlpm.v,_xlfn.XLOOKUP($CJ32,Equip_List,IF($CK32="E",Equip_EmLen,IF($CK32="P",Equip_XfPriLen,Equip_FdrLen)),""),IF(_xlpm.v="","",_xlpm.v)))</f>
        <v/>
      </c>
      <c r="I32" s="806" t="str">
        <f t="shared" si="0"/>
        <v/>
      </c>
      <c r="J32" s="820"/>
      <c r="K32" s="806" t="str">
        <f>_xlfn.LET(_xlpm.k,IF($I32="","",IF(COUNTIF(UPS!$B$57:$B$64,$C32&amp;"")&gt;0,1.25*MAX($I32,N(_xlfn.XLOOKUP($C32&amp;"",UPS!$B$57:$B$64,UPS!$M$57:$M$64,0))),IF(COUNTIF(UPS!$B$57:$B$64,$D32&amp;"")&gt;0,1.25*MAX($I32,N(_xlfn.XLOOKUP($D32&amp;"",UPS!$B$57:$B$64,UPS!$Q$57:$Q$64,0))),$I32*IF(OR(UPPER($J32)="Y",LEFT($C32,2)="T-",LEFT($D32,2)="T-"),1.25,1)))),IF(_xlpm.k="","",MAX(_xlpm.k,N(IFERROR(_xlfn.XLOOKUP($D32&amp;"",Dashboard!$A$101:$A$350,Dashboard!$O$101:$O$350,0),0)))))</f>
        <v/>
      </c>
      <c r="L32" s="825" t="str">
        <f>IF($CJ32="","",_xlfn.LET(_xlpm.v,UPPER(TRIM(_xlfn.XLOOKUP($CJ32,Equip_List,Equip_FdrMat,"")&amp;"")),IF(_xlpm.v="",UPPER(TRIM(Cfg_FeederMat&amp;"")),_xlpm.v)))</f>
        <v/>
      </c>
      <c r="M32" s="825" t="str">
        <f>IF($CJ32="","",_xlfn.LET(_xlpm.v,TRIM(_xlfn.XLOOKUP($CJ32,Equip_List,Equip_FdrRace,"")&amp;""),IF(_xlpm.v="",Cfg_Conduit&amp;"",_xlpm.v)))</f>
        <v/>
      </c>
      <c r="N32" s="825" t="str">
        <f>IF($CJ32="","",IF(UPPER(TRIM(_xlfn.XLOOKUP($CJ32,Equip_List,Equip_FdrExist,"")&amp;""))="Y","Y",""))</f>
        <v/>
      </c>
      <c r="O32" s="823" t="str">
        <f t="shared" si="8"/>
        <v/>
      </c>
      <c r="P32" s="821" t="str">
        <f t="shared" si="9"/>
        <v/>
      </c>
      <c r="Q32" s="821" t="str">
        <f t="shared" si="10"/>
        <v/>
      </c>
      <c r="R32" s="822" t="str" cm="1">
        <f t="array" ref="R32">IF(K32="","",INDEX(OCPD_List,MATCH(TRUE,OCPD_List&gt;=K32,0)))</f>
        <v/>
      </c>
      <c r="S32" s="821" t="str">
        <f t="shared" si="11"/>
        <v/>
      </c>
      <c r="T32" s="826" t="str">
        <f t="shared" si="1"/>
        <v/>
      </c>
      <c r="U32" s="826" t="str">
        <f t="shared" si="2"/>
        <v/>
      </c>
      <c r="V32" s="827" t="str">
        <f t="shared" si="3"/>
        <v/>
      </c>
      <c r="W32" s="828"/>
      <c r="X32" s="819"/>
      <c r="Y32" s="820"/>
      <c r="Z32" s="820"/>
      <c r="AA32" s="820"/>
      <c r="BN32" s="832" t="str">
        <f>IF($B32="","",IFERROR(_xlfn.XLOOKUP($D32,Dashboard!$A$101:$A$350,Dashboard!$C$101:$C$350),""))</f>
        <v/>
      </c>
      <c r="BO32" s="832" t="str">
        <f t="shared" si="4"/>
        <v/>
      </c>
      <c r="BP32" s="832" t="str" cm="1">
        <f t="array" ref="BP32">IF(OR($B32="",$R32="",NOT(ISNUMBER($R32))),"",IF(AND($BV32="AL",$G32=1),"",_xlfn.LET(_xlpm.codes,IF($BV32="AL",Std_Al3_Code,IF($G32=1,Std_Cu1_Code,Std_Cu3_Code)),_xlpm.amps,IFERROR(--SUBSTITUTE(_xlpm.codes&amp;"","N",""),""),_xlpm.a,MIN(IF(ISNUMBER(_xlpm.amps),IF(_xlpm.amps&gt;=$R32,_xlpm.amps,""),"")),_xlpm.k,IF(_xlpm.a=0,$R32,_xlpm.a),IF($BO32="Y",TEXT(_xlpm.k,"0")&amp;"N",_xlpm.k))))</f>
        <v/>
      </c>
      <c r="BQ32" s="832" t="str" cm="1">
        <f t="array" ref="BQ32">IF($BP32="","",IFERROR(IF($BV32="AL",_xlfn.XLOOKUP($BP32,Std_Al3_Code,INDEX(Std_Al3_Table,0,3)),IF($G32=1,_xlfn.XLOOKUP($BP32,Std_Cu1_Code,INDEX(Std_Cu1_Table,0,3)),_xlfn.XLOOKUP($BP32,Std_Cu3_Code,INDEX(Std_Cu3_Table,0,3)))),""))</f>
        <v/>
      </c>
      <c r="BR32" s="832" t="str" cm="1">
        <f t="array" ref="BR32">IF($BP32="","",IFERROR(IF($BV32="AL",_xlfn.XLOOKUP($BP32,Std_Al3_Code,INDEX(Std_Al3_Table,0,4)),IF($G32=1,_xlfn.XLOOKUP($BP32,Std_Cu1_Code,INDEX(Std_Cu1_Table,0,4)),_xlfn.XLOOKUP($BP32,Std_Cu3_Code,INDEX(Std_Cu3_Table,0,4)))),""))</f>
        <v/>
      </c>
      <c r="BS32" s="832" t="str" cm="1">
        <f t="array" ref="BS32">IF($BP32="","",IFERROR(IF($BV32="AL",_xlfn.XLOOKUP($BP32,Std_Al3_Code,INDEX(Std_Al3_Table,0,5)),IF($G32=1,_xlfn.XLOOKUP($BP32,Std_Cu1_Code,INDEX(Std_Cu1_Table,0,5)),_xlfn.XLOOKUP($BP32,Std_Cu3_Code,INDEX(Std_Cu3_Table,0,5)))),""))</f>
        <v/>
      </c>
      <c r="BT32" s="832" t="str">
        <f t="shared" si="5"/>
        <v/>
      </c>
      <c r="BU32" s="832" t="str" cm="1">
        <f t="array" ref="BU32">IF($BP32="","",IFERROR(IF($BV32="AL",_xlfn.XLOOKUP($BP32,Std_Al3_Code,INDEX(Std_Al3_Table,0,2)),IF($G32=1,_xlfn.XLOOKUP($BP32,Std_Cu1_Code,INDEX(Std_Cu1_Table,0,2)),_xlfn.XLOOKUP($BP32,Std_Cu3_Code,INDEX(Std_Cu3_Table,0,2)))),""))</f>
        <v/>
      </c>
      <c r="BV32" s="829" t="str">
        <f t="shared" si="6"/>
        <v/>
      </c>
      <c r="BW32" s="829" t="str">
        <f t="shared" si="12"/>
        <v/>
      </c>
      <c r="BX32" s="829" t="str" cm="1">
        <f t="array" ref="BX32">IF(OR($BP32="",$H32="",$I32="",$F32="",$BW32=""),"",IFERROR(_xlfn.LET(_xlpm.codes,IF($BV32="AL",Std_Al3_Code,IF($G32=1,Std_Cu1_Code,Std_Cu3_Code)),_xlpm.tbl,IF($BV32="AL",Std_Al3_Table,IF($G32=1,Std_Cu1_Table,Std_Cu3_Table)),_xlpm.i,MATCH($BP32,_xlpm.codes,0),_xlpm.idx,_xlfn.SEQUENCE(ROWS(_xlpm.codes)),_xlpm.cnd,INDEX(_xlpm.tbl,0,4),_xlpm.sts,INDEX(_xlpm.tbl,0,2),_xlpm.sz,IFERROR(_xlfn.TEXTBEFORE(_xlfn.TEXTAFTER(_xlpm.cnd,"#"),","),IFERROR(_xlfn.TEXTAFTER(_xlpm.cnd,"#"),"")),_xlpm.cm,IFERROR(_xlfn.XLOOKUP(TRIM(_xlpm.sz),Ampacity_Size,Ampacity_CM),0),_xlpm.mult,IF($G32=3,SQRT3,2),_xlpm.kk,IF($BV32="AL",K_Al,K_Cu),_xlpm.vd,IF(_xlpm.cm*IF(ISNUMBER(_xlpm.sts),_xlpm.sts,0)=0,9,_xlpm.mult*_xlpm.kk*$I32*$H32/(_xlpm.cm*_xlpm.sts)/$F32),_xlpm.hasN,--(RIGHT(_xlpm.codes&amp;"",1)="N"),_xlpm.wantN,--(RIGHT($BP32&amp;"",1)="N"),_xlpm.ok,(_xlpm.idx&gt;=_xlpm.i)*(_xlpm.vd&lt;=Cfg_VDFeeder)*(_xlpm.cm&gt;0)*ISNUMBER(_xlpm.sts)*(_xlpm.hasN=_xlpm.wantN),_xlpm.m,MIN(IF(_xlpm.ok=1,_xlpm.idx)),INDEX(_xlpm.codes,IF(_xlpm.m=0,_xlpm.i,_xlpm.m))),""))</f>
        <v/>
      </c>
      <c r="BY32" s="829" t="str" cm="1">
        <f t="array" ref="BY32">IF($BP32="","",IF($BX32="",$BU32,IFERROR(IF($BV32="AL",_xlfn.XLOOKUP($BX32,Std_Al3_Code,INDEX(Std_Al3_Table,0,2)),IF($G32=1,_xlfn.XLOOKUP($BX32,Std_Cu1_Code,INDEX(Std_Cu1_Table,0,2)),_xlfn.XLOOKUP($BX32,Std_Cu3_Code,INDEX(Std_Cu3_Table,0,2)))),"")))</f>
        <v/>
      </c>
      <c r="BZ32" s="829" t="str" cm="1">
        <f t="array" ref="BZ32">IF($BP32="","",IF($BX32="",$BR32,IFERROR(IF($BV32="AL",_xlfn.XLOOKUP($BX32,Std_Al3_Code,INDEX(Std_Al3_Table,0,4)),IF($G32=1,_xlfn.XLOOKUP($BX32,Std_Cu1_Code,INDEX(Std_Cu1_Table,0,4)),_xlfn.XLOOKUP($BX32,Std_Cu3_Code,INDEX(Std_Cu3_Table,0,4)))),"")))</f>
        <v/>
      </c>
      <c r="CA32" s="829" t="str" cm="1">
        <f t="array" ref="CA32">IF($BP32="","",IF($BX32="",$BQ32,IFERROR(IF($BV32="AL",_xlfn.XLOOKUP($BX32,Std_Al3_Code,INDEX(Std_Al3_Table,0,3)),IF($G32=1,_xlfn.XLOOKUP($BX32,Std_Cu1_Code,INDEX(Std_Cu1_Table,0,3)),_xlfn.XLOOKUP($BX32,Std_Cu3_Code,INDEX(Std_Cu3_Table,0,3)))),"")))</f>
        <v/>
      </c>
      <c r="CB32" s="829" t="str" cm="1">
        <f t="array" ref="CB32">IF($BP32="","",IF($BX32="",$BS32,IFERROR(IF($BV32="AL",_xlfn.XLOOKUP($BX32,Std_Al3_Code,INDEX(Std_Al3_Table,0,5)),IF($G32=1,_xlfn.XLOOKUP($BX32,Std_Cu1_Code,INDEX(Std_Cu1_Table,0,5)),_xlfn.XLOOKUP($BX32,Std_Cu3_Code,INDEX(Std_Cu3_Table,0,5)))),"")))</f>
        <v/>
      </c>
      <c r="CC32" s="829" t="str">
        <f t="shared" si="13"/>
        <v/>
      </c>
      <c r="CD32" s="829" t="str">
        <f t="shared" si="14"/>
        <v/>
      </c>
      <c r="CE32" s="829" t="str">
        <f t="shared" si="15"/>
        <v/>
      </c>
      <c r="CF32" s="829" t="str">
        <f t="shared" si="16"/>
        <v/>
      </c>
      <c r="CG32" s="829" t="str">
        <f t="shared" si="17"/>
        <v/>
      </c>
      <c r="CH32" s="829" t="str">
        <f t="shared" si="18"/>
        <v/>
      </c>
      <c r="CI32" s="829" t="str">
        <f t="shared" si="19"/>
        <v/>
      </c>
      <c r="CJ32" s="829" t="str" cm="1">
        <f t="array" ref="CJ32">IF($B32="","",_xlfn.LET(_xlpm.to,$D32&amp;"",_xlpm.em,IFERROR(INDEX(_xlfn.ANCHORARRAY($BE$4),ROW()-4,6),"")="EMERG",_xlpm.pri,AND(NOT(_xlpm.em),LEFT(_xlpm.to,2)="T-",ISNUMBER(MATCH(MID(_xlpm.to,3,99),Equip_List,0)),ISNA(MATCH(_xlpm.to,Equip_List,0))),IF(_xlpm.pri,MID(_xlpm.to,3,99),_xlpm.to)))</f>
        <v/>
      </c>
      <c r="CK32" s="829" t="str" cm="1">
        <f t="array" ref="CK32">IF($CJ32="","",IF(IFERROR(INDEX(_xlfn.ANCHORARRAY($BE$4),ROW()-4,6),"")="EMERG","E",IF($CJ32&lt;&gt;$D32&amp;"","P","N")))</f>
        <v/>
      </c>
    </row>
    <row r="33" spans="1:89" ht="15" customHeight="1" x14ac:dyDescent="0.35">
      <c r="A33" s="821" t="str">
        <f t="shared" si="7"/>
        <v/>
      </c>
      <c r="B33" s="821" t="str" cm="1">
        <f t="array" ref="B33">IFERROR(IF(INDEX(_xlfn.ANCHORARRAY($BE$4),ROW()-4,2)="","","F-"&amp;INDEX(_xlfn.ANCHORARRAY($BE$4),ROW()-4,2)&amp;IF(IFERROR(INDEX(_xlfn.ANCHORARRAY($BE$4),ROW()-4,6),"")="EMERG","-E","")),"")</f>
        <v/>
      </c>
      <c r="C33" s="821" t="str" cm="1">
        <f t="array" ref="C33">IFERROR(IF($B33="","",INDEX(_xlfn.ANCHORARRAY($BE$4),ROW()-4,1)),"")</f>
        <v/>
      </c>
      <c r="D33" s="821" t="str" cm="1">
        <f t="array" ref="D33">IFERROR(IF($B33="","",INDEX(_xlfn.ANCHORARRAY($BE$4),ROW()-4,2)),"")</f>
        <v/>
      </c>
      <c r="E33" s="806" t="str" cm="1">
        <f t="array" ref="E33">IFERROR(IF($B33="","",INDEX(_xlfn.ANCHORARRAY($BE$4),ROW()-4,3)),"")</f>
        <v/>
      </c>
      <c r="F33" s="822" t="str" cm="1">
        <f t="array" ref="F33">IFERROR(IF($B33="","",INDEX(_xlfn.ANCHORARRAY($BE$4),ROW()-4,4)),"")</f>
        <v/>
      </c>
      <c r="G33" s="823" t="str" cm="1">
        <f t="array" ref="G33">IFERROR(IF($B33="","",INDEX(_xlfn.ANCHORARRAY($BE$4),ROW()-4,5)),"")</f>
        <v/>
      </c>
      <c r="H33" s="824" t="str" cm="1">
        <f t="array" ref="H33">IF($CJ33="","",_xlfn.LET(_xlpm.v,_xlfn.XLOOKUP($CJ33,Equip_List,IF($CK33="E",Equip_EmLen,IF($CK33="P",Equip_XfPriLen,Equip_FdrLen)),""),IF(_xlpm.v="","",_xlpm.v)))</f>
        <v/>
      </c>
      <c r="I33" s="806" t="str">
        <f t="shared" si="0"/>
        <v/>
      </c>
      <c r="J33" s="820"/>
      <c r="K33" s="806" t="str">
        <f>_xlfn.LET(_xlpm.k,IF($I33="","",IF(COUNTIF(UPS!$B$57:$B$64,$C33&amp;"")&gt;0,1.25*MAX($I33,N(_xlfn.XLOOKUP($C33&amp;"",UPS!$B$57:$B$64,UPS!$M$57:$M$64,0))),IF(COUNTIF(UPS!$B$57:$B$64,$D33&amp;"")&gt;0,1.25*MAX($I33,N(_xlfn.XLOOKUP($D33&amp;"",UPS!$B$57:$B$64,UPS!$Q$57:$Q$64,0))),$I33*IF(OR(UPPER($J33)="Y",LEFT($C33,2)="T-",LEFT($D33,2)="T-"),1.25,1)))),IF(_xlpm.k="","",MAX(_xlpm.k,N(IFERROR(_xlfn.XLOOKUP($D33&amp;"",Dashboard!$A$101:$A$350,Dashboard!$O$101:$O$350,0),0)))))</f>
        <v/>
      </c>
      <c r="L33" s="825" t="str">
        <f>IF($CJ33="","",_xlfn.LET(_xlpm.v,UPPER(TRIM(_xlfn.XLOOKUP($CJ33,Equip_List,Equip_FdrMat,"")&amp;"")),IF(_xlpm.v="",UPPER(TRIM(Cfg_FeederMat&amp;"")),_xlpm.v)))</f>
        <v/>
      </c>
      <c r="M33" s="825" t="str">
        <f>IF($CJ33="","",_xlfn.LET(_xlpm.v,TRIM(_xlfn.XLOOKUP($CJ33,Equip_List,Equip_FdrRace,"")&amp;""),IF(_xlpm.v="",Cfg_Conduit&amp;"",_xlpm.v)))</f>
        <v/>
      </c>
      <c r="N33" s="825" t="str">
        <f>IF($CJ33="","",IF(UPPER(TRIM(_xlfn.XLOOKUP($CJ33,Equip_List,Equip_FdrExist,"")&amp;""))="Y","Y",""))</f>
        <v/>
      </c>
      <c r="O33" s="823" t="str">
        <f t="shared" si="8"/>
        <v/>
      </c>
      <c r="P33" s="821" t="str">
        <f t="shared" si="9"/>
        <v/>
      </c>
      <c r="Q33" s="821" t="str">
        <f t="shared" si="10"/>
        <v/>
      </c>
      <c r="R33" s="822" t="str" cm="1">
        <f t="array" ref="R33">IF(K33="","",INDEX(OCPD_List,MATCH(TRUE,OCPD_List&gt;=K33,0)))</f>
        <v/>
      </c>
      <c r="S33" s="821" t="str">
        <f t="shared" si="11"/>
        <v/>
      </c>
      <c r="T33" s="826" t="str">
        <f t="shared" si="1"/>
        <v/>
      </c>
      <c r="U33" s="826" t="str">
        <f t="shared" si="2"/>
        <v/>
      </c>
      <c r="V33" s="827" t="str">
        <f t="shared" si="3"/>
        <v/>
      </c>
      <c r="W33" s="828"/>
      <c r="X33" s="819"/>
      <c r="Y33" s="820"/>
      <c r="Z33" s="820"/>
      <c r="AA33" s="820"/>
      <c r="BN33" s="832" t="str">
        <f>IF($B33="","",IFERROR(_xlfn.XLOOKUP($D33,Dashboard!$A$101:$A$350,Dashboard!$C$101:$C$350),""))</f>
        <v/>
      </c>
      <c r="BO33" s="832" t="str">
        <f t="shared" si="4"/>
        <v/>
      </c>
      <c r="BP33" s="832" t="str" cm="1">
        <f t="array" ref="BP33">IF(OR($B33="",$R33="",NOT(ISNUMBER($R33))),"",IF(AND($BV33="AL",$G33=1),"",_xlfn.LET(_xlpm.codes,IF($BV33="AL",Std_Al3_Code,IF($G33=1,Std_Cu1_Code,Std_Cu3_Code)),_xlpm.amps,IFERROR(--SUBSTITUTE(_xlpm.codes&amp;"","N",""),""),_xlpm.a,MIN(IF(ISNUMBER(_xlpm.amps),IF(_xlpm.amps&gt;=$R33,_xlpm.amps,""),"")),_xlpm.k,IF(_xlpm.a=0,$R33,_xlpm.a),IF($BO33="Y",TEXT(_xlpm.k,"0")&amp;"N",_xlpm.k))))</f>
        <v/>
      </c>
      <c r="BQ33" s="832" t="str" cm="1">
        <f t="array" ref="BQ33">IF($BP33="","",IFERROR(IF($BV33="AL",_xlfn.XLOOKUP($BP33,Std_Al3_Code,INDEX(Std_Al3_Table,0,3)),IF($G33=1,_xlfn.XLOOKUP($BP33,Std_Cu1_Code,INDEX(Std_Cu1_Table,0,3)),_xlfn.XLOOKUP($BP33,Std_Cu3_Code,INDEX(Std_Cu3_Table,0,3)))),""))</f>
        <v/>
      </c>
      <c r="BR33" s="832" t="str" cm="1">
        <f t="array" ref="BR33">IF($BP33="","",IFERROR(IF($BV33="AL",_xlfn.XLOOKUP($BP33,Std_Al3_Code,INDEX(Std_Al3_Table,0,4)),IF($G33=1,_xlfn.XLOOKUP($BP33,Std_Cu1_Code,INDEX(Std_Cu1_Table,0,4)),_xlfn.XLOOKUP($BP33,Std_Cu3_Code,INDEX(Std_Cu3_Table,0,4)))),""))</f>
        <v/>
      </c>
      <c r="BS33" s="832" t="str" cm="1">
        <f t="array" ref="BS33">IF($BP33="","",IFERROR(IF($BV33="AL",_xlfn.XLOOKUP($BP33,Std_Al3_Code,INDEX(Std_Al3_Table,0,5)),IF($G33=1,_xlfn.XLOOKUP($BP33,Std_Cu1_Code,INDEX(Std_Cu1_Table,0,5)),_xlfn.XLOOKUP($BP33,Std_Cu3_Code,INDEX(Std_Cu3_Table,0,5)))),""))</f>
        <v/>
      </c>
      <c r="BT33" s="832" t="str">
        <f t="shared" si="5"/>
        <v/>
      </c>
      <c r="BU33" s="832" t="str" cm="1">
        <f t="array" ref="BU33">IF($BP33="","",IFERROR(IF($BV33="AL",_xlfn.XLOOKUP($BP33,Std_Al3_Code,INDEX(Std_Al3_Table,0,2)),IF($G33=1,_xlfn.XLOOKUP($BP33,Std_Cu1_Code,INDEX(Std_Cu1_Table,0,2)),_xlfn.XLOOKUP($BP33,Std_Cu3_Code,INDEX(Std_Cu3_Table,0,2)))),""))</f>
        <v/>
      </c>
      <c r="BV33" s="829" t="str">
        <f t="shared" si="6"/>
        <v/>
      </c>
      <c r="BW33" s="829" t="str">
        <f t="shared" si="12"/>
        <v/>
      </c>
      <c r="BX33" s="829" t="str" cm="1">
        <f t="array" ref="BX33">IF(OR($BP33="",$H33="",$I33="",$F33="",$BW33=""),"",IFERROR(_xlfn.LET(_xlpm.codes,IF($BV33="AL",Std_Al3_Code,IF($G33=1,Std_Cu1_Code,Std_Cu3_Code)),_xlpm.tbl,IF($BV33="AL",Std_Al3_Table,IF($G33=1,Std_Cu1_Table,Std_Cu3_Table)),_xlpm.i,MATCH($BP33,_xlpm.codes,0),_xlpm.idx,_xlfn.SEQUENCE(ROWS(_xlpm.codes)),_xlpm.cnd,INDEX(_xlpm.tbl,0,4),_xlpm.sts,INDEX(_xlpm.tbl,0,2),_xlpm.sz,IFERROR(_xlfn.TEXTBEFORE(_xlfn.TEXTAFTER(_xlpm.cnd,"#"),","),IFERROR(_xlfn.TEXTAFTER(_xlpm.cnd,"#"),"")),_xlpm.cm,IFERROR(_xlfn.XLOOKUP(TRIM(_xlpm.sz),Ampacity_Size,Ampacity_CM),0),_xlpm.mult,IF($G33=3,SQRT3,2),_xlpm.kk,IF($BV33="AL",K_Al,K_Cu),_xlpm.vd,IF(_xlpm.cm*IF(ISNUMBER(_xlpm.sts),_xlpm.sts,0)=0,9,_xlpm.mult*_xlpm.kk*$I33*$H33/(_xlpm.cm*_xlpm.sts)/$F33),_xlpm.hasN,--(RIGHT(_xlpm.codes&amp;"",1)="N"),_xlpm.wantN,--(RIGHT($BP33&amp;"",1)="N"),_xlpm.ok,(_xlpm.idx&gt;=_xlpm.i)*(_xlpm.vd&lt;=Cfg_VDFeeder)*(_xlpm.cm&gt;0)*ISNUMBER(_xlpm.sts)*(_xlpm.hasN=_xlpm.wantN),_xlpm.m,MIN(IF(_xlpm.ok=1,_xlpm.idx)),INDEX(_xlpm.codes,IF(_xlpm.m=0,_xlpm.i,_xlpm.m))),""))</f>
        <v/>
      </c>
      <c r="BY33" s="829" t="str" cm="1">
        <f t="array" ref="BY33">IF($BP33="","",IF($BX33="",$BU33,IFERROR(IF($BV33="AL",_xlfn.XLOOKUP($BX33,Std_Al3_Code,INDEX(Std_Al3_Table,0,2)),IF($G33=1,_xlfn.XLOOKUP($BX33,Std_Cu1_Code,INDEX(Std_Cu1_Table,0,2)),_xlfn.XLOOKUP($BX33,Std_Cu3_Code,INDEX(Std_Cu3_Table,0,2)))),"")))</f>
        <v/>
      </c>
      <c r="BZ33" s="829" t="str" cm="1">
        <f t="array" ref="BZ33">IF($BP33="","",IF($BX33="",$BR33,IFERROR(IF($BV33="AL",_xlfn.XLOOKUP($BX33,Std_Al3_Code,INDEX(Std_Al3_Table,0,4)),IF($G33=1,_xlfn.XLOOKUP($BX33,Std_Cu1_Code,INDEX(Std_Cu1_Table,0,4)),_xlfn.XLOOKUP($BX33,Std_Cu3_Code,INDEX(Std_Cu3_Table,0,4)))),"")))</f>
        <v/>
      </c>
      <c r="CA33" s="829" t="str" cm="1">
        <f t="array" ref="CA33">IF($BP33="","",IF($BX33="",$BQ33,IFERROR(IF($BV33="AL",_xlfn.XLOOKUP($BX33,Std_Al3_Code,INDEX(Std_Al3_Table,0,3)),IF($G33=1,_xlfn.XLOOKUP($BX33,Std_Cu1_Code,INDEX(Std_Cu1_Table,0,3)),_xlfn.XLOOKUP($BX33,Std_Cu3_Code,INDEX(Std_Cu3_Table,0,3)))),"")))</f>
        <v/>
      </c>
      <c r="CB33" s="829" t="str" cm="1">
        <f t="array" ref="CB33">IF($BP33="","",IF($BX33="",$BS33,IFERROR(IF($BV33="AL",_xlfn.XLOOKUP($BX33,Std_Al3_Code,INDEX(Std_Al3_Table,0,5)),IF($G33=1,_xlfn.XLOOKUP($BX33,Std_Cu1_Code,INDEX(Std_Cu1_Table,0,5)),_xlfn.XLOOKUP($BX33,Std_Cu3_Code,INDEX(Std_Cu3_Table,0,5)))),"")))</f>
        <v/>
      </c>
      <c r="CC33" s="829" t="str">
        <f t="shared" si="13"/>
        <v/>
      </c>
      <c r="CD33" s="829" t="str">
        <f t="shared" si="14"/>
        <v/>
      </c>
      <c r="CE33" s="829" t="str">
        <f t="shared" si="15"/>
        <v/>
      </c>
      <c r="CF33" s="829" t="str">
        <f t="shared" si="16"/>
        <v/>
      </c>
      <c r="CG33" s="829" t="str">
        <f t="shared" si="17"/>
        <v/>
      </c>
      <c r="CH33" s="829" t="str">
        <f t="shared" si="18"/>
        <v/>
      </c>
      <c r="CI33" s="829" t="str">
        <f t="shared" si="19"/>
        <v/>
      </c>
      <c r="CJ33" s="829" t="str" cm="1">
        <f t="array" ref="CJ33">IF($B33="","",_xlfn.LET(_xlpm.to,$D33&amp;"",_xlpm.em,IFERROR(INDEX(_xlfn.ANCHORARRAY($BE$4),ROW()-4,6),"")="EMERG",_xlpm.pri,AND(NOT(_xlpm.em),LEFT(_xlpm.to,2)="T-",ISNUMBER(MATCH(MID(_xlpm.to,3,99),Equip_List,0)),ISNA(MATCH(_xlpm.to,Equip_List,0))),IF(_xlpm.pri,MID(_xlpm.to,3,99),_xlpm.to)))</f>
        <v/>
      </c>
      <c r="CK33" s="829" t="str" cm="1">
        <f t="array" ref="CK33">IF($CJ33="","",IF(IFERROR(INDEX(_xlfn.ANCHORARRAY($BE$4),ROW()-4,6),"")="EMERG","E",IF($CJ33&lt;&gt;$D33&amp;"","P","N")))</f>
        <v/>
      </c>
    </row>
    <row r="34" spans="1:89" ht="15" customHeight="1" x14ac:dyDescent="0.35">
      <c r="A34" s="821" t="str">
        <f t="shared" si="7"/>
        <v/>
      </c>
      <c r="B34" s="821" t="str" cm="1">
        <f t="array" ref="B34">IFERROR(IF(INDEX(_xlfn.ANCHORARRAY($BE$4),ROW()-4,2)="","","F-"&amp;INDEX(_xlfn.ANCHORARRAY($BE$4),ROW()-4,2)&amp;IF(IFERROR(INDEX(_xlfn.ANCHORARRAY($BE$4),ROW()-4,6),"")="EMERG","-E","")),"")</f>
        <v/>
      </c>
      <c r="C34" s="821" t="str" cm="1">
        <f t="array" ref="C34">IFERROR(IF($B34="","",INDEX(_xlfn.ANCHORARRAY($BE$4),ROW()-4,1)),"")</f>
        <v/>
      </c>
      <c r="D34" s="821" t="str" cm="1">
        <f t="array" ref="D34">IFERROR(IF($B34="","",INDEX(_xlfn.ANCHORARRAY($BE$4),ROW()-4,2)),"")</f>
        <v/>
      </c>
      <c r="E34" s="806" t="str" cm="1">
        <f t="array" ref="E34">IFERROR(IF($B34="","",INDEX(_xlfn.ANCHORARRAY($BE$4),ROW()-4,3)),"")</f>
        <v/>
      </c>
      <c r="F34" s="822" t="str" cm="1">
        <f t="array" ref="F34">IFERROR(IF($B34="","",INDEX(_xlfn.ANCHORARRAY($BE$4),ROW()-4,4)),"")</f>
        <v/>
      </c>
      <c r="G34" s="823" t="str" cm="1">
        <f t="array" ref="G34">IFERROR(IF($B34="","",INDEX(_xlfn.ANCHORARRAY($BE$4),ROW()-4,5)),"")</f>
        <v/>
      </c>
      <c r="H34" s="824" t="str" cm="1">
        <f t="array" ref="H34">IF($CJ34="","",_xlfn.LET(_xlpm.v,_xlfn.XLOOKUP($CJ34,Equip_List,IF($CK34="E",Equip_EmLen,IF($CK34="P",Equip_XfPriLen,Equip_FdrLen)),""),IF(_xlpm.v="","",_xlpm.v)))</f>
        <v/>
      </c>
      <c r="I34" s="806" t="str">
        <f t="shared" si="0"/>
        <v/>
      </c>
      <c r="J34" s="820"/>
      <c r="K34" s="806" t="str">
        <f>_xlfn.LET(_xlpm.k,IF($I34="","",IF(COUNTIF(UPS!$B$57:$B$64,$C34&amp;"")&gt;0,1.25*MAX($I34,N(_xlfn.XLOOKUP($C34&amp;"",UPS!$B$57:$B$64,UPS!$M$57:$M$64,0))),IF(COUNTIF(UPS!$B$57:$B$64,$D34&amp;"")&gt;0,1.25*MAX($I34,N(_xlfn.XLOOKUP($D34&amp;"",UPS!$B$57:$B$64,UPS!$Q$57:$Q$64,0))),$I34*IF(OR(UPPER($J34)="Y",LEFT($C34,2)="T-",LEFT($D34,2)="T-"),1.25,1)))),IF(_xlpm.k="","",MAX(_xlpm.k,N(IFERROR(_xlfn.XLOOKUP($D34&amp;"",Dashboard!$A$101:$A$350,Dashboard!$O$101:$O$350,0),0)))))</f>
        <v/>
      </c>
      <c r="L34" s="825" t="str">
        <f>IF($CJ34="","",_xlfn.LET(_xlpm.v,UPPER(TRIM(_xlfn.XLOOKUP($CJ34,Equip_List,Equip_FdrMat,"")&amp;"")),IF(_xlpm.v="",UPPER(TRIM(Cfg_FeederMat&amp;"")),_xlpm.v)))</f>
        <v/>
      </c>
      <c r="M34" s="825" t="str">
        <f>IF($CJ34="","",_xlfn.LET(_xlpm.v,TRIM(_xlfn.XLOOKUP($CJ34,Equip_List,Equip_FdrRace,"")&amp;""),IF(_xlpm.v="",Cfg_Conduit&amp;"",_xlpm.v)))</f>
        <v/>
      </c>
      <c r="N34" s="825" t="str">
        <f>IF($CJ34="","",IF(UPPER(TRIM(_xlfn.XLOOKUP($CJ34,Equip_List,Equip_FdrExist,"")&amp;""))="Y","Y",""))</f>
        <v/>
      </c>
      <c r="O34" s="823" t="str">
        <f t="shared" si="8"/>
        <v/>
      </c>
      <c r="P34" s="821" t="str">
        <f t="shared" si="9"/>
        <v/>
      </c>
      <c r="Q34" s="821" t="str">
        <f t="shared" si="10"/>
        <v/>
      </c>
      <c r="R34" s="822" t="str" cm="1">
        <f t="array" ref="R34">IF(K34="","",INDEX(OCPD_List,MATCH(TRUE,OCPD_List&gt;=K34,0)))</f>
        <v/>
      </c>
      <c r="S34" s="821" t="str">
        <f t="shared" si="11"/>
        <v/>
      </c>
      <c r="T34" s="826" t="str">
        <f t="shared" si="1"/>
        <v/>
      </c>
      <c r="U34" s="826" t="str">
        <f t="shared" si="2"/>
        <v/>
      </c>
      <c r="V34" s="827" t="str">
        <f t="shared" si="3"/>
        <v/>
      </c>
      <c r="W34" s="828"/>
      <c r="X34" s="819"/>
      <c r="Y34" s="820"/>
      <c r="Z34" s="820"/>
      <c r="AA34" s="820"/>
      <c r="BN34" s="832" t="str">
        <f>IF($B34="","",IFERROR(_xlfn.XLOOKUP($D34,Dashboard!$A$101:$A$350,Dashboard!$C$101:$C$350),""))</f>
        <v/>
      </c>
      <c r="BO34" s="832" t="str">
        <f t="shared" si="4"/>
        <v/>
      </c>
      <c r="BP34" s="832" t="str" cm="1">
        <f t="array" ref="BP34">IF(OR($B34="",$R34="",NOT(ISNUMBER($R34))),"",IF(AND($BV34="AL",$G34=1),"",_xlfn.LET(_xlpm.codes,IF($BV34="AL",Std_Al3_Code,IF($G34=1,Std_Cu1_Code,Std_Cu3_Code)),_xlpm.amps,IFERROR(--SUBSTITUTE(_xlpm.codes&amp;"","N",""),""),_xlpm.a,MIN(IF(ISNUMBER(_xlpm.amps),IF(_xlpm.amps&gt;=$R34,_xlpm.amps,""),"")),_xlpm.k,IF(_xlpm.a=0,$R34,_xlpm.a),IF($BO34="Y",TEXT(_xlpm.k,"0")&amp;"N",_xlpm.k))))</f>
        <v/>
      </c>
      <c r="BQ34" s="832" t="str" cm="1">
        <f t="array" ref="BQ34">IF($BP34="","",IFERROR(IF($BV34="AL",_xlfn.XLOOKUP($BP34,Std_Al3_Code,INDEX(Std_Al3_Table,0,3)),IF($G34=1,_xlfn.XLOOKUP($BP34,Std_Cu1_Code,INDEX(Std_Cu1_Table,0,3)),_xlfn.XLOOKUP($BP34,Std_Cu3_Code,INDEX(Std_Cu3_Table,0,3)))),""))</f>
        <v/>
      </c>
      <c r="BR34" s="832" t="str" cm="1">
        <f t="array" ref="BR34">IF($BP34="","",IFERROR(IF($BV34="AL",_xlfn.XLOOKUP($BP34,Std_Al3_Code,INDEX(Std_Al3_Table,0,4)),IF($G34=1,_xlfn.XLOOKUP($BP34,Std_Cu1_Code,INDEX(Std_Cu1_Table,0,4)),_xlfn.XLOOKUP($BP34,Std_Cu3_Code,INDEX(Std_Cu3_Table,0,4)))),""))</f>
        <v/>
      </c>
      <c r="BS34" s="832" t="str" cm="1">
        <f t="array" ref="BS34">IF($BP34="","",IFERROR(IF($BV34="AL",_xlfn.XLOOKUP($BP34,Std_Al3_Code,INDEX(Std_Al3_Table,0,5)),IF($G34=1,_xlfn.XLOOKUP($BP34,Std_Cu1_Code,INDEX(Std_Cu1_Table,0,5)),_xlfn.XLOOKUP($BP34,Std_Cu3_Code,INDEX(Std_Cu3_Table,0,5)))),""))</f>
        <v/>
      </c>
      <c r="BT34" s="832" t="str">
        <f t="shared" si="5"/>
        <v/>
      </c>
      <c r="BU34" s="832" t="str" cm="1">
        <f t="array" ref="BU34">IF($BP34="","",IFERROR(IF($BV34="AL",_xlfn.XLOOKUP($BP34,Std_Al3_Code,INDEX(Std_Al3_Table,0,2)),IF($G34=1,_xlfn.XLOOKUP($BP34,Std_Cu1_Code,INDEX(Std_Cu1_Table,0,2)),_xlfn.XLOOKUP($BP34,Std_Cu3_Code,INDEX(Std_Cu3_Table,0,2)))),""))</f>
        <v/>
      </c>
      <c r="BV34" s="829" t="str">
        <f t="shared" si="6"/>
        <v/>
      </c>
      <c r="BW34" s="829" t="str">
        <f t="shared" si="12"/>
        <v/>
      </c>
      <c r="BX34" s="829" t="str" cm="1">
        <f t="array" ref="BX34">IF(OR($BP34="",$H34="",$I34="",$F34="",$BW34=""),"",IFERROR(_xlfn.LET(_xlpm.codes,IF($BV34="AL",Std_Al3_Code,IF($G34=1,Std_Cu1_Code,Std_Cu3_Code)),_xlpm.tbl,IF($BV34="AL",Std_Al3_Table,IF($G34=1,Std_Cu1_Table,Std_Cu3_Table)),_xlpm.i,MATCH($BP34,_xlpm.codes,0),_xlpm.idx,_xlfn.SEQUENCE(ROWS(_xlpm.codes)),_xlpm.cnd,INDEX(_xlpm.tbl,0,4),_xlpm.sts,INDEX(_xlpm.tbl,0,2),_xlpm.sz,IFERROR(_xlfn.TEXTBEFORE(_xlfn.TEXTAFTER(_xlpm.cnd,"#"),","),IFERROR(_xlfn.TEXTAFTER(_xlpm.cnd,"#"),"")),_xlpm.cm,IFERROR(_xlfn.XLOOKUP(TRIM(_xlpm.sz),Ampacity_Size,Ampacity_CM),0),_xlpm.mult,IF($G34=3,SQRT3,2),_xlpm.kk,IF($BV34="AL",K_Al,K_Cu),_xlpm.vd,IF(_xlpm.cm*IF(ISNUMBER(_xlpm.sts),_xlpm.sts,0)=0,9,_xlpm.mult*_xlpm.kk*$I34*$H34/(_xlpm.cm*_xlpm.sts)/$F34),_xlpm.hasN,--(RIGHT(_xlpm.codes&amp;"",1)="N"),_xlpm.wantN,--(RIGHT($BP34&amp;"",1)="N"),_xlpm.ok,(_xlpm.idx&gt;=_xlpm.i)*(_xlpm.vd&lt;=Cfg_VDFeeder)*(_xlpm.cm&gt;0)*ISNUMBER(_xlpm.sts)*(_xlpm.hasN=_xlpm.wantN),_xlpm.m,MIN(IF(_xlpm.ok=1,_xlpm.idx)),INDEX(_xlpm.codes,IF(_xlpm.m=0,_xlpm.i,_xlpm.m))),""))</f>
        <v/>
      </c>
      <c r="BY34" s="829" t="str" cm="1">
        <f t="array" ref="BY34">IF($BP34="","",IF($BX34="",$BU34,IFERROR(IF($BV34="AL",_xlfn.XLOOKUP($BX34,Std_Al3_Code,INDEX(Std_Al3_Table,0,2)),IF($G34=1,_xlfn.XLOOKUP($BX34,Std_Cu1_Code,INDEX(Std_Cu1_Table,0,2)),_xlfn.XLOOKUP($BX34,Std_Cu3_Code,INDEX(Std_Cu3_Table,0,2)))),"")))</f>
        <v/>
      </c>
      <c r="BZ34" s="829" t="str" cm="1">
        <f t="array" ref="BZ34">IF($BP34="","",IF($BX34="",$BR34,IFERROR(IF($BV34="AL",_xlfn.XLOOKUP($BX34,Std_Al3_Code,INDEX(Std_Al3_Table,0,4)),IF($G34=1,_xlfn.XLOOKUP($BX34,Std_Cu1_Code,INDEX(Std_Cu1_Table,0,4)),_xlfn.XLOOKUP($BX34,Std_Cu3_Code,INDEX(Std_Cu3_Table,0,4)))),"")))</f>
        <v/>
      </c>
      <c r="CA34" s="829" t="str" cm="1">
        <f t="array" ref="CA34">IF($BP34="","",IF($BX34="",$BQ34,IFERROR(IF($BV34="AL",_xlfn.XLOOKUP($BX34,Std_Al3_Code,INDEX(Std_Al3_Table,0,3)),IF($G34=1,_xlfn.XLOOKUP($BX34,Std_Cu1_Code,INDEX(Std_Cu1_Table,0,3)),_xlfn.XLOOKUP($BX34,Std_Cu3_Code,INDEX(Std_Cu3_Table,0,3)))),"")))</f>
        <v/>
      </c>
      <c r="CB34" s="829" t="str" cm="1">
        <f t="array" ref="CB34">IF($BP34="","",IF($BX34="",$BS34,IFERROR(IF($BV34="AL",_xlfn.XLOOKUP($BX34,Std_Al3_Code,INDEX(Std_Al3_Table,0,5)),IF($G34=1,_xlfn.XLOOKUP($BX34,Std_Cu1_Code,INDEX(Std_Cu1_Table,0,5)),_xlfn.XLOOKUP($BX34,Std_Cu3_Code,INDEX(Std_Cu3_Table,0,5)))),"")))</f>
        <v/>
      </c>
      <c r="CC34" s="829" t="str">
        <f t="shared" si="13"/>
        <v/>
      </c>
      <c r="CD34" s="829" t="str">
        <f t="shared" si="14"/>
        <v/>
      </c>
      <c r="CE34" s="829" t="str">
        <f t="shared" si="15"/>
        <v/>
      </c>
      <c r="CF34" s="829" t="str">
        <f t="shared" si="16"/>
        <v/>
      </c>
      <c r="CG34" s="829" t="str">
        <f t="shared" si="17"/>
        <v/>
      </c>
      <c r="CH34" s="829" t="str">
        <f t="shared" si="18"/>
        <v/>
      </c>
      <c r="CI34" s="829" t="str">
        <f t="shared" si="19"/>
        <v/>
      </c>
      <c r="CJ34" s="829" t="str" cm="1">
        <f t="array" ref="CJ34">IF($B34="","",_xlfn.LET(_xlpm.to,$D34&amp;"",_xlpm.em,IFERROR(INDEX(_xlfn.ANCHORARRAY($BE$4),ROW()-4,6),"")="EMERG",_xlpm.pri,AND(NOT(_xlpm.em),LEFT(_xlpm.to,2)="T-",ISNUMBER(MATCH(MID(_xlpm.to,3,99),Equip_List,0)),ISNA(MATCH(_xlpm.to,Equip_List,0))),IF(_xlpm.pri,MID(_xlpm.to,3,99),_xlpm.to)))</f>
        <v/>
      </c>
      <c r="CK34" s="829" t="str" cm="1">
        <f t="array" ref="CK34">IF($CJ34="","",IF(IFERROR(INDEX(_xlfn.ANCHORARRAY($BE$4),ROW()-4,6),"")="EMERG","E",IF($CJ34&lt;&gt;$D34&amp;"","P","N")))</f>
        <v/>
      </c>
    </row>
    <row r="35" spans="1:89" ht="15" customHeight="1" x14ac:dyDescent="0.35">
      <c r="A35" s="821" t="str">
        <f t="shared" si="7"/>
        <v/>
      </c>
      <c r="B35" s="821" t="str" cm="1">
        <f t="array" ref="B35">IFERROR(IF(INDEX(_xlfn.ANCHORARRAY($BE$4),ROW()-4,2)="","","F-"&amp;INDEX(_xlfn.ANCHORARRAY($BE$4),ROW()-4,2)&amp;IF(IFERROR(INDEX(_xlfn.ANCHORARRAY($BE$4),ROW()-4,6),"")="EMERG","-E","")),"")</f>
        <v/>
      </c>
      <c r="C35" s="821" t="str" cm="1">
        <f t="array" ref="C35">IFERROR(IF($B35="","",INDEX(_xlfn.ANCHORARRAY($BE$4),ROW()-4,1)),"")</f>
        <v/>
      </c>
      <c r="D35" s="821" t="str" cm="1">
        <f t="array" ref="D35">IFERROR(IF($B35="","",INDEX(_xlfn.ANCHORARRAY($BE$4),ROW()-4,2)),"")</f>
        <v/>
      </c>
      <c r="E35" s="806" t="str" cm="1">
        <f t="array" ref="E35">IFERROR(IF($B35="","",INDEX(_xlfn.ANCHORARRAY($BE$4),ROW()-4,3)),"")</f>
        <v/>
      </c>
      <c r="F35" s="822" t="str" cm="1">
        <f t="array" ref="F35">IFERROR(IF($B35="","",INDEX(_xlfn.ANCHORARRAY($BE$4),ROW()-4,4)),"")</f>
        <v/>
      </c>
      <c r="G35" s="823" t="str" cm="1">
        <f t="array" ref="G35">IFERROR(IF($B35="","",INDEX(_xlfn.ANCHORARRAY($BE$4),ROW()-4,5)),"")</f>
        <v/>
      </c>
      <c r="H35" s="824" t="str" cm="1">
        <f t="array" ref="H35">IF($CJ35="","",_xlfn.LET(_xlpm.v,_xlfn.XLOOKUP($CJ35,Equip_List,IF($CK35="E",Equip_EmLen,IF($CK35="P",Equip_XfPriLen,Equip_FdrLen)),""),IF(_xlpm.v="","",_xlpm.v)))</f>
        <v/>
      </c>
      <c r="I35" s="806" t="str">
        <f t="shared" si="0"/>
        <v/>
      </c>
      <c r="J35" s="820"/>
      <c r="K35" s="806" t="str">
        <f>_xlfn.LET(_xlpm.k,IF($I35="","",IF(COUNTIF(UPS!$B$57:$B$64,$C35&amp;"")&gt;0,1.25*MAX($I35,N(_xlfn.XLOOKUP($C35&amp;"",UPS!$B$57:$B$64,UPS!$M$57:$M$64,0))),IF(COUNTIF(UPS!$B$57:$B$64,$D35&amp;"")&gt;0,1.25*MAX($I35,N(_xlfn.XLOOKUP($D35&amp;"",UPS!$B$57:$B$64,UPS!$Q$57:$Q$64,0))),$I35*IF(OR(UPPER($J35)="Y",LEFT($C35,2)="T-",LEFT($D35,2)="T-"),1.25,1)))),IF(_xlpm.k="","",MAX(_xlpm.k,N(IFERROR(_xlfn.XLOOKUP($D35&amp;"",Dashboard!$A$101:$A$350,Dashboard!$O$101:$O$350,0),0)))))</f>
        <v/>
      </c>
      <c r="L35" s="825" t="str">
        <f>IF($CJ35="","",_xlfn.LET(_xlpm.v,UPPER(TRIM(_xlfn.XLOOKUP($CJ35,Equip_List,Equip_FdrMat,"")&amp;"")),IF(_xlpm.v="",UPPER(TRIM(Cfg_FeederMat&amp;"")),_xlpm.v)))</f>
        <v/>
      </c>
      <c r="M35" s="825" t="str">
        <f>IF($CJ35="","",_xlfn.LET(_xlpm.v,TRIM(_xlfn.XLOOKUP($CJ35,Equip_List,Equip_FdrRace,"")&amp;""),IF(_xlpm.v="",Cfg_Conduit&amp;"",_xlpm.v)))</f>
        <v/>
      </c>
      <c r="N35" s="825" t="str">
        <f>IF($CJ35="","",IF(UPPER(TRIM(_xlfn.XLOOKUP($CJ35,Equip_List,Equip_FdrExist,"")&amp;""))="Y","Y",""))</f>
        <v/>
      </c>
      <c r="O35" s="823" t="str">
        <f t="shared" si="8"/>
        <v/>
      </c>
      <c r="P35" s="821" t="str">
        <f t="shared" si="9"/>
        <v/>
      </c>
      <c r="Q35" s="821" t="str">
        <f t="shared" si="10"/>
        <v/>
      </c>
      <c r="R35" s="822" t="str" cm="1">
        <f t="array" ref="R35">IF(K35="","",INDEX(OCPD_List,MATCH(TRUE,OCPD_List&gt;=K35,0)))</f>
        <v/>
      </c>
      <c r="S35" s="821" t="str">
        <f t="shared" si="11"/>
        <v/>
      </c>
      <c r="T35" s="826" t="str">
        <f t="shared" si="1"/>
        <v/>
      </c>
      <c r="U35" s="826" t="str">
        <f t="shared" si="2"/>
        <v/>
      </c>
      <c r="V35" s="827" t="str">
        <f t="shared" si="3"/>
        <v/>
      </c>
      <c r="W35" s="828"/>
      <c r="X35" s="819"/>
      <c r="Y35" s="820"/>
      <c r="Z35" s="820"/>
      <c r="AA35" s="820"/>
      <c r="BN35" s="832" t="str">
        <f>IF($B35="","",IFERROR(_xlfn.XLOOKUP($D35,Dashboard!$A$101:$A$350,Dashboard!$C$101:$C$350),""))</f>
        <v/>
      </c>
      <c r="BO35" s="832" t="str">
        <f t="shared" si="4"/>
        <v/>
      </c>
      <c r="BP35" s="832" t="str" cm="1">
        <f t="array" ref="BP35">IF(OR($B35="",$R35="",NOT(ISNUMBER($R35))),"",IF(AND($BV35="AL",$G35=1),"",_xlfn.LET(_xlpm.codes,IF($BV35="AL",Std_Al3_Code,IF($G35=1,Std_Cu1_Code,Std_Cu3_Code)),_xlpm.amps,IFERROR(--SUBSTITUTE(_xlpm.codes&amp;"","N",""),""),_xlpm.a,MIN(IF(ISNUMBER(_xlpm.amps),IF(_xlpm.amps&gt;=$R35,_xlpm.amps,""),"")),_xlpm.k,IF(_xlpm.a=0,$R35,_xlpm.a),IF($BO35="Y",TEXT(_xlpm.k,"0")&amp;"N",_xlpm.k))))</f>
        <v/>
      </c>
      <c r="BQ35" s="832" t="str" cm="1">
        <f t="array" ref="BQ35">IF($BP35="","",IFERROR(IF($BV35="AL",_xlfn.XLOOKUP($BP35,Std_Al3_Code,INDEX(Std_Al3_Table,0,3)),IF($G35=1,_xlfn.XLOOKUP($BP35,Std_Cu1_Code,INDEX(Std_Cu1_Table,0,3)),_xlfn.XLOOKUP($BP35,Std_Cu3_Code,INDEX(Std_Cu3_Table,0,3)))),""))</f>
        <v/>
      </c>
      <c r="BR35" s="832" t="str" cm="1">
        <f t="array" ref="BR35">IF($BP35="","",IFERROR(IF($BV35="AL",_xlfn.XLOOKUP($BP35,Std_Al3_Code,INDEX(Std_Al3_Table,0,4)),IF($G35=1,_xlfn.XLOOKUP($BP35,Std_Cu1_Code,INDEX(Std_Cu1_Table,0,4)),_xlfn.XLOOKUP($BP35,Std_Cu3_Code,INDEX(Std_Cu3_Table,0,4)))),""))</f>
        <v/>
      </c>
      <c r="BS35" s="832" t="str" cm="1">
        <f t="array" ref="BS35">IF($BP35="","",IFERROR(IF($BV35="AL",_xlfn.XLOOKUP($BP35,Std_Al3_Code,INDEX(Std_Al3_Table,0,5)),IF($G35=1,_xlfn.XLOOKUP($BP35,Std_Cu1_Code,INDEX(Std_Cu1_Table,0,5)),_xlfn.XLOOKUP($BP35,Std_Cu3_Code,INDEX(Std_Cu3_Table,0,5)))),""))</f>
        <v/>
      </c>
      <c r="BT35" s="832" t="str">
        <f t="shared" si="5"/>
        <v/>
      </c>
      <c r="BU35" s="832" t="str" cm="1">
        <f t="array" ref="BU35">IF($BP35="","",IFERROR(IF($BV35="AL",_xlfn.XLOOKUP($BP35,Std_Al3_Code,INDEX(Std_Al3_Table,0,2)),IF($G35=1,_xlfn.XLOOKUP($BP35,Std_Cu1_Code,INDEX(Std_Cu1_Table,0,2)),_xlfn.XLOOKUP($BP35,Std_Cu3_Code,INDEX(Std_Cu3_Table,0,2)))),""))</f>
        <v/>
      </c>
      <c r="BV35" s="829" t="str">
        <f t="shared" si="6"/>
        <v/>
      </c>
      <c r="BW35" s="829" t="str">
        <f t="shared" si="12"/>
        <v/>
      </c>
      <c r="BX35" s="829" t="str" cm="1">
        <f t="array" ref="BX35">IF(OR($BP35="",$H35="",$I35="",$F35="",$BW35=""),"",IFERROR(_xlfn.LET(_xlpm.codes,IF($BV35="AL",Std_Al3_Code,IF($G35=1,Std_Cu1_Code,Std_Cu3_Code)),_xlpm.tbl,IF($BV35="AL",Std_Al3_Table,IF($G35=1,Std_Cu1_Table,Std_Cu3_Table)),_xlpm.i,MATCH($BP35,_xlpm.codes,0),_xlpm.idx,_xlfn.SEQUENCE(ROWS(_xlpm.codes)),_xlpm.cnd,INDEX(_xlpm.tbl,0,4),_xlpm.sts,INDEX(_xlpm.tbl,0,2),_xlpm.sz,IFERROR(_xlfn.TEXTBEFORE(_xlfn.TEXTAFTER(_xlpm.cnd,"#"),","),IFERROR(_xlfn.TEXTAFTER(_xlpm.cnd,"#"),"")),_xlpm.cm,IFERROR(_xlfn.XLOOKUP(TRIM(_xlpm.sz),Ampacity_Size,Ampacity_CM),0),_xlpm.mult,IF($G35=3,SQRT3,2),_xlpm.kk,IF($BV35="AL",K_Al,K_Cu),_xlpm.vd,IF(_xlpm.cm*IF(ISNUMBER(_xlpm.sts),_xlpm.sts,0)=0,9,_xlpm.mult*_xlpm.kk*$I35*$H35/(_xlpm.cm*_xlpm.sts)/$F35),_xlpm.hasN,--(RIGHT(_xlpm.codes&amp;"",1)="N"),_xlpm.wantN,--(RIGHT($BP35&amp;"",1)="N"),_xlpm.ok,(_xlpm.idx&gt;=_xlpm.i)*(_xlpm.vd&lt;=Cfg_VDFeeder)*(_xlpm.cm&gt;0)*ISNUMBER(_xlpm.sts)*(_xlpm.hasN=_xlpm.wantN),_xlpm.m,MIN(IF(_xlpm.ok=1,_xlpm.idx)),INDEX(_xlpm.codes,IF(_xlpm.m=0,_xlpm.i,_xlpm.m))),""))</f>
        <v/>
      </c>
      <c r="BY35" s="829" t="str" cm="1">
        <f t="array" ref="BY35">IF($BP35="","",IF($BX35="",$BU35,IFERROR(IF($BV35="AL",_xlfn.XLOOKUP($BX35,Std_Al3_Code,INDEX(Std_Al3_Table,0,2)),IF($G35=1,_xlfn.XLOOKUP($BX35,Std_Cu1_Code,INDEX(Std_Cu1_Table,0,2)),_xlfn.XLOOKUP($BX35,Std_Cu3_Code,INDEX(Std_Cu3_Table,0,2)))),"")))</f>
        <v/>
      </c>
      <c r="BZ35" s="829" t="str" cm="1">
        <f t="array" ref="BZ35">IF($BP35="","",IF($BX35="",$BR35,IFERROR(IF($BV35="AL",_xlfn.XLOOKUP($BX35,Std_Al3_Code,INDEX(Std_Al3_Table,0,4)),IF($G35=1,_xlfn.XLOOKUP($BX35,Std_Cu1_Code,INDEX(Std_Cu1_Table,0,4)),_xlfn.XLOOKUP($BX35,Std_Cu3_Code,INDEX(Std_Cu3_Table,0,4)))),"")))</f>
        <v/>
      </c>
      <c r="CA35" s="829" t="str" cm="1">
        <f t="array" ref="CA35">IF($BP35="","",IF($BX35="",$BQ35,IFERROR(IF($BV35="AL",_xlfn.XLOOKUP($BX35,Std_Al3_Code,INDEX(Std_Al3_Table,0,3)),IF($G35=1,_xlfn.XLOOKUP($BX35,Std_Cu1_Code,INDEX(Std_Cu1_Table,0,3)),_xlfn.XLOOKUP($BX35,Std_Cu3_Code,INDEX(Std_Cu3_Table,0,3)))),"")))</f>
        <v/>
      </c>
      <c r="CB35" s="829" t="str" cm="1">
        <f t="array" ref="CB35">IF($BP35="","",IF($BX35="",$BS35,IFERROR(IF($BV35="AL",_xlfn.XLOOKUP($BX35,Std_Al3_Code,INDEX(Std_Al3_Table,0,5)),IF($G35=1,_xlfn.XLOOKUP($BX35,Std_Cu1_Code,INDEX(Std_Cu1_Table,0,5)),_xlfn.XLOOKUP($BX35,Std_Cu3_Code,INDEX(Std_Cu3_Table,0,5)))),"")))</f>
        <v/>
      </c>
      <c r="CC35" s="829" t="str">
        <f t="shared" si="13"/>
        <v/>
      </c>
      <c r="CD35" s="829" t="str">
        <f t="shared" si="14"/>
        <v/>
      </c>
      <c r="CE35" s="829" t="str">
        <f t="shared" si="15"/>
        <v/>
      </c>
      <c r="CF35" s="829" t="str">
        <f t="shared" si="16"/>
        <v/>
      </c>
      <c r="CG35" s="829" t="str">
        <f t="shared" si="17"/>
        <v/>
      </c>
      <c r="CH35" s="829" t="str">
        <f t="shared" si="18"/>
        <v/>
      </c>
      <c r="CI35" s="829" t="str">
        <f t="shared" si="19"/>
        <v/>
      </c>
      <c r="CJ35" s="829" t="str" cm="1">
        <f t="array" ref="CJ35">IF($B35="","",_xlfn.LET(_xlpm.to,$D35&amp;"",_xlpm.em,IFERROR(INDEX(_xlfn.ANCHORARRAY($BE$4),ROW()-4,6),"")="EMERG",_xlpm.pri,AND(NOT(_xlpm.em),LEFT(_xlpm.to,2)="T-",ISNUMBER(MATCH(MID(_xlpm.to,3,99),Equip_List,0)),ISNA(MATCH(_xlpm.to,Equip_List,0))),IF(_xlpm.pri,MID(_xlpm.to,3,99),_xlpm.to)))</f>
        <v/>
      </c>
      <c r="CK35" s="829" t="str" cm="1">
        <f t="array" ref="CK35">IF($CJ35="","",IF(IFERROR(INDEX(_xlfn.ANCHORARRAY($BE$4),ROW()-4,6),"")="EMERG","E",IF($CJ35&lt;&gt;$D35&amp;"","P","N")))</f>
        <v/>
      </c>
    </row>
    <row r="36" spans="1:89" ht="15" customHeight="1" x14ac:dyDescent="0.35">
      <c r="A36" s="821" t="str">
        <f t="shared" si="7"/>
        <v/>
      </c>
      <c r="B36" s="821" t="str" cm="1">
        <f t="array" ref="B36">IFERROR(IF(INDEX(_xlfn.ANCHORARRAY($BE$4),ROW()-4,2)="","","F-"&amp;INDEX(_xlfn.ANCHORARRAY($BE$4),ROW()-4,2)&amp;IF(IFERROR(INDEX(_xlfn.ANCHORARRAY($BE$4),ROW()-4,6),"")="EMERG","-E","")),"")</f>
        <v/>
      </c>
      <c r="C36" s="821" t="str" cm="1">
        <f t="array" ref="C36">IFERROR(IF($B36="","",INDEX(_xlfn.ANCHORARRAY($BE$4),ROW()-4,1)),"")</f>
        <v/>
      </c>
      <c r="D36" s="821" t="str" cm="1">
        <f t="array" ref="D36">IFERROR(IF($B36="","",INDEX(_xlfn.ANCHORARRAY($BE$4),ROW()-4,2)),"")</f>
        <v/>
      </c>
      <c r="E36" s="806" t="str" cm="1">
        <f t="array" ref="E36">IFERROR(IF($B36="","",INDEX(_xlfn.ANCHORARRAY($BE$4),ROW()-4,3)),"")</f>
        <v/>
      </c>
      <c r="F36" s="822" t="str" cm="1">
        <f t="array" ref="F36">IFERROR(IF($B36="","",INDEX(_xlfn.ANCHORARRAY($BE$4),ROW()-4,4)),"")</f>
        <v/>
      </c>
      <c r="G36" s="823" t="str" cm="1">
        <f t="array" ref="G36">IFERROR(IF($B36="","",INDEX(_xlfn.ANCHORARRAY($BE$4),ROW()-4,5)),"")</f>
        <v/>
      </c>
      <c r="H36" s="824" t="str" cm="1">
        <f t="array" ref="H36">IF($CJ36="","",_xlfn.LET(_xlpm.v,_xlfn.XLOOKUP($CJ36,Equip_List,IF($CK36="E",Equip_EmLen,IF($CK36="P",Equip_XfPriLen,Equip_FdrLen)),""),IF(_xlpm.v="","",_xlpm.v)))</f>
        <v/>
      </c>
      <c r="I36" s="806" t="str">
        <f t="shared" si="0"/>
        <v/>
      </c>
      <c r="J36" s="820"/>
      <c r="K36" s="806" t="str">
        <f>_xlfn.LET(_xlpm.k,IF($I36="","",IF(COUNTIF(UPS!$B$57:$B$64,$C36&amp;"")&gt;0,1.25*MAX($I36,N(_xlfn.XLOOKUP($C36&amp;"",UPS!$B$57:$B$64,UPS!$M$57:$M$64,0))),IF(COUNTIF(UPS!$B$57:$B$64,$D36&amp;"")&gt;0,1.25*MAX($I36,N(_xlfn.XLOOKUP($D36&amp;"",UPS!$B$57:$B$64,UPS!$Q$57:$Q$64,0))),$I36*IF(OR(UPPER($J36)="Y",LEFT($C36,2)="T-",LEFT($D36,2)="T-"),1.25,1)))),IF(_xlpm.k="","",MAX(_xlpm.k,N(IFERROR(_xlfn.XLOOKUP($D36&amp;"",Dashboard!$A$101:$A$350,Dashboard!$O$101:$O$350,0),0)))))</f>
        <v/>
      </c>
      <c r="L36" s="825" t="str">
        <f>IF($CJ36="","",_xlfn.LET(_xlpm.v,UPPER(TRIM(_xlfn.XLOOKUP($CJ36,Equip_List,Equip_FdrMat,"")&amp;"")),IF(_xlpm.v="",UPPER(TRIM(Cfg_FeederMat&amp;"")),_xlpm.v)))</f>
        <v/>
      </c>
      <c r="M36" s="825" t="str">
        <f>IF($CJ36="","",_xlfn.LET(_xlpm.v,TRIM(_xlfn.XLOOKUP($CJ36,Equip_List,Equip_FdrRace,"")&amp;""),IF(_xlpm.v="",Cfg_Conduit&amp;"",_xlpm.v)))</f>
        <v/>
      </c>
      <c r="N36" s="825" t="str">
        <f>IF($CJ36="","",IF(UPPER(TRIM(_xlfn.XLOOKUP($CJ36,Equip_List,Equip_FdrExist,"")&amp;""))="Y","Y",""))</f>
        <v/>
      </c>
      <c r="O36" s="823" t="str">
        <f t="shared" si="8"/>
        <v/>
      </c>
      <c r="P36" s="821" t="str">
        <f t="shared" si="9"/>
        <v/>
      </c>
      <c r="Q36" s="821" t="str">
        <f t="shared" si="10"/>
        <v/>
      </c>
      <c r="R36" s="822" t="str" cm="1">
        <f t="array" ref="R36">IF(K36="","",INDEX(OCPD_List,MATCH(TRUE,OCPD_List&gt;=K36,0)))</f>
        <v/>
      </c>
      <c r="S36" s="821" t="str">
        <f t="shared" si="11"/>
        <v/>
      </c>
      <c r="T36" s="826" t="str">
        <f t="shared" si="1"/>
        <v/>
      </c>
      <c r="U36" s="826" t="str">
        <f t="shared" si="2"/>
        <v/>
      </c>
      <c r="V36" s="827" t="str">
        <f t="shared" si="3"/>
        <v/>
      </c>
      <c r="W36" s="828"/>
      <c r="X36" s="819"/>
      <c r="Y36" s="820"/>
      <c r="Z36" s="820"/>
      <c r="AA36" s="820"/>
      <c r="BN36" s="832" t="str">
        <f>IF($B36="","",IFERROR(_xlfn.XLOOKUP($D36,Dashboard!$A$101:$A$350,Dashboard!$C$101:$C$350),""))</f>
        <v/>
      </c>
      <c r="BO36" s="832" t="str">
        <f t="shared" si="4"/>
        <v/>
      </c>
      <c r="BP36" s="832" t="str" cm="1">
        <f t="array" ref="BP36">IF(OR($B36="",$R36="",NOT(ISNUMBER($R36))),"",IF(AND($BV36="AL",$G36=1),"",_xlfn.LET(_xlpm.codes,IF($BV36="AL",Std_Al3_Code,IF($G36=1,Std_Cu1_Code,Std_Cu3_Code)),_xlpm.amps,IFERROR(--SUBSTITUTE(_xlpm.codes&amp;"","N",""),""),_xlpm.a,MIN(IF(ISNUMBER(_xlpm.amps),IF(_xlpm.amps&gt;=$R36,_xlpm.amps,""),"")),_xlpm.k,IF(_xlpm.a=0,$R36,_xlpm.a),IF($BO36="Y",TEXT(_xlpm.k,"0")&amp;"N",_xlpm.k))))</f>
        <v/>
      </c>
      <c r="BQ36" s="832" t="str" cm="1">
        <f t="array" ref="BQ36">IF($BP36="","",IFERROR(IF($BV36="AL",_xlfn.XLOOKUP($BP36,Std_Al3_Code,INDEX(Std_Al3_Table,0,3)),IF($G36=1,_xlfn.XLOOKUP($BP36,Std_Cu1_Code,INDEX(Std_Cu1_Table,0,3)),_xlfn.XLOOKUP($BP36,Std_Cu3_Code,INDEX(Std_Cu3_Table,0,3)))),""))</f>
        <v/>
      </c>
      <c r="BR36" s="832" t="str" cm="1">
        <f t="array" ref="BR36">IF($BP36="","",IFERROR(IF($BV36="AL",_xlfn.XLOOKUP($BP36,Std_Al3_Code,INDEX(Std_Al3_Table,0,4)),IF($G36=1,_xlfn.XLOOKUP($BP36,Std_Cu1_Code,INDEX(Std_Cu1_Table,0,4)),_xlfn.XLOOKUP($BP36,Std_Cu3_Code,INDEX(Std_Cu3_Table,0,4)))),""))</f>
        <v/>
      </c>
      <c r="BS36" s="832" t="str" cm="1">
        <f t="array" ref="BS36">IF($BP36="","",IFERROR(IF($BV36="AL",_xlfn.XLOOKUP($BP36,Std_Al3_Code,INDEX(Std_Al3_Table,0,5)),IF($G36=1,_xlfn.XLOOKUP($BP36,Std_Cu1_Code,INDEX(Std_Cu1_Table,0,5)),_xlfn.XLOOKUP($BP36,Std_Cu3_Code,INDEX(Std_Cu3_Table,0,5)))),""))</f>
        <v/>
      </c>
      <c r="BT36" s="832" t="str">
        <f t="shared" si="5"/>
        <v/>
      </c>
      <c r="BU36" s="832" t="str" cm="1">
        <f t="array" ref="BU36">IF($BP36="","",IFERROR(IF($BV36="AL",_xlfn.XLOOKUP($BP36,Std_Al3_Code,INDEX(Std_Al3_Table,0,2)),IF($G36=1,_xlfn.XLOOKUP($BP36,Std_Cu1_Code,INDEX(Std_Cu1_Table,0,2)),_xlfn.XLOOKUP($BP36,Std_Cu3_Code,INDEX(Std_Cu3_Table,0,2)))),""))</f>
        <v/>
      </c>
      <c r="BV36" s="829" t="str">
        <f t="shared" si="6"/>
        <v/>
      </c>
      <c r="BW36" s="829" t="str">
        <f t="shared" si="12"/>
        <v/>
      </c>
      <c r="BX36" s="829" t="str" cm="1">
        <f t="array" ref="BX36">IF(OR($BP36="",$H36="",$I36="",$F36="",$BW36=""),"",IFERROR(_xlfn.LET(_xlpm.codes,IF($BV36="AL",Std_Al3_Code,IF($G36=1,Std_Cu1_Code,Std_Cu3_Code)),_xlpm.tbl,IF($BV36="AL",Std_Al3_Table,IF($G36=1,Std_Cu1_Table,Std_Cu3_Table)),_xlpm.i,MATCH($BP36,_xlpm.codes,0),_xlpm.idx,_xlfn.SEQUENCE(ROWS(_xlpm.codes)),_xlpm.cnd,INDEX(_xlpm.tbl,0,4),_xlpm.sts,INDEX(_xlpm.tbl,0,2),_xlpm.sz,IFERROR(_xlfn.TEXTBEFORE(_xlfn.TEXTAFTER(_xlpm.cnd,"#"),","),IFERROR(_xlfn.TEXTAFTER(_xlpm.cnd,"#"),"")),_xlpm.cm,IFERROR(_xlfn.XLOOKUP(TRIM(_xlpm.sz),Ampacity_Size,Ampacity_CM),0),_xlpm.mult,IF($G36=3,SQRT3,2),_xlpm.kk,IF($BV36="AL",K_Al,K_Cu),_xlpm.vd,IF(_xlpm.cm*IF(ISNUMBER(_xlpm.sts),_xlpm.sts,0)=0,9,_xlpm.mult*_xlpm.kk*$I36*$H36/(_xlpm.cm*_xlpm.sts)/$F36),_xlpm.hasN,--(RIGHT(_xlpm.codes&amp;"",1)="N"),_xlpm.wantN,--(RIGHT($BP36&amp;"",1)="N"),_xlpm.ok,(_xlpm.idx&gt;=_xlpm.i)*(_xlpm.vd&lt;=Cfg_VDFeeder)*(_xlpm.cm&gt;0)*ISNUMBER(_xlpm.sts)*(_xlpm.hasN=_xlpm.wantN),_xlpm.m,MIN(IF(_xlpm.ok=1,_xlpm.idx)),INDEX(_xlpm.codes,IF(_xlpm.m=0,_xlpm.i,_xlpm.m))),""))</f>
        <v/>
      </c>
      <c r="BY36" s="829" t="str" cm="1">
        <f t="array" ref="BY36">IF($BP36="","",IF($BX36="",$BU36,IFERROR(IF($BV36="AL",_xlfn.XLOOKUP($BX36,Std_Al3_Code,INDEX(Std_Al3_Table,0,2)),IF($G36=1,_xlfn.XLOOKUP($BX36,Std_Cu1_Code,INDEX(Std_Cu1_Table,0,2)),_xlfn.XLOOKUP($BX36,Std_Cu3_Code,INDEX(Std_Cu3_Table,0,2)))),"")))</f>
        <v/>
      </c>
      <c r="BZ36" s="829" t="str" cm="1">
        <f t="array" ref="BZ36">IF($BP36="","",IF($BX36="",$BR36,IFERROR(IF($BV36="AL",_xlfn.XLOOKUP($BX36,Std_Al3_Code,INDEX(Std_Al3_Table,0,4)),IF($G36=1,_xlfn.XLOOKUP($BX36,Std_Cu1_Code,INDEX(Std_Cu1_Table,0,4)),_xlfn.XLOOKUP($BX36,Std_Cu3_Code,INDEX(Std_Cu3_Table,0,4)))),"")))</f>
        <v/>
      </c>
      <c r="CA36" s="829" t="str" cm="1">
        <f t="array" ref="CA36">IF($BP36="","",IF($BX36="",$BQ36,IFERROR(IF($BV36="AL",_xlfn.XLOOKUP($BX36,Std_Al3_Code,INDEX(Std_Al3_Table,0,3)),IF($G36=1,_xlfn.XLOOKUP($BX36,Std_Cu1_Code,INDEX(Std_Cu1_Table,0,3)),_xlfn.XLOOKUP($BX36,Std_Cu3_Code,INDEX(Std_Cu3_Table,0,3)))),"")))</f>
        <v/>
      </c>
      <c r="CB36" s="829" t="str" cm="1">
        <f t="array" ref="CB36">IF($BP36="","",IF($BX36="",$BS36,IFERROR(IF($BV36="AL",_xlfn.XLOOKUP($BX36,Std_Al3_Code,INDEX(Std_Al3_Table,0,5)),IF($G36=1,_xlfn.XLOOKUP($BX36,Std_Cu1_Code,INDEX(Std_Cu1_Table,0,5)),_xlfn.XLOOKUP($BX36,Std_Cu3_Code,INDEX(Std_Cu3_Table,0,5)))),"")))</f>
        <v/>
      </c>
      <c r="CC36" s="829" t="str">
        <f t="shared" si="13"/>
        <v/>
      </c>
      <c r="CD36" s="829" t="str">
        <f t="shared" si="14"/>
        <v/>
      </c>
      <c r="CE36" s="829" t="str">
        <f t="shared" si="15"/>
        <v/>
      </c>
      <c r="CF36" s="829" t="str">
        <f t="shared" si="16"/>
        <v/>
      </c>
      <c r="CG36" s="829" t="str">
        <f t="shared" si="17"/>
        <v/>
      </c>
      <c r="CH36" s="829" t="str">
        <f t="shared" si="18"/>
        <v/>
      </c>
      <c r="CI36" s="829" t="str">
        <f t="shared" si="19"/>
        <v/>
      </c>
      <c r="CJ36" s="829" t="str" cm="1">
        <f t="array" ref="CJ36">IF($B36="","",_xlfn.LET(_xlpm.to,$D36&amp;"",_xlpm.em,IFERROR(INDEX(_xlfn.ANCHORARRAY($BE$4),ROW()-4,6),"")="EMERG",_xlpm.pri,AND(NOT(_xlpm.em),LEFT(_xlpm.to,2)="T-",ISNUMBER(MATCH(MID(_xlpm.to,3,99),Equip_List,0)),ISNA(MATCH(_xlpm.to,Equip_List,0))),IF(_xlpm.pri,MID(_xlpm.to,3,99),_xlpm.to)))</f>
        <v/>
      </c>
      <c r="CK36" s="829" t="str" cm="1">
        <f t="array" ref="CK36">IF($CJ36="","",IF(IFERROR(INDEX(_xlfn.ANCHORARRAY($BE$4),ROW()-4,6),"")="EMERG","E",IF($CJ36&lt;&gt;$D36&amp;"","P","N")))</f>
        <v/>
      </c>
    </row>
    <row r="37" spans="1:89" ht="15" customHeight="1" x14ac:dyDescent="0.35">
      <c r="A37" s="821" t="str">
        <f t="shared" si="7"/>
        <v/>
      </c>
      <c r="B37" s="821" t="str" cm="1">
        <f t="array" ref="B37">IFERROR(IF(INDEX(_xlfn.ANCHORARRAY($BE$4),ROW()-4,2)="","","F-"&amp;INDEX(_xlfn.ANCHORARRAY($BE$4),ROW()-4,2)&amp;IF(IFERROR(INDEX(_xlfn.ANCHORARRAY($BE$4),ROW()-4,6),"")="EMERG","-E","")),"")</f>
        <v/>
      </c>
      <c r="C37" s="821" t="str" cm="1">
        <f t="array" ref="C37">IFERROR(IF($B37="","",INDEX(_xlfn.ANCHORARRAY($BE$4),ROW()-4,1)),"")</f>
        <v/>
      </c>
      <c r="D37" s="821" t="str" cm="1">
        <f t="array" ref="D37">IFERROR(IF($B37="","",INDEX(_xlfn.ANCHORARRAY($BE$4),ROW()-4,2)),"")</f>
        <v/>
      </c>
      <c r="E37" s="806" t="str" cm="1">
        <f t="array" ref="E37">IFERROR(IF($B37="","",INDEX(_xlfn.ANCHORARRAY($BE$4),ROW()-4,3)),"")</f>
        <v/>
      </c>
      <c r="F37" s="822" t="str" cm="1">
        <f t="array" ref="F37">IFERROR(IF($B37="","",INDEX(_xlfn.ANCHORARRAY($BE$4),ROW()-4,4)),"")</f>
        <v/>
      </c>
      <c r="G37" s="823" t="str" cm="1">
        <f t="array" ref="G37">IFERROR(IF($B37="","",INDEX(_xlfn.ANCHORARRAY($BE$4),ROW()-4,5)),"")</f>
        <v/>
      </c>
      <c r="H37" s="824" t="str" cm="1">
        <f t="array" ref="H37">IF($CJ37="","",_xlfn.LET(_xlpm.v,_xlfn.XLOOKUP($CJ37,Equip_List,IF($CK37="E",Equip_EmLen,IF($CK37="P",Equip_XfPriLen,Equip_FdrLen)),""),IF(_xlpm.v="","",_xlpm.v)))</f>
        <v/>
      </c>
      <c r="I37" s="806" t="str">
        <f t="shared" si="0"/>
        <v/>
      </c>
      <c r="J37" s="820"/>
      <c r="K37" s="806" t="str">
        <f>_xlfn.LET(_xlpm.k,IF($I37="","",IF(COUNTIF(UPS!$B$57:$B$64,$C37&amp;"")&gt;0,1.25*MAX($I37,N(_xlfn.XLOOKUP($C37&amp;"",UPS!$B$57:$B$64,UPS!$M$57:$M$64,0))),IF(COUNTIF(UPS!$B$57:$B$64,$D37&amp;"")&gt;0,1.25*MAX($I37,N(_xlfn.XLOOKUP($D37&amp;"",UPS!$B$57:$B$64,UPS!$Q$57:$Q$64,0))),$I37*IF(OR(UPPER($J37)="Y",LEFT($C37,2)="T-",LEFT($D37,2)="T-"),1.25,1)))),IF(_xlpm.k="","",MAX(_xlpm.k,N(IFERROR(_xlfn.XLOOKUP($D37&amp;"",Dashboard!$A$101:$A$350,Dashboard!$O$101:$O$350,0),0)))))</f>
        <v/>
      </c>
      <c r="L37" s="825" t="str">
        <f>IF($CJ37="","",_xlfn.LET(_xlpm.v,UPPER(TRIM(_xlfn.XLOOKUP($CJ37,Equip_List,Equip_FdrMat,"")&amp;"")),IF(_xlpm.v="",UPPER(TRIM(Cfg_FeederMat&amp;"")),_xlpm.v)))</f>
        <v/>
      </c>
      <c r="M37" s="825" t="str">
        <f>IF($CJ37="","",_xlfn.LET(_xlpm.v,TRIM(_xlfn.XLOOKUP($CJ37,Equip_List,Equip_FdrRace,"")&amp;""),IF(_xlpm.v="",Cfg_Conduit&amp;"",_xlpm.v)))</f>
        <v/>
      </c>
      <c r="N37" s="825" t="str">
        <f>IF($CJ37="","",IF(UPPER(TRIM(_xlfn.XLOOKUP($CJ37,Equip_List,Equip_FdrExist,"")&amp;""))="Y","Y",""))</f>
        <v/>
      </c>
      <c r="O37" s="823" t="str">
        <f t="shared" si="8"/>
        <v/>
      </c>
      <c r="P37" s="821" t="str">
        <f t="shared" si="9"/>
        <v/>
      </c>
      <c r="Q37" s="821" t="str">
        <f t="shared" si="10"/>
        <v/>
      </c>
      <c r="R37" s="822" t="str" cm="1">
        <f t="array" ref="R37">IF(K37="","",INDEX(OCPD_List,MATCH(TRUE,OCPD_List&gt;=K37,0)))</f>
        <v/>
      </c>
      <c r="S37" s="821" t="str">
        <f t="shared" si="11"/>
        <v/>
      </c>
      <c r="T37" s="826" t="str">
        <f t="shared" si="1"/>
        <v/>
      </c>
      <c r="U37" s="826" t="str">
        <f t="shared" si="2"/>
        <v/>
      </c>
      <c r="V37" s="827" t="str">
        <f t="shared" si="3"/>
        <v/>
      </c>
      <c r="W37" s="828"/>
      <c r="X37" s="819"/>
      <c r="Y37" s="820"/>
      <c r="Z37" s="820"/>
      <c r="AA37" s="820"/>
      <c r="BN37" s="832" t="str">
        <f>IF($B37="","",IFERROR(_xlfn.XLOOKUP($D37,Dashboard!$A$101:$A$350,Dashboard!$C$101:$C$350),""))</f>
        <v/>
      </c>
      <c r="BO37" s="832" t="str">
        <f t="shared" si="4"/>
        <v/>
      </c>
      <c r="BP37" s="832" t="str" cm="1">
        <f t="array" ref="BP37">IF(OR($B37="",$R37="",NOT(ISNUMBER($R37))),"",IF(AND($BV37="AL",$G37=1),"",_xlfn.LET(_xlpm.codes,IF($BV37="AL",Std_Al3_Code,IF($G37=1,Std_Cu1_Code,Std_Cu3_Code)),_xlpm.amps,IFERROR(--SUBSTITUTE(_xlpm.codes&amp;"","N",""),""),_xlpm.a,MIN(IF(ISNUMBER(_xlpm.amps),IF(_xlpm.amps&gt;=$R37,_xlpm.amps,""),"")),_xlpm.k,IF(_xlpm.a=0,$R37,_xlpm.a),IF($BO37="Y",TEXT(_xlpm.k,"0")&amp;"N",_xlpm.k))))</f>
        <v/>
      </c>
      <c r="BQ37" s="832" t="str" cm="1">
        <f t="array" ref="BQ37">IF($BP37="","",IFERROR(IF($BV37="AL",_xlfn.XLOOKUP($BP37,Std_Al3_Code,INDEX(Std_Al3_Table,0,3)),IF($G37=1,_xlfn.XLOOKUP($BP37,Std_Cu1_Code,INDEX(Std_Cu1_Table,0,3)),_xlfn.XLOOKUP($BP37,Std_Cu3_Code,INDEX(Std_Cu3_Table,0,3)))),""))</f>
        <v/>
      </c>
      <c r="BR37" s="832" t="str" cm="1">
        <f t="array" ref="BR37">IF($BP37="","",IFERROR(IF($BV37="AL",_xlfn.XLOOKUP($BP37,Std_Al3_Code,INDEX(Std_Al3_Table,0,4)),IF($G37=1,_xlfn.XLOOKUP($BP37,Std_Cu1_Code,INDEX(Std_Cu1_Table,0,4)),_xlfn.XLOOKUP($BP37,Std_Cu3_Code,INDEX(Std_Cu3_Table,0,4)))),""))</f>
        <v/>
      </c>
      <c r="BS37" s="832" t="str" cm="1">
        <f t="array" ref="BS37">IF($BP37="","",IFERROR(IF($BV37="AL",_xlfn.XLOOKUP($BP37,Std_Al3_Code,INDEX(Std_Al3_Table,0,5)),IF($G37=1,_xlfn.XLOOKUP($BP37,Std_Cu1_Code,INDEX(Std_Cu1_Table,0,5)),_xlfn.XLOOKUP($BP37,Std_Cu3_Code,INDEX(Std_Cu3_Table,0,5)))),""))</f>
        <v/>
      </c>
      <c r="BT37" s="832" t="str">
        <f t="shared" si="5"/>
        <v/>
      </c>
      <c r="BU37" s="832" t="str" cm="1">
        <f t="array" ref="BU37">IF($BP37="","",IFERROR(IF($BV37="AL",_xlfn.XLOOKUP($BP37,Std_Al3_Code,INDEX(Std_Al3_Table,0,2)),IF($G37=1,_xlfn.XLOOKUP($BP37,Std_Cu1_Code,INDEX(Std_Cu1_Table,0,2)),_xlfn.XLOOKUP($BP37,Std_Cu3_Code,INDEX(Std_Cu3_Table,0,2)))),""))</f>
        <v/>
      </c>
      <c r="BV37" s="829" t="str">
        <f t="shared" si="6"/>
        <v/>
      </c>
      <c r="BW37" s="829" t="str">
        <f t="shared" si="12"/>
        <v/>
      </c>
      <c r="BX37" s="829" t="str" cm="1">
        <f t="array" ref="BX37">IF(OR($BP37="",$H37="",$I37="",$F37="",$BW37=""),"",IFERROR(_xlfn.LET(_xlpm.codes,IF($BV37="AL",Std_Al3_Code,IF($G37=1,Std_Cu1_Code,Std_Cu3_Code)),_xlpm.tbl,IF($BV37="AL",Std_Al3_Table,IF($G37=1,Std_Cu1_Table,Std_Cu3_Table)),_xlpm.i,MATCH($BP37,_xlpm.codes,0),_xlpm.idx,_xlfn.SEQUENCE(ROWS(_xlpm.codes)),_xlpm.cnd,INDEX(_xlpm.tbl,0,4),_xlpm.sts,INDEX(_xlpm.tbl,0,2),_xlpm.sz,IFERROR(_xlfn.TEXTBEFORE(_xlfn.TEXTAFTER(_xlpm.cnd,"#"),","),IFERROR(_xlfn.TEXTAFTER(_xlpm.cnd,"#"),"")),_xlpm.cm,IFERROR(_xlfn.XLOOKUP(TRIM(_xlpm.sz),Ampacity_Size,Ampacity_CM),0),_xlpm.mult,IF($G37=3,SQRT3,2),_xlpm.kk,IF($BV37="AL",K_Al,K_Cu),_xlpm.vd,IF(_xlpm.cm*IF(ISNUMBER(_xlpm.sts),_xlpm.sts,0)=0,9,_xlpm.mult*_xlpm.kk*$I37*$H37/(_xlpm.cm*_xlpm.sts)/$F37),_xlpm.hasN,--(RIGHT(_xlpm.codes&amp;"",1)="N"),_xlpm.wantN,--(RIGHT($BP37&amp;"",1)="N"),_xlpm.ok,(_xlpm.idx&gt;=_xlpm.i)*(_xlpm.vd&lt;=Cfg_VDFeeder)*(_xlpm.cm&gt;0)*ISNUMBER(_xlpm.sts)*(_xlpm.hasN=_xlpm.wantN),_xlpm.m,MIN(IF(_xlpm.ok=1,_xlpm.idx)),INDEX(_xlpm.codes,IF(_xlpm.m=0,_xlpm.i,_xlpm.m))),""))</f>
        <v/>
      </c>
      <c r="BY37" s="829" t="str" cm="1">
        <f t="array" ref="BY37">IF($BP37="","",IF($BX37="",$BU37,IFERROR(IF($BV37="AL",_xlfn.XLOOKUP($BX37,Std_Al3_Code,INDEX(Std_Al3_Table,0,2)),IF($G37=1,_xlfn.XLOOKUP($BX37,Std_Cu1_Code,INDEX(Std_Cu1_Table,0,2)),_xlfn.XLOOKUP($BX37,Std_Cu3_Code,INDEX(Std_Cu3_Table,0,2)))),"")))</f>
        <v/>
      </c>
      <c r="BZ37" s="829" t="str" cm="1">
        <f t="array" ref="BZ37">IF($BP37="","",IF($BX37="",$BR37,IFERROR(IF($BV37="AL",_xlfn.XLOOKUP($BX37,Std_Al3_Code,INDEX(Std_Al3_Table,0,4)),IF($G37=1,_xlfn.XLOOKUP($BX37,Std_Cu1_Code,INDEX(Std_Cu1_Table,0,4)),_xlfn.XLOOKUP($BX37,Std_Cu3_Code,INDEX(Std_Cu3_Table,0,4)))),"")))</f>
        <v/>
      </c>
      <c r="CA37" s="829" t="str" cm="1">
        <f t="array" ref="CA37">IF($BP37="","",IF($BX37="",$BQ37,IFERROR(IF($BV37="AL",_xlfn.XLOOKUP($BX37,Std_Al3_Code,INDEX(Std_Al3_Table,0,3)),IF($G37=1,_xlfn.XLOOKUP($BX37,Std_Cu1_Code,INDEX(Std_Cu1_Table,0,3)),_xlfn.XLOOKUP($BX37,Std_Cu3_Code,INDEX(Std_Cu3_Table,0,3)))),"")))</f>
        <v/>
      </c>
      <c r="CB37" s="829" t="str" cm="1">
        <f t="array" ref="CB37">IF($BP37="","",IF($BX37="",$BS37,IFERROR(IF($BV37="AL",_xlfn.XLOOKUP($BX37,Std_Al3_Code,INDEX(Std_Al3_Table,0,5)),IF($G37=1,_xlfn.XLOOKUP($BX37,Std_Cu1_Code,INDEX(Std_Cu1_Table,0,5)),_xlfn.XLOOKUP($BX37,Std_Cu3_Code,INDEX(Std_Cu3_Table,0,5)))),"")))</f>
        <v/>
      </c>
      <c r="CC37" s="829" t="str">
        <f t="shared" si="13"/>
        <v/>
      </c>
      <c r="CD37" s="829" t="str">
        <f t="shared" si="14"/>
        <v/>
      </c>
      <c r="CE37" s="829" t="str">
        <f t="shared" si="15"/>
        <v/>
      </c>
      <c r="CF37" s="829" t="str">
        <f t="shared" si="16"/>
        <v/>
      </c>
      <c r="CG37" s="829" t="str">
        <f t="shared" si="17"/>
        <v/>
      </c>
      <c r="CH37" s="829" t="str">
        <f t="shared" si="18"/>
        <v/>
      </c>
      <c r="CI37" s="829" t="str">
        <f t="shared" si="19"/>
        <v/>
      </c>
      <c r="CJ37" s="829" t="str" cm="1">
        <f t="array" ref="CJ37">IF($B37="","",_xlfn.LET(_xlpm.to,$D37&amp;"",_xlpm.em,IFERROR(INDEX(_xlfn.ANCHORARRAY($BE$4),ROW()-4,6),"")="EMERG",_xlpm.pri,AND(NOT(_xlpm.em),LEFT(_xlpm.to,2)="T-",ISNUMBER(MATCH(MID(_xlpm.to,3,99),Equip_List,0)),ISNA(MATCH(_xlpm.to,Equip_List,0))),IF(_xlpm.pri,MID(_xlpm.to,3,99),_xlpm.to)))</f>
        <v/>
      </c>
      <c r="CK37" s="829" t="str" cm="1">
        <f t="array" ref="CK37">IF($CJ37="","",IF(IFERROR(INDEX(_xlfn.ANCHORARRAY($BE$4),ROW()-4,6),"")="EMERG","E",IF($CJ37&lt;&gt;$D37&amp;"","P","N")))</f>
        <v/>
      </c>
    </row>
    <row r="38" spans="1:89" ht="15" customHeight="1" x14ac:dyDescent="0.35">
      <c r="A38" s="821" t="str">
        <f t="shared" si="7"/>
        <v/>
      </c>
      <c r="B38" s="821" t="str" cm="1">
        <f t="array" ref="B38">IFERROR(IF(INDEX(_xlfn.ANCHORARRAY($BE$4),ROW()-4,2)="","","F-"&amp;INDEX(_xlfn.ANCHORARRAY($BE$4),ROW()-4,2)&amp;IF(IFERROR(INDEX(_xlfn.ANCHORARRAY($BE$4),ROW()-4,6),"")="EMERG","-E","")),"")</f>
        <v/>
      </c>
      <c r="C38" s="821" t="str" cm="1">
        <f t="array" ref="C38">IFERROR(IF($B38="","",INDEX(_xlfn.ANCHORARRAY($BE$4),ROW()-4,1)),"")</f>
        <v/>
      </c>
      <c r="D38" s="821" t="str" cm="1">
        <f t="array" ref="D38">IFERROR(IF($B38="","",INDEX(_xlfn.ANCHORARRAY($BE$4),ROW()-4,2)),"")</f>
        <v/>
      </c>
      <c r="E38" s="806" t="str" cm="1">
        <f t="array" ref="E38">IFERROR(IF($B38="","",INDEX(_xlfn.ANCHORARRAY($BE$4),ROW()-4,3)),"")</f>
        <v/>
      </c>
      <c r="F38" s="822" t="str" cm="1">
        <f t="array" ref="F38">IFERROR(IF($B38="","",INDEX(_xlfn.ANCHORARRAY($BE$4),ROW()-4,4)),"")</f>
        <v/>
      </c>
      <c r="G38" s="823" t="str" cm="1">
        <f t="array" ref="G38">IFERROR(IF($B38="","",INDEX(_xlfn.ANCHORARRAY($BE$4),ROW()-4,5)),"")</f>
        <v/>
      </c>
      <c r="H38" s="824" t="str" cm="1">
        <f t="array" ref="H38">IF($CJ38="","",_xlfn.LET(_xlpm.v,_xlfn.XLOOKUP($CJ38,Equip_List,IF($CK38="E",Equip_EmLen,IF($CK38="P",Equip_XfPriLen,Equip_FdrLen)),""),IF(_xlpm.v="","",_xlpm.v)))</f>
        <v/>
      </c>
      <c r="I38" s="806" t="str">
        <f t="shared" si="0"/>
        <v/>
      </c>
      <c r="J38" s="820"/>
      <c r="K38" s="806" t="str">
        <f>_xlfn.LET(_xlpm.k,IF($I38="","",IF(COUNTIF(UPS!$B$57:$B$64,$C38&amp;"")&gt;0,1.25*MAX($I38,N(_xlfn.XLOOKUP($C38&amp;"",UPS!$B$57:$B$64,UPS!$M$57:$M$64,0))),IF(COUNTIF(UPS!$B$57:$B$64,$D38&amp;"")&gt;0,1.25*MAX($I38,N(_xlfn.XLOOKUP($D38&amp;"",UPS!$B$57:$B$64,UPS!$Q$57:$Q$64,0))),$I38*IF(OR(UPPER($J38)="Y",LEFT($C38,2)="T-",LEFT($D38,2)="T-"),1.25,1)))),IF(_xlpm.k="","",MAX(_xlpm.k,N(IFERROR(_xlfn.XLOOKUP($D38&amp;"",Dashboard!$A$101:$A$350,Dashboard!$O$101:$O$350,0),0)))))</f>
        <v/>
      </c>
      <c r="L38" s="825" t="str">
        <f>IF($CJ38="","",_xlfn.LET(_xlpm.v,UPPER(TRIM(_xlfn.XLOOKUP($CJ38,Equip_List,Equip_FdrMat,"")&amp;"")),IF(_xlpm.v="",UPPER(TRIM(Cfg_FeederMat&amp;"")),_xlpm.v)))</f>
        <v/>
      </c>
      <c r="M38" s="825" t="str">
        <f>IF($CJ38="","",_xlfn.LET(_xlpm.v,TRIM(_xlfn.XLOOKUP($CJ38,Equip_List,Equip_FdrRace,"")&amp;""),IF(_xlpm.v="",Cfg_Conduit&amp;"",_xlpm.v)))</f>
        <v/>
      </c>
      <c r="N38" s="825" t="str">
        <f>IF($CJ38="","",IF(UPPER(TRIM(_xlfn.XLOOKUP($CJ38,Equip_List,Equip_FdrExist,"")&amp;""))="Y","Y",""))</f>
        <v/>
      </c>
      <c r="O38" s="823" t="str">
        <f t="shared" si="8"/>
        <v/>
      </c>
      <c r="P38" s="821" t="str">
        <f t="shared" si="9"/>
        <v/>
      </c>
      <c r="Q38" s="821" t="str">
        <f t="shared" si="10"/>
        <v/>
      </c>
      <c r="R38" s="822" t="str" cm="1">
        <f t="array" ref="R38">IF(K38="","",INDEX(OCPD_List,MATCH(TRUE,OCPD_List&gt;=K38,0)))</f>
        <v/>
      </c>
      <c r="S38" s="821" t="str">
        <f t="shared" si="11"/>
        <v/>
      </c>
      <c r="T38" s="826" t="str">
        <f t="shared" si="1"/>
        <v/>
      </c>
      <c r="U38" s="826" t="str">
        <f t="shared" si="2"/>
        <v/>
      </c>
      <c r="V38" s="827" t="str">
        <f t="shared" si="3"/>
        <v/>
      </c>
      <c r="W38" s="828"/>
      <c r="X38" s="819"/>
      <c r="Y38" s="820"/>
      <c r="Z38" s="820"/>
      <c r="AA38" s="820"/>
      <c r="BN38" s="832" t="str">
        <f>IF($B38="","",IFERROR(_xlfn.XLOOKUP($D38,Dashboard!$A$101:$A$350,Dashboard!$C$101:$C$350),""))</f>
        <v/>
      </c>
      <c r="BO38" s="832" t="str">
        <f t="shared" si="4"/>
        <v/>
      </c>
      <c r="BP38" s="832" t="str" cm="1">
        <f t="array" ref="BP38">IF(OR($B38="",$R38="",NOT(ISNUMBER($R38))),"",IF(AND($BV38="AL",$G38=1),"",_xlfn.LET(_xlpm.codes,IF($BV38="AL",Std_Al3_Code,IF($G38=1,Std_Cu1_Code,Std_Cu3_Code)),_xlpm.amps,IFERROR(--SUBSTITUTE(_xlpm.codes&amp;"","N",""),""),_xlpm.a,MIN(IF(ISNUMBER(_xlpm.amps),IF(_xlpm.amps&gt;=$R38,_xlpm.amps,""),"")),_xlpm.k,IF(_xlpm.a=0,$R38,_xlpm.a),IF($BO38="Y",TEXT(_xlpm.k,"0")&amp;"N",_xlpm.k))))</f>
        <v/>
      </c>
      <c r="BQ38" s="832" t="str" cm="1">
        <f t="array" ref="BQ38">IF($BP38="","",IFERROR(IF($BV38="AL",_xlfn.XLOOKUP($BP38,Std_Al3_Code,INDEX(Std_Al3_Table,0,3)),IF($G38=1,_xlfn.XLOOKUP($BP38,Std_Cu1_Code,INDEX(Std_Cu1_Table,0,3)),_xlfn.XLOOKUP($BP38,Std_Cu3_Code,INDEX(Std_Cu3_Table,0,3)))),""))</f>
        <v/>
      </c>
      <c r="BR38" s="832" t="str" cm="1">
        <f t="array" ref="BR38">IF($BP38="","",IFERROR(IF($BV38="AL",_xlfn.XLOOKUP($BP38,Std_Al3_Code,INDEX(Std_Al3_Table,0,4)),IF($G38=1,_xlfn.XLOOKUP($BP38,Std_Cu1_Code,INDEX(Std_Cu1_Table,0,4)),_xlfn.XLOOKUP($BP38,Std_Cu3_Code,INDEX(Std_Cu3_Table,0,4)))),""))</f>
        <v/>
      </c>
      <c r="BS38" s="832" t="str" cm="1">
        <f t="array" ref="BS38">IF($BP38="","",IFERROR(IF($BV38="AL",_xlfn.XLOOKUP($BP38,Std_Al3_Code,INDEX(Std_Al3_Table,0,5)),IF($G38=1,_xlfn.XLOOKUP($BP38,Std_Cu1_Code,INDEX(Std_Cu1_Table,0,5)),_xlfn.XLOOKUP($BP38,Std_Cu3_Code,INDEX(Std_Cu3_Table,0,5)))),""))</f>
        <v/>
      </c>
      <c r="BT38" s="832" t="str">
        <f t="shared" si="5"/>
        <v/>
      </c>
      <c r="BU38" s="832" t="str" cm="1">
        <f t="array" ref="BU38">IF($BP38="","",IFERROR(IF($BV38="AL",_xlfn.XLOOKUP($BP38,Std_Al3_Code,INDEX(Std_Al3_Table,0,2)),IF($G38=1,_xlfn.XLOOKUP($BP38,Std_Cu1_Code,INDEX(Std_Cu1_Table,0,2)),_xlfn.XLOOKUP($BP38,Std_Cu3_Code,INDEX(Std_Cu3_Table,0,2)))),""))</f>
        <v/>
      </c>
      <c r="BV38" s="829" t="str">
        <f t="shared" si="6"/>
        <v/>
      </c>
      <c r="BW38" s="829" t="str">
        <f t="shared" si="12"/>
        <v/>
      </c>
      <c r="BX38" s="829" t="str" cm="1">
        <f t="array" ref="BX38">IF(OR($BP38="",$H38="",$I38="",$F38="",$BW38=""),"",IFERROR(_xlfn.LET(_xlpm.codes,IF($BV38="AL",Std_Al3_Code,IF($G38=1,Std_Cu1_Code,Std_Cu3_Code)),_xlpm.tbl,IF($BV38="AL",Std_Al3_Table,IF($G38=1,Std_Cu1_Table,Std_Cu3_Table)),_xlpm.i,MATCH($BP38,_xlpm.codes,0),_xlpm.idx,_xlfn.SEQUENCE(ROWS(_xlpm.codes)),_xlpm.cnd,INDEX(_xlpm.tbl,0,4),_xlpm.sts,INDEX(_xlpm.tbl,0,2),_xlpm.sz,IFERROR(_xlfn.TEXTBEFORE(_xlfn.TEXTAFTER(_xlpm.cnd,"#"),","),IFERROR(_xlfn.TEXTAFTER(_xlpm.cnd,"#"),"")),_xlpm.cm,IFERROR(_xlfn.XLOOKUP(TRIM(_xlpm.sz),Ampacity_Size,Ampacity_CM),0),_xlpm.mult,IF($G38=3,SQRT3,2),_xlpm.kk,IF($BV38="AL",K_Al,K_Cu),_xlpm.vd,IF(_xlpm.cm*IF(ISNUMBER(_xlpm.sts),_xlpm.sts,0)=0,9,_xlpm.mult*_xlpm.kk*$I38*$H38/(_xlpm.cm*_xlpm.sts)/$F38),_xlpm.hasN,--(RIGHT(_xlpm.codes&amp;"",1)="N"),_xlpm.wantN,--(RIGHT($BP38&amp;"",1)="N"),_xlpm.ok,(_xlpm.idx&gt;=_xlpm.i)*(_xlpm.vd&lt;=Cfg_VDFeeder)*(_xlpm.cm&gt;0)*ISNUMBER(_xlpm.sts)*(_xlpm.hasN=_xlpm.wantN),_xlpm.m,MIN(IF(_xlpm.ok=1,_xlpm.idx)),INDEX(_xlpm.codes,IF(_xlpm.m=0,_xlpm.i,_xlpm.m))),""))</f>
        <v/>
      </c>
      <c r="BY38" s="829" t="str" cm="1">
        <f t="array" ref="BY38">IF($BP38="","",IF($BX38="",$BU38,IFERROR(IF($BV38="AL",_xlfn.XLOOKUP($BX38,Std_Al3_Code,INDEX(Std_Al3_Table,0,2)),IF($G38=1,_xlfn.XLOOKUP($BX38,Std_Cu1_Code,INDEX(Std_Cu1_Table,0,2)),_xlfn.XLOOKUP($BX38,Std_Cu3_Code,INDEX(Std_Cu3_Table,0,2)))),"")))</f>
        <v/>
      </c>
      <c r="BZ38" s="829" t="str" cm="1">
        <f t="array" ref="BZ38">IF($BP38="","",IF($BX38="",$BR38,IFERROR(IF($BV38="AL",_xlfn.XLOOKUP($BX38,Std_Al3_Code,INDEX(Std_Al3_Table,0,4)),IF($G38=1,_xlfn.XLOOKUP($BX38,Std_Cu1_Code,INDEX(Std_Cu1_Table,0,4)),_xlfn.XLOOKUP($BX38,Std_Cu3_Code,INDEX(Std_Cu3_Table,0,4)))),"")))</f>
        <v/>
      </c>
      <c r="CA38" s="829" t="str" cm="1">
        <f t="array" ref="CA38">IF($BP38="","",IF($BX38="",$BQ38,IFERROR(IF($BV38="AL",_xlfn.XLOOKUP($BX38,Std_Al3_Code,INDEX(Std_Al3_Table,0,3)),IF($G38=1,_xlfn.XLOOKUP($BX38,Std_Cu1_Code,INDEX(Std_Cu1_Table,0,3)),_xlfn.XLOOKUP($BX38,Std_Cu3_Code,INDEX(Std_Cu3_Table,0,3)))),"")))</f>
        <v/>
      </c>
      <c r="CB38" s="829" t="str" cm="1">
        <f t="array" ref="CB38">IF($BP38="","",IF($BX38="",$BS38,IFERROR(IF($BV38="AL",_xlfn.XLOOKUP($BX38,Std_Al3_Code,INDEX(Std_Al3_Table,0,5)),IF($G38=1,_xlfn.XLOOKUP($BX38,Std_Cu1_Code,INDEX(Std_Cu1_Table,0,5)),_xlfn.XLOOKUP($BX38,Std_Cu3_Code,INDEX(Std_Cu3_Table,0,5)))),"")))</f>
        <v/>
      </c>
      <c r="CC38" s="829" t="str">
        <f t="shared" si="13"/>
        <v/>
      </c>
      <c r="CD38" s="829" t="str">
        <f t="shared" si="14"/>
        <v/>
      </c>
      <c r="CE38" s="829" t="str">
        <f t="shared" si="15"/>
        <v/>
      </c>
      <c r="CF38" s="829" t="str">
        <f t="shared" si="16"/>
        <v/>
      </c>
      <c r="CG38" s="829" t="str">
        <f t="shared" si="17"/>
        <v/>
      </c>
      <c r="CH38" s="829" t="str">
        <f t="shared" si="18"/>
        <v/>
      </c>
      <c r="CI38" s="829" t="str">
        <f t="shared" si="19"/>
        <v/>
      </c>
      <c r="CJ38" s="829" t="str" cm="1">
        <f t="array" ref="CJ38">IF($B38="","",_xlfn.LET(_xlpm.to,$D38&amp;"",_xlpm.em,IFERROR(INDEX(_xlfn.ANCHORARRAY($BE$4),ROW()-4,6),"")="EMERG",_xlpm.pri,AND(NOT(_xlpm.em),LEFT(_xlpm.to,2)="T-",ISNUMBER(MATCH(MID(_xlpm.to,3,99),Equip_List,0)),ISNA(MATCH(_xlpm.to,Equip_List,0))),IF(_xlpm.pri,MID(_xlpm.to,3,99),_xlpm.to)))</f>
        <v/>
      </c>
      <c r="CK38" s="829" t="str" cm="1">
        <f t="array" ref="CK38">IF($CJ38="","",IF(IFERROR(INDEX(_xlfn.ANCHORARRAY($BE$4),ROW()-4,6),"")="EMERG","E",IF($CJ38&lt;&gt;$D38&amp;"","P","N")))</f>
        <v/>
      </c>
    </row>
    <row r="39" spans="1:89" ht="15" customHeight="1" x14ac:dyDescent="0.35">
      <c r="A39" s="821" t="str">
        <f t="shared" si="7"/>
        <v/>
      </c>
      <c r="B39" s="821" t="str" cm="1">
        <f t="array" ref="B39">IFERROR(IF(INDEX(_xlfn.ANCHORARRAY($BE$4),ROW()-4,2)="","","F-"&amp;INDEX(_xlfn.ANCHORARRAY($BE$4),ROW()-4,2)&amp;IF(IFERROR(INDEX(_xlfn.ANCHORARRAY($BE$4),ROW()-4,6),"")="EMERG","-E","")),"")</f>
        <v/>
      </c>
      <c r="C39" s="821" t="str" cm="1">
        <f t="array" ref="C39">IFERROR(IF($B39="","",INDEX(_xlfn.ANCHORARRAY($BE$4),ROW()-4,1)),"")</f>
        <v/>
      </c>
      <c r="D39" s="821" t="str" cm="1">
        <f t="array" ref="D39">IFERROR(IF($B39="","",INDEX(_xlfn.ANCHORARRAY($BE$4),ROW()-4,2)),"")</f>
        <v/>
      </c>
      <c r="E39" s="806" t="str" cm="1">
        <f t="array" ref="E39">IFERROR(IF($B39="","",INDEX(_xlfn.ANCHORARRAY($BE$4),ROW()-4,3)),"")</f>
        <v/>
      </c>
      <c r="F39" s="822" t="str" cm="1">
        <f t="array" ref="F39">IFERROR(IF($B39="","",INDEX(_xlfn.ANCHORARRAY($BE$4),ROW()-4,4)),"")</f>
        <v/>
      </c>
      <c r="G39" s="823" t="str" cm="1">
        <f t="array" ref="G39">IFERROR(IF($B39="","",INDEX(_xlfn.ANCHORARRAY($BE$4),ROW()-4,5)),"")</f>
        <v/>
      </c>
      <c r="H39" s="824" t="str" cm="1">
        <f t="array" ref="H39">IF($CJ39="","",_xlfn.LET(_xlpm.v,_xlfn.XLOOKUP($CJ39,Equip_List,IF($CK39="E",Equip_EmLen,IF($CK39="P",Equip_XfPriLen,Equip_FdrLen)),""),IF(_xlpm.v="","",_xlpm.v)))</f>
        <v/>
      </c>
      <c r="I39" s="806" t="str">
        <f t="shared" si="0"/>
        <v/>
      </c>
      <c r="J39" s="820"/>
      <c r="K39" s="806" t="str">
        <f>_xlfn.LET(_xlpm.k,IF($I39="","",IF(COUNTIF(UPS!$B$57:$B$64,$C39&amp;"")&gt;0,1.25*MAX($I39,N(_xlfn.XLOOKUP($C39&amp;"",UPS!$B$57:$B$64,UPS!$M$57:$M$64,0))),IF(COUNTIF(UPS!$B$57:$B$64,$D39&amp;"")&gt;0,1.25*MAX($I39,N(_xlfn.XLOOKUP($D39&amp;"",UPS!$B$57:$B$64,UPS!$Q$57:$Q$64,0))),$I39*IF(OR(UPPER($J39)="Y",LEFT($C39,2)="T-",LEFT($D39,2)="T-"),1.25,1)))),IF(_xlpm.k="","",MAX(_xlpm.k,N(IFERROR(_xlfn.XLOOKUP($D39&amp;"",Dashboard!$A$101:$A$350,Dashboard!$O$101:$O$350,0),0)))))</f>
        <v/>
      </c>
      <c r="L39" s="825" t="str">
        <f>IF($CJ39="","",_xlfn.LET(_xlpm.v,UPPER(TRIM(_xlfn.XLOOKUP($CJ39,Equip_List,Equip_FdrMat,"")&amp;"")),IF(_xlpm.v="",UPPER(TRIM(Cfg_FeederMat&amp;"")),_xlpm.v)))</f>
        <v/>
      </c>
      <c r="M39" s="825" t="str">
        <f>IF($CJ39="","",_xlfn.LET(_xlpm.v,TRIM(_xlfn.XLOOKUP($CJ39,Equip_List,Equip_FdrRace,"")&amp;""),IF(_xlpm.v="",Cfg_Conduit&amp;"",_xlpm.v)))</f>
        <v/>
      </c>
      <c r="N39" s="825" t="str">
        <f>IF($CJ39="","",IF(UPPER(TRIM(_xlfn.XLOOKUP($CJ39,Equip_List,Equip_FdrExist,"")&amp;""))="Y","Y",""))</f>
        <v/>
      </c>
      <c r="O39" s="823" t="str">
        <f t="shared" si="8"/>
        <v/>
      </c>
      <c r="P39" s="821" t="str">
        <f t="shared" si="9"/>
        <v/>
      </c>
      <c r="Q39" s="821" t="str">
        <f t="shared" si="10"/>
        <v/>
      </c>
      <c r="R39" s="822" t="str" cm="1">
        <f t="array" ref="R39">IF(K39="","",INDEX(OCPD_List,MATCH(TRUE,OCPD_List&gt;=K39,0)))</f>
        <v/>
      </c>
      <c r="S39" s="821" t="str">
        <f t="shared" si="11"/>
        <v/>
      </c>
      <c r="T39" s="826" t="str">
        <f t="shared" si="1"/>
        <v/>
      </c>
      <c r="U39" s="826" t="str">
        <f t="shared" si="2"/>
        <v/>
      </c>
      <c r="V39" s="827" t="str">
        <f t="shared" si="3"/>
        <v/>
      </c>
      <c r="W39" s="828"/>
      <c r="X39" s="819"/>
      <c r="Y39" s="820"/>
      <c r="Z39" s="820"/>
      <c r="AA39" s="820"/>
      <c r="BN39" s="832" t="str">
        <f>IF($B39="","",IFERROR(_xlfn.XLOOKUP($D39,Dashboard!$A$101:$A$350,Dashboard!$C$101:$C$350),""))</f>
        <v/>
      </c>
      <c r="BO39" s="832" t="str">
        <f t="shared" si="4"/>
        <v/>
      </c>
      <c r="BP39" s="832" t="str" cm="1">
        <f t="array" ref="BP39">IF(OR($B39="",$R39="",NOT(ISNUMBER($R39))),"",IF(AND($BV39="AL",$G39=1),"",_xlfn.LET(_xlpm.codes,IF($BV39="AL",Std_Al3_Code,IF($G39=1,Std_Cu1_Code,Std_Cu3_Code)),_xlpm.amps,IFERROR(--SUBSTITUTE(_xlpm.codes&amp;"","N",""),""),_xlpm.a,MIN(IF(ISNUMBER(_xlpm.amps),IF(_xlpm.amps&gt;=$R39,_xlpm.amps,""),"")),_xlpm.k,IF(_xlpm.a=0,$R39,_xlpm.a),IF($BO39="Y",TEXT(_xlpm.k,"0")&amp;"N",_xlpm.k))))</f>
        <v/>
      </c>
      <c r="BQ39" s="832" t="str" cm="1">
        <f t="array" ref="BQ39">IF($BP39="","",IFERROR(IF($BV39="AL",_xlfn.XLOOKUP($BP39,Std_Al3_Code,INDEX(Std_Al3_Table,0,3)),IF($G39=1,_xlfn.XLOOKUP($BP39,Std_Cu1_Code,INDEX(Std_Cu1_Table,0,3)),_xlfn.XLOOKUP($BP39,Std_Cu3_Code,INDEX(Std_Cu3_Table,0,3)))),""))</f>
        <v/>
      </c>
      <c r="BR39" s="832" t="str" cm="1">
        <f t="array" ref="BR39">IF($BP39="","",IFERROR(IF($BV39="AL",_xlfn.XLOOKUP($BP39,Std_Al3_Code,INDEX(Std_Al3_Table,0,4)),IF($G39=1,_xlfn.XLOOKUP($BP39,Std_Cu1_Code,INDEX(Std_Cu1_Table,0,4)),_xlfn.XLOOKUP($BP39,Std_Cu3_Code,INDEX(Std_Cu3_Table,0,4)))),""))</f>
        <v/>
      </c>
      <c r="BS39" s="832" t="str" cm="1">
        <f t="array" ref="BS39">IF($BP39="","",IFERROR(IF($BV39="AL",_xlfn.XLOOKUP($BP39,Std_Al3_Code,INDEX(Std_Al3_Table,0,5)),IF($G39=1,_xlfn.XLOOKUP($BP39,Std_Cu1_Code,INDEX(Std_Cu1_Table,0,5)),_xlfn.XLOOKUP($BP39,Std_Cu3_Code,INDEX(Std_Cu3_Table,0,5)))),""))</f>
        <v/>
      </c>
      <c r="BT39" s="832" t="str">
        <f t="shared" si="5"/>
        <v/>
      </c>
      <c r="BU39" s="832" t="str" cm="1">
        <f t="array" ref="BU39">IF($BP39="","",IFERROR(IF($BV39="AL",_xlfn.XLOOKUP($BP39,Std_Al3_Code,INDEX(Std_Al3_Table,0,2)),IF($G39=1,_xlfn.XLOOKUP($BP39,Std_Cu1_Code,INDEX(Std_Cu1_Table,0,2)),_xlfn.XLOOKUP($BP39,Std_Cu3_Code,INDEX(Std_Cu3_Table,0,2)))),""))</f>
        <v/>
      </c>
      <c r="BV39" s="829" t="str">
        <f t="shared" si="6"/>
        <v/>
      </c>
      <c r="BW39" s="829" t="str">
        <f t="shared" si="12"/>
        <v/>
      </c>
      <c r="BX39" s="829" t="str" cm="1">
        <f t="array" ref="BX39">IF(OR($BP39="",$H39="",$I39="",$F39="",$BW39=""),"",IFERROR(_xlfn.LET(_xlpm.codes,IF($BV39="AL",Std_Al3_Code,IF($G39=1,Std_Cu1_Code,Std_Cu3_Code)),_xlpm.tbl,IF($BV39="AL",Std_Al3_Table,IF($G39=1,Std_Cu1_Table,Std_Cu3_Table)),_xlpm.i,MATCH($BP39,_xlpm.codes,0),_xlpm.idx,_xlfn.SEQUENCE(ROWS(_xlpm.codes)),_xlpm.cnd,INDEX(_xlpm.tbl,0,4),_xlpm.sts,INDEX(_xlpm.tbl,0,2),_xlpm.sz,IFERROR(_xlfn.TEXTBEFORE(_xlfn.TEXTAFTER(_xlpm.cnd,"#"),","),IFERROR(_xlfn.TEXTAFTER(_xlpm.cnd,"#"),"")),_xlpm.cm,IFERROR(_xlfn.XLOOKUP(TRIM(_xlpm.sz),Ampacity_Size,Ampacity_CM),0),_xlpm.mult,IF($G39=3,SQRT3,2),_xlpm.kk,IF($BV39="AL",K_Al,K_Cu),_xlpm.vd,IF(_xlpm.cm*IF(ISNUMBER(_xlpm.sts),_xlpm.sts,0)=0,9,_xlpm.mult*_xlpm.kk*$I39*$H39/(_xlpm.cm*_xlpm.sts)/$F39),_xlpm.hasN,--(RIGHT(_xlpm.codes&amp;"",1)="N"),_xlpm.wantN,--(RIGHT($BP39&amp;"",1)="N"),_xlpm.ok,(_xlpm.idx&gt;=_xlpm.i)*(_xlpm.vd&lt;=Cfg_VDFeeder)*(_xlpm.cm&gt;0)*ISNUMBER(_xlpm.sts)*(_xlpm.hasN=_xlpm.wantN),_xlpm.m,MIN(IF(_xlpm.ok=1,_xlpm.idx)),INDEX(_xlpm.codes,IF(_xlpm.m=0,_xlpm.i,_xlpm.m))),""))</f>
        <v/>
      </c>
      <c r="BY39" s="829" t="str" cm="1">
        <f t="array" ref="BY39">IF($BP39="","",IF($BX39="",$BU39,IFERROR(IF($BV39="AL",_xlfn.XLOOKUP($BX39,Std_Al3_Code,INDEX(Std_Al3_Table,0,2)),IF($G39=1,_xlfn.XLOOKUP($BX39,Std_Cu1_Code,INDEX(Std_Cu1_Table,0,2)),_xlfn.XLOOKUP($BX39,Std_Cu3_Code,INDEX(Std_Cu3_Table,0,2)))),"")))</f>
        <v/>
      </c>
      <c r="BZ39" s="829" t="str" cm="1">
        <f t="array" ref="BZ39">IF($BP39="","",IF($BX39="",$BR39,IFERROR(IF($BV39="AL",_xlfn.XLOOKUP($BX39,Std_Al3_Code,INDEX(Std_Al3_Table,0,4)),IF($G39=1,_xlfn.XLOOKUP($BX39,Std_Cu1_Code,INDEX(Std_Cu1_Table,0,4)),_xlfn.XLOOKUP($BX39,Std_Cu3_Code,INDEX(Std_Cu3_Table,0,4)))),"")))</f>
        <v/>
      </c>
      <c r="CA39" s="829" t="str" cm="1">
        <f t="array" ref="CA39">IF($BP39="","",IF($BX39="",$BQ39,IFERROR(IF($BV39="AL",_xlfn.XLOOKUP($BX39,Std_Al3_Code,INDEX(Std_Al3_Table,0,3)),IF($G39=1,_xlfn.XLOOKUP($BX39,Std_Cu1_Code,INDEX(Std_Cu1_Table,0,3)),_xlfn.XLOOKUP($BX39,Std_Cu3_Code,INDEX(Std_Cu3_Table,0,3)))),"")))</f>
        <v/>
      </c>
      <c r="CB39" s="829" t="str" cm="1">
        <f t="array" ref="CB39">IF($BP39="","",IF($BX39="",$BS39,IFERROR(IF($BV39="AL",_xlfn.XLOOKUP($BX39,Std_Al3_Code,INDEX(Std_Al3_Table,0,5)),IF($G39=1,_xlfn.XLOOKUP($BX39,Std_Cu1_Code,INDEX(Std_Cu1_Table,0,5)),_xlfn.XLOOKUP($BX39,Std_Cu3_Code,INDEX(Std_Cu3_Table,0,5)))),"")))</f>
        <v/>
      </c>
      <c r="CC39" s="829" t="str">
        <f t="shared" si="13"/>
        <v/>
      </c>
      <c r="CD39" s="829" t="str">
        <f t="shared" si="14"/>
        <v/>
      </c>
      <c r="CE39" s="829" t="str">
        <f t="shared" si="15"/>
        <v/>
      </c>
      <c r="CF39" s="829" t="str">
        <f t="shared" si="16"/>
        <v/>
      </c>
      <c r="CG39" s="829" t="str">
        <f t="shared" si="17"/>
        <v/>
      </c>
      <c r="CH39" s="829" t="str">
        <f t="shared" si="18"/>
        <v/>
      </c>
      <c r="CI39" s="829" t="str">
        <f t="shared" si="19"/>
        <v/>
      </c>
      <c r="CJ39" s="829" t="str" cm="1">
        <f t="array" ref="CJ39">IF($B39="","",_xlfn.LET(_xlpm.to,$D39&amp;"",_xlpm.em,IFERROR(INDEX(_xlfn.ANCHORARRAY($BE$4),ROW()-4,6),"")="EMERG",_xlpm.pri,AND(NOT(_xlpm.em),LEFT(_xlpm.to,2)="T-",ISNUMBER(MATCH(MID(_xlpm.to,3,99),Equip_List,0)),ISNA(MATCH(_xlpm.to,Equip_List,0))),IF(_xlpm.pri,MID(_xlpm.to,3,99),_xlpm.to)))</f>
        <v/>
      </c>
      <c r="CK39" s="829" t="str" cm="1">
        <f t="array" ref="CK39">IF($CJ39="","",IF(IFERROR(INDEX(_xlfn.ANCHORARRAY($BE$4),ROW()-4,6),"")="EMERG","E",IF($CJ39&lt;&gt;$D39&amp;"","P","N")))</f>
        <v/>
      </c>
    </row>
    <row r="40" spans="1:89" ht="15" customHeight="1" x14ac:dyDescent="0.35">
      <c r="A40" s="821" t="str">
        <f t="shared" si="7"/>
        <v/>
      </c>
      <c r="B40" s="821" t="str" cm="1">
        <f t="array" ref="B40">IFERROR(IF(INDEX(_xlfn.ANCHORARRAY($BE$4),ROW()-4,2)="","","F-"&amp;INDEX(_xlfn.ANCHORARRAY($BE$4),ROW()-4,2)&amp;IF(IFERROR(INDEX(_xlfn.ANCHORARRAY($BE$4),ROW()-4,6),"")="EMERG","-E","")),"")</f>
        <v/>
      </c>
      <c r="C40" s="821" t="str" cm="1">
        <f t="array" ref="C40">IFERROR(IF($B40="","",INDEX(_xlfn.ANCHORARRAY($BE$4),ROW()-4,1)),"")</f>
        <v/>
      </c>
      <c r="D40" s="821" t="str" cm="1">
        <f t="array" ref="D40">IFERROR(IF($B40="","",INDEX(_xlfn.ANCHORARRAY($BE$4),ROW()-4,2)),"")</f>
        <v/>
      </c>
      <c r="E40" s="806" t="str" cm="1">
        <f t="array" ref="E40">IFERROR(IF($B40="","",INDEX(_xlfn.ANCHORARRAY($BE$4),ROW()-4,3)),"")</f>
        <v/>
      </c>
      <c r="F40" s="822" t="str" cm="1">
        <f t="array" ref="F40">IFERROR(IF($B40="","",INDEX(_xlfn.ANCHORARRAY($BE$4),ROW()-4,4)),"")</f>
        <v/>
      </c>
      <c r="G40" s="823" t="str" cm="1">
        <f t="array" ref="G40">IFERROR(IF($B40="","",INDEX(_xlfn.ANCHORARRAY($BE$4),ROW()-4,5)),"")</f>
        <v/>
      </c>
      <c r="H40" s="824" t="str" cm="1">
        <f t="array" ref="H40">IF($CJ40="","",_xlfn.LET(_xlpm.v,_xlfn.XLOOKUP($CJ40,Equip_List,IF($CK40="E",Equip_EmLen,IF($CK40="P",Equip_XfPriLen,Equip_FdrLen)),""),IF(_xlpm.v="","",_xlpm.v)))</f>
        <v/>
      </c>
      <c r="I40" s="806" t="str">
        <f t="shared" si="0"/>
        <v/>
      </c>
      <c r="J40" s="820"/>
      <c r="K40" s="806" t="str">
        <f>_xlfn.LET(_xlpm.k,IF($I40="","",IF(COUNTIF(UPS!$B$57:$B$64,$C40&amp;"")&gt;0,1.25*MAX($I40,N(_xlfn.XLOOKUP($C40&amp;"",UPS!$B$57:$B$64,UPS!$M$57:$M$64,0))),IF(COUNTIF(UPS!$B$57:$B$64,$D40&amp;"")&gt;0,1.25*MAX($I40,N(_xlfn.XLOOKUP($D40&amp;"",UPS!$B$57:$B$64,UPS!$Q$57:$Q$64,0))),$I40*IF(OR(UPPER($J40)="Y",LEFT($C40,2)="T-",LEFT($D40,2)="T-"),1.25,1)))),IF(_xlpm.k="","",MAX(_xlpm.k,N(IFERROR(_xlfn.XLOOKUP($D40&amp;"",Dashboard!$A$101:$A$350,Dashboard!$O$101:$O$350,0),0)))))</f>
        <v/>
      </c>
      <c r="L40" s="825" t="str">
        <f>IF($CJ40="","",_xlfn.LET(_xlpm.v,UPPER(TRIM(_xlfn.XLOOKUP($CJ40,Equip_List,Equip_FdrMat,"")&amp;"")),IF(_xlpm.v="",UPPER(TRIM(Cfg_FeederMat&amp;"")),_xlpm.v)))</f>
        <v/>
      </c>
      <c r="M40" s="825" t="str">
        <f>IF($CJ40="","",_xlfn.LET(_xlpm.v,TRIM(_xlfn.XLOOKUP($CJ40,Equip_List,Equip_FdrRace,"")&amp;""),IF(_xlpm.v="",Cfg_Conduit&amp;"",_xlpm.v)))</f>
        <v/>
      </c>
      <c r="N40" s="825" t="str">
        <f>IF($CJ40="","",IF(UPPER(TRIM(_xlfn.XLOOKUP($CJ40,Equip_List,Equip_FdrExist,"")&amp;""))="Y","Y",""))</f>
        <v/>
      </c>
      <c r="O40" s="823" t="str">
        <f t="shared" si="8"/>
        <v/>
      </c>
      <c r="P40" s="821" t="str">
        <f t="shared" si="9"/>
        <v/>
      </c>
      <c r="Q40" s="821" t="str">
        <f t="shared" si="10"/>
        <v/>
      </c>
      <c r="R40" s="822" t="str" cm="1">
        <f t="array" ref="R40">IF(K40="","",INDEX(OCPD_List,MATCH(TRUE,OCPD_List&gt;=K40,0)))</f>
        <v/>
      </c>
      <c r="S40" s="821" t="str">
        <f t="shared" si="11"/>
        <v/>
      </c>
      <c r="T40" s="826" t="str">
        <f t="shared" si="1"/>
        <v/>
      </c>
      <c r="U40" s="826" t="str">
        <f t="shared" si="2"/>
        <v/>
      </c>
      <c r="V40" s="827" t="str">
        <f t="shared" si="3"/>
        <v/>
      </c>
      <c r="W40" s="828"/>
      <c r="X40" s="819"/>
      <c r="Y40" s="820"/>
      <c r="Z40" s="820"/>
      <c r="AA40" s="820"/>
      <c r="BN40" s="832" t="str">
        <f>IF($B40="","",IFERROR(_xlfn.XLOOKUP($D40,Dashboard!$A$101:$A$350,Dashboard!$C$101:$C$350),""))</f>
        <v/>
      </c>
      <c r="BO40" s="832" t="str">
        <f t="shared" si="4"/>
        <v/>
      </c>
      <c r="BP40" s="832" t="str" cm="1">
        <f t="array" ref="BP40">IF(OR($B40="",$R40="",NOT(ISNUMBER($R40))),"",IF(AND($BV40="AL",$G40=1),"",_xlfn.LET(_xlpm.codes,IF($BV40="AL",Std_Al3_Code,IF($G40=1,Std_Cu1_Code,Std_Cu3_Code)),_xlpm.amps,IFERROR(--SUBSTITUTE(_xlpm.codes&amp;"","N",""),""),_xlpm.a,MIN(IF(ISNUMBER(_xlpm.amps),IF(_xlpm.amps&gt;=$R40,_xlpm.amps,""),"")),_xlpm.k,IF(_xlpm.a=0,$R40,_xlpm.a),IF($BO40="Y",TEXT(_xlpm.k,"0")&amp;"N",_xlpm.k))))</f>
        <v/>
      </c>
      <c r="BQ40" s="832" t="str" cm="1">
        <f t="array" ref="BQ40">IF($BP40="","",IFERROR(IF($BV40="AL",_xlfn.XLOOKUP($BP40,Std_Al3_Code,INDEX(Std_Al3_Table,0,3)),IF($G40=1,_xlfn.XLOOKUP($BP40,Std_Cu1_Code,INDEX(Std_Cu1_Table,0,3)),_xlfn.XLOOKUP($BP40,Std_Cu3_Code,INDEX(Std_Cu3_Table,0,3)))),""))</f>
        <v/>
      </c>
      <c r="BR40" s="832" t="str" cm="1">
        <f t="array" ref="BR40">IF($BP40="","",IFERROR(IF($BV40="AL",_xlfn.XLOOKUP($BP40,Std_Al3_Code,INDEX(Std_Al3_Table,0,4)),IF($G40=1,_xlfn.XLOOKUP($BP40,Std_Cu1_Code,INDEX(Std_Cu1_Table,0,4)),_xlfn.XLOOKUP($BP40,Std_Cu3_Code,INDEX(Std_Cu3_Table,0,4)))),""))</f>
        <v/>
      </c>
      <c r="BS40" s="832" t="str" cm="1">
        <f t="array" ref="BS40">IF($BP40="","",IFERROR(IF($BV40="AL",_xlfn.XLOOKUP($BP40,Std_Al3_Code,INDEX(Std_Al3_Table,0,5)),IF($G40=1,_xlfn.XLOOKUP($BP40,Std_Cu1_Code,INDEX(Std_Cu1_Table,0,5)),_xlfn.XLOOKUP($BP40,Std_Cu3_Code,INDEX(Std_Cu3_Table,0,5)))),""))</f>
        <v/>
      </c>
      <c r="BT40" s="832" t="str">
        <f t="shared" si="5"/>
        <v/>
      </c>
      <c r="BU40" s="832" t="str" cm="1">
        <f t="array" ref="BU40">IF($BP40="","",IFERROR(IF($BV40="AL",_xlfn.XLOOKUP($BP40,Std_Al3_Code,INDEX(Std_Al3_Table,0,2)),IF($G40=1,_xlfn.XLOOKUP($BP40,Std_Cu1_Code,INDEX(Std_Cu1_Table,0,2)),_xlfn.XLOOKUP($BP40,Std_Cu3_Code,INDEX(Std_Cu3_Table,0,2)))),""))</f>
        <v/>
      </c>
      <c r="BV40" s="829" t="str">
        <f t="shared" si="6"/>
        <v/>
      </c>
      <c r="BW40" s="829" t="str">
        <f t="shared" si="12"/>
        <v/>
      </c>
      <c r="BX40" s="829" t="str" cm="1">
        <f t="array" ref="BX40">IF(OR($BP40="",$H40="",$I40="",$F40="",$BW40=""),"",IFERROR(_xlfn.LET(_xlpm.codes,IF($BV40="AL",Std_Al3_Code,IF($G40=1,Std_Cu1_Code,Std_Cu3_Code)),_xlpm.tbl,IF($BV40="AL",Std_Al3_Table,IF($G40=1,Std_Cu1_Table,Std_Cu3_Table)),_xlpm.i,MATCH($BP40,_xlpm.codes,0),_xlpm.idx,_xlfn.SEQUENCE(ROWS(_xlpm.codes)),_xlpm.cnd,INDEX(_xlpm.tbl,0,4),_xlpm.sts,INDEX(_xlpm.tbl,0,2),_xlpm.sz,IFERROR(_xlfn.TEXTBEFORE(_xlfn.TEXTAFTER(_xlpm.cnd,"#"),","),IFERROR(_xlfn.TEXTAFTER(_xlpm.cnd,"#"),"")),_xlpm.cm,IFERROR(_xlfn.XLOOKUP(TRIM(_xlpm.sz),Ampacity_Size,Ampacity_CM),0),_xlpm.mult,IF($G40=3,SQRT3,2),_xlpm.kk,IF($BV40="AL",K_Al,K_Cu),_xlpm.vd,IF(_xlpm.cm*IF(ISNUMBER(_xlpm.sts),_xlpm.sts,0)=0,9,_xlpm.mult*_xlpm.kk*$I40*$H40/(_xlpm.cm*_xlpm.sts)/$F40),_xlpm.hasN,--(RIGHT(_xlpm.codes&amp;"",1)="N"),_xlpm.wantN,--(RIGHT($BP40&amp;"",1)="N"),_xlpm.ok,(_xlpm.idx&gt;=_xlpm.i)*(_xlpm.vd&lt;=Cfg_VDFeeder)*(_xlpm.cm&gt;0)*ISNUMBER(_xlpm.sts)*(_xlpm.hasN=_xlpm.wantN),_xlpm.m,MIN(IF(_xlpm.ok=1,_xlpm.idx)),INDEX(_xlpm.codes,IF(_xlpm.m=0,_xlpm.i,_xlpm.m))),""))</f>
        <v/>
      </c>
      <c r="BY40" s="829" t="str" cm="1">
        <f t="array" ref="BY40">IF($BP40="","",IF($BX40="",$BU40,IFERROR(IF($BV40="AL",_xlfn.XLOOKUP($BX40,Std_Al3_Code,INDEX(Std_Al3_Table,0,2)),IF($G40=1,_xlfn.XLOOKUP($BX40,Std_Cu1_Code,INDEX(Std_Cu1_Table,0,2)),_xlfn.XLOOKUP($BX40,Std_Cu3_Code,INDEX(Std_Cu3_Table,0,2)))),"")))</f>
        <v/>
      </c>
      <c r="BZ40" s="829" t="str" cm="1">
        <f t="array" ref="BZ40">IF($BP40="","",IF($BX40="",$BR40,IFERROR(IF($BV40="AL",_xlfn.XLOOKUP($BX40,Std_Al3_Code,INDEX(Std_Al3_Table,0,4)),IF($G40=1,_xlfn.XLOOKUP($BX40,Std_Cu1_Code,INDEX(Std_Cu1_Table,0,4)),_xlfn.XLOOKUP($BX40,Std_Cu3_Code,INDEX(Std_Cu3_Table,0,4)))),"")))</f>
        <v/>
      </c>
      <c r="CA40" s="829" t="str" cm="1">
        <f t="array" ref="CA40">IF($BP40="","",IF($BX40="",$BQ40,IFERROR(IF($BV40="AL",_xlfn.XLOOKUP($BX40,Std_Al3_Code,INDEX(Std_Al3_Table,0,3)),IF($G40=1,_xlfn.XLOOKUP($BX40,Std_Cu1_Code,INDEX(Std_Cu1_Table,0,3)),_xlfn.XLOOKUP($BX40,Std_Cu3_Code,INDEX(Std_Cu3_Table,0,3)))),"")))</f>
        <v/>
      </c>
      <c r="CB40" s="829" t="str" cm="1">
        <f t="array" ref="CB40">IF($BP40="","",IF($BX40="",$BS40,IFERROR(IF($BV40="AL",_xlfn.XLOOKUP($BX40,Std_Al3_Code,INDEX(Std_Al3_Table,0,5)),IF($G40=1,_xlfn.XLOOKUP($BX40,Std_Cu1_Code,INDEX(Std_Cu1_Table,0,5)),_xlfn.XLOOKUP($BX40,Std_Cu3_Code,INDEX(Std_Cu3_Table,0,5)))),"")))</f>
        <v/>
      </c>
      <c r="CC40" s="829" t="str">
        <f t="shared" si="13"/>
        <v/>
      </c>
      <c r="CD40" s="829" t="str">
        <f t="shared" si="14"/>
        <v/>
      </c>
      <c r="CE40" s="829" t="str">
        <f t="shared" si="15"/>
        <v/>
      </c>
      <c r="CF40" s="829" t="str">
        <f t="shared" si="16"/>
        <v/>
      </c>
      <c r="CG40" s="829" t="str">
        <f t="shared" si="17"/>
        <v/>
      </c>
      <c r="CH40" s="829" t="str">
        <f t="shared" si="18"/>
        <v/>
      </c>
      <c r="CI40" s="829" t="str">
        <f t="shared" si="19"/>
        <v/>
      </c>
      <c r="CJ40" s="829" t="str" cm="1">
        <f t="array" ref="CJ40">IF($B40="","",_xlfn.LET(_xlpm.to,$D40&amp;"",_xlpm.em,IFERROR(INDEX(_xlfn.ANCHORARRAY($BE$4),ROW()-4,6),"")="EMERG",_xlpm.pri,AND(NOT(_xlpm.em),LEFT(_xlpm.to,2)="T-",ISNUMBER(MATCH(MID(_xlpm.to,3,99),Equip_List,0)),ISNA(MATCH(_xlpm.to,Equip_List,0))),IF(_xlpm.pri,MID(_xlpm.to,3,99),_xlpm.to)))</f>
        <v/>
      </c>
      <c r="CK40" s="829" t="str" cm="1">
        <f t="array" ref="CK40">IF($CJ40="","",IF(IFERROR(INDEX(_xlfn.ANCHORARRAY($BE$4),ROW()-4,6),"")="EMERG","E",IF($CJ40&lt;&gt;$D40&amp;"","P","N")))</f>
        <v/>
      </c>
    </row>
    <row r="41" spans="1:89" ht="15" customHeight="1" x14ac:dyDescent="0.35">
      <c r="A41" s="821" t="str">
        <f t="shared" si="7"/>
        <v/>
      </c>
      <c r="B41" s="821" t="str" cm="1">
        <f t="array" ref="B41">IFERROR(IF(INDEX(_xlfn.ANCHORARRAY($BE$4),ROW()-4,2)="","","F-"&amp;INDEX(_xlfn.ANCHORARRAY($BE$4),ROW()-4,2)&amp;IF(IFERROR(INDEX(_xlfn.ANCHORARRAY($BE$4),ROW()-4,6),"")="EMERG","-E","")),"")</f>
        <v/>
      </c>
      <c r="C41" s="821" t="str" cm="1">
        <f t="array" ref="C41">IFERROR(IF($B41="","",INDEX(_xlfn.ANCHORARRAY($BE$4),ROW()-4,1)),"")</f>
        <v/>
      </c>
      <c r="D41" s="821" t="str" cm="1">
        <f t="array" ref="D41">IFERROR(IF($B41="","",INDEX(_xlfn.ANCHORARRAY($BE$4),ROW()-4,2)),"")</f>
        <v/>
      </c>
      <c r="E41" s="806" t="str" cm="1">
        <f t="array" ref="E41">IFERROR(IF($B41="","",INDEX(_xlfn.ANCHORARRAY($BE$4),ROW()-4,3)),"")</f>
        <v/>
      </c>
      <c r="F41" s="822" t="str" cm="1">
        <f t="array" ref="F41">IFERROR(IF($B41="","",INDEX(_xlfn.ANCHORARRAY($BE$4),ROW()-4,4)),"")</f>
        <v/>
      </c>
      <c r="G41" s="823" t="str" cm="1">
        <f t="array" ref="G41">IFERROR(IF($B41="","",INDEX(_xlfn.ANCHORARRAY($BE$4),ROW()-4,5)),"")</f>
        <v/>
      </c>
      <c r="H41" s="824" t="str" cm="1">
        <f t="array" ref="H41">IF($CJ41="","",_xlfn.LET(_xlpm.v,_xlfn.XLOOKUP($CJ41,Equip_List,IF($CK41="E",Equip_EmLen,IF($CK41="P",Equip_XfPriLen,Equip_FdrLen)),""),IF(_xlpm.v="","",_xlpm.v)))</f>
        <v/>
      </c>
      <c r="I41" s="806" t="str">
        <f t="shared" si="0"/>
        <v/>
      </c>
      <c r="J41" s="820"/>
      <c r="K41" s="806" t="str">
        <f>_xlfn.LET(_xlpm.k,IF($I41="","",IF(COUNTIF(UPS!$B$57:$B$64,$C41&amp;"")&gt;0,1.25*MAX($I41,N(_xlfn.XLOOKUP($C41&amp;"",UPS!$B$57:$B$64,UPS!$M$57:$M$64,0))),IF(COUNTIF(UPS!$B$57:$B$64,$D41&amp;"")&gt;0,1.25*MAX($I41,N(_xlfn.XLOOKUP($D41&amp;"",UPS!$B$57:$B$64,UPS!$Q$57:$Q$64,0))),$I41*IF(OR(UPPER($J41)="Y",LEFT($C41,2)="T-",LEFT($D41,2)="T-"),1.25,1)))),IF(_xlpm.k="","",MAX(_xlpm.k,N(IFERROR(_xlfn.XLOOKUP($D41&amp;"",Dashboard!$A$101:$A$350,Dashboard!$O$101:$O$350,0),0)))))</f>
        <v/>
      </c>
      <c r="L41" s="825" t="str">
        <f>IF($CJ41="","",_xlfn.LET(_xlpm.v,UPPER(TRIM(_xlfn.XLOOKUP($CJ41,Equip_List,Equip_FdrMat,"")&amp;"")),IF(_xlpm.v="",UPPER(TRIM(Cfg_FeederMat&amp;"")),_xlpm.v)))</f>
        <v/>
      </c>
      <c r="M41" s="825" t="str">
        <f>IF($CJ41="","",_xlfn.LET(_xlpm.v,TRIM(_xlfn.XLOOKUP($CJ41,Equip_List,Equip_FdrRace,"")&amp;""),IF(_xlpm.v="",Cfg_Conduit&amp;"",_xlpm.v)))</f>
        <v/>
      </c>
      <c r="N41" s="825" t="str">
        <f>IF($CJ41="","",IF(UPPER(TRIM(_xlfn.XLOOKUP($CJ41,Equip_List,Equip_FdrExist,"")&amp;""))="Y","Y",""))</f>
        <v/>
      </c>
      <c r="O41" s="823" t="str">
        <f t="shared" si="8"/>
        <v/>
      </c>
      <c r="P41" s="821" t="str">
        <f t="shared" si="9"/>
        <v/>
      </c>
      <c r="Q41" s="821" t="str">
        <f t="shared" si="10"/>
        <v/>
      </c>
      <c r="R41" s="822" t="str" cm="1">
        <f t="array" ref="R41">IF(K41="","",INDEX(OCPD_List,MATCH(TRUE,OCPD_List&gt;=K41,0)))</f>
        <v/>
      </c>
      <c r="S41" s="821" t="str">
        <f t="shared" si="11"/>
        <v/>
      </c>
      <c r="T41" s="826" t="str">
        <f t="shared" si="1"/>
        <v/>
      </c>
      <c r="U41" s="826" t="str">
        <f t="shared" si="2"/>
        <v/>
      </c>
      <c r="V41" s="827" t="str">
        <f t="shared" si="3"/>
        <v/>
      </c>
      <c r="W41" s="828"/>
      <c r="X41" s="819"/>
      <c r="Y41" s="820"/>
      <c r="Z41" s="820"/>
      <c r="AA41" s="820"/>
      <c r="BN41" s="832" t="str">
        <f>IF($B41="","",IFERROR(_xlfn.XLOOKUP($D41,Dashboard!$A$101:$A$350,Dashboard!$C$101:$C$350),""))</f>
        <v/>
      </c>
      <c r="BO41" s="832" t="str">
        <f t="shared" si="4"/>
        <v/>
      </c>
      <c r="BP41" s="832" t="str" cm="1">
        <f t="array" ref="BP41">IF(OR($B41="",$R41="",NOT(ISNUMBER($R41))),"",IF(AND($BV41="AL",$G41=1),"",_xlfn.LET(_xlpm.codes,IF($BV41="AL",Std_Al3_Code,IF($G41=1,Std_Cu1_Code,Std_Cu3_Code)),_xlpm.amps,IFERROR(--SUBSTITUTE(_xlpm.codes&amp;"","N",""),""),_xlpm.a,MIN(IF(ISNUMBER(_xlpm.amps),IF(_xlpm.amps&gt;=$R41,_xlpm.amps,""),"")),_xlpm.k,IF(_xlpm.a=0,$R41,_xlpm.a),IF($BO41="Y",TEXT(_xlpm.k,"0")&amp;"N",_xlpm.k))))</f>
        <v/>
      </c>
      <c r="BQ41" s="832" t="str" cm="1">
        <f t="array" ref="BQ41">IF($BP41="","",IFERROR(IF($BV41="AL",_xlfn.XLOOKUP($BP41,Std_Al3_Code,INDEX(Std_Al3_Table,0,3)),IF($G41=1,_xlfn.XLOOKUP($BP41,Std_Cu1_Code,INDEX(Std_Cu1_Table,0,3)),_xlfn.XLOOKUP($BP41,Std_Cu3_Code,INDEX(Std_Cu3_Table,0,3)))),""))</f>
        <v/>
      </c>
      <c r="BR41" s="832" t="str" cm="1">
        <f t="array" ref="BR41">IF($BP41="","",IFERROR(IF($BV41="AL",_xlfn.XLOOKUP($BP41,Std_Al3_Code,INDEX(Std_Al3_Table,0,4)),IF($G41=1,_xlfn.XLOOKUP($BP41,Std_Cu1_Code,INDEX(Std_Cu1_Table,0,4)),_xlfn.XLOOKUP($BP41,Std_Cu3_Code,INDEX(Std_Cu3_Table,0,4)))),""))</f>
        <v/>
      </c>
      <c r="BS41" s="832" t="str" cm="1">
        <f t="array" ref="BS41">IF($BP41="","",IFERROR(IF($BV41="AL",_xlfn.XLOOKUP($BP41,Std_Al3_Code,INDEX(Std_Al3_Table,0,5)),IF($G41=1,_xlfn.XLOOKUP($BP41,Std_Cu1_Code,INDEX(Std_Cu1_Table,0,5)),_xlfn.XLOOKUP($BP41,Std_Cu3_Code,INDEX(Std_Cu3_Table,0,5)))),""))</f>
        <v/>
      </c>
      <c r="BT41" s="832" t="str">
        <f t="shared" si="5"/>
        <v/>
      </c>
      <c r="BU41" s="832" t="str" cm="1">
        <f t="array" ref="BU41">IF($BP41="","",IFERROR(IF($BV41="AL",_xlfn.XLOOKUP($BP41,Std_Al3_Code,INDEX(Std_Al3_Table,0,2)),IF($G41=1,_xlfn.XLOOKUP($BP41,Std_Cu1_Code,INDEX(Std_Cu1_Table,0,2)),_xlfn.XLOOKUP($BP41,Std_Cu3_Code,INDEX(Std_Cu3_Table,0,2)))),""))</f>
        <v/>
      </c>
      <c r="BV41" s="829" t="str">
        <f t="shared" si="6"/>
        <v/>
      </c>
      <c r="BW41" s="829" t="str">
        <f t="shared" si="12"/>
        <v/>
      </c>
      <c r="BX41" s="829" t="str" cm="1">
        <f t="array" ref="BX41">IF(OR($BP41="",$H41="",$I41="",$F41="",$BW41=""),"",IFERROR(_xlfn.LET(_xlpm.codes,IF($BV41="AL",Std_Al3_Code,IF($G41=1,Std_Cu1_Code,Std_Cu3_Code)),_xlpm.tbl,IF($BV41="AL",Std_Al3_Table,IF($G41=1,Std_Cu1_Table,Std_Cu3_Table)),_xlpm.i,MATCH($BP41,_xlpm.codes,0),_xlpm.idx,_xlfn.SEQUENCE(ROWS(_xlpm.codes)),_xlpm.cnd,INDEX(_xlpm.tbl,0,4),_xlpm.sts,INDEX(_xlpm.tbl,0,2),_xlpm.sz,IFERROR(_xlfn.TEXTBEFORE(_xlfn.TEXTAFTER(_xlpm.cnd,"#"),","),IFERROR(_xlfn.TEXTAFTER(_xlpm.cnd,"#"),"")),_xlpm.cm,IFERROR(_xlfn.XLOOKUP(TRIM(_xlpm.sz),Ampacity_Size,Ampacity_CM),0),_xlpm.mult,IF($G41=3,SQRT3,2),_xlpm.kk,IF($BV41="AL",K_Al,K_Cu),_xlpm.vd,IF(_xlpm.cm*IF(ISNUMBER(_xlpm.sts),_xlpm.sts,0)=0,9,_xlpm.mult*_xlpm.kk*$I41*$H41/(_xlpm.cm*_xlpm.sts)/$F41),_xlpm.hasN,--(RIGHT(_xlpm.codes&amp;"",1)="N"),_xlpm.wantN,--(RIGHT($BP41&amp;"",1)="N"),_xlpm.ok,(_xlpm.idx&gt;=_xlpm.i)*(_xlpm.vd&lt;=Cfg_VDFeeder)*(_xlpm.cm&gt;0)*ISNUMBER(_xlpm.sts)*(_xlpm.hasN=_xlpm.wantN),_xlpm.m,MIN(IF(_xlpm.ok=1,_xlpm.idx)),INDEX(_xlpm.codes,IF(_xlpm.m=0,_xlpm.i,_xlpm.m))),""))</f>
        <v/>
      </c>
      <c r="BY41" s="829" t="str" cm="1">
        <f t="array" ref="BY41">IF($BP41="","",IF($BX41="",$BU41,IFERROR(IF($BV41="AL",_xlfn.XLOOKUP($BX41,Std_Al3_Code,INDEX(Std_Al3_Table,0,2)),IF($G41=1,_xlfn.XLOOKUP($BX41,Std_Cu1_Code,INDEX(Std_Cu1_Table,0,2)),_xlfn.XLOOKUP($BX41,Std_Cu3_Code,INDEX(Std_Cu3_Table,0,2)))),"")))</f>
        <v/>
      </c>
      <c r="BZ41" s="829" t="str" cm="1">
        <f t="array" ref="BZ41">IF($BP41="","",IF($BX41="",$BR41,IFERROR(IF($BV41="AL",_xlfn.XLOOKUP($BX41,Std_Al3_Code,INDEX(Std_Al3_Table,0,4)),IF($G41=1,_xlfn.XLOOKUP($BX41,Std_Cu1_Code,INDEX(Std_Cu1_Table,0,4)),_xlfn.XLOOKUP($BX41,Std_Cu3_Code,INDEX(Std_Cu3_Table,0,4)))),"")))</f>
        <v/>
      </c>
      <c r="CA41" s="829" t="str" cm="1">
        <f t="array" ref="CA41">IF($BP41="","",IF($BX41="",$BQ41,IFERROR(IF($BV41="AL",_xlfn.XLOOKUP($BX41,Std_Al3_Code,INDEX(Std_Al3_Table,0,3)),IF($G41=1,_xlfn.XLOOKUP($BX41,Std_Cu1_Code,INDEX(Std_Cu1_Table,0,3)),_xlfn.XLOOKUP($BX41,Std_Cu3_Code,INDEX(Std_Cu3_Table,0,3)))),"")))</f>
        <v/>
      </c>
      <c r="CB41" s="829" t="str" cm="1">
        <f t="array" ref="CB41">IF($BP41="","",IF($BX41="",$BS41,IFERROR(IF($BV41="AL",_xlfn.XLOOKUP($BX41,Std_Al3_Code,INDEX(Std_Al3_Table,0,5)),IF($G41=1,_xlfn.XLOOKUP($BX41,Std_Cu1_Code,INDEX(Std_Cu1_Table,0,5)),_xlfn.XLOOKUP($BX41,Std_Cu3_Code,INDEX(Std_Cu3_Table,0,5)))),"")))</f>
        <v/>
      </c>
      <c r="CC41" s="829" t="str">
        <f t="shared" si="13"/>
        <v/>
      </c>
      <c r="CD41" s="829" t="str">
        <f t="shared" si="14"/>
        <v/>
      </c>
      <c r="CE41" s="829" t="str">
        <f t="shared" si="15"/>
        <v/>
      </c>
      <c r="CF41" s="829" t="str">
        <f t="shared" si="16"/>
        <v/>
      </c>
      <c r="CG41" s="829" t="str">
        <f t="shared" si="17"/>
        <v/>
      </c>
      <c r="CH41" s="829" t="str">
        <f t="shared" si="18"/>
        <v/>
      </c>
      <c r="CI41" s="829" t="str">
        <f t="shared" si="19"/>
        <v/>
      </c>
      <c r="CJ41" s="829" t="str" cm="1">
        <f t="array" ref="CJ41">IF($B41="","",_xlfn.LET(_xlpm.to,$D41&amp;"",_xlpm.em,IFERROR(INDEX(_xlfn.ANCHORARRAY($BE$4),ROW()-4,6),"")="EMERG",_xlpm.pri,AND(NOT(_xlpm.em),LEFT(_xlpm.to,2)="T-",ISNUMBER(MATCH(MID(_xlpm.to,3,99),Equip_List,0)),ISNA(MATCH(_xlpm.to,Equip_List,0))),IF(_xlpm.pri,MID(_xlpm.to,3,99),_xlpm.to)))</f>
        <v/>
      </c>
      <c r="CK41" s="829" t="str" cm="1">
        <f t="array" ref="CK41">IF($CJ41="","",IF(IFERROR(INDEX(_xlfn.ANCHORARRAY($BE$4),ROW()-4,6),"")="EMERG","E",IF($CJ41&lt;&gt;$D41&amp;"","P","N")))</f>
        <v/>
      </c>
    </row>
    <row r="42" spans="1:89" ht="15" customHeight="1" x14ac:dyDescent="0.35">
      <c r="A42" s="821" t="str">
        <f t="shared" si="7"/>
        <v/>
      </c>
      <c r="B42" s="821" t="str" cm="1">
        <f t="array" ref="B42">IFERROR(IF(INDEX(_xlfn.ANCHORARRAY($BE$4),ROW()-4,2)="","","F-"&amp;INDEX(_xlfn.ANCHORARRAY($BE$4),ROW()-4,2)&amp;IF(IFERROR(INDEX(_xlfn.ANCHORARRAY($BE$4),ROW()-4,6),"")="EMERG","-E","")),"")</f>
        <v/>
      </c>
      <c r="C42" s="821" t="str" cm="1">
        <f t="array" ref="C42">IFERROR(IF($B42="","",INDEX(_xlfn.ANCHORARRAY($BE$4),ROW()-4,1)),"")</f>
        <v/>
      </c>
      <c r="D42" s="821" t="str" cm="1">
        <f t="array" ref="D42">IFERROR(IF($B42="","",INDEX(_xlfn.ANCHORARRAY($BE$4),ROW()-4,2)),"")</f>
        <v/>
      </c>
      <c r="E42" s="806" t="str" cm="1">
        <f t="array" ref="E42">IFERROR(IF($B42="","",INDEX(_xlfn.ANCHORARRAY($BE$4),ROW()-4,3)),"")</f>
        <v/>
      </c>
      <c r="F42" s="822" t="str" cm="1">
        <f t="array" ref="F42">IFERROR(IF($B42="","",INDEX(_xlfn.ANCHORARRAY($BE$4),ROW()-4,4)),"")</f>
        <v/>
      </c>
      <c r="G42" s="823" t="str" cm="1">
        <f t="array" ref="G42">IFERROR(IF($B42="","",INDEX(_xlfn.ANCHORARRAY($BE$4),ROW()-4,5)),"")</f>
        <v/>
      </c>
      <c r="H42" s="824" t="str" cm="1">
        <f t="array" ref="H42">IF($CJ42="","",_xlfn.LET(_xlpm.v,_xlfn.XLOOKUP($CJ42,Equip_List,IF($CK42="E",Equip_EmLen,IF($CK42="P",Equip_XfPriLen,Equip_FdrLen)),""),IF(_xlpm.v="","",_xlpm.v)))</f>
        <v/>
      </c>
      <c r="I42" s="806" t="str">
        <f t="shared" si="0"/>
        <v/>
      </c>
      <c r="J42" s="820"/>
      <c r="K42" s="806" t="str">
        <f>_xlfn.LET(_xlpm.k,IF($I42="","",IF(COUNTIF(UPS!$B$57:$B$64,$C42&amp;"")&gt;0,1.25*MAX($I42,N(_xlfn.XLOOKUP($C42&amp;"",UPS!$B$57:$B$64,UPS!$M$57:$M$64,0))),IF(COUNTIF(UPS!$B$57:$B$64,$D42&amp;"")&gt;0,1.25*MAX($I42,N(_xlfn.XLOOKUP($D42&amp;"",UPS!$B$57:$B$64,UPS!$Q$57:$Q$64,0))),$I42*IF(OR(UPPER($J42)="Y",LEFT($C42,2)="T-",LEFT($D42,2)="T-"),1.25,1)))),IF(_xlpm.k="","",MAX(_xlpm.k,N(IFERROR(_xlfn.XLOOKUP($D42&amp;"",Dashboard!$A$101:$A$350,Dashboard!$O$101:$O$350,0),0)))))</f>
        <v/>
      </c>
      <c r="L42" s="825" t="str">
        <f>IF($CJ42="","",_xlfn.LET(_xlpm.v,UPPER(TRIM(_xlfn.XLOOKUP($CJ42,Equip_List,Equip_FdrMat,"")&amp;"")),IF(_xlpm.v="",UPPER(TRIM(Cfg_FeederMat&amp;"")),_xlpm.v)))</f>
        <v/>
      </c>
      <c r="M42" s="825" t="str">
        <f>IF($CJ42="","",_xlfn.LET(_xlpm.v,TRIM(_xlfn.XLOOKUP($CJ42,Equip_List,Equip_FdrRace,"")&amp;""),IF(_xlpm.v="",Cfg_Conduit&amp;"",_xlpm.v)))</f>
        <v/>
      </c>
      <c r="N42" s="825" t="str">
        <f>IF($CJ42="","",IF(UPPER(TRIM(_xlfn.XLOOKUP($CJ42,Equip_List,Equip_FdrExist,"")&amp;""))="Y","Y",""))</f>
        <v/>
      </c>
      <c r="O42" s="823" t="str">
        <f t="shared" si="8"/>
        <v/>
      </c>
      <c r="P42" s="821" t="str">
        <f t="shared" si="9"/>
        <v/>
      </c>
      <c r="Q42" s="821" t="str">
        <f t="shared" si="10"/>
        <v/>
      </c>
      <c r="R42" s="822" t="str" cm="1">
        <f t="array" ref="R42">IF(K42="","",INDEX(OCPD_List,MATCH(TRUE,OCPD_List&gt;=K42,0)))</f>
        <v/>
      </c>
      <c r="S42" s="821" t="str">
        <f t="shared" si="11"/>
        <v/>
      </c>
      <c r="T42" s="826" t="str">
        <f t="shared" si="1"/>
        <v/>
      </c>
      <c r="U42" s="826" t="str">
        <f t="shared" si="2"/>
        <v/>
      </c>
      <c r="V42" s="827" t="str">
        <f t="shared" si="3"/>
        <v/>
      </c>
      <c r="W42" s="828"/>
      <c r="X42" s="819"/>
      <c r="Y42" s="820"/>
      <c r="Z42" s="820"/>
      <c r="AA42" s="820"/>
      <c r="BN42" s="832" t="str">
        <f>IF($B42="","",IFERROR(_xlfn.XLOOKUP($D42,Dashboard!$A$101:$A$350,Dashboard!$C$101:$C$350),""))</f>
        <v/>
      </c>
      <c r="BO42" s="832" t="str">
        <f t="shared" si="4"/>
        <v/>
      </c>
      <c r="BP42" s="832" t="str" cm="1">
        <f t="array" ref="BP42">IF(OR($B42="",$R42="",NOT(ISNUMBER($R42))),"",IF(AND($BV42="AL",$G42=1),"",_xlfn.LET(_xlpm.codes,IF($BV42="AL",Std_Al3_Code,IF($G42=1,Std_Cu1_Code,Std_Cu3_Code)),_xlpm.amps,IFERROR(--SUBSTITUTE(_xlpm.codes&amp;"","N",""),""),_xlpm.a,MIN(IF(ISNUMBER(_xlpm.amps),IF(_xlpm.amps&gt;=$R42,_xlpm.amps,""),"")),_xlpm.k,IF(_xlpm.a=0,$R42,_xlpm.a),IF($BO42="Y",TEXT(_xlpm.k,"0")&amp;"N",_xlpm.k))))</f>
        <v/>
      </c>
      <c r="BQ42" s="832" t="str" cm="1">
        <f t="array" ref="BQ42">IF($BP42="","",IFERROR(IF($BV42="AL",_xlfn.XLOOKUP($BP42,Std_Al3_Code,INDEX(Std_Al3_Table,0,3)),IF($G42=1,_xlfn.XLOOKUP($BP42,Std_Cu1_Code,INDEX(Std_Cu1_Table,0,3)),_xlfn.XLOOKUP($BP42,Std_Cu3_Code,INDEX(Std_Cu3_Table,0,3)))),""))</f>
        <v/>
      </c>
      <c r="BR42" s="832" t="str" cm="1">
        <f t="array" ref="BR42">IF($BP42="","",IFERROR(IF($BV42="AL",_xlfn.XLOOKUP($BP42,Std_Al3_Code,INDEX(Std_Al3_Table,0,4)),IF($G42=1,_xlfn.XLOOKUP($BP42,Std_Cu1_Code,INDEX(Std_Cu1_Table,0,4)),_xlfn.XLOOKUP($BP42,Std_Cu3_Code,INDEX(Std_Cu3_Table,0,4)))),""))</f>
        <v/>
      </c>
      <c r="BS42" s="832" t="str" cm="1">
        <f t="array" ref="BS42">IF($BP42="","",IFERROR(IF($BV42="AL",_xlfn.XLOOKUP($BP42,Std_Al3_Code,INDEX(Std_Al3_Table,0,5)),IF($G42=1,_xlfn.XLOOKUP($BP42,Std_Cu1_Code,INDEX(Std_Cu1_Table,0,5)),_xlfn.XLOOKUP($BP42,Std_Cu3_Code,INDEX(Std_Cu3_Table,0,5)))),""))</f>
        <v/>
      </c>
      <c r="BT42" s="832" t="str">
        <f t="shared" si="5"/>
        <v/>
      </c>
      <c r="BU42" s="832" t="str" cm="1">
        <f t="array" ref="BU42">IF($BP42="","",IFERROR(IF($BV42="AL",_xlfn.XLOOKUP($BP42,Std_Al3_Code,INDEX(Std_Al3_Table,0,2)),IF($G42=1,_xlfn.XLOOKUP($BP42,Std_Cu1_Code,INDEX(Std_Cu1_Table,0,2)),_xlfn.XLOOKUP($BP42,Std_Cu3_Code,INDEX(Std_Cu3_Table,0,2)))),""))</f>
        <v/>
      </c>
      <c r="BV42" s="829" t="str">
        <f t="shared" si="6"/>
        <v/>
      </c>
      <c r="BW42" s="829" t="str">
        <f t="shared" si="12"/>
        <v/>
      </c>
      <c r="BX42" s="829" t="str" cm="1">
        <f t="array" ref="BX42">IF(OR($BP42="",$H42="",$I42="",$F42="",$BW42=""),"",IFERROR(_xlfn.LET(_xlpm.codes,IF($BV42="AL",Std_Al3_Code,IF($G42=1,Std_Cu1_Code,Std_Cu3_Code)),_xlpm.tbl,IF($BV42="AL",Std_Al3_Table,IF($G42=1,Std_Cu1_Table,Std_Cu3_Table)),_xlpm.i,MATCH($BP42,_xlpm.codes,0),_xlpm.idx,_xlfn.SEQUENCE(ROWS(_xlpm.codes)),_xlpm.cnd,INDEX(_xlpm.tbl,0,4),_xlpm.sts,INDEX(_xlpm.tbl,0,2),_xlpm.sz,IFERROR(_xlfn.TEXTBEFORE(_xlfn.TEXTAFTER(_xlpm.cnd,"#"),","),IFERROR(_xlfn.TEXTAFTER(_xlpm.cnd,"#"),"")),_xlpm.cm,IFERROR(_xlfn.XLOOKUP(TRIM(_xlpm.sz),Ampacity_Size,Ampacity_CM),0),_xlpm.mult,IF($G42=3,SQRT3,2),_xlpm.kk,IF($BV42="AL",K_Al,K_Cu),_xlpm.vd,IF(_xlpm.cm*IF(ISNUMBER(_xlpm.sts),_xlpm.sts,0)=0,9,_xlpm.mult*_xlpm.kk*$I42*$H42/(_xlpm.cm*_xlpm.sts)/$F42),_xlpm.hasN,--(RIGHT(_xlpm.codes&amp;"",1)="N"),_xlpm.wantN,--(RIGHT($BP42&amp;"",1)="N"),_xlpm.ok,(_xlpm.idx&gt;=_xlpm.i)*(_xlpm.vd&lt;=Cfg_VDFeeder)*(_xlpm.cm&gt;0)*ISNUMBER(_xlpm.sts)*(_xlpm.hasN=_xlpm.wantN),_xlpm.m,MIN(IF(_xlpm.ok=1,_xlpm.idx)),INDEX(_xlpm.codes,IF(_xlpm.m=0,_xlpm.i,_xlpm.m))),""))</f>
        <v/>
      </c>
      <c r="BY42" s="829" t="str" cm="1">
        <f t="array" ref="BY42">IF($BP42="","",IF($BX42="",$BU42,IFERROR(IF($BV42="AL",_xlfn.XLOOKUP($BX42,Std_Al3_Code,INDEX(Std_Al3_Table,0,2)),IF($G42=1,_xlfn.XLOOKUP($BX42,Std_Cu1_Code,INDEX(Std_Cu1_Table,0,2)),_xlfn.XLOOKUP($BX42,Std_Cu3_Code,INDEX(Std_Cu3_Table,0,2)))),"")))</f>
        <v/>
      </c>
      <c r="BZ42" s="829" t="str" cm="1">
        <f t="array" ref="BZ42">IF($BP42="","",IF($BX42="",$BR42,IFERROR(IF($BV42="AL",_xlfn.XLOOKUP($BX42,Std_Al3_Code,INDEX(Std_Al3_Table,0,4)),IF($G42=1,_xlfn.XLOOKUP($BX42,Std_Cu1_Code,INDEX(Std_Cu1_Table,0,4)),_xlfn.XLOOKUP($BX42,Std_Cu3_Code,INDEX(Std_Cu3_Table,0,4)))),"")))</f>
        <v/>
      </c>
      <c r="CA42" s="829" t="str" cm="1">
        <f t="array" ref="CA42">IF($BP42="","",IF($BX42="",$BQ42,IFERROR(IF($BV42="AL",_xlfn.XLOOKUP($BX42,Std_Al3_Code,INDEX(Std_Al3_Table,0,3)),IF($G42=1,_xlfn.XLOOKUP($BX42,Std_Cu1_Code,INDEX(Std_Cu1_Table,0,3)),_xlfn.XLOOKUP($BX42,Std_Cu3_Code,INDEX(Std_Cu3_Table,0,3)))),"")))</f>
        <v/>
      </c>
      <c r="CB42" s="829" t="str" cm="1">
        <f t="array" ref="CB42">IF($BP42="","",IF($BX42="",$BS42,IFERROR(IF($BV42="AL",_xlfn.XLOOKUP($BX42,Std_Al3_Code,INDEX(Std_Al3_Table,0,5)),IF($G42=1,_xlfn.XLOOKUP($BX42,Std_Cu1_Code,INDEX(Std_Cu1_Table,0,5)),_xlfn.XLOOKUP($BX42,Std_Cu3_Code,INDEX(Std_Cu3_Table,0,5)))),"")))</f>
        <v/>
      </c>
      <c r="CC42" s="829" t="str">
        <f t="shared" si="13"/>
        <v/>
      </c>
      <c r="CD42" s="829" t="str">
        <f t="shared" si="14"/>
        <v/>
      </c>
      <c r="CE42" s="829" t="str">
        <f t="shared" si="15"/>
        <v/>
      </c>
      <c r="CF42" s="829" t="str">
        <f t="shared" si="16"/>
        <v/>
      </c>
      <c r="CG42" s="829" t="str">
        <f t="shared" si="17"/>
        <v/>
      </c>
      <c r="CH42" s="829" t="str">
        <f t="shared" si="18"/>
        <v/>
      </c>
      <c r="CI42" s="829" t="str">
        <f t="shared" si="19"/>
        <v/>
      </c>
      <c r="CJ42" s="829" t="str" cm="1">
        <f t="array" ref="CJ42">IF($B42="","",_xlfn.LET(_xlpm.to,$D42&amp;"",_xlpm.em,IFERROR(INDEX(_xlfn.ANCHORARRAY($BE$4),ROW()-4,6),"")="EMERG",_xlpm.pri,AND(NOT(_xlpm.em),LEFT(_xlpm.to,2)="T-",ISNUMBER(MATCH(MID(_xlpm.to,3,99),Equip_List,0)),ISNA(MATCH(_xlpm.to,Equip_List,0))),IF(_xlpm.pri,MID(_xlpm.to,3,99),_xlpm.to)))</f>
        <v/>
      </c>
      <c r="CK42" s="829" t="str" cm="1">
        <f t="array" ref="CK42">IF($CJ42="","",IF(IFERROR(INDEX(_xlfn.ANCHORARRAY($BE$4),ROW()-4,6),"")="EMERG","E",IF($CJ42&lt;&gt;$D42&amp;"","P","N")))</f>
        <v/>
      </c>
    </row>
    <row r="43" spans="1:89" ht="15" customHeight="1" x14ac:dyDescent="0.35">
      <c r="A43" s="821" t="str">
        <f t="shared" si="7"/>
        <v/>
      </c>
      <c r="B43" s="821" t="str" cm="1">
        <f t="array" ref="B43">IFERROR(IF(INDEX(_xlfn.ANCHORARRAY($BE$4),ROW()-4,2)="","","F-"&amp;INDEX(_xlfn.ANCHORARRAY($BE$4),ROW()-4,2)&amp;IF(IFERROR(INDEX(_xlfn.ANCHORARRAY($BE$4),ROW()-4,6),"")="EMERG","-E","")),"")</f>
        <v/>
      </c>
      <c r="C43" s="821" t="str" cm="1">
        <f t="array" ref="C43">IFERROR(IF($B43="","",INDEX(_xlfn.ANCHORARRAY($BE$4),ROW()-4,1)),"")</f>
        <v/>
      </c>
      <c r="D43" s="821" t="str" cm="1">
        <f t="array" ref="D43">IFERROR(IF($B43="","",INDEX(_xlfn.ANCHORARRAY($BE$4),ROW()-4,2)),"")</f>
        <v/>
      </c>
      <c r="E43" s="806" t="str" cm="1">
        <f t="array" ref="E43">IFERROR(IF($B43="","",INDEX(_xlfn.ANCHORARRAY($BE$4),ROW()-4,3)),"")</f>
        <v/>
      </c>
      <c r="F43" s="822" t="str" cm="1">
        <f t="array" ref="F43">IFERROR(IF($B43="","",INDEX(_xlfn.ANCHORARRAY($BE$4),ROW()-4,4)),"")</f>
        <v/>
      </c>
      <c r="G43" s="823" t="str" cm="1">
        <f t="array" ref="G43">IFERROR(IF($B43="","",INDEX(_xlfn.ANCHORARRAY($BE$4),ROW()-4,5)),"")</f>
        <v/>
      </c>
      <c r="H43" s="824" t="str" cm="1">
        <f t="array" ref="H43">IF($CJ43="","",_xlfn.LET(_xlpm.v,_xlfn.XLOOKUP($CJ43,Equip_List,IF($CK43="E",Equip_EmLen,IF($CK43="P",Equip_XfPriLen,Equip_FdrLen)),""),IF(_xlpm.v="","",_xlpm.v)))</f>
        <v/>
      </c>
      <c r="I43" s="806" t="str">
        <f t="shared" si="0"/>
        <v/>
      </c>
      <c r="J43" s="820"/>
      <c r="K43" s="806" t="str">
        <f>_xlfn.LET(_xlpm.k,IF($I43="","",IF(COUNTIF(UPS!$B$57:$B$64,$C43&amp;"")&gt;0,1.25*MAX($I43,N(_xlfn.XLOOKUP($C43&amp;"",UPS!$B$57:$B$64,UPS!$M$57:$M$64,0))),IF(COUNTIF(UPS!$B$57:$B$64,$D43&amp;"")&gt;0,1.25*MAX($I43,N(_xlfn.XLOOKUP($D43&amp;"",UPS!$B$57:$B$64,UPS!$Q$57:$Q$64,0))),$I43*IF(OR(UPPER($J43)="Y",LEFT($C43,2)="T-",LEFT($D43,2)="T-"),1.25,1)))),IF(_xlpm.k="","",MAX(_xlpm.k,N(IFERROR(_xlfn.XLOOKUP($D43&amp;"",Dashboard!$A$101:$A$350,Dashboard!$O$101:$O$350,0),0)))))</f>
        <v/>
      </c>
      <c r="L43" s="825" t="str">
        <f>IF($CJ43="","",_xlfn.LET(_xlpm.v,UPPER(TRIM(_xlfn.XLOOKUP($CJ43,Equip_List,Equip_FdrMat,"")&amp;"")),IF(_xlpm.v="",UPPER(TRIM(Cfg_FeederMat&amp;"")),_xlpm.v)))</f>
        <v/>
      </c>
      <c r="M43" s="825" t="str">
        <f>IF($CJ43="","",_xlfn.LET(_xlpm.v,TRIM(_xlfn.XLOOKUP($CJ43,Equip_List,Equip_FdrRace,"")&amp;""),IF(_xlpm.v="",Cfg_Conduit&amp;"",_xlpm.v)))</f>
        <v/>
      </c>
      <c r="N43" s="825" t="str">
        <f>IF($CJ43="","",IF(UPPER(TRIM(_xlfn.XLOOKUP($CJ43,Equip_List,Equip_FdrExist,"")&amp;""))="Y","Y",""))</f>
        <v/>
      </c>
      <c r="O43" s="823" t="str">
        <f t="shared" si="8"/>
        <v/>
      </c>
      <c r="P43" s="821" t="str">
        <f t="shared" si="9"/>
        <v/>
      </c>
      <c r="Q43" s="821" t="str">
        <f t="shared" si="10"/>
        <v/>
      </c>
      <c r="R43" s="822" t="str" cm="1">
        <f t="array" ref="R43">IF(K43="","",INDEX(OCPD_List,MATCH(TRUE,OCPD_List&gt;=K43,0)))</f>
        <v/>
      </c>
      <c r="S43" s="821" t="str">
        <f t="shared" si="11"/>
        <v/>
      </c>
      <c r="T43" s="826" t="str">
        <f t="shared" si="1"/>
        <v/>
      </c>
      <c r="U43" s="826" t="str">
        <f t="shared" si="2"/>
        <v/>
      </c>
      <c r="V43" s="827" t="str">
        <f t="shared" si="3"/>
        <v/>
      </c>
      <c r="W43" s="828"/>
      <c r="X43" s="819"/>
      <c r="Y43" s="820"/>
      <c r="Z43" s="820"/>
      <c r="AA43" s="820"/>
      <c r="BN43" s="832" t="str">
        <f>IF($B43="","",IFERROR(_xlfn.XLOOKUP($D43,Dashboard!$A$101:$A$350,Dashboard!$C$101:$C$350),""))</f>
        <v/>
      </c>
      <c r="BO43" s="832" t="str">
        <f t="shared" si="4"/>
        <v/>
      </c>
      <c r="BP43" s="832" t="str" cm="1">
        <f t="array" ref="BP43">IF(OR($B43="",$R43="",NOT(ISNUMBER($R43))),"",IF(AND($BV43="AL",$G43=1),"",_xlfn.LET(_xlpm.codes,IF($BV43="AL",Std_Al3_Code,IF($G43=1,Std_Cu1_Code,Std_Cu3_Code)),_xlpm.amps,IFERROR(--SUBSTITUTE(_xlpm.codes&amp;"","N",""),""),_xlpm.a,MIN(IF(ISNUMBER(_xlpm.amps),IF(_xlpm.amps&gt;=$R43,_xlpm.amps,""),"")),_xlpm.k,IF(_xlpm.a=0,$R43,_xlpm.a),IF($BO43="Y",TEXT(_xlpm.k,"0")&amp;"N",_xlpm.k))))</f>
        <v/>
      </c>
      <c r="BQ43" s="832" t="str" cm="1">
        <f t="array" ref="BQ43">IF($BP43="","",IFERROR(IF($BV43="AL",_xlfn.XLOOKUP($BP43,Std_Al3_Code,INDEX(Std_Al3_Table,0,3)),IF($G43=1,_xlfn.XLOOKUP($BP43,Std_Cu1_Code,INDEX(Std_Cu1_Table,0,3)),_xlfn.XLOOKUP($BP43,Std_Cu3_Code,INDEX(Std_Cu3_Table,0,3)))),""))</f>
        <v/>
      </c>
      <c r="BR43" s="832" t="str" cm="1">
        <f t="array" ref="BR43">IF($BP43="","",IFERROR(IF($BV43="AL",_xlfn.XLOOKUP($BP43,Std_Al3_Code,INDEX(Std_Al3_Table,0,4)),IF($G43=1,_xlfn.XLOOKUP($BP43,Std_Cu1_Code,INDEX(Std_Cu1_Table,0,4)),_xlfn.XLOOKUP($BP43,Std_Cu3_Code,INDEX(Std_Cu3_Table,0,4)))),""))</f>
        <v/>
      </c>
      <c r="BS43" s="832" t="str" cm="1">
        <f t="array" ref="BS43">IF($BP43="","",IFERROR(IF($BV43="AL",_xlfn.XLOOKUP($BP43,Std_Al3_Code,INDEX(Std_Al3_Table,0,5)),IF($G43=1,_xlfn.XLOOKUP($BP43,Std_Cu1_Code,INDEX(Std_Cu1_Table,0,5)),_xlfn.XLOOKUP($BP43,Std_Cu3_Code,INDEX(Std_Cu3_Table,0,5)))),""))</f>
        <v/>
      </c>
      <c r="BT43" s="832" t="str">
        <f t="shared" si="5"/>
        <v/>
      </c>
      <c r="BU43" s="832" t="str" cm="1">
        <f t="array" ref="BU43">IF($BP43="","",IFERROR(IF($BV43="AL",_xlfn.XLOOKUP($BP43,Std_Al3_Code,INDEX(Std_Al3_Table,0,2)),IF($G43=1,_xlfn.XLOOKUP($BP43,Std_Cu1_Code,INDEX(Std_Cu1_Table,0,2)),_xlfn.XLOOKUP($BP43,Std_Cu3_Code,INDEX(Std_Cu3_Table,0,2)))),""))</f>
        <v/>
      </c>
      <c r="BV43" s="829" t="str">
        <f t="shared" si="6"/>
        <v/>
      </c>
      <c r="BW43" s="829" t="str">
        <f t="shared" si="12"/>
        <v/>
      </c>
      <c r="BX43" s="829" t="str" cm="1">
        <f t="array" ref="BX43">IF(OR($BP43="",$H43="",$I43="",$F43="",$BW43=""),"",IFERROR(_xlfn.LET(_xlpm.codes,IF($BV43="AL",Std_Al3_Code,IF($G43=1,Std_Cu1_Code,Std_Cu3_Code)),_xlpm.tbl,IF($BV43="AL",Std_Al3_Table,IF($G43=1,Std_Cu1_Table,Std_Cu3_Table)),_xlpm.i,MATCH($BP43,_xlpm.codes,0),_xlpm.idx,_xlfn.SEQUENCE(ROWS(_xlpm.codes)),_xlpm.cnd,INDEX(_xlpm.tbl,0,4),_xlpm.sts,INDEX(_xlpm.tbl,0,2),_xlpm.sz,IFERROR(_xlfn.TEXTBEFORE(_xlfn.TEXTAFTER(_xlpm.cnd,"#"),","),IFERROR(_xlfn.TEXTAFTER(_xlpm.cnd,"#"),"")),_xlpm.cm,IFERROR(_xlfn.XLOOKUP(TRIM(_xlpm.sz),Ampacity_Size,Ampacity_CM),0),_xlpm.mult,IF($G43=3,SQRT3,2),_xlpm.kk,IF($BV43="AL",K_Al,K_Cu),_xlpm.vd,IF(_xlpm.cm*IF(ISNUMBER(_xlpm.sts),_xlpm.sts,0)=0,9,_xlpm.mult*_xlpm.kk*$I43*$H43/(_xlpm.cm*_xlpm.sts)/$F43),_xlpm.hasN,--(RIGHT(_xlpm.codes&amp;"",1)="N"),_xlpm.wantN,--(RIGHT($BP43&amp;"",1)="N"),_xlpm.ok,(_xlpm.idx&gt;=_xlpm.i)*(_xlpm.vd&lt;=Cfg_VDFeeder)*(_xlpm.cm&gt;0)*ISNUMBER(_xlpm.sts)*(_xlpm.hasN=_xlpm.wantN),_xlpm.m,MIN(IF(_xlpm.ok=1,_xlpm.idx)),INDEX(_xlpm.codes,IF(_xlpm.m=0,_xlpm.i,_xlpm.m))),""))</f>
        <v/>
      </c>
      <c r="BY43" s="829" t="str" cm="1">
        <f t="array" ref="BY43">IF($BP43="","",IF($BX43="",$BU43,IFERROR(IF($BV43="AL",_xlfn.XLOOKUP($BX43,Std_Al3_Code,INDEX(Std_Al3_Table,0,2)),IF($G43=1,_xlfn.XLOOKUP($BX43,Std_Cu1_Code,INDEX(Std_Cu1_Table,0,2)),_xlfn.XLOOKUP($BX43,Std_Cu3_Code,INDEX(Std_Cu3_Table,0,2)))),"")))</f>
        <v/>
      </c>
      <c r="BZ43" s="829" t="str" cm="1">
        <f t="array" ref="BZ43">IF($BP43="","",IF($BX43="",$BR43,IFERROR(IF($BV43="AL",_xlfn.XLOOKUP($BX43,Std_Al3_Code,INDEX(Std_Al3_Table,0,4)),IF($G43=1,_xlfn.XLOOKUP($BX43,Std_Cu1_Code,INDEX(Std_Cu1_Table,0,4)),_xlfn.XLOOKUP($BX43,Std_Cu3_Code,INDEX(Std_Cu3_Table,0,4)))),"")))</f>
        <v/>
      </c>
      <c r="CA43" s="829" t="str" cm="1">
        <f t="array" ref="CA43">IF($BP43="","",IF($BX43="",$BQ43,IFERROR(IF($BV43="AL",_xlfn.XLOOKUP($BX43,Std_Al3_Code,INDEX(Std_Al3_Table,0,3)),IF($G43=1,_xlfn.XLOOKUP($BX43,Std_Cu1_Code,INDEX(Std_Cu1_Table,0,3)),_xlfn.XLOOKUP($BX43,Std_Cu3_Code,INDEX(Std_Cu3_Table,0,3)))),"")))</f>
        <v/>
      </c>
      <c r="CB43" s="829" t="str" cm="1">
        <f t="array" ref="CB43">IF($BP43="","",IF($BX43="",$BS43,IFERROR(IF($BV43="AL",_xlfn.XLOOKUP($BX43,Std_Al3_Code,INDEX(Std_Al3_Table,0,5)),IF($G43=1,_xlfn.XLOOKUP($BX43,Std_Cu1_Code,INDEX(Std_Cu1_Table,0,5)),_xlfn.XLOOKUP($BX43,Std_Cu3_Code,INDEX(Std_Cu3_Table,0,5)))),"")))</f>
        <v/>
      </c>
      <c r="CC43" s="829" t="str">
        <f t="shared" si="13"/>
        <v/>
      </c>
      <c r="CD43" s="829" t="str">
        <f t="shared" si="14"/>
        <v/>
      </c>
      <c r="CE43" s="829" t="str">
        <f t="shared" si="15"/>
        <v/>
      </c>
      <c r="CF43" s="829" t="str">
        <f t="shared" si="16"/>
        <v/>
      </c>
      <c r="CG43" s="829" t="str">
        <f t="shared" si="17"/>
        <v/>
      </c>
      <c r="CH43" s="829" t="str">
        <f t="shared" si="18"/>
        <v/>
      </c>
      <c r="CI43" s="829" t="str">
        <f t="shared" si="19"/>
        <v/>
      </c>
      <c r="CJ43" s="829" t="str" cm="1">
        <f t="array" ref="CJ43">IF($B43="","",_xlfn.LET(_xlpm.to,$D43&amp;"",_xlpm.em,IFERROR(INDEX(_xlfn.ANCHORARRAY($BE$4),ROW()-4,6),"")="EMERG",_xlpm.pri,AND(NOT(_xlpm.em),LEFT(_xlpm.to,2)="T-",ISNUMBER(MATCH(MID(_xlpm.to,3,99),Equip_List,0)),ISNA(MATCH(_xlpm.to,Equip_List,0))),IF(_xlpm.pri,MID(_xlpm.to,3,99),_xlpm.to)))</f>
        <v/>
      </c>
      <c r="CK43" s="829" t="str" cm="1">
        <f t="array" ref="CK43">IF($CJ43="","",IF(IFERROR(INDEX(_xlfn.ANCHORARRAY($BE$4),ROW()-4,6),"")="EMERG","E",IF($CJ43&lt;&gt;$D43&amp;"","P","N")))</f>
        <v/>
      </c>
    </row>
    <row r="44" spans="1:89" ht="15" customHeight="1" x14ac:dyDescent="0.35">
      <c r="A44" s="821" t="str">
        <f t="shared" si="7"/>
        <v/>
      </c>
      <c r="B44" s="821" t="str" cm="1">
        <f t="array" ref="B44">IFERROR(IF(INDEX(_xlfn.ANCHORARRAY($BE$4),ROW()-4,2)="","","F-"&amp;INDEX(_xlfn.ANCHORARRAY($BE$4),ROW()-4,2)&amp;IF(IFERROR(INDEX(_xlfn.ANCHORARRAY($BE$4),ROW()-4,6),"")="EMERG","-E","")),"")</f>
        <v/>
      </c>
      <c r="C44" s="821" t="str" cm="1">
        <f t="array" ref="C44">IFERROR(IF($B44="","",INDEX(_xlfn.ANCHORARRAY($BE$4),ROW()-4,1)),"")</f>
        <v/>
      </c>
      <c r="D44" s="821" t="str" cm="1">
        <f t="array" ref="D44">IFERROR(IF($B44="","",INDEX(_xlfn.ANCHORARRAY($BE$4),ROW()-4,2)),"")</f>
        <v/>
      </c>
      <c r="E44" s="806" t="str" cm="1">
        <f t="array" ref="E44">IFERROR(IF($B44="","",INDEX(_xlfn.ANCHORARRAY($BE$4),ROW()-4,3)),"")</f>
        <v/>
      </c>
      <c r="F44" s="822" t="str" cm="1">
        <f t="array" ref="F44">IFERROR(IF($B44="","",INDEX(_xlfn.ANCHORARRAY($BE$4),ROW()-4,4)),"")</f>
        <v/>
      </c>
      <c r="G44" s="823" t="str" cm="1">
        <f t="array" ref="G44">IFERROR(IF($B44="","",INDEX(_xlfn.ANCHORARRAY($BE$4),ROW()-4,5)),"")</f>
        <v/>
      </c>
      <c r="H44" s="824" t="str" cm="1">
        <f t="array" ref="H44">IF($CJ44="","",_xlfn.LET(_xlpm.v,_xlfn.XLOOKUP($CJ44,Equip_List,IF($CK44="E",Equip_EmLen,IF($CK44="P",Equip_XfPriLen,Equip_FdrLen)),""),IF(_xlpm.v="","",_xlpm.v)))</f>
        <v/>
      </c>
      <c r="I44" s="806" t="str">
        <f t="shared" si="0"/>
        <v/>
      </c>
      <c r="J44" s="820"/>
      <c r="K44" s="806" t="str">
        <f>_xlfn.LET(_xlpm.k,IF($I44="","",IF(COUNTIF(UPS!$B$57:$B$64,$C44&amp;"")&gt;0,1.25*MAX($I44,N(_xlfn.XLOOKUP($C44&amp;"",UPS!$B$57:$B$64,UPS!$M$57:$M$64,0))),IF(COUNTIF(UPS!$B$57:$B$64,$D44&amp;"")&gt;0,1.25*MAX($I44,N(_xlfn.XLOOKUP($D44&amp;"",UPS!$B$57:$B$64,UPS!$Q$57:$Q$64,0))),$I44*IF(OR(UPPER($J44)="Y",LEFT($C44,2)="T-",LEFT($D44,2)="T-"),1.25,1)))),IF(_xlpm.k="","",MAX(_xlpm.k,N(IFERROR(_xlfn.XLOOKUP($D44&amp;"",Dashboard!$A$101:$A$350,Dashboard!$O$101:$O$350,0),0)))))</f>
        <v/>
      </c>
      <c r="L44" s="825" t="str">
        <f>IF($CJ44="","",_xlfn.LET(_xlpm.v,UPPER(TRIM(_xlfn.XLOOKUP($CJ44,Equip_List,Equip_FdrMat,"")&amp;"")),IF(_xlpm.v="",UPPER(TRIM(Cfg_FeederMat&amp;"")),_xlpm.v)))</f>
        <v/>
      </c>
      <c r="M44" s="825" t="str">
        <f>IF($CJ44="","",_xlfn.LET(_xlpm.v,TRIM(_xlfn.XLOOKUP($CJ44,Equip_List,Equip_FdrRace,"")&amp;""),IF(_xlpm.v="",Cfg_Conduit&amp;"",_xlpm.v)))</f>
        <v/>
      </c>
      <c r="N44" s="825" t="str">
        <f>IF($CJ44="","",IF(UPPER(TRIM(_xlfn.XLOOKUP($CJ44,Equip_List,Equip_FdrExist,"")&amp;""))="Y","Y",""))</f>
        <v/>
      </c>
      <c r="O44" s="823" t="str">
        <f t="shared" si="8"/>
        <v/>
      </c>
      <c r="P44" s="821" t="str">
        <f t="shared" si="9"/>
        <v/>
      </c>
      <c r="Q44" s="821" t="str">
        <f t="shared" si="10"/>
        <v/>
      </c>
      <c r="R44" s="822" t="str" cm="1">
        <f t="array" ref="R44">IF(K44="","",INDEX(OCPD_List,MATCH(TRUE,OCPD_List&gt;=K44,0)))</f>
        <v/>
      </c>
      <c r="S44" s="821" t="str">
        <f t="shared" si="11"/>
        <v/>
      </c>
      <c r="T44" s="826" t="str">
        <f t="shared" si="1"/>
        <v/>
      </c>
      <c r="U44" s="826" t="str">
        <f t="shared" si="2"/>
        <v/>
      </c>
      <c r="V44" s="827" t="str">
        <f t="shared" si="3"/>
        <v/>
      </c>
      <c r="W44" s="828"/>
      <c r="X44" s="819"/>
      <c r="Y44" s="820"/>
      <c r="Z44" s="820"/>
      <c r="AA44" s="820"/>
      <c r="BN44" s="832" t="str">
        <f>IF($B44="","",IFERROR(_xlfn.XLOOKUP($D44,Dashboard!$A$101:$A$350,Dashboard!$C$101:$C$350),""))</f>
        <v/>
      </c>
      <c r="BO44" s="832" t="str">
        <f t="shared" si="4"/>
        <v/>
      </c>
      <c r="BP44" s="832" t="str" cm="1">
        <f t="array" ref="BP44">IF(OR($B44="",$R44="",NOT(ISNUMBER($R44))),"",IF(AND($BV44="AL",$G44=1),"",_xlfn.LET(_xlpm.codes,IF($BV44="AL",Std_Al3_Code,IF($G44=1,Std_Cu1_Code,Std_Cu3_Code)),_xlpm.amps,IFERROR(--SUBSTITUTE(_xlpm.codes&amp;"","N",""),""),_xlpm.a,MIN(IF(ISNUMBER(_xlpm.amps),IF(_xlpm.amps&gt;=$R44,_xlpm.amps,""),"")),_xlpm.k,IF(_xlpm.a=0,$R44,_xlpm.a),IF($BO44="Y",TEXT(_xlpm.k,"0")&amp;"N",_xlpm.k))))</f>
        <v/>
      </c>
      <c r="BQ44" s="832" t="str" cm="1">
        <f t="array" ref="BQ44">IF($BP44="","",IFERROR(IF($BV44="AL",_xlfn.XLOOKUP($BP44,Std_Al3_Code,INDEX(Std_Al3_Table,0,3)),IF($G44=1,_xlfn.XLOOKUP($BP44,Std_Cu1_Code,INDEX(Std_Cu1_Table,0,3)),_xlfn.XLOOKUP($BP44,Std_Cu3_Code,INDEX(Std_Cu3_Table,0,3)))),""))</f>
        <v/>
      </c>
      <c r="BR44" s="832" t="str" cm="1">
        <f t="array" ref="BR44">IF($BP44="","",IFERROR(IF($BV44="AL",_xlfn.XLOOKUP($BP44,Std_Al3_Code,INDEX(Std_Al3_Table,0,4)),IF($G44=1,_xlfn.XLOOKUP($BP44,Std_Cu1_Code,INDEX(Std_Cu1_Table,0,4)),_xlfn.XLOOKUP($BP44,Std_Cu3_Code,INDEX(Std_Cu3_Table,0,4)))),""))</f>
        <v/>
      </c>
      <c r="BS44" s="832" t="str" cm="1">
        <f t="array" ref="BS44">IF($BP44="","",IFERROR(IF($BV44="AL",_xlfn.XLOOKUP($BP44,Std_Al3_Code,INDEX(Std_Al3_Table,0,5)),IF($G44=1,_xlfn.XLOOKUP($BP44,Std_Cu1_Code,INDEX(Std_Cu1_Table,0,5)),_xlfn.XLOOKUP($BP44,Std_Cu3_Code,INDEX(Std_Cu3_Table,0,5)))),""))</f>
        <v/>
      </c>
      <c r="BT44" s="832" t="str">
        <f t="shared" si="5"/>
        <v/>
      </c>
      <c r="BU44" s="832" t="str" cm="1">
        <f t="array" ref="BU44">IF($BP44="","",IFERROR(IF($BV44="AL",_xlfn.XLOOKUP($BP44,Std_Al3_Code,INDEX(Std_Al3_Table,0,2)),IF($G44=1,_xlfn.XLOOKUP($BP44,Std_Cu1_Code,INDEX(Std_Cu1_Table,0,2)),_xlfn.XLOOKUP($BP44,Std_Cu3_Code,INDEX(Std_Cu3_Table,0,2)))),""))</f>
        <v/>
      </c>
      <c r="BV44" s="829" t="str">
        <f t="shared" si="6"/>
        <v/>
      </c>
      <c r="BW44" s="829" t="str">
        <f t="shared" si="12"/>
        <v/>
      </c>
      <c r="BX44" s="829" t="str" cm="1">
        <f t="array" ref="BX44">IF(OR($BP44="",$H44="",$I44="",$F44="",$BW44=""),"",IFERROR(_xlfn.LET(_xlpm.codes,IF($BV44="AL",Std_Al3_Code,IF($G44=1,Std_Cu1_Code,Std_Cu3_Code)),_xlpm.tbl,IF($BV44="AL",Std_Al3_Table,IF($G44=1,Std_Cu1_Table,Std_Cu3_Table)),_xlpm.i,MATCH($BP44,_xlpm.codes,0),_xlpm.idx,_xlfn.SEQUENCE(ROWS(_xlpm.codes)),_xlpm.cnd,INDEX(_xlpm.tbl,0,4),_xlpm.sts,INDEX(_xlpm.tbl,0,2),_xlpm.sz,IFERROR(_xlfn.TEXTBEFORE(_xlfn.TEXTAFTER(_xlpm.cnd,"#"),","),IFERROR(_xlfn.TEXTAFTER(_xlpm.cnd,"#"),"")),_xlpm.cm,IFERROR(_xlfn.XLOOKUP(TRIM(_xlpm.sz),Ampacity_Size,Ampacity_CM),0),_xlpm.mult,IF($G44=3,SQRT3,2),_xlpm.kk,IF($BV44="AL",K_Al,K_Cu),_xlpm.vd,IF(_xlpm.cm*IF(ISNUMBER(_xlpm.sts),_xlpm.sts,0)=0,9,_xlpm.mult*_xlpm.kk*$I44*$H44/(_xlpm.cm*_xlpm.sts)/$F44),_xlpm.hasN,--(RIGHT(_xlpm.codes&amp;"",1)="N"),_xlpm.wantN,--(RIGHT($BP44&amp;"",1)="N"),_xlpm.ok,(_xlpm.idx&gt;=_xlpm.i)*(_xlpm.vd&lt;=Cfg_VDFeeder)*(_xlpm.cm&gt;0)*ISNUMBER(_xlpm.sts)*(_xlpm.hasN=_xlpm.wantN),_xlpm.m,MIN(IF(_xlpm.ok=1,_xlpm.idx)),INDEX(_xlpm.codes,IF(_xlpm.m=0,_xlpm.i,_xlpm.m))),""))</f>
        <v/>
      </c>
      <c r="BY44" s="829" t="str" cm="1">
        <f t="array" ref="BY44">IF($BP44="","",IF($BX44="",$BU44,IFERROR(IF($BV44="AL",_xlfn.XLOOKUP($BX44,Std_Al3_Code,INDEX(Std_Al3_Table,0,2)),IF($G44=1,_xlfn.XLOOKUP($BX44,Std_Cu1_Code,INDEX(Std_Cu1_Table,0,2)),_xlfn.XLOOKUP($BX44,Std_Cu3_Code,INDEX(Std_Cu3_Table,0,2)))),"")))</f>
        <v/>
      </c>
      <c r="BZ44" s="829" t="str" cm="1">
        <f t="array" ref="BZ44">IF($BP44="","",IF($BX44="",$BR44,IFERROR(IF($BV44="AL",_xlfn.XLOOKUP($BX44,Std_Al3_Code,INDEX(Std_Al3_Table,0,4)),IF($G44=1,_xlfn.XLOOKUP($BX44,Std_Cu1_Code,INDEX(Std_Cu1_Table,0,4)),_xlfn.XLOOKUP($BX44,Std_Cu3_Code,INDEX(Std_Cu3_Table,0,4)))),"")))</f>
        <v/>
      </c>
      <c r="CA44" s="829" t="str" cm="1">
        <f t="array" ref="CA44">IF($BP44="","",IF($BX44="",$BQ44,IFERROR(IF($BV44="AL",_xlfn.XLOOKUP($BX44,Std_Al3_Code,INDEX(Std_Al3_Table,0,3)),IF($G44=1,_xlfn.XLOOKUP($BX44,Std_Cu1_Code,INDEX(Std_Cu1_Table,0,3)),_xlfn.XLOOKUP($BX44,Std_Cu3_Code,INDEX(Std_Cu3_Table,0,3)))),"")))</f>
        <v/>
      </c>
      <c r="CB44" s="829" t="str" cm="1">
        <f t="array" ref="CB44">IF($BP44="","",IF($BX44="",$BS44,IFERROR(IF($BV44="AL",_xlfn.XLOOKUP($BX44,Std_Al3_Code,INDEX(Std_Al3_Table,0,5)),IF($G44=1,_xlfn.XLOOKUP($BX44,Std_Cu1_Code,INDEX(Std_Cu1_Table,0,5)),_xlfn.XLOOKUP($BX44,Std_Cu3_Code,INDEX(Std_Cu3_Table,0,5)))),"")))</f>
        <v/>
      </c>
      <c r="CC44" s="829" t="str">
        <f t="shared" si="13"/>
        <v/>
      </c>
      <c r="CD44" s="829" t="str">
        <f t="shared" si="14"/>
        <v/>
      </c>
      <c r="CE44" s="829" t="str">
        <f t="shared" si="15"/>
        <v/>
      </c>
      <c r="CF44" s="829" t="str">
        <f t="shared" si="16"/>
        <v/>
      </c>
      <c r="CG44" s="829" t="str">
        <f t="shared" si="17"/>
        <v/>
      </c>
      <c r="CH44" s="829" t="str">
        <f t="shared" si="18"/>
        <v/>
      </c>
      <c r="CI44" s="829" t="str">
        <f t="shared" si="19"/>
        <v/>
      </c>
      <c r="CJ44" s="829" t="str" cm="1">
        <f t="array" ref="CJ44">IF($B44="","",_xlfn.LET(_xlpm.to,$D44&amp;"",_xlpm.em,IFERROR(INDEX(_xlfn.ANCHORARRAY($BE$4),ROW()-4,6),"")="EMERG",_xlpm.pri,AND(NOT(_xlpm.em),LEFT(_xlpm.to,2)="T-",ISNUMBER(MATCH(MID(_xlpm.to,3,99),Equip_List,0)),ISNA(MATCH(_xlpm.to,Equip_List,0))),IF(_xlpm.pri,MID(_xlpm.to,3,99),_xlpm.to)))</f>
        <v/>
      </c>
      <c r="CK44" s="829" t="str" cm="1">
        <f t="array" ref="CK44">IF($CJ44="","",IF(IFERROR(INDEX(_xlfn.ANCHORARRAY($BE$4),ROW()-4,6),"")="EMERG","E",IF($CJ44&lt;&gt;$D44&amp;"","P","N")))</f>
        <v/>
      </c>
    </row>
    <row r="45" spans="1:89" ht="15" customHeight="1" x14ac:dyDescent="0.35">
      <c r="A45" s="821" t="str">
        <f t="shared" si="7"/>
        <v/>
      </c>
      <c r="B45" s="821" t="str" cm="1">
        <f t="array" ref="B45">IFERROR(IF(INDEX(_xlfn.ANCHORARRAY($BE$4),ROW()-4,2)="","","F-"&amp;INDEX(_xlfn.ANCHORARRAY($BE$4),ROW()-4,2)&amp;IF(IFERROR(INDEX(_xlfn.ANCHORARRAY($BE$4),ROW()-4,6),"")="EMERG","-E","")),"")</f>
        <v/>
      </c>
      <c r="C45" s="821" t="str" cm="1">
        <f t="array" ref="C45">IFERROR(IF($B45="","",INDEX(_xlfn.ANCHORARRAY($BE$4),ROW()-4,1)),"")</f>
        <v/>
      </c>
      <c r="D45" s="821" t="str" cm="1">
        <f t="array" ref="D45">IFERROR(IF($B45="","",INDEX(_xlfn.ANCHORARRAY($BE$4),ROW()-4,2)),"")</f>
        <v/>
      </c>
      <c r="E45" s="806" t="str" cm="1">
        <f t="array" ref="E45">IFERROR(IF($B45="","",INDEX(_xlfn.ANCHORARRAY($BE$4),ROW()-4,3)),"")</f>
        <v/>
      </c>
      <c r="F45" s="822" t="str" cm="1">
        <f t="array" ref="F45">IFERROR(IF($B45="","",INDEX(_xlfn.ANCHORARRAY($BE$4),ROW()-4,4)),"")</f>
        <v/>
      </c>
      <c r="G45" s="823" t="str" cm="1">
        <f t="array" ref="G45">IFERROR(IF($B45="","",INDEX(_xlfn.ANCHORARRAY($BE$4),ROW()-4,5)),"")</f>
        <v/>
      </c>
      <c r="H45" s="824" t="str" cm="1">
        <f t="array" ref="H45">IF($CJ45="","",_xlfn.LET(_xlpm.v,_xlfn.XLOOKUP($CJ45,Equip_List,IF($CK45="E",Equip_EmLen,IF($CK45="P",Equip_XfPriLen,Equip_FdrLen)),""),IF(_xlpm.v="","",_xlpm.v)))</f>
        <v/>
      </c>
      <c r="I45" s="806" t="str">
        <f t="shared" si="0"/>
        <v/>
      </c>
      <c r="J45" s="820"/>
      <c r="K45" s="806" t="str">
        <f>_xlfn.LET(_xlpm.k,IF($I45="","",IF(COUNTIF(UPS!$B$57:$B$64,$C45&amp;"")&gt;0,1.25*MAX($I45,N(_xlfn.XLOOKUP($C45&amp;"",UPS!$B$57:$B$64,UPS!$M$57:$M$64,0))),IF(COUNTIF(UPS!$B$57:$B$64,$D45&amp;"")&gt;0,1.25*MAX($I45,N(_xlfn.XLOOKUP($D45&amp;"",UPS!$B$57:$B$64,UPS!$Q$57:$Q$64,0))),$I45*IF(OR(UPPER($J45)="Y",LEFT($C45,2)="T-",LEFT($D45,2)="T-"),1.25,1)))),IF(_xlpm.k="","",MAX(_xlpm.k,N(IFERROR(_xlfn.XLOOKUP($D45&amp;"",Dashboard!$A$101:$A$350,Dashboard!$O$101:$O$350,0),0)))))</f>
        <v/>
      </c>
      <c r="L45" s="825" t="str">
        <f>IF($CJ45="","",_xlfn.LET(_xlpm.v,UPPER(TRIM(_xlfn.XLOOKUP($CJ45,Equip_List,Equip_FdrMat,"")&amp;"")),IF(_xlpm.v="",UPPER(TRIM(Cfg_FeederMat&amp;"")),_xlpm.v)))</f>
        <v/>
      </c>
      <c r="M45" s="825" t="str">
        <f>IF($CJ45="","",_xlfn.LET(_xlpm.v,TRIM(_xlfn.XLOOKUP($CJ45,Equip_List,Equip_FdrRace,"")&amp;""),IF(_xlpm.v="",Cfg_Conduit&amp;"",_xlpm.v)))</f>
        <v/>
      </c>
      <c r="N45" s="825" t="str">
        <f>IF($CJ45="","",IF(UPPER(TRIM(_xlfn.XLOOKUP($CJ45,Equip_List,Equip_FdrExist,"")&amp;""))="Y","Y",""))</f>
        <v/>
      </c>
      <c r="O45" s="823" t="str">
        <f t="shared" si="8"/>
        <v/>
      </c>
      <c r="P45" s="821" t="str">
        <f t="shared" si="9"/>
        <v/>
      </c>
      <c r="Q45" s="821" t="str">
        <f t="shared" si="10"/>
        <v/>
      </c>
      <c r="R45" s="822" t="str" cm="1">
        <f t="array" ref="R45">IF(K45="","",INDEX(OCPD_List,MATCH(TRUE,OCPD_List&gt;=K45,0)))</f>
        <v/>
      </c>
      <c r="S45" s="821" t="str">
        <f t="shared" si="11"/>
        <v/>
      </c>
      <c r="T45" s="826" t="str">
        <f t="shared" si="1"/>
        <v/>
      </c>
      <c r="U45" s="826" t="str">
        <f t="shared" si="2"/>
        <v/>
      </c>
      <c r="V45" s="827" t="str">
        <f t="shared" si="3"/>
        <v/>
      </c>
      <c r="W45" s="828"/>
      <c r="X45" s="819"/>
      <c r="Y45" s="820"/>
      <c r="Z45" s="820"/>
      <c r="AA45" s="820"/>
      <c r="BN45" s="832" t="str">
        <f>IF($B45="","",IFERROR(_xlfn.XLOOKUP($D45,Dashboard!$A$101:$A$350,Dashboard!$C$101:$C$350),""))</f>
        <v/>
      </c>
      <c r="BO45" s="832" t="str">
        <f t="shared" si="4"/>
        <v/>
      </c>
      <c r="BP45" s="832" t="str" cm="1">
        <f t="array" ref="BP45">IF(OR($B45="",$R45="",NOT(ISNUMBER($R45))),"",IF(AND($BV45="AL",$G45=1),"",_xlfn.LET(_xlpm.codes,IF($BV45="AL",Std_Al3_Code,IF($G45=1,Std_Cu1_Code,Std_Cu3_Code)),_xlpm.amps,IFERROR(--SUBSTITUTE(_xlpm.codes&amp;"","N",""),""),_xlpm.a,MIN(IF(ISNUMBER(_xlpm.amps),IF(_xlpm.amps&gt;=$R45,_xlpm.amps,""),"")),_xlpm.k,IF(_xlpm.a=0,$R45,_xlpm.a),IF($BO45="Y",TEXT(_xlpm.k,"0")&amp;"N",_xlpm.k))))</f>
        <v/>
      </c>
      <c r="BQ45" s="832" t="str" cm="1">
        <f t="array" ref="BQ45">IF($BP45="","",IFERROR(IF($BV45="AL",_xlfn.XLOOKUP($BP45,Std_Al3_Code,INDEX(Std_Al3_Table,0,3)),IF($G45=1,_xlfn.XLOOKUP($BP45,Std_Cu1_Code,INDEX(Std_Cu1_Table,0,3)),_xlfn.XLOOKUP($BP45,Std_Cu3_Code,INDEX(Std_Cu3_Table,0,3)))),""))</f>
        <v/>
      </c>
      <c r="BR45" s="832" t="str" cm="1">
        <f t="array" ref="BR45">IF($BP45="","",IFERROR(IF($BV45="AL",_xlfn.XLOOKUP($BP45,Std_Al3_Code,INDEX(Std_Al3_Table,0,4)),IF($G45=1,_xlfn.XLOOKUP($BP45,Std_Cu1_Code,INDEX(Std_Cu1_Table,0,4)),_xlfn.XLOOKUP($BP45,Std_Cu3_Code,INDEX(Std_Cu3_Table,0,4)))),""))</f>
        <v/>
      </c>
      <c r="BS45" s="832" t="str" cm="1">
        <f t="array" ref="BS45">IF($BP45="","",IFERROR(IF($BV45="AL",_xlfn.XLOOKUP($BP45,Std_Al3_Code,INDEX(Std_Al3_Table,0,5)),IF($G45=1,_xlfn.XLOOKUP($BP45,Std_Cu1_Code,INDEX(Std_Cu1_Table,0,5)),_xlfn.XLOOKUP($BP45,Std_Cu3_Code,INDEX(Std_Cu3_Table,0,5)))),""))</f>
        <v/>
      </c>
      <c r="BT45" s="832" t="str">
        <f t="shared" si="5"/>
        <v/>
      </c>
      <c r="BU45" s="832" t="str" cm="1">
        <f t="array" ref="BU45">IF($BP45="","",IFERROR(IF($BV45="AL",_xlfn.XLOOKUP($BP45,Std_Al3_Code,INDEX(Std_Al3_Table,0,2)),IF($G45=1,_xlfn.XLOOKUP($BP45,Std_Cu1_Code,INDEX(Std_Cu1_Table,0,2)),_xlfn.XLOOKUP($BP45,Std_Cu3_Code,INDEX(Std_Cu3_Table,0,2)))),""))</f>
        <v/>
      </c>
      <c r="BV45" s="829" t="str">
        <f t="shared" si="6"/>
        <v/>
      </c>
      <c r="BW45" s="829" t="str">
        <f t="shared" si="12"/>
        <v/>
      </c>
      <c r="BX45" s="829" t="str" cm="1">
        <f t="array" ref="BX45">IF(OR($BP45="",$H45="",$I45="",$F45="",$BW45=""),"",IFERROR(_xlfn.LET(_xlpm.codes,IF($BV45="AL",Std_Al3_Code,IF($G45=1,Std_Cu1_Code,Std_Cu3_Code)),_xlpm.tbl,IF($BV45="AL",Std_Al3_Table,IF($G45=1,Std_Cu1_Table,Std_Cu3_Table)),_xlpm.i,MATCH($BP45,_xlpm.codes,0),_xlpm.idx,_xlfn.SEQUENCE(ROWS(_xlpm.codes)),_xlpm.cnd,INDEX(_xlpm.tbl,0,4),_xlpm.sts,INDEX(_xlpm.tbl,0,2),_xlpm.sz,IFERROR(_xlfn.TEXTBEFORE(_xlfn.TEXTAFTER(_xlpm.cnd,"#"),","),IFERROR(_xlfn.TEXTAFTER(_xlpm.cnd,"#"),"")),_xlpm.cm,IFERROR(_xlfn.XLOOKUP(TRIM(_xlpm.sz),Ampacity_Size,Ampacity_CM),0),_xlpm.mult,IF($G45=3,SQRT3,2),_xlpm.kk,IF($BV45="AL",K_Al,K_Cu),_xlpm.vd,IF(_xlpm.cm*IF(ISNUMBER(_xlpm.sts),_xlpm.sts,0)=0,9,_xlpm.mult*_xlpm.kk*$I45*$H45/(_xlpm.cm*_xlpm.sts)/$F45),_xlpm.hasN,--(RIGHT(_xlpm.codes&amp;"",1)="N"),_xlpm.wantN,--(RIGHT($BP45&amp;"",1)="N"),_xlpm.ok,(_xlpm.idx&gt;=_xlpm.i)*(_xlpm.vd&lt;=Cfg_VDFeeder)*(_xlpm.cm&gt;0)*ISNUMBER(_xlpm.sts)*(_xlpm.hasN=_xlpm.wantN),_xlpm.m,MIN(IF(_xlpm.ok=1,_xlpm.idx)),INDEX(_xlpm.codes,IF(_xlpm.m=0,_xlpm.i,_xlpm.m))),""))</f>
        <v/>
      </c>
      <c r="BY45" s="829" t="str" cm="1">
        <f t="array" ref="BY45">IF($BP45="","",IF($BX45="",$BU45,IFERROR(IF($BV45="AL",_xlfn.XLOOKUP($BX45,Std_Al3_Code,INDEX(Std_Al3_Table,0,2)),IF($G45=1,_xlfn.XLOOKUP($BX45,Std_Cu1_Code,INDEX(Std_Cu1_Table,0,2)),_xlfn.XLOOKUP($BX45,Std_Cu3_Code,INDEX(Std_Cu3_Table,0,2)))),"")))</f>
        <v/>
      </c>
      <c r="BZ45" s="829" t="str" cm="1">
        <f t="array" ref="BZ45">IF($BP45="","",IF($BX45="",$BR45,IFERROR(IF($BV45="AL",_xlfn.XLOOKUP($BX45,Std_Al3_Code,INDEX(Std_Al3_Table,0,4)),IF($G45=1,_xlfn.XLOOKUP($BX45,Std_Cu1_Code,INDEX(Std_Cu1_Table,0,4)),_xlfn.XLOOKUP($BX45,Std_Cu3_Code,INDEX(Std_Cu3_Table,0,4)))),"")))</f>
        <v/>
      </c>
      <c r="CA45" s="829" t="str" cm="1">
        <f t="array" ref="CA45">IF($BP45="","",IF($BX45="",$BQ45,IFERROR(IF($BV45="AL",_xlfn.XLOOKUP($BX45,Std_Al3_Code,INDEX(Std_Al3_Table,0,3)),IF($G45=1,_xlfn.XLOOKUP($BX45,Std_Cu1_Code,INDEX(Std_Cu1_Table,0,3)),_xlfn.XLOOKUP($BX45,Std_Cu3_Code,INDEX(Std_Cu3_Table,0,3)))),"")))</f>
        <v/>
      </c>
      <c r="CB45" s="829" t="str" cm="1">
        <f t="array" ref="CB45">IF($BP45="","",IF($BX45="",$BS45,IFERROR(IF($BV45="AL",_xlfn.XLOOKUP($BX45,Std_Al3_Code,INDEX(Std_Al3_Table,0,5)),IF($G45=1,_xlfn.XLOOKUP($BX45,Std_Cu1_Code,INDEX(Std_Cu1_Table,0,5)),_xlfn.XLOOKUP($BX45,Std_Cu3_Code,INDEX(Std_Cu3_Table,0,5)))),"")))</f>
        <v/>
      </c>
      <c r="CC45" s="829" t="str">
        <f t="shared" si="13"/>
        <v/>
      </c>
      <c r="CD45" s="829" t="str">
        <f t="shared" si="14"/>
        <v/>
      </c>
      <c r="CE45" s="829" t="str">
        <f t="shared" si="15"/>
        <v/>
      </c>
      <c r="CF45" s="829" t="str">
        <f t="shared" si="16"/>
        <v/>
      </c>
      <c r="CG45" s="829" t="str">
        <f t="shared" si="17"/>
        <v/>
      </c>
      <c r="CH45" s="829" t="str">
        <f t="shared" si="18"/>
        <v/>
      </c>
      <c r="CI45" s="829" t="str">
        <f t="shared" si="19"/>
        <v/>
      </c>
      <c r="CJ45" s="829" t="str" cm="1">
        <f t="array" ref="CJ45">IF($B45="","",_xlfn.LET(_xlpm.to,$D45&amp;"",_xlpm.em,IFERROR(INDEX(_xlfn.ANCHORARRAY($BE$4),ROW()-4,6),"")="EMERG",_xlpm.pri,AND(NOT(_xlpm.em),LEFT(_xlpm.to,2)="T-",ISNUMBER(MATCH(MID(_xlpm.to,3,99),Equip_List,0)),ISNA(MATCH(_xlpm.to,Equip_List,0))),IF(_xlpm.pri,MID(_xlpm.to,3,99),_xlpm.to)))</f>
        <v/>
      </c>
      <c r="CK45" s="829" t="str" cm="1">
        <f t="array" ref="CK45">IF($CJ45="","",IF(IFERROR(INDEX(_xlfn.ANCHORARRAY($BE$4),ROW()-4,6),"")="EMERG","E",IF($CJ45&lt;&gt;$D45&amp;"","P","N")))</f>
        <v/>
      </c>
    </row>
    <row r="46" spans="1:89" ht="15" customHeight="1" x14ac:dyDescent="0.35">
      <c r="A46" s="821" t="str">
        <f t="shared" si="7"/>
        <v/>
      </c>
      <c r="B46" s="821" t="str" cm="1">
        <f t="array" ref="B46">IFERROR(IF(INDEX(_xlfn.ANCHORARRAY($BE$4),ROW()-4,2)="","","F-"&amp;INDEX(_xlfn.ANCHORARRAY($BE$4),ROW()-4,2)&amp;IF(IFERROR(INDEX(_xlfn.ANCHORARRAY($BE$4),ROW()-4,6),"")="EMERG","-E","")),"")</f>
        <v/>
      </c>
      <c r="C46" s="821" t="str" cm="1">
        <f t="array" ref="C46">IFERROR(IF($B46="","",INDEX(_xlfn.ANCHORARRAY($BE$4),ROW()-4,1)),"")</f>
        <v/>
      </c>
      <c r="D46" s="821" t="str" cm="1">
        <f t="array" ref="D46">IFERROR(IF($B46="","",INDEX(_xlfn.ANCHORARRAY($BE$4),ROW()-4,2)),"")</f>
        <v/>
      </c>
      <c r="E46" s="806" t="str" cm="1">
        <f t="array" ref="E46">IFERROR(IF($B46="","",INDEX(_xlfn.ANCHORARRAY($BE$4),ROW()-4,3)),"")</f>
        <v/>
      </c>
      <c r="F46" s="822" t="str" cm="1">
        <f t="array" ref="F46">IFERROR(IF($B46="","",INDEX(_xlfn.ANCHORARRAY($BE$4),ROW()-4,4)),"")</f>
        <v/>
      </c>
      <c r="G46" s="823" t="str" cm="1">
        <f t="array" ref="G46">IFERROR(IF($B46="","",INDEX(_xlfn.ANCHORARRAY($BE$4),ROW()-4,5)),"")</f>
        <v/>
      </c>
      <c r="H46" s="824" t="str" cm="1">
        <f t="array" ref="H46">IF($CJ46="","",_xlfn.LET(_xlpm.v,_xlfn.XLOOKUP($CJ46,Equip_List,IF($CK46="E",Equip_EmLen,IF($CK46="P",Equip_XfPriLen,Equip_FdrLen)),""),IF(_xlpm.v="","",_xlpm.v)))</f>
        <v/>
      </c>
      <c r="I46" s="806" t="str">
        <f t="shared" si="0"/>
        <v/>
      </c>
      <c r="J46" s="820"/>
      <c r="K46" s="806" t="str">
        <f>_xlfn.LET(_xlpm.k,IF($I46="","",IF(COUNTIF(UPS!$B$57:$B$64,$C46&amp;"")&gt;0,1.25*MAX($I46,N(_xlfn.XLOOKUP($C46&amp;"",UPS!$B$57:$B$64,UPS!$M$57:$M$64,0))),IF(COUNTIF(UPS!$B$57:$B$64,$D46&amp;"")&gt;0,1.25*MAX($I46,N(_xlfn.XLOOKUP($D46&amp;"",UPS!$B$57:$B$64,UPS!$Q$57:$Q$64,0))),$I46*IF(OR(UPPER($J46)="Y",LEFT($C46,2)="T-",LEFT($D46,2)="T-"),1.25,1)))),IF(_xlpm.k="","",MAX(_xlpm.k,N(IFERROR(_xlfn.XLOOKUP($D46&amp;"",Dashboard!$A$101:$A$350,Dashboard!$O$101:$O$350,0),0)))))</f>
        <v/>
      </c>
      <c r="L46" s="825" t="str">
        <f>IF($CJ46="","",_xlfn.LET(_xlpm.v,UPPER(TRIM(_xlfn.XLOOKUP($CJ46,Equip_List,Equip_FdrMat,"")&amp;"")),IF(_xlpm.v="",UPPER(TRIM(Cfg_FeederMat&amp;"")),_xlpm.v)))</f>
        <v/>
      </c>
      <c r="M46" s="825" t="str">
        <f>IF($CJ46="","",_xlfn.LET(_xlpm.v,TRIM(_xlfn.XLOOKUP($CJ46,Equip_List,Equip_FdrRace,"")&amp;""),IF(_xlpm.v="",Cfg_Conduit&amp;"",_xlpm.v)))</f>
        <v/>
      </c>
      <c r="N46" s="825" t="str">
        <f>IF($CJ46="","",IF(UPPER(TRIM(_xlfn.XLOOKUP($CJ46,Equip_List,Equip_FdrExist,"")&amp;""))="Y","Y",""))</f>
        <v/>
      </c>
      <c r="O46" s="823" t="str">
        <f t="shared" si="8"/>
        <v/>
      </c>
      <c r="P46" s="821" t="str">
        <f t="shared" si="9"/>
        <v/>
      </c>
      <c r="Q46" s="821" t="str">
        <f t="shared" si="10"/>
        <v/>
      </c>
      <c r="R46" s="822" t="str" cm="1">
        <f t="array" ref="R46">IF(K46="","",INDEX(OCPD_List,MATCH(TRUE,OCPD_List&gt;=K46,0)))</f>
        <v/>
      </c>
      <c r="S46" s="821" t="str">
        <f t="shared" si="11"/>
        <v/>
      </c>
      <c r="T46" s="826" t="str">
        <f t="shared" si="1"/>
        <v/>
      </c>
      <c r="U46" s="826" t="str">
        <f t="shared" si="2"/>
        <v/>
      </c>
      <c r="V46" s="827" t="str">
        <f t="shared" si="3"/>
        <v/>
      </c>
      <c r="W46" s="828"/>
      <c r="X46" s="819"/>
      <c r="Y46" s="820"/>
      <c r="Z46" s="820"/>
      <c r="AA46" s="820"/>
      <c r="BN46" s="832" t="str">
        <f>IF($B46="","",IFERROR(_xlfn.XLOOKUP($D46,Dashboard!$A$101:$A$350,Dashboard!$C$101:$C$350),""))</f>
        <v/>
      </c>
      <c r="BO46" s="832" t="str">
        <f t="shared" si="4"/>
        <v/>
      </c>
      <c r="BP46" s="832" t="str" cm="1">
        <f t="array" ref="BP46">IF(OR($B46="",$R46="",NOT(ISNUMBER($R46))),"",IF(AND($BV46="AL",$G46=1),"",_xlfn.LET(_xlpm.codes,IF($BV46="AL",Std_Al3_Code,IF($G46=1,Std_Cu1_Code,Std_Cu3_Code)),_xlpm.amps,IFERROR(--SUBSTITUTE(_xlpm.codes&amp;"","N",""),""),_xlpm.a,MIN(IF(ISNUMBER(_xlpm.amps),IF(_xlpm.amps&gt;=$R46,_xlpm.amps,""),"")),_xlpm.k,IF(_xlpm.a=0,$R46,_xlpm.a),IF($BO46="Y",TEXT(_xlpm.k,"0")&amp;"N",_xlpm.k))))</f>
        <v/>
      </c>
      <c r="BQ46" s="832" t="str" cm="1">
        <f t="array" ref="BQ46">IF($BP46="","",IFERROR(IF($BV46="AL",_xlfn.XLOOKUP($BP46,Std_Al3_Code,INDEX(Std_Al3_Table,0,3)),IF($G46=1,_xlfn.XLOOKUP($BP46,Std_Cu1_Code,INDEX(Std_Cu1_Table,0,3)),_xlfn.XLOOKUP($BP46,Std_Cu3_Code,INDEX(Std_Cu3_Table,0,3)))),""))</f>
        <v/>
      </c>
      <c r="BR46" s="832" t="str" cm="1">
        <f t="array" ref="BR46">IF($BP46="","",IFERROR(IF($BV46="AL",_xlfn.XLOOKUP($BP46,Std_Al3_Code,INDEX(Std_Al3_Table,0,4)),IF($G46=1,_xlfn.XLOOKUP($BP46,Std_Cu1_Code,INDEX(Std_Cu1_Table,0,4)),_xlfn.XLOOKUP($BP46,Std_Cu3_Code,INDEX(Std_Cu3_Table,0,4)))),""))</f>
        <v/>
      </c>
      <c r="BS46" s="832" t="str" cm="1">
        <f t="array" ref="BS46">IF($BP46="","",IFERROR(IF($BV46="AL",_xlfn.XLOOKUP($BP46,Std_Al3_Code,INDEX(Std_Al3_Table,0,5)),IF($G46=1,_xlfn.XLOOKUP($BP46,Std_Cu1_Code,INDEX(Std_Cu1_Table,0,5)),_xlfn.XLOOKUP($BP46,Std_Cu3_Code,INDEX(Std_Cu3_Table,0,5)))),""))</f>
        <v/>
      </c>
      <c r="BT46" s="832" t="str">
        <f t="shared" si="5"/>
        <v/>
      </c>
      <c r="BU46" s="832" t="str" cm="1">
        <f t="array" ref="BU46">IF($BP46="","",IFERROR(IF($BV46="AL",_xlfn.XLOOKUP($BP46,Std_Al3_Code,INDEX(Std_Al3_Table,0,2)),IF($G46=1,_xlfn.XLOOKUP($BP46,Std_Cu1_Code,INDEX(Std_Cu1_Table,0,2)),_xlfn.XLOOKUP($BP46,Std_Cu3_Code,INDEX(Std_Cu3_Table,0,2)))),""))</f>
        <v/>
      </c>
      <c r="BV46" s="829" t="str">
        <f t="shared" si="6"/>
        <v/>
      </c>
      <c r="BW46" s="829" t="str">
        <f t="shared" si="12"/>
        <v/>
      </c>
      <c r="BX46" s="829" t="str" cm="1">
        <f t="array" ref="BX46">IF(OR($BP46="",$H46="",$I46="",$F46="",$BW46=""),"",IFERROR(_xlfn.LET(_xlpm.codes,IF($BV46="AL",Std_Al3_Code,IF($G46=1,Std_Cu1_Code,Std_Cu3_Code)),_xlpm.tbl,IF($BV46="AL",Std_Al3_Table,IF($G46=1,Std_Cu1_Table,Std_Cu3_Table)),_xlpm.i,MATCH($BP46,_xlpm.codes,0),_xlpm.idx,_xlfn.SEQUENCE(ROWS(_xlpm.codes)),_xlpm.cnd,INDEX(_xlpm.tbl,0,4),_xlpm.sts,INDEX(_xlpm.tbl,0,2),_xlpm.sz,IFERROR(_xlfn.TEXTBEFORE(_xlfn.TEXTAFTER(_xlpm.cnd,"#"),","),IFERROR(_xlfn.TEXTAFTER(_xlpm.cnd,"#"),"")),_xlpm.cm,IFERROR(_xlfn.XLOOKUP(TRIM(_xlpm.sz),Ampacity_Size,Ampacity_CM),0),_xlpm.mult,IF($G46=3,SQRT3,2),_xlpm.kk,IF($BV46="AL",K_Al,K_Cu),_xlpm.vd,IF(_xlpm.cm*IF(ISNUMBER(_xlpm.sts),_xlpm.sts,0)=0,9,_xlpm.mult*_xlpm.kk*$I46*$H46/(_xlpm.cm*_xlpm.sts)/$F46),_xlpm.hasN,--(RIGHT(_xlpm.codes&amp;"",1)="N"),_xlpm.wantN,--(RIGHT($BP46&amp;"",1)="N"),_xlpm.ok,(_xlpm.idx&gt;=_xlpm.i)*(_xlpm.vd&lt;=Cfg_VDFeeder)*(_xlpm.cm&gt;0)*ISNUMBER(_xlpm.sts)*(_xlpm.hasN=_xlpm.wantN),_xlpm.m,MIN(IF(_xlpm.ok=1,_xlpm.idx)),INDEX(_xlpm.codes,IF(_xlpm.m=0,_xlpm.i,_xlpm.m))),""))</f>
        <v/>
      </c>
      <c r="BY46" s="829" t="str" cm="1">
        <f t="array" ref="BY46">IF($BP46="","",IF($BX46="",$BU46,IFERROR(IF($BV46="AL",_xlfn.XLOOKUP($BX46,Std_Al3_Code,INDEX(Std_Al3_Table,0,2)),IF($G46=1,_xlfn.XLOOKUP($BX46,Std_Cu1_Code,INDEX(Std_Cu1_Table,0,2)),_xlfn.XLOOKUP($BX46,Std_Cu3_Code,INDEX(Std_Cu3_Table,0,2)))),"")))</f>
        <v/>
      </c>
      <c r="BZ46" s="829" t="str" cm="1">
        <f t="array" ref="BZ46">IF($BP46="","",IF($BX46="",$BR46,IFERROR(IF($BV46="AL",_xlfn.XLOOKUP($BX46,Std_Al3_Code,INDEX(Std_Al3_Table,0,4)),IF($G46=1,_xlfn.XLOOKUP($BX46,Std_Cu1_Code,INDEX(Std_Cu1_Table,0,4)),_xlfn.XLOOKUP($BX46,Std_Cu3_Code,INDEX(Std_Cu3_Table,0,4)))),"")))</f>
        <v/>
      </c>
      <c r="CA46" s="829" t="str" cm="1">
        <f t="array" ref="CA46">IF($BP46="","",IF($BX46="",$BQ46,IFERROR(IF($BV46="AL",_xlfn.XLOOKUP($BX46,Std_Al3_Code,INDEX(Std_Al3_Table,0,3)),IF($G46=1,_xlfn.XLOOKUP($BX46,Std_Cu1_Code,INDEX(Std_Cu1_Table,0,3)),_xlfn.XLOOKUP($BX46,Std_Cu3_Code,INDEX(Std_Cu3_Table,0,3)))),"")))</f>
        <v/>
      </c>
      <c r="CB46" s="829" t="str" cm="1">
        <f t="array" ref="CB46">IF($BP46="","",IF($BX46="",$BS46,IFERROR(IF($BV46="AL",_xlfn.XLOOKUP($BX46,Std_Al3_Code,INDEX(Std_Al3_Table,0,5)),IF($G46=1,_xlfn.XLOOKUP($BX46,Std_Cu1_Code,INDEX(Std_Cu1_Table,0,5)),_xlfn.XLOOKUP($BX46,Std_Cu3_Code,INDEX(Std_Cu3_Table,0,5)))),"")))</f>
        <v/>
      </c>
      <c r="CC46" s="829" t="str">
        <f t="shared" si="13"/>
        <v/>
      </c>
      <c r="CD46" s="829" t="str">
        <f t="shared" si="14"/>
        <v/>
      </c>
      <c r="CE46" s="829" t="str">
        <f t="shared" si="15"/>
        <v/>
      </c>
      <c r="CF46" s="829" t="str">
        <f t="shared" si="16"/>
        <v/>
      </c>
      <c r="CG46" s="829" t="str">
        <f t="shared" si="17"/>
        <v/>
      </c>
      <c r="CH46" s="829" t="str">
        <f t="shared" si="18"/>
        <v/>
      </c>
      <c r="CI46" s="829" t="str">
        <f t="shared" si="19"/>
        <v/>
      </c>
      <c r="CJ46" s="829" t="str" cm="1">
        <f t="array" ref="CJ46">IF($B46="","",_xlfn.LET(_xlpm.to,$D46&amp;"",_xlpm.em,IFERROR(INDEX(_xlfn.ANCHORARRAY($BE$4),ROW()-4,6),"")="EMERG",_xlpm.pri,AND(NOT(_xlpm.em),LEFT(_xlpm.to,2)="T-",ISNUMBER(MATCH(MID(_xlpm.to,3,99),Equip_List,0)),ISNA(MATCH(_xlpm.to,Equip_List,0))),IF(_xlpm.pri,MID(_xlpm.to,3,99),_xlpm.to)))</f>
        <v/>
      </c>
      <c r="CK46" s="829" t="str" cm="1">
        <f t="array" ref="CK46">IF($CJ46="","",IF(IFERROR(INDEX(_xlfn.ANCHORARRAY($BE$4),ROW()-4,6),"")="EMERG","E",IF($CJ46&lt;&gt;$D46&amp;"","P","N")))</f>
        <v/>
      </c>
    </row>
    <row r="47" spans="1:89" ht="15" customHeight="1" x14ac:dyDescent="0.35">
      <c r="A47" s="821" t="str">
        <f t="shared" si="7"/>
        <v/>
      </c>
      <c r="B47" s="821" t="str" cm="1">
        <f t="array" ref="B47">IFERROR(IF(INDEX(_xlfn.ANCHORARRAY($BE$4),ROW()-4,2)="","","F-"&amp;INDEX(_xlfn.ANCHORARRAY($BE$4),ROW()-4,2)&amp;IF(IFERROR(INDEX(_xlfn.ANCHORARRAY($BE$4),ROW()-4,6),"")="EMERG","-E","")),"")</f>
        <v/>
      </c>
      <c r="C47" s="821" t="str" cm="1">
        <f t="array" ref="C47">IFERROR(IF($B47="","",INDEX(_xlfn.ANCHORARRAY($BE$4),ROW()-4,1)),"")</f>
        <v/>
      </c>
      <c r="D47" s="821" t="str" cm="1">
        <f t="array" ref="D47">IFERROR(IF($B47="","",INDEX(_xlfn.ANCHORARRAY($BE$4),ROW()-4,2)),"")</f>
        <v/>
      </c>
      <c r="E47" s="806" t="str" cm="1">
        <f t="array" ref="E47">IFERROR(IF($B47="","",INDEX(_xlfn.ANCHORARRAY($BE$4),ROW()-4,3)),"")</f>
        <v/>
      </c>
      <c r="F47" s="822" t="str" cm="1">
        <f t="array" ref="F47">IFERROR(IF($B47="","",INDEX(_xlfn.ANCHORARRAY($BE$4),ROW()-4,4)),"")</f>
        <v/>
      </c>
      <c r="G47" s="823" t="str" cm="1">
        <f t="array" ref="G47">IFERROR(IF($B47="","",INDEX(_xlfn.ANCHORARRAY($BE$4),ROW()-4,5)),"")</f>
        <v/>
      </c>
      <c r="H47" s="824" t="str" cm="1">
        <f t="array" ref="H47">IF($CJ47="","",_xlfn.LET(_xlpm.v,_xlfn.XLOOKUP($CJ47,Equip_List,IF($CK47="E",Equip_EmLen,IF($CK47="P",Equip_XfPriLen,Equip_FdrLen)),""),IF(_xlpm.v="","",_xlpm.v)))</f>
        <v/>
      </c>
      <c r="I47" s="806" t="str">
        <f t="shared" si="0"/>
        <v/>
      </c>
      <c r="J47" s="820"/>
      <c r="K47" s="806" t="str">
        <f>_xlfn.LET(_xlpm.k,IF($I47="","",IF(COUNTIF(UPS!$B$57:$B$64,$C47&amp;"")&gt;0,1.25*MAX($I47,N(_xlfn.XLOOKUP($C47&amp;"",UPS!$B$57:$B$64,UPS!$M$57:$M$64,0))),IF(COUNTIF(UPS!$B$57:$B$64,$D47&amp;"")&gt;0,1.25*MAX($I47,N(_xlfn.XLOOKUP($D47&amp;"",UPS!$B$57:$B$64,UPS!$Q$57:$Q$64,0))),$I47*IF(OR(UPPER($J47)="Y",LEFT($C47,2)="T-",LEFT($D47,2)="T-"),1.25,1)))),IF(_xlpm.k="","",MAX(_xlpm.k,N(IFERROR(_xlfn.XLOOKUP($D47&amp;"",Dashboard!$A$101:$A$350,Dashboard!$O$101:$O$350,0),0)))))</f>
        <v/>
      </c>
      <c r="L47" s="825" t="str">
        <f>IF($CJ47="","",_xlfn.LET(_xlpm.v,UPPER(TRIM(_xlfn.XLOOKUP($CJ47,Equip_List,Equip_FdrMat,"")&amp;"")),IF(_xlpm.v="",UPPER(TRIM(Cfg_FeederMat&amp;"")),_xlpm.v)))</f>
        <v/>
      </c>
      <c r="M47" s="825" t="str">
        <f>IF($CJ47="","",_xlfn.LET(_xlpm.v,TRIM(_xlfn.XLOOKUP($CJ47,Equip_List,Equip_FdrRace,"")&amp;""),IF(_xlpm.v="",Cfg_Conduit&amp;"",_xlpm.v)))</f>
        <v/>
      </c>
      <c r="N47" s="825" t="str">
        <f>IF($CJ47="","",IF(UPPER(TRIM(_xlfn.XLOOKUP($CJ47,Equip_List,Equip_FdrExist,"")&amp;""))="Y","Y",""))</f>
        <v/>
      </c>
      <c r="O47" s="823" t="str">
        <f t="shared" si="8"/>
        <v/>
      </c>
      <c r="P47" s="821" t="str">
        <f t="shared" si="9"/>
        <v/>
      </c>
      <c r="Q47" s="821" t="str">
        <f t="shared" si="10"/>
        <v/>
      </c>
      <c r="R47" s="822" t="str" cm="1">
        <f t="array" ref="R47">IF(K47="","",INDEX(OCPD_List,MATCH(TRUE,OCPD_List&gt;=K47,0)))</f>
        <v/>
      </c>
      <c r="S47" s="821" t="str">
        <f t="shared" si="11"/>
        <v/>
      </c>
      <c r="T47" s="826" t="str">
        <f t="shared" si="1"/>
        <v/>
      </c>
      <c r="U47" s="826" t="str">
        <f t="shared" si="2"/>
        <v/>
      </c>
      <c r="V47" s="827" t="str">
        <f t="shared" si="3"/>
        <v/>
      </c>
      <c r="W47" s="828"/>
      <c r="X47" s="819"/>
      <c r="Y47" s="820"/>
      <c r="Z47" s="820"/>
      <c r="AA47" s="820"/>
      <c r="BN47" s="832" t="str">
        <f>IF($B47="","",IFERROR(_xlfn.XLOOKUP($D47,Dashboard!$A$101:$A$350,Dashboard!$C$101:$C$350),""))</f>
        <v/>
      </c>
      <c r="BO47" s="832" t="str">
        <f t="shared" si="4"/>
        <v/>
      </c>
      <c r="BP47" s="832" t="str" cm="1">
        <f t="array" ref="BP47">IF(OR($B47="",$R47="",NOT(ISNUMBER($R47))),"",IF(AND($BV47="AL",$G47=1),"",_xlfn.LET(_xlpm.codes,IF($BV47="AL",Std_Al3_Code,IF($G47=1,Std_Cu1_Code,Std_Cu3_Code)),_xlpm.amps,IFERROR(--SUBSTITUTE(_xlpm.codes&amp;"","N",""),""),_xlpm.a,MIN(IF(ISNUMBER(_xlpm.amps),IF(_xlpm.amps&gt;=$R47,_xlpm.amps,""),"")),_xlpm.k,IF(_xlpm.a=0,$R47,_xlpm.a),IF($BO47="Y",TEXT(_xlpm.k,"0")&amp;"N",_xlpm.k))))</f>
        <v/>
      </c>
      <c r="BQ47" s="832" t="str" cm="1">
        <f t="array" ref="BQ47">IF($BP47="","",IFERROR(IF($BV47="AL",_xlfn.XLOOKUP($BP47,Std_Al3_Code,INDEX(Std_Al3_Table,0,3)),IF($G47=1,_xlfn.XLOOKUP($BP47,Std_Cu1_Code,INDEX(Std_Cu1_Table,0,3)),_xlfn.XLOOKUP($BP47,Std_Cu3_Code,INDEX(Std_Cu3_Table,0,3)))),""))</f>
        <v/>
      </c>
      <c r="BR47" s="832" t="str" cm="1">
        <f t="array" ref="BR47">IF($BP47="","",IFERROR(IF($BV47="AL",_xlfn.XLOOKUP($BP47,Std_Al3_Code,INDEX(Std_Al3_Table,0,4)),IF($G47=1,_xlfn.XLOOKUP($BP47,Std_Cu1_Code,INDEX(Std_Cu1_Table,0,4)),_xlfn.XLOOKUP($BP47,Std_Cu3_Code,INDEX(Std_Cu3_Table,0,4)))),""))</f>
        <v/>
      </c>
      <c r="BS47" s="832" t="str" cm="1">
        <f t="array" ref="BS47">IF($BP47="","",IFERROR(IF($BV47="AL",_xlfn.XLOOKUP($BP47,Std_Al3_Code,INDEX(Std_Al3_Table,0,5)),IF($G47=1,_xlfn.XLOOKUP($BP47,Std_Cu1_Code,INDEX(Std_Cu1_Table,0,5)),_xlfn.XLOOKUP($BP47,Std_Cu3_Code,INDEX(Std_Cu3_Table,0,5)))),""))</f>
        <v/>
      </c>
      <c r="BT47" s="832" t="str">
        <f t="shared" si="5"/>
        <v/>
      </c>
      <c r="BU47" s="832" t="str" cm="1">
        <f t="array" ref="BU47">IF($BP47="","",IFERROR(IF($BV47="AL",_xlfn.XLOOKUP($BP47,Std_Al3_Code,INDEX(Std_Al3_Table,0,2)),IF($G47=1,_xlfn.XLOOKUP($BP47,Std_Cu1_Code,INDEX(Std_Cu1_Table,0,2)),_xlfn.XLOOKUP($BP47,Std_Cu3_Code,INDEX(Std_Cu3_Table,0,2)))),""))</f>
        <v/>
      </c>
      <c r="BV47" s="829" t="str">
        <f t="shared" si="6"/>
        <v/>
      </c>
      <c r="BW47" s="829" t="str">
        <f t="shared" si="12"/>
        <v/>
      </c>
      <c r="BX47" s="829" t="str" cm="1">
        <f t="array" ref="BX47">IF(OR($BP47="",$H47="",$I47="",$F47="",$BW47=""),"",IFERROR(_xlfn.LET(_xlpm.codes,IF($BV47="AL",Std_Al3_Code,IF($G47=1,Std_Cu1_Code,Std_Cu3_Code)),_xlpm.tbl,IF($BV47="AL",Std_Al3_Table,IF($G47=1,Std_Cu1_Table,Std_Cu3_Table)),_xlpm.i,MATCH($BP47,_xlpm.codes,0),_xlpm.idx,_xlfn.SEQUENCE(ROWS(_xlpm.codes)),_xlpm.cnd,INDEX(_xlpm.tbl,0,4),_xlpm.sts,INDEX(_xlpm.tbl,0,2),_xlpm.sz,IFERROR(_xlfn.TEXTBEFORE(_xlfn.TEXTAFTER(_xlpm.cnd,"#"),","),IFERROR(_xlfn.TEXTAFTER(_xlpm.cnd,"#"),"")),_xlpm.cm,IFERROR(_xlfn.XLOOKUP(TRIM(_xlpm.sz),Ampacity_Size,Ampacity_CM),0),_xlpm.mult,IF($G47=3,SQRT3,2),_xlpm.kk,IF($BV47="AL",K_Al,K_Cu),_xlpm.vd,IF(_xlpm.cm*IF(ISNUMBER(_xlpm.sts),_xlpm.sts,0)=0,9,_xlpm.mult*_xlpm.kk*$I47*$H47/(_xlpm.cm*_xlpm.sts)/$F47),_xlpm.hasN,--(RIGHT(_xlpm.codes&amp;"",1)="N"),_xlpm.wantN,--(RIGHT($BP47&amp;"",1)="N"),_xlpm.ok,(_xlpm.idx&gt;=_xlpm.i)*(_xlpm.vd&lt;=Cfg_VDFeeder)*(_xlpm.cm&gt;0)*ISNUMBER(_xlpm.sts)*(_xlpm.hasN=_xlpm.wantN),_xlpm.m,MIN(IF(_xlpm.ok=1,_xlpm.idx)),INDEX(_xlpm.codes,IF(_xlpm.m=0,_xlpm.i,_xlpm.m))),""))</f>
        <v/>
      </c>
      <c r="BY47" s="829" t="str" cm="1">
        <f t="array" ref="BY47">IF($BP47="","",IF($BX47="",$BU47,IFERROR(IF($BV47="AL",_xlfn.XLOOKUP($BX47,Std_Al3_Code,INDEX(Std_Al3_Table,0,2)),IF($G47=1,_xlfn.XLOOKUP($BX47,Std_Cu1_Code,INDEX(Std_Cu1_Table,0,2)),_xlfn.XLOOKUP($BX47,Std_Cu3_Code,INDEX(Std_Cu3_Table,0,2)))),"")))</f>
        <v/>
      </c>
      <c r="BZ47" s="829" t="str" cm="1">
        <f t="array" ref="BZ47">IF($BP47="","",IF($BX47="",$BR47,IFERROR(IF($BV47="AL",_xlfn.XLOOKUP($BX47,Std_Al3_Code,INDEX(Std_Al3_Table,0,4)),IF($G47=1,_xlfn.XLOOKUP($BX47,Std_Cu1_Code,INDEX(Std_Cu1_Table,0,4)),_xlfn.XLOOKUP($BX47,Std_Cu3_Code,INDEX(Std_Cu3_Table,0,4)))),"")))</f>
        <v/>
      </c>
      <c r="CA47" s="829" t="str" cm="1">
        <f t="array" ref="CA47">IF($BP47="","",IF($BX47="",$BQ47,IFERROR(IF($BV47="AL",_xlfn.XLOOKUP($BX47,Std_Al3_Code,INDEX(Std_Al3_Table,0,3)),IF($G47=1,_xlfn.XLOOKUP($BX47,Std_Cu1_Code,INDEX(Std_Cu1_Table,0,3)),_xlfn.XLOOKUP($BX47,Std_Cu3_Code,INDEX(Std_Cu3_Table,0,3)))),"")))</f>
        <v/>
      </c>
      <c r="CB47" s="829" t="str" cm="1">
        <f t="array" ref="CB47">IF($BP47="","",IF($BX47="",$BS47,IFERROR(IF($BV47="AL",_xlfn.XLOOKUP($BX47,Std_Al3_Code,INDEX(Std_Al3_Table,0,5)),IF($G47=1,_xlfn.XLOOKUP($BX47,Std_Cu1_Code,INDEX(Std_Cu1_Table,0,5)),_xlfn.XLOOKUP($BX47,Std_Cu3_Code,INDEX(Std_Cu3_Table,0,5)))),"")))</f>
        <v/>
      </c>
      <c r="CC47" s="829" t="str">
        <f t="shared" si="13"/>
        <v/>
      </c>
      <c r="CD47" s="829" t="str">
        <f t="shared" si="14"/>
        <v/>
      </c>
      <c r="CE47" s="829" t="str">
        <f t="shared" si="15"/>
        <v/>
      </c>
      <c r="CF47" s="829" t="str">
        <f t="shared" si="16"/>
        <v/>
      </c>
      <c r="CG47" s="829" t="str">
        <f t="shared" si="17"/>
        <v/>
      </c>
      <c r="CH47" s="829" t="str">
        <f t="shared" si="18"/>
        <v/>
      </c>
      <c r="CI47" s="829" t="str">
        <f t="shared" si="19"/>
        <v/>
      </c>
      <c r="CJ47" s="829" t="str" cm="1">
        <f t="array" ref="CJ47">IF($B47="","",_xlfn.LET(_xlpm.to,$D47&amp;"",_xlpm.em,IFERROR(INDEX(_xlfn.ANCHORARRAY($BE$4),ROW()-4,6),"")="EMERG",_xlpm.pri,AND(NOT(_xlpm.em),LEFT(_xlpm.to,2)="T-",ISNUMBER(MATCH(MID(_xlpm.to,3,99),Equip_List,0)),ISNA(MATCH(_xlpm.to,Equip_List,0))),IF(_xlpm.pri,MID(_xlpm.to,3,99),_xlpm.to)))</f>
        <v/>
      </c>
      <c r="CK47" s="829" t="str" cm="1">
        <f t="array" ref="CK47">IF($CJ47="","",IF(IFERROR(INDEX(_xlfn.ANCHORARRAY($BE$4),ROW()-4,6),"")="EMERG","E",IF($CJ47&lt;&gt;$D47&amp;"","P","N")))</f>
        <v/>
      </c>
    </row>
    <row r="48" spans="1:89" ht="15" customHeight="1" x14ac:dyDescent="0.35">
      <c r="A48" s="821" t="str">
        <f t="shared" si="7"/>
        <v/>
      </c>
      <c r="B48" s="821" t="str" cm="1">
        <f t="array" ref="B48">IFERROR(IF(INDEX(_xlfn.ANCHORARRAY($BE$4),ROW()-4,2)="","","F-"&amp;INDEX(_xlfn.ANCHORARRAY($BE$4),ROW()-4,2)&amp;IF(IFERROR(INDEX(_xlfn.ANCHORARRAY($BE$4),ROW()-4,6),"")="EMERG","-E","")),"")</f>
        <v/>
      </c>
      <c r="C48" s="821" t="str" cm="1">
        <f t="array" ref="C48">IFERROR(IF($B48="","",INDEX(_xlfn.ANCHORARRAY($BE$4),ROW()-4,1)),"")</f>
        <v/>
      </c>
      <c r="D48" s="821" t="str" cm="1">
        <f t="array" ref="D48">IFERROR(IF($B48="","",INDEX(_xlfn.ANCHORARRAY($BE$4),ROW()-4,2)),"")</f>
        <v/>
      </c>
      <c r="E48" s="806" t="str" cm="1">
        <f t="array" ref="E48">IFERROR(IF($B48="","",INDEX(_xlfn.ANCHORARRAY($BE$4),ROW()-4,3)),"")</f>
        <v/>
      </c>
      <c r="F48" s="822" t="str" cm="1">
        <f t="array" ref="F48">IFERROR(IF($B48="","",INDEX(_xlfn.ANCHORARRAY($BE$4),ROW()-4,4)),"")</f>
        <v/>
      </c>
      <c r="G48" s="823" t="str" cm="1">
        <f t="array" ref="G48">IFERROR(IF($B48="","",INDEX(_xlfn.ANCHORARRAY($BE$4),ROW()-4,5)),"")</f>
        <v/>
      </c>
      <c r="H48" s="824" t="str" cm="1">
        <f t="array" ref="H48">IF($CJ48="","",_xlfn.LET(_xlpm.v,_xlfn.XLOOKUP($CJ48,Equip_List,IF($CK48="E",Equip_EmLen,IF($CK48="P",Equip_XfPriLen,Equip_FdrLen)),""),IF(_xlpm.v="","",_xlpm.v)))</f>
        <v/>
      </c>
      <c r="I48" s="806" t="str">
        <f t="shared" si="0"/>
        <v/>
      </c>
      <c r="J48" s="820"/>
      <c r="K48" s="806" t="str">
        <f>_xlfn.LET(_xlpm.k,IF($I48="","",IF(COUNTIF(UPS!$B$57:$B$64,$C48&amp;"")&gt;0,1.25*MAX($I48,N(_xlfn.XLOOKUP($C48&amp;"",UPS!$B$57:$B$64,UPS!$M$57:$M$64,0))),IF(COUNTIF(UPS!$B$57:$B$64,$D48&amp;"")&gt;0,1.25*MAX($I48,N(_xlfn.XLOOKUP($D48&amp;"",UPS!$B$57:$B$64,UPS!$Q$57:$Q$64,0))),$I48*IF(OR(UPPER($J48)="Y",LEFT($C48,2)="T-",LEFT($D48,2)="T-"),1.25,1)))),IF(_xlpm.k="","",MAX(_xlpm.k,N(IFERROR(_xlfn.XLOOKUP($D48&amp;"",Dashboard!$A$101:$A$350,Dashboard!$O$101:$O$350,0),0)))))</f>
        <v/>
      </c>
      <c r="L48" s="825" t="str">
        <f>IF($CJ48="","",_xlfn.LET(_xlpm.v,UPPER(TRIM(_xlfn.XLOOKUP($CJ48,Equip_List,Equip_FdrMat,"")&amp;"")),IF(_xlpm.v="",UPPER(TRIM(Cfg_FeederMat&amp;"")),_xlpm.v)))</f>
        <v/>
      </c>
      <c r="M48" s="825" t="str">
        <f>IF($CJ48="","",_xlfn.LET(_xlpm.v,TRIM(_xlfn.XLOOKUP($CJ48,Equip_List,Equip_FdrRace,"")&amp;""),IF(_xlpm.v="",Cfg_Conduit&amp;"",_xlpm.v)))</f>
        <v/>
      </c>
      <c r="N48" s="825" t="str">
        <f>IF($CJ48="","",IF(UPPER(TRIM(_xlfn.XLOOKUP($CJ48,Equip_List,Equip_FdrExist,"")&amp;""))="Y","Y",""))</f>
        <v/>
      </c>
      <c r="O48" s="823" t="str">
        <f t="shared" si="8"/>
        <v/>
      </c>
      <c r="P48" s="821" t="str">
        <f t="shared" si="9"/>
        <v/>
      </c>
      <c r="Q48" s="821" t="str">
        <f t="shared" si="10"/>
        <v/>
      </c>
      <c r="R48" s="822" t="str" cm="1">
        <f t="array" ref="R48">IF(K48="","",INDEX(OCPD_List,MATCH(TRUE,OCPD_List&gt;=K48,0)))</f>
        <v/>
      </c>
      <c r="S48" s="821" t="str">
        <f t="shared" si="11"/>
        <v/>
      </c>
      <c r="T48" s="826" t="str">
        <f t="shared" si="1"/>
        <v/>
      </c>
      <c r="U48" s="826" t="str">
        <f t="shared" si="2"/>
        <v/>
      </c>
      <c r="V48" s="827" t="str">
        <f t="shared" si="3"/>
        <v/>
      </c>
      <c r="W48" s="828"/>
      <c r="X48" s="819"/>
      <c r="Y48" s="820"/>
      <c r="Z48" s="820"/>
      <c r="AA48" s="820"/>
      <c r="BN48" s="832" t="str">
        <f>IF($B48="","",IFERROR(_xlfn.XLOOKUP($D48,Dashboard!$A$101:$A$350,Dashboard!$C$101:$C$350),""))</f>
        <v/>
      </c>
      <c r="BO48" s="832" t="str">
        <f t="shared" si="4"/>
        <v/>
      </c>
      <c r="BP48" s="832" t="str" cm="1">
        <f t="array" ref="BP48">IF(OR($B48="",$R48="",NOT(ISNUMBER($R48))),"",IF(AND($BV48="AL",$G48=1),"",_xlfn.LET(_xlpm.codes,IF($BV48="AL",Std_Al3_Code,IF($G48=1,Std_Cu1_Code,Std_Cu3_Code)),_xlpm.amps,IFERROR(--SUBSTITUTE(_xlpm.codes&amp;"","N",""),""),_xlpm.a,MIN(IF(ISNUMBER(_xlpm.amps),IF(_xlpm.amps&gt;=$R48,_xlpm.amps,""),"")),_xlpm.k,IF(_xlpm.a=0,$R48,_xlpm.a),IF($BO48="Y",TEXT(_xlpm.k,"0")&amp;"N",_xlpm.k))))</f>
        <v/>
      </c>
      <c r="BQ48" s="832" t="str" cm="1">
        <f t="array" ref="BQ48">IF($BP48="","",IFERROR(IF($BV48="AL",_xlfn.XLOOKUP($BP48,Std_Al3_Code,INDEX(Std_Al3_Table,0,3)),IF($G48=1,_xlfn.XLOOKUP($BP48,Std_Cu1_Code,INDEX(Std_Cu1_Table,0,3)),_xlfn.XLOOKUP($BP48,Std_Cu3_Code,INDEX(Std_Cu3_Table,0,3)))),""))</f>
        <v/>
      </c>
      <c r="BR48" s="832" t="str" cm="1">
        <f t="array" ref="BR48">IF($BP48="","",IFERROR(IF($BV48="AL",_xlfn.XLOOKUP($BP48,Std_Al3_Code,INDEX(Std_Al3_Table,0,4)),IF($G48=1,_xlfn.XLOOKUP($BP48,Std_Cu1_Code,INDEX(Std_Cu1_Table,0,4)),_xlfn.XLOOKUP($BP48,Std_Cu3_Code,INDEX(Std_Cu3_Table,0,4)))),""))</f>
        <v/>
      </c>
      <c r="BS48" s="832" t="str" cm="1">
        <f t="array" ref="BS48">IF($BP48="","",IFERROR(IF($BV48="AL",_xlfn.XLOOKUP($BP48,Std_Al3_Code,INDEX(Std_Al3_Table,0,5)),IF($G48=1,_xlfn.XLOOKUP($BP48,Std_Cu1_Code,INDEX(Std_Cu1_Table,0,5)),_xlfn.XLOOKUP($BP48,Std_Cu3_Code,INDEX(Std_Cu3_Table,0,5)))),""))</f>
        <v/>
      </c>
      <c r="BT48" s="832" t="str">
        <f t="shared" si="5"/>
        <v/>
      </c>
      <c r="BU48" s="832" t="str" cm="1">
        <f t="array" ref="BU48">IF($BP48="","",IFERROR(IF($BV48="AL",_xlfn.XLOOKUP($BP48,Std_Al3_Code,INDEX(Std_Al3_Table,0,2)),IF($G48=1,_xlfn.XLOOKUP($BP48,Std_Cu1_Code,INDEX(Std_Cu1_Table,0,2)),_xlfn.XLOOKUP($BP48,Std_Cu3_Code,INDEX(Std_Cu3_Table,0,2)))),""))</f>
        <v/>
      </c>
      <c r="BV48" s="829" t="str">
        <f t="shared" si="6"/>
        <v/>
      </c>
      <c r="BW48" s="829" t="str">
        <f t="shared" si="12"/>
        <v/>
      </c>
      <c r="BX48" s="829" t="str" cm="1">
        <f t="array" ref="BX48">IF(OR($BP48="",$H48="",$I48="",$F48="",$BW48=""),"",IFERROR(_xlfn.LET(_xlpm.codes,IF($BV48="AL",Std_Al3_Code,IF($G48=1,Std_Cu1_Code,Std_Cu3_Code)),_xlpm.tbl,IF($BV48="AL",Std_Al3_Table,IF($G48=1,Std_Cu1_Table,Std_Cu3_Table)),_xlpm.i,MATCH($BP48,_xlpm.codes,0),_xlpm.idx,_xlfn.SEQUENCE(ROWS(_xlpm.codes)),_xlpm.cnd,INDEX(_xlpm.tbl,0,4),_xlpm.sts,INDEX(_xlpm.tbl,0,2),_xlpm.sz,IFERROR(_xlfn.TEXTBEFORE(_xlfn.TEXTAFTER(_xlpm.cnd,"#"),","),IFERROR(_xlfn.TEXTAFTER(_xlpm.cnd,"#"),"")),_xlpm.cm,IFERROR(_xlfn.XLOOKUP(TRIM(_xlpm.sz),Ampacity_Size,Ampacity_CM),0),_xlpm.mult,IF($G48=3,SQRT3,2),_xlpm.kk,IF($BV48="AL",K_Al,K_Cu),_xlpm.vd,IF(_xlpm.cm*IF(ISNUMBER(_xlpm.sts),_xlpm.sts,0)=0,9,_xlpm.mult*_xlpm.kk*$I48*$H48/(_xlpm.cm*_xlpm.sts)/$F48),_xlpm.hasN,--(RIGHT(_xlpm.codes&amp;"",1)="N"),_xlpm.wantN,--(RIGHT($BP48&amp;"",1)="N"),_xlpm.ok,(_xlpm.idx&gt;=_xlpm.i)*(_xlpm.vd&lt;=Cfg_VDFeeder)*(_xlpm.cm&gt;0)*ISNUMBER(_xlpm.sts)*(_xlpm.hasN=_xlpm.wantN),_xlpm.m,MIN(IF(_xlpm.ok=1,_xlpm.idx)),INDEX(_xlpm.codes,IF(_xlpm.m=0,_xlpm.i,_xlpm.m))),""))</f>
        <v/>
      </c>
      <c r="BY48" s="829" t="str" cm="1">
        <f t="array" ref="BY48">IF($BP48="","",IF($BX48="",$BU48,IFERROR(IF($BV48="AL",_xlfn.XLOOKUP($BX48,Std_Al3_Code,INDEX(Std_Al3_Table,0,2)),IF($G48=1,_xlfn.XLOOKUP($BX48,Std_Cu1_Code,INDEX(Std_Cu1_Table,0,2)),_xlfn.XLOOKUP($BX48,Std_Cu3_Code,INDEX(Std_Cu3_Table,0,2)))),"")))</f>
        <v/>
      </c>
      <c r="BZ48" s="829" t="str" cm="1">
        <f t="array" ref="BZ48">IF($BP48="","",IF($BX48="",$BR48,IFERROR(IF($BV48="AL",_xlfn.XLOOKUP($BX48,Std_Al3_Code,INDEX(Std_Al3_Table,0,4)),IF($G48=1,_xlfn.XLOOKUP($BX48,Std_Cu1_Code,INDEX(Std_Cu1_Table,0,4)),_xlfn.XLOOKUP($BX48,Std_Cu3_Code,INDEX(Std_Cu3_Table,0,4)))),"")))</f>
        <v/>
      </c>
      <c r="CA48" s="829" t="str" cm="1">
        <f t="array" ref="CA48">IF($BP48="","",IF($BX48="",$BQ48,IFERROR(IF($BV48="AL",_xlfn.XLOOKUP($BX48,Std_Al3_Code,INDEX(Std_Al3_Table,0,3)),IF($G48=1,_xlfn.XLOOKUP($BX48,Std_Cu1_Code,INDEX(Std_Cu1_Table,0,3)),_xlfn.XLOOKUP($BX48,Std_Cu3_Code,INDEX(Std_Cu3_Table,0,3)))),"")))</f>
        <v/>
      </c>
      <c r="CB48" s="829" t="str" cm="1">
        <f t="array" ref="CB48">IF($BP48="","",IF($BX48="",$BS48,IFERROR(IF($BV48="AL",_xlfn.XLOOKUP($BX48,Std_Al3_Code,INDEX(Std_Al3_Table,0,5)),IF($G48=1,_xlfn.XLOOKUP($BX48,Std_Cu1_Code,INDEX(Std_Cu1_Table,0,5)),_xlfn.XLOOKUP($BX48,Std_Cu3_Code,INDEX(Std_Cu3_Table,0,5)))),"")))</f>
        <v/>
      </c>
      <c r="CC48" s="829" t="str">
        <f t="shared" si="13"/>
        <v/>
      </c>
      <c r="CD48" s="829" t="str">
        <f t="shared" si="14"/>
        <v/>
      </c>
      <c r="CE48" s="829" t="str">
        <f t="shared" si="15"/>
        <v/>
      </c>
      <c r="CF48" s="829" t="str">
        <f t="shared" si="16"/>
        <v/>
      </c>
      <c r="CG48" s="829" t="str">
        <f t="shared" si="17"/>
        <v/>
      </c>
      <c r="CH48" s="829" t="str">
        <f t="shared" si="18"/>
        <v/>
      </c>
      <c r="CI48" s="829" t="str">
        <f t="shared" si="19"/>
        <v/>
      </c>
      <c r="CJ48" s="829" t="str" cm="1">
        <f t="array" ref="CJ48">IF($B48="","",_xlfn.LET(_xlpm.to,$D48&amp;"",_xlpm.em,IFERROR(INDEX(_xlfn.ANCHORARRAY($BE$4),ROW()-4,6),"")="EMERG",_xlpm.pri,AND(NOT(_xlpm.em),LEFT(_xlpm.to,2)="T-",ISNUMBER(MATCH(MID(_xlpm.to,3,99),Equip_List,0)),ISNA(MATCH(_xlpm.to,Equip_List,0))),IF(_xlpm.pri,MID(_xlpm.to,3,99),_xlpm.to)))</f>
        <v/>
      </c>
      <c r="CK48" s="829" t="str" cm="1">
        <f t="array" ref="CK48">IF($CJ48="","",IF(IFERROR(INDEX(_xlfn.ANCHORARRAY($BE$4),ROW()-4,6),"")="EMERG","E",IF($CJ48&lt;&gt;$D48&amp;"","P","N")))</f>
        <v/>
      </c>
    </row>
    <row r="49" spans="1:89" ht="15" customHeight="1" x14ac:dyDescent="0.35">
      <c r="A49" s="821" t="str">
        <f t="shared" si="7"/>
        <v/>
      </c>
      <c r="B49" s="821" t="str" cm="1">
        <f t="array" ref="B49">IFERROR(IF(INDEX(_xlfn.ANCHORARRAY($BE$4),ROW()-4,2)="","","F-"&amp;INDEX(_xlfn.ANCHORARRAY($BE$4),ROW()-4,2)&amp;IF(IFERROR(INDEX(_xlfn.ANCHORARRAY($BE$4),ROW()-4,6),"")="EMERG","-E","")),"")</f>
        <v/>
      </c>
      <c r="C49" s="821" t="str" cm="1">
        <f t="array" ref="C49">IFERROR(IF($B49="","",INDEX(_xlfn.ANCHORARRAY($BE$4),ROW()-4,1)),"")</f>
        <v/>
      </c>
      <c r="D49" s="821" t="str" cm="1">
        <f t="array" ref="D49">IFERROR(IF($B49="","",INDEX(_xlfn.ANCHORARRAY($BE$4),ROW()-4,2)),"")</f>
        <v/>
      </c>
      <c r="E49" s="806" t="str" cm="1">
        <f t="array" ref="E49">IFERROR(IF($B49="","",INDEX(_xlfn.ANCHORARRAY($BE$4),ROW()-4,3)),"")</f>
        <v/>
      </c>
      <c r="F49" s="822" t="str" cm="1">
        <f t="array" ref="F49">IFERROR(IF($B49="","",INDEX(_xlfn.ANCHORARRAY($BE$4),ROW()-4,4)),"")</f>
        <v/>
      </c>
      <c r="G49" s="823" t="str" cm="1">
        <f t="array" ref="G49">IFERROR(IF($B49="","",INDEX(_xlfn.ANCHORARRAY($BE$4),ROW()-4,5)),"")</f>
        <v/>
      </c>
      <c r="H49" s="824" t="str" cm="1">
        <f t="array" ref="H49">IF($CJ49="","",_xlfn.LET(_xlpm.v,_xlfn.XLOOKUP($CJ49,Equip_List,IF($CK49="E",Equip_EmLen,IF($CK49="P",Equip_XfPriLen,Equip_FdrLen)),""),IF(_xlpm.v="","",_xlpm.v)))</f>
        <v/>
      </c>
      <c r="I49" s="806" t="str">
        <f t="shared" si="0"/>
        <v/>
      </c>
      <c r="J49" s="820"/>
      <c r="K49" s="806" t="str">
        <f>_xlfn.LET(_xlpm.k,IF($I49="","",IF(COUNTIF(UPS!$B$57:$B$64,$C49&amp;"")&gt;0,1.25*MAX($I49,N(_xlfn.XLOOKUP($C49&amp;"",UPS!$B$57:$B$64,UPS!$M$57:$M$64,0))),IF(COUNTIF(UPS!$B$57:$B$64,$D49&amp;"")&gt;0,1.25*MAX($I49,N(_xlfn.XLOOKUP($D49&amp;"",UPS!$B$57:$B$64,UPS!$Q$57:$Q$64,0))),$I49*IF(OR(UPPER($J49)="Y",LEFT($C49,2)="T-",LEFT($D49,2)="T-"),1.25,1)))),IF(_xlpm.k="","",MAX(_xlpm.k,N(IFERROR(_xlfn.XLOOKUP($D49&amp;"",Dashboard!$A$101:$A$350,Dashboard!$O$101:$O$350,0),0)))))</f>
        <v/>
      </c>
      <c r="L49" s="825" t="str">
        <f>IF($CJ49="","",_xlfn.LET(_xlpm.v,UPPER(TRIM(_xlfn.XLOOKUP($CJ49,Equip_List,Equip_FdrMat,"")&amp;"")),IF(_xlpm.v="",UPPER(TRIM(Cfg_FeederMat&amp;"")),_xlpm.v)))</f>
        <v/>
      </c>
      <c r="M49" s="825" t="str">
        <f>IF($CJ49="","",_xlfn.LET(_xlpm.v,TRIM(_xlfn.XLOOKUP($CJ49,Equip_List,Equip_FdrRace,"")&amp;""),IF(_xlpm.v="",Cfg_Conduit&amp;"",_xlpm.v)))</f>
        <v/>
      </c>
      <c r="N49" s="825" t="str">
        <f>IF($CJ49="","",IF(UPPER(TRIM(_xlfn.XLOOKUP($CJ49,Equip_List,Equip_FdrExist,"")&amp;""))="Y","Y",""))</f>
        <v/>
      </c>
      <c r="O49" s="823" t="str">
        <f t="shared" si="8"/>
        <v/>
      </c>
      <c r="P49" s="821" t="str">
        <f t="shared" si="9"/>
        <v/>
      </c>
      <c r="Q49" s="821" t="str">
        <f t="shared" si="10"/>
        <v/>
      </c>
      <c r="R49" s="822" t="str" cm="1">
        <f t="array" ref="R49">IF(K49="","",INDEX(OCPD_List,MATCH(TRUE,OCPD_List&gt;=K49,0)))</f>
        <v/>
      </c>
      <c r="S49" s="821" t="str">
        <f t="shared" si="11"/>
        <v/>
      </c>
      <c r="T49" s="826" t="str">
        <f t="shared" si="1"/>
        <v/>
      </c>
      <c r="U49" s="826" t="str">
        <f t="shared" si="2"/>
        <v/>
      </c>
      <c r="V49" s="827" t="str">
        <f t="shared" si="3"/>
        <v/>
      </c>
      <c r="W49" s="828"/>
      <c r="X49" s="819"/>
      <c r="Y49" s="820"/>
      <c r="Z49" s="820"/>
      <c r="AA49" s="820"/>
      <c r="BN49" s="832" t="str">
        <f>IF($B49="","",IFERROR(_xlfn.XLOOKUP($D49,Dashboard!$A$101:$A$350,Dashboard!$C$101:$C$350),""))</f>
        <v/>
      </c>
      <c r="BO49" s="832" t="str">
        <f t="shared" si="4"/>
        <v/>
      </c>
      <c r="BP49" s="832" t="str" cm="1">
        <f t="array" ref="BP49">IF(OR($B49="",$R49="",NOT(ISNUMBER($R49))),"",IF(AND($BV49="AL",$G49=1),"",_xlfn.LET(_xlpm.codes,IF($BV49="AL",Std_Al3_Code,IF($G49=1,Std_Cu1_Code,Std_Cu3_Code)),_xlpm.amps,IFERROR(--SUBSTITUTE(_xlpm.codes&amp;"","N",""),""),_xlpm.a,MIN(IF(ISNUMBER(_xlpm.amps),IF(_xlpm.amps&gt;=$R49,_xlpm.amps,""),"")),_xlpm.k,IF(_xlpm.a=0,$R49,_xlpm.a),IF($BO49="Y",TEXT(_xlpm.k,"0")&amp;"N",_xlpm.k))))</f>
        <v/>
      </c>
      <c r="BQ49" s="832" t="str" cm="1">
        <f t="array" ref="BQ49">IF($BP49="","",IFERROR(IF($BV49="AL",_xlfn.XLOOKUP($BP49,Std_Al3_Code,INDEX(Std_Al3_Table,0,3)),IF($G49=1,_xlfn.XLOOKUP($BP49,Std_Cu1_Code,INDEX(Std_Cu1_Table,0,3)),_xlfn.XLOOKUP($BP49,Std_Cu3_Code,INDEX(Std_Cu3_Table,0,3)))),""))</f>
        <v/>
      </c>
      <c r="BR49" s="832" t="str" cm="1">
        <f t="array" ref="BR49">IF($BP49="","",IFERROR(IF($BV49="AL",_xlfn.XLOOKUP($BP49,Std_Al3_Code,INDEX(Std_Al3_Table,0,4)),IF($G49=1,_xlfn.XLOOKUP($BP49,Std_Cu1_Code,INDEX(Std_Cu1_Table,0,4)),_xlfn.XLOOKUP($BP49,Std_Cu3_Code,INDEX(Std_Cu3_Table,0,4)))),""))</f>
        <v/>
      </c>
      <c r="BS49" s="832" t="str" cm="1">
        <f t="array" ref="BS49">IF($BP49="","",IFERROR(IF($BV49="AL",_xlfn.XLOOKUP($BP49,Std_Al3_Code,INDEX(Std_Al3_Table,0,5)),IF($G49=1,_xlfn.XLOOKUP($BP49,Std_Cu1_Code,INDEX(Std_Cu1_Table,0,5)),_xlfn.XLOOKUP($BP49,Std_Cu3_Code,INDEX(Std_Cu3_Table,0,5)))),""))</f>
        <v/>
      </c>
      <c r="BT49" s="832" t="str">
        <f t="shared" si="5"/>
        <v/>
      </c>
      <c r="BU49" s="832" t="str" cm="1">
        <f t="array" ref="BU49">IF($BP49="","",IFERROR(IF($BV49="AL",_xlfn.XLOOKUP($BP49,Std_Al3_Code,INDEX(Std_Al3_Table,0,2)),IF($G49=1,_xlfn.XLOOKUP($BP49,Std_Cu1_Code,INDEX(Std_Cu1_Table,0,2)),_xlfn.XLOOKUP($BP49,Std_Cu3_Code,INDEX(Std_Cu3_Table,0,2)))),""))</f>
        <v/>
      </c>
      <c r="BV49" s="829" t="str">
        <f t="shared" si="6"/>
        <v/>
      </c>
      <c r="BW49" s="829" t="str">
        <f t="shared" si="12"/>
        <v/>
      </c>
      <c r="BX49" s="829" t="str" cm="1">
        <f t="array" ref="BX49">IF(OR($BP49="",$H49="",$I49="",$F49="",$BW49=""),"",IFERROR(_xlfn.LET(_xlpm.codes,IF($BV49="AL",Std_Al3_Code,IF($G49=1,Std_Cu1_Code,Std_Cu3_Code)),_xlpm.tbl,IF($BV49="AL",Std_Al3_Table,IF($G49=1,Std_Cu1_Table,Std_Cu3_Table)),_xlpm.i,MATCH($BP49,_xlpm.codes,0),_xlpm.idx,_xlfn.SEQUENCE(ROWS(_xlpm.codes)),_xlpm.cnd,INDEX(_xlpm.tbl,0,4),_xlpm.sts,INDEX(_xlpm.tbl,0,2),_xlpm.sz,IFERROR(_xlfn.TEXTBEFORE(_xlfn.TEXTAFTER(_xlpm.cnd,"#"),","),IFERROR(_xlfn.TEXTAFTER(_xlpm.cnd,"#"),"")),_xlpm.cm,IFERROR(_xlfn.XLOOKUP(TRIM(_xlpm.sz),Ampacity_Size,Ampacity_CM),0),_xlpm.mult,IF($G49=3,SQRT3,2),_xlpm.kk,IF($BV49="AL",K_Al,K_Cu),_xlpm.vd,IF(_xlpm.cm*IF(ISNUMBER(_xlpm.sts),_xlpm.sts,0)=0,9,_xlpm.mult*_xlpm.kk*$I49*$H49/(_xlpm.cm*_xlpm.sts)/$F49),_xlpm.hasN,--(RIGHT(_xlpm.codes&amp;"",1)="N"),_xlpm.wantN,--(RIGHT($BP49&amp;"",1)="N"),_xlpm.ok,(_xlpm.idx&gt;=_xlpm.i)*(_xlpm.vd&lt;=Cfg_VDFeeder)*(_xlpm.cm&gt;0)*ISNUMBER(_xlpm.sts)*(_xlpm.hasN=_xlpm.wantN),_xlpm.m,MIN(IF(_xlpm.ok=1,_xlpm.idx)),INDEX(_xlpm.codes,IF(_xlpm.m=0,_xlpm.i,_xlpm.m))),""))</f>
        <v/>
      </c>
      <c r="BY49" s="829" t="str" cm="1">
        <f t="array" ref="BY49">IF($BP49="","",IF($BX49="",$BU49,IFERROR(IF($BV49="AL",_xlfn.XLOOKUP($BX49,Std_Al3_Code,INDEX(Std_Al3_Table,0,2)),IF($G49=1,_xlfn.XLOOKUP($BX49,Std_Cu1_Code,INDEX(Std_Cu1_Table,0,2)),_xlfn.XLOOKUP($BX49,Std_Cu3_Code,INDEX(Std_Cu3_Table,0,2)))),"")))</f>
        <v/>
      </c>
      <c r="BZ49" s="829" t="str" cm="1">
        <f t="array" ref="BZ49">IF($BP49="","",IF($BX49="",$BR49,IFERROR(IF($BV49="AL",_xlfn.XLOOKUP($BX49,Std_Al3_Code,INDEX(Std_Al3_Table,0,4)),IF($G49=1,_xlfn.XLOOKUP($BX49,Std_Cu1_Code,INDEX(Std_Cu1_Table,0,4)),_xlfn.XLOOKUP($BX49,Std_Cu3_Code,INDEX(Std_Cu3_Table,0,4)))),"")))</f>
        <v/>
      </c>
      <c r="CA49" s="829" t="str" cm="1">
        <f t="array" ref="CA49">IF($BP49="","",IF($BX49="",$BQ49,IFERROR(IF($BV49="AL",_xlfn.XLOOKUP($BX49,Std_Al3_Code,INDEX(Std_Al3_Table,0,3)),IF($G49=1,_xlfn.XLOOKUP($BX49,Std_Cu1_Code,INDEX(Std_Cu1_Table,0,3)),_xlfn.XLOOKUP($BX49,Std_Cu3_Code,INDEX(Std_Cu3_Table,0,3)))),"")))</f>
        <v/>
      </c>
      <c r="CB49" s="829" t="str" cm="1">
        <f t="array" ref="CB49">IF($BP49="","",IF($BX49="",$BS49,IFERROR(IF($BV49="AL",_xlfn.XLOOKUP($BX49,Std_Al3_Code,INDEX(Std_Al3_Table,0,5)),IF($G49=1,_xlfn.XLOOKUP($BX49,Std_Cu1_Code,INDEX(Std_Cu1_Table,0,5)),_xlfn.XLOOKUP($BX49,Std_Cu3_Code,INDEX(Std_Cu3_Table,0,5)))),"")))</f>
        <v/>
      </c>
      <c r="CC49" s="829" t="str">
        <f t="shared" si="13"/>
        <v/>
      </c>
      <c r="CD49" s="829" t="str">
        <f t="shared" si="14"/>
        <v/>
      </c>
      <c r="CE49" s="829" t="str">
        <f t="shared" si="15"/>
        <v/>
      </c>
      <c r="CF49" s="829" t="str">
        <f t="shared" si="16"/>
        <v/>
      </c>
      <c r="CG49" s="829" t="str">
        <f t="shared" si="17"/>
        <v/>
      </c>
      <c r="CH49" s="829" t="str">
        <f t="shared" si="18"/>
        <v/>
      </c>
      <c r="CI49" s="829" t="str">
        <f t="shared" si="19"/>
        <v/>
      </c>
      <c r="CJ49" s="829" t="str" cm="1">
        <f t="array" ref="CJ49">IF($B49="","",_xlfn.LET(_xlpm.to,$D49&amp;"",_xlpm.em,IFERROR(INDEX(_xlfn.ANCHORARRAY($BE$4),ROW()-4,6),"")="EMERG",_xlpm.pri,AND(NOT(_xlpm.em),LEFT(_xlpm.to,2)="T-",ISNUMBER(MATCH(MID(_xlpm.to,3,99),Equip_List,0)),ISNA(MATCH(_xlpm.to,Equip_List,0))),IF(_xlpm.pri,MID(_xlpm.to,3,99),_xlpm.to)))</f>
        <v/>
      </c>
      <c r="CK49" s="829" t="str" cm="1">
        <f t="array" ref="CK49">IF($CJ49="","",IF(IFERROR(INDEX(_xlfn.ANCHORARRAY($BE$4),ROW()-4,6),"")="EMERG","E",IF($CJ49&lt;&gt;$D49&amp;"","P","N")))</f>
        <v/>
      </c>
    </row>
    <row r="50" spans="1:89" ht="15" customHeight="1" x14ac:dyDescent="0.35">
      <c r="A50" s="821" t="str">
        <f t="shared" si="7"/>
        <v/>
      </c>
      <c r="B50" s="821" t="str" cm="1">
        <f t="array" ref="B50">IFERROR(IF(INDEX(_xlfn.ANCHORARRAY($BE$4),ROW()-4,2)="","","F-"&amp;INDEX(_xlfn.ANCHORARRAY($BE$4),ROW()-4,2)&amp;IF(IFERROR(INDEX(_xlfn.ANCHORARRAY($BE$4),ROW()-4,6),"")="EMERG","-E","")),"")</f>
        <v/>
      </c>
      <c r="C50" s="821" t="str" cm="1">
        <f t="array" ref="C50">IFERROR(IF($B50="","",INDEX(_xlfn.ANCHORARRAY($BE$4),ROW()-4,1)),"")</f>
        <v/>
      </c>
      <c r="D50" s="821" t="str" cm="1">
        <f t="array" ref="D50">IFERROR(IF($B50="","",INDEX(_xlfn.ANCHORARRAY($BE$4),ROW()-4,2)),"")</f>
        <v/>
      </c>
      <c r="E50" s="806" t="str" cm="1">
        <f t="array" ref="E50">IFERROR(IF($B50="","",INDEX(_xlfn.ANCHORARRAY($BE$4),ROW()-4,3)),"")</f>
        <v/>
      </c>
      <c r="F50" s="822" t="str" cm="1">
        <f t="array" ref="F50">IFERROR(IF($B50="","",INDEX(_xlfn.ANCHORARRAY($BE$4),ROW()-4,4)),"")</f>
        <v/>
      </c>
      <c r="G50" s="823" t="str" cm="1">
        <f t="array" ref="G50">IFERROR(IF($B50="","",INDEX(_xlfn.ANCHORARRAY($BE$4),ROW()-4,5)),"")</f>
        <v/>
      </c>
      <c r="H50" s="824" t="str" cm="1">
        <f t="array" ref="H50">IF($CJ50="","",_xlfn.LET(_xlpm.v,_xlfn.XLOOKUP($CJ50,Equip_List,IF($CK50="E",Equip_EmLen,IF($CK50="P",Equip_XfPriLen,Equip_FdrLen)),""),IF(_xlpm.v="","",_xlpm.v)))</f>
        <v/>
      </c>
      <c r="I50" s="806" t="str">
        <f t="shared" si="0"/>
        <v/>
      </c>
      <c r="J50" s="820"/>
      <c r="K50" s="806" t="str">
        <f>_xlfn.LET(_xlpm.k,IF($I50="","",IF(COUNTIF(UPS!$B$57:$B$64,$C50&amp;"")&gt;0,1.25*MAX($I50,N(_xlfn.XLOOKUP($C50&amp;"",UPS!$B$57:$B$64,UPS!$M$57:$M$64,0))),IF(COUNTIF(UPS!$B$57:$B$64,$D50&amp;"")&gt;0,1.25*MAX($I50,N(_xlfn.XLOOKUP($D50&amp;"",UPS!$B$57:$B$64,UPS!$Q$57:$Q$64,0))),$I50*IF(OR(UPPER($J50)="Y",LEFT($C50,2)="T-",LEFT($D50,2)="T-"),1.25,1)))),IF(_xlpm.k="","",MAX(_xlpm.k,N(IFERROR(_xlfn.XLOOKUP($D50&amp;"",Dashboard!$A$101:$A$350,Dashboard!$O$101:$O$350,0),0)))))</f>
        <v/>
      </c>
      <c r="L50" s="825" t="str">
        <f>IF($CJ50="","",_xlfn.LET(_xlpm.v,UPPER(TRIM(_xlfn.XLOOKUP($CJ50,Equip_List,Equip_FdrMat,"")&amp;"")),IF(_xlpm.v="",UPPER(TRIM(Cfg_FeederMat&amp;"")),_xlpm.v)))</f>
        <v/>
      </c>
      <c r="M50" s="825" t="str">
        <f>IF($CJ50="","",_xlfn.LET(_xlpm.v,TRIM(_xlfn.XLOOKUP($CJ50,Equip_List,Equip_FdrRace,"")&amp;""),IF(_xlpm.v="",Cfg_Conduit&amp;"",_xlpm.v)))</f>
        <v/>
      </c>
      <c r="N50" s="825" t="str">
        <f>IF($CJ50="","",IF(UPPER(TRIM(_xlfn.XLOOKUP($CJ50,Equip_List,Equip_FdrExist,"")&amp;""))="Y","Y",""))</f>
        <v/>
      </c>
      <c r="O50" s="823" t="str">
        <f t="shared" si="8"/>
        <v/>
      </c>
      <c r="P50" s="821" t="str">
        <f t="shared" si="9"/>
        <v/>
      </c>
      <c r="Q50" s="821" t="str">
        <f t="shared" si="10"/>
        <v/>
      </c>
      <c r="R50" s="822" t="str" cm="1">
        <f t="array" ref="R50">IF(K50="","",INDEX(OCPD_List,MATCH(TRUE,OCPD_List&gt;=K50,0)))</f>
        <v/>
      </c>
      <c r="S50" s="821" t="str">
        <f t="shared" si="11"/>
        <v/>
      </c>
      <c r="T50" s="826" t="str">
        <f t="shared" si="1"/>
        <v/>
      </c>
      <c r="U50" s="826" t="str">
        <f t="shared" si="2"/>
        <v/>
      </c>
      <c r="V50" s="827" t="str">
        <f t="shared" si="3"/>
        <v/>
      </c>
      <c r="W50" s="828"/>
      <c r="X50" s="819"/>
      <c r="Y50" s="820"/>
      <c r="Z50" s="820"/>
      <c r="AA50" s="820"/>
      <c r="BN50" s="832" t="str">
        <f>IF($B50="","",IFERROR(_xlfn.XLOOKUP($D50,Dashboard!$A$101:$A$350,Dashboard!$C$101:$C$350),""))</f>
        <v/>
      </c>
      <c r="BO50" s="832" t="str">
        <f t="shared" si="4"/>
        <v/>
      </c>
      <c r="BP50" s="832" t="str" cm="1">
        <f t="array" ref="BP50">IF(OR($B50="",$R50="",NOT(ISNUMBER($R50))),"",IF(AND($BV50="AL",$G50=1),"",_xlfn.LET(_xlpm.codes,IF($BV50="AL",Std_Al3_Code,IF($G50=1,Std_Cu1_Code,Std_Cu3_Code)),_xlpm.amps,IFERROR(--SUBSTITUTE(_xlpm.codes&amp;"","N",""),""),_xlpm.a,MIN(IF(ISNUMBER(_xlpm.amps),IF(_xlpm.amps&gt;=$R50,_xlpm.amps,""),"")),_xlpm.k,IF(_xlpm.a=0,$R50,_xlpm.a),IF($BO50="Y",TEXT(_xlpm.k,"0")&amp;"N",_xlpm.k))))</f>
        <v/>
      </c>
      <c r="BQ50" s="832" t="str" cm="1">
        <f t="array" ref="BQ50">IF($BP50="","",IFERROR(IF($BV50="AL",_xlfn.XLOOKUP($BP50,Std_Al3_Code,INDEX(Std_Al3_Table,0,3)),IF($G50=1,_xlfn.XLOOKUP($BP50,Std_Cu1_Code,INDEX(Std_Cu1_Table,0,3)),_xlfn.XLOOKUP($BP50,Std_Cu3_Code,INDEX(Std_Cu3_Table,0,3)))),""))</f>
        <v/>
      </c>
      <c r="BR50" s="832" t="str" cm="1">
        <f t="array" ref="BR50">IF($BP50="","",IFERROR(IF($BV50="AL",_xlfn.XLOOKUP($BP50,Std_Al3_Code,INDEX(Std_Al3_Table,0,4)),IF($G50=1,_xlfn.XLOOKUP($BP50,Std_Cu1_Code,INDEX(Std_Cu1_Table,0,4)),_xlfn.XLOOKUP($BP50,Std_Cu3_Code,INDEX(Std_Cu3_Table,0,4)))),""))</f>
        <v/>
      </c>
      <c r="BS50" s="832" t="str" cm="1">
        <f t="array" ref="BS50">IF($BP50="","",IFERROR(IF($BV50="AL",_xlfn.XLOOKUP($BP50,Std_Al3_Code,INDEX(Std_Al3_Table,0,5)),IF($G50=1,_xlfn.XLOOKUP($BP50,Std_Cu1_Code,INDEX(Std_Cu1_Table,0,5)),_xlfn.XLOOKUP($BP50,Std_Cu3_Code,INDEX(Std_Cu3_Table,0,5)))),""))</f>
        <v/>
      </c>
      <c r="BT50" s="832" t="str">
        <f t="shared" si="5"/>
        <v/>
      </c>
      <c r="BU50" s="832" t="str" cm="1">
        <f t="array" ref="BU50">IF($BP50="","",IFERROR(IF($BV50="AL",_xlfn.XLOOKUP($BP50,Std_Al3_Code,INDEX(Std_Al3_Table,0,2)),IF($G50=1,_xlfn.XLOOKUP($BP50,Std_Cu1_Code,INDEX(Std_Cu1_Table,0,2)),_xlfn.XLOOKUP($BP50,Std_Cu3_Code,INDEX(Std_Cu3_Table,0,2)))),""))</f>
        <v/>
      </c>
      <c r="BV50" s="829" t="str">
        <f t="shared" si="6"/>
        <v/>
      </c>
      <c r="BW50" s="829" t="str">
        <f t="shared" si="12"/>
        <v/>
      </c>
      <c r="BX50" s="829" t="str" cm="1">
        <f t="array" ref="BX50">IF(OR($BP50="",$H50="",$I50="",$F50="",$BW50=""),"",IFERROR(_xlfn.LET(_xlpm.codes,IF($BV50="AL",Std_Al3_Code,IF($G50=1,Std_Cu1_Code,Std_Cu3_Code)),_xlpm.tbl,IF($BV50="AL",Std_Al3_Table,IF($G50=1,Std_Cu1_Table,Std_Cu3_Table)),_xlpm.i,MATCH($BP50,_xlpm.codes,0),_xlpm.idx,_xlfn.SEQUENCE(ROWS(_xlpm.codes)),_xlpm.cnd,INDEX(_xlpm.tbl,0,4),_xlpm.sts,INDEX(_xlpm.tbl,0,2),_xlpm.sz,IFERROR(_xlfn.TEXTBEFORE(_xlfn.TEXTAFTER(_xlpm.cnd,"#"),","),IFERROR(_xlfn.TEXTAFTER(_xlpm.cnd,"#"),"")),_xlpm.cm,IFERROR(_xlfn.XLOOKUP(TRIM(_xlpm.sz),Ampacity_Size,Ampacity_CM),0),_xlpm.mult,IF($G50=3,SQRT3,2),_xlpm.kk,IF($BV50="AL",K_Al,K_Cu),_xlpm.vd,IF(_xlpm.cm*IF(ISNUMBER(_xlpm.sts),_xlpm.sts,0)=0,9,_xlpm.mult*_xlpm.kk*$I50*$H50/(_xlpm.cm*_xlpm.sts)/$F50),_xlpm.hasN,--(RIGHT(_xlpm.codes&amp;"",1)="N"),_xlpm.wantN,--(RIGHT($BP50&amp;"",1)="N"),_xlpm.ok,(_xlpm.idx&gt;=_xlpm.i)*(_xlpm.vd&lt;=Cfg_VDFeeder)*(_xlpm.cm&gt;0)*ISNUMBER(_xlpm.sts)*(_xlpm.hasN=_xlpm.wantN),_xlpm.m,MIN(IF(_xlpm.ok=1,_xlpm.idx)),INDEX(_xlpm.codes,IF(_xlpm.m=0,_xlpm.i,_xlpm.m))),""))</f>
        <v/>
      </c>
      <c r="BY50" s="829" t="str" cm="1">
        <f t="array" ref="BY50">IF($BP50="","",IF($BX50="",$BU50,IFERROR(IF($BV50="AL",_xlfn.XLOOKUP($BX50,Std_Al3_Code,INDEX(Std_Al3_Table,0,2)),IF($G50=1,_xlfn.XLOOKUP($BX50,Std_Cu1_Code,INDEX(Std_Cu1_Table,0,2)),_xlfn.XLOOKUP($BX50,Std_Cu3_Code,INDEX(Std_Cu3_Table,0,2)))),"")))</f>
        <v/>
      </c>
      <c r="BZ50" s="829" t="str" cm="1">
        <f t="array" ref="BZ50">IF($BP50="","",IF($BX50="",$BR50,IFERROR(IF($BV50="AL",_xlfn.XLOOKUP($BX50,Std_Al3_Code,INDEX(Std_Al3_Table,0,4)),IF($G50=1,_xlfn.XLOOKUP($BX50,Std_Cu1_Code,INDEX(Std_Cu1_Table,0,4)),_xlfn.XLOOKUP($BX50,Std_Cu3_Code,INDEX(Std_Cu3_Table,0,4)))),"")))</f>
        <v/>
      </c>
      <c r="CA50" s="829" t="str" cm="1">
        <f t="array" ref="CA50">IF($BP50="","",IF($BX50="",$BQ50,IFERROR(IF($BV50="AL",_xlfn.XLOOKUP($BX50,Std_Al3_Code,INDEX(Std_Al3_Table,0,3)),IF($G50=1,_xlfn.XLOOKUP($BX50,Std_Cu1_Code,INDEX(Std_Cu1_Table,0,3)),_xlfn.XLOOKUP($BX50,Std_Cu3_Code,INDEX(Std_Cu3_Table,0,3)))),"")))</f>
        <v/>
      </c>
      <c r="CB50" s="829" t="str" cm="1">
        <f t="array" ref="CB50">IF($BP50="","",IF($BX50="",$BS50,IFERROR(IF($BV50="AL",_xlfn.XLOOKUP($BX50,Std_Al3_Code,INDEX(Std_Al3_Table,0,5)),IF($G50=1,_xlfn.XLOOKUP($BX50,Std_Cu1_Code,INDEX(Std_Cu1_Table,0,5)),_xlfn.XLOOKUP($BX50,Std_Cu3_Code,INDEX(Std_Cu3_Table,0,5)))),"")))</f>
        <v/>
      </c>
      <c r="CC50" s="829" t="str">
        <f t="shared" si="13"/>
        <v/>
      </c>
      <c r="CD50" s="829" t="str">
        <f t="shared" si="14"/>
        <v/>
      </c>
      <c r="CE50" s="829" t="str">
        <f t="shared" si="15"/>
        <v/>
      </c>
      <c r="CF50" s="829" t="str">
        <f t="shared" si="16"/>
        <v/>
      </c>
      <c r="CG50" s="829" t="str">
        <f t="shared" si="17"/>
        <v/>
      </c>
      <c r="CH50" s="829" t="str">
        <f t="shared" si="18"/>
        <v/>
      </c>
      <c r="CI50" s="829" t="str">
        <f t="shared" si="19"/>
        <v/>
      </c>
      <c r="CJ50" s="829" t="str" cm="1">
        <f t="array" ref="CJ50">IF($B50="","",_xlfn.LET(_xlpm.to,$D50&amp;"",_xlpm.em,IFERROR(INDEX(_xlfn.ANCHORARRAY($BE$4),ROW()-4,6),"")="EMERG",_xlpm.pri,AND(NOT(_xlpm.em),LEFT(_xlpm.to,2)="T-",ISNUMBER(MATCH(MID(_xlpm.to,3,99),Equip_List,0)),ISNA(MATCH(_xlpm.to,Equip_List,0))),IF(_xlpm.pri,MID(_xlpm.to,3,99),_xlpm.to)))</f>
        <v/>
      </c>
      <c r="CK50" s="829" t="str" cm="1">
        <f t="array" ref="CK50">IF($CJ50="","",IF(IFERROR(INDEX(_xlfn.ANCHORARRAY($BE$4),ROW()-4,6),"")="EMERG","E",IF($CJ50&lt;&gt;$D50&amp;"","P","N")))</f>
        <v/>
      </c>
    </row>
    <row r="51" spans="1:89" ht="15" customHeight="1" x14ac:dyDescent="0.35">
      <c r="A51" s="821" t="str">
        <f t="shared" si="7"/>
        <v/>
      </c>
      <c r="B51" s="821" t="str" cm="1">
        <f t="array" ref="B51">IFERROR(IF(INDEX(_xlfn.ANCHORARRAY($BE$4),ROW()-4,2)="","","F-"&amp;INDEX(_xlfn.ANCHORARRAY($BE$4),ROW()-4,2)&amp;IF(IFERROR(INDEX(_xlfn.ANCHORARRAY($BE$4),ROW()-4,6),"")="EMERG","-E","")),"")</f>
        <v/>
      </c>
      <c r="C51" s="821" t="str" cm="1">
        <f t="array" ref="C51">IFERROR(IF($B51="","",INDEX(_xlfn.ANCHORARRAY($BE$4),ROW()-4,1)),"")</f>
        <v/>
      </c>
      <c r="D51" s="821" t="str" cm="1">
        <f t="array" ref="D51">IFERROR(IF($B51="","",INDEX(_xlfn.ANCHORARRAY($BE$4),ROW()-4,2)),"")</f>
        <v/>
      </c>
      <c r="E51" s="806" t="str" cm="1">
        <f t="array" ref="E51">IFERROR(IF($B51="","",INDEX(_xlfn.ANCHORARRAY($BE$4),ROW()-4,3)),"")</f>
        <v/>
      </c>
      <c r="F51" s="822" t="str" cm="1">
        <f t="array" ref="F51">IFERROR(IF($B51="","",INDEX(_xlfn.ANCHORARRAY($BE$4),ROW()-4,4)),"")</f>
        <v/>
      </c>
      <c r="G51" s="823" t="str" cm="1">
        <f t="array" ref="G51">IFERROR(IF($B51="","",INDEX(_xlfn.ANCHORARRAY($BE$4),ROW()-4,5)),"")</f>
        <v/>
      </c>
      <c r="H51" s="824" t="str" cm="1">
        <f t="array" ref="H51">IF($CJ51="","",_xlfn.LET(_xlpm.v,_xlfn.XLOOKUP($CJ51,Equip_List,IF($CK51="E",Equip_EmLen,IF($CK51="P",Equip_XfPriLen,Equip_FdrLen)),""),IF(_xlpm.v="","",_xlpm.v)))</f>
        <v/>
      </c>
      <c r="I51" s="806" t="str">
        <f t="shared" si="0"/>
        <v/>
      </c>
      <c r="J51" s="820"/>
      <c r="K51" s="806" t="str">
        <f>_xlfn.LET(_xlpm.k,IF($I51="","",IF(COUNTIF(UPS!$B$57:$B$64,$C51&amp;"")&gt;0,1.25*MAX($I51,N(_xlfn.XLOOKUP($C51&amp;"",UPS!$B$57:$B$64,UPS!$M$57:$M$64,0))),IF(COUNTIF(UPS!$B$57:$B$64,$D51&amp;"")&gt;0,1.25*MAX($I51,N(_xlfn.XLOOKUP($D51&amp;"",UPS!$B$57:$B$64,UPS!$Q$57:$Q$64,0))),$I51*IF(OR(UPPER($J51)="Y",LEFT($C51,2)="T-",LEFT($D51,2)="T-"),1.25,1)))),IF(_xlpm.k="","",MAX(_xlpm.k,N(IFERROR(_xlfn.XLOOKUP($D51&amp;"",Dashboard!$A$101:$A$350,Dashboard!$O$101:$O$350,0),0)))))</f>
        <v/>
      </c>
      <c r="L51" s="825" t="str">
        <f>IF($CJ51="","",_xlfn.LET(_xlpm.v,UPPER(TRIM(_xlfn.XLOOKUP($CJ51,Equip_List,Equip_FdrMat,"")&amp;"")),IF(_xlpm.v="",UPPER(TRIM(Cfg_FeederMat&amp;"")),_xlpm.v)))</f>
        <v/>
      </c>
      <c r="M51" s="825" t="str">
        <f>IF($CJ51="","",_xlfn.LET(_xlpm.v,TRIM(_xlfn.XLOOKUP($CJ51,Equip_List,Equip_FdrRace,"")&amp;""),IF(_xlpm.v="",Cfg_Conduit&amp;"",_xlpm.v)))</f>
        <v/>
      </c>
      <c r="N51" s="825" t="str">
        <f>IF($CJ51="","",IF(UPPER(TRIM(_xlfn.XLOOKUP($CJ51,Equip_List,Equip_FdrExist,"")&amp;""))="Y","Y",""))</f>
        <v/>
      </c>
      <c r="O51" s="823" t="str">
        <f t="shared" si="8"/>
        <v/>
      </c>
      <c r="P51" s="821" t="str">
        <f t="shared" si="9"/>
        <v/>
      </c>
      <c r="Q51" s="821" t="str">
        <f t="shared" si="10"/>
        <v/>
      </c>
      <c r="R51" s="822" t="str" cm="1">
        <f t="array" ref="R51">IF(K51="","",INDEX(OCPD_List,MATCH(TRUE,OCPD_List&gt;=K51,0)))</f>
        <v/>
      </c>
      <c r="S51" s="821" t="str">
        <f t="shared" si="11"/>
        <v/>
      </c>
      <c r="T51" s="826" t="str">
        <f t="shared" si="1"/>
        <v/>
      </c>
      <c r="U51" s="826" t="str">
        <f t="shared" si="2"/>
        <v/>
      </c>
      <c r="V51" s="827" t="str">
        <f t="shared" si="3"/>
        <v/>
      </c>
      <c r="W51" s="828"/>
      <c r="X51" s="819"/>
      <c r="Y51" s="820"/>
      <c r="Z51" s="820"/>
      <c r="AA51" s="820"/>
      <c r="BN51" s="832" t="str">
        <f>IF($B51="","",IFERROR(_xlfn.XLOOKUP($D51,Dashboard!$A$101:$A$350,Dashboard!$C$101:$C$350),""))</f>
        <v/>
      </c>
      <c r="BO51" s="832" t="str">
        <f t="shared" si="4"/>
        <v/>
      </c>
      <c r="BP51" s="832" t="str" cm="1">
        <f t="array" ref="BP51">IF(OR($B51="",$R51="",NOT(ISNUMBER($R51))),"",IF(AND($BV51="AL",$G51=1),"",_xlfn.LET(_xlpm.codes,IF($BV51="AL",Std_Al3_Code,IF($G51=1,Std_Cu1_Code,Std_Cu3_Code)),_xlpm.amps,IFERROR(--SUBSTITUTE(_xlpm.codes&amp;"","N",""),""),_xlpm.a,MIN(IF(ISNUMBER(_xlpm.amps),IF(_xlpm.amps&gt;=$R51,_xlpm.amps,""),"")),_xlpm.k,IF(_xlpm.a=0,$R51,_xlpm.a),IF($BO51="Y",TEXT(_xlpm.k,"0")&amp;"N",_xlpm.k))))</f>
        <v/>
      </c>
      <c r="BQ51" s="832" t="str" cm="1">
        <f t="array" ref="BQ51">IF($BP51="","",IFERROR(IF($BV51="AL",_xlfn.XLOOKUP($BP51,Std_Al3_Code,INDEX(Std_Al3_Table,0,3)),IF($G51=1,_xlfn.XLOOKUP($BP51,Std_Cu1_Code,INDEX(Std_Cu1_Table,0,3)),_xlfn.XLOOKUP($BP51,Std_Cu3_Code,INDEX(Std_Cu3_Table,0,3)))),""))</f>
        <v/>
      </c>
      <c r="BR51" s="832" t="str" cm="1">
        <f t="array" ref="BR51">IF($BP51="","",IFERROR(IF($BV51="AL",_xlfn.XLOOKUP($BP51,Std_Al3_Code,INDEX(Std_Al3_Table,0,4)),IF($G51=1,_xlfn.XLOOKUP($BP51,Std_Cu1_Code,INDEX(Std_Cu1_Table,0,4)),_xlfn.XLOOKUP($BP51,Std_Cu3_Code,INDEX(Std_Cu3_Table,0,4)))),""))</f>
        <v/>
      </c>
      <c r="BS51" s="832" t="str" cm="1">
        <f t="array" ref="BS51">IF($BP51="","",IFERROR(IF($BV51="AL",_xlfn.XLOOKUP($BP51,Std_Al3_Code,INDEX(Std_Al3_Table,0,5)),IF($G51=1,_xlfn.XLOOKUP($BP51,Std_Cu1_Code,INDEX(Std_Cu1_Table,0,5)),_xlfn.XLOOKUP($BP51,Std_Cu3_Code,INDEX(Std_Cu3_Table,0,5)))),""))</f>
        <v/>
      </c>
      <c r="BT51" s="832" t="str">
        <f t="shared" si="5"/>
        <v/>
      </c>
      <c r="BU51" s="832" t="str" cm="1">
        <f t="array" ref="BU51">IF($BP51="","",IFERROR(IF($BV51="AL",_xlfn.XLOOKUP($BP51,Std_Al3_Code,INDEX(Std_Al3_Table,0,2)),IF($G51=1,_xlfn.XLOOKUP($BP51,Std_Cu1_Code,INDEX(Std_Cu1_Table,0,2)),_xlfn.XLOOKUP($BP51,Std_Cu3_Code,INDEX(Std_Cu3_Table,0,2)))),""))</f>
        <v/>
      </c>
      <c r="BV51" s="829" t="str">
        <f t="shared" si="6"/>
        <v/>
      </c>
      <c r="BW51" s="829" t="str">
        <f t="shared" si="12"/>
        <v/>
      </c>
      <c r="BX51" s="829" t="str" cm="1">
        <f t="array" ref="BX51">IF(OR($BP51="",$H51="",$I51="",$F51="",$BW51=""),"",IFERROR(_xlfn.LET(_xlpm.codes,IF($BV51="AL",Std_Al3_Code,IF($G51=1,Std_Cu1_Code,Std_Cu3_Code)),_xlpm.tbl,IF($BV51="AL",Std_Al3_Table,IF($G51=1,Std_Cu1_Table,Std_Cu3_Table)),_xlpm.i,MATCH($BP51,_xlpm.codes,0),_xlpm.idx,_xlfn.SEQUENCE(ROWS(_xlpm.codes)),_xlpm.cnd,INDEX(_xlpm.tbl,0,4),_xlpm.sts,INDEX(_xlpm.tbl,0,2),_xlpm.sz,IFERROR(_xlfn.TEXTBEFORE(_xlfn.TEXTAFTER(_xlpm.cnd,"#"),","),IFERROR(_xlfn.TEXTAFTER(_xlpm.cnd,"#"),"")),_xlpm.cm,IFERROR(_xlfn.XLOOKUP(TRIM(_xlpm.sz),Ampacity_Size,Ampacity_CM),0),_xlpm.mult,IF($G51=3,SQRT3,2),_xlpm.kk,IF($BV51="AL",K_Al,K_Cu),_xlpm.vd,IF(_xlpm.cm*IF(ISNUMBER(_xlpm.sts),_xlpm.sts,0)=0,9,_xlpm.mult*_xlpm.kk*$I51*$H51/(_xlpm.cm*_xlpm.sts)/$F51),_xlpm.hasN,--(RIGHT(_xlpm.codes&amp;"",1)="N"),_xlpm.wantN,--(RIGHT($BP51&amp;"",1)="N"),_xlpm.ok,(_xlpm.idx&gt;=_xlpm.i)*(_xlpm.vd&lt;=Cfg_VDFeeder)*(_xlpm.cm&gt;0)*ISNUMBER(_xlpm.sts)*(_xlpm.hasN=_xlpm.wantN),_xlpm.m,MIN(IF(_xlpm.ok=1,_xlpm.idx)),INDEX(_xlpm.codes,IF(_xlpm.m=0,_xlpm.i,_xlpm.m))),""))</f>
        <v/>
      </c>
      <c r="BY51" s="829" t="str" cm="1">
        <f t="array" ref="BY51">IF($BP51="","",IF($BX51="",$BU51,IFERROR(IF($BV51="AL",_xlfn.XLOOKUP($BX51,Std_Al3_Code,INDEX(Std_Al3_Table,0,2)),IF($G51=1,_xlfn.XLOOKUP($BX51,Std_Cu1_Code,INDEX(Std_Cu1_Table,0,2)),_xlfn.XLOOKUP($BX51,Std_Cu3_Code,INDEX(Std_Cu3_Table,0,2)))),"")))</f>
        <v/>
      </c>
      <c r="BZ51" s="829" t="str" cm="1">
        <f t="array" ref="BZ51">IF($BP51="","",IF($BX51="",$BR51,IFERROR(IF($BV51="AL",_xlfn.XLOOKUP($BX51,Std_Al3_Code,INDEX(Std_Al3_Table,0,4)),IF($G51=1,_xlfn.XLOOKUP($BX51,Std_Cu1_Code,INDEX(Std_Cu1_Table,0,4)),_xlfn.XLOOKUP($BX51,Std_Cu3_Code,INDEX(Std_Cu3_Table,0,4)))),"")))</f>
        <v/>
      </c>
      <c r="CA51" s="829" t="str" cm="1">
        <f t="array" ref="CA51">IF($BP51="","",IF($BX51="",$BQ51,IFERROR(IF($BV51="AL",_xlfn.XLOOKUP($BX51,Std_Al3_Code,INDEX(Std_Al3_Table,0,3)),IF($G51=1,_xlfn.XLOOKUP($BX51,Std_Cu1_Code,INDEX(Std_Cu1_Table,0,3)),_xlfn.XLOOKUP($BX51,Std_Cu3_Code,INDEX(Std_Cu3_Table,0,3)))),"")))</f>
        <v/>
      </c>
      <c r="CB51" s="829" t="str" cm="1">
        <f t="array" ref="CB51">IF($BP51="","",IF($BX51="",$BS51,IFERROR(IF($BV51="AL",_xlfn.XLOOKUP($BX51,Std_Al3_Code,INDEX(Std_Al3_Table,0,5)),IF($G51=1,_xlfn.XLOOKUP($BX51,Std_Cu1_Code,INDEX(Std_Cu1_Table,0,5)),_xlfn.XLOOKUP($BX51,Std_Cu3_Code,INDEX(Std_Cu3_Table,0,5)))),"")))</f>
        <v/>
      </c>
      <c r="CC51" s="829" t="str">
        <f t="shared" si="13"/>
        <v/>
      </c>
      <c r="CD51" s="829" t="str">
        <f t="shared" si="14"/>
        <v/>
      </c>
      <c r="CE51" s="829" t="str">
        <f t="shared" si="15"/>
        <v/>
      </c>
      <c r="CF51" s="829" t="str">
        <f t="shared" si="16"/>
        <v/>
      </c>
      <c r="CG51" s="829" t="str">
        <f t="shared" si="17"/>
        <v/>
      </c>
      <c r="CH51" s="829" t="str">
        <f t="shared" si="18"/>
        <v/>
      </c>
      <c r="CI51" s="829" t="str">
        <f t="shared" si="19"/>
        <v/>
      </c>
      <c r="CJ51" s="829" t="str" cm="1">
        <f t="array" ref="CJ51">IF($B51="","",_xlfn.LET(_xlpm.to,$D51&amp;"",_xlpm.em,IFERROR(INDEX(_xlfn.ANCHORARRAY($BE$4),ROW()-4,6),"")="EMERG",_xlpm.pri,AND(NOT(_xlpm.em),LEFT(_xlpm.to,2)="T-",ISNUMBER(MATCH(MID(_xlpm.to,3,99),Equip_List,0)),ISNA(MATCH(_xlpm.to,Equip_List,0))),IF(_xlpm.pri,MID(_xlpm.to,3,99),_xlpm.to)))</f>
        <v/>
      </c>
      <c r="CK51" s="829" t="str" cm="1">
        <f t="array" ref="CK51">IF($CJ51="","",IF(IFERROR(INDEX(_xlfn.ANCHORARRAY($BE$4),ROW()-4,6),"")="EMERG","E",IF($CJ51&lt;&gt;$D51&amp;"","P","N")))</f>
        <v/>
      </c>
    </row>
    <row r="52" spans="1:89" ht="15" customHeight="1" x14ac:dyDescent="0.35">
      <c r="A52" s="821" t="str">
        <f t="shared" si="7"/>
        <v/>
      </c>
      <c r="B52" s="821" t="str" cm="1">
        <f t="array" ref="B52">IFERROR(IF(INDEX(_xlfn.ANCHORARRAY($BE$4),ROW()-4,2)="","","F-"&amp;INDEX(_xlfn.ANCHORARRAY($BE$4),ROW()-4,2)&amp;IF(IFERROR(INDEX(_xlfn.ANCHORARRAY($BE$4),ROW()-4,6),"")="EMERG","-E","")),"")</f>
        <v/>
      </c>
      <c r="C52" s="821" t="str" cm="1">
        <f t="array" ref="C52">IFERROR(IF($B52="","",INDEX(_xlfn.ANCHORARRAY($BE$4),ROW()-4,1)),"")</f>
        <v/>
      </c>
      <c r="D52" s="821" t="str" cm="1">
        <f t="array" ref="D52">IFERROR(IF($B52="","",INDEX(_xlfn.ANCHORARRAY($BE$4),ROW()-4,2)),"")</f>
        <v/>
      </c>
      <c r="E52" s="806" t="str" cm="1">
        <f t="array" ref="E52">IFERROR(IF($B52="","",INDEX(_xlfn.ANCHORARRAY($BE$4),ROW()-4,3)),"")</f>
        <v/>
      </c>
      <c r="F52" s="822" t="str" cm="1">
        <f t="array" ref="F52">IFERROR(IF($B52="","",INDEX(_xlfn.ANCHORARRAY($BE$4),ROW()-4,4)),"")</f>
        <v/>
      </c>
      <c r="G52" s="823" t="str" cm="1">
        <f t="array" ref="G52">IFERROR(IF($B52="","",INDEX(_xlfn.ANCHORARRAY($BE$4),ROW()-4,5)),"")</f>
        <v/>
      </c>
      <c r="H52" s="824" t="str" cm="1">
        <f t="array" ref="H52">IF($CJ52="","",_xlfn.LET(_xlpm.v,_xlfn.XLOOKUP($CJ52,Equip_List,IF($CK52="E",Equip_EmLen,IF($CK52="P",Equip_XfPriLen,Equip_FdrLen)),""),IF(_xlpm.v="","",_xlpm.v)))</f>
        <v/>
      </c>
      <c r="I52" s="806" t="str">
        <f t="shared" si="0"/>
        <v/>
      </c>
      <c r="J52" s="820"/>
      <c r="K52" s="806" t="str">
        <f>_xlfn.LET(_xlpm.k,IF($I52="","",IF(COUNTIF(UPS!$B$57:$B$64,$C52&amp;"")&gt;0,1.25*MAX($I52,N(_xlfn.XLOOKUP($C52&amp;"",UPS!$B$57:$B$64,UPS!$M$57:$M$64,0))),IF(COUNTIF(UPS!$B$57:$B$64,$D52&amp;"")&gt;0,1.25*MAX($I52,N(_xlfn.XLOOKUP($D52&amp;"",UPS!$B$57:$B$64,UPS!$Q$57:$Q$64,0))),$I52*IF(OR(UPPER($J52)="Y",LEFT($C52,2)="T-",LEFT($D52,2)="T-"),1.25,1)))),IF(_xlpm.k="","",MAX(_xlpm.k,N(IFERROR(_xlfn.XLOOKUP($D52&amp;"",Dashboard!$A$101:$A$350,Dashboard!$O$101:$O$350,0),0)))))</f>
        <v/>
      </c>
      <c r="L52" s="825" t="str">
        <f>IF($CJ52="","",_xlfn.LET(_xlpm.v,UPPER(TRIM(_xlfn.XLOOKUP($CJ52,Equip_List,Equip_FdrMat,"")&amp;"")),IF(_xlpm.v="",UPPER(TRIM(Cfg_FeederMat&amp;"")),_xlpm.v)))</f>
        <v/>
      </c>
      <c r="M52" s="825" t="str">
        <f>IF($CJ52="","",_xlfn.LET(_xlpm.v,TRIM(_xlfn.XLOOKUP($CJ52,Equip_List,Equip_FdrRace,"")&amp;""),IF(_xlpm.v="",Cfg_Conduit&amp;"",_xlpm.v)))</f>
        <v/>
      </c>
      <c r="N52" s="825" t="str">
        <f>IF($CJ52="","",IF(UPPER(TRIM(_xlfn.XLOOKUP($CJ52,Equip_List,Equip_FdrExist,"")&amp;""))="Y","Y",""))</f>
        <v/>
      </c>
      <c r="O52" s="823" t="str">
        <f t="shared" si="8"/>
        <v/>
      </c>
      <c r="P52" s="821" t="str">
        <f t="shared" si="9"/>
        <v/>
      </c>
      <c r="Q52" s="821" t="str">
        <f t="shared" si="10"/>
        <v/>
      </c>
      <c r="R52" s="822" t="str" cm="1">
        <f t="array" ref="R52">IF(K52="","",INDEX(OCPD_List,MATCH(TRUE,OCPD_List&gt;=K52,0)))</f>
        <v/>
      </c>
      <c r="S52" s="821" t="str">
        <f t="shared" si="11"/>
        <v/>
      </c>
      <c r="T52" s="826" t="str">
        <f t="shared" si="1"/>
        <v/>
      </c>
      <c r="U52" s="826" t="str">
        <f t="shared" si="2"/>
        <v/>
      </c>
      <c r="V52" s="827" t="str">
        <f t="shared" si="3"/>
        <v/>
      </c>
      <c r="W52" s="828"/>
      <c r="X52" s="819"/>
      <c r="Y52" s="820"/>
      <c r="Z52" s="820"/>
      <c r="AA52" s="820"/>
      <c r="BN52" s="832" t="str">
        <f>IF($B52="","",IFERROR(_xlfn.XLOOKUP($D52,Dashboard!$A$101:$A$350,Dashboard!$C$101:$C$350),""))</f>
        <v/>
      </c>
      <c r="BO52" s="832" t="str">
        <f t="shared" si="4"/>
        <v/>
      </c>
      <c r="BP52" s="832" t="str" cm="1">
        <f t="array" ref="BP52">IF(OR($B52="",$R52="",NOT(ISNUMBER($R52))),"",IF(AND($BV52="AL",$G52=1),"",_xlfn.LET(_xlpm.codes,IF($BV52="AL",Std_Al3_Code,IF($G52=1,Std_Cu1_Code,Std_Cu3_Code)),_xlpm.amps,IFERROR(--SUBSTITUTE(_xlpm.codes&amp;"","N",""),""),_xlpm.a,MIN(IF(ISNUMBER(_xlpm.amps),IF(_xlpm.amps&gt;=$R52,_xlpm.amps,""),"")),_xlpm.k,IF(_xlpm.a=0,$R52,_xlpm.a),IF($BO52="Y",TEXT(_xlpm.k,"0")&amp;"N",_xlpm.k))))</f>
        <v/>
      </c>
      <c r="BQ52" s="832" t="str" cm="1">
        <f t="array" ref="BQ52">IF($BP52="","",IFERROR(IF($BV52="AL",_xlfn.XLOOKUP($BP52,Std_Al3_Code,INDEX(Std_Al3_Table,0,3)),IF($G52=1,_xlfn.XLOOKUP($BP52,Std_Cu1_Code,INDEX(Std_Cu1_Table,0,3)),_xlfn.XLOOKUP($BP52,Std_Cu3_Code,INDEX(Std_Cu3_Table,0,3)))),""))</f>
        <v/>
      </c>
      <c r="BR52" s="832" t="str" cm="1">
        <f t="array" ref="BR52">IF($BP52="","",IFERROR(IF($BV52="AL",_xlfn.XLOOKUP($BP52,Std_Al3_Code,INDEX(Std_Al3_Table,0,4)),IF($G52=1,_xlfn.XLOOKUP($BP52,Std_Cu1_Code,INDEX(Std_Cu1_Table,0,4)),_xlfn.XLOOKUP($BP52,Std_Cu3_Code,INDEX(Std_Cu3_Table,0,4)))),""))</f>
        <v/>
      </c>
      <c r="BS52" s="832" t="str" cm="1">
        <f t="array" ref="BS52">IF($BP52="","",IFERROR(IF($BV52="AL",_xlfn.XLOOKUP($BP52,Std_Al3_Code,INDEX(Std_Al3_Table,0,5)),IF($G52=1,_xlfn.XLOOKUP($BP52,Std_Cu1_Code,INDEX(Std_Cu1_Table,0,5)),_xlfn.XLOOKUP($BP52,Std_Cu3_Code,INDEX(Std_Cu3_Table,0,5)))),""))</f>
        <v/>
      </c>
      <c r="BT52" s="832" t="str">
        <f t="shared" si="5"/>
        <v/>
      </c>
      <c r="BU52" s="832" t="str" cm="1">
        <f t="array" ref="BU52">IF($BP52="","",IFERROR(IF($BV52="AL",_xlfn.XLOOKUP($BP52,Std_Al3_Code,INDEX(Std_Al3_Table,0,2)),IF($G52=1,_xlfn.XLOOKUP($BP52,Std_Cu1_Code,INDEX(Std_Cu1_Table,0,2)),_xlfn.XLOOKUP($BP52,Std_Cu3_Code,INDEX(Std_Cu3_Table,0,2)))),""))</f>
        <v/>
      </c>
      <c r="BV52" s="829" t="str">
        <f t="shared" si="6"/>
        <v/>
      </c>
      <c r="BW52" s="829" t="str">
        <f t="shared" si="12"/>
        <v/>
      </c>
      <c r="BX52" s="829" t="str" cm="1">
        <f t="array" ref="BX52">IF(OR($BP52="",$H52="",$I52="",$F52="",$BW52=""),"",IFERROR(_xlfn.LET(_xlpm.codes,IF($BV52="AL",Std_Al3_Code,IF($G52=1,Std_Cu1_Code,Std_Cu3_Code)),_xlpm.tbl,IF($BV52="AL",Std_Al3_Table,IF($G52=1,Std_Cu1_Table,Std_Cu3_Table)),_xlpm.i,MATCH($BP52,_xlpm.codes,0),_xlpm.idx,_xlfn.SEQUENCE(ROWS(_xlpm.codes)),_xlpm.cnd,INDEX(_xlpm.tbl,0,4),_xlpm.sts,INDEX(_xlpm.tbl,0,2),_xlpm.sz,IFERROR(_xlfn.TEXTBEFORE(_xlfn.TEXTAFTER(_xlpm.cnd,"#"),","),IFERROR(_xlfn.TEXTAFTER(_xlpm.cnd,"#"),"")),_xlpm.cm,IFERROR(_xlfn.XLOOKUP(TRIM(_xlpm.sz),Ampacity_Size,Ampacity_CM),0),_xlpm.mult,IF($G52=3,SQRT3,2),_xlpm.kk,IF($BV52="AL",K_Al,K_Cu),_xlpm.vd,IF(_xlpm.cm*IF(ISNUMBER(_xlpm.sts),_xlpm.sts,0)=0,9,_xlpm.mult*_xlpm.kk*$I52*$H52/(_xlpm.cm*_xlpm.sts)/$F52),_xlpm.hasN,--(RIGHT(_xlpm.codes&amp;"",1)="N"),_xlpm.wantN,--(RIGHT($BP52&amp;"",1)="N"),_xlpm.ok,(_xlpm.idx&gt;=_xlpm.i)*(_xlpm.vd&lt;=Cfg_VDFeeder)*(_xlpm.cm&gt;0)*ISNUMBER(_xlpm.sts)*(_xlpm.hasN=_xlpm.wantN),_xlpm.m,MIN(IF(_xlpm.ok=1,_xlpm.idx)),INDEX(_xlpm.codes,IF(_xlpm.m=0,_xlpm.i,_xlpm.m))),""))</f>
        <v/>
      </c>
      <c r="BY52" s="829" t="str" cm="1">
        <f t="array" ref="BY52">IF($BP52="","",IF($BX52="",$BU52,IFERROR(IF($BV52="AL",_xlfn.XLOOKUP($BX52,Std_Al3_Code,INDEX(Std_Al3_Table,0,2)),IF($G52=1,_xlfn.XLOOKUP($BX52,Std_Cu1_Code,INDEX(Std_Cu1_Table,0,2)),_xlfn.XLOOKUP($BX52,Std_Cu3_Code,INDEX(Std_Cu3_Table,0,2)))),"")))</f>
        <v/>
      </c>
      <c r="BZ52" s="829" t="str" cm="1">
        <f t="array" ref="BZ52">IF($BP52="","",IF($BX52="",$BR52,IFERROR(IF($BV52="AL",_xlfn.XLOOKUP($BX52,Std_Al3_Code,INDEX(Std_Al3_Table,0,4)),IF($G52=1,_xlfn.XLOOKUP($BX52,Std_Cu1_Code,INDEX(Std_Cu1_Table,0,4)),_xlfn.XLOOKUP($BX52,Std_Cu3_Code,INDEX(Std_Cu3_Table,0,4)))),"")))</f>
        <v/>
      </c>
      <c r="CA52" s="829" t="str" cm="1">
        <f t="array" ref="CA52">IF($BP52="","",IF($BX52="",$BQ52,IFERROR(IF($BV52="AL",_xlfn.XLOOKUP($BX52,Std_Al3_Code,INDEX(Std_Al3_Table,0,3)),IF($G52=1,_xlfn.XLOOKUP($BX52,Std_Cu1_Code,INDEX(Std_Cu1_Table,0,3)),_xlfn.XLOOKUP($BX52,Std_Cu3_Code,INDEX(Std_Cu3_Table,0,3)))),"")))</f>
        <v/>
      </c>
      <c r="CB52" s="829" t="str" cm="1">
        <f t="array" ref="CB52">IF($BP52="","",IF($BX52="",$BS52,IFERROR(IF($BV52="AL",_xlfn.XLOOKUP($BX52,Std_Al3_Code,INDEX(Std_Al3_Table,0,5)),IF($G52=1,_xlfn.XLOOKUP($BX52,Std_Cu1_Code,INDEX(Std_Cu1_Table,0,5)),_xlfn.XLOOKUP($BX52,Std_Cu3_Code,INDEX(Std_Cu3_Table,0,5)))),"")))</f>
        <v/>
      </c>
      <c r="CC52" s="829" t="str">
        <f t="shared" si="13"/>
        <v/>
      </c>
      <c r="CD52" s="829" t="str">
        <f t="shared" si="14"/>
        <v/>
      </c>
      <c r="CE52" s="829" t="str">
        <f t="shared" si="15"/>
        <v/>
      </c>
      <c r="CF52" s="829" t="str">
        <f t="shared" si="16"/>
        <v/>
      </c>
      <c r="CG52" s="829" t="str">
        <f t="shared" si="17"/>
        <v/>
      </c>
      <c r="CH52" s="829" t="str">
        <f t="shared" si="18"/>
        <v/>
      </c>
      <c r="CI52" s="829" t="str">
        <f t="shared" si="19"/>
        <v/>
      </c>
      <c r="CJ52" s="829" t="str" cm="1">
        <f t="array" ref="CJ52">IF($B52="","",_xlfn.LET(_xlpm.to,$D52&amp;"",_xlpm.em,IFERROR(INDEX(_xlfn.ANCHORARRAY($BE$4),ROW()-4,6),"")="EMERG",_xlpm.pri,AND(NOT(_xlpm.em),LEFT(_xlpm.to,2)="T-",ISNUMBER(MATCH(MID(_xlpm.to,3,99),Equip_List,0)),ISNA(MATCH(_xlpm.to,Equip_List,0))),IF(_xlpm.pri,MID(_xlpm.to,3,99),_xlpm.to)))</f>
        <v/>
      </c>
      <c r="CK52" s="829" t="str" cm="1">
        <f t="array" ref="CK52">IF($CJ52="","",IF(IFERROR(INDEX(_xlfn.ANCHORARRAY($BE$4),ROW()-4,6),"")="EMERG","E",IF($CJ52&lt;&gt;$D52&amp;"","P","N")))</f>
        <v/>
      </c>
    </row>
    <row r="53" spans="1:89" ht="15" customHeight="1" x14ac:dyDescent="0.35">
      <c r="A53" s="821" t="str">
        <f t="shared" si="7"/>
        <v/>
      </c>
      <c r="B53" s="821" t="str" cm="1">
        <f t="array" ref="B53">IFERROR(IF(INDEX(_xlfn.ANCHORARRAY($BE$4),ROW()-4,2)="","","F-"&amp;INDEX(_xlfn.ANCHORARRAY($BE$4),ROW()-4,2)&amp;IF(IFERROR(INDEX(_xlfn.ANCHORARRAY($BE$4),ROW()-4,6),"")="EMERG","-E","")),"")</f>
        <v/>
      </c>
      <c r="C53" s="821" t="str" cm="1">
        <f t="array" ref="C53">IFERROR(IF($B53="","",INDEX(_xlfn.ANCHORARRAY($BE$4),ROW()-4,1)),"")</f>
        <v/>
      </c>
      <c r="D53" s="821" t="str" cm="1">
        <f t="array" ref="D53">IFERROR(IF($B53="","",INDEX(_xlfn.ANCHORARRAY($BE$4),ROW()-4,2)),"")</f>
        <v/>
      </c>
      <c r="E53" s="806" t="str" cm="1">
        <f t="array" ref="E53">IFERROR(IF($B53="","",INDEX(_xlfn.ANCHORARRAY($BE$4),ROW()-4,3)),"")</f>
        <v/>
      </c>
      <c r="F53" s="822" t="str" cm="1">
        <f t="array" ref="F53">IFERROR(IF($B53="","",INDEX(_xlfn.ANCHORARRAY($BE$4),ROW()-4,4)),"")</f>
        <v/>
      </c>
      <c r="G53" s="823" t="str" cm="1">
        <f t="array" ref="G53">IFERROR(IF($B53="","",INDEX(_xlfn.ANCHORARRAY($BE$4),ROW()-4,5)),"")</f>
        <v/>
      </c>
      <c r="H53" s="824" t="str" cm="1">
        <f t="array" ref="H53">IF($CJ53="","",_xlfn.LET(_xlpm.v,_xlfn.XLOOKUP($CJ53,Equip_List,IF($CK53="E",Equip_EmLen,IF($CK53="P",Equip_XfPriLen,Equip_FdrLen)),""),IF(_xlpm.v="","",_xlpm.v)))</f>
        <v/>
      </c>
      <c r="I53" s="806" t="str">
        <f t="shared" si="0"/>
        <v/>
      </c>
      <c r="J53" s="820"/>
      <c r="K53" s="806" t="str">
        <f>_xlfn.LET(_xlpm.k,IF($I53="","",IF(COUNTIF(UPS!$B$57:$B$64,$C53&amp;"")&gt;0,1.25*MAX($I53,N(_xlfn.XLOOKUP($C53&amp;"",UPS!$B$57:$B$64,UPS!$M$57:$M$64,0))),IF(COUNTIF(UPS!$B$57:$B$64,$D53&amp;"")&gt;0,1.25*MAX($I53,N(_xlfn.XLOOKUP($D53&amp;"",UPS!$B$57:$B$64,UPS!$Q$57:$Q$64,0))),$I53*IF(OR(UPPER($J53)="Y",LEFT($C53,2)="T-",LEFT($D53,2)="T-"),1.25,1)))),IF(_xlpm.k="","",MAX(_xlpm.k,N(IFERROR(_xlfn.XLOOKUP($D53&amp;"",Dashboard!$A$101:$A$350,Dashboard!$O$101:$O$350,0),0)))))</f>
        <v/>
      </c>
      <c r="L53" s="825" t="str">
        <f>IF($CJ53="","",_xlfn.LET(_xlpm.v,UPPER(TRIM(_xlfn.XLOOKUP($CJ53,Equip_List,Equip_FdrMat,"")&amp;"")),IF(_xlpm.v="",UPPER(TRIM(Cfg_FeederMat&amp;"")),_xlpm.v)))</f>
        <v/>
      </c>
      <c r="M53" s="825" t="str">
        <f>IF($CJ53="","",_xlfn.LET(_xlpm.v,TRIM(_xlfn.XLOOKUP($CJ53,Equip_List,Equip_FdrRace,"")&amp;""),IF(_xlpm.v="",Cfg_Conduit&amp;"",_xlpm.v)))</f>
        <v/>
      </c>
      <c r="N53" s="825" t="str">
        <f>IF($CJ53="","",IF(UPPER(TRIM(_xlfn.XLOOKUP($CJ53,Equip_List,Equip_FdrExist,"")&amp;""))="Y","Y",""))</f>
        <v/>
      </c>
      <c r="O53" s="823" t="str">
        <f t="shared" si="8"/>
        <v/>
      </c>
      <c r="P53" s="821" t="str">
        <f t="shared" si="9"/>
        <v/>
      </c>
      <c r="Q53" s="821" t="str">
        <f t="shared" si="10"/>
        <v/>
      </c>
      <c r="R53" s="822" t="str" cm="1">
        <f t="array" ref="R53">IF(K53="","",INDEX(OCPD_List,MATCH(TRUE,OCPD_List&gt;=K53,0)))</f>
        <v/>
      </c>
      <c r="S53" s="821" t="str">
        <f t="shared" si="11"/>
        <v/>
      </c>
      <c r="T53" s="826" t="str">
        <f t="shared" si="1"/>
        <v/>
      </c>
      <c r="U53" s="826" t="str">
        <f t="shared" si="2"/>
        <v/>
      </c>
      <c r="V53" s="827" t="str">
        <f t="shared" si="3"/>
        <v/>
      </c>
      <c r="W53" s="828"/>
      <c r="X53" s="819"/>
      <c r="Y53" s="820"/>
      <c r="Z53" s="820"/>
      <c r="AA53" s="820"/>
      <c r="BN53" s="832" t="str">
        <f>IF($B53="","",IFERROR(_xlfn.XLOOKUP($D53,Dashboard!$A$101:$A$350,Dashboard!$C$101:$C$350),""))</f>
        <v/>
      </c>
      <c r="BO53" s="832" t="str">
        <f t="shared" si="4"/>
        <v/>
      </c>
      <c r="BP53" s="832" t="str" cm="1">
        <f t="array" ref="BP53">IF(OR($B53="",$R53="",NOT(ISNUMBER($R53))),"",IF(AND($BV53="AL",$G53=1),"",_xlfn.LET(_xlpm.codes,IF($BV53="AL",Std_Al3_Code,IF($G53=1,Std_Cu1_Code,Std_Cu3_Code)),_xlpm.amps,IFERROR(--SUBSTITUTE(_xlpm.codes&amp;"","N",""),""),_xlpm.a,MIN(IF(ISNUMBER(_xlpm.amps),IF(_xlpm.amps&gt;=$R53,_xlpm.amps,""),"")),_xlpm.k,IF(_xlpm.a=0,$R53,_xlpm.a),IF($BO53="Y",TEXT(_xlpm.k,"0")&amp;"N",_xlpm.k))))</f>
        <v/>
      </c>
      <c r="BQ53" s="832" t="str" cm="1">
        <f t="array" ref="BQ53">IF($BP53="","",IFERROR(IF($BV53="AL",_xlfn.XLOOKUP($BP53,Std_Al3_Code,INDEX(Std_Al3_Table,0,3)),IF($G53=1,_xlfn.XLOOKUP($BP53,Std_Cu1_Code,INDEX(Std_Cu1_Table,0,3)),_xlfn.XLOOKUP($BP53,Std_Cu3_Code,INDEX(Std_Cu3_Table,0,3)))),""))</f>
        <v/>
      </c>
      <c r="BR53" s="832" t="str" cm="1">
        <f t="array" ref="BR53">IF($BP53="","",IFERROR(IF($BV53="AL",_xlfn.XLOOKUP($BP53,Std_Al3_Code,INDEX(Std_Al3_Table,0,4)),IF($G53=1,_xlfn.XLOOKUP($BP53,Std_Cu1_Code,INDEX(Std_Cu1_Table,0,4)),_xlfn.XLOOKUP($BP53,Std_Cu3_Code,INDEX(Std_Cu3_Table,0,4)))),""))</f>
        <v/>
      </c>
      <c r="BS53" s="832" t="str" cm="1">
        <f t="array" ref="BS53">IF($BP53="","",IFERROR(IF($BV53="AL",_xlfn.XLOOKUP($BP53,Std_Al3_Code,INDEX(Std_Al3_Table,0,5)),IF($G53=1,_xlfn.XLOOKUP($BP53,Std_Cu1_Code,INDEX(Std_Cu1_Table,0,5)),_xlfn.XLOOKUP($BP53,Std_Cu3_Code,INDEX(Std_Cu3_Table,0,5)))),""))</f>
        <v/>
      </c>
      <c r="BT53" s="832" t="str">
        <f t="shared" si="5"/>
        <v/>
      </c>
      <c r="BU53" s="832" t="str" cm="1">
        <f t="array" ref="BU53">IF($BP53="","",IFERROR(IF($BV53="AL",_xlfn.XLOOKUP($BP53,Std_Al3_Code,INDEX(Std_Al3_Table,0,2)),IF($G53=1,_xlfn.XLOOKUP($BP53,Std_Cu1_Code,INDEX(Std_Cu1_Table,0,2)),_xlfn.XLOOKUP($BP53,Std_Cu3_Code,INDEX(Std_Cu3_Table,0,2)))),""))</f>
        <v/>
      </c>
      <c r="BV53" s="829" t="str">
        <f t="shared" si="6"/>
        <v/>
      </c>
      <c r="BW53" s="829" t="str">
        <f t="shared" si="12"/>
        <v/>
      </c>
      <c r="BX53" s="829" t="str" cm="1">
        <f t="array" ref="BX53">IF(OR($BP53="",$H53="",$I53="",$F53="",$BW53=""),"",IFERROR(_xlfn.LET(_xlpm.codes,IF($BV53="AL",Std_Al3_Code,IF($G53=1,Std_Cu1_Code,Std_Cu3_Code)),_xlpm.tbl,IF($BV53="AL",Std_Al3_Table,IF($G53=1,Std_Cu1_Table,Std_Cu3_Table)),_xlpm.i,MATCH($BP53,_xlpm.codes,0),_xlpm.idx,_xlfn.SEQUENCE(ROWS(_xlpm.codes)),_xlpm.cnd,INDEX(_xlpm.tbl,0,4),_xlpm.sts,INDEX(_xlpm.tbl,0,2),_xlpm.sz,IFERROR(_xlfn.TEXTBEFORE(_xlfn.TEXTAFTER(_xlpm.cnd,"#"),","),IFERROR(_xlfn.TEXTAFTER(_xlpm.cnd,"#"),"")),_xlpm.cm,IFERROR(_xlfn.XLOOKUP(TRIM(_xlpm.sz),Ampacity_Size,Ampacity_CM),0),_xlpm.mult,IF($G53=3,SQRT3,2),_xlpm.kk,IF($BV53="AL",K_Al,K_Cu),_xlpm.vd,IF(_xlpm.cm*IF(ISNUMBER(_xlpm.sts),_xlpm.sts,0)=0,9,_xlpm.mult*_xlpm.kk*$I53*$H53/(_xlpm.cm*_xlpm.sts)/$F53),_xlpm.hasN,--(RIGHT(_xlpm.codes&amp;"",1)="N"),_xlpm.wantN,--(RIGHT($BP53&amp;"",1)="N"),_xlpm.ok,(_xlpm.idx&gt;=_xlpm.i)*(_xlpm.vd&lt;=Cfg_VDFeeder)*(_xlpm.cm&gt;0)*ISNUMBER(_xlpm.sts)*(_xlpm.hasN=_xlpm.wantN),_xlpm.m,MIN(IF(_xlpm.ok=1,_xlpm.idx)),INDEX(_xlpm.codes,IF(_xlpm.m=0,_xlpm.i,_xlpm.m))),""))</f>
        <v/>
      </c>
      <c r="BY53" s="829" t="str" cm="1">
        <f t="array" ref="BY53">IF($BP53="","",IF($BX53="",$BU53,IFERROR(IF($BV53="AL",_xlfn.XLOOKUP($BX53,Std_Al3_Code,INDEX(Std_Al3_Table,0,2)),IF($G53=1,_xlfn.XLOOKUP($BX53,Std_Cu1_Code,INDEX(Std_Cu1_Table,0,2)),_xlfn.XLOOKUP($BX53,Std_Cu3_Code,INDEX(Std_Cu3_Table,0,2)))),"")))</f>
        <v/>
      </c>
      <c r="BZ53" s="829" t="str" cm="1">
        <f t="array" ref="BZ53">IF($BP53="","",IF($BX53="",$BR53,IFERROR(IF($BV53="AL",_xlfn.XLOOKUP($BX53,Std_Al3_Code,INDEX(Std_Al3_Table,0,4)),IF($G53=1,_xlfn.XLOOKUP($BX53,Std_Cu1_Code,INDEX(Std_Cu1_Table,0,4)),_xlfn.XLOOKUP($BX53,Std_Cu3_Code,INDEX(Std_Cu3_Table,0,4)))),"")))</f>
        <v/>
      </c>
      <c r="CA53" s="829" t="str" cm="1">
        <f t="array" ref="CA53">IF($BP53="","",IF($BX53="",$BQ53,IFERROR(IF($BV53="AL",_xlfn.XLOOKUP($BX53,Std_Al3_Code,INDEX(Std_Al3_Table,0,3)),IF($G53=1,_xlfn.XLOOKUP($BX53,Std_Cu1_Code,INDEX(Std_Cu1_Table,0,3)),_xlfn.XLOOKUP($BX53,Std_Cu3_Code,INDEX(Std_Cu3_Table,0,3)))),"")))</f>
        <v/>
      </c>
      <c r="CB53" s="829" t="str" cm="1">
        <f t="array" ref="CB53">IF($BP53="","",IF($BX53="",$BS53,IFERROR(IF($BV53="AL",_xlfn.XLOOKUP($BX53,Std_Al3_Code,INDEX(Std_Al3_Table,0,5)),IF($G53=1,_xlfn.XLOOKUP($BX53,Std_Cu1_Code,INDEX(Std_Cu1_Table,0,5)),_xlfn.XLOOKUP($BX53,Std_Cu3_Code,INDEX(Std_Cu3_Table,0,5)))),"")))</f>
        <v/>
      </c>
      <c r="CC53" s="829" t="str">
        <f t="shared" si="13"/>
        <v/>
      </c>
      <c r="CD53" s="829" t="str">
        <f t="shared" si="14"/>
        <v/>
      </c>
      <c r="CE53" s="829" t="str">
        <f t="shared" si="15"/>
        <v/>
      </c>
      <c r="CF53" s="829" t="str">
        <f t="shared" si="16"/>
        <v/>
      </c>
      <c r="CG53" s="829" t="str">
        <f t="shared" si="17"/>
        <v/>
      </c>
      <c r="CH53" s="829" t="str">
        <f t="shared" si="18"/>
        <v/>
      </c>
      <c r="CI53" s="829" t="str">
        <f t="shared" si="19"/>
        <v/>
      </c>
      <c r="CJ53" s="829" t="str" cm="1">
        <f t="array" ref="CJ53">IF($B53="","",_xlfn.LET(_xlpm.to,$D53&amp;"",_xlpm.em,IFERROR(INDEX(_xlfn.ANCHORARRAY($BE$4),ROW()-4,6),"")="EMERG",_xlpm.pri,AND(NOT(_xlpm.em),LEFT(_xlpm.to,2)="T-",ISNUMBER(MATCH(MID(_xlpm.to,3,99),Equip_List,0)),ISNA(MATCH(_xlpm.to,Equip_List,0))),IF(_xlpm.pri,MID(_xlpm.to,3,99),_xlpm.to)))</f>
        <v/>
      </c>
      <c r="CK53" s="829" t="str" cm="1">
        <f t="array" ref="CK53">IF($CJ53="","",IF(IFERROR(INDEX(_xlfn.ANCHORARRAY($BE$4),ROW()-4,6),"")="EMERG","E",IF($CJ53&lt;&gt;$D53&amp;"","P","N")))</f>
        <v/>
      </c>
    </row>
    <row r="54" spans="1:89" ht="15" customHeight="1" x14ac:dyDescent="0.35">
      <c r="A54" s="821" t="str">
        <f t="shared" si="7"/>
        <v/>
      </c>
      <c r="B54" s="821" t="str" cm="1">
        <f t="array" ref="B54">IFERROR(IF(INDEX(_xlfn.ANCHORARRAY($BE$4),ROW()-4,2)="","","F-"&amp;INDEX(_xlfn.ANCHORARRAY($BE$4),ROW()-4,2)&amp;IF(IFERROR(INDEX(_xlfn.ANCHORARRAY($BE$4),ROW()-4,6),"")="EMERG","-E","")),"")</f>
        <v/>
      </c>
      <c r="C54" s="821" t="str" cm="1">
        <f t="array" ref="C54">IFERROR(IF($B54="","",INDEX(_xlfn.ANCHORARRAY($BE$4),ROW()-4,1)),"")</f>
        <v/>
      </c>
      <c r="D54" s="821" t="str" cm="1">
        <f t="array" ref="D54">IFERROR(IF($B54="","",INDEX(_xlfn.ANCHORARRAY($BE$4),ROW()-4,2)),"")</f>
        <v/>
      </c>
      <c r="E54" s="806" t="str" cm="1">
        <f t="array" ref="E54">IFERROR(IF($B54="","",INDEX(_xlfn.ANCHORARRAY($BE$4),ROW()-4,3)),"")</f>
        <v/>
      </c>
      <c r="F54" s="822" t="str" cm="1">
        <f t="array" ref="F54">IFERROR(IF($B54="","",INDEX(_xlfn.ANCHORARRAY($BE$4),ROW()-4,4)),"")</f>
        <v/>
      </c>
      <c r="G54" s="823" t="str" cm="1">
        <f t="array" ref="G54">IFERROR(IF($B54="","",INDEX(_xlfn.ANCHORARRAY($BE$4),ROW()-4,5)),"")</f>
        <v/>
      </c>
      <c r="H54" s="824" t="str" cm="1">
        <f t="array" ref="H54">IF($CJ54="","",_xlfn.LET(_xlpm.v,_xlfn.XLOOKUP($CJ54,Equip_List,IF($CK54="E",Equip_EmLen,IF($CK54="P",Equip_XfPriLen,Equip_FdrLen)),""),IF(_xlpm.v="","",_xlpm.v)))</f>
        <v/>
      </c>
      <c r="I54" s="806" t="str">
        <f t="shared" si="0"/>
        <v/>
      </c>
      <c r="J54" s="820"/>
      <c r="K54" s="806" t="str">
        <f>_xlfn.LET(_xlpm.k,IF($I54="","",IF(COUNTIF(UPS!$B$57:$B$64,$C54&amp;"")&gt;0,1.25*MAX($I54,N(_xlfn.XLOOKUP($C54&amp;"",UPS!$B$57:$B$64,UPS!$M$57:$M$64,0))),IF(COUNTIF(UPS!$B$57:$B$64,$D54&amp;"")&gt;0,1.25*MAX($I54,N(_xlfn.XLOOKUP($D54&amp;"",UPS!$B$57:$B$64,UPS!$Q$57:$Q$64,0))),$I54*IF(OR(UPPER($J54)="Y",LEFT($C54,2)="T-",LEFT($D54,2)="T-"),1.25,1)))),IF(_xlpm.k="","",MAX(_xlpm.k,N(IFERROR(_xlfn.XLOOKUP($D54&amp;"",Dashboard!$A$101:$A$350,Dashboard!$O$101:$O$350,0),0)))))</f>
        <v/>
      </c>
      <c r="L54" s="825" t="str">
        <f>IF($CJ54="","",_xlfn.LET(_xlpm.v,UPPER(TRIM(_xlfn.XLOOKUP($CJ54,Equip_List,Equip_FdrMat,"")&amp;"")),IF(_xlpm.v="",UPPER(TRIM(Cfg_FeederMat&amp;"")),_xlpm.v)))</f>
        <v/>
      </c>
      <c r="M54" s="825" t="str">
        <f>IF($CJ54="","",_xlfn.LET(_xlpm.v,TRIM(_xlfn.XLOOKUP($CJ54,Equip_List,Equip_FdrRace,"")&amp;""),IF(_xlpm.v="",Cfg_Conduit&amp;"",_xlpm.v)))</f>
        <v/>
      </c>
      <c r="N54" s="825" t="str">
        <f>IF($CJ54="","",IF(UPPER(TRIM(_xlfn.XLOOKUP($CJ54,Equip_List,Equip_FdrExist,"")&amp;""))="Y","Y",""))</f>
        <v/>
      </c>
      <c r="O54" s="823" t="str">
        <f t="shared" si="8"/>
        <v/>
      </c>
      <c r="P54" s="821" t="str">
        <f t="shared" si="9"/>
        <v/>
      </c>
      <c r="Q54" s="821" t="str">
        <f t="shared" si="10"/>
        <v/>
      </c>
      <c r="R54" s="822" t="str" cm="1">
        <f t="array" ref="R54">IF(K54="","",INDEX(OCPD_List,MATCH(TRUE,OCPD_List&gt;=K54,0)))</f>
        <v/>
      </c>
      <c r="S54" s="821" t="str">
        <f t="shared" si="11"/>
        <v/>
      </c>
      <c r="T54" s="826" t="str">
        <f t="shared" si="1"/>
        <v/>
      </c>
      <c r="U54" s="826" t="str">
        <f t="shared" si="2"/>
        <v/>
      </c>
      <c r="V54" s="827" t="str">
        <f t="shared" si="3"/>
        <v/>
      </c>
      <c r="W54" s="828"/>
      <c r="X54" s="819"/>
      <c r="Y54" s="820"/>
      <c r="Z54" s="820"/>
      <c r="AA54" s="820"/>
      <c r="BN54" s="832" t="str">
        <f>IF($B54="","",IFERROR(_xlfn.XLOOKUP($D54,Dashboard!$A$101:$A$350,Dashboard!$C$101:$C$350),""))</f>
        <v/>
      </c>
      <c r="BO54" s="832" t="str">
        <f t="shared" si="4"/>
        <v/>
      </c>
      <c r="BP54" s="832" t="str" cm="1">
        <f t="array" ref="BP54">IF(OR($B54="",$R54="",NOT(ISNUMBER($R54))),"",IF(AND($BV54="AL",$G54=1),"",_xlfn.LET(_xlpm.codes,IF($BV54="AL",Std_Al3_Code,IF($G54=1,Std_Cu1_Code,Std_Cu3_Code)),_xlpm.amps,IFERROR(--SUBSTITUTE(_xlpm.codes&amp;"","N",""),""),_xlpm.a,MIN(IF(ISNUMBER(_xlpm.amps),IF(_xlpm.amps&gt;=$R54,_xlpm.amps,""),"")),_xlpm.k,IF(_xlpm.a=0,$R54,_xlpm.a),IF($BO54="Y",TEXT(_xlpm.k,"0")&amp;"N",_xlpm.k))))</f>
        <v/>
      </c>
      <c r="BQ54" s="832" t="str" cm="1">
        <f t="array" ref="BQ54">IF($BP54="","",IFERROR(IF($BV54="AL",_xlfn.XLOOKUP($BP54,Std_Al3_Code,INDEX(Std_Al3_Table,0,3)),IF($G54=1,_xlfn.XLOOKUP($BP54,Std_Cu1_Code,INDEX(Std_Cu1_Table,0,3)),_xlfn.XLOOKUP($BP54,Std_Cu3_Code,INDEX(Std_Cu3_Table,0,3)))),""))</f>
        <v/>
      </c>
      <c r="BR54" s="832" t="str" cm="1">
        <f t="array" ref="BR54">IF($BP54="","",IFERROR(IF($BV54="AL",_xlfn.XLOOKUP($BP54,Std_Al3_Code,INDEX(Std_Al3_Table,0,4)),IF($G54=1,_xlfn.XLOOKUP($BP54,Std_Cu1_Code,INDEX(Std_Cu1_Table,0,4)),_xlfn.XLOOKUP($BP54,Std_Cu3_Code,INDEX(Std_Cu3_Table,0,4)))),""))</f>
        <v/>
      </c>
      <c r="BS54" s="832" t="str" cm="1">
        <f t="array" ref="BS54">IF($BP54="","",IFERROR(IF($BV54="AL",_xlfn.XLOOKUP($BP54,Std_Al3_Code,INDEX(Std_Al3_Table,0,5)),IF($G54=1,_xlfn.XLOOKUP($BP54,Std_Cu1_Code,INDEX(Std_Cu1_Table,0,5)),_xlfn.XLOOKUP($BP54,Std_Cu3_Code,INDEX(Std_Cu3_Table,0,5)))),""))</f>
        <v/>
      </c>
      <c r="BT54" s="832" t="str">
        <f t="shared" si="5"/>
        <v/>
      </c>
      <c r="BU54" s="832" t="str" cm="1">
        <f t="array" ref="BU54">IF($BP54="","",IFERROR(IF($BV54="AL",_xlfn.XLOOKUP($BP54,Std_Al3_Code,INDEX(Std_Al3_Table,0,2)),IF($G54=1,_xlfn.XLOOKUP($BP54,Std_Cu1_Code,INDEX(Std_Cu1_Table,0,2)),_xlfn.XLOOKUP($BP54,Std_Cu3_Code,INDEX(Std_Cu3_Table,0,2)))),""))</f>
        <v/>
      </c>
      <c r="BV54" s="829" t="str">
        <f t="shared" si="6"/>
        <v/>
      </c>
      <c r="BW54" s="829" t="str">
        <f t="shared" si="12"/>
        <v/>
      </c>
      <c r="BX54" s="829" t="str" cm="1">
        <f t="array" ref="BX54">IF(OR($BP54="",$H54="",$I54="",$F54="",$BW54=""),"",IFERROR(_xlfn.LET(_xlpm.codes,IF($BV54="AL",Std_Al3_Code,IF($G54=1,Std_Cu1_Code,Std_Cu3_Code)),_xlpm.tbl,IF($BV54="AL",Std_Al3_Table,IF($G54=1,Std_Cu1_Table,Std_Cu3_Table)),_xlpm.i,MATCH($BP54,_xlpm.codes,0),_xlpm.idx,_xlfn.SEQUENCE(ROWS(_xlpm.codes)),_xlpm.cnd,INDEX(_xlpm.tbl,0,4),_xlpm.sts,INDEX(_xlpm.tbl,0,2),_xlpm.sz,IFERROR(_xlfn.TEXTBEFORE(_xlfn.TEXTAFTER(_xlpm.cnd,"#"),","),IFERROR(_xlfn.TEXTAFTER(_xlpm.cnd,"#"),"")),_xlpm.cm,IFERROR(_xlfn.XLOOKUP(TRIM(_xlpm.sz),Ampacity_Size,Ampacity_CM),0),_xlpm.mult,IF($G54=3,SQRT3,2),_xlpm.kk,IF($BV54="AL",K_Al,K_Cu),_xlpm.vd,IF(_xlpm.cm*IF(ISNUMBER(_xlpm.sts),_xlpm.sts,0)=0,9,_xlpm.mult*_xlpm.kk*$I54*$H54/(_xlpm.cm*_xlpm.sts)/$F54),_xlpm.hasN,--(RIGHT(_xlpm.codes&amp;"",1)="N"),_xlpm.wantN,--(RIGHT($BP54&amp;"",1)="N"),_xlpm.ok,(_xlpm.idx&gt;=_xlpm.i)*(_xlpm.vd&lt;=Cfg_VDFeeder)*(_xlpm.cm&gt;0)*ISNUMBER(_xlpm.sts)*(_xlpm.hasN=_xlpm.wantN),_xlpm.m,MIN(IF(_xlpm.ok=1,_xlpm.idx)),INDEX(_xlpm.codes,IF(_xlpm.m=0,_xlpm.i,_xlpm.m))),""))</f>
        <v/>
      </c>
      <c r="BY54" s="829" t="str" cm="1">
        <f t="array" ref="BY54">IF($BP54="","",IF($BX54="",$BU54,IFERROR(IF($BV54="AL",_xlfn.XLOOKUP($BX54,Std_Al3_Code,INDEX(Std_Al3_Table,0,2)),IF($G54=1,_xlfn.XLOOKUP($BX54,Std_Cu1_Code,INDEX(Std_Cu1_Table,0,2)),_xlfn.XLOOKUP($BX54,Std_Cu3_Code,INDEX(Std_Cu3_Table,0,2)))),"")))</f>
        <v/>
      </c>
      <c r="BZ54" s="829" t="str" cm="1">
        <f t="array" ref="BZ54">IF($BP54="","",IF($BX54="",$BR54,IFERROR(IF($BV54="AL",_xlfn.XLOOKUP($BX54,Std_Al3_Code,INDEX(Std_Al3_Table,0,4)),IF($G54=1,_xlfn.XLOOKUP($BX54,Std_Cu1_Code,INDEX(Std_Cu1_Table,0,4)),_xlfn.XLOOKUP($BX54,Std_Cu3_Code,INDEX(Std_Cu3_Table,0,4)))),"")))</f>
        <v/>
      </c>
      <c r="CA54" s="829" t="str" cm="1">
        <f t="array" ref="CA54">IF($BP54="","",IF($BX54="",$BQ54,IFERROR(IF($BV54="AL",_xlfn.XLOOKUP($BX54,Std_Al3_Code,INDEX(Std_Al3_Table,0,3)),IF($G54=1,_xlfn.XLOOKUP($BX54,Std_Cu1_Code,INDEX(Std_Cu1_Table,0,3)),_xlfn.XLOOKUP($BX54,Std_Cu3_Code,INDEX(Std_Cu3_Table,0,3)))),"")))</f>
        <v/>
      </c>
      <c r="CB54" s="829" t="str" cm="1">
        <f t="array" ref="CB54">IF($BP54="","",IF($BX54="",$BS54,IFERROR(IF($BV54="AL",_xlfn.XLOOKUP($BX54,Std_Al3_Code,INDEX(Std_Al3_Table,0,5)),IF($G54=1,_xlfn.XLOOKUP($BX54,Std_Cu1_Code,INDEX(Std_Cu1_Table,0,5)),_xlfn.XLOOKUP($BX54,Std_Cu3_Code,INDEX(Std_Cu3_Table,0,5)))),"")))</f>
        <v/>
      </c>
      <c r="CC54" s="829" t="str">
        <f t="shared" si="13"/>
        <v/>
      </c>
      <c r="CD54" s="829" t="str">
        <f t="shared" si="14"/>
        <v/>
      </c>
      <c r="CE54" s="829" t="str">
        <f t="shared" si="15"/>
        <v/>
      </c>
      <c r="CF54" s="829" t="str">
        <f t="shared" si="16"/>
        <v/>
      </c>
      <c r="CG54" s="829" t="str">
        <f t="shared" si="17"/>
        <v/>
      </c>
      <c r="CH54" s="829" t="str">
        <f t="shared" si="18"/>
        <v/>
      </c>
      <c r="CI54" s="829" t="str">
        <f t="shared" si="19"/>
        <v/>
      </c>
      <c r="CJ54" s="829" t="str" cm="1">
        <f t="array" ref="CJ54">IF($B54="","",_xlfn.LET(_xlpm.to,$D54&amp;"",_xlpm.em,IFERROR(INDEX(_xlfn.ANCHORARRAY($BE$4),ROW()-4,6),"")="EMERG",_xlpm.pri,AND(NOT(_xlpm.em),LEFT(_xlpm.to,2)="T-",ISNUMBER(MATCH(MID(_xlpm.to,3,99),Equip_List,0)),ISNA(MATCH(_xlpm.to,Equip_List,0))),IF(_xlpm.pri,MID(_xlpm.to,3,99),_xlpm.to)))</f>
        <v/>
      </c>
      <c r="CK54" s="829" t="str" cm="1">
        <f t="array" ref="CK54">IF($CJ54="","",IF(IFERROR(INDEX(_xlfn.ANCHORARRAY($BE$4),ROW()-4,6),"")="EMERG","E",IF($CJ54&lt;&gt;$D54&amp;"","P","N")))</f>
        <v/>
      </c>
    </row>
    <row r="55" spans="1:89" ht="15" customHeight="1" x14ac:dyDescent="0.35">
      <c r="A55" s="821" t="str">
        <f t="shared" si="7"/>
        <v/>
      </c>
      <c r="B55" s="821" t="str" cm="1">
        <f t="array" ref="B55">IFERROR(IF(INDEX(_xlfn.ANCHORARRAY($BE$4),ROW()-4,2)="","","F-"&amp;INDEX(_xlfn.ANCHORARRAY($BE$4),ROW()-4,2)&amp;IF(IFERROR(INDEX(_xlfn.ANCHORARRAY($BE$4),ROW()-4,6),"")="EMERG","-E","")),"")</f>
        <v/>
      </c>
      <c r="C55" s="821" t="str" cm="1">
        <f t="array" ref="C55">IFERROR(IF($B55="","",INDEX(_xlfn.ANCHORARRAY($BE$4),ROW()-4,1)),"")</f>
        <v/>
      </c>
      <c r="D55" s="821" t="str" cm="1">
        <f t="array" ref="D55">IFERROR(IF($B55="","",INDEX(_xlfn.ANCHORARRAY($BE$4),ROW()-4,2)),"")</f>
        <v/>
      </c>
      <c r="E55" s="806" t="str" cm="1">
        <f t="array" ref="E55">IFERROR(IF($B55="","",INDEX(_xlfn.ANCHORARRAY($BE$4),ROW()-4,3)),"")</f>
        <v/>
      </c>
      <c r="F55" s="822" t="str" cm="1">
        <f t="array" ref="F55">IFERROR(IF($B55="","",INDEX(_xlfn.ANCHORARRAY($BE$4),ROW()-4,4)),"")</f>
        <v/>
      </c>
      <c r="G55" s="823" t="str" cm="1">
        <f t="array" ref="G55">IFERROR(IF($B55="","",INDEX(_xlfn.ANCHORARRAY($BE$4),ROW()-4,5)),"")</f>
        <v/>
      </c>
      <c r="H55" s="824" t="str" cm="1">
        <f t="array" ref="H55">IF($CJ55="","",_xlfn.LET(_xlpm.v,_xlfn.XLOOKUP($CJ55,Equip_List,IF($CK55="E",Equip_EmLen,IF($CK55="P",Equip_XfPriLen,Equip_FdrLen)),""),IF(_xlpm.v="","",_xlpm.v)))</f>
        <v/>
      </c>
      <c r="I55" s="806" t="str">
        <f t="shared" si="0"/>
        <v/>
      </c>
      <c r="J55" s="820"/>
      <c r="K55" s="806" t="str">
        <f>_xlfn.LET(_xlpm.k,IF($I55="","",IF(COUNTIF(UPS!$B$57:$B$64,$C55&amp;"")&gt;0,1.25*MAX($I55,N(_xlfn.XLOOKUP($C55&amp;"",UPS!$B$57:$B$64,UPS!$M$57:$M$64,0))),IF(COUNTIF(UPS!$B$57:$B$64,$D55&amp;"")&gt;0,1.25*MAX($I55,N(_xlfn.XLOOKUP($D55&amp;"",UPS!$B$57:$B$64,UPS!$Q$57:$Q$64,0))),$I55*IF(OR(UPPER($J55)="Y",LEFT($C55,2)="T-",LEFT($D55,2)="T-"),1.25,1)))),IF(_xlpm.k="","",MAX(_xlpm.k,N(IFERROR(_xlfn.XLOOKUP($D55&amp;"",Dashboard!$A$101:$A$350,Dashboard!$O$101:$O$350,0),0)))))</f>
        <v/>
      </c>
      <c r="L55" s="825" t="str">
        <f>IF($CJ55="","",_xlfn.LET(_xlpm.v,UPPER(TRIM(_xlfn.XLOOKUP($CJ55,Equip_List,Equip_FdrMat,"")&amp;"")),IF(_xlpm.v="",UPPER(TRIM(Cfg_FeederMat&amp;"")),_xlpm.v)))</f>
        <v/>
      </c>
      <c r="M55" s="825" t="str">
        <f>IF($CJ55="","",_xlfn.LET(_xlpm.v,TRIM(_xlfn.XLOOKUP($CJ55,Equip_List,Equip_FdrRace,"")&amp;""),IF(_xlpm.v="",Cfg_Conduit&amp;"",_xlpm.v)))</f>
        <v/>
      </c>
      <c r="N55" s="825" t="str">
        <f>IF($CJ55="","",IF(UPPER(TRIM(_xlfn.XLOOKUP($CJ55,Equip_List,Equip_FdrExist,"")&amp;""))="Y","Y",""))</f>
        <v/>
      </c>
      <c r="O55" s="823" t="str">
        <f t="shared" si="8"/>
        <v/>
      </c>
      <c r="P55" s="821" t="str">
        <f t="shared" si="9"/>
        <v/>
      </c>
      <c r="Q55" s="821" t="str">
        <f t="shared" si="10"/>
        <v/>
      </c>
      <c r="R55" s="822" t="str" cm="1">
        <f t="array" ref="R55">IF(K55="","",INDEX(OCPD_List,MATCH(TRUE,OCPD_List&gt;=K55,0)))</f>
        <v/>
      </c>
      <c r="S55" s="821" t="str">
        <f t="shared" si="11"/>
        <v/>
      </c>
      <c r="T55" s="826" t="str">
        <f t="shared" si="1"/>
        <v/>
      </c>
      <c r="U55" s="826" t="str">
        <f t="shared" si="2"/>
        <v/>
      </c>
      <c r="V55" s="827" t="str">
        <f t="shared" si="3"/>
        <v/>
      </c>
      <c r="W55" s="828"/>
      <c r="X55" s="819"/>
      <c r="Y55" s="820"/>
      <c r="Z55" s="820"/>
      <c r="AA55" s="820"/>
      <c r="BN55" s="832" t="str">
        <f>IF($B55="","",IFERROR(_xlfn.XLOOKUP($D55,Dashboard!$A$101:$A$350,Dashboard!$C$101:$C$350),""))</f>
        <v/>
      </c>
      <c r="BO55" s="832" t="str">
        <f t="shared" si="4"/>
        <v/>
      </c>
      <c r="BP55" s="832" t="str" cm="1">
        <f t="array" ref="BP55">IF(OR($B55="",$R55="",NOT(ISNUMBER($R55))),"",IF(AND($BV55="AL",$G55=1),"",_xlfn.LET(_xlpm.codes,IF($BV55="AL",Std_Al3_Code,IF($G55=1,Std_Cu1_Code,Std_Cu3_Code)),_xlpm.amps,IFERROR(--SUBSTITUTE(_xlpm.codes&amp;"","N",""),""),_xlpm.a,MIN(IF(ISNUMBER(_xlpm.amps),IF(_xlpm.amps&gt;=$R55,_xlpm.amps,""),"")),_xlpm.k,IF(_xlpm.a=0,$R55,_xlpm.a),IF($BO55="Y",TEXT(_xlpm.k,"0")&amp;"N",_xlpm.k))))</f>
        <v/>
      </c>
      <c r="BQ55" s="832" t="str" cm="1">
        <f t="array" ref="BQ55">IF($BP55="","",IFERROR(IF($BV55="AL",_xlfn.XLOOKUP($BP55,Std_Al3_Code,INDEX(Std_Al3_Table,0,3)),IF($G55=1,_xlfn.XLOOKUP($BP55,Std_Cu1_Code,INDEX(Std_Cu1_Table,0,3)),_xlfn.XLOOKUP($BP55,Std_Cu3_Code,INDEX(Std_Cu3_Table,0,3)))),""))</f>
        <v/>
      </c>
      <c r="BR55" s="832" t="str" cm="1">
        <f t="array" ref="BR55">IF($BP55="","",IFERROR(IF($BV55="AL",_xlfn.XLOOKUP($BP55,Std_Al3_Code,INDEX(Std_Al3_Table,0,4)),IF($G55=1,_xlfn.XLOOKUP($BP55,Std_Cu1_Code,INDEX(Std_Cu1_Table,0,4)),_xlfn.XLOOKUP($BP55,Std_Cu3_Code,INDEX(Std_Cu3_Table,0,4)))),""))</f>
        <v/>
      </c>
      <c r="BS55" s="832" t="str" cm="1">
        <f t="array" ref="BS55">IF($BP55="","",IFERROR(IF($BV55="AL",_xlfn.XLOOKUP($BP55,Std_Al3_Code,INDEX(Std_Al3_Table,0,5)),IF($G55=1,_xlfn.XLOOKUP($BP55,Std_Cu1_Code,INDEX(Std_Cu1_Table,0,5)),_xlfn.XLOOKUP($BP55,Std_Cu3_Code,INDEX(Std_Cu3_Table,0,5)))),""))</f>
        <v/>
      </c>
      <c r="BT55" s="832" t="str">
        <f t="shared" si="5"/>
        <v/>
      </c>
      <c r="BU55" s="832" t="str" cm="1">
        <f t="array" ref="BU55">IF($BP55="","",IFERROR(IF($BV55="AL",_xlfn.XLOOKUP($BP55,Std_Al3_Code,INDEX(Std_Al3_Table,0,2)),IF($G55=1,_xlfn.XLOOKUP($BP55,Std_Cu1_Code,INDEX(Std_Cu1_Table,0,2)),_xlfn.XLOOKUP($BP55,Std_Cu3_Code,INDEX(Std_Cu3_Table,0,2)))),""))</f>
        <v/>
      </c>
      <c r="BV55" s="829" t="str">
        <f t="shared" si="6"/>
        <v/>
      </c>
      <c r="BW55" s="829" t="str">
        <f t="shared" si="12"/>
        <v/>
      </c>
      <c r="BX55" s="829" t="str" cm="1">
        <f t="array" ref="BX55">IF(OR($BP55="",$H55="",$I55="",$F55="",$BW55=""),"",IFERROR(_xlfn.LET(_xlpm.codes,IF($BV55="AL",Std_Al3_Code,IF($G55=1,Std_Cu1_Code,Std_Cu3_Code)),_xlpm.tbl,IF($BV55="AL",Std_Al3_Table,IF($G55=1,Std_Cu1_Table,Std_Cu3_Table)),_xlpm.i,MATCH($BP55,_xlpm.codes,0),_xlpm.idx,_xlfn.SEQUENCE(ROWS(_xlpm.codes)),_xlpm.cnd,INDEX(_xlpm.tbl,0,4),_xlpm.sts,INDEX(_xlpm.tbl,0,2),_xlpm.sz,IFERROR(_xlfn.TEXTBEFORE(_xlfn.TEXTAFTER(_xlpm.cnd,"#"),","),IFERROR(_xlfn.TEXTAFTER(_xlpm.cnd,"#"),"")),_xlpm.cm,IFERROR(_xlfn.XLOOKUP(TRIM(_xlpm.sz),Ampacity_Size,Ampacity_CM),0),_xlpm.mult,IF($G55=3,SQRT3,2),_xlpm.kk,IF($BV55="AL",K_Al,K_Cu),_xlpm.vd,IF(_xlpm.cm*IF(ISNUMBER(_xlpm.sts),_xlpm.sts,0)=0,9,_xlpm.mult*_xlpm.kk*$I55*$H55/(_xlpm.cm*_xlpm.sts)/$F55),_xlpm.hasN,--(RIGHT(_xlpm.codes&amp;"",1)="N"),_xlpm.wantN,--(RIGHT($BP55&amp;"",1)="N"),_xlpm.ok,(_xlpm.idx&gt;=_xlpm.i)*(_xlpm.vd&lt;=Cfg_VDFeeder)*(_xlpm.cm&gt;0)*ISNUMBER(_xlpm.sts)*(_xlpm.hasN=_xlpm.wantN),_xlpm.m,MIN(IF(_xlpm.ok=1,_xlpm.idx)),INDEX(_xlpm.codes,IF(_xlpm.m=0,_xlpm.i,_xlpm.m))),""))</f>
        <v/>
      </c>
      <c r="BY55" s="829" t="str" cm="1">
        <f t="array" ref="BY55">IF($BP55="","",IF($BX55="",$BU55,IFERROR(IF($BV55="AL",_xlfn.XLOOKUP($BX55,Std_Al3_Code,INDEX(Std_Al3_Table,0,2)),IF($G55=1,_xlfn.XLOOKUP($BX55,Std_Cu1_Code,INDEX(Std_Cu1_Table,0,2)),_xlfn.XLOOKUP($BX55,Std_Cu3_Code,INDEX(Std_Cu3_Table,0,2)))),"")))</f>
        <v/>
      </c>
      <c r="BZ55" s="829" t="str" cm="1">
        <f t="array" ref="BZ55">IF($BP55="","",IF($BX55="",$BR55,IFERROR(IF($BV55="AL",_xlfn.XLOOKUP($BX55,Std_Al3_Code,INDEX(Std_Al3_Table,0,4)),IF($G55=1,_xlfn.XLOOKUP($BX55,Std_Cu1_Code,INDEX(Std_Cu1_Table,0,4)),_xlfn.XLOOKUP($BX55,Std_Cu3_Code,INDEX(Std_Cu3_Table,0,4)))),"")))</f>
        <v/>
      </c>
      <c r="CA55" s="829" t="str" cm="1">
        <f t="array" ref="CA55">IF($BP55="","",IF($BX55="",$BQ55,IFERROR(IF($BV55="AL",_xlfn.XLOOKUP($BX55,Std_Al3_Code,INDEX(Std_Al3_Table,0,3)),IF($G55=1,_xlfn.XLOOKUP($BX55,Std_Cu1_Code,INDEX(Std_Cu1_Table,0,3)),_xlfn.XLOOKUP($BX55,Std_Cu3_Code,INDEX(Std_Cu3_Table,0,3)))),"")))</f>
        <v/>
      </c>
      <c r="CB55" s="829" t="str" cm="1">
        <f t="array" ref="CB55">IF($BP55="","",IF($BX55="",$BS55,IFERROR(IF($BV55="AL",_xlfn.XLOOKUP($BX55,Std_Al3_Code,INDEX(Std_Al3_Table,0,5)),IF($G55=1,_xlfn.XLOOKUP($BX55,Std_Cu1_Code,INDEX(Std_Cu1_Table,0,5)),_xlfn.XLOOKUP($BX55,Std_Cu3_Code,INDEX(Std_Cu3_Table,0,5)))),"")))</f>
        <v/>
      </c>
      <c r="CC55" s="829" t="str">
        <f t="shared" si="13"/>
        <v/>
      </c>
      <c r="CD55" s="829" t="str">
        <f t="shared" si="14"/>
        <v/>
      </c>
      <c r="CE55" s="829" t="str">
        <f t="shared" si="15"/>
        <v/>
      </c>
      <c r="CF55" s="829" t="str">
        <f t="shared" si="16"/>
        <v/>
      </c>
      <c r="CG55" s="829" t="str">
        <f t="shared" si="17"/>
        <v/>
      </c>
      <c r="CH55" s="829" t="str">
        <f t="shared" si="18"/>
        <v/>
      </c>
      <c r="CI55" s="829" t="str">
        <f t="shared" si="19"/>
        <v/>
      </c>
      <c r="CJ55" s="829" t="str" cm="1">
        <f t="array" ref="CJ55">IF($B55="","",_xlfn.LET(_xlpm.to,$D55&amp;"",_xlpm.em,IFERROR(INDEX(_xlfn.ANCHORARRAY($BE$4),ROW()-4,6),"")="EMERG",_xlpm.pri,AND(NOT(_xlpm.em),LEFT(_xlpm.to,2)="T-",ISNUMBER(MATCH(MID(_xlpm.to,3,99),Equip_List,0)),ISNA(MATCH(_xlpm.to,Equip_List,0))),IF(_xlpm.pri,MID(_xlpm.to,3,99),_xlpm.to)))</f>
        <v/>
      </c>
      <c r="CK55" s="829" t="str" cm="1">
        <f t="array" ref="CK55">IF($CJ55="","",IF(IFERROR(INDEX(_xlfn.ANCHORARRAY($BE$4),ROW()-4,6),"")="EMERG","E",IF($CJ55&lt;&gt;$D55&amp;"","P","N")))</f>
        <v/>
      </c>
    </row>
    <row r="56" spans="1:89" ht="15" customHeight="1" x14ac:dyDescent="0.35">
      <c r="A56" s="821" t="str">
        <f t="shared" si="7"/>
        <v/>
      </c>
      <c r="B56" s="821" t="str" cm="1">
        <f t="array" ref="B56">IFERROR(IF(INDEX(_xlfn.ANCHORARRAY($BE$4),ROW()-4,2)="","","F-"&amp;INDEX(_xlfn.ANCHORARRAY($BE$4),ROW()-4,2)&amp;IF(IFERROR(INDEX(_xlfn.ANCHORARRAY($BE$4),ROW()-4,6),"")="EMERG","-E","")),"")</f>
        <v/>
      </c>
      <c r="C56" s="821" t="str" cm="1">
        <f t="array" ref="C56">IFERROR(IF($B56="","",INDEX(_xlfn.ANCHORARRAY($BE$4),ROW()-4,1)),"")</f>
        <v/>
      </c>
      <c r="D56" s="821" t="str" cm="1">
        <f t="array" ref="D56">IFERROR(IF($B56="","",INDEX(_xlfn.ANCHORARRAY($BE$4),ROW()-4,2)),"")</f>
        <v/>
      </c>
      <c r="E56" s="806" t="str" cm="1">
        <f t="array" ref="E56">IFERROR(IF($B56="","",INDEX(_xlfn.ANCHORARRAY($BE$4),ROW()-4,3)),"")</f>
        <v/>
      </c>
      <c r="F56" s="822" t="str" cm="1">
        <f t="array" ref="F56">IFERROR(IF($B56="","",INDEX(_xlfn.ANCHORARRAY($BE$4),ROW()-4,4)),"")</f>
        <v/>
      </c>
      <c r="G56" s="823" t="str" cm="1">
        <f t="array" ref="G56">IFERROR(IF($B56="","",INDEX(_xlfn.ANCHORARRAY($BE$4),ROW()-4,5)),"")</f>
        <v/>
      </c>
      <c r="H56" s="824" t="str" cm="1">
        <f t="array" ref="H56">IF($CJ56="","",_xlfn.LET(_xlpm.v,_xlfn.XLOOKUP($CJ56,Equip_List,IF($CK56="E",Equip_EmLen,IF($CK56="P",Equip_XfPriLen,Equip_FdrLen)),""),IF(_xlpm.v="","",_xlpm.v)))</f>
        <v/>
      </c>
      <c r="I56" s="806" t="str">
        <f t="shared" si="0"/>
        <v/>
      </c>
      <c r="J56" s="820"/>
      <c r="K56" s="806" t="str">
        <f>_xlfn.LET(_xlpm.k,IF($I56="","",IF(COUNTIF(UPS!$B$57:$B$64,$C56&amp;"")&gt;0,1.25*MAX($I56,N(_xlfn.XLOOKUP($C56&amp;"",UPS!$B$57:$B$64,UPS!$M$57:$M$64,0))),IF(COUNTIF(UPS!$B$57:$B$64,$D56&amp;"")&gt;0,1.25*MAX($I56,N(_xlfn.XLOOKUP($D56&amp;"",UPS!$B$57:$B$64,UPS!$Q$57:$Q$64,0))),$I56*IF(OR(UPPER($J56)="Y",LEFT($C56,2)="T-",LEFT($D56,2)="T-"),1.25,1)))),IF(_xlpm.k="","",MAX(_xlpm.k,N(IFERROR(_xlfn.XLOOKUP($D56&amp;"",Dashboard!$A$101:$A$350,Dashboard!$O$101:$O$350,0),0)))))</f>
        <v/>
      </c>
      <c r="L56" s="825" t="str">
        <f>IF($CJ56="","",_xlfn.LET(_xlpm.v,UPPER(TRIM(_xlfn.XLOOKUP($CJ56,Equip_List,Equip_FdrMat,"")&amp;"")),IF(_xlpm.v="",UPPER(TRIM(Cfg_FeederMat&amp;"")),_xlpm.v)))</f>
        <v/>
      </c>
      <c r="M56" s="825" t="str">
        <f>IF($CJ56="","",_xlfn.LET(_xlpm.v,TRIM(_xlfn.XLOOKUP($CJ56,Equip_List,Equip_FdrRace,"")&amp;""),IF(_xlpm.v="",Cfg_Conduit&amp;"",_xlpm.v)))</f>
        <v/>
      </c>
      <c r="N56" s="825" t="str">
        <f>IF($CJ56="","",IF(UPPER(TRIM(_xlfn.XLOOKUP($CJ56,Equip_List,Equip_FdrExist,"")&amp;""))="Y","Y",""))</f>
        <v/>
      </c>
      <c r="O56" s="823" t="str">
        <f t="shared" si="8"/>
        <v/>
      </c>
      <c r="P56" s="821" t="str">
        <f t="shared" si="9"/>
        <v/>
      </c>
      <c r="Q56" s="821" t="str">
        <f t="shared" si="10"/>
        <v/>
      </c>
      <c r="R56" s="822" t="str" cm="1">
        <f t="array" ref="R56">IF(K56="","",INDEX(OCPD_List,MATCH(TRUE,OCPD_List&gt;=K56,0)))</f>
        <v/>
      </c>
      <c r="S56" s="821" t="str">
        <f t="shared" si="11"/>
        <v/>
      </c>
      <c r="T56" s="826" t="str">
        <f t="shared" si="1"/>
        <v/>
      </c>
      <c r="U56" s="826" t="str">
        <f t="shared" si="2"/>
        <v/>
      </c>
      <c r="V56" s="827" t="str">
        <f t="shared" si="3"/>
        <v/>
      </c>
      <c r="W56" s="828"/>
      <c r="X56" s="819"/>
      <c r="Y56" s="820"/>
      <c r="Z56" s="820"/>
      <c r="AA56" s="820"/>
      <c r="BN56" s="832" t="str">
        <f>IF($B56="","",IFERROR(_xlfn.XLOOKUP($D56,Dashboard!$A$101:$A$350,Dashboard!$C$101:$C$350),""))</f>
        <v/>
      </c>
      <c r="BO56" s="832" t="str">
        <f t="shared" si="4"/>
        <v/>
      </c>
      <c r="BP56" s="832" t="str" cm="1">
        <f t="array" ref="BP56">IF(OR($B56="",$R56="",NOT(ISNUMBER($R56))),"",IF(AND($BV56="AL",$G56=1),"",_xlfn.LET(_xlpm.codes,IF($BV56="AL",Std_Al3_Code,IF($G56=1,Std_Cu1_Code,Std_Cu3_Code)),_xlpm.amps,IFERROR(--SUBSTITUTE(_xlpm.codes&amp;"","N",""),""),_xlpm.a,MIN(IF(ISNUMBER(_xlpm.amps),IF(_xlpm.amps&gt;=$R56,_xlpm.amps,""),"")),_xlpm.k,IF(_xlpm.a=0,$R56,_xlpm.a),IF($BO56="Y",TEXT(_xlpm.k,"0")&amp;"N",_xlpm.k))))</f>
        <v/>
      </c>
      <c r="BQ56" s="832" t="str" cm="1">
        <f t="array" ref="BQ56">IF($BP56="","",IFERROR(IF($BV56="AL",_xlfn.XLOOKUP($BP56,Std_Al3_Code,INDEX(Std_Al3_Table,0,3)),IF($G56=1,_xlfn.XLOOKUP($BP56,Std_Cu1_Code,INDEX(Std_Cu1_Table,0,3)),_xlfn.XLOOKUP($BP56,Std_Cu3_Code,INDEX(Std_Cu3_Table,0,3)))),""))</f>
        <v/>
      </c>
      <c r="BR56" s="832" t="str" cm="1">
        <f t="array" ref="BR56">IF($BP56="","",IFERROR(IF($BV56="AL",_xlfn.XLOOKUP($BP56,Std_Al3_Code,INDEX(Std_Al3_Table,0,4)),IF($G56=1,_xlfn.XLOOKUP($BP56,Std_Cu1_Code,INDEX(Std_Cu1_Table,0,4)),_xlfn.XLOOKUP($BP56,Std_Cu3_Code,INDEX(Std_Cu3_Table,0,4)))),""))</f>
        <v/>
      </c>
      <c r="BS56" s="832" t="str" cm="1">
        <f t="array" ref="BS56">IF($BP56="","",IFERROR(IF($BV56="AL",_xlfn.XLOOKUP($BP56,Std_Al3_Code,INDEX(Std_Al3_Table,0,5)),IF($G56=1,_xlfn.XLOOKUP($BP56,Std_Cu1_Code,INDEX(Std_Cu1_Table,0,5)),_xlfn.XLOOKUP($BP56,Std_Cu3_Code,INDEX(Std_Cu3_Table,0,5)))),""))</f>
        <v/>
      </c>
      <c r="BT56" s="832" t="str">
        <f t="shared" si="5"/>
        <v/>
      </c>
      <c r="BU56" s="832" t="str" cm="1">
        <f t="array" ref="BU56">IF($BP56="","",IFERROR(IF($BV56="AL",_xlfn.XLOOKUP($BP56,Std_Al3_Code,INDEX(Std_Al3_Table,0,2)),IF($G56=1,_xlfn.XLOOKUP($BP56,Std_Cu1_Code,INDEX(Std_Cu1_Table,0,2)),_xlfn.XLOOKUP($BP56,Std_Cu3_Code,INDEX(Std_Cu3_Table,0,2)))),""))</f>
        <v/>
      </c>
      <c r="BV56" s="829" t="str">
        <f t="shared" si="6"/>
        <v/>
      </c>
      <c r="BW56" s="829" t="str">
        <f t="shared" si="12"/>
        <v/>
      </c>
      <c r="BX56" s="829" t="str" cm="1">
        <f t="array" ref="BX56">IF(OR($BP56="",$H56="",$I56="",$F56="",$BW56=""),"",IFERROR(_xlfn.LET(_xlpm.codes,IF($BV56="AL",Std_Al3_Code,IF($G56=1,Std_Cu1_Code,Std_Cu3_Code)),_xlpm.tbl,IF($BV56="AL",Std_Al3_Table,IF($G56=1,Std_Cu1_Table,Std_Cu3_Table)),_xlpm.i,MATCH($BP56,_xlpm.codes,0),_xlpm.idx,_xlfn.SEQUENCE(ROWS(_xlpm.codes)),_xlpm.cnd,INDEX(_xlpm.tbl,0,4),_xlpm.sts,INDEX(_xlpm.tbl,0,2),_xlpm.sz,IFERROR(_xlfn.TEXTBEFORE(_xlfn.TEXTAFTER(_xlpm.cnd,"#"),","),IFERROR(_xlfn.TEXTAFTER(_xlpm.cnd,"#"),"")),_xlpm.cm,IFERROR(_xlfn.XLOOKUP(TRIM(_xlpm.sz),Ampacity_Size,Ampacity_CM),0),_xlpm.mult,IF($G56=3,SQRT3,2),_xlpm.kk,IF($BV56="AL",K_Al,K_Cu),_xlpm.vd,IF(_xlpm.cm*IF(ISNUMBER(_xlpm.sts),_xlpm.sts,0)=0,9,_xlpm.mult*_xlpm.kk*$I56*$H56/(_xlpm.cm*_xlpm.sts)/$F56),_xlpm.hasN,--(RIGHT(_xlpm.codes&amp;"",1)="N"),_xlpm.wantN,--(RIGHT($BP56&amp;"",1)="N"),_xlpm.ok,(_xlpm.idx&gt;=_xlpm.i)*(_xlpm.vd&lt;=Cfg_VDFeeder)*(_xlpm.cm&gt;0)*ISNUMBER(_xlpm.sts)*(_xlpm.hasN=_xlpm.wantN),_xlpm.m,MIN(IF(_xlpm.ok=1,_xlpm.idx)),INDEX(_xlpm.codes,IF(_xlpm.m=0,_xlpm.i,_xlpm.m))),""))</f>
        <v/>
      </c>
      <c r="BY56" s="829" t="str" cm="1">
        <f t="array" ref="BY56">IF($BP56="","",IF($BX56="",$BU56,IFERROR(IF($BV56="AL",_xlfn.XLOOKUP($BX56,Std_Al3_Code,INDEX(Std_Al3_Table,0,2)),IF($G56=1,_xlfn.XLOOKUP($BX56,Std_Cu1_Code,INDEX(Std_Cu1_Table,0,2)),_xlfn.XLOOKUP($BX56,Std_Cu3_Code,INDEX(Std_Cu3_Table,0,2)))),"")))</f>
        <v/>
      </c>
      <c r="BZ56" s="829" t="str" cm="1">
        <f t="array" ref="BZ56">IF($BP56="","",IF($BX56="",$BR56,IFERROR(IF($BV56="AL",_xlfn.XLOOKUP($BX56,Std_Al3_Code,INDEX(Std_Al3_Table,0,4)),IF($G56=1,_xlfn.XLOOKUP($BX56,Std_Cu1_Code,INDEX(Std_Cu1_Table,0,4)),_xlfn.XLOOKUP($BX56,Std_Cu3_Code,INDEX(Std_Cu3_Table,0,4)))),"")))</f>
        <v/>
      </c>
      <c r="CA56" s="829" t="str" cm="1">
        <f t="array" ref="CA56">IF($BP56="","",IF($BX56="",$BQ56,IFERROR(IF($BV56="AL",_xlfn.XLOOKUP($BX56,Std_Al3_Code,INDEX(Std_Al3_Table,0,3)),IF($G56=1,_xlfn.XLOOKUP($BX56,Std_Cu1_Code,INDEX(Std_Cu1_Table,0,3)),_xlfn.XLOOKUP($BX56,Std_Cu3_Code,INDEX(Std_Cu3_Table,0,3)))),"")))</f>
        <v/>
      </c>
      <c r="CB56" s="829" t="str" cm="1">
        <f t="array" ref="CB56">IF($BP56="","",IF($BX56="",$BS56,IFERROR(IF($BV56="AL",_xlfn.XLOOKUP($BX56,Std_Al3_Code,INDEX(Std_Al3_Table,0,5)),IF($G56=1,_xlfn.XLOOKUP($BX56,Std_Cu1_Code,INDEX(Std_Cu1_Table,0,5)),_xlfn.XLOOKUP($BX56,Std_Cu3_Code,INDEX(Std_Cu3_Table,0,5)))),"")))</f>
        <v/>
      </c>
      <c r="CC56" s="829" t="str">
        <f t="shared" si="13"/>
        <v/>
      </c>
      <c r="CD56" s="829" t="str">
        <f t="shared" si="14"/>
        <v/>
      </c>
      <c r="CE56" s="829" t="str">
        <f t="shared" si="15"/>
        <v/>
      </c>
      <c r="CF56" s="829" t="str">
        <f t="shared" si="16"/>
        <v/>
      </c>
      <c r="CG56" s="829" t="str">
        <f t="shared" si="17"/>
        <v/>
      </c>
      <c r="CH56" s="829" t="str">
        <f t="shared" si="18"/>
        <v/>
      </c>
      <c r="CI56" s="829" t="str">
        <f t="shared" si="19"/>
        <v/>
      </c>
      <c r="CJ56" s="829" t="str" cm="1">
        <f t="array" ref="CJ56">IF($B56="","",_xlfn.LET(_xlpm.to,$D56&amp;"",_xlpm.em,IFERROR(INDEX(_xlfn.ANCHORARRAY($BE$4),ROW()-4,6),"")="EMERG",_xlpm.pri,AND(NOT(_xlpm.em),LEFT(_xlpm.to,2)="T-",ISNUMBER(MATCH(MID(_xlpm.to,3,99),Equip_List,0)),ISNA(MATCH(_xlpm.to,Equip_List,0))),IF(_xlpm.pri,MID(_xlpm.to,3,99),_xlpm.to)))</f>
        <v/>
      </c>
      <c r="CK56" s="829" t="str" cm="1">
        <f t="array" ref="CK56">IF($CJ56="","",IF(IFERROR(INDEX(_xlfn.ANCHORARRAY($BE$4),ROW()-4,6),"")="EMERG","E",IF($CJ56&lt;&gt;$D56&amp;"","P","N")))</f>
        <v/>
      </c>
    </row>
    <row r="57" spans="1:89" ht="15" customHeight="1" x14ac:dyDescent="0.35">
      <c r="A57" s="821" t="str">
        <f t="shared" si="7"/>
        <v/>
      </c>
      <c r="B57" s="821" t="str" cm="1">
        <f t="array" ref="B57">IFERROR(IF(INDEX(_xlfn.ANCHORARRAY($BE$4),ROW()-4,2)="","","F-"&amp;INDEX(_xlfn.ANCHORARRAY($BE$4),ROW()-4,2)&amp;IF(IFERROR(INDEX(_xlfn.ANCHORARRAY($BE$4),ROW()-4,6),"")="EMERG","-E","")),"")</f>
        <v/>
      </c>
      <c r="C57" s="821" t="str" cm="1">
        <f t="array" ref="C57">IFERROR(IF($B57="","",INDEX(_xlfn.ANCHORARRAY($BE$4),ROW()-4,1)),"")</f>
        <v/>
      </c>
      <c r="D57" s="821" t="str" cm="1">
        <f t="array" ref="D57">IFERROR(IF($B57="","",INDEX(_xlfn.ANCHORARRAY($BE$4),ROW()-4,2)),"")</f>
        <v/>
      </c>
      <c r="E57" s="806" t="str" cm="1">
        <f t="array" ref="E57">IFERROR(IF($B57="","",INDEX(_xlfn.ANCHORARRAY($BE$4),ROW()-4,3)),"")</f>
        <v/>
      </c>
      <c r="F57" s="822" t="str" cm="1">
        <f t="array" ref="F57">IFERROR(IF($B57="","",INDEX(_xlfn.ANCHORARRAY($BE$4),ROW()-4,4)),"")</f>
        <v/>
      </c>
      <c r="G57" s="823" t="str" cm="1">
        <f t="array" ref="G57">IFERROR(IF($B57="","",INDEX(_xlfn.ANCHORARRAY($BE$4),ROW()-4,5)),"")</f>
        <v/>
      </c>
      <c r="H57" s="824" t="str" cm="1">
        <f t="array" ref="H57">IF($CJ57="","",_xlfn.LET(_xlpm.v,_xlfn.XLOOKUP($CJ57,Equip_List,IF($CK57="E",Equip_EmLen,IF($CK57="P",Equip_XfPriLen,Equip_FdrLen)),""),IF(_xlpm.v="","",_xlpm.v)))</f>
        <v/>
      </c>
      <c r="I57" s="806" t="str">
        <f t="shared" si="0"/>
        <v/>
      </c>
      <c r="J57" s="820"/>
      <c r="K57" s="806" t="str">
        <f>_xlfn.LET(_xlpm.k,IF($I57="","",IF(COUNTIF(UPS!$B$57:$B$64,$C57&amp;"")&gt;0,1.25*MAX($I57,N(_xlfn.XLOOKUP($C57&amp;"",UPS!$B$57:$B$64,UPS!$M$57:$M$64,0))),IF(COUNTIF(UPS!$B$57:$B$64,$D57&amp;"")&gt;0,1.25*MAX($I57,N(_xlfn.XLOOKUP($D57&amp;"",UPS!$B$57:$B$64,UPS!$Q$57:$Q$64,0))),$I57*IF(OR(UPPER($J57)="Y",LEFT($C57,2)="T-",LEFT($D57,2)="T-"),1.25,1)))),IF(_xlpm.k="","",MAX(_xlpm.k,N(IFERROR(_xlfn.XLOOKUP($D57&amp;"",Dashboard!$A$101:$A$350,Dashboard!$O$101:$O$350,0),0)))))</f>
        <v/>
      </c>
      <c r="L57" s="825" t="str">
        <f>IF($CJ57="","",_xlfn.LET(_xlpm.v,UPPER(TRIM(_xlfn.XLOOKUP($CJ57,Equip_List,Equip_FdrMat,"")&amp;"")),IF(_xlpm.v="",UPPER(TRIM(Cfg_FeederMat&amp;"")),_xlpm.v)))</f>
        <v/>
      </c>
      <c r="M57" s="825" t="str">
        <f>IF($CJ57="","",_xlfn.LET(_xlpm.v,TRIM(_xlfn.XLOOKUP($CJ57,Equip_List,Equip_FdrRace,"")&amp;""),IF(_xlpm.v="",Cfg_Conduit&amp;"",_xlpm.v)))</f>
        <v/>
      </c>
      <c r="N57" s="825" t="str">
        <f>IF($CJ57="","",IF(UPPER(TRIM(_xlfn.XLOOKUP($CJ57,Equip_List,Equip_FdrExist,"")&amp;""))="Y","Y",""))</f>
        <v/>
      </c>
      <c r="O57" s="823" t="str">
        <f t="shared" si="8"/>
        <v/>
      </c>
      <c r="P57" s="821" t="str">
        <f t="shared" si="9"/>
        <v/>
      </c>
      <c r="Q57" s="821" t="str">
        <f t="shared" si="10"/>
        <v/>
      </c>
      <c r="R57" s="822" t="str" cm="1">
        <f t="array" ref="R57">IF(K57="","",INDEX(OCPD_List,MATCH(TRUE,OCPD_List&gt;=K57,0)))</f>
        <v/>
      </c>
      <c r="S57" s="821" t="str">
        <f t="shared" si="11"/>
        <v/>
      </c>
      <c r="T57" s="826" t="str">
        <f t="shared" si="1"/>
        <v/>
      </c>
      <c r="U57" s="826" t="str">
        <f t="shared" si="2"/>
        <v/>
      </c>
      <c r="V57" s="827" t="str">
        <f t="shared" si="3"/>
        <v/>
      </c>
      <c r="W57" s="828"/>
      <c r="X57" s="819"/>
      <c r="Y57" s="820"/>
      <c r="Z57" s="820"/>
      <c r="AA57" s="820"/>
      <c r="BN57" s="832" t="str">
        <f>IF($B57="","",IFERROR(_xlfn.XLOOKUP($D57,Dashboard!$A$101:$A$350,Dashboard!$C$101:$C$350),""))</f>
        <v/>
      </c>
      <c r="BO57" s="832" t="str">
        <f t="shared" si="4"/>
        <v/>
      </c>
      <c r="BP57" s="832" t="str" cm="1">
        <f t="array" ref="BP57">IF(OR($B57="",$R57="",NOT(ISNUMBER($R57))),"",IF(AND($BV57="AL",$G57=1),"",_xlfn.LET(_xlpm.codes,IF($BV57="AL",Std_Al3_Code,IF($G57=1,Std_Cu1_Code,Std_Cu3_Code)),_xlpm.amps,IFERROR(--SUBSTITUTE(_xlpm.codes&amp;"","N",""),""),_xlpm.a,MIN(IF(ISNUMBER(_xlpm.amps),IF(_xlpm.amps&gt;=$R57,_xlpm.amps,""),"")),_xlpm.k,IF(_xlpm.a=0,$R57,_xlpm.a),IF($BO57="Y",TEXT(_xlpm.k,"0")&amp;"N",_xlpm.k))))</f>
        <v/>
      </c>
      <c r="BQ57" s="832" t="str" cm="1">
        <f t="array" ref="BQ57">IF($BP57="","",IFERROR(IF($BV57="AL",_xlfn.XLOOKUP($BP57,Std_Al3_Code,INDEX(Std_Al3_Table,0,3)),IF($G57=1,_xlfn.XLOOKUP($BP57,Std_Cu1_Code,INDEX(Std_Cu1_Table,0,3)),_xlfn.XLOOKUP($BP57,Std_Cu3_Code,INDEX(Std_Cu3_Table,0,3)))),""))</f>
        <v/>
      </c>
      <c r="BR57" s="832" t="str" cm="1">
        <f t="array" ref="BR57">IF($BP57="","",IFERROR(IF($BV57="AL",_xlfn.XLOOKUP($BP57,Std_Al3_Code,INDEX(Std_Al3_Table,0,4)),IF($G57=1,_xlfn.XLOOKUP($BP57,Std_Cu1_Code,INDEX(Std_Cu1_Table,0,4)),_xlfn.XLOOKUP($BP57,Std_Cu3_Code,INDEX(Std_Cu3_Table,0,4)))),""))</f>
        <v/>
      </c>
      <c r="BS57" s="832" t="str" cm="1">
        <f t="array" ref="BS57">IF($BP57="","",IFERROR(IF($BV57="AL",_xlfn.XLOOKUP($BP57,Std_Al3_Code,INDEX(Std_Al3_Table,0,5)),IF($G57=1,_xlfn.XLOOKUP($BP57,Std_Cu1_Code,INDEX(Std_Cu1_Table,0,5)),_xlfn.XLOOKUP($BP57,Std_Cu3_Code,INDEX(Std_Cu3_Table,0,5)))),""))</f>
        <v/>
      </c>
      <c r="BT57" s="832" t="str">
        <f t="shared" si="5"/>
        <v/>
      </c>
      <c r="BU57" s="832" t="str" cm="1">
        <f t="array" ref="BU57">IF($BP57="","",IFERROR(IF($BV57="AL",_xlfn.XLOOKUP($BP57,Std_Al3_Code,INDEX(Std_Al3_Table,0,2)),IF($G57=1,_xlfn.XLOOKUP($BP57,Std_Cu1_Code,INDEX(Std_Cu1_Table,0,2)),_xlfn.XLOOKUP($BP57,Std_Cu3_Code,INDEX(Std_Cu3_Table,0,2)))),""))</f>
        <v/>
      </c>
      <c r="BV57" s="829" t="str">
        <f t="shared" si="6"/>
        <v/>
      </c>
      <c r="BW57" s="829" t="str">
        <f t="shared" si="12"/>
        <v/>
      </c>
      <c r="BX57" s="829" t="str" cm="1">
        <f t="array" ref="BX57">IF(OR($BP57="",$H57="",$I57="",$F57="",$BW57=""),"",IFERROR(_xlfn.LET(_xlpm.codes,IF($BV57="AL",Std_Al3_Code,IF($G57=1,Std_Cu1_Code,Std_Cu3_Code)),_xlpm.tbl,IF($BV57="AL",Std_Al3_Table,IF($G57=1,Std_Cu1_Table,Std_Cu3_Table)),_xlpm.i,MATCH($BP57,_xlpm.codes,0),_xlpm.idx,_xlfn.SEQUENCE(ROWS(_xlpm.codes)),_xlpm.cnd,INDEX(_xlpm.tbl,0,4),_xlpm.sts,INDEX(_xlpm.tbl,0,2),_xlpm.sz,IFERROR(_xlfn.TEXTBEFORE(_xlfn.TEXTAFTER(_xlpm.cnd,"#"),","),IFERROR(_xlfn.TEXTAFTER(_xlpm.cnd,"#"),"")),_xlpm.cm,IFERROR(_xlfn.XLOOKUP(TRIM(_xlpm.sz),Ampacity_Size,Ampacity_CM),0),_xlpm.mult,IF($G57=3,SQRT3,2),_xlpm.kk,IF($BV57="AL",K_Al,K_Cu),_xlpm.vd,IF(_xlpm.cm*IF(ISNUMBER(_xlpm.sts),_xlpm.sts,0)=0,9,_xlpm.mult*_xlpm.kk*$I57*$H57/(_xlpm.cm*_xlpm.sts)/$F57),_xlpm.hasN,--(RIGHT(_xlpm.codes&amp;"",1)="N"),_xlpm.wantN,--(RIGHT($BP57&amp;"",1)="N"),_xlpm.ok,(_xlpm.idx&gt;=_xlpm.i)*(_xlpm.vd&lt;=Cfg_VDFeeder)*(_xlpm.cm&gt;0)*ISNUMBER(_xlpm.sts)*(_xlpm.hasN=_xlpm.wantN),_xlpm.m,MIN(IF(_xlpm.ok=1,_xlpm.idx)),INDEX(_xlpm.codes,IF(_xlpm.m=0,_xlpm.i,_xlpm.m))),""))</f>
        <v/>
      </c>
      <c r="BY57" s="829" t="str" cm="1">
        <f t="array" ref="BY57">IF($BP57="","",IF($BX57="",$BU57,IFERROR(IF($BV57="AL",_xlfn.XLOOKUP($BX57,Std_Al3_Code,INDEX(Std_Al3_Table,0,2)),IF($G57=1,_xlfn.XLOOKUP($BX57,Std_Cu1_Code,INDEX(Std_Cu1_Table,0,2)),_xlfn.XLOOKUP($BX57,Std_Cu3_Code,INDEX(Std_Cu3_Table,0,2)))),"")))</f>
        <v/>
      </c>
      <c r="BZ57" s="829" t="str" cm="1">
        <f t="array" ref="BZ57">IF($BP57="","",IF($BX57="",$BR57,IFERROR(IF($BV57="AL",_xlfn.XLOOKUP($BX57,Std_Al3_Code,INDEX(Std_Al3_Table,0,4)),IF($G57=1,_xlfn.XLOOKUP($BX57,Std_Cu1_Code,INDEX(Std_Cu1_Table,0,4)),_xlfn.XLOOKUP($BX57,Std_Cu3_Code,INDEX(Std_Cu3_Table,0,4)))),"")))</f>
        <v/>
      </c>
      <c r="CA57" s="829" t="str" cm="1">
        <f t="array" ref="CA57">IF($BP57="","",IF($BX57="",$BQ57,IFERROR(IF($BV57="AL",_xlfn.XLOOKUP($BX57,Std_Al3_Code,INDEX(Std_Al3_Table,0,3)),IF($G57=1,_xlfn.XLOOKUP($BX57,Std_Cu1_Code,INDEX(Std_Cu1_Table,0,3)),_xlfn.XLOOKUP($BX57,Std_Cu3_Code,INDEX(Std_Cu3_Table,0,3)))),"")))</f>
        <v/>
      </c>
      <c r="CB57" s="829" t="str" cm="1">
        <f t="array" ref="CB57">IF($BP57="","",IF($BX57="",$BS57,IFERROR(IF($BV57="AL",_xlfn.XLOOKUP($BX57,Std_Al3_Code,INDEX(Std_Al3_Table,0,5)),IF($G57=1,_xlfn.XLOOKUP($BX57,Std_Cu1_Code,INDEX(Std_Cu1_Table,0,5)),_xlfn.XLOOKUP($BX57,Std_Cu3_Code,INDEX(Std_Cu3_Table,0,5)))),"")))</f>
        <v/>
      </c>
      <c r="CC57" s="829" t="str">
        <f t="shared" si="13"/>
        <v/>
      </c>
      <c r="CD57" s="829" t="str">
        <f t="shared" si="14"/>
        <v/>
      </c>
      <c r="CE57" s="829" t="str">
        <f t="shared" si="15"/>
        <v/>
      </c>
      <c r="CF57" s="829" t="str">
        <f t="shared" si="16"/>
        <v/>
      </c>
      <c r="CG57" s="829" t="str">
        <f t="shared" si="17"/>
        <v/>
      </c>
      <c r="CH57" s="829" t="str">
        <f t="shared" si="18"/>
        <v/>
      </c>
      <c r="CI57" s="829" t="str">
        <f t="shared" si="19"/>
        <v/>
      </c>
      <c r="CJ57" s="829" t="str" cm="1">
        <f t="array" ref="CJ57">IF($B57="","",_xlfn.LET(_xlpm.to,$D57&amp;"",_xlpm.em,IFERROR(INDEX(_xlfn.ANCHORARRAY($BE$4),ROW()-4,6),"")="EMERG",_xlpm.pri,AND(NOT(_xlpm.em),LEFT(_xlpm.to,2)="T-",ISNUMBER(MATCH(MID(_xlpm.to,3,99),Equip_List,0)),ISNA(MATCH(_xlpm.to,Equip_List,0))),IF(_xlpm.pri,MID(_xlpm.to,3,99),_xlpm.to)))</f>
        <v/>
      </c>
      <c r="CK57" s="829" t="str" cm="1">
        <f t="array" ref="CK57">IF($CJ57="","",IF(IFERROR(INDEX(_xlfn.ANCHORARRAY($BE$4),ROW()-4,6),"")="EMERG","E",IF($CJ57&lt;&gt;$D57&amp;"","P","N")))</f>
        <v/>
      </c>
    </row>
    <row r="58" spans="1:89" ht="15" customHeight="1" x14ac:dyDescent="0.35">
      <c r="A58" s="821" t="str">
        <f t="shared" si="7"/>
        <v/>
      </c>
      <c r="B58" s="821" t="str" cm="1">
        <f t="array" ref="B58">IFERROR(IF(INDEX(_xlfn.ANCHORARRAY($BE$4),ROW()-4,2)="","","F-"&amp;INDEX(_xlfn.ANCHORARRAY($BE$4),ROW()-4,2)&amp;IF(IFERROR(INDEX(_xlfn.ANCHORARRAY($BE$4),ROW()-4,6),"")="EMERG","-E","")),"")</f>
        <v/>
      </c>
      <c r="C58" s="821" t="str" cm="1">
        <f t="array" ref="C58">IFERROR(IF($B58="","",INDEX(_xlfn.ANCHORARRAY($BE$4),ROW()-4,1)),"")</f>
        <v/>
      </c>
      <c r="D58" s="821" t="str" cm="1">
        <f t="array" ref="D58">IFERROR(IF($B58="","",INDEX(_xlfn.ANCHORARRAY($BE$4),ROW()-4,2)),"")</f>
        <v/>
      </c>
      <c r="E58" s="806" t="str" cm="1">
        <f t="array" ref="E58">IFERROR(IF($B58="","",INDEX(_xlfn.ANCHORARRAY($BE$4),ROW()-4,3)),"")</f>
        <v/>
      </c>
      <c r="F58" s="822" t="str" cm="1">
        <f t="array" ref="F58">IFERROR(IF($B58="","",INDEX(_xlfn.ANCHORARRAY($BE$4),ROW()-4,4)),"")</f>
        <v/>
      </c>
      <c r="G58" s="823" t="str" cm="1">
        <f t="array" ref="G58">IFERROR(IF($B58="","",INDEX(_xlfn.ANCHORARRAY($BE$4),ROW()-4,5)),"")</f>
        <v/>
      </c>
      <c r="H58" s="824" t="str" cm="1">
        <f t="array" ref="H58">IF($CJ58="","",_xlfn.LET(_xlpm.v,_xlfn.XLOOKUP($CJ58,Equip_List,IF($CK58="E",Equip_EmLen,IF($CK58="P",Equip_XfPriLen,Equip_FdrLen)),""),IF(_xlpm.v="","",_xlpm.v)))</f>
        <v/>
      </c>
      <c r="I58" s="806" t="str">
        <f t="shared" si="0"/>
        <v/>
      </c>
      <c r="J58" s="820"/>
      <c r="K58" s="806" t="str">
        <f>_xlfn.LET(_xlpm.k,IF($I58="","",IF(COUNTIF(UPS!$B$57:$B$64,$C58&amp;"")&gt;0,1.25*MAX($I58,N(_xlfn.XLOOKUP($C58&amp;"",UPS!$B$57:$B$64,UPS!$M$57:$M$64,0))),IF(COUNTIF(UPS!$B$57:$B$64,$D58&amp;"")&gt;0,1.25*MAX($I58,N(_xlfn.XLOOKUP($D58&amp;"",UPS!$B$57:$B$64,UPS!$Q$57:$Q$64,0))),$I58*IF(OR(UPPER($J58)="Y",LEFT($C58,2)="T-",LEFT($D58,2)="T-"),1.25,1)))),IF(_xlpm.k="","",MAX(_xlpm.k,N(IFERROR(_xlfn.XLOOKUP($D58&amp;"",Dashboard!$A$101:$A$350,Dashboard!$O$101:$O$350,0),0)))))</f>
        <v/>
      </c>
      <c r="L58" s="825" t="str">
        <f>IF($CJ58="","",_xlfn.LET(_xlpm.v,UPPER(TRIM(_xlfn.XLOOKUP($CJ58,Equip_List,Equip_FdrMat,"")&amp;"")),IF(_xlpm.v="",UPPER(TRIM(Cfg_FeederMat&amp;"")),_xlpm.v)))</f>
        <v/>
      </c>
      <c r="M58" s="825" t="str">
        <f>IF($CJ58="","",_xlfn.LET(_xlpm.v,TRIM(_xlfn.XLOOKUP($CJ58,Equip_List,Equip_FdrRace,"")&amp;""),IF(_xlpm.v="",Cfg_Conduit&amp;"",_xlpm.v)))</f>
        <v/>
      </c>
      <c r="N58" s="825" t="str">
        <f>IF($CJ58="","",IF(UPPER(TRIM(_xlfn.XLOOKUP($CJ58,Equip_List,Equip_FdrExist,"")&amp;""))="Y","Y",""))</f>
        <v/>
      </c>
      <c r="O58" s="823" t="str">
        <f t="shared" si="8"/>
        <v/>
      </c>
      <c r="P58" s="821" t="str">
        <f t="shared" si="9"/>
        <v/>
      </c>
      <c r="Q58" s="821" t="str">
        <f t="shared" si="10"/>
        <v/>
      </c>
      <c r="R58" s="822" t="str" cm="1">
        <f t="array" ref="R58">IF(K58="","",INDEX(OCPD_List,MATCH(TRUE,OCPD_List&gt;=K58,0)))</f>
        <v/>
      </c>
      <c r="S58" s="821" t="str">
        <f t="shared" si="11"/>
        <v/>
      </c>
      <c r="T58" s="826" t="str">
        <f t="shared" si="1"/>
        <v/>
      </c>
      <c r="U58" s="826" t="str">
        <f t="shared" si="2"/>
        <v/>
      </c>
      <c r="V58" s="827" t="str">
        <f t="shared" si="3"/>
        <v/>
      </c>
      <c r="W58" s="828"/>
      <c r="X58" s="819"/>
      <c r="Y58" s="820"/>
      <c r="Z58" s="820"/>
      <c r="AA58" s="820"/>
      <c r="BN58" s="832" t="str">
        <f>IF($B58="","",IFERROR(_xlfn.XLOOKUP($D58,Dashboard!$A$101:$A$350,Dashboard!$C$101:$C$350),""))</f>
        <v/>
      </c>
      <c r="BO58" s="832" t="str">
        <f t="shared" si="4"/>
        <v/>
      </c>
      <c r="BP58" s="832" t="str" cm="1">
        <f t="array" ref="BP58">IF(OR($B58="",$R58="",NOT(ISNUMBER($R58))),"",IF(AND($BV58="AL",$G58=1),"",_xlfn.LET(_xlpm.codes,IF($BV58="AL",Std_Al3_Code,IF($G58=1,Std_Cu1_Code,Std_Cu3_Code)),_xlpm.amps,IFERROR(--SUBSTITUTE(_xlpm.codes&amp;"","N",""),""),_xlpm.a,MIN(IF(ISNUMBER(_xlpm.amps),IF(_xlpm.amps&gt;=$R58,_xlpm.amps,""),"")),_xlpm.k,IF(_xlpm.a=0,$R58,_xlpm.a),IF($BO58="Y",TEXT(_xlpm.k,"0")&amp;"N",_xlpm.k))))</f>
        <v/>
      </c>
      <c r="BQ58" s="832" t="str" cm="1">
        <f t="array" ref="BQ58">IF($BP58="","",IFERROR(IF($BV58="AL",_xlfn.XLOOKUP($BP58,Std_Al3_Code,INDEX(Std_Al3_Table,0,3)),IF($G58=1,_xlfn.XLOOKUP($BP58,Std_Cu1_Code,INDEX(Std_Cu1_Table,0,3)),_xlfn.XLOOKUP($BP58,Std_Cu3_Code,INDEX(Std_Cu3_Table,0,3)))),""))</f>
        <v/>
      </c>
      <c r="BR58" s="832" t="str" cm="1">
        <f t="array" ref="BR58">IF($BP58="","",IFERROR(IF($BV58="AL",_xlfn.XLOOKUP($BP58,Std_Al3_Code,INDEX(Std_Al3_Table,0,4)),IF($G58=1,_xlfn.XLOOKUP($BP58,Std_Cu1_Code,INDEX(Std_Cu1_Table,0,4)),_xlfn.XLOOKUP($BP58,Std_Cu3_Code,INDEX(Std_Cu3_Table,0,4)))),""))</f>
        <v/>
      </c>
      <c r="BS58" s="832" t="str" cm="1">
        <f t="array" ref="BS58">IF($BP58="","",IFERROR(IF($BV58="AL",_xlfn.XLOOKUP($BP58,Std_Al3_Code,INDEX(Std_Al3_Table,0,5)),IF($G58=1,_xlfn.XLOOKUP($BP58,Std_Cu1_Code,INDEX(Std_Cu1_Table,0,5)),_xlfn.XLOOKUP($BP58,Std_Cu3_Code,INDEX(Std_Cu3_Table,0,5)))),""))</f>
        <v/>
      </c>
      <c r="BT58" s="832" t="str">
        <f t="shared" si="5"/>
        <v/>
      </c>
      <c r="BU58" s="832" t="str" cm="1">
        <f t="array" ref="BU58">IF($BP58="","",IFERROR(IF($BV58="AL",_xlfn.XLOOKUP($BP58,Std_Al3_Code,INDEX(Std_Al3_Table,0,2)),IF($G58=1,_xlfn.XLOOKUP($BP58,Std_Cu1_Code,INDEX(Std_Cu1_Table,0,2)),_xlfn.XLOOKUP($BP58,Std_Cu3_Code,INDEX(Std_Cu3_Table,0,2)))),""))</f>
        <v/>
      </c>
      <c r="BV58" s="829" t="str">
        <f t="shared" si="6"/>
        <v/>
      </c>
      <c r="BW58" s="829" t="str">
        <f t="shared" si="12"/>
        <v/>
      </c>
      <c r="BX58" s="829" t="str" cm="1">
        <f t="array" ref="BX58">IF(OR($BP58="",$H58="",$I58="",$F58="",$BW58=""),"",IFERROR(_xlfn.LET(_xlpm.codes,IF($BV58="AL",Std_Al3_Code,IF($G58=1,Std_Cu1_Code,Std_Cu3_Code)),_xlpm.tbl,IF($BV58="AL",Std_Al3_Table,IF($G58=1,Std_Cu1_Table,Std_Cu3_Table)),_xlpm.i,MATCH($BP58,_xlpm.codes,0),_xlpm.idx,_xlfn.SEQUENCE(ROWS(_xlpm.codes)),_xlpm.cnd,INDEX(_xlpm.tbl,0,4),_xlpm.sts,INDEX(_xlpm.tbl,0,2),_xlpm.sz,IFERROR(_xlfn.TEXTBEFORE(_xlfn.TEXTAFTER(_xlpm.cnd,"#"),","),IFERROR(_xlfn.TEXTAFTER(_xlpm.cnd,"#"),"")),_xlpm.cm,IFERROR(_xlfn.XLOOKUP(TRIM(_xlpm.sz),Ampacity_Size,Ampacity_CM),0),_xlpm.mult,IF($G58=3,SQRT3,2),_xlpm.kk,IF($BV58="AL",K_Al,K_Cu),_xlpm.vd,IF(_xlpm.cm*IF(ISNUMBER(_xlpm.sts),_xlpm.sts,0)=0,9,_xlpm.mult*_xlpm.kk*$I58*$H58/(_xlpm.cm*_xlpm.sts)/$F58),_xlpm.hasN,--(RIGHT(_xlpm.codes&amp;"",1)="N"),_xlpm.wantN,--(RIGHT($BP58&amp;"",1)="N"),_xlpm.ok,(_xlpm.idx&gt;=_xlpm.i)*(_xlpm.vd&lt;=Cfg_VDFeeder)*(_xlpm.cm&gt;0)*ISNUMBER(_xlpm.sts)*(_xlpm.hasN=_xlpm.wantN),_xlpm.m,MIN(IF(_xlpm.ok=1,_xlpm.idx)),INDEX(_xlpm.codes,IF(_xlpm.m=0,_xlpm.i,_xlpm.m))),""))</f>
        <v/>
      </c>
      <c r="BY58" s="829" t="str" cm="1">
        <f t="array" ref="BY58">IF($BP58="","",IF($BX58="",$BU58,IFERROR(IF($BV58="AL",_xlfn.XLOOKUP($BX58,Std_Al3_Code,INDEX(Std_Al3_Table,0,2)),IF($G58=1,_xlfn.XLOOKUP($BX58,Std_Cu1_Code,INDEX(Std_Cu1_Table,0,2)),_xlfn.XLOOKUP($BX58,Std_Cu3_Code,INDEX(Std_Cu3_Table,0,2)))),"")))</f>
        <v/>
      </c>
      <c r="BZ58" s="829" t="str" cm="1">
        <f t="array" ref="BZ58">IF($BP58="","",IF($BX58="",$BR58,IFERROR(IF($BV58="AL",_xlfn.XLOOKUP($BX58,Std_Al3_Code,INDEX(Std_Al3_Table,0,4)),IF($G58=1,_xlfn.XLOOKUP($BX58,Std_Cu1_Code,INDEX(Std_Cu1_Table,0,4)),_xlfn.XLOOKUP($BX58,Std_Cu3_Code,INDEX(Std_Cu3_Table,0,4)))),"")))</f>
        <v/>
      </c>
      <c r="CA58" s="829" t="str" cm="1">
        <f t="array" ref="CA58">IF($BP58="","",IF($BX58="",$BQ58,IFERROR(IF($BV58="AL",_xlfn.XLOOKUP($BX58,Std_Al3_Code,INDEX(Std_Al3_Table,0,3)),IF($G58=1,_xlfn.XLOOKUP($BX58,Std_Cu1_Code,INDEX(Std_Cu1_Table,0,3)),_xlfn.XLOOKUP($BX58,Std_Cu3_Code,INDEX(Std_Cu3_Table,0,3)))),"")))</f>
        <v/>
      </c>
      <c r="CB58" s="829" t="str" cm="1">
        <f t="array" ref="CB58">IF($BP58="","",IF($BX58="",$BS58,IFERROR(IF($BV58="AL",_xlfn.XLOOKUP($BX58,Std_Al3_Code,INDEX(Std_Al3_Table,0,5)),IF($G58=1,_xlfn.XLOOKUP($BX58,Std_Cu1_Code,INDEX(Std_Cu1_Table,0,5)),_xlfn.XLOOKUP($BX58,Std_Cu3_Code,INDEX(Std_Cu3_Table,0,5)))),"")))</f>
        <v/>
      </c>
      <c r="CC58" s="829" t="str">
        <f t="shared" si="13"/>
        <v/>
      </c>
      <c r="CD58" s="829" t="str">
        <f t="shared" si="14"/>
        <v/>
      </c>
      <c r="CE58" s="829" t="str">
        <f t="shared" si="15"/>
        <v/>
      </c>
      <c r="CF58" s="829" t="str">
        <f t="shared" si="16"/>
        <v/>
      </c>
      <c r="CG58" s="829" t="str">
        <f t="shared" si="17"/>
        <v/>
      </c>
      <c r="CH58" s="829" t="str">
        <f t="shared" si="18"/>
        <v/>
      </c>
      <c r="CI58" s="829" t="str">
        <f t="shared" si="19"/>
        <v/>
      </c>
      <c r="CJ58" s="829" t="str" cm="1">
        <f t="array" ref="CJ58">IF($B58="","",_xlfn.LET(_xlpm.to,$D58&amp;"",_xlpm.em,IFERROR(INDEX(_xlfn.ANCHORARRAY($BE$4),ROW()-4,6),"")="EMERG",_xlpm.pri,AND(NOT(_xlpm.em),LEFT(_xlpm.to,2)="T-",ISNUMBER(MATCH(MID(_xlpm.to,3,99),Equip_List,0)),ISNA(MATCH(_xlpm.to,Equip_List,0))),IF(_xlpm.pri,MID(_xlpm.to,3,99),_xlpm.to)))</f>
        <v/>
      </c>
      <c r="CK58" s="829" t="str" cm="1">
        <f t="array" ref="CK58">IF($CJ58="","",IF(IFERROR(INDEX(_xlfn.ANCHORARRAY($BE$4),ROW()-4,6),"")="EMERG","E",IF($CJ58&lt;&gt;$D58&amp;"","P","N")))</f>
        <v/>
      </c>
    </row>
    <row r="59" spans="1:89" ht="15" customHeight="1" x14ac:dyDescent="0.35">
      <c r="A59" s="821" t="str">
        <f t="shared" si="7"/>
        <v/>
      </c>
      <c r="B59" s="821" t="str" cm="1">
        <f t="array" ref="B59">IFERROR(IF(INDEX(_xlfn.ANCHORARRAY($BE$4),ROW()-4,2)="","","F-"&amp;INDEX(_xlfn.ANCHORARRAY($BE$4),ROW()-4,2)&amp;IF(IFERROR(INDEX(_xlfn.ANCHORARRAY($BE$4),ROW()-4,6),"")="EMERG","-E","")),"")</f>
        <v/>
      </c>
      <c r="C59" s="821" t="str" cm="1">
        <f t="array" ref="C59">IFERROR(IF($B59="","",INDEX(_xlfn.ANCHORARRAY($BE$4),ROW()-4,1)),"")</f>
        <v/>
      </c>
      <c r="D59" s="821" t="str" cm="1">
        <f t="array" ref="D59">IFERROR(IF($B59="","",INDEX(_xlfn.ANCHORARRAY($BE$4),ROW()-4,2)),"")</f>
        <v/>
      </c>
      <c r="E59" s="806" t="str" cm="1">
        <f t="array" ref="E59">IFERROR(IF($B59="","",INDEX(_xlfn.ANCHORARRAY($BE$4),ROW()-4,3)),"")</f>
        <v/>
      </c>
      <c r="F59" s="822" t="str" cm="1">
        <f t="array" ref="F59">IFERROR(IF($B59="","",INDEX(_xlfn.ANCHORARRAY($BE$4),ROW()-4,4)),"")</f>
        <v/>
      </c>
      <c r="G59" s="823" t="str" cm="1">
        <f t="array" ref="G59">IFERROR(IF($B59="","",INDEX(_xlfn.ANCHORARRAY($BE$4),ROW()-4,5)),"")</f>
        <v/>
      </c>
      <c r="H59" s="824" t="str" cm="1">
        <f t="array" ref="H59">IF($CJ59="","",_xlfn.LET(_xlpm.v,_xlfn.XLOOKUP($CJ59,Equip_List,IF($CK59="E",Equip_EmLen,IF($CK59="P",Equip_XfPriLen,Equip_FdrLen)),""),IF(_xlpm.v="","",_xlpm.v)))</f>
        <v/>
      </c>
      <c r="I59" s="806" t="str">
        <f t="shared" si="0"/>
        <v/>
      </c>
      <c r="J59" s="820"/>
      <c r="K59" s="806" t="str">
        <f>_xlfn.LET(_xlpm.k,IF($I59="","",IF(COUNTIF(UPS!$B$57:$B$64,$C59&amp;"")&gt;0,1.25*MAX($I59,N(_xlfn.XLOOKUP($C59&amp;"",UPS!$B$57:$B$64,UPS!$M$57:$M$64,0))),IF(COUNTIF(UPS!$B$57:$B$64,$D59&amp;"")&gt;0,1.25*MAX($I59,N(_xlfn.XLOOKUP($D59&amp;"",UPS!$B$57:$B$64,UPS!$Q$57:$Q$64,0))),$I59*IF(OR(UPPER($J59)="Y",LEFT($C59,2)="T-",LEFT($D59,2)="T-"),1.25,1)))),IF(_xlpm.k="","",MAX(_xlpm.k,N(IFERROR(_xlfn.XLOOKUP($D59&amp;"",Dashboard!$A$101:$A$350,Dashboard!$O$101:$O$350,0),0)))))</f>
        <v/>
      </c>
      <c r="L59" s="825" t="str">
        <f>IF($CJ59="","",_xlfn.LET(_xlpm.v,UPPER(TRIM(_xlfn.XLOOKUP($CJ59,Equip_List,Equip_FdrMat,"")&amp;"")),IF(_xlpm.v="",UPPER(TRIM(Cfg_FeederMat&amp;"")),_xlpm.v)))</f>
        <v/>
      </c>
      <c r="M59" s="825" t="str">
        <f>IF($CJ59="","",_xlfn.LET(_xlpm.v,TRIM(_xlfn.XLOOKUP($CJ59,Equip_List,Equip_FdrRace,"")&amp;""),IF(_xlpm.v="",Cfg_Conduit&amp;"",_xlpm.v)))</f>
        <v/>
      </c>
      <c r="N59" s="825" t="str">
        <f>IF($CJ59="","",IF(UPPER(TRIM(_xlfn.XLOOKUP($CJ59,Equip_List,Equip_FdrExist,"")&amp;""))="Y","Y",""))</f>
        <v/>
      </c>
      <c r="O59" s="823" t="str">
        <f t="shared" si="8"/>
        <v/>
      </c>
      <c r="P59" s="821" t="str">
        <f t="shared" si="9"/>
        <v/>
      </c>
      <c r="Q59" s="821" t="str">
        <f t="shared" si="10"/>
        <v/>
      </c>
      <c r="R59" s="822" t="str" cm="1">
        <f t="array" ref="R59">IF(K59="","",INDEX(OCPD_List,MATCH(TRUE,OCPD_List&gt;=K59,0)))</f>
        <v/>
      </c>
      <c r="S59" s="821" t="str">
        <f t="shared" si="11"/>
        <v/>
      </c>
      <c r="T59" s="826" t="str">
        <f t="shared" si="1"/>
        <v/>
      </c>
      <c r="U59" s="826" t="str">
        <f t="shared" si="2"/>
        <v/>
      </c>
      <c r="V59" s="827" t="str">
        <f t="shared" si="3"/>
        <v/>
      </c>
      <c r="W59" s="828"/>
      <c r="X59" s="819"/>
      <c r="Y59" s="820"/>
      <c r="Z59" s="820"/>
      <c r="AA59" s="820"/>
      <c r="BN59" s="832" t="str">
        <f>IF($B59="","",IFERROR(_xlfn.XLOOKUP($D59,Dashboard!$A$101:$A$350,Dashboard!$C$101:$C$350),""))</f>
        <v/>
      </c>
      <c r="BO59" s="832" t="str">
        <f t="shared" si="4"/>
        <v/>
      </c>
      <c r="BP59" s="832" t="str" cm="1">
        <f t="array" ref="BP59">IF(OR($B59="",$R59="",NOT(ISNUMBER($R59))),"",IF(AND($BV59="AL",$G59=1),"",_xlfn.LET(_xlpm.codes,IF($BV59="AL",Std_Al3_Code,IF($G59=1,Std_Cu1_Code,Std_Cu3_Code)),_xlpm.amps,IFERROR(--SUBSTITUTE(_xlpm.codes&amp;"","N",""),""),_xlpm.a,MIN(IF(ISNUMBER(_xlpm.amps),IF(_xlpm.amps&gt;=$R59,_xlpm.amps,""),"")),_xlpm.k,IF(_xlpm.a=0,$R59,_xlpm.a),IF($BO59="Y",TEXT(_xlpm.k,"0")&amp;"N",_xlpm.k))))</f>
        <v/>
      </c>
      <c r="BQ59" s="832" t="str" cm="1">
        <f t="array" ref="BQ59">IF($BP59="","",IFERROR(IF($BV59="AL",_xlfn.XLOOKUP($BP59,Std_Al3_Code,INDEX(Std_Al3_Table,0,3)),IF($G59=1,_xlfn.XLOOKUP($BP59,Std_Cu1_Code,INDEX(Std_Cu1_Table,0,3)),_xlfn.XLOOKUP($BP59,Std_Cu3_Code,INDEX(Std_Cu3_Table,0,3)))),""))</f>
        <v/>
      </c>
      <c r="BR59" s="832" t="str" cm="1">
        <f t="array" ref="BR59">IF($BP59="","",IFERROR(IF($BV59="AL",_xlfn.XLOOKUP($BP59,Std_Al3_Code,INDEX(Std_Al3_Table,0,4)),IF($G59=1,_xlfn.XLOOKUP($BP59,Std_Cu1_Code,INDEX(Std_Cu1_Table,0,4)),_xlfn.XLOOKUP($BP59,Std_Cu3_Code,INDEX(Std_Cu3_Table,0,4)))),""))</f>
        <v/>
      </c>
      <c r="BS59" s="832" t="str" cm="1">
        <f t="array" ref="BS59">IF($BP59="","",IFERROR(IF($BV59="AL",_xlfn.XLOOKUP($BP59,Std_Al3_Code,INDEX(Std_Al3_Table,0,5)),IF($G59=1,_xlfn.XLOOKUP($BP59,Std_Cu1_Code,INDEX(Std_Cu1_Table,0,5)),_xlfn.XLOOKUP($BP59,Std_Cu3_Code,INDEX(Std_Cu3_Table,0,5)))),""))</f>
        <v/>
      </c>
      <c r="BT59" s="832" t="str">
        <f t="shared" si="5"/>
        <v/>
      </c>
      <c r="BU59" s="832" t="str" cm="1">
        <f t="array" ref="BU59">IF($BP59="","",IFERROR(IF($BV59="AL",_xlfn.XLOOKUP($BP59,Std_Al3_Code,INDEX(Std_Al3_Table,0,2)),IF($G59=1,_xlfn.XLOOKUP($BP59,Std_Cu1_Code,INDEX(Std_Cu1_Table,0,2)),_xlfn.XLOOKUP($BP59,Std_Cu3_Code,INDEX(Std_Cu3_Table,0,2)))),""))</f>
        <v/>
      </c>
      <c r="BV59" s="829" t="str">
        <f t="shared" si="6"/>
        <v/>
      </c>
      <c r="BW59" s="829" t="str">
        <f t="shared" si="12"/>
        <v/>
      </c>
      <c r="BX59" s="829" t="str" cm="1">
        <f t="array" ref="BX59">IF(OR($BP59="",$H59="",$I59="",$F59="",$BW59=""),"",IFERROR(_xlfn.LET(_xlpm.codes,IF($BV59="AL",Std_Al3_Code,IF($G59=1,Std_Cu1_Code,Std_Cu3_Code)),_xlpm.tbl,IF($BV59="AL",Std_Al3_Table,IF($G59=1,Std_Cu1_Table,Std_Cu3_Table)),_xlpm.i,MATCH($BP59,_xlpm.codes,0),_xlpm.idx,_xlfn.SEQUENCE(ROWS(_xlpm.codes)),_xlpm.cnd,INDEX(_xlpm.tbl,0,4),_xlpm.sts,INDEX(_xlpm.tbl,0,2),_xlpm.sz,IFERROR(_xlfn.TEXTBEFORE(_xlfn.TEXTAFTER(_xlpm.cnd,"#"),","),IFERROR(_xlfn.TEXTAFTER(_xlpm.cnd,"#"),"")),_xlpm.cm,IFERROR(_xlfn.XLOOKUP(TRIM(_xlpm.sz),Ampacity_Size,Ampacity_CM),0),_xlpm.mult,IF($G59=3,SQRT3,2),_xlpm.kk,IF($BV59="AL",K_Al,K_Cu),_xlpm.vd,IF(_xlpm.cm*IF(ISNUMBER(_xlpm.sts),_xlpm.sts,0)=0,9,_xlpm.mult*_xlpm.kk*$I59*$H59/(_xlpm.cm*_xlpm.sts)/$F59),_xlpm.hasN,--(RIGHT(_xlpm.codes&amp;"",1)="N"),_xlpm.wantN,--(RIGHT($BP59&amp;"",1)="N"),_xlpm.ok,(_xlpm.idx&gt;=_xlpm.i)*(_xlpm.vd&lt;=Cfg_VDFeeder)*(_xlpm.cm&gt;0)*ISNUMBER(_xlpm.sts)*(_xlpm.hasN=_xlpm.wantN),_xlpm.m,MIN(IF(_xlpm.ok=1,_xlpm.idx)),INDEX(_xlpm.codes,IF(_xlpm.m=0,_xlpm.i,_xlpm.m))),""))</f>
        <v/>
      </c>
      <c r="BY59" s="829" t="str" cm="1">
        <f t="array" ref="BY59">IF($BP59="","",IF($BX59="",$BU59,IFERROR(IF($BV59="AL",_xlfn.XLOOKUP($BX59,Std_Al3_Code,INDEX(Std_Al3_Table,0,2)),IF($G59=1,_xlfn.XLOOKUP($BX59,Std_Cu1_Code,INDEX(Std_Cu1_Table,0,2)),_xlfn.XLOOKUP($BX59,Std_Cu3_Code,INDEX(Std_Cu3_Table,0,2)))),"")))</f>
        <v/>
      </c>
      <c r="BZ59" s="829" t="str" cm="1">
        <f t="array" ref="BZ59">IF($BP59="","",IF($BX59="",$BR59,IFERROR(IF($BV59="AL",_xlfn.XLOOKUP($BX59,Std_Al3_Code,INDEX(Std_Al3_Table,0,4)),IF($G59=1,_xlfn.XLOOKUP($BX59,Std_Cu1_Code,INDEX(Std_Cu1_Table,0,4)),_xlfn.XLOOKUP($BX59,Std_Cu3_Code,INDEX(Std_Cu3_Table,0,4)))),"")))</f>
        <v/>
      </c>
      <c r="CA59" s="829" t="str" cm="1">
        <f t="array" ref="CA59">IF($BP59="","",IF($BX59="",$BQ59,IFERROR(IF($BV59="AL",_xlfn.XLOOKUP($BX59,Std_Al3_Code,INDEX(Std_Al3_Table,0,3)),IF($G59=1,_xlfn.XLOOKUP($BX59,Std_Cu1_Code,INDEX(Std_Cu1_Table,0,3)),_xlfn.XLOOKUP($BX59,Std_Cu3_Code,INDEX(Std_Cu3_Table,0,3)))),"")))</f>
        <v/>
      </c>
      <c r="CB59" s="829" t="str" cm="1">
        <f t="array" ref="CB59">IF($BP59="","",IF($BX59="",$BS59,IFERROR(IF($BV59="AL",_xlfn.XLOOKUP($BX59,Std_Al3_Code,INDEX(Std_Al3_Table,0,5)),IF($G59=1,_xlfn.XLOOKUP($BX59,Std_Cu1_Code,INDEX(Std_Cu1_Table,0,5)),_xlfn.XLOOKUP($BX59,Std_Cu3_Code,INDEX(Std_Cu3_Table,0,5)))),"")))</f>
        <v/>
      </c>
      <c r="CC59" s="829" t="str">
        <f t="shared" si="13"/>
        <v/>
      </c>
      <c r="CD59" s="829" t="str">
        <f t="shared" si="14"/>
        <v/>
      </c>
      <c r="CE59" s="829" t="str">
        <f t="shared" si="15"/>
        <v/>
      </c>
      <c r="CF59" s="829" t="str">
        <f t="shared" si="16"/>
        <v/>
      </c>
      <c r="CG59" s="829" t="str">
        <f t="shared" si="17"/>
        <v/>
      </c>
      <c r="CH59" s="829" t="str">
        <f t="shared" si="18"/>
        <v/>
      </c>
      <c r="CI59" s="829" t="str">
        <f t="shared" si="19"/>
        <v/>
      </c>
      <c r="CJ59" s="829" t="str" cm="1">
        <f t="array" ref="CJ59">IF($B59="","",_xlfn.LET(_xlpm.to,$D59&amp;"",_xlpm.em,IFERROR(INDEX(_xlfn.ANCHORARRAY($BE$4),ROW()-4,6),"")="EMERG",_xlpm.pri,AND(NOT(_xlpm.em),LEFT(_xlpm.to,2)="T-",ISNUMBER(MATCH(MID(_xlpm.to,3,99),Equip_List,0)),ISNA(MATCH(_xlpm.to,Equip_List,0))),IF(_xlpm.pri,MID(_xlpm.to,3,99),_xlpm.to)))</f>
        <v/>
      </c>
      <c r="CK59" s="829" t="str" cm="1">
        <f t="array" ref="CK59">IF($CJ59="","",IF(IFERROR(INDEX(_xlfn.ANCHORARRAY($BE$4),ROW()-4,6),"")="EMERG","E",IF($CJ59&lt;&gt;$D59&amp;"","P","N")))</f>
        <v/>
      </c>
    </row>
    <row r="60" spans="1:89" ht="15" customHeight="1" x14ac:dyDescent="0.35">
      <c r="A60" s="821" t="str">
        <f t="shared" si="7"/>
        <v/>
      </c>
      <c r="B60" s="821" t="str" cm="1">
        <f t="array" ref="B60">IFERROR(IF(INDEX(_xlfn.ANCHORARRAY($BE$4),ROW()-4,2)="","","F-"&amp;INDEX(_xlfn.ANCHORARRAY($BE$4),ROW()-4,2)&amp;IF(IFERROR(INDEX(_xlfn.ANCHORARRAY($BE$4),ROW()-4,6),"")="EMERG","-E","")),"")</f>
        <v/>
      </c>
      <c r="C60" s="821" t="str" cm="1">
        <f t="array" ref="C60">IFERROR(IF($B60="","",INDEX(_xlfn.ANCHORARRAY($BE$4),ROW()-4,1)),"")</f>
        <v/>
      </c>
      <c r="D60" s="821" t="str" cm="1">
        <f t="array" ref="D60">IFERROR(IF($B60="","",INDEX(_xlfn.ANCHORARRAY($BE$4),ROW()-4,2)),"")</f>
        <v/>
      </c>
      <c r="E60" s="806" t="str" cm="1">
        <f t="array" ref="E60">IFERROR(IF($B60="","",INDEX(_xlfn.ANCHORARRAY($BE$4),ROW()-4,3)),"")</f>
        <v/>
      </c>
      <c r="F60" s="822" t="str" cm="1">
        <f t="array" ref="F60">IFERROR(IF($B60="","",INDEX(_xlfn.ANCHORARRAY($BE$4),ROW()-4,4)),"")</f>
        <v/>
      </c>
      <c r="G60" s="823" t="str" cm="1">
        <f t="array" ref="G60">IFERROR(IF($B60="","",INDEX(_xlfn.ANCHORARRAY($BE$4),ROW()-4,5)),"")</f>
        <v/>
      </c>
      <c r="H60" s="824" t="str" cm="1">
        <f t="array" ref="H60">IF($CJ60="","",_xlfn.LET(_xlpm.v,_xlfn.XLOOKUP($CJ60,Equip_List,IF($CK60="E",Equip_EmLen,IF($CK60="P",Equip_XfPriLen,Equip_FdrLen)),""),IF(_xlpm.v="","",_xlpm.v)))</f>
        <v/>
      </c>
      <c r="I60" s="806" t="str">
        <f t="shared" si="0"/>
        <v/>
      </c>
      <c r="J60" s="820"/>
      <c r="K60" s="806" t="str">
        <f>_xlfn.LET(_xlpm.k,IF($I60="","",IF(COUNTIF(UPS!$B$57:$B$64,$C60&amp;"")&gt;0,1.25*MAX($I60,N(_xlfn.XLOOKUP($C60&amp;"",UPS!$B$57:$B$64,UPS!$M$57:$M$64,0))),IF(COUNTIF(UPS!$B$57:$B$64,$D60&amp;"")&gt;0,1.25*MAX($I60,N(_xlfn.XLOOKUP($D60&amp;"",UPS!$B$57:$B$64,UPS!$Q$57:$Q$64,0))),$I60*IF(OR(UPPER($J60)="Y",LEFT($C60,2)="T-",LEFT($D60,2)="T-"),1.25,1)))),IF(_xlpm.k="","",MAX(_xlpm.k,N(IFERROR(_xlfn.XLOOKUP($D60&amp;"",Dashboard!$A$101:$A$350,Dashboard!$O$101:$O$350,0),0)))))</f>
        <v/>
      </c>
      <c r="L60" s="825" t="str">
        <f>IF($CJ60="","",_xlfn.LET(_xlpm.v,UPPER(TRIM(_xlfn.XLOOKUP($CJ60,Equip_List,Equip_FdrMat,"")&amp;"")),IF(_xlpm.v="",UPPER(TRIM(Cfg_FeederMat&amp;"")),_xlpm.v)))</f>
        <v/>
      </c>
      <c r="M60" s="825" t="str">
        <f>IF($CJ60="","",_xlfn.LET(_xlpm.v,TRIM(_xlfn.XLOOKUP($CJ60,Equip_List,Equip_FdrRace,"")&amp;""),IF(_xlpm.v="",Cfg_Conduit&amp;"",_xlpm.v)))</f>
        <v/>
      </c>
      <c r="N60" s="825" t="str">
        <f>IF($CJ60="","",IF(UPPER(TRIM(_xlfn.XLOOKUP($CJ60,Equip_List,Equip_FdrExist,"")&amp;""))="Y","Y",""))</f>
        <v/>
      </c>
      <c r="O60" s="823" t="str">
        <f t="shared" si="8"/>
        <v/>
      </c>
      <c r="P60" s="821" t="str">
        <f t="shared" si="9"/>
        <v/>
      </c>
      <c r="Q60" s="821" t="str">
        <f t="shared" si="10"/>
        <v/>
      </c>
      <c r="R60" s="822" t="str" cm="1">
        <f t="array" ref="R60">IF(K60="","",INDEX(OCPD_List,MATCH(TRUE,OCPD_List&gt;=K60,0)))</f>
        <v/>
      </c>
      <c r="S60" s="821" t="str">
        <f t="shared" si="11"/>
        <v/>
      </c>
      <c r="T60" s="826" t="str">
        <f t="shared" si="1"/>
        <v/>
      </c>
      <c r="U60" s="826" t="str">
        <f t="shared" si="2"/>
        <v/>
      </c>
      <c r="V60" s="827" t="str">
        <f t="shared" si="3"/>
        <v/>
      </c>
      <c r="W60" s="828"/>
      <c r="X60" s="819"/>
      <c r="Y60" s="820"/>
      <c r="Z60" s="820"/>
      <c r="AA60" s="820"/>
      <c r="BN60" s="832" t="str">
        <f>IF($B60="","",IFERROR(_xlfn.XLOOKUP($D60,Dashboard!$A$101:$A$350,Dashboard!$C$101:$C$350),""))</f>
        <v/>
      </c>
      <c r="BO60" s="832" t="str">
        <f t="shared" si="4"/>
        <v/>
      </c>
      <c r="BP60" s="832" t="str" cm="1">
        <f t="array" ref="BP60">IF(OR($B60="",$R60="",NOT(ISNUMBER($R60))),"",IF(AND($BV60="AL",$G60=1),"",_xlfn.LET(_xlpm.codes,IF($BV60="AL",Std_Al3_Code,IF($G60=1,Std_Cu1_Code,Std_Cu3_Code)),_xlpm.amps,IFERROR(--SUBSTITUTE(_xlpm.codes&amp;"","N",""),""),_xlpm.a,MIN(IF(ISNUMBER(_xlpm.amps),IF(_xlpm.amps&gt;=$R60,_xlpm.amps,""),"")),_xlpm.k,IF(_xlpm.a=0,$R60,_xlpm.a),IF($BO60="Y",TEXT(_xlpm.k,"0")&amp;"N",_xlpm.k))))</f>
        <v/>
      </c>
      <c r="BQ60" s="832" t="str" cm="1">
        <f t="array" ref="BQ60">IF($BP60="","",IFERROR(IF($BV60="AL",_xlfn.XLOOKUP($BP60,Std_Al3_Code,INDEX(Std_Al3_Table,0,3)),IF($G60=1,_xlfn.XLOOKUP($BP60,Std_Cu1_Code,INDEX(Std_Cu1_Table,0,3)),_xlfn.XLOOKUP($BP60,Std_Cu3_Code,INDEX(Std_Cu3_Table,0,3)))),""))</f>
        <v/>
      </c>
      <c r="BR60" s="832" t="str" cm="1">
        <f t="array" ref="BR60">IF($BP60="","",IFERROR(IF($BV60="AL",_xlfn.XLOOKUP($BP60,Std_Al3_Code,INDEX(Std_Al3_Table,0,4)),IF($G60=1,_xlfn.XLOOKUP($BP60,Std_Cu1_Code,INDEX(Std_Cu1_Table,0,4)),_xlfn.XLOOKUP($BP60,Std_Cu3_Code,INDEX(Std_Cu3_Table,0,4)))),""))</f>
        <v/>
      </c>
      <c r="BS60" s="832" t="str" cm="1">
        <f t="array" ref="BS60">IF($BP60="","",IFERROR(IF($BV60="AL",_xlfn.XLOOKUP($BP60,Std_Al3_Code,INDEX(Std_Al3_Table,0,5)),IF($G60=1,_xlfn.XLOOKUP($BP60,Std_Cu1_Code,INDEX(Std_Cu1_Table,0,5)),_xlfn.XLOOKUP($BP60,Std_Cu3_Code,INDEX(Std_Cu3_Table,0,5)))),""))</f>
        <v/>
      </c>
      <c r="BT60" s="832" t="str">
        <f t="shared" si="5"/>
        <v/>
      </c>
      <c r="BU60" s="832" t="str" cm="1">
        <f t="array" ref="BU60">IF($BP60="","",IFERROR(IF($BV60="AL",_xlfn.XLOOKUP($BP60,Std_Al3_Code,INDEX(Std_Al3_Table,0,2)),IF($G60=1,_xlfn.XLOOKUP($BP60,Std_Cu1_Code,INDEX(Std_Cu1_Table,0,2)),_xlfn.XLOOKUP($BP60,Std_Cu3_Code,INDEX(Std_Cu3_Table,0,2)))),""))</f>
        <v/>
      </c>
      <c r="BV60" s="829" t="str">
        <f t="shared" si="6"/>
        <v/>
      </c>
      <c r="BW60" s="829" t="str">
        <f t="shared" si="12"/>
        <v/>
      </c>
      <c r="BX60" s="829" t="str" cm="1">
        <f t="array" ref="BX60">IF(OR($BP60="",$H60="",$I60="",$F60="",$BW60=""),"",IFERROR(_xlfn.LET(_xlpm.codes,IF($BV60="AL",Std_Al3_Code,IF($G60=1,Std_Cu1_Code,Std_Cu3_Code)),_xlpm.tbl,IF($BV60="AL",Std_Al3_Table,IF($G60=1,Std_Cu1_Table,Std_Cu3_Table)),_xlpm.i,MATCH($BP60,_xlpm.codes,0),_xlpm.idx,_xlfn.SEQUENCE(ROWS(_xlpm.codes)),_xlpm.cnd,INDEX(_xlpm.tbl,0,4),_xlpm.sts,INDEX(_xlpm.tbl,0,2),_xlpm.sz,IFERROR(_xlfn.TEXTBEFORE(_xlfn.TEXTAFTER(_xlpm.cnd,"#"),","),IFERROR(_xlfn.TEXTAFTER(_xlpm.cnd,"#"),"")),_xlpm.cm,IFERROR(_xlfn.XLOOKUP(TRIM(_xlpm.sz),Ampacity_Size,Ampacity_CM),0),_xlpm.mult,IF($G60=3,SQRT3,2),_xlpm.kk,IF($BV60="AL",K_Al,K_Cu),_xlpm.vd,IF(_xlpm.cm*IF(ISNUMBER(_xlpm.sts),_xlpm.sts,0)=0,9,_xlpm.mult*_xlpm.kk*$I60*$H60/(_xlpm.cm*_xlpm.sts)/$F60),_xlpm.hasN,--(RIGHT(_xlpm.codes&amp;"",1)="N"),_xlpm.wantN,--(RIGHT($BP60&amp;"",1)="N"),_xlpm.ok,(_xlpm.idx&gt;=_xlpm.i)*(_xlpm.vd&lt;=Cfg_VDFeeder)*(_xlpm.cm&gt;0)*ISNUMBER(_xlpm.sts)*(_xlpm.hasN=_xlpm.wantN),_xlpm.m,MIN(IF(_xlpm.ok=1,_xlpm.idx)),INDEX(_xlpm.codes,IF(_xlpm.m=0,_xlpm.i,_xlpm.m))),""))</f>
        <v/>
      </c>
      <c r="BY60" s="829" t="str" cm="1">
        <f t="array" ref="BY60">IF($BP60="","",IF($BX60="",$BU60,IFERROR(IF($BV60="AL",_xlfn.XLOOKUP($BX60,Std_Al3_Code,INDEX(Std_Al3_Table,0,2)),IF($G60=1,_xlfn.XLOOKUP($BX60,Std_Cu1_Code,INDEX(Std_Cu1_Table,0,2)),_xlfn.XLOOKUP($BX60,Std_Cu3_Code,INDEX(Std_Cu3_Table,0,2)))),"")))</f>
        <v/>
      </c>
      <c r="BZ60" s="829" t="str" cm="1">
        <f t="array" ref="BZ60">IF($BP60="","",IF($BX60="",$BR60,IFERROR(IF($BV60="AL",_xlfn.XLOOKUP($BX60,Std_Al3_Code,INDEX(Std_Al3_Table,0,4)),IF($G60=1,_xlfn.XLOOKUP($BX60,Std_Cu1_Code,INDEX(Std_Cu1_Table,0,4)),_xlfn.XLOOKUP($BX60,Std_Cu3_Code,INDEX(Std_Cu3_Table,0,4)))),"")))</f>
        <v/>
      </c>
      <c r="CA60" s="829" t="str" cm="1">
        <f t="array" ref="CA60">IF($BP60="","",IF($BX60="",$BQ60,IFERROR(IF($BV60="AL",_xlfn.XLOOKUP($BX60,Std_Al3_Code,INDEX(Std_Al3_Table,0,3)),IF($G60=1,_xlfn.XLOOKUP($BX60,Std_Cu1_Code,INDEX(Std_Cu1_Table,0,3)),_xlfn.XLOOKUP($BX60,Std_Cu3_Code,INDEX(Std_Cu3_Table,0,3)))),"")))</f>
        <v/>
      </c>
      <c r="CB60" s="829" t="str" cm="1">
        <f t="array" ref="CB60">IF($BP60="","",IF($BX60="",$BS60,IFERROR(IF($BV60="AL",_xlfn.XLOOKUP($BX60,Std_Al3_Code,INDEX(Std_Al3_Table,0,5)),IF($G60=1,_xlfn.XLOOKUP($BX60,Std_Cu1_Code,INDEX(Std_Cu1_Table,0,5)),_xlfn.XLOOKUP($BX60,Std_Cu3_Code,INDEX(Std_Cu3_Table,0,5)))),"")))</f>
        <v/>
      </c>
      <c r="CC60" s="829" t="str">
        <f t="shared" si="13"/>
        <v/>
      </c>
      <c r="CD60" s="829" t="str">
        <f t="shared" si="14"/>
        <v/>
      </c>
      <c r="CE60" s="829" t="str">
        <f t="shared" si="15"/>
        <v/>
      </c>
      <c r="CF60" s="829" t="str">
        <f t="shared" si="16"/>
        <v/>
      </c>
      <c r="CG60" s="829" t="str">
        <f t="shared" si="17"/>
        <v/>
      </c>
      <c r="CH60" s="829" t="str">
        <f t="shared" si="18"/>
        <v/>
      </c>
      <c r="CI60" s="829" t="str">
        <f t="shared" si="19"/>
        <v/>
      </c>
      <c r="CJ60" s="829" t="str" cm="1">
        <f t="array" ref="CJ60">IF($B60="","",_xlfn.LET(_xlpm.to,$D60&amp;"",_xlpm.em,IFERROR(INDEX(_xlfn.ANCHORARRAY($BE$4),ROW()-4,6),"")="EMERG",_xlpm.pri,AND(NOT(_xlpm.em),LEFT(_xlpm.to,2)="T-",ISNUMBER(MATCH(MID(_xlpm.to,3,99),Equip_List,0)),ISNA(MATCH(_xlpm.to,Equip_List,0))),IF(_xlpm.pri,MID(_xlpm.to,3,99),_xlpm.to)))</f>
        <v/>
      </c>
      <c r="CK60" s="829" t="str" cm="1">
        <f t="array" ref="CK60">IF($CJ60="","",IF(IFERROR(INDEX(_xlfn.ANCHORARRAY($BE$4),ROW()-4,6),"")="EMERG","E",IF($CJ60&lt;&gt;$D60&amp;"","P","N")))</f>
        <v/>
      </c>
    </row>
    <row r="61" spans="1:89" ht="15" customHeight="1" x14ac:dyDescent="0.35">
      <c r="A61" s="821" t="str">
        <f t="shared" si="7"/>
        <v/>
      </c>
      <c r="B61" s="821" t="str" cm="1">
        <f t="array" ref="B61">IFERROR(IF(INDEX(_xlfn.ANCHORARRAY($BE$4),ROW()-4,2)="","","F-"&amp;INDEX(_xlfn.ANCHORARRAY($BE$4),ROW()-4,2)&amp;IF(IFERROR(INDEX(_xlfn.ANCHORARRAY($BE$4),ROW()-4,6),"")="EMERG","-E","")),"")</f>
        <v/>
      </c>
      <c r="C61" s="821" t="str" cm="1">
        <f t="array" ref="C61">IFERROR(IF($B61="","",INDEX(_xlfn.ANCHORARRAY($BE$4),ROW()-4,1)),"")</f>
        <v/>
      </c>
      <c r="D61" s="821" t="str" cm="1">
        <f t="array" ref="D61">IFERROR(IF($B61="","",INDEX(_xlfn.ANCHORARRAY($BE$4),ROW()-4,2)),"")</f>
        <v/>
      </c>
      <c r="E61" s="806" t="str" cm="1">
        <f t="array" ref="E61">IFERROR(IF($B61="","",INDEX(_xlfn.ANCHORARRAY($BE$4),ROW()-4,3)),"")</f>
        <v/>
      </c>
      <c r="F61" s="822" t="str" cm="1">
        <f t="array" ref="F61">IFERROR(IF($B61="","",INDEX(_xlfn.ANCHORARRAY($BE$4),ROW()-4,4)),"")</f>
        <v/>
      </c>
      <c r="G61" s="823" t="str" cm="1">
        <f t="array" ref="G61">IFERROR(IF($B61="","",INDEX(_xlfn.ANCHORARRAY($BE$4),ROW()-4,5)),"")</f>
        <v/>
      </c>
      <c r="H61" s="824" t="str" cm="1">
        <f t="array" ref="H61">IF($CJ61="","",_xlfn.LET(_xlpm.v,_xlfn.XLOOKUP($CJ61,Equip_List,IF($CK61="E",Equip_EmLen,IF($CK61="P",Equip_XfPriLen,Equip_FdrLen)),""),IF(_xlpm.v="","",_xlpm.v)))</f>
        <v/>
      </c>
      <c r="I61" s="806" t="str">
        <f t="shared" si="0"/>
        <v/>
      </c>
      <c r="J61" s="820"/>
      <c r="K61" s="806" t="str">
        <f>_xlfn.LET(_xlpm.k,IF($I61="","",IF(COUNTIF(UPS!$B$57:$B$64,$C61&amp;"")&gt;0,1.25*MAX($I61,N(_xlfn.XLOOKUP($C61&amp;"",UPS!$B$57:$B$64,UPS!$M$57:$M$64,0))),IF(COUNTIF(UPS!$B$57:$B$64,$D61&amp;"")&gt;0,1.25*MAX($I61,N(_xlfn.XLOOKUP($D61&amp;"",UPS!$B$57:$B$64,UPS!$Q$57:$Q$64,0))),$I61*IF(OR(UPPER($J61)="Y",LEFT($C61,2)="T-",LEFT($D61,2)="T-"),1.25,1)))),IF(_xlpm.k="","",MAX(_xlpm.k,N(IFERROR(_xlfn.XLOOKUP($D61&amp;"",Dashboard!$A$101:$A$350,Dashboard!$O$101:$O$350,0),0)))))</f>
        <v/>
      </c>
      <c r="L61" s="825" t="str">
        <f>IF($CJ61="","",_xlfn.LET(_xlpm.v,UPPER(TRIM(_xlfn.XLOOKUP($CJ61,Equip_List,Equip_FdrMat,"")&amp;"")),IF(_xlpm.v="",UPPER(TRIM(Cfg_FeederMat&amp;"")),_xlpm.v)))</f>
        <v/>
      </c>
      <c r="M61" s="825" t="str">
        <f>IF($CJ61="","",_xlfn.LET(_xlpm.v,TRIM(_xlfn.XLOOKUP($CJ61,Equip_List,Equip_FdrRace,"")&amp;""),IF(_xlpm.v="",Cfg_Conduit&amp;"",_xlpm.v)))</f>
        <v/>
      </c>
      <c r="N61" s="825" t="str">
        <f>IF($CJ61="","",IF(UPPER(TRIM(_xlfn.XLOOKUP($CJ61,Equip_List,Equip_FdrExist,"")&amp;""))="Y","Y",""))</f>
        <v/>
      </c>
      <c r="O61" s="823" t="str">
        <f t="shared" si="8"/>
        <v/>
      </c>
      <c r="P61" s="821" t="str">
        <f t="shared" si="9"/>
        <v/>
      </c>
      <c r="Q61" s="821" t="str">
        <f t="shared" si="10"/>
        <v/>
      </c>
      <c r="R61" s="822" t="str" cm="1">
        <f t="array" ref="R61">IF(K61="","",INDEX(OCPD_List,MATCH(TRUE,OCPD_List&gt;=K61,0)))</f>
        <v/>
      </c>
      <c r="S61" s="821" t="str">
        <f t="shared" si="11"/>
        <v/>
      </c>
      <c r="T61" s="826" t="str">
        <f t="shared" si="1"/>
        <v/>
      </c>
      <c r="U61" s="826" t="str">
        <f t="shared" si="2"/>
        <v/>
      </c>
      <c r="V61" s="827" t="str">
        <f t="shared" si="3"/>
        <v/>
      </c>
      <c r="W61" s="828"/>
      <c r="X61" s="819"/>
      <c r="Y61" s="820"/>
      <c r="Z61" s="820"/>
      <c r="AA61" s="820"/>
      <c r="BN61" s="832" t="str">
        <f>IF($B61="","",IFERROR(_xlfn.XLOOKUP($D61,Dashboard!$A$101:$A$350,Dashboard!$C$101:$C$350),""))</f>
        <v/>
      </c>
      <c r="BO61" s="832" t="str">
        <f t="shared" si="4"/>
        <v/>
      </c>
      <c r="BP61" s="832" t="str" cm="1">
        <f t="array" ref="BP61">IF(OR($B61="",$R61="",NOT(ISNUMBER($R61))),"",IF(AND($BV61="AL",$G61=1),"",_xlfn.LET(_xlpm.codes,IF($BV61="AL",Std_Al3_Code,IF($G61=1,Std_Cu1_Code,Std_Cu3_Code)),_xlpm.amps,IFERROR(--SUBSTITUTE(_xlpm.codes&amp;"","N",""),""),_xlpm.a,MIN(IF(ISNUMBER(_xlpm.amps),IF(_xlpm.amps&gt;=$R61,_xlpm.amps,""),"")),_xlpm.k,IF(_xlpm.a=0,$R61,_xlpm.a),IF($BO61="Y",TEXT(_xlpm.k,"0")&amp;"N",_xlpm.k))))</f>
        <v/>
      </c>
      <c r="BQ61" s="832" t="str" cm="1">
        <f t="array" ref="BQ61">IF($BP61="","",IFERROR(IF($BV61="AL",_xlfn.XLOOKUP($BP61,Std_Al3_Code,INDEX(Std_Al3_Table,0,3)),IF($G61=1,_xlfn.XLOOKUP($BP61,Std_Cu1_Code,INDEX(Std_Cu1_Table,0,3)),_xlfn.XLOOKUP($BP61,Std_Cu3_Code,INDEX(Std_Cu3_Table,0,3)))),""))</f>
        <v/>
      </c>
      <c r="BR61" s="832" t="str" cm="1">
        <f t="array" ref="BR61">IF($BP61="","",IFERROR(IF($BV61="AL",_xlfn.XLOOKUP($BP61,Std_Al3_Code,INDEX(Std_Al3_Table,0,4)),IF($G61=1,_xlfn.XLOOKUP($BP61,Std_Cu1_Code,INDEX(Std_Cu1_Table,0,4)),_xlfn.XLOOKUP($BP61,Std_Cu3_Code,INDEX(Std_Cu3_Table,0,4)))),""))</f>
        <v/>
      </c>
      <c r="BS61" s="832" t="str" cm="1">
        <f t="array" ref="BS61">IF($BP61="","",IFERROR(IF($BV61="AL",_xlfn.XLOOKUP($BP61,Std_Al3_Code,INDEX(Std_Al3_Table,0,5)),IF($G61=1,_xlfn.XLOOKUP($BP61,Std_Cu1_Code,INDEX(Std_Cu1_Table,0,5)),_xlfn.XLOOKUP($BP61,Std_Cu3_Code,INDEX(Std_Cu3_Table,0,5)))),""))</f>
        <v/>
      </c>
      <c r="BT61" s="832" t="str">
        <f t="shared" si="5"/>
        <v/>
      </c>
      <c r="BU61" s="832" t="str" cm="1">
        <f t="array" ref="BU61">IF($BP61="","",IFERROR(IF($BV61="AL",_xlfn.XLOOKUP($BP61,Std_Al3_Code,INDEX(Std_Al3_Table,0,2)),IF($G61=1,_xlfn.XLOOKUP($BP61,Std_Cu1_Code,INDEX(Std_Cu1_Table,0,2)),_xlfn.XLOOKUP($BP61,Std_Cu3_Code,INDEX(Std_Cu3_Table,0,2)))),""))</f>
        <v/>
      </c>
      <c r="BV61" s="829" t="str">
        <f t="shared" si="6"/>
        <v/>
      </c>
      <c r="BW61" s="829" t="str">
        <f t="shared" si="12"/>
        <v/>
      </c>
      <c r="BX61" s="829" t="str" cm="1">
        <f t="array" ref="BX61">IF(OR($BP61="",$H61="",$I61="",$F61="",$BW61=""),"",IFERROR(_xlfn.LET(_xlpm.codes,IF($BV61="AL",Std_Al3_Code,IF($G61=1,Std_Cu1_Code,Std_Cu3_Code)),_xlpm.tbl,IF($BV61="AL",Std_Al3_Table,IF($G61=1,Std_Cu1_Table,Std_Cu3_Table)),_xlpm.i,MATCH($BP61,_xlpm.codes,0),_xlpm.idx,_xlfn.SEQUENCE(ROWS(_xlpm.codes)),_xlpm.cnd,INDEX(_xlpm.tbl,0,4),_xlpm.sts,INDEX(_xlpm.tbl,0,2),_xlpm.sz,IFERROR(_xlfn.TEXTBEFORE(_xlfn.TEXTAFTER(_xlpm.cnd,"#"),","),IFERROR(_xlfn.TEXTAFTER(_xlpm.cnd,"#"),"")),_xlpm.cm,IFERROR(_xlfn.XLOOKUP(TRIM(_xlpm.sz),Ampacity_Size,Ampacity_CM),0),_xlpm.mult,IF($G61=3,SQRT3,2),_xlpm.kk,IF($BV61="AL",K_Al,K_Cu),_xlpm.vd,IF(_xlpm.cm*IF(ISNUMBER(_xlpm.sts),_xlpm.sts,0)=0,9,_xlpm.mult*_xlpm.kk*$I61*$H61/(_xlpm.cm*_xlpm.sts)/$F61),_xlpm.hasN,--(RIGHT(_xlpm.codes&amp;"",1)="N"),_xlpm.wantN,--(RIGHT($BP61&amp;"",1)="N"),_xlpm.ok,(_xlpm.idx&gt;=_xlpm.i)*(_xlpm.vd&lt;=Cfg_VDFeeder)*(_xlpm.cm&gt;0)*ISNUMBER(_xlpm.sts)*(_xlpm.hasN=_xlpm.wantN),_xlpm.m,MIN(IF(_xlpm.ok=1,_xlpm.idx)),INDEX(_xlpm.codes,IF(_xlpm.m=0,_xlpm.i,_xlpm.m))),""))</f>
        <v/>
      </c>
      <c r="BY61" s="829" t="str" cm="1">
        <f t="array" ref="BY61">IF($BP61="","",IF($BX61="",$BU61,IFERROR(IF($BV61="AL",_xlfn.XLOOKUP($BX61,Std_Al3_Code,INDEX(Std_Al3_Table,0,2)),IF($G61=1,_xlfn.XLOOKUP($BX61,Std_Cu1_Code,INDEX(Std_Cu1_Table,0,2)),_xlfn.XLOOKUP($BX61,Std_Cu3_Code,INDEX(Std_Cu3_Table,0,2)))),"")))</f>
        <v/>
      </c>
      <c r="BZ61" s="829" t="str" cm="1">
        <f t="array" ref="BZ61">IF($BP61="","",IF($BX61="",$BR61,IFERROR(IF($BV61="AL",_xlfn.XLOOKUP($BX61,Std_Al3_Code,INDEX(Std_Al3_Table,0,4)),IF($G61=1,_xlfn.XLOOKUP($BX61,Std_Cu1_Code,INDEX(Std_Cu1_Table,0,4)),_xlfn.XLOOKUP($BX61,Std_Cu3_Code,INDEX(Std_Cu3_Table,0,4)))),"")))</f>
        <v/>
      </c>
      <c r="CA61" s="829" t="str" cm="1">
        <f t="array" ref="CA61">IF($BP61="","",IF($BX61="",$BQ61,IFERROR(IF($BV61="AL",_xlfn.XLOOKUP($BX61,Std_Al3_Code,INDEX(Std_Al3_Table,0,3)),IF($G61=1,_xlfn.XLOOKUP($BX61,Std_Cu1_Code,INDEX(Std_Cu1_Table,0,3)),_xlfn.XLOOKUP($BX61,Std_Cu3_Code,INDEX(Std_Cu3_Table,0,3)))),"")))</f>
        <v/>
      </c>
      <c r="CB61" s="829" t="str" cm="1">
        <f t="array" ref="CB61">IF($BP61="","",IF($BX61="",$BS61,IFERROR(IF($BV61="AL",_xlfn.XLOOKUP($BX61,Std_Al3_Code,INDEX(Std_Al3_Table,0,5)),IF($G61=1,_xlfn.XLOOKUP($BX61,Std_Cu1_Code,INDEX(Std_Cu1_Table,0,5)),_xlfn.XLOOKUP($BX61,Std_Cu3_Code,INDEX(Std_Cu3_Table,0,5)))),"")))</f>
        <v/>
      </c>
      <c r="CC61" s="829" t="str">
        <f t="shared" si="13"/>
        <v/>
      </c>
      <c r="CD61" s="829" t="str">
        <f t="shared" si="14"/>
        <v/>
      </c>
      <c r="CE61" s="829" t="str">
        <f t="shared" si="15"/>
        <v/>
      </c>
      <c r="CF61" s="829" t="str">
        <f t="shared" si="16"/>
        <v/>
      </c>
      <c r="CG61" s="829" t="str">
        <f t="shared" si="17"/>
        <v/>
      </c>
      <c r="CH61" s="829" t="str">
        <f t="shared" si="18"/>
        <v/>
      </c>
      <c r="CI61" s="829" t="str">
        <f t="shared" si="19"/>
        <v/>
      </c>
      <c r="CJ61" s="829" t="str" cm="1">
        <f t="array" ref="CJ61">IF($B61="","",_xlfn.LET(_xlpm.to,$D61&amp;"",_xlpm.em,IFERROR(INDEX(_xlfn.ANCHORARRAY($BE$4),ROW()-4,6),"")="EMERG",_xlpm.pri,AND(NOT(_xlpm.em),LEFT(_xlpm.to,2)="T-",ISNUMBER(MATCH(MID(_xlpm.to,3,99),Equip_List,0)),ISNA(MATCH(_xlpm.to,Equip_List,0))),IF(_xlpm.pri,MID(_xlpm.to,3,99),_xlpm.to)))</f>
        <v/>
      </c>
      <c r="CK61" s="829" t="str" cm="1">
        <f t="array" ref="CK61">IF($CJ61="","",IF(IFERROR(INDEX(_xlfn.ANCHORARRAY($BE$4),ROW()-4,6),"")="EMERG","E",IF($CJ61&lt;&gt;$D61&amp;"","P","N")))</f>
        <v/>
      </c>
    </row>
    <row r="62" spans="1:89" ht="15" customHeight="1" x14ac:dyDescent="0.35">
      <c r="A62" s="821" t="str">
        <f t="shared" si="7"/>
        <v/>
      </c>
      <c r="B62" s="821" t="str" cm="1">
        <f t="array" ref="B62">IFERROR(IF(INDEX(_xlfn.ANCHORARRAY($BE$4),ROW()-4,2)="","","F-"&amp;INDEX(_xlfn.ANCHORARRAY($BE$4),ROW()-4,2)&amp;IF(IFERROR(INDEX(_xlfn.ANCHORARRAY($BE$4),ROW()-4,6),"")="EMERG","-E","")),"")</f>
        <v/>
      </c>
      <c r="C62" s="821" t="str" cm="1">
        <f t="array" ref="C62">IFERROR(IF($B62="","",INDEX(_xlfn.ANCHORARRAY($BE$4),ROW()-4,1)),"")</f>
        <v/>
      </c>
      <c r="D62" s="821" t="str" cm="1">
        <f t="array" ref="D62">IFERROR(IF($B62="","",INDEX(_xlfn.ANCHORARRAY($BE$4),ROW()-4,2)),"")</f>
        <v/>
      </c>
      <c r="E62" s="806" t="str" cm="1">
        <f t="array" ref="E62">IFERROR(IF($B62="","",INDEX(_xlfn.ANCHORARRAY($BE$4),ROW()-4,3)),"")</f>
        <v/>
      </c>
      <c r="F62" s="822" t="str" cm="1">
        <f t="array" ref="F62">IFERROR(IF($B62="","",INDEX(_xlfn.ANCHORARRAY($BE$4),ROW()-4,4)),"")</f>
        <v/>
      </c>
      <c r="G62" s="823" t="str" cm="1">
        <f t="array" ref="G62">IFERROR(IF($B62="","",INDEX(_xlfn.ANCHORARRAY($BE$4),ROW()-4,5)),"")</f>
        <v/>
      </c>
      <c r="H62" s="824" t="str" cm="1">
        <f t="array" ref="H62">IF($CJ62="","",_xlfn.LET(_xlpm.v,_xlfn.XLOOKUP($CJ62,Equip_List,IF($CK62="E",Equip_EmLen,IF($CK62="P",Equip_XfPriLen,Equip_FdrLen)),""),IF(_xlpm.v="","",_xlpm.v)))</f>
        <v/>
      </c>
      <c r="I62" s="806" t="str">
        <f t="shared" si="0"/>
        <v/>
      </c>
      <c r="J62" s="820"/>
      <c r="K62" s="806" t="str">
        <f>_xlfn.LET(_xlpm.k,IF($I62="","",IF(COUNTIF(UPS!$B$57:$B$64,$C62&amp;"")&gt;0,1.25*MAX($I62,N(_xlfn.XLOOKUP($C62&amp;"",UPS!$B$57:$B$64,UPS!$M$57:$M$64,0))),IF(COUNTIF(UPS!$B$57:$B$64,$D62&amp;"")&gt;0,1.25*MAX($I62,N(_xlfn.XLOOKUP($D62&amp;"",UPS!$B$57:$B$64,UPS!$Q$57:$Q$64,0))),$I62*IF(OR(UPPER($J62)="Y",LEFT($C62,2)="T-",LEFT($D62,2)="T-"),1.25,1)))),IF(_xlpm.k="","",MAX(_xlpm.k,N(IFERROR(_xlfn.XLOOKUP($D62&amp;"",Dashboard!$A$101:$A$350,Dashboard!$O$101:$O$350,0),0)))))</f>
        <v/>
      </c>
      <c r="L62" s="825" t="str">
        <f>IF($CJ62="","",_xlfn.LET(_xlpm.v,UPPER(TRIM(_xlfn.XLOOKUP($CJ62,Equip_List,Equip_FdrMat,"")&amp;"")),IF(_xlpm.v="",UPPER(TRIM(Cfg_FeederMat&amp;"")),_xlpm.v)))</f>
        <v/>
      </c>
      <c r="M62" s="825" t="str">
        <f>IF($CJ62="","",_xlfn.LET(_xlpm.v,TRIM(_xlfn.XLOOKUP($CJ62,Equip_List,Equip_FdrRace,"")&amp;""),IF(_xlpm.v="",Cfg_Conduit&amp;"",_xlpm.v)))</f>
        <v/>
      </c>
      <c r="N62" s="825" t="str">
        <f>IF($CJ62="","",IF(UPPER(TRIM(_xlfn.XLOOKUP($CJ62,Equip_List,Equip_FdrExist,"")&amp;""))="Y","Y",""))</f>
        <v/>
      </c>
      <c r="O62" s="823" t="str">
        <f t="shared" si="8"/>
        <v/>
      </c>
      <c r="P62" s="821" t="str">
        <f t="shared" si="9"/>
        <v/>
      </c>
      <c r="Q62" s="821" t="str">
        <f t="shared" si="10"/>
        <v/>
      </c>
      <c r="R62" s="822" t="str" cm="1">
        <f t="array" ref="R62">IF(K62="","",INDEX(OCPD_List,MATCH(TRUE,OCPD_List&gt;=K62,0)))</f>
        <v/>
      </c>
      <c r="S62" s="821" t="str">
        <f t="shared" si="11"/>
        <v/>
      </c>
      <c r="T62" s="826" t="str">
        <f t="shared" si="1"/>
        <v/>
      </c>
      <c r="U62" s="826" t="str">
        <f t="shared" si="2"/>
        <v/>
      </c>
      <c r="V62" s="827" t="str">
        <f t="shared" si="3"/>
        <v/>
      </c>
      <c r="W62" s="828"/>
      <c r="X62" s="819"/>
      <c r="Y62" s="820"/>
      <c r="Z62" s="820"/>
      <c r="AA62" s="820"/>
      <c r="BN62" s="832" t="str">
        <f>IF($B62="","",IFERROR(_xlfn.XLOOKUP($D62,Dashboard!$A$101:$A$350,Dashboard!$C$101:$C$350),""))</f>
        <v/>
      </c>
      <c r="BO62" s="832" t="str">
        <f t="shared" si="4"/>
        <v/>
      </c>
      <c r="BP62" s="832" t="str" cm="1">
        <f t="array" ref="BP62">IF(OR($B62="",$R62="",NOT(ISNUMBER($R62))),"",IF(AND($BV62="AL",$G62=1),"",_xlfn.LET(_xlpm.codes,IF($BV62="AL",Std_Al3_Code,IF($G62=1,Std_Cu1_Code,Std_Cu3_Code)),_xlpm.amps,IFERROR(--SUBSTITUTE(_xlpm.codes&amp;"","N",""),""),_xlpm.a,MIN(IF(ISNUMBER(_xlpm.amps),IF(_xlpm.amps&gt;=$R62,_xlpm.amps,""),"")),_xlpm.k,IF(_xlpm.a=0,$R62,_xlpm.a),IF($BO62="Y",TEXT(_xlpm.k,"0")&amp;"N",_xlpm.k))))</f>
        <v/>
      </c>
      <c r="BQ62" s="832" t="str" cm="1">
        <f t="array" ref="BQ62">IF($BP62="","",IFERROR(IF($BV62="AL",_xlfn.XLOOKUP($BP62,Std_Al3_Code,INDEX(Std_Al3_Table,0,3)),IF($G62=1,_xlfn.XLOOKUP($BP62,Std_Cu1_Code,INDEX(Std_Cu1_Table,0,3)),_xlfn.XLOOKUP($BP62,Std_Cu3_Code,INDEX(Std_Cu3_Table,0,3)))),""))</f>
        <v/>
      </c>
      <c r="BR62" s="832" t="str" cm="1">
        <f t="array" ref="BR62">IF($BP62="","",IFERROR(IF($BV62="AL",_xlfn.XLOOKUP($BP62,Std_Al3_Code,INDEX(Std_Al3_Table,0,4)),IF($G62=1,_xlfn.XLOOKUP($BP62,Std_Cu1_Code,INDEX(Std_Cu1_Table,0,4)),_xlfn.XLOOKUP($BP62,Std_Cu3_Code,INDEX(Std_Cu3_Table,0,4)))),""))</f>
        <v/>
      </c>
      <c r="BS62" s="832" t="str" cm="1">
        <f t="array" ref="BS62">IF($BP62="","",IFERROR(IF($BV62="AL",_xlfn.XLOOKUP($BP62,Std_Al3_Code,INDEX(Std_Al3_Table,0,5)),IF($G62=1,_xlfn.XLOOKUP($BP62,Std_Cu1_Code,INDEX(Std_Cu1_Table,0,5)),_xlfn.XLOOKUP($BP62,Std_Cu3_Code,INDEX(Std_Cu3_Table,0,5)))),""))</f>
        <v/>
      </c>
      <c r="BT62" s="832" t="str">
        <f t="shared" si="5"/>
        <v/>
      </c>
      <c r="BU62" s="832" t="str" cm="1">
        <f t="array" ref="BU62">IF($BP62="","",IFERROR(IF($BV62="AL",_xlfn.XLOOKUP($BP62,Std_Al3_Code,INDEX(Std_Al3_Table,0,2)),IF($G62=1,_xlfn.XLOOKUP($BP62,Std_Cu1_Code,INDEX(Std_Cu1_Table,0,2)),_xlfn.XLOOKUP($BP62,Std_Cu3_Code,INDEX(Std_Cu3_Table,0,2)))),""))</f>
        <v/>
      </c>
      <c r="BV62" s="829" t="str">
        <f t="shared" si="6"/>
        <v/>
      </c>
      <c r="BW62" s="829" t="str">
        <f t="shared" si="12"/>
        <v/>
      </c>
      <c r="BX62" s="829" t="str" cm="1">
        <f t="array" ref="BX62">IF(OR($BP62="",$H62="",$I62="",$F62="",$BW62=""),"",IFERROR(_xlfn.LET(_xlpm.codes,IF($BV62="AL",Std_Al3_Code,IF($G62=1,Std_Cu1_Code,Std_Cu3_Code)),_xlpm.tbl,IF($BV62="AL",Std_Al3_Table,IF($G62=1,Std_Cu1_Table,Std_Cu3_Table)),_xlpm.i,MATCH($BP62,_xlpm.codes,0),_xlpm.idx,_xlfn.SEQUENCE(ROWS(_xlpm.codes)),_xlpm.cnd,INDEX(_xlpm.tbl,0,4),_xlpm.sts,INDEX(_xlpm.tbl,0,2),_xlpm.sz,IFERROR(_xlfn.TEXTBEFORE(_xlfn.TEXTAFTER(_xlpm.cnd,"#"),","),IFERROR(_xlfn.TEXTAFTER(_xlpm.cnd,"#"),"")),_xlpm.cm,IFERROR(_xlfn.XLOOKUP(TRIM(_xlpm.sz),Ampacity_Size,Ampacity_CM),0),_xlpm.mult,IF($G62=3,SQRT3,2),_xlpm.kk,IF($BV62="AL",K_Al,K_Cu),_xlpm.vd,IF(_xlpm.cm*IF(ISNUMBER(_xlpm.sts),_xlpm.sts,0)=0,9,_xlpm.mult*_xlpm.kk*$I62*$H62/(_xlpm.cm*_xlpm.sts)/$F62),_xlpm.hasN,--(RIGHT(_xlpm.codes&amp;"",1)="N"),_xlpm.wantN,--(RIGHT($BP62&amp;"",1)="N"),_xlpm.ok,(_xlpm.idx&gt;=_xlpm.i)*(_xlpm.vd&lt;=Cfg_VDFeeder)*(_xlpm.cm&gt;0)*ISNUMBER(_xlpm.sts)*(_xlpm.hasN=_xlpm.wantN),_xlpm.m,MIN(IF(_xlpm.ok=1,_xlpm.idx)),INDEX(_xlpm.codes,IF(_xlpm.m=0,_xlpm.i,_xlpm.m))),""))</f>
        <v/>
      </c>
      <c r="BY62" s="829" t="str" cm="1">
        <f t="array" ref="BY62">IF($BP62="","",IF($BX62="",$BU62,IFERROR(IF($BV62="AL",_xlfn.XLOOKUP($BX62,Std_Al3_Code,INDEX(Std_Al3_Table,0,2)),IF($G62=1,_xlfn.XLOOKUP($BX62,Std_Cu1_Code,INDEX(Std_Cu1_Table,0,2)),_xlfn.XLOOKUP($BX62,Std_Cu3_Code,INDEX(Std_Cu3_Table,0,2)))),"")))</f>
        <v/>
      </c>
      <c r="BZ62" s="829" t="str" cm="1">
        <f t="array" ref="BZ62">IF($BP62="","",IF($BX62="",$BR62,IFERROR(IF($BV62="AL",_xlfn.XLOOKUP($BX62,Std_Al3_Code,INDEX(Std_Al3_Table,0,4)),IF($G62=1,_xlfn.XLOOKUP($BX62,Std_Cu1_Code,INDEX(Std_Cu1_Table,0,4)),_xlfn.XLOOKUP($BX62,Std_Cu3_Code,INDEX(Std_Cu3_Table,0,4)))),"")))</f>
        <v/>
      </c>
      <c r="CA62" s="829" t="str" cm="1">
        <f t="array" ref="CA62">IF($BP62="","",IF($BX62="",$BQ62,IFERROR(IF($BV62="AL",_xlfn.XLOOKUP($BX62,Std_Al3_Code,INDEX(Std_Al3_Table,0,3)),IF($G62=1,_xlfn.XLOOKUP($BX62,Std_Cu1_Code,INDEX(Std_Cu1_Table,0,3)),_xlfn.XLOOKUP($BX62,Std_Cu3_Code,INDEX(Std_Cu3_Table,0,3)))),"")))</f>
        <v/>
      </c>
      <c r="CB62" s="829" t="str" cm="1">
        <f t="array" ref="CB62">IF($BP62="","",IF($BX62="",$BS62,IFERROR(IF($BV62="AL",_xlfn.XLOOKUP($BX62,Std_Al3_Code,INDEX(Std_Al3_Table,0,5)),IF($G62=1,_xlfn.XLOOKUP($BX62,Std_Cu1_Code,INDEX(Std_Cu1_Table,0,5)),_xlfn.XLOOKUP($BX62,Std_Cu3_Code,INDEX(Std_Cu3_Table,0,5)))),"")))</f>
        <v/>
      </c>
      <c r="CC62" s="829" t="str">
        <f t="shared" si="13"/>
        <v/>
      </c>
      <c r="CD62" s="829" t="str">
        <f t="shared" si="14"/>
        <v/>
      </c>
      <c r="CE62" s="829" t="str">
        <f t="shared" si="15"/>
        <v/>
      </c>
      <c r="CF62" s="829" t="str">
        <f t="shared" si="16"/>
        <v/>
      </c>
      <c r="CG62" s="829" t="str">
        <f t="shared" si="17"/>
        <v/>
      </c>
      <c r="CH62" s="829" t="str">
        <f t="shared" si="18"/>
        <v/>
      </c>
      <c r="CI62" s="829" t="str">
        <f t="shared" si="19"/>
        <v/>
      </c>
      <c r="CJ62" s="829" t="str" cm="1">
        <f t="array" ref="CJ62">IF($B62="","",_xlfn.LET(_xlpm.to,$D62&amp;"",_xlpm.em,IFERROR(INDEX(_xlfn.ANCHORARRAY($BE$4),ROW()-4,6),"")="EMERG",_xlpm.pri,AND(NOT(_xlpm.em),LEFT(_xlpm.to,2)="T-",ISNUMBER(MATCH(MID(_xlpm.to,3,99),Equip_List,0)),ISNA(MATCH(_xlpm.to,Equip_List,0))),IF(_xlpm.pri,MID(_xlpm.to,3,99),_xlpm.to)))</f>
        <v/>
      </c>
      <c r="CK62" s="829" t="str" cm="1">
        <f t="array" ref="CK62">IF($CJ62="","",IF(IFERROR(INDEX(_xlfn.ANCHORARRAY($BE$4),ROW()-4,6),"")="EMERG","E",IF($CJ62&lt;&gt;$D62&amp;"","P","N")))</f>
        <v/>
      </c>
    </row>
    <row r="63" spans="1:89" ht="15" customHeight="1" x14ac:dyDescent="0.35">
      <c r="A63" s="821" t="str">
        <f t="shared" si="7"/>
        <v/>
      </c>
      <c r="B63" s="821" t="str" cm="1">
        <f t="array" ref="B63">IFERROR(IF(INDEX(_xlfn.ANCHORARRAY($BE$4),ROW()-4,2)="","","F-"&amp;INDEX(_xlfn.ANCHORARRAY($BE$4),ROW()-4,2)&amp;IF(IFERROR(INDEX(_xlfn.ANCHORARRAY($BE$4),ROW()-4,6),"")="EMERG","-E","")),"")</f>
        <v/>
      </c>
      <c r="C63" s="821" t="str" cm="1">
        <f t="array" ref="C63">IFERROR(IF($B63="","",INDEX(_xlfn.ANCHORARRAY($BE$4),ROW()-4,1)),"")</f>
        <v/>
      </c>
      <c r="D63" s="821" t="str" cm="1">
        <f t="array" ref="D63">IFERROR(IF($B63="","",INDEX(_xlfn.ANCHORARRAY($BE$4),ROW()-4,2)),"")</f>
        <v/>
      </c>
      <c r="E63" s="806" t="str" cm="1">
        <f t="array" ref="E63">IFERROR(IF($B63="","",INDEX(_xlfn.ANCHORARRAY($BE$4),ROW()-4,3)),"")</f>
        <v/>
      </c>
      <c r="F63" s="822" t="str" cm="1">
        <f t="array" ref="F63">IFERROR(IF($B63="","",INDEX(_xlfn.ANCHORARRAY($BE$4),ROW()-4,4)),"")</f>
        <v/>
      </c>
      <c r="G63" s="823" t="str" cm="1">
        <f t="array" ref="G63">IFERROR(IF($B63="","",INDEX(_xlfn.ANCHORARRAY($BE$4),ROW()-4,5)),"")</f>
        <v/>
      </c>
      <c r="H63" s="824" t="str" cm="1">
        <f t="array" ref="H63">IF($CJ63="","",_xlfn.LET(_xlpm.v,_xlfn.XLOOKUP($CJ63,Equip_List,IF($CK63="E",Equip_EmLen,IF($CK63="P",Equip_XfPriLen,Equip_FdrLen)),""),IF(_xlpm.v="","",_xlpm.v)))</f>
        <v/>
      </c>
      <c r="I63" s="806" t="str">
        <f t="shared" si="0"/>
        <v/>
      </c>
      <c r="J63" s="820"/>
      <c r="K63" s="806" t="str">
        <f>_xlfn.LET(_xlpm.k,IF($I63="","",IF(COUNTIF(UPS!$B$57:$B$64,$C63&amp;"")&gt;0,1.25*MAX($I63,N(_xlfn.XLOOKUP($C63&amp;"",UPS!$B$57:$B$64,UPS!$M$57:$M$64,0))),IF(COUNTIF(UPS!$B$57:$B$64,$D63&amp;"")&gt;0,1.25*MAX($I63,N(_xlfn.XLOOKUP($D63&amp;"",UPS!$B$57:$B$64,UPS!$Q$57:$Q$64,0))),$I63*IF(OR(UPPER($J63)="Y",LEFT($C63,2)="T-",LEFT($D63,2)="T-"),1.25,1)))),IF(_xlpm.k="","",MAX(_xlpm.k,N(IFERROR(_xlfn.XLOOKUP($D63&amp;"",Dashboard!$A$101:$A$350,Dashboard!$O$101:$O$350,0),0)))))</f>
        <v/>
      </c>
      <c r="L63" s="825" t="str">
        <f>IF($CJ63="","",_xlfn.LET(_xlpm.v,UPPER(TRIM(_xlfn.XLOOKUP($CJ63,Equip_List,Equip_FdrMat,"")&amp;"")),IF(_xlpm.v="",UPPER(TRIM(Cfg_FeederMat&amp;"")),_xlpm.v)))</f>
        <v/>
      </c>
      <c r="M63" s="825" t="str">
        <f>IF($CJ63="","",_xlfn.LET(_xlpm.v,TRIM(_xlfn.XLOOKUP($CJ63,Equip_List,Equip_FdrRace,"")&amp;""),IF(_xlpm.v="",Cfg_Conduit&amp;"",_xlpm.v)))</f>
        <v/>
      </c>
      <c r="N63" s="825" t="str">
        <f>IF($CJ63="","",IF(UPPER(TRIM(_xlfn.XLOOKUP($CJ63,Equip_List,Equip_FdrExist,"")&amp;""))="Y","Y",""))</f>
        <v/>
      </c>
      <c r="O63" s="823" t="str">
        <f t="shared" si="8"/>
        <v/>
      </c>
      <c r="P63" s="821" t="str">
        <f t="shared" si="9"/>
        <v/>
      </c>
      <c r="Q63" s="821" t="str">
        <f t="shared" si="10"/>
        <v/>
      </c>
      <c r="R63" s="822" t="str" cm="1">
        <f t="array" ref="R63">IF(K63="","",INDEX(OCPD_List,MATCH(TRUE,OCPD_List&gt;=K63,0)))</f>
        <v/>
      </c>
      <c r="S63" s="821" t="str">
        <f t="shared" si="11"/>
        <v/>
      </c>
      <c r="T63" s="826" t="str">
        <f t="shared" si="1"/>
        <v/>
      </c>
      <c r="U63" s="826" t="str">
        <f t="shared" si="2"/>
        <v/>
      </c>
      <c r="V63" s="827" t="str">
        <f t="shared" si="3"/>
        <v/>
      </c>
      <c r="W63" s="828"/>
      <c r="X63" s="819"/>
      <c r="Y63" s="820"/>
      <c r="Z63" s="820"/>
      <c r="AA63" s="820"/>
      <c r="BN63" s="832" t="str">
        <f>IF($B63="","",IFERROR(_xlfn.XLOOKUP($D63,Dashboard!$A$101:$A$350,Dashboard!$C$101:$C$350),""))</f>
        <v/>
      </c>
      <c r="BO63" s="832" t="str">
        <f t="shared" si="4"/>
        <v/>
      </c>
      <c r="BP63" s="832" t="str" cm="1">
        <f t="array" ref="BP63">IF(OR($B63="",$R63="",NOT(ISNUMBER($R63))),"",IF(AND($BV63="AL",$G63=1),"",_xlfn.LET(_xlpm.codes,IF($BV63="AL",Std_Al3_Code,IF($G63=1,Std_Cu1_Code,Std_Cu3_Code)),_xlpm.amps,IFERROR(--SUBSTITUTE(_xlpm.codes&amp;"","N",""),""),_xlpm.a,MIN(IF(ISNUMBER(_xlpm.amps),IF(_xlpm.amps&gt;=$R63,_xlpm.amps,""),"")),_xlpm.k,IF(_xlpm.a=0,$R63,_xlpm.a),IF($BO63="Y",TEXT(_xlpm.k,"0")&amp;"N",_xlpm.k))))</f>
        <v/>
      </c>
      <c r="BQ63" s="832" t="str" cm="1">
        <f t="array" ref="BQ63">IF($BP63="","",IFERROR(IF($BV63="AL",_xlfn.XLOOKUP($BP63,Std_Al3_Code,INDEX(Std_Al3_Table,0,3)),IF($G63=1,_xlfn.XLOOKUP($BP63,Std_Cu1_Code,INDEX(Std_Cu1_Table,0,3)),_xlfn.XLOOKUP($BP63,Std_Cu3_Code,INDEX(Std_Cu3_Table,0,3)))),""))</f>
        <v/>
      </c>
      <c r="BR63" s="832" t="str" cm="1">
        <f t="array" ref="BR63">IF($BP63="","",IFERROR(IF($BV63="AL",_xlfn.XLOOKUP($BP63,Std_Al3_Code,INDEX(Std_Al3_Table,0,4)),IF($G63=1,_xlfn.XLOOKUP($BP63,Std_Cu1_Code,INDEX(Std_Cu1_Table,0,4)),_xlfn.XLOOKUP($BP63,Std_Cu3_Code,INDEX(Std_Cu3_Table,0,4)))),""))</f>
        <v/>
      </c>
      <c r="BS63" s="832" t="str" cm="1">
        <f t="array" ref="BS63">IF($BP63="","",IFERROR(IF($BV63="AL",_xlfn.XLOOKUP($BP63,Std_Al3_Code,INDEX(Std_Al3_Table,0,5)),IF($G63=1,_xlfn.XLOOKUP($BP63,Std_Cu1_Code,INDEX(Std_Cu1_Table,0,5)),_xlfn.XLOOKUP($BP63,Std_Cu3_Code,INDEX(Std_Cu3_Table,0,5)))),""))</f>
        <v/>
      </c>
      <c r="BT63" s="832" t="str">
        <f t="shared" si="5"/>
        <v/>
      </c>
      <c r="BU63" s="832" t="str" cm="1">
        <f t="array" ref="BU63">IF($BP63="","",IFERROR(IF($BV63="AL",_xlfn.XLOOKUP($BP63,Std_Al3_Code,INDEX(Std_Al3_Table,0,2)),IF($G63=1,_xlfn.XLOOKUP($BP63,Std_Cu1_Code,INDEX(Std_Cu1_Table,0,2)),_xlfn.XLOOKUP($BP63,Std_Cu3_Code,INDEX(Std_Cu3_Table,0,2)))),""))</f>
        <v/>
      </c>
      <c r="BV63" s="829" t="str">
        <f t="shared" si="6"/>
        <v/>
      </c>
      <c r="BW63" s="829" t="str">
        <f t="shared" si="12"/>
        <v/>
      </c>
      <c r="BX63" s="829" t="str" cm="1">
        <f t="array" ref="BX63">IF(OR($BP63="",$H63="",$I63="",$F63="",$BW63=""),"",IFERROR(_xlfn.LET(_xlpm.codes,IF($BV63="AL",Std_Al3_Code,IF($G63=1,Std_Cu1_Code,Std_Cu3_Code)),_xlpm.tbl,IF($BV63="AL",Std_Al3_Table,IF($G63=1,Std_Cu1_Table,Std_Cu3_Table)),_xlpm.i,MATCH($BP63,_xlpm.codes,0),_xlpm.idx,_xlfn.SEQUENCE(ROWS(_xlpm.codes)),_xlpm.cnd,INDEX(_xlpm.tbl,0,4),_xlpm.sts,INDEX(_xlpm.tbl,0,2),_xlpm.sz,IFERROR(_xlfn.TEXTBEFORE(_xlfn.TEXTAFTER(_xlpm.cnd,"#"),","),IFERROR(_xlfn.TEXTAFTER(_xlpm.cnd,"#"),"")),_xlpm.cm,IFERROR(_xlfn.XLOOKUP(TRIM(_xlpm.sz),Ampacity_Size,Ampacity_CM),0),_xlpm.mult,IF($G63=3,SQRT3,2),_xlpm.kk,IF($BV63="AL",K_Al,K_Cu),_xlpm.vd,IF(_xlpm.cm*IF(ISNUMBER(_xlpm.sts),_xlpm.sts,0)=0,9,_xlpm.mult*_xlpm.kk*$I63*$H63/(_xlpm.cm*_xlpm.sts)/$F63),_xlpm.hasN,--(RIGHT(_xlpm.codes&amp;"",1)="N"),_xlpm.wantN,--(RIGHT($BP63&amp;"",1)="N"),_xlpm.ok,(_xlpm.idx&gt;=_xlpm.i)*(_xlpm.vd&lt;=Cfg_VDFeeder)*(_xlpm.cm&gt;0)*ISNUMBER(_xlpm.sts)*(_xlpm.hasN=_xlpm.wantN),_xlpm.m,MIN(IF(_xlpm.ok=1,_xlpm.idx)),INDEX(_xlpm.codes,IF(_xlpm.m=0,_xlpm.i,_xlpm.m))),""))</f>
        <v/>
      </c>
      <c r="BY63" s="829" t="str" cm="1">
        <f t="array" ref="BY63">IF($BP63="","",IF($BX63="",$BU63,IFERROR(IF($BV63="AL",_xlfn.XLOOKUP($BX63,Std_Al3_Code,INDEX(Std_Al3_Table,0,2)),IF($G63=1,_xlfn.XLOOKUP($BX63,Std_Cu1_Code,INDEX(Std_Cu1_Table,0,2)),_xlfn.XLOOKUP($BX63,Std_Cu3_Code,INDEX(Std_Cu3_Table,0,2)))),"")))</f>
        <v/>
      </c>
      <c r="BZ63" s="829" t="str" cm="1">
        <f t="array" ref="BZ63">IF($BP63="","",IF($BX63="",$BR63,IFERROR(IF($BV63="AL",_xlfn.XLOOKUP($BX63,Std_Al3_Code,INDEX(Std_Al3_Table,0,4)),IF($G63=1,_xlfn.XLOOKUP($BX63,Std_Cu1_Code,INDEX(Std_Cu1_Table,0,4)),_xlfn.XLOOKUP($BX63,Std_Cu3_Code,INDEX(Std_Cu3_Table,0,4)))),"")))</f>
        <v/>
      </c>
      <c r="CA63" s="829" t="str" cm="1">
        <f t="array" ref="CA63">IF($BP63="","",IF($BX63="",$BQ63,IFERROR(IF($BV63="AL",_xlfn.XLOOKUP($BX63,Std_Al3_Code,INDEX(Std_Al3_Table,0,3)),IF($G63=1,_xlfn.XLOOKUP($BX63,Std_Cu1_Code,INDEX(Std_Cu1_Table,0,3)),_xlfn.XLOOKUP($BX63,Std_Cu3_Code,INDEX(Std_Cu3_Table,0,3)))),"")))</f>
        <v/>
      </c>
      <c r="CB63" s="829" t="str" cm="1">
        <f t="array" ref="CB63">IF($BP63="","",IF($BX63="",$BS63,IFERROR(IF($BV63="AL",_xlfn.XLOOKUP($BX63,Std_Al3_Code,INDEX(Std_Al3_Table,0,5)),IF($G63=1,_xlfn.XLOOKUP($BX63,Std_Cu1_Code,INDEX(Std_Cu1_Table,0,5)),_xlfn.XLOOKUP($BX63,Std_Cu3_Code,INDEX(Std_Cu3_Table,0,5)))),"")))</f>
        <v/>
      </c>
      <c r="CC63" s="829" t="str">
        <f t="shared" si="13"/>
        <v/>
      </c>
      <c r="CD63" s="829" t="str">
        <f t="shared" si="14"/>
        <v/>
      </c>
      <c r="CE63" s="829" t="str">
        <f t="shared" si="15"/>
        <v/>
      </c>
      <c r="CF63" s="829" t="str">
        <f t="shared" si="16"/>
        <v/>
      </c>
      <c r="CG63" s="829" t="str">
        <f t="shared" si="17"/>
        <v/>
      </c>
      <c r="CH63" s="829" t="str">
        <f t="shared" si="18"/>
        <v/>
      </c>
      <c r="CI63" s="829" t="str">
        <f t="shared" si="19"/>
        <v/>
      </c>
      <c r="CJ63" s="829" t="str" cm="1">
        <f t="array" ref="CJ63">IF($B63="","",_xlfn.LET(_xlpm.to,$D63&amp;"",_xlpm.em,IFERROR(INDEX(_xlfn.ANCHORARRAY($BE$4),ROW()-4,6),"")="EMERG",_xlpm.pri,AND(NOT(_xlpm.em),LEFT(_xlpm.to,2)="T-",ISNUMBER(MATCH(MID(_xlpm.to,3,99),Equip_List,0)),ISNA(MATCH(_xlpm.to,Equip_List,0))),IF(_xlpm.pri,MID(_xlpm.to,3,99),_xlpm.to)))</f>
        <v/>
      </c>
      <c r="CK63" s="829" t="str" cm="1">
        <f t="array" ref="CK63">IF($CJ63="","",IF(IFERROR(INDEX(_xlfn.ANCHORARRAY($BE$4),ROW()-4,6),"")="EMERG","E",IF($CJ63&lt;&gt;$D63&amp;"","P","N")))</f>
        <v/>
      </c>
    </row>
    <row r="64" spans="1:89" ht="15" customHeight="1" x14ac:dyDescent="0.35">
      <c r="A64" s="821" t="str">
        <f t="shared" si="7"/>
        <v/>
      </c>
      <c r="B64" s="821" t="str" cm="1">
        <f t="array" ref="B64">IFERROR(IF(INDEX(_xlfn.ANCHORARRAY($BE$4),ROW()-4,2)="","","F-"&amp;INDEX(_xlfn.ANCHORARRAY($BE$4),ROW()-4,2)&amp;IF(IFERROR(INDEX(_xlfn.ANCHORARRAY($BE$4),ROW()-4,6),"")="EMERG","-E","")),"")</f>
        <v/>
      </c>
      <c r="C64" s="821" t="str" cm="1">
        <f t="array" ref="C64">IFERROR(IF($B64="","",INDEX(_xlfn.ANCHORARRAY($BE$4),ROW()-4,1)),"")</f>
        <v/>
      </c>
      <c r="D64" s="821" t="str" cm="1">
        <f t="array" ref="D64">IFERROR(IF($B64="","",INDEX(_xlfn.ANCHORARRAY($BE$4),ROW()-4,2)),"")</f>
        <v/>
      </c>
      <c r="E64" s="806" t="str" cm="1">
        <f t="array" ref="E64">IFERROR(IF($B64="","",INDEX(_xlfn.ANCHORARRAY($BE$4),ROW()-4,3)),"")</f>
        <v/>
      </c>
      <c r="F64" s="822" t="str" cm="1">
        <f t="array" ref="F64">IFERROR(IF($B64="","",INDEX(_xlfn.ANCHORARRAY($BE$4),ROW()-4,4)),"")</f>
        <v/>
      </c>
      <c r="G64" s="823" t="str" cm="1">
        <f t="array" ref="G64">IFERROR(IF($B64="","",INDEX(_xlfn.ANCHORARRAY($BE$4),ROW()-4,5)),"")</f>
        <v/>
      </c>
      <c r="H64" s="824" t="str" cm="1">
        <f t="array" ref="H64">IF($CJ64="","",_xlfn.LET(_xlpm.v,_xlfn.XLOOKUP($CJ64,Equip_List,IF($CK64="E",Equip_EmLen,IF($CK64="P",Equip_XfPriLen,Equip_FdrLen)),""),IF(_xlpm.v="","",_xlpm.v)))</f>
        <v/>
      </c>
      <c r="I64" s="806" t="str">
        <f t="shared" si="0"/>
        <v/>
      </c>
      <c r="J64" s="820"/>
      <c r="K64" s="806" t="str">
        <f>_xlfn.LET(_xlpm.k,IF($I64="","",IF(COUNTIF(UPS!$B$57:$B$64,$C64&amp;"")&gt;0,1.25*MAX($I64,N(_xlfn.XLOOKUP($C64&amp;"",UPS!$B$57:$B$64,UPS!$M$57:$M$64,0))),IF(COUNTIF(UPS!$B$57:$B$64,$D64&amp;"")&gt;0,1.25*MAX($I64,N(_xlfn.XLOOKUP($D64&amp;"",UPS!$B$57:$B$64,UPS!$Q$57:$Q$64,0))),$I64*IF(OR(UPPER($J64)="Y",LEFT($C64,2)="T-",LEFT($D64,2)="T-"),1.25,1)))),IF(_xlpm.k="","",MAX(_xlpm.k,N(IFERROR(_xlfn.XLOOKUP($D64&amp;"",Dashboard!$A$101:$A$350,Dashboard!$O$101:$O$350,0),0)))))</f>
        <v/>
      </c>
      <c r="L64" s="825" t="str">
        <f>IF($CJ64="","",_xlfn.LET(_xlpm.v,UPPER(TRIM(_xlfn.XLOOKUP($CJ64,Equip_List,Equip_FdrMat,"")&amp;"")),IF(_xlpm.v="",UPPER(TRIM(Cfg_FeederMat&amp;"")),_xlpm.v)))</f>
        <v/>
      </c>
      <c r="M64" s="825" t="str">
        <f>IF($CJ64="","",_xlfn.LET(_xlpm.v,TRIM(_xlfn.XLOOKUP($CJ64,Equip_List,Equip_FdrRace,"")&amp;""),IF(_xlpm.v="",Cfg_Conduit&amp;"",_xlpm.v)))</f>
        <v/>
      </c>
      <c r="N64" s="825" t="str">
        <f>IF($CJ64="","",IF(UPPER(TRIM(_xlfn.XLOOKUP($CJ64,Equip_List,Equip_FdrExist,"")&amp;""))="Y","Y",""))</f>
        <v/>
      </c>
      <c r="O64" s="823" t="str">
        <f t="shared" si="8"/>
        <v/>
      </c>
      <c r="P64" s="821" t="str">
        <f t="shared" si="9"/>
        <v/>
      </c>
      <c r="Q64" s="821" t="str">
        <f t="shared" si="10"/>
        <v/>
      </c>
      <c r="R64" s="822" t="str" cm="1">
        <f t="array" ref="R64">IF(K64="","",INDEX(OCPD_List,MATCH(TRUE,OCPD_List&gt;=K64,0)))</f>
        <v/>
      </c>
      <c r="S64" s="821" t="str">
        <f t="shared" si="11"/>
        <v/>
      </c>
      <c r="T64" s="826" t="str">
        <f t="shared" si="1"/>
        <v/>
      </c>
      <c r="U64" s="826" t="str">
        <f t="shared" si="2"/>
        <v/>
      </c>
      <c r="V64" s="827" t="str">
        <f t="shared" si="3"/>
        <v/>
      </c>
      <c r="W64" s="828"/>
      <c r="X64" s="819"/>
      <c r="Y64" s="820"/>
      <c r="Z64" s="820"/>
      <c r="AA64" s="820"/>
      <c r="BN64" s="832" t="str">
        <f>IF($B64="","",IFERROR(_xlfn.XLOOKUP($D64,Dashboard!$A$101:$A$350,Dashboard!$C$101:$C$350),""))</f>
        <v/>
      </c>
      <c r="BO64" s="832" t="str">
        <f t="shared" si="4"/>
        <v/>
      </c>
      <c r="BP64" s="832" t="str" cm="1">
        <f t="array" ref="BP64">IF(OR($B64="",$R64="",NOT(ISNUMBER($R64))),"",IF(AND($BV64="AL",$G64=1),"",_xlfn.LET(_xlpm.codes,IF($BV64="AL",Std_Al3_Code,IF($G64=1,Std_Cu1_Code,Std_Cu3_Code)),_xlpm.amps,IFERROR(--SUBSTITUTE(_xlpm.codes&amp;"","N",""),""),_xlpm.a,MIN(IF(ISNUMBER(_xlpm.amps),IF(_xlpm.amps&gt;=$R64,_xlpm.amps,""),"")),_xlpm.k,IF(_xlpm.a=0,$R64,_xlpm.a),IF($BO64="Y",TEXT(_xlpm.k,"0")&amp;"N",_xlpm.k))))</f>
        <v/>
      </c>
      <c r="BQ64" s="832" t="str" cm="1">
        <f t="array" ref="BQ64">IF($BP64="","",IFERROR(IF($BV64="AL",_xlfn.XLOOKUP($BP64,Std_Al3_Code,INDEX(Std_Al3_Table,0,3)),IF($G64=1,_xlfn.XLOOKUP($BP64,Std_Cu1_Code,INDEX(Std_Cu1_Table,0,3)),_xlfn.XLOOKUP($BP64,Std_Cu3_Code,INDEX(Std_Cu3_Table,0,3)))),""))</f>
        <v/>
      </c>
      <c r="BR64" s="832" t="str" cm="1">
        <f t="array" ref="BR64">IF($BP64="","",IFERROR(IF($BV64="AL",_xlfn.XLOOKUP($BP64,Std_Al3_Code,INDEX(Std_Al3_Table,0,4)),IF($G64=1,_xlfn.XLOOKUP($BP64,Std_Cu1_Code,INDEX(Std_Cu1_Table,0,4)),_xlfn.XLOOKUP($BP64,Std_Cu3_Code,INDEX(Std_Cu3_Table,0,4)))),""))</f>
        <v/>
      </c>
      <c r="BS64" s="832" t="str" cm="1">
        <f t="array" ref="BS64">IF($BP64="","",IFERROR(IF($BV64="AL",_xlfn.XLOOKUP($BP64,Std_Al3_Code,INDEX(Std_Al3_Table,0,5)),IF($G64=1,_xlfn.XLOOKUP($BP64,Std_Cu1_Code,INDEX(Std_Cu1_Table,0,5)),_xlfn.XLOOKUP($BP64,Std_Cu3_Code,INDEX(Std_Cu3_Table,0,5)))),""))</f>
        <v/>
      </c>
      <c r="BT64" s="832" t="str">
        <f t="shared" si="5"/>
        <v/>
      </c>
      <c r="BU64" s="832" t="str" cm="1">
        <f t="array" ref="BU64">IF($BP64="","",IFERROR(IF($BV64="AL",_xlfn.XLOOKUP($BP64,Std_Al3_Code,INDEX(Std_Al3_Table,0,2)),IF($G64=1,_xlfn.XLOOKUP($BP64,Std_Cu1_Code,INDEX(Std_Cu1_Table,0,2)),_xlfn.XLOOKUP($BP64,Std_Cu3_Code,INDEX(Std_Cu3_Table,0,2)))),""))</f>
        <v/>
      </c>
      <c r="BV64" s="829" t="str">
        <f t="shared" si="6"/>
        <v/>
      </c>
      <c r="BW64" s="829" t="str">
        <f t="shared" si="12"/>
        <v/>
      </c>
      <c r="BX64" s="829" t="str" cm="1">
        <f t="array" ref="BX64">IF(OR($BP64="",$H64="",$I64="",$F64="",$BW64=""),"",IFERROR(_xlfn.LET(_xlpm.codes,IF($BV64="AL",Std_Al3_Code,IF($G64=1,Std_Cu1_Code,Std_Cu3_Code)),_xlpm.tbl,IF($BV64="AL",Std_Al3_Table,IF($G64=1,Std_Cu1_Table,Std_Cu3_Table)),_xlpm.i,MATCH($BP64,_xlpm.codes,0),_xlpm.idx,_xlfn.SEQUENCE(ROWS(_xlpm.codes)),_xlpm.cnd,INDEX(_xlpm.tbl,0,4),_xlpm.sts,INDEX(_xlpm.tbl,0,2),_xlpm.sz,IFERROR(_xlfn.TEXTBEFORE(_xlfn.TEXTAFTER(_xlpm.cnd,"#"),","),IFERROR(_xlfn.TEXTAFTER(_xlpm.cnd,"#"),"")),_xlpm.cm,IFERROR(_xlfn.XLOOKUP(TRIM(_xlpm.sz),Ampacity_Size,Ampacity_CM),0),_xlpm.mult,IF($G64=3,SQRT3,2),_xlpm.kk,IF($BV64="AL",K_Al,K_Cu),_xlpm.vd,IF(_xlpm.cm*IF(ISNUMBER(_xlpm.sts),_xlpm.sts,0)=0,9,_xlpm.mult*_xlpm.kk*$I64*$H64/(_xlpm.cm*_xlpm.sts)/$F64),_xlpm.hasN,--(RIGHT(_xlpm.codes&amp;"",1)="N"),_xlpm.wantN,--(RIGHT($BP64&amp;"",1)="N"),_xlpm.ok,(_xlpm.idx&gt;=_xlpm.i)*(_xlpm.vd&lt;=Cfg_VDFeeder)*(_xlpm.cm&gt;0)*ISNUMBER(_xlpm.sts)*(_xlpm.hasN=_xlpm.wantN),_xlpm.m,MIN(IF(_xlpm.ok=1,_xlpm.idx)),INDEX(_xlpm.codes,IF(_xlpm.m=0,_xlpm.i,_xlpm.m))),""))</f>
        <v/>
      </c>
      <c r="BY64" s="829" t="str" cm="1">
        <f t="array" ref="BY64">IF($BP64="","",IF($BX64="",$BU64,IFERROR(IF($BV64="AL",_xlfn.XLOOKUP($BX64,Std_Al3_Code,INDEX(Std_Al3_Table,0,2)),IF($G64=1,_xlfn.XLOOKUP($BX64,Std_Cu1_Code,INDEX(Std_Cu1_Table,0,2)),_xlfn.XLOOKUP($BX64,Std_Cu3_Code,INDEX(Std_Cu3_Table,0,2)))),"")))</f>
        <v/>
      </c>
      <c r="BZ64" s="829" t="str" cm="1">
        <f t="array" ref="BZ64">IF($BP64="","",IF($BX64="",$BR64,IFERROR(IF($BV64="AL",_xlfn.XLOOKUP($BX64,Std_Al3_Code,INDEX(Std_Al3_Table,0,4)),IF($G64=1,_xlfn.XLOOKUP($BX64,Std_Cu1_Code,INDEX(Std_Cu1_Table,0,4)),_xlfn.XLOOKUP($BX64,Std_Cu3_Code,INDEX(Std_Cu3_Table,0,4)))),"")))</f>
        <v/>
      </c>
      <c r="CA64" s="829" t="str" cm="1">
        <f t="array" ref="CA64">IF($BP64="","",IF($BX64="",$BQ64,IFERROR(IF($BV64="AL",_xlfn.XLOOKUP($BX64,Std_Al3_Code,INDEX(Std_Al3_Table,0,3)),IF($G64=1,_xlfn.XLOOKUP($BX64,Std_Cu1_Code,INDEX(Std_Cu1_Table,0,3)),_xlfn.XLOOKUP($BX64,Std_Cu3_Code,INDEX(Std_Cu3_Table,0,3)))),"")))</f>
        <v/>
      </c>
      <c r="CB64" s="829" t="str" cm="1">
        <f t="array" ref="CB64">IF($BP64="","",IF($BX64="",$BS64,IFERROR(IF($BV64="AL",_xlfn.XLOOKUP($BX64,Std_Al3_Code,INDEX(Std_Al3_Table,0,5)),IF($G64=1,_xlfn.XLOOKUP($BX64,Std_Cu1_Code,INDEX(Std_Cu1_Table,0,5)),_xlfn.XLOOKUP($BX64,Std_Cu3_Code,INDEX(Std_Cu3_Table,0,5)))),"")))</f>
        <v/>
      </c>
      <c r="CC64" s="829" t="str">
        <f t="shared" si="13"/>
        <v/>
      </c>
      <c r="CD64" s="829" t="str">
        <f t="shared" si="14"/>
        <v/>
      </c>
      <c r="CE64" s="829" t="str">
        <f t="shared" si="15"/>
        <v/>
      </c>
      <c r="CF64" s="829" t="str">
        <f t="shared" si="16"/>
        <v/>
      </c>
      <c r="CG64" s="829" t="str">
        <f t="shared" si="17"/>
        <v/>
      </c>
      <c r="CH64" s="829" t="str">
        <f t="shared" si="18"/>
        <v/>
      </c>
      <c r="CI64" s="829" t="str">
        <f t="shared" si="19"/>
        <v/>
      </c>
      <c r="CJ64" s="829" t="str" cm="1">
        <f t="array" ref="CJ64">IF($B64="","",_xlfn.LET(_xlpm.to,$D64&amp;"",_xlpm.em,IFERROR(INDEX(_xlfn.ANCHORARRAY($BE$4),ROW()-4,6),"")="EMERG",_xlpm.pri,AND(NOT(_xlpm.em),LEFT(_xlpm.to,2)="T-",ISNUMBER(MATCH(MID(_xlpm.to,3,99),Equip_List,0)),ISNA(MATCH(_xlpm.to,Equip_List,0))),IF(_xlpm.pri,MID(_xlpm.to,3,99),_xlpm.to)))</f>
        <v/>
      </c>
      <c r="CK64" s="829" t="str" cm="1">
        <f t="array" ref="CK64">IF($CJ64="","",IF(IFERROR(INDEX(_xlfn.ANCHORARRAY($BE$4),ROW()-4,6),"")="EMERG","E",IF($CJ64&lt;&gt;$D64&amp;"","P","N")))</f>
        <v/>
      </c>
    </row>
    <row r="65" spans="1:89" ht="15" customHeight="1" x14ac:dyDescent="0.35">
      <c r="A65" s="821" t="str">
        <f t="shared" si="7"/>
        <v/>
      </c>
      <c r="B65" s="821" t="str" cm="1">
        <f t="array" ref="B65">IFERROR(IF(INDEX(_xlfn.ANCHORARRAY($BE$4),ROW()-4,2)="","","F-"&amp;INDEX(_xlfn.ANCHORARRAY($BE$4),ROW()-4,2)&amp;IF(IFERROR(INDEX(_xlfn.ANCHORARRAY($BE$4),ROW()-4,6),"")="EMERG","-E","")),"")</f>
        <v/>
      </c>
      <c r="C65" s="821" t="str" cm="1">
        <f t="array" ref="C65">IFERROR(IF($B65="","",INDEX(_xlfn.ANCHORARRAY($BE$4),ROW()-4,1)),"")</f>
        <v/>
      </c>
      <c r="D65" s="821" t="str" cm="1">
        <f t="array" ref="D65">IFERROR(IF($B65="","",INDEX(_xlfn.ANCHORARRAY($BE$4),ROW()-4,2)),"")</f>
        <v/>
      </c>
      <c r="E65" s="806" t="str" cm="1">
        <f t="array" ref="E65">IFERROR(IF($B65="","",INDEX(_xlfn.ANCHORARRAY($BE$4),ROW()-4,3)),"")</f>
        <v/>
      </c>
      <c r="F65" s="822" t="str" cm="1">
        <f t="array" ref="F65">IFERROR(IF($B65="","",INDEX(_xlfn.ANCHORARRAY($BE$4),ROW()-4,4)),"")</f>
        <v/>
      </c>
      <c r="G65" s="823" t="str" cm="1">
        <f t="array" ref="G65">IFERROR(IF($B65="","",INDEX(_xlfn.ANCHORARRAY($BE$4),ROW()-4,5)),"")</f>
        <v/>
      </c>
      <c r="H65" s="824" t="str" cm="1">
        <f t="array" ref="H65">IF($CJ65="","",_xlfn.LET(_xlpm.v,_xlfn.XLOOKUP($CJ65,Equip_List,IF($CK65="E",Equip_EmLen,IF($CK65="P",Equip_XfPriLen,Equip_FdrLen)),""),IF(_xlpm.v="","",_xlpm.v)))</f>
        <v/>
      </c>
      <c r="I65" s="806" t="str">
        <f t="shared" si="0"/>
        <v/>
      </c>
      <c r="J65" s="820"/>
      <c r="K65" s="806" t="str">
        <f>_xlfn.LET(_xlpm.k,IF($I65="","",IF(COUNTIF(UPS!$B$57:$B$64,$C65&amp;"")&gt;0,1.25*MAX($I65,N(_xlfn.XLOOKUP($C65&amp;"",UPS!$B$57:$B$64,UPS!$M$57:$M$64,0))),IF(COUNTIF(UPS!$B$57:$B$64,$D65&amp;"")&gt;0,1.25*MAX($I65,N(_xlfn.XLOOKUP($D65&amp;"",UPS!$B$57:$B$64,UPS!$Q$57:$Q$64,0))),$I65*IF(OR(UPPER($J65)="Y",LEFT($C65,2)="T-",LEFT($D65,2)="T-"),1.25,1)))),IF(_xlpm.k="","",MAX(_xlpm.k,N(IFERROR(_xlfn.XLOOKUP($D65&amp;"",Dashboard!$A$101:$A$350,Dashboard!$O$101:$O$350,0),0)))))</f>
        <v/>
      </c>
      <c r="L65" s="825" t="str">
        <f>IF($CJ65="","",_xlfn.LET(_xlpm.v,UPPER(TRIM(_xlfn.XLOOKUP($CJ65,Equip_List,Equip_FdrMat,"")&amp;"")),IF(_xlpm.v="",UPPER(TRIM(Cfg_FeederMat&amp;"")),_xlpm.v)))</f>
        <v/>
      </c>
      <c r="M65" s="825" t="str">
        <f>IF($CJ65="","",_xlfn.LET(_xlpm.v,TRIM(_xlfn.XLOOKUP($CJ65,Equip_List,Equip_FdrRace,"")&amp;""),IF(_xlpm.v="",Cfg_Conduit&amp;"",_xlpm.v)))</f>
        <v/>
      </c>
      <c r="N65" s="825" t="str">
        <f>IF($CJ65="","",IF(UPPER(TRIM(_xlfn.XLOOKUP($CJ65,Equip_List,Equip_FdrExist,"")&amp;""))="Y","Y",""))</f>
        <v/>
      </c>
      <c r="O65" s="823" t="str">
        <f t="shared" si="8"/>
        <v/>
      </c>
      <c r="P65" s="821" t="str">
        <f t="shared" si="9"/>
        <v/>
      </c>
      <c r="Q65" s="821" t="str">
        <f t="shared" si="10"/>
        <v/>
      </c>
      <c r="R65" s="822" t="str" cm="1">
        <f t="array" ref="R65">IF(K65="","",INDEX(OCPD_List,MATCH(TRUE,OCPD_List&gt;=K65,0)))</f>
        <v/>
      </c>
      <c r="S65" s="821" t="str">
        <f t="shared" si="11"/>
        <v/>
      </c>
      <c r="T65" s="826" t="str">
        <f t="shared" si="1"/>
        <v/>
      </c>
      <c r="U65" s="826" t="str">
        <f t="shared" si="2"/>
        <v/>
      </c>
      <c r="V65" s="827" t="str">
        <f t="shared" si="3"/>
        <v/>
      </c>
      <c r="W65" s="828"/>
      <c r="X65" s="819"/>
      <c r="Y65" s="820"/>
      <c r="Z65" s="820"/>
      <c r="AA65" s="820"/>
      <c r="BN65" s="832" t="str">
        <f>IF($B65="","",IFERROR(_xlfn.XLOOKUP($D65,Dashboard!$A$101:$A$350,Dashboard!$C$101:$C$350),""))</f>
        <v/>
      </c>
      <c r="BO65" s="832" t="str">
        <f t="shared" si="4"/>
        <v/>
      </c>
      <c r="BP65" s="832" t="str" cm="1">
        <f t="array" ref="BP65">IF(OR($B65="",$R65="",NOT(ISNUMBER($R65))),"",IF(AND($BV65="AL",$G65=1),"",_xlfn.LET(_xlpm.codes,IF($BV65="AL",Std_Al3_Code,IF($G65=1,Std_Cu1_Code,Std_Cu3_Code)),_xlpm.amps,IFERROR(--SUBSTITUTE(_xlpm.codes&amp;"","N",""),""),_xlpm.a,MIN(IF(ISNUMBER(_xlpm.amps),IF(_xlpm.amps&gt;=$R65,_xlpm.amps,""),"")),_xlpm.k,IF(_xlpm.a=0,$R65,_xlpm.a),IF($BO65="Y",TEXT(_xlpm.k,"0")&amp;"N",_xlpm.k))))</f>
        <v/>
      </c>
      <c r="BQ65" s="832" t="str" cm="1">
        <f t="array" ref="BQ65">IF($BP65="","",IFERROR(IF($BV65="AL",_xlfn.XLOOKUP($BP65,Std_Al3_Code,INDEX(Std_Al3_Table,0,3)),IF($G65=1,_xlfn.XLOOKUP($BP65,Std_Cu1_Code,INDEX(Std_Cu1_Table,0,3)),_xlfn.XLOOKUP($BP65,Std_Cu3_Code,INDEX(Std_Cu3_Table,0,3)))),""))</f>
        <v/>
      </c>
      <c r="BR65" s="832" t="str" cm="1">
        <f t="array" ref="BR65">IF($BP65="","",IFERROR(IF($BV65="AL",_xlfn.XLOOKUP($BP65,Std_Al3_Code,INDEX(Std_Al3_Table,0,4)),IF($G65=1,_xlfn.XLOOKUP($BP65,Std_Cu1_Code,INDEX(Std_Cu1_Table,0,4)),_xlfn.XLOOKUP($BP65,Std_Cu3_Code,INDEX(Std_Cu3_Table,0,4)))),""))</f>
        <v/>
      </c>
      <c r="BS65" s="832" t="str" cm="1">
        <f t="array" ref="BS65">IF($BP65="","",IFERROR(IF($BV65="AL",_xlfn.XLOOKUP($BP65,Std_Al3_Code,INDEX(Std_Al3_Table,0,5)),IF($G65=1,_xlfn.XLOOKUP($BP65,Std_Cu1_Code,INDEX(Std_Cu1_Table,0,5)),_xlfn.XLOOKUP($BP65,Std_Cu3_Code,INDEX(Std_Cu3_Table,0,5)))),""))</f>
        <v/>
      </c>
      <c r="BT65" s="832" t="str">
        <f t="shared" si="5"/>
        <v/>
      </c>
      <c r="BU65" s="832" t="str" cm="1">
        <f t="array" ref="BU65">IF($BP65="","",IFERROR(IF($BV65="AL",_xlfn.XLOOKUP($BP65,Std_Al3_Code,INDEX(Std_Al3_Table,0,2)),IF($G65=1,_xlfn.XLOOKUP($BP65,Std_Cu1_Code,INDEX(Std_Cu1_Table,0,2)),_xlfn.XLOOKUP($BP65,Std_Cu3_Code,INDEX(Std_Cu3_Table,0,2)))),""))</f>
        <v/>
      </c>
      <c r="BV65" s="829" t="str">
        <f t="shared" si="6"/>
        <v/>
      </c>
      <c r="BW65" s="829" t="str">
        <f t="shared" si="12"/>
        <v/>
      </c>
      <c r="BX65" s="829" t="str" cm="1">
        <f t="array" ref="BX65">IF(OR($BP65="",$H65="",$I65="",$F65="",$BW65=""),"",IFERROR(_xlfn.LET(_xlpm.codes,IF($BV65="AL",Std_Al3_Code,IF($G65=1,Std_Cu1_Code,Std_Cu3_Code)),_xlpm.tbl,IF($BV65="AL",Std_Al3_Table,IF($G65=1,Std_Cu1_Table,Std_Cu3_Table)),_xlpm.i,MATCH($BP65,_xlpm.codes,0),_xlpm.idx,_xlfn.SEQUENCE(ROWS(_xlpm.codes)),_xlpm.cnd,INDEX(_xlpm.tbl,0,4),_xlpm.sts,INDEX(_xlpm.tbl,0,2),_xlpm.sz,IFERROR(_xlfn.TEXTBEFORE(_xlfn.TEXTAFTER(_xlpm.cnd,"#"),","),IFERROR(_xlfn.TEXTAFTER(_xlpm.cnd,"#"),"")),_xlpm.cm,IFERROR(_xlfn.XLOOKUP(TRIM(_xlpm.sz),Ampacity_Size,Ampacity_CM),0),_xlpm.mult,IF($G65=3,SQRT3,2),_xlpm.kk,IF($BV65="AL",K_Al,K_Cu),_xlpm.vd,IF(_xlpm.cm*IF(ISNUMBER(_xlpm.sts),_xlpm.sts,0)=0,9,_xlpm.mult*_xlpm.kk*$I65*$H65/(_xlpm.cm*_xlpm.sts)/$F65),_xlpm.hasN,--(RIGHT(_xlpm.codes&amp;"",1)="N"),_xlpm.wantN,--(RIGHT($BP65&amp;"",1)="N"),_xlpm.ok,(_xlpm.idx&gt;=_xlpm.i)*(_xlpm.vd&lt;=Cfg_VDFeeder)*(_xlpm.cm&gt;0)*ISNUMBER(_xlpm.sts)*(_xlpm.hasN=_xlpm.wantN),_xlpm.m,MIN(IF(_xlpm.ok=1,_xlpm.idx)),INDEX(_xlpm.codes,IF(_xlpm.m=0,_xlpm.i,_xlpm.m))),""))</f>
        <v/>
      </c>
      <c r="BY65" s="829" t="str" cm="1">
        <f t="array" ref="BY65">IF($BP65="","",IF($BX65="",$BU65,IFERROR(IF($BV65="AL",_xlfn.XLOOKUP($BX65,Std_Al3_Code,INDEX(Std_Al3_Table,0,2)),IF($G65=1,_xlfn.XLOOKUP($BX65,Std_Cu1_Code,INDEX(Std_Cu1_Table,0,2)),_xlfn.XLOOKUP($BX65,Std_Cu3_Code,INDEX(Std_Cu3_Table,0,2)))),"")))</f>
        <v/>
      </c>
      <c r="BZ65" s="829" t="str" cm="1">
        <f t="array" ref="BZ65">IF($BP65="","",IF($BX65="",$BR65,IFERROR(IF($BV65="AL",_xlfn.XLOOKUP($BX65,Std_Al3_Code,INDEX(Std_Al3_Table,0,4)),IF($G65=1,_xlfn.XLOOKUP($BX65,Std_Cu1_Code,INDEX(Std_Cu1_Table,0,4)),_xlfn.XLOOKUP($BX65,Std_Cu3_Code,INDEX(Std_Cu3_Table,0,4)))),"")))</f>
        <v/>
      </c>
      <c r="CA65" s="829" t="str" cm="1">
        <f t="array" ref="CA65">IF($BP65="","",IF($BX65="",$BQ65,IFERROR(IF($BV65="AL",_xlfn.XLOOKUP($BX65,Std_Al3_Code,INDEX(Std_Al3_Table,0,3)),IF($G65=1,_xlfn.XLOOKUP($BX65,Std_Cu1_Code,INDEX(Std_Cu1_Table,0,3)),_xlfn.XLOOKUP($BX65,Std_Cu3_Code,INDEX(Std_Cu3_Table,0,3)))),"")))</f>
        <v/>
      </c>
      <c r="CB65" s="829" t="str" cm="1">
        <f t="array" ref="CB65">IF($BP65="","",IF($BX65="",$BS65,IFERROR(IF($BV65="AL",_xlfn.XLOOKUP($BX65,Std_Al3_Code,INDEX(Std_Al3_Table,0,5)),IF($G65=1,_xlfn.XLOOKUP($BX65,Std_Cu1_Code,INDEX(Std_Cu1_Table,0,5)),_xlfn.XLOOKUP($BX65,Std_Cu3_Code,INDEX(Std_Cu3_Table,0,5)))),"")))</f>
        <v/>
      </c>
      <c r="CC65" s="829" t="str">
        <f t="shared" si="13"/>
        <v/>
      </c>
      <c r="CD65" s="829" t="str">
        <f t="shared" si="14"/>
        <v/>
      </c>
      <c r="CE65" s="829" t="str">
        <f t="shared" si="15"/>
        <v/>
      </c>
      <c r="CF65" s="829" t="str">
        <f t="shared" si="16"/>
        <v/>
      </c>
      <c r="CG65" s="829" t="str">
        <f t="shared" si="17"/>
        <v/>
      </c>
      <c r="CH65" s="829" t="str">
        <f t="shared" si="18"/>
        <v/>
      </c>
      <c r="CI65" s="829" t="str">
        <f t="shared" si="19"/>
        <v/>
      </c>
      <c r="CJ65" s="829" t="str" cm="1">
        <f t="array" ref="CJ65">IF($B65="","",_xlfn.LET(_xlpm.to,$D65&amp;"",_xlpm.em,IFERROR(INDEX(_xlfn.ANCHORARRAY($BE$4),ROW()-4,6),"")="EMERG",_xlpm.pri,AND(NOT(_xlpm.em),LEFT(_xlpm.to,2)="T-",ISNUMBER(MATCH(MID(_xlpm.to,3,99),Equip_List,0)),ISNA(MATCH(_xlpm.to,Equip_List,0))),IF(_xlpm.pri,MID(_xlpm.to,3,99),_xlpm.to)))</f>
        <v/>
      </c>
      <c r="CK65" s="829" t="str" cm="1">
        <f t="array" ref="CK65">IF($CJ65="","",IF(IFERROR(INDEX(_xlfn.ANCHORARRAY($BE$4),ROW()-4,6),"")="EMERG","E",IF($CJ65&lt;&gt;$D65&amp;"","P","N")))</f>
        <v/>
      </c>
    </row>
    <row r="66" spans="1:89" ht="15" customHeight="1" x14ac:dyDescent="0.35">
      <c r="A66" s="821" t="str">
        <f t="shared" si="7"/>
        <v/>
      </c>
      <c r="B66" s="821" t="str" cm="1">
        <f t="array" ref="B66">IFERROR(IF(INDEX(_xlfn.ANCHORARRAY($BE$4),ROW()-4,2)="","","F-"&amp;INDEX(_xlfn.ANCHORARRAY($BE$4),ROW()-4,2)&amp;IF(IFERROR(INDEX(_xlfn.ANCHORARRAY($BE$4),ROW()-4,6),"")="EMERG","-E","")),"")</f>
        <v/>
      </c>
      <c r="C66" s="821" t="str" cm="1">
        <f t="array" ref="C66">IFERROR(IF($B66="","",INDEX(_xlfn.ANCHORARRAY($BE$4),ROW()-4,1)),"")</f>
        <v/>
      </c>
      <c r="D66" s="821" t="str" cm="1">
        <f t="array" ref="D66">IFERROR(IF($B66="","",INDEX(_xlfn.ANCHORARRAY($BE$4),ROW()-4,2)),"")</f>
        <v/>
      </c>
      <c r="E66" s="806" t="str" cm="1">
        <f t="array" ref="E66">IFERROR(IF($B66="","",INDEX(_xlfn.ANCHORARRAY($BE$4),ROW()-4,3)),"")</f>
        <v/>
      </c>
      <c r="F66" s="822" t="str" cm="1">
        <f t="array" ref="F66">IFERROR(IF($B66="","",INDEX(_xlfn.ANCHORARRAY($BE$4),ROW()-4,4)),"")</f>
        <v/>
      </c>
      <c r="G66" s="823" t="str" cm="1">
        <f t="array" ref="G66">IFERROR(IF($B66="","",INDEX(_xlfn.ANCHORARRAY($BE$4),ROW()-4,5)),"")</f>
        <v/>
      </c>
      <c r="H66" s="824" t="str" cm="1">
        <f t="array" ref="H66">IF($CJ66="","",_xlfn.LET(_xlpm.v,_xlfn.XLOOKUP($CJ66,Equip_List,IF($CK66="E",Equip_EmLen,IF($CK66="P",Equip_XfPriLen,Equip_FdrLen)),""),IF(_xlpm.v="","",_xlpm.v)))</f>
        <v/>
      </c>
      <c r="I66" s="806" t="str">
        <f t="shared" si="0"/>
        <v/>
      </c>
      <c r="J66" s="820"/>
      <c r="K66" s="806" t="str">
        <f>_xlfn.LET(_xlpm.k,IF($I66="","",IF(COUNTIF(UPS!$B$57:$B$64,$C66&amp;"")&gt;0,1.25*MAX($I66,N(_xlfn.XLOOKUP($C66&amp;"",UPS!$B$57:$B$64,UPS!$M$57:$M$64,0))),IF(COUNTIF(UPS!$B$57:$B$64,$D66&amp;"")&gt;0,1.25*MAX($I66,N(_xlfn.XLOOKUP($D66&amp;"",UPS!$B$57:$B$64,UPS!$Q$57:$Q$64,0))),$I66*IF(OR(UPPER($J66)="Y",LEFT($C66,2)="T-",LEFT($D66,2)="T-"),1.25,1)))),IF(_xlpm.k="","",MAX(_xlpm.k,N(IFERROR(_xlfn.XLOOKUP($D66&amp;"",Dashboard!$A$101:$A$350,Dashboard!$O$101:$O$350,0),0)))))</f>
        <v/>
      </c>
      <c r="L66" s="825" t="str">
        <f>IF($CJ66="","",_xlfn.LET(_xlpm.v,UPPER(TRIM(_xlfn.XLOOKUP($CJ66,Equip_List,Equip_FdrMat,"")&amp;"")),IF(_xlpm.v="",UPPER(TRIM(Cfg_FeederMat&amp;"")),_xlpm.v)))</f>
        <v/>
      </c>
      <c r="M66" s="825" t="str">
        <f>IF($CJ66="","",_xlfn.LET(_xlpm.v,TRIM(_xlfn.XLOOKUP($CJ66,Equip_List,Equip_FdrRace,"")&amp;""),IF(_xlpm.v="",Cfg_Conduit&amp;"",_xlpm.v)))</f>
        <v/>
      </c>
      <c r="N66" s="825" t="str">
        <f>IF($CJ66="","",IF(UPPER(TRIM(_xlfn.XLOOKUP($CJ66,Equip_List,Equip_FdrExist,"")&amp;""))="Y","Y",""))</f>
        <v/>
      </c>
      <c r="O66" s="823" t="str">
        <f t="shared" si="8"/>
        <v/>
      </c>
      <c r="P66" s="821" t="str">
        <f t="shared" si="9"/>
        <v/>
      </c>
      <c r="Q66" s="821" t="str">
        <f t="shared" si="10"/>
        <v/>
      </c>
      <c r="R66" s="822" t="str" cm="1">
        <f t="array" ref="R66">IF(K66="","",INDEX(OCPD_List,MATCH(TRUE,OCPD_List&gt;=K66,0)))</f>
        <v/>
      </c>
      <c r="S66" s="821" t="str">
        <f t="shared" si="11"/>
        <v/>
      </c>
      <c r="T66" s="826" t="str">
        <f t="shared" si="1"/>
        <v/>
      </c>
      <c r="U66" s="826" t="str">
        <f t="shared" si="2"/>
        <v/>
      </c>
      <c r="V66" s="827" t="str">
        <f t="shared" si="3"/>
        <v/>
      </c>
      <c r="W66" s="828"/>
      <c r="X66" s="819"/>
      <c r="Y66" s="820"/>
      <c r="Z66" s="820"/>
      <c r="AA66" s="820"/>
      <c r="BN66" s="832" t="str">
        <f>IF($B66="","",IFERROR(_xlfn.XLOOKUP($D66,Dashboard!$A$101:$A$350,Dashboard!$C$101:$C$350),""))</f>
        <v/>
      </c>
      <c r="BO66" s="832" t="str">
        <f t="shared" si="4"/>
        <v/>
      </c>
      <c r="BP66" s="832" t="str" cm="1">
        <f t="array" ref="BP66">IF(OR($B66="",$R66="",NOT(ISNUMBER($R66))),"",IF(AND($BV66="AL",$G66=1),"",_xlfn.LET(_xlpm.codes,IF($BV66="AL",Std_Al3_Code,IF($G66=1,Std_Cu1_Code,Std_Cu3_Code)),_xlpm.amps,IFERROR(--SUBSTITUTE(_xlpm.codes&amp;"","N",""),""),_xlpm.a,MIN(IF(ISNUMBER(_xlpm.amps),IF(_xlpm.amps&gt;=$R66,_xlpm.amps,""),"")),_xlpm.k,IF(_xlpm.a=0,$R66,_xlpm.a),IF($BO66="Y",TEXT(_xlpm.k,"0")&amp;"N",_xlpm.k))))</f>
        <v/>
      </c>
      <c r="BQ66" s="832" t="str" cm="1">
        <f t="array" ref="BQ66">IF($BP66="","",IFERROR(IF($BV66="AL",_xlfn.XLOOKUP($BP66,Std_Al3_Code,INDEX(Std_Al3_Table,0,3)),IF($G66=1,_xlfn.XLOOKUP($BP66,Std_Cu1_Code,INDEX(Std_Cu1_Table,0,3)),_xlfn.XLOOKUP($BP66,Std_Cu3_Code,INDEX(Std_Cu3_Table,0,3)))),""))</f>
        <v/>
      </c>
      <c r="BR66" s="832" t="str" cm="1">
        <f t="array" ref="BR66">IF($BP66="","",IFERROR(IF($BV66="AL",_xlfn.XLOOKUP($BP66,Std_Al3_Code,INDEX(Std_Al3_Table,0,4)),IF($G66=1,_xlfn.XLOOKUP($BP66,Std_Cu1_Code,INDEX(Std_Cu1_Table,0,4)),_xlfn.XLOOKUP($BP66,Std_Cu3_Code,INDEX(Std_Cu3_Table,0,4)))),""))</f>
        <v/>
      </c>
      <c r="BS66" s="832" t="str" cm="1">
        <f t="array" ref="BS66">IF($BP66="","",IFERROR(IF($BV66="AL",_xlfn.XLOOKUP($BP66,Std_Al3_Code,INDEX(Std_Al3_Table,0,5)),IF($G66=1,_xlfn.XLOOKUP($BP66,Std_Cu1_Code,INDEX(Std_Cu1_Table,0,5)),_xlfn.XLOOKUP($BP66,Std_Cu3_Code,INDEX(Std_Cu3_Table,0,5)))),""))</f>
        <v/>
      </c>
      <c r="BT66" s="832" t="str">
        <f t="shared" si="5"/>
        <v/>
      </c>
      <c r="BU66" s="832" t="str" cm="1">
        <f t="array" ref="BU66">IF($BP66="","",IFERROR(IF($BV66="AL",_xlfn.XLOOKUP($BP66,Std_Al3_Code,INDEX(Std_Al3_Table,0,2)),IF($G66=1,_xlfn.XLOOKUP($BP66,Std_Cu1_Code,INDEX(Std_Cu1_Table,0,2)),_xlfn.XLOOKUP($BP66,Std_Cu3_Code,INDEX(Std_Cu3_Table,0,2)))),""))</f>
        <v/>
      </c>
      <c r="BV66" s="829" t="str">
        <f t="shared" si="6"/>
        <v/>
      </c>
      <c r="BW66" s="829" t="str">
        <f t="shared" si="12"/>
        <v/>
      </c>
      <c r="BX66" s="829" t="str" cm="1">
        <f t="array" ref="BX66">IF(OR($BP66="",$H66="",$I66="",$F66="",$BW66=""),"",IFERROR(_xlfn.LET(_xlpm.codes,IF($BV66="AL",Std_Al3_Code,IF($G66=1,Std_Cu1_Code,Std_Cu3_Code)),_xlpm.tbl,IF($BV66="AL",Std_Al3_Table,IF($G66=1,Std_Cu1_Table,Std_Cu3_Table)),_xlpm.i,MATCH($BP66,_xlpm.codes,0),_xlpm.idx,_xlfn.SEQUENCE(ROWS(_xlpm.codes)),_xlpm.cnd,INDEX(_xlpm.tbl,0,4),_xlpm.sts,INDEX(_xlpm.tbl,0,2),_xlpm.sz,IFERROR(_xlfn.TEXTBEFORE(_xlfn.TEXTAFTER(_xlpm.cnd,"#"),","),IFERROR(_xlfn.TEXTAFTER(_xlpm.cnd,"#"),"")),_xlpm.cm,IFERROR(_xlfn.XLOOKUP(TRIM(_xlpm.sz),Ampacity_Size,Ampacity_CM),0),_xlpm.mult,IF($G66=3,SQRT3,2),_xlpm.kk,IF($BV66="AL",K_Al,K_Cu),_xlpm.vd,IF(_xlpm.cm*IF(ISNUMBER(_xlpm.sts),_xlpm.sts,0)=0,9,_xlpm.mult*_xlpm.kk*$I66*$H66/(_xlpm.cm*_xlpm.sts)/$F66),_xlpm.hasN,--(RIGHT(_xlpm.codes&amp;"",1)="N"),_xlpm.wantN,--(RIGHT($BP66&amp;"",1)="N"),_xlpm.ok,(_xlpm.idx&gt;=_xlpm.i)*(_xlpm.vd&lt;=Cfg_VDFeeder)*(_xlpm.cm&gt;0)*ISNUMBER(_xlpm.sts)*(_xlpm.hasN=_xlpm.wantN),_xlpm.m,MIN(IF(_xlpm.ok=1,_xlpm.idx)),INDEX(_xlpm.codes,IF(_xlpm.m=0,_xlpm.i,_xlpm.m))),""))</f>
        <v/>
      </c>
      <c r="BY66" s="829" t="str" cm="1">
        <f t="array" ref="BY66">IF($BP66="","",IF($BX66="",$BU66,IFERROR(IF($BV66="AL",_xlfn.XLOOKUP($BX66,Std_Al3_Code,INDEX(Std_Al3_Table,0,2)),IF($G66=1,_xlfn.XLOOKUP($BX66,Std_Cu1_Code,INDEX(Std_Cu1_Table,0,2)),_xlfn.XLOOKUP($BX66,Std_Cu3_Code,INDEX(Std_Cu3_Table,0,2)))),"")))</f>
        <v/>
      </c>
      <c r="BZ66" s="829" t="str" cm="1">
        <f t="array" ref="BZ66">IF($BP66="","",IF($BX66="",$BR66,IFERROR(IF($BV66="AL",_xlfn.XLOOKUP($BX66,Std_Al3_Code,INDEX(Std_Al3_Table,0,4)),IF($G66=1,_xlfn.XLOOKUP($BX66,Std_Cu1_Code,INDEX(Std_Cu1_Table,0,4)),_xlfn.XLOOKUP($BX66,Std_Cu3_Code,INDEX(Std_Cu3_Table,0,4)))),"")))</f>
        <v/>
      </c>
      <c r="CA66" s="829" t="str" cm="1">
        <f t="array" ref="CA66">IF($BP66="","",IF($BX66="",$BQ66,IFERROR(IF($BV66="AL",_xlfn.XLOOKUP($BX66,Std_Al3_Code,INDEX(Std_Al3_Table,0,3)),IF($G66=1,_xlfn.XLOOKUP($BX66,Std_Cu1_Code,INDEX(Std_Cu1_Table,0,3)),_xlfn.XLOOKUP($BX66,Std_Cu3_Code,INDEX(Std_Cu3_Table,0,3)))),"")))</f>
        <v/>
      </c>
      <c r="CB66" s="829" t="str" cm="1">
        <f t="array" ref="CB66">IF($BP66="","",IF($BX66="",$BS66,IFERROR(IF($BV66="AL",_xlfn.XLOOKUP($BX66,Std_Al3_Code,INDEX(Std_Al3_Table,0,5)),IF($G66=1,_xlfn.XLOOKUP($BX66,Std_Cu1_Code,INDEX(Std_Cu1_Table,0,5)),_xlfn.XLOOKUP($BX66,Std_Cu3_Code,INDEX(Std_Cu3_Table,0,5)))),"")))</f>
        <v/>
      </c>
      <c r="CC66" s="829" t="str">
        <f t="shared" si="13"/>
        <v/>
      </c>
      <c r="CD66" s="829" t="str">
        <f t="shared" si="14"/>
        <v/>
      </c>
      <c r="CE66" s="829" t="str">
        <f t="shared" si="15"/>
        <v/>
      </c>
      <c r="CF66" s="829" t="str">
        <f t="shared" si="16"/>
        <v/>
      </c>
      <c r="CG66" s="829" t="str">
        <f t="shared" si="17"/>
        <v/>
      </c>
      <c r="CH66" s="829" t="str">
        <f t="shared" si="18"/>
        <v/>
      </c>
      <c r="CI66" s="829" t="str">
        <f t="shared" si="19"/>
        <v/>
      </c>
      <c r="CJ66" s="829" t="str" cm="1">
        <f t="array" ref="CJ66">IF($B66="","",_xlfn.LET(_xlpm.to,$D66&amp;"",_xlpm.em,IFERROR(INDEX(_xlfn.ANCHORARRAY($BE$4),ROW()-4,6),"")="EMERG",_xlpm.pri,AND(NOT(_xlpm.em),LEFT(_xlpm.to,2)="T-",ISNUMBER(MATCH(MID(_xlpm.to,3,99),Equip_List,0)),ISNA(MATCH(_xlpm.to,Equip_List,0))),IF(_xlpm.pri,MID(_xlpm.to,3,99),_xlpm.to)))</f>
        <v/>
      </c>
      <c r="CK66" s="829" t="str" cm="1">
        <f t="array" ref="CK66">IF($CJ66="","",IF(IFERROR(INDEX(_xlfn.ANCHORARRAY($BE$4),ROW()-4,6),"")="EMERG","E",IF($CJ66&lt;&gt;$D66&amp;"","P","N")))</f>
        <v/>
      </c>
    </row>
    <row r="67" spans="1:89" ht="15" customHeight="1" x14ac:dyDescent="0.35">
      <c r="A67" s="821" t="str">
        <f t="shared" si="7"/>
        <v/>
      </c>
      <c r="B67" s="821" t="str" cm="1">
        <f t="array" ref="B67">IFERROR(IF(INDEX(_xlfn.ANCHORARRAY($BE$4),ROW()-4,2)="","","F-"&amp;INDEX(_xlfn.ANCHORARRAY($BE$4),ROW()-4,2)&amp;IF(IFERROR(INDEX(_xlfn.ANCHORARRAY($BE$4),ROW()-4,6),"")="EMERG","-E","")),"")</f>
        <v/>
      </c>
      <c r="C67" s="821" t="str" cm="1">
        <f t="array" ref="C67">IFERROR(IF($B67="","",INDEX(_xlfn.ANCHORARRAY($BE$4),ROW()-4,1)),"")</f>
        <v/>
      </c>
      <c r="D67" s="821" t="str" cm="1">
        <f t="array" ref="D67">IFERROR(IF($B67="","",INDEX(_xlfn.ANCHORARRAY($BE$4),ROW()-4,2)),"")</f>
        <v/>
      </c>
      <c r="E67" s="806" t="str" cm="1">
        <f t="array" ref="E67">IFERROR(IF($B67="","",INDEX(_xlfn.ANCHORARRAY($BE$4),ROW()-4,3)),"")</f>
        <v/>
      </c>
      <c r="F67" s="822" t="str" cm="1">
        <f t="array" ref="F67">IFERROR(IF($B67="","",INDEX(_xlfn.ANCHORARRAY($BE$4),ROW()-4,4)),"")</f>
        <v/>
      </c>
      <c r="G67" s="823" t="str" cm="1">
        <f t="array" ref="G67">IFERROR(IF($B67="","",INDEX(_xlfn.ANCHORARRAY($BE$4),ROW()-4,5)),"")</f>
        <v/>
      </c>
      <c r="H67" s="824" t="str" cm="1">
        <f t="array" ref="H67">IF($CJ67="","",_xlfn.LET(_xlpm.v,_xlfn.XLOOKUP($CJ67,Equip_List,IF($CK67="E",Equip_EmLen,IF($CK67="P",Equip_XfPriLen,Equip_FdrLen)),""),IF(_xlpm.v="","",_xlpm.v)))</f>
        <v/>
      </c>
      <c r="I67" s="806" t="str">
        <f t="shared" si="0"/>
        <v/>
      </c>
      <c r="J67" s="820"/>
      <c r="K67" s="806" t="str">
        <f>_xlfn.LET(_xlpm.k,IF($I67="","",IF(COUNTIF(UPS!$B$57:$B$64,$C67&amp;"")&gt;0,1.25*MAX($I67,N(_xlfn.XLOOKUP($C67&amp;"",UPS!$B$57:$B$64,UPS!$M$57:$M$64,0))),IF(COUNTIF(UPS!$B$57:$B$64,$D67&amp;"")&gt;0,1.25*MAX($I67,N(_xlfn.XLOOKUP($D67&amp;"",UPS!$B$57:$B$64,UPS!$Q$57:$Q$64,0))),$I67*IF(OR(UPPER($J67)="Y",LEFT($C67,2)="T-",LEFT($D67,2)="T-"),1.25,1)))),IF(_xlpm.k="","",MAX(_xlpm.k,N(IFERROR(_xlfn.XLOOKUP($D67&amp;"",Dashboard!$A$101:$A$350,Dashboard!$O$101:$O$350,0),0)))))</f>
        <v/>
      </c>
      <c r="L67" s="825" t="str">
        <f>IF($CJ67="","",_xlfn.LET(_xlpm.v,UPPER(TRIM(_xlfn.XLOOKUP($CJ67,Equip_List,Equip_FdrMat,"")&amp;"")),IF(_xlpm.v="",UPPER(TRIM(Cfg_FeederMat&amp;"")),_xlpm.v)))</f>
        <v/>
      </c>
      <c r="M67" s="825" t="str">
        <f>IF($CJ67="","",_xlfn.LET(_xlpm.v,TRIM(_xlfn.XLOOKUP($CJ67,Equip_List,Equip_FdrRace,"")&amp;""),IF(_xlpm.v="",Cfg_Conduit&amp;"",_xlpm.v)))</f>
        <v/>
      </c>
      <c r="N67" s="825" t="str">
        <f>IF($CJ67="","",IF(UPPER(TRIM(_xlfn.XLOOKUP($CJ67,Equip_List,Equip_FdrExist,"")&amp;""))="Y","Y",""))</f>
        <v/>
      </c>
      <c r="O67" s="823" t="str">
        <f t="shared" si="8"/>
        <v/>
      </c>
      <c r="P67" s="821" t="str">
        <f t="shared" si="9"/>
        <v/>
      </c>
      <c r="Q67" s="821" t="str">
        <f t="shared" si="10"/>
        <v/>
      </c>
      <c r="R67" s="822" t="str" cm="1">
        <f t="array" ref="R67">IF(K67="","",INDEX(OCPD_List,MATCH(TRUE,OCPD_List&gt;=K67,0)))</f>
        <v/>
      </c>
      <c r="S67" s="821" t="str">
        <f t="shared" si="11"/>
        <v/>
      </c>
      <c r="T67" s="826" t="str">
        <f t="shared" si="1"/>
        <v/>
      </c>
      <c r="U67" s="826" t="str">
        <f t="shared" si="2"/>
        <v/>
      </c>
      <c r="V67" s="827" t="str">
        <f t="shared" si="3"/>
        <v/>
      </c>
      <c r="W67" s="828"/>
      <c r="X67" s="819"/>
      <c r="Y67" s="820"/>
      <c r="Z67" s="820"/>
      <c r="AA67" s="820"/>
      <c r="BN67" s="832" t="str">
        <f>IF($B67="","",IFERROR(_xlfn.XLOOKUP($D67,Dashboard!$A$101:$A$350,Dashboard!$C$101:$C$350),""))</f>
        <v/>
      </c>
      <c r="BO67" s="832" t="str">
        <f t="shared" si="4"/>
        <v/>
      </c>
      <c r="BP67" s="832" t="str" cm="1">
        <f t="array" ref="BP67">IF(OR($B67="",$R67="",NOT(ISNUMBER($R67))),"",IF(AND($BV67="AL",$G67=1),"",_xlfn.LET(_xlpm.codes,IF($BV67="AL",Std_Al3_Code,IF($G67=1,Std_Cu1_Code,Std_Cu3_Code)),_xlpm.amps,IFERROR(--SUBSTITUTE(_xlpm.codes&amp;"","N",""),""),_xlpm.a,MIN(IF(ISNUMBER(_xlpm.amps),IF(_xlpm.amps&gt;=$R67,_xlpm.amps,""),"")),_xlpm.k,IF(_xlpm.a=0,$R67,_xlpm.a),IF($BO67="Y",TEXT(_xlpm.k,"0")&amp;"N",_xlpm.k))))</f>
        <v/>
      </c>
      <c r="BQ67" s="832" t="str" cm="1">
        <f t="array" ref="BQ67">IF($BP67="","",IFERROR(IF($BV67="AL",_xlfn.XLOOKUP($BP67,Std_Al3_Code,INDEX(Std_Al3_Table,0,3)),IF($G67=1,_xlfn.XLOOKUP($BP67,Std_Cu1_Code,INDEX(Std_Cu1_Table,0,3)),_xlfn.XLOOKUP($BP67,Std_Cu3_Code,INDEX(Std_Cu3_Table,0,3)))),""))</f>
        <v/>
      </c>
      <c r="BR67" s="832" t="str" cm="1">
        <f t="array" ref="BR67">IF($BP67="","",IFERROR(IF($BV67="AL",_xlfn.XLOOKUP($BP67,Std_Al3_Code,INDEX(Std_Al3_Table,0,4)),IF($G67=1,_xlfn.XLOOKUP($BP67,Std_Cu1_Code,INDEX(Std_Cu1_Table,0,4)),_xlfn.XLOOKUP($BP67,Std_Cu3_Code,INDEX(Std_Cu3_Table,0,4)))),""))</f>
        <v/>
      </c>
      <c r="BS67" s="832" t="str" cm="1">
        <f t="array" ref="BS67">IF($BP67="","",IFERROR(IF($BV67="AL",_xlfn.XLOOKUP($BP67,Std_Al3_Code,INDEX(Std_Al3_Table,0,5)),IF($G67=1,_xlfn.XLOOKUP($BP67,Std_Cu1_Code,INDEX(Std_Cu1_Table,0,5)),_xlfn.XLOOKUP($BP67,Std_Cu3_Code,INDEX(Std_Cu3_Table,0,5)))),""))</f>
        <v/>
      </c>
      <c r="BT67" s="832" t="str">
        <f t="shared" si="5"/>
        <v/>
      </c>
      <c r="BU67" s="832" t="str" cm="1">
        <f t="array" ref="BU67">IF($BP67="","",IFERROR(IF($BV67="AL",_xlfn.XLOOKUP($BP67,Std_Al3_Code,INDEX(Std_Al3_Table,0,2)),IF($G67=1,_xlfn.XLOOKUP($BP67,Std_Cu1_Code,INDEX(Std_Cu1_Table,0,2)),_xlfn.XLOOKUP($BP67,Std_Cu3_Code,INDEX(Std_Cu3_Table,0,2)))),""))</f>
        <v/>
      </c>
      <c r="BV67" s="829" t="str">
        <f t="shared" si="6"/>
        <v/>
      </c>
      <c r="BW67" s="829" t="str">
        <f t="shared" si="12"/>
        <v/>
      </c>
      <c r="BX67" s="829" t="str" cm="1">
        <f t="array" ref="BX67">IF(OR($BP67="",$H67="",$I67="",$F67="",$BW67=""),"",IFERROR(_xlfn.LET(_xlpm.codes,IF($BV67="AL",Std_Al3_Code,IF($G67=1,Std_Cu1_Code,Std_Cu3_Code)),_xlpm.tbl,IF($BV67="AL",Std_Al3_Table,IF($G67=1,Std_Cu1_Table,Std_Cu3_Table)),_xlpm.i,MATCH($BP67,_xlpm.codes,0),_xlpm.idx,_xlfn.SEQUENCE(ROWS(_xlpm.codes)),_xlpm.cnd,INDEX(_xlpm.tbl,0,4),_xlpm.sts,INDEX(_xlpm.tbl,0,2),_xlpm.sz,IFERROR(_xlfn.TEXTBEFORE(_xlfn.TEXTAFTER(_xlpm.cnd,"#"),","),IFERROR(_xlfn.TEXTAFTER(_xlpm.cnd,"#"),"")),_xlpm.cm,IFERROR(_xlfn.XLOOKUP(TRIM(_xlpm.sz),Ampacity_Size,Ampacity_CM),0),_xlpm.mult,IF($G67=3,SQRT3,2),_xlpm.kk,IF($BV67="AL",K_Al,K_Cu),_xlpm.vd,IF(_xlpm.cm*IF(ISNUMBER(_xlpm.sts),_xlpm.sts,0)=0,9,_xlpm.mult*_xlpm.kk*$I67*$H67/(_xlpm.cm*_xlpm.sts)/$F67),_xlpm.hasN,--(RIGHT(_xlpm.codes&amp;"",1)="N"),_xlpm.wantN,--(RIGHT($BP67&amp;"",1)="N"),_xlpm.ok,(_xlpm.idx&gt;=_xlpm.i)*(_xlpm.vd&lt;=Cfg_VDFeeder)*(_xlpm.cm&gt;0)*ISNUMBER(_xlpm.sts)*(_xlpm.hasN=_xlpm.wantN),_xlpm.m,MIN(IF(_xlpm.ok=1,_xlpm.idx)),INDEX(_xlpm.codes,IF(_xlpm.m=0,_xlpm.i,_xlpm.m))),""))</f>
        <v/>
      </c>
      <c r="BY67" s="829" t="str" cm="1">
        <f t="array" ref="BY67">IF($BP67="","",IF($BX67="",$BU67,IFERROR(IF($BV67="AL",_xlfn.XLOOKUP($BX67,Std_Al3_Code,INDEX(Std_Al3_Table,0,2)),IF($G67=1,_xlfn.XLOOKUP($BX67,Std_Cu1_Code,INDEX(Std_Cu1_Table,0,2)),_xlfn.XLOOKUP($BX67,Std_Cu3_Code,INDEX(Std_Cu3_Table,0,2)))),"")))</f>
        <v/>
      </c>
      <c r="BZ67" s="829" t="str" cm="1">
        <f t="array" ref="BZ67">IF($BP67="","",IF($BX67="",$BR67,IFERROR(IF($BV67="AL",_xlfn.XLOOKUP($BX67,Std_Al3_Code,INDEX(Std_Al3_Table,0,4)),IF($G67=1,_xlfn.XLOOKUP($BX67,Std_Cu1_Code,INDEX(Std_Cu1_Table,0,4)),_xlfn.XLOOKUP($BX67,Std_Cu3_Code,INDEX(Std_Cu3_Table,0,4)))),"")))</f>
        <v/>
      </c>
      <c r="CA67" s="829" t="str" cm="1">
        <f t="array" ref="CA67">IF($BP67="","",IF($BX67="",$BQ67,IFERROR(IF($BV67="AL",_xlfn.XLOOKUP($BX67,Std_Al3_Code,INDEX(Std_Al3_Table,0,3)),IF($G67=1,_xlfn.XLOOKUP($BX67,Std_Cu1_Code,INDEX(Std_Cu1_Table,0,3)),_xlfn.XLOOKUP($BX67,Std_Cu3_Code,INDEX(Std_Cu3_Table,0,3)))),"")))</f>
        <v/>
      </c>
      <c r="CB67" s="829" t="str" cm="1">
        <f t="array" ref="CB67">IF($BP67="","",IF($BX67="",$BS67,IFERROR(IF($BV67="AL",_xlfn.XLOOKUP($BX67,Std_Al3_Code,INDEX(Std_Al3_Table,0,5)),IF($G67=1,_xlfn.XLOOKUP($BX67,Std_Cu1_Code,INDEX(Std_Cu1_Table,0,5)),_xlfn.XLOOKUP($BX67,Std_Cu3_Code,INDEX(Std_Cu3_Table,0,5)))),"")))</f>
        <v/>
      </c>
      <c r="CC67" s="829" t="str">
        <f t="shared" si="13"/>
        <v/>
      </c>
      <c r="CD67" s="829" t="str">
        <f t="shared" si="14"/>
        <v/>
      </c>
      <c r="CE67" s="829" t="str">
        <f t="shared" si="15"/>
        <v/>
      </c>
      <c r="CF67" s="829" t="str">
        <f t="shared" si="16"/>
        <v/>
      </c>
      <c r="CG67" s="829" t="str">
        <f t="shared" si="17"/>
        <v/>
      </c>
      <c r="CH67" s="829" t="str">
        <f t="shared" si="18"/>
        <v/>
      </c>
      <c r="CI67" s="829" t="str">
        <f t="shared" si="19"/>
        <v/>
      </c>
      <c r="CJ67" s="829" t="str" cm="1">
        <f t="array" ref="CJ67">IF($B67="","",_xlfn.LET(_xlpm.to,$D67&amp;"",_xlpm.em,IFERROR(INDEX(_xlfn.ANCHORARRAY($BE$4),ROW()-4,6),"")="EMERG",_xlpm.pri,AND(NOT(_xlpm.em),LEFT(_xlpm.to,2)="T-",ISNUMBER(MATCH(MID(_xlpm.to,3,99),Equip_List,0)),ISNA(MATCH(_xlpm.to,Equip_List,0))),IF(_xlpm.pri,MID(_xlpm.to,3,99),_xlpm.to)))</f>
        <v/>
      </c>
      <c r="CK67" s="829" t="str" cm="1">
        <f t="array" ref="CK67">IF($CJ67="","",IF(IFERROR(INDEX(_xlfn.ANCHORARRAY($BE$4),ROW()-4,6),"")="EMERG","E",IF($CJ67&lt;&gt;$D67&amp;"","P","N")))</f>
        <v/>
      </c>
    </row>
    <row r="68" spans="1:89" ht="15" customHeight="1" x14ac:dyDescent="0.35">
      <c r="A68" s="821" t="str">
        <f t="shared" si="7"/>
        <v/>
      </c>
      <c r="B68" s="821" t="str" cm="1">
        <f t="array" ref="B68">IFERROR(IF(INDEX(_xlfn.ANCHORARRAY($BE$4),ROW()-4,2)="","","F-"&amp;INDEX(_xlfn.ANCHORARRAY($BE$4),ROW()-4,2)&amp;IF(IFERROR(INDEX(_xlfn.ANCHORARRAY($BE$4),ROW()-4,6),"")="EMERG","-E","")),"")</f>
        <v/>
      </c>
      <c r="C68" s="821" t="str" cm="1">
        <f t="array" ref="C68">IFERROR(IF($B68="","",INDEX(_xlfn.ANCHORARRAY($BE$4),ROW()-4,1)),"")</f>
        <v/>
      </c>
      <c r="D68" s="821" t="str" cm="1">
        <f t="array" ref="D68">IFERROR(IF($B68="","",INDEX(_xlfn.ANCHORARRAY($BE$4),ROW()-4,2)),"")</f>
        <v/>
      </c>
      <c r="E68" s="806" t="str" cm="1">
        <f t="array" ref="E68">IFERROR(IF($B68="","",INDEX(_xlfn.ANCHORARRAY($BE$4),ROW()-4,3)),"")</f>
        <v/>
      </c>
      <c r="F68" s="822" t="str" cm="1">
        <f t="array" ref="F68">IFERROR(IF($B68="","",INDEX(_xlfn.ANCHORARRAY($BE$4),ROW()-4,4)),"")</f>
        <v/>
      </c>
      <c r="G68" s="823" t="str" cm="1">
        <f t="array" ref="G68">IFERROR(IF($B68="","",INDEX(_xlfn.ANCHORARRAY($BE$4),ROW()-4,5)),"")</f>
        <v/>
      </c>
      <c r="H68" s="824" t="str" cm="1">
        <f t="array" ref="H68">IF($CJ68="","",_xlfn.LET(_xlpm.v,_xlfn.XLOOKUP($CJ68,Equip_List,IF($CK68="E",Equip_EmLen,IF($CK68="P",Equip_XfPriLen,Equip_FdrLen)),""),IF(_xlpm.v="","",_xlpm.v)))</f>
        <v/>
      </c>
      <c r="I68" s="806" t="str">
        <f t="shared" si="0"/>
        <v/>
      </c>
      <c r="J68" s="820"/>
      <c r="K68" s="806" t="str">
        <f>_xlfn.LET(_xlpm.k,IF($I68="","",IF(COUNTIF(UPS!$B$57:$B$64,$C68&amp;"")&gt;0,1.25*MAX($I68,N(_xlfn.XLOOKUP($C68&amp;"",UPS!$B$57:$B$64,UPS!$M$57:$M$64,0))),IF(COUNTIF(UPS!$B$57:$B$64,$D68&amp;"")&gt;0,1.25*MAX($I68,N(_xlfn.XLOOKUP($D68&amp;"",UPS!$B$57:$B$64,UPS!$Q$57:$Q$64,0))),$I68*IF(OR(UPPER($J68)="Y",LEFT($C68,2)="T-",LEFT($D68,2)="T-"),1.25,1)))),IF(_xlpm.k="","",MAX(_xlpm.k,N(IFERROR(_xlfn.XLOOKUP($D68&amp;"",Dashboard!$A$101:$A$350,Dashboard!$O$101:$O$350,0),0)))))</f>
        <v/>
      </c>
      <c r="L68" s="825" t="str">
        <f>IF($CJ68="","",_xlfn.LET(_xlpm.v,UPPER(TRIM(_xlfn.XLOOKUP($CJ68,Equip_List,Equip_FdrMat,"")&amp;"")),IF(_xlpm.v="",UPPER(TRIM(Cfg_FeederMat&amp;"")),_xlpm.v)))</f>
        <v/>
      </c>
      <c r="M68" s="825" t="str">
        <f>IF($CJ68="","",_xlfn.LET(_xlpm.v,TRIM(_xlfn.XLOOKUP($CJ68,Equip_List,Equip_FdrRace,"")&amp;""),IF(_xlpm.v="",Cfg_Conduit&amp;"",_xlpm.v)))</f>
        <v/>
      </c>
      <c r="N68" s="825" t="str">
        <f>IF($CJ68="","",IF(UPPER(TRIM(_xlfn.XLOOKUP($CJ68,Equip_List,Equip_FdrExist,"")&amp;""))="Y","Y",""))</f>
        <v/>
      </c>
      <c r="O68" s="823" t="str">
        <f t="shared" si="8"/>
        <v/>
      </c>
      <c r="P68" s="821" t="str">
        <f t="shared" si="9"/>
        <v/>
      </c>
      <c r="Q68" s="821" t="str">
        <f t="shared" si="10"/>
        <v/>
      </c>
      <c r="R68" s="822" t="str" cm="1">
        <f t="array" ref="R68">IF(K68="","",INDEX(OCPD_List,MATCH(TRUE,OCPD_List&gt;=K68,0)))</f>
        <v/>
      </c>
      <c r="S68" s="821" t="str">
        <f t="shared" si="11"/>
        <v/>
      </c>
      <c r="T68" s="826" t="str">
        <f t="shared" si="1"/>
        <v/>
      </c>
      <c r="U68" s="826" t="str">
        <f t="shared" si="2"/>
        <v/>
      </c>
      <c r="V68" s="827" t="str">
        <f t="shared" si="3"/>
        <v/>
      </c>
      <c r="W68" s="828"/>
      <c r="X68" s="819"/>
      <c r="Y68" s="820"/>
      <c r="Z68" s="820"/>
      <c r="AA68" s="820"/>
      <c r="BN68" s="832" t="str">
        <f>IF($B68="","",IFERROR(_xlfn.XLOOKUP($D68,Dashboard!$A$101:$A$350,Dashboard!$C$101:$C$350),""))</f>
        <v/>
      </c>
      <c r="BO68" s="832" t="str">
        <f t="shared" si="4"/>
        <v/>
      </c>
      <c r="BP68" s="832" t="str" cm="1">
        <f t="array" ref="BP68">IF(OR($B68="",$R68="",NOT(ISNUMBER($R68))),"",IF(AND($BV68="AL",$G68=1),"",_xlfn.LET(_xlpm.codes,IF($BV68="AL",Std_Al3_Code,IF($G68=1,Std_Cu1_Code,Std_Cu3_Code)),_xlpm.amps,IFERROR(--SUBSTITUTE(_xlpm.codes&amp;"","N",""),""),_xlpm.a,MIN(IF(ISNUMBER(_xlpm.amps),IF(_xlpm.amps&gt;=$R68,_xlpm.amps,""),"")),_xlpm.k,IF(_xlpm.a=0,$R68,_xlpm.a),IF($BO68="Y",TEXT(_xlpm.k,"0")&amp;"N",_xlpm.k))))</f>
        <v/>
      </c>
      <c r="BQ68" s="832" t="str" cm="1">
        <f t="array" ref="BQ68">IF($BP68="","",IFERROR(IF($BV68="AL",_xlfn.XLOOKUP($BP68,Std_Al3_Code,INDEX(Std_Al3_Table,0,3)),IF($G68=1,_xlfn.XLOOKUP($BP68,Std_Cu1_Code,INDEX(Std_Cu1_Table,0,3)),_xlfn.XLOOKUP($BP68,Std_Cu3_Code,INDEX(Std_Cu3_Table,0,3)))),""))</f>
        <v/>
      </c>
      <c r="BR68" s="832" t="str" cm="1">
        <f t="array" ref="BR68">IF($BP68="","",IFERROR(IF($BV68="AL",_xlfn.XLOOKUP($BP68,Std_Al3_Code,INDEX(Std_Al3_Table,0,4)),IF($G68=1,_xlfn.XLOOKUP($BP68,Std_Cu1_Code,INDEX(Std_Cu1_Table,0,4)),_xlfn.XLOOKUP($BP68,Std_Cu3_Code,INDEX(Std_Cu3_Table,0,4)))),""))</f>
        <v/>
      </c>
      <c r="BS68" s="832" t="str" cm="1">
        <f t="array" ref="BS68">IF($BP68="","",IFERROR(IF($BV68="AL",_xlfn.XLOOKUP($BP68,Std_Al3_Code,INDEX(Std_Al3_Table,0,5)),IF($G68=1,_xlfn.XLOOKUP($BP68,Std_Cu1_Code,INDEX(Std_Cu1_Table,0,5)),_xlfn.XLOOKUP($BP68,Std_Cu3_Code,INDEX(Std_Cu3_Table,0,5)))),""))</f>
        <v/>
      </c>
      <c r="BT68" s="832" t="str">
        <f t="shared" si="5"/>
        <v/>
      </c>
      <c r="BU68" s="832" t="str" cm="1">
        <f t="array" ref="BU68">IF($BP68="","",IFERROR(IF($BV68="AL",_xlfn.XLOOKUP($BP68,Std_Al3_Code,INDEX(Std_Al3_Table,0,2)),IF($G68=1,_xlfn.XLOOKUP($BP68,Std_Cu1_Code,INDEX(Std_Cu1_Table,0,2)),_xlfn.XLOOKUP($BP68,Std_Cu3_Code,INDEX(Std_Cu3_Table,0,2)))),""))</f>
        <v/>
      </c>
      <c r="BV68" s="829" t="str">
        <f t="shared" si="6"/>
        <v/>
      </c>
      <c r="BW68" s="829" t="str">
        <f t="shared" si="12"/>
        <v/>
      </c>
      <c r="BX68" s="829" t="str" cm="1">
        <f t="array" ref="BX68">IF(OR($BP68="",$H68="",$I68="",$F68="",$BW68=""),"",IFERROR(_xlfn.LET(_xlpm.codes,IF($BV68="AL",Std_Al3_Code,IF($G68=1,Std_Cu1_Code,Std_Cu3_Code)),_xlpm.tbl,IF($BV68="AL",Std_Al3_Table,IF($G68=1,Std_Cu1_Table,Std_Cu3_Table)),_xlpm.i,MATCH($BP68,_xlpm.codes,0),_xlpm.idx,_xlfn.SEQUENCE(ROWS(_xlpm.codes)),_xlpm.cnd,INDEX(_xlpm.tbl,0,4),_xlpm.sts,INDEX(_xlpm.tbl,0,2),_xlpm.sz,IFERROR(_xlfn.TEXTBEFORE(_xlfn.TEXTAFTER(_xlpm.cnd,"#"),","),IFERROR(_xlfn.TEXTAFTER(_xlpm.cnd,"#"),"")),_xlpm.cm,IFERROR(_xlfn.XLOOKUP(TRIM(_xlpm.sz),Ampacity_Size,Ampacity_CM),0),_xlpm.mult,IF($G68=3,SQRT3,2),_xlpm.kk,IF($BV68="AL",K_Al,K_Cu),_xlpm.vd,IF(_xlpm.cm*IF(ISNUMBER(_xlpm.sts),_xlpm.sts,0)=0,9,_xlpm.mult*_xlpm.kk*$I68*$H68/(_xlpm.cm*_xlpm.sts)/$F68),_xlpm.hasN,--(RIGHT(_xlpm.codes&amp;"",1)="N"),_xlpm.wantN,--(RIGHT($BP68&amp;"",1)="N"),_xlpm.ok,(_xlpm.idx&gt;=_xlpm.i)*(_xlpm.vd&lt;=Cfg_VDFeeder)*(_xlpm.cm&gt;0)*ISNUMBER(_xlpm.sts)*(_xlpm.hasN=_xlpm.wantN),_xlpm.m,MIN(IF(_xlpm.ok=1,_xlpm.idx)),INDEX(_xlpm.codes,IF(_xlpm.m=0,_xlpm.i,_xlpm.m))),""))</f>
        <v/>
      </c>
      <c r="BY68" s="829" t="str" cm="1">
        <f t="array" ref="BY68">IF($BP68="","",IF($BX68="",$BU68,IFERROR(IF($BV68="AL",_xlfn.XLOOKUP($BX68,Std_Al3_Code,INDEX(Std_Al3_Table,0,2)),IF($G68=1,_xlfn.XLOOKUP($BX68,Std_Cu1_Code,INDEX(Std_Cu1_Table,0,2)),_xlfn.XLOOKUP($BX68,Std_Cu3_Code,INDEX(Std_Cu3_Table,0,2)))),"")))</f>
        <v/>
      </c>
      <c r="BZ68" s="829" t="str" cm="1">
        <f t="array" ref="BZ68">IF($BP68="","",IF($BX68="",$BR68,IFERROR(IF($BV68="AL",_xlfn.XLOOKUP($BX68,Std_Al3_Code,INDEX(Std_Al3_Table,0,4)),IF($G68=1,_xlfn.XLOOKUP($BX68,Std_Cu1_Code,INDEX(Std_Cu1_Table,0,4)),_xlfn.XLOOKUP($BX68,Std_Cu3_Code,INDEX(Std_Cu3_Table,0,4)))),"")))</f>
        <v/>
      </c>
      <c r="CA68" s="829" t="str" cm="1">
        <f t="array" ref="CA68">IF($BP68="","",IF($BX68="",$BQ68,IFERROR(IF($BV68="AL",_xlfn.XLOOKUP($BX68,Std_Al3_Code,INDEX(Std_Al3_Table,0,3)),IF($G68=1,_xlfn.XLOOKUP($BX68,Std_Cu1_Code,INDEX(Std_Cu1_Table,0,3)),_xlfn.XLOOKUP($BX68,Std_Cu3_Code,INDEX(Std_Cu3_Table,0,3)))),"")))</f>
        <v/>
      </c>
      <c r="CB68" s="829" t="str" cm="1">
        <f t="array" ref="CB68">IF($BP68="","",IF($BX68="",$BS68,IFERROR(IF($BV68="AL",_xlfn.XLOOKUP($BX68,Std_Al3_Code,INDEX(Std_Al3_Table,0,5)),IF($G68=1,_xlfn.XLOOKUP($BX68,Std_Cu1_Code,INDEX(Std_Cu1_Table,0,5)),_xlfn.XLOOKUP($BX68,Std_Cu3_Code,INDEX(Std_Cu3_Table,0,5)))),"")))</f>
        <v/>
      </c>
      <c r="CC68" s="829" t="str">
        <f t="shared" si="13"/>
        <v/>
      </c>
      <c r="CD68" s="829" t="str">
        <f t="shared" si="14"/>
        <v/>
      </c>
      <c r="CE68" s="829" t="str">
        <f t="shared" si="15"/>
        <v/>
      </c>
      <c r="CF68" s="829" t="str">
        <f t="shared" si="16"/>
        <v/>
      </c>
      <c r="CG68" s="829" t="str">
        <f t="shared" si="17"/>
        <v/>
      </c>
      <c r="CH68" s="829" t="str">
        <f t="shared" si="18"/>
        <v/>
      </c>
      <c r="CI68" s="829" t="str">
        <f t="shared" si="19"/>
        <v/>
      </c>
      <c r="CJ68" s="829" t="str" cm="1">
        <f t="array" ref="CJ68">IF($B68="","",_xlfn.LET(_xlpm.to,$D68&amp;"",_xlpm.em,IFERROR(INDEX(_xlfn.ANCHORARRAY($BE$4),ROW()-4,6),"")="EMERG",_xlpm.pri,AND(NOT(_xlpm.em),LEFT(_xlpm.to,2)="T-",ISNUMBER(MATCH(MID(_xlpm.to,3,99),Equip_List,0)),ISNA(MATCH(_xlpm.to,Equip_List,0))),IF(_xlpm.pri,MID(_xlpm.to,3,99),_xlpm.to)))</f>
        <v/>
      </c>
      <c r="CK68" s="829" t="str" cm="1">
        <f t="array" ref="CK68">IF($CJ68="","",IF(IFERROR(INDEX(_xlfn.ANCHORARRAY($BE$4),ROW()-4,6),"")="EMERG","E",IF($CJ68&lt;&gt;$D68&amp;"","P","N")))</f>
        <v/>
      </c>
    </row>
    <row r="69" spans="1:89" ht="15" customHeight="1" x14ac:dyDescent="0.35">
      <c r="A69" s="821" t="str">
        <f t="shared" si="7"/>
        <v/>
      </c>
      <c r="B69" s="821" t="str" cm="1">
        <f t="array" ref="B69">IFERROR(IF(INDEX(_xlfn.ANCHORARRAY($BE$4),ROW()-4,2)="","","F-"&amp;INDEX(_xlfn.ANCHORARRAY($BE$4),ROW()-4,2)&amp;IF(IFERROR(INDEX(_xlfn.ANCHORARRAY($BE$4),ROW()-4,6),"")="EMERG","-E","")),"")</f>
        <v/>
      </c>
      <c r="C69" s="821" t="str" cm="1">
        <f t="array" ref="C69">IFERROR(IF($B69="","",INDEX(_xlfn.ANCHORARRAY($BE$4),ROW()-4,1)),"")</f>
        <v/>
      </c>
      <c r="D69" s="821" t="str" cm="1">
        <f t="array" ref="D69">IFERROR(IF($B69="","",INDEX(_xlfn.ANCHORARRAY($BE$4),ROW()-4,2)),"")</f>
        <v/>
      </c>
      <c r="E69" s="806" t="str" cm="1">
        <f t="array" ref="E69">IFERROR(IF($B69="","",INDEX(_xlfn.ANCHORARRAY($BE$4),ROW()-4,3)),"")</f>
        <v/>
      </c>
      <c r="F69" s="822" t="str" cm="1">
        <f t="array" ref="F69">IFERROR(IF($B69="","",INDEX(_xlfn.ANCHORARRAY($BE$4),ROW()-4,4)),"")</f>
        <v/>
      </c>
      <c r="G69" s="823" t="str" cm="1">
        <f t="array" ref="G69">IFERROR(IF($B69="","",INDEX(_xlfn.ANCHORARRAY($BE$4),ROW()-4,5)),"")</f>
        <v/>
      </c>
      <c r="H69" s="824" t="str" cm="1">
        <f t="array" ref="H69">IF($CJ69="","",_xlfn.LET(_xlpm.v,_xlfn.XLOOKUP($CJ69,Equip_List,IF($CK69="E",Equip_EmLen,IF($CK69="P",Equip_XfPriLen,Equip_FdrLen)),""),IF(_xlpm.v="","",_xlpm.v)))</f>
        <v/>
      </c>
      <c r="I69" s="806" t="str">
        <f t="shared" ref="I69:I132" si="20">IF(OR(E69="",F69=""),"",E69*1000/(F69*IF(G69=3,SQRT3,1)))</f>
        <v/>
      </c>
      <c r="J69" s="820"/>
      <c r="K69" s="806" t="str">
        <f>_xlfn.LET(_xlpm.k,IF($I69="","",IF(COUNTIF(UPS!$B$57:$B$64,$C69&amp;"")&gt;0,1.25*MAX($I69,N(_xlfn.XLOOKUP($C69&amp;"",UPS!$B$57:$B$64,UPS!$M$57:$M$64,0))),IF(COUNTIF(UPS!$B$57:$B$64,$D69&amp;"")&gt;0,1.25*MAX($I69,N(_xlfn.XLOOKUP($D69&amp;"",UPS!$B$57:$B$64,UPS!$Q$57:$Q$64,0))),$I69*IF(OR(UPPER($J69)="Y",LEFT($C69,2)="T-",LEFT($D69,2)="T-"),1.25,1)))),IF(_xlpm.k="","",MAX(_xlpm.k,N(IFERROR(_xlfn.XLOOKUP($D69&amp;"",Dashboard!$A$101:$A$350,Dashboard!$O$101:$O$350,0),0)))))</f>
        <v/>
      </c>
      <c r="L69" s="825" t="str">
        <f>IF($CJ69="","",_xlfn.LET(_xlpm.v,UPPER(TRIM(_xlfn.XLOOKUP($CJ69,Equip_List,Equip_FdrMat,"")&amp;"")),IF(_xlpm.v="",UPPER(TRIM(Cfg_FeederMat&amp;"")),_xlpm.v)))</f>
        <v/>
      </c>
      <c r="M69" s="825" t="str">
        <f>IF($CJ69="","",_xlfn.LET(_xlpm.v,TRIM(_xlfn.XLOOKUP($CJ69,Equip_List,Equip_FdrRace,"")&amp;""),IF(_xlpm.v="",Cfg_Conduit&amp;"",_xlpm.v)))</f>
        <v/>
      </c>
      <c r="N69" s="825" t="str">
        <f>IF($CJ69="","",IF(UPPER(TRIM(_xlfn.XLOOKUP($CJ69,Equip_List,Equip_FdrExist,"")&amp;""))="Y","Y",""))</f>
        <v/>
      </c>
      <c r="O69" s="823" t="str">
        <f t="shared" si="8"/>
        <v/>
      </c>
      <c r="P69" s="821" t="str">
        <f t="shared" si="9"/>
        <v/>
      </c>
      <c r="Q69" s="821" t="str">
        <f t="shared" si="10"/>
        <v/>
      </c>
      <c r="R69" s="822" t="str" cm="1">
        <f t="array" ref="R69">IF(K69="","",INDEX(OCPD_List,MATCH(TRUE,OCPD_List&gt;=K69,0)))</f>
        <v/>
      </c>
      <c r="S69" s="821" t="str">
        <f t="shared" si="11"/>
        <v/>
      </c>
      <c r="T69" s="826" t="str">
        <f t="shared" ref="T69:T132" si="21">IF(UPPER($N69&amp;"")="Y","",IFERROR(IF(OR($I69="",$H69="",$BW69="",$F69="",$BU69=""),"",(IF($G69=3,SQRT3,2))*IF($BV69="AL",K_Al,K_Cu)*$I69*$H69/(_xlfn.XLOOKUP($BW69,Ampacity_Size,Ampacity_CM)*$BU69)/$F69),""))</f>
        <v/>
      </c>
      <c r="U69" s="826" t="str">
        <f t="shared" ref="U69:U132" si="22">IFERROR(IF(OR($I69="",$H69="",$CH69="",$F69="",NOT(ISNUMBER($CD69))),"",(IF($G69=3,SQRT3,2))*IF($BV69="AL",K_Al,K_Cu)*$I69*$H69/(_xlfn.XLOOKUP($CH69,Ampacity_Size,Ampacity_CM)*$CD69)/$F69),"")</f>
        <v/>
      </c>
      <c r="V69" s="827" t="str">
        <f t="shared" ref="V69:V132" si="23">IF($B69="","",IF(UPPER($N69&amp;"")="Y","EXIST — existing feeder to remain; verify capacity for the new load",IF(AND($BV69="AL",$G69=1),IF($CI69&lt;&gt;"",$CI69,"⚠ no aluminium single-phase standard schedule — set Material to Cu on this row, or record what is installed in the Override columns"),IF($BP69="","",IF($BQ69="","⚠ OCPD "&amp;TEXT($R69,"0")&amp;"A is not in the "&amp;IF($BV69="AL","aluminium","copper")&amp;" standard schedule",IF($CI69&lt;&gt;"",$CI69,IF($BT69&lt;&gt;"",$BT69,IF($H69="","⚠ Enter length to check voltage drop",IF(NOT(ISNUMBER($U69)),"⚠ Voltage drop cannot be calculated",IF($U69&gt;Cfg_VDFeeder,"⚠ VD "&amp;TEXT($U69,"0.0%")&amp;" exceeds "&amp;TEXT(Cfg_VDFeeder,"0%")&amp;" — shorten run or add sets",IF($BX69&lt;&gt;$BP69,"↑ Conductors upsized to code "&amp;$BX69&amp;" for VD","OK")))))))))))</f>
        <v/>
      </c>
      <c r="W69" s="828"/>
      <c r="X69" s="819"/>
      <c r="Y69" s="820"/>
      <c r="Z69" s="820"/>
      <c r="AA69" s="820"/>
      <c r="BN69" s="832" t="str">
        <f>IF($B69="","",IFERROR(_xlfn.XLOOKUP($D69,Dashboard!$A$101:$A$350,Dashboard!$C$101:$C$350),""))</f>
        <v/>
      </c>
      <c r="BO69" s="832" t="str">
        <f t="shared" ref="BO69:BO132" si="24">IF($B69="","",IF(OR(ISNUMBER(SEARCH("4W",$BN69)),ISNUMBER(SEARCH("3W",$BN69))),"Y","N"))</f>
        <v/>
      </c>
      <c r="BP69" s="832" t="str" cm="1">
        <f t="array" ref="BP69">IF(OR($B69="",$R69="",NOT(ISNUMBER($R69))),"",IF(AND($BV69="AL",$G69=1),"",_xlfn.LET(_xlpm.codes,IF($BV69="AL",Std_Al3_Code,IF($G69=1,Std_Cu1_Code,Std_Cu3_Code)),_xlpm.amps,IFERROR(--SUBSTITUTE(_xlpm.codes&amp;"","N",""),""),_xlpm.a,MIN(IF(ISNUMBER(_xlpm.amps),IF(_xlpm.amps&gt;=$R69,_xlpm.amps,""),"")),_xlpm.k,IF(_xlpm.a=0,$R69,_xlpm.a),IF($BO69="Y",TEXT(_xlpm.k,"0")&amp;"N",_xlpm.k))))</f>
        <v/>
      </c>
      <c r="BQ69" s="832" t="str" cm="1">
        <f t="array" ref="BQ69">IF($BP69="","",IFERROR(IF($BV69="AL",_xlfn.XLOOKUP($BP69,Std_Al3_Code,INDEX(Std_Al3_Table,0,3)),IF($G69=1,_xlfn.XLOOKUP($BP69,Std_Cu1_Code,INDEX(Std_Cu1_Table,0,3)),_xlfn.XLOOKUP($BP69,Std_Cu3_Code,INDEX(Std_Cu3_Table,0,3)))),""))</f>
        <v/>
      </c>
      <c r="BR69" s="832" t="str" cm="1">
        <f t="array" ref="BR69">IF($BP69="","",IFERROR(IF($BV69="AL",_xlfn.XLOOKUP($BP69,Std_Al3_Code,INDEX(Std_Al3_Table,0,4)),IF($G69=1,_xlfn.XLOOKUP($BP69,Std_Cu1_Code,INDEX(Std_Cu1_Table,0,4)),_xlfn.XLOOKUP($BP69,Std_Cu3_Code,INDEX(Std_Cu3_Table,0,4)))),""))</f>
        <v/>
      </c>
      <c r="BS69" s="832" t="str" cm="1">
        <f t="array" ref="BS69">IF($BP69="","",IFERROR(IF($BV69="AL",_xlfn.XLOOKUP($BP69,Std_Al3_Code,INDEX(Std_Al3_Table,0,5)),IF($G69=1,_xlfn.XLOOKUP($BP69,Std_Cu1_Code,INDEX(Std_Cu1_Table,0,5)),_xlfn.XLOOKUP($BP69,Std_Cu3_Code,INDEX(Std_Cu3_Table,0,5)))),""))</f>
        <v/>
      </c>
      <c r="BT69" s="832" t="str">
        <f t="shared" ref="BT69:BT132" si="25">IF(AND($CH69&lt;&gt;"",ISNA(MATCH(TRIM($CH69),Ampacity_Size,0))),"⚠ conductor above 750 kcmil (max) — use parallel sets (Ovr Sets)",IF(OR($B69="",$CC69="",$R69="",$BY69=""),"",IFERROR(_xlfn.LET(_xlpm.amp,INDEX(IF($BV69="AL",Ampacity_Al,Ampacity_Cu),MATCH($CC69,Ampacity_Size,0))*$BY69,IF(_xlpm.amp&lt;$R69,"⚠ standard conductor ampacity "&amp;TEXT(_xlpm.amp,"0")&amp;"A is below OCPD "&amp;TEXT($R69,"0")&amp;"A","")),"")))</f>
        <v/>
      </c>
      <c r="BU69" s="832" t="str" cm="1">
        <f t="array" ref="BU69">IF($BP69="","",IFERROR(IF($BV69="AL",_xlfn.XLOOKUP($BP69,Std_Al3_Code,INDEX(Std_Al3_Table,0,2)),IF($G69=1,_xlfn.XLOOKUP($BP69,Std_Cu1_Code,INDEX(Std_Cu1_Table,0,2)),_xlfn.XLOOKUP($BP69,Std_Cu3_Code,INDEX(Std_Cu3_Table,0,2)))),""))</f>
        <v/>
      </c>
      <c r="BV69" s="829" t="str">
        <f t="shared" ref="BV69:BV132" si="26">IF($B69="","",IF(UPPER(TRIM($L69&amp;""))="AL","AL",IF(UPPER(TRIM($L69&amp;""))="CU","CU",IF(UPPER(TRIM(Cfg_FeederMat&amp;""))="AL","AL","CU"))))</f>
        <v/>
      </c>
      <c r="BW69" s="829" t="str">
        <f t="shared" si="12"/>
        <v/>
      </c>
      <c r="BX69" s="829" t="str" cm="1">
        <f t="array" ref="BX69">IF(OR($BP69="",$H69="",$I69="",$F69="",$BW69=""),"",IFERROR(_xlfn.LET(_xlpm.codes,IF($BV69="AL",Std_Al3_Code,IF($G69=1,Std_Cu1_Code,Std_Cu3_Code)),_xlpm.tbl,IF($BV69="AL",Std_Al3_Table,IF($G69=1,Std_Cu1_Table,Std_Cu3_Table)),_xlpm.i,MATCH($BP69,_xlpm.codes,0),_xlpm.idx,_xlfn.SEQUENCE(ROWS(_xlpm.codes)),_xlpm.cnd,INDEX(_xlpm.tbl,0,4),_xlpm.sts,INDEX(_xlpm.tbl,0,2),_xlpm.sz,IFERROR(_xlfn.TEXTBEFORE(_xlfn.TEXTAFTER(_xlpm.cnd,"#"),","),IFERROR(_xlfn.TEXTAFTER(_xlpm.cnd,"#"),"")),_xlpm.cm,IFERROR(_xlfn.XLOOKUP(TRIM(_xlpm.sz),Ampacity_Size,Ampacity_CM),0),_xlpm.mult,IF($G69=3,SQRT3,2),_xlpm.kk,IF($BV69="AL",K_Al,K_Cu),_xlpm.vd,IF(_xlpm.cm*IF(ISNUMBER(_xlpm.sts),_xlpm.sts,0)=0,9,_xlpm.mult*_xlpm.kk*$I69*$H69/(_xlpm.cm*_xlpm.sts)/$F69),_xlpm.hasN,--(RIGHT(_xlpm.codes&amp;"",1)="N"),_xlpm.wantN,--(RIGHT($BP69&amp;"",1)="N"),_xlpm.ok,(_xlpm.idx&gt;=_xlpm.i)*(_xlpm.vd&lt;=Cfg_VDFeeder)*(_xlpm.cm&gt;0)*ISNUMBER(_xlpm.sts)*(_xlpm.hasN=_xlpm.wantN),_xlpm.m,MIN(IF(_xlpm.ok=1,_xlpm.idx)),INDEX(_xlpm.codes,IF(_xlpm.m=0,_xlpm.i,_xlpm.m))),""))</f>
        <v/>
      </c>
      <c r="BY69" s="829" t="str" cm="1">
        <f t="array" ref="BY69">IF($BP69="","",IF($BX69="",$BU69,IFERROR(IF($BV69="AL",_xlfn.XLOOKUP($BX69,Std_Al3_Code,INDEX(Std_Al3_Table,0,2)),IF($G69=1,_xlfn.XLOOKUP($BX69,Std_Cu1_Code,INDEX(Std_Cu1_Table,0,2)),_xlfn.XLOOKUP($BX69,Std_Cu3_Code,INDEX(Std_Cu3_Table,0,2)))),"")))</f>
        <v/>
      </c>
      <c r="BZ69" s="829" t="str" cm="1">
        <f t="array" ref="BZ69">IF($BP69="","",IF($BX69="",$BR69,IFERROR(IF($BV69="AL",_xlfn.XLOOKUP($BX69,Std_Al3_Code,INDEX(Std_Al3_Table,0,4)),IF($G69=1,_xlfn.XLOOKUP($BX69,Std_Cu1_Code,INDEX(Std_Cu1_Table,0,4)),_xlfn.XLOOKUP($BX69,Std_Cu3_Code,INDEX(Std_Cu3_Table,0,4)))),"")))</f>
        <v/>
      </c>
      <c r="CA69" s="829" t="str" cm="1">
        <f t="array" ref="CA69">IF($BP69="","",IF($BX69="",$BQ69,IFERROR(IF($BV69="AL",_xlfn.XLOOKUP($BX69,Std_Al3_Code,INDEX(Std_Al3_Table,0,3)),IF($G69=1,_xlfn.XLOOKUP($BX69,Std_Cu1_Code,INDEX(Std_Cu1_Table,0,3)),_xlfn.XLOOKUP($BX69,Std_Cu3_Code,INDEX(Std_Cu3_Table,0,3)))),"")))</f>
        <v/>
      </c>
      <c r="CB69" s="829" t="str" cm="1">
        <f t="array" ref="CB69">IF($BP69="","",IF($BX69="",$BS69,IFERROR(IF($BV69="AL",_xlfn.XLOOKUP($BX69,Std_Al3_Code,INDEX(Std_Al3_Table,0,5)),IF($G69=1,_xlfn.XLOOKUP($BX69,Std_Cu1_Code,INDEX(Std_Cu1_Table,0,5)),_xlfn.XLOOKUP($BX69,Std_Cu3_Code,INDEX(Std_Cu3_Table,0,5)))),"")))</f>
        <v/>
      </c>
      <c r="CC69" s="829" t="str">
        <f t="shared" si="13"/>
        <v/>
      </c>
      <c r="CD69" s="829" t="str">
        <f t="shared" si="14"/>
        <v/>
      </c>
      <c r="CE69" s="829" t="str">
        <f t="shared" si="15"/>
        <v/>
      </c>
      <c r="CF69" s="829" t="str">
        <f t="shared" si="16"/>
        <v/>
      </c>
      <c r="CG69" s="829" t="str">
        <f t="shared" si="17"/>
        <v/>
      </c>
      <c r="CH69" s="829" t="str">
        <f t="shared" si="18"/>
        <v/>
      </c>
      <c r="CI69" s="829" t="str">
        <f t="shared" si="19"/>
        <v/>
      </c>
      <c r="CJ69" s="829" t="str" cm="1">
        <f t="array" ref="CJ69">IF($B69="","",_xlfn.LET(_xlpm.to,$D69&amp;"",_xlpm.em,IFERROR(INDEX(_xlfn.ANCHORARRAY($BE$4),ROW()-4,6),"")="EMERG",_xlpm.pri,AND(NOT(_xlpm.em),LEFT(_xlpm.to,2)="T-",ISNUMBER(MATCH(MID(_xlpm.to,3,99),Equip_List,0)),ISNA(MATCH(_xlpm.to,Equip_List,0))),IF(_xlpm.pri,MID(_xlpm.to,3,99),_xlpm.to)))</f>
        <v/>
      </c>
      <c r="CK69" s="829" t="str" cm="1">
        <f t="array" ref="CK69">IF($CJ69="","",IF(IFERROR(INDEX(_xlfn.ANCHORARRAY($BE$4),ROW()-4,6),"")="EMERG","E",IF($CJ69&lt;&gt;$D69&amp;"","P","N")))</f>
        <v/>
      </c>
    </row>
    <row r="70" spans="1:89" ht="15" customHeight="1" x14ac:dyDescent="0.35">
      <c r="A70" s="821" t="str">
        <f t="shared" ref="A70:A133" si="27">IF($B70="","",IF(UPPER($N70&amp;"")="Y","EXIST",IF($BP70="","",$BP70)))</f>
        <v/>
      </c>
      <c r="B70" s="821" t="str" cm="1">
        <f t="array" ref="B70">IFERROR(IF(INDEX(_xlfn.ANCHORARRAY($BE$4),ROW()-4,2)="","","F-"&amp;INDEX(_xlfn.ANCHORARRAY($BE$4),ROW()-4,2)&amp;IF(IFERROR(INDEX(_xlfn.ANCHORARRAY($BE$4),ROW()-4,6),"")="EMERG","-E","")),"")</f>
        <v/>
      </c>
      <c r="C70" s="821" t="str" cm="1">
        <f t="array" ref="C70">IFERROR(IF($B70="","",INDEX(_xlfn.ANCHORARRAY($BE$4),ROW()-4,1)),"")</f>
        <v/>
      </c>
      <c r="D70" s="821" t="str" cm="1">
        <f t="array" ref="D70">IFERROR(IF($B70="","",INDEX(_xlfn.ANCHORARRAY($BE$4),ROW()-4,2)),"")</f>
        <v/>
      </c>
      <c r="E70" s="806" t="str" cm="1">
        <f t="array" ref="E70">IFERROR(IF($B70="","",INDEX(_xlfn.ANCHORARRAY($BE$4),ROW()-4,3)),"")</f>
        <v/>
      </c>
      <c r="F70" s="822" t="str" cm="1">
        <f t="array" ref="F70">IFERROR(IF($B70="","",INDEX(_xlfn.ANCHORARRAY($BE$4),ROW()-4,4)),"")</f>
        <v/>
      </c>
      <c r="G70" s="823" t="str" cm="1">
        <f t="array" ref="G70">IFERROR(IF($B70="","",INDEX(_xlfn.ANCHORARRAY($BE$4),ROW()-4,5)),"")</f>
        <v/>
      </c>
      <c r="H70" s="824" t="str" cm="1">
        <f t="array" ref="H70">IF($CJ70="","",_xlfn.LET(_xlpm.v,_xlfn.XLOOKUP($CJ70,Equip_List,IF($CK70="E",Equip_EmLen,IF($CK70="P",Equip_XfPriLen,Equip_FdrLen)),""),IF(_xlpm.v="","",_xlpm.v)))</f>
        <v/>
      </c>
      <c r="I70" s="806" t="str">
        <f t="shared" si="20"/>
        <v/>
      </c>
      <c r="J70" s="820"/>
      <c r="K70" s="806" t="str">
        <f>_xlfn.LET(_xlpm.k,IF($I70="","",IF(COUNTIF(UPS!$B$57:$B$64,$C70&amp;"")&gt;0,1.25*MAX($I70,N(_xlfn.XLOOKUP($C70&amp;"",UPS!$B$57:$B$64,UPS!$M$57:$M$64,0))),IF(COUNTIF(UPS!$B$57:$B$64,$D70&amp;"")&gt;0,1.25*MAX($I70,N(_xlfn.XLOOKUP($D70&amp;"",UPS!$B$57:$B$64,UPS!$Q$57:$Q$64,0))),$I70*IF(OR(UPPER($J70)="Y",LEFT($C70,2)="T-",LEFT($D70,2)="T-"),1.25,1)))),IF(_xlpm.k="","",MAX(_xlpm.k,N(IFERROR(_xlfn.XLOOKUP($D70&amp;"",Dashboard!$A$101:$A$350,Dashboard!$O$101:$O$350,0),0)))))</f>
        <v/>
      </c>
      <c r="L70" s="825" t="str">
        <f>IF($CJ70="","",_xlfn.LET(_xlpm.v,UPPER(TRIM(_xlfn.XLOOKUP($CJ70,Equip_List,Equip_FdrMat,"")&amp;"")),IF(_xlpm.v="",UPPER(TRIM(Cfg_FeederMat&amp;"")),_xlpm.v)))</f>
        <v/>
      </c>
      <c r="M70" s="825" t="str">
        <f>IF($CJ70="","",_xlfn.LET(_xlpm.v,TRIM(_xlfn.XLOOKUP($CJ70,Equip_List,Equip_FdrRace,"")&amp;""),IF(_xlpm.v="",Cfg_Conduit&amp;"",_xlpm.v)))</f>
        <v/>
      </c>
      <c r="N70" s="825" t="str">
        <f>IF($CJ70="","",IF(UPPER(TRIM(_xlfn.XLOOKUP($CJ70,Equip_List,Equip_FdrExist,"")&amp;""))="Y","Y",""))</f>
        <v/>
      </c>
      <c r="O70" s="823" t="str">
        <f t="shared" ref="O70:O133" si="28">IF($CD70="","",$CD70)</f>
        <v/>
      </c>
      <c r="P70" s="821" t="str">
        <f t="shared" ref="P70:P133" si="29">IF($CE70="","",$CE70)</f>
        <v/>
      </c>
      <c r="Q70" s="821" t="str">
        <f t="shared" ref="Q70:Q133" si="30">IF($CF70="","",$CF70)</f>
        <v/>
      </c>
      <c r="R70" s="822" t="str" cm="1">
        <f t="array" ref="R70">IF(K70="","",INDEX(OCPD_List,MATCH(TRUE,OCPD_List&gt;=K70,0)))</f>
        <v/>
      </c>
      <c r="S70" s="821" t="str">
        <f t="shared" ref="S70:S133" si="31">IF($CG70="","",$CG70)</f>
        <v/>
      </c>
      <c r="T70" s="826" t="str">
        <f t="shared" si="21"/>
        <v/>
      </c>
      <c r="U70" s="826" t="str">
        <f t="shared" si="22"/>
        <v/>
      </c>
      <c r="V70" s="827" t="str">
        <f t="shared" si="23"/>
        <v/>
      </c>
      <c r="W70" s="828"/>
      <c r="X70" s="819"/>
      <c r="Y70" s="820"/>
      <c r="Z70" s="820"/>
      <c r="AA70" s="820"/>
      <c r="BN70" s="832" t="str">
        <f>IF($B70="","",IFERROR(_xlfn.XLOOKUP($D70,Dashboard!$A$101:$A$350,Dashboard!$C$101:$C$350),""))</f>
        <v/>
      </c>
      <c r="BO70" s="832" t="str">
        <f t="shared" si="24"/>
        <v/>
      </c>
      <c r="BP70" s="832" t="str" cm="1">
        <f t="array" ref="BP70">IF(OR($B70="",$R70="",NOT(ISNUMBER($R70))),"",IF(AND($BV70="AL",$G70=1),"",_xlfn.LET(_xlpm.codes,IF($BV70="AL",Std_Al3_Code,IF($G70=1,Std_Cu1_Code,Std_Cu3_Code)),_xlpm.amps,IFERROR(--SUBSTITUTE(_xlpm.codes&amp;"","N",""),""),_xlpm.a,MIN(IF(ISNUMBER(_xlpm.amps),IF(_xlpm.amps&gt;=$R70,_xlpm.amps,""),"")),_xlpm.k,IF(_xlpm.a=0,$R70,_xlpm.a),IF($BO70="Y",TEXT(_xlpm.k,"0")&amp;"N",_xlpm.k))))</f>
        <v/>
      </c>
      <c r="BQ70" s="832" t="str" cm="1">
        <f t="array" ref="BQ70">IF($BP70="","",IFERROR(IF($BV70="AL",_xlfn.XLOOKUP($BP70,Std_Al3_Code,INDEX(Std_Al3_Table,0,3)),IF($G70=1,_xlfn.XLOOKUP($BP70,Std_Cu1_Code,INDEX(Std_Cu1_Table,0,3)),_xlfn.XLOOKUP($BP70,Std_Cu3_Code,INDEX(Std_Cu3_Table,0,3)))),""))</f>
        <v/>
      </c>
      <c r="BR70" s="832" t="str" cm="1">
        <f t="array" ref="BR70">IF($BP70="","",IFERROR(IF($BV70="AL",_xlfn.XLOOKUP($BP70,Std_Al3_Code,INDEX(Std_Al3_Table,0,4)),IF($G70=1,_xlfn.XLOOKUP($BP70,Std_Cu1_Code,INDEX(Std_Cu1_Table,0,4)),_xlfn.XLOOKUP($BP70,Std_Cu3_Code,INDEX(Std_Cu3_Table,0,4)))),""))</f>
        <v/>
      </c>
      <c r="BS70" s="832" t="str" cm="1">
        <f t="array" ref="BS70">IF($BP70="","",IFERROR(IF($BV70="AL",_xlfn.XLOOKUP($BP70,Std_Al3_Code,INDEX(Std_Al3_Table,0,5)),IF($G70=1,_xlfn.XLOOKUP($BP70,Std_Cu1_Code,INDEX(Std_Cu1_Table,0,5)),_xlfn.XLOOKUP($BP70,Std_Cu3_Code,INDEX(Std_Cu3_Table,0,5)))),""))</f>
        <v/>
      </c>
      <c r="BT70" s="832" t="str">
        <f t="shared" si="25"/>
        <v/>
      </c>
      <c r="BU70" s="832" t="str" cm="1">
        <f t="array" ref="BU70">IF($BP70="","",IFERROR(IF($BV70="AL",_xlfn.XLOOKUP($BP70,Std_Al3_Code,INDEX(Std_Al3_Table,0,2)),IF($G70=1,_xlfn.XLOOKUP($BP70,Std_Cu1_Code,INDEX(Std_Cu1_Table,0,2)),_xlfn.XLOOKUP($BP70,Std_Cu3_Code,INDEX(Std_Cu3_Table,0,2)))),""))</f>
        <v/>
      </c>
      <c r="BV70" s="829" t="str">
        <f t="shared" si="26"/>
        <v/>
      </c>
      <c r="BW70" s="829" t="str">
        <f t="shared" ref="BW70:BW133" si="32">IF($BR70="","",IFERROR(_xlfn.LET(_xlpm.a,_xlfn.TEXTAFTER($BR70,"#"),_xlpm.b,IFERROR(_xlfn.TEXTBEFORE(_xlpm.a,","),_xlpm.a),TRIM(_xlpm.b)),""))</f>
        <v/>
      </c>
      <c r="BX70" s="829" t="str" cm="1">
        <f t="array" ref="BX70">IF(OR($BP70="",$H70="",$I70="",$F70="",$BW70=""),"",IFERROR(_xlfn.LET(_xlpm.codes,IF($BV70="AL",Std_Al3_Code,IF($G70=1,Std_Cu1_Code,Std_Cu3_Code)),_xlpm.tbl,IF($BV70="AL",Std_Al3_Table,IF($G70=1,Std_Cu1_Table,Std_Cu3_Table)),_xlpm.i,MATCH($BP70,_xlpm.codes,0),_xlpm.idx,_xlfn.SEQUENCE(ROWS(_xlpm.codes)),_xlpm.cnd,INDEX(_xlpm.tbl,0,4),_xlpm.sts,INDEX(_xlpm.tbl,0,2),_xlpm.sz,IFERROR(_xlfn.TEXTBEFORE(_xlfn.TEXTAFTER(_xlpm.cnd,"#"),","),IFERROR(_xlfn.TEXTAFTER(_xlpm.cnd,"#"),"")),_xlpm.cm,IFERROR(_xlfn.XLOOKUP(TRIM(_xlpm.sz),Ampacity_Size,Ampacity_CM),0),_xlpm.mult,IF($G70=3,SQRT3,2),_xlpm.kk,IF($BV70="AL",K_Al,K_Cu),_xlpm.vd,IF(_xlpm.cm*IF(ISNUMBER(_xlpm.sts),_xlpm.sts,0)=0,9,_xlpm.mult*_xlpm.kk*$I70*$H70/(_xlpm.cm*_xlpm.sts)/$F70),_xlpm.hasN,--(RIGHT(_xlpm.codes&amp;"",1)="N"),_xlpm.wantN,--(RIGHT($BP70&amp;"",1)="N"),_xlpm.ok,(_xlpm.idx&gt;=_xlpm.i)*(_xlpm.vd&lt;=Cfg_VDFeeder)*(_xlpm.cm&gt;0)*ISNUMBER(_xlpm.sts)*(_xlpm.hasN=_xlpm.wantN),_xlpm.m,MIN(IF(_xlpm.ok=1,_xlpm.idx)),INDEX(_xlpm.codes,IF(_xlpm.m=0,_xlpm.i,_xlpm.m))),""))</f>
        <v/>
      </c>
      <c r="BY70" s="829" t="str" cm="1">
        <f t="array" ref="BY70">IF($BP70="","",IF($BX70="",$BU70,IFERROR(IF($BV70="AL",_xlfn.XLOOKUP($BX70,Std_Al3_Code,INDEX(Std_Al3_Table,0,2)),IF($G70=1,_xlfn.XLOOKUP($BX70,Std_Cu1_Code,INDEX(Std_Cu1_Table,0,2)),_xlfn.XLOOKUP($BX70,Std_Cu3_Code,INDEX(Std_Cu3_Table,0,2)))),"")))</f>
        <v/>
      </c>
      <c r="BZ70" s="829" t="str" cm="1">
        <f t="array" ref="BZ70">IF($BP70="","",IF($BX70="",$BR70,IFERROR(IF($BV70="AL",_xlfn.XLOOKUP($BX70,Std_Al3_Code,INDEX(Std_Al3_Table,0,4)),IF($G70=1,_xlfn.XLOOKUP($BX70,Std_Cu1_Code,INDEX(Std_Cu1_Table,0,4)),_xlfn.XLOOKUP($BX70,Std_Cu3_Code,INDEX(Std_Cu3_Table,0,4)))),"")))</f>
        <v/>
      </c>
      <c r="CA70" s="829" t="str" cm="1">
        <f t="array" ref="CA70">IF($BP70="","",IF($BX70="",$BQ70,IFERROR(IF($BV70="AL",_xlfn.XLOOKUP($BX70,Std_Al3_Code,INDEX(Std_Al3_Table,0,3)),IF($G70=1,_xlfn.XLOOKUP($BX70,Std_Cu1_Code,INDEX(Std_Cu1_Table,0,3)),_xlfn.XLOOKUP($BX70,Std_Cu3_Code,INDEX(Std_Cu3_Table,0,3)))),"")))</f>
        <v/>
      </c>
      <c r="CB70" s="829" t="str" cm="1">
        <f t="array" ref="CB70">IF($BP70="","",IF($BX70="",$BS70,IFERROR(IF($BV70="AL",_xlfn.XLOOKUP($BX70,Std_Al3_Code,INDEX(Std_Al3_Table,0,5)),IF($G70=1,_xlfn.XLOOKUP($BX70,Std_Cu1_Code,INDEX(Std_Cu1_Table,0,5)),_xlfn.XLOOKUP($BX70,Std_Cu3_Code,INDEX(Std_Cu3_Table,0,5)))),"")))</f>
        <v/>
      </c>
      <c r="CC70" s="829" t="str">
        <f t="shared" ref="CC70:CC133" si="33">IF($BZ70="","",IFERROR(_xlfn.LET(_xlpm.a,_xlfn.TEXTAFTER($BZ70,"#"),_xlpm.b,IFERROR(_xlfn.TEXTBEFORE(_xlpm.a,","),_xlpm.a),TRIM(_xlpm.b)),""))</f>
        <v/>
      </c>
      <c r="CD70" s="829" t="str">
        <f t="shared" ref="CD70:CD133" si="34">IF($B70="","",IF(UPPER($N70&amp;"")="Y",IF($X70="","—",$X70),IF($X70&lt;&gt;"",$X70,$BY70)))</f>
        <v/>
      </c>
      <c r="CE70" s="829" t="str">
        <f t="shared" ref="CE70:CE133" si="35">IF($B70="","",IF(UPPER($N70&amp;"")="Y",IF($Y70="","EXISTING",$Y70),IF($Y70&lt;&gt;"",$Y70,$BZ70)))</f>
        <v/>
      </c>
      <c r="CF70" s="829" t="str">
        <f t="shared" ref="CF70:CF133" si="36">IF($B70="","",IF(UPPER($N70&amp;"")="Y",IF($Z70="","—",$Z70),IF($Z70&lt;&gt;"",$Z70,$CA70)))</f>
        <v/>
      </c>
      <c r="CG70" s="829" t="str">
        <f t="shared" ref="CG70:CG133" si="37">IF($B70="","",IF(UPPER($N70&amp;"")="Y",IF($AA70="","—",$AA70),IF($AA70&lt;&gt;"",$AA70,$CB70)))</f>
        <v/>
      </c>
      <c r="CH70" s="829" t="str">
        <f t="shared" ref="CH70:CH133" si="38">IF($CE70="","",IFERROR(_xlfn.LET(_xlpm.a,_xlfn.TEXTAFTER($CE70,"#"),_xlpm.b,IFERROR(_xlfn.TEXTBEFORE(_xlpm.a,","),_xlpm.a),TRIM(_xlpm.b)),""))</f>
        <v/>
      </c>
      <c r="CI70" s="829" t="str">
        <f t="shared" ref="CI70:CI133" si="39">IF($B70="","",IF(COUNTA($X70:$AA70)=0,"","✎ Manual override — "&amp;_xlfn.TEXTJOIN(", ",TRUE,IF($X70&lt;&gt;"","sets",""),IF($Y70&lt;&gt;"","conductor",""),IF($Z70&lt;&gt;"","conduit",""),IF($AA70&lt;&gt;"","ground",""))))</f>
        <v/>
      </c>
      <c r="CJ70" s="829" t="str" cm="1">
        <f t="array" ref="CJ70">IF($B70="","",_xlfn.LET(_xlpm.to,$D70&amp;"",_xlpm.em,IFERROR(INDEX(_xlfn.ANCHORARRAY($BE$4),ROW()-4,6),"")="EMERG",_xlpm.pri,AND(NOT(_xlpm.em),LEFT(_xlpm.to,2)="T-",ISNUMBER(MATCH(MID(_xlpm.to,3,99),Equip_List,0)),ISNA(MATCH(_xlpm.to,Equip_List,0))),IF(_xlpm.pri,MID(_xlpm.to,3,99),_xlpm.to)))</f>
        <v/>
      </c>
      <c r="CK70" s="829" t="str" cm="1">
        <f t="array" ref="CK70">IF($CJ70="","",IF(IFERROR(INDEX(_xlfn.ANCHORARRAY($BE$4),ROW()-4,6),"")="EMERG","E",IF($CJ70&lt;&gt;$D70&amp;"","P","N")))</f>
        <v/>
      </c>
    </row>
    <row r="71" spans="1:89" ht="15" customHeight="1" x14ac:dyDescent="0.35">
      <c r="A71" s="821" t="str">
        <f t="shared" si="27"/>
        <v/>
      </c>
      <c r="B71" s="821" t="str" cm="1">
        <f t="array" ref="B71">IFERROR(IF(INDEX(_xlfn.ANCHORARRAY($BE$4),ROW()-4,2)="","","F-"&amp;INDEX(_xlfn.ANCHORARRAY($BE$4),ROW()-4,2)&amp;IF(IFERROR(INDEX(_xlfn.ANCHORARRAY($BE$4),ROW()-4,6),"")="EMERG","-E","")),"")</f>
        <v/>
      </c>
      <c r="C71" s="821" t="str" cm="1">
        <f t="array" ref="C71">IFERROR(IF($B71="","",INDEX(_xlfn.ANCHORARRAY($BE$4),ROW()-4,1)),"")</f>
        <v/>
      </c>
      <c r="D71" s="821" t="str" cm="1">
        <f t="array" ref="D71">IFERROR(IF($B71="","",INDEX(_xlfn.ANCHORARRAY($BE$4),ROW()-4,2)),"")</f>
        <v/>
      </c>
      <c r="E71" s="806" t="str" cm="1">
        <f t="array" ref="E71">IFERROR(IF($B71="","",INDEX(_xlfn.ANCHORARRAY($BE$4),ROW()-4,3)),"")</f>
        <v/>
      </c>
      <c r="F71" s="822" t="str" cm="1">
        <f t="array" ref="F71">IFERROR(IF($B71="","",INDEX(_xlfn.ANCHORARRAY($BE$4),ROW()-4,4)),"")</f>
        <v/>
      </c>
      <c r="G71" s="823" t="str" cm="1">
        <f t="array" ref="G71">IFERROR(IF($B71="","",INDEX(_xlfn.ANCHORARRAY($BE$4),ROW()-4,5)),"")</f>
        <v/>
      </c>
      <c r="H71" s="824" t="str" cm="1">
        <f t="array" ref="H71">IF($CJ71="","",_xlfn.LET(_xlpm.v,_xlfn.XLOOKUP($CJ71,Equip_List,IF($CK71="E",Equip_EmLen,IF($CK71="P",Equip_XfPriLen,Equip_FdrLen)),""),IF(_xlpm.v="","",_xlpm.v)))</f>
        <v/>
      </c>
      <c r="I71" s="806" t="str">
        <f t="shared" si="20"/>
        <v/>
      </c>
      <c r="J71" s="820"/>
      <c r="K71" s="806" t="str">
        <f>_xlfn.LET(_xlpm.k,IF($I71="","",IF(COUNTIF(UPS!$B$57:$B$64,$C71&amp;"")&gt;0,1.25*MAX($I71,N(_xlfn.XLOOKUP($C71&amp;"",UPS!$B$57:$B$64,UPS!$M$57:$M$64,0))),IF(COUNTIF(UPS!$B$57:$B$64,$D71&amp;"")&gt;0,1.25*MAX($I71,N(_xlfn.XLOOKUP($D71&amp;"",UPS!$B$57:$B$64,UPS!$Q$57:$Q$64,0))),$I71*IF(OR(UPPER($J71)="Y",LEFT($C71,2)="T-",LEFT($D71,2)="T-"),1.25,1)))),IF(_xlpm.k="","",MAX(_xlpm.k,N(IFERROR(_xlfn.XLOOKUP($D71&amp;"",Dashboard!$A$101:$A$350,Dashboard!$O$101:$O$350,0),0)))))</f>
        <v/>
      </c>
      <c r="L71" s="825" t="str">
        <f>IF($CJ71="","",_xlfn.LET(_xlpm.v,UPPER(TRIM(_xlfn.XLOOKUP($CJ71,Equip_List,Equip_FdrMat,"")&amp;"")),IF(_xlpm.v="",UPPER(TRIM(Cfg_FeederMat&amp;"")),_xlpm.v)))</f>
        <v/>
      </c>
      <c r="M71" s="825" t="str">
        <f>IF($CJ71="","",_xlfn.LET(_xlpm.v,TRIM(_xlfn.XLOOKUP($CJ71,Equip_List,Equip_FdrRace,"")&amp;""),IF(_xlpm.v="",Cfg_Conduit&amp;"",_xlpm.v)))</f>
        <v/>
      </c>
      <c r="N71" s="825" t="str">
        <f>IF($CJ71="","",IF(UPPER(TRIM(_xlfn.XLOOKUP($CJ71,Equip_List,Equip_FdrExist,"")&amp;""))="Y","Y",""))</f>
        <v/>
      </c>
      <c r="O71" s="823" t="str">
        <f t="shared" si="28"/>
        <v/>
      </c>
      <c r="P71" s="821" t="str">
        <f t="shared" si="29"/>
        <v/>
      </c>
      <c r="Q71" s="821" t="str">
        <f t="shared" si="30"/>
        <v/>
      </c>
      <c r="R71" s="822" t="str" cm="1">
        <f t="array" ref="R71">IF(K71="","",INDEX(OCPD_List,MATCH(TRUE,OCPD_List&gt;=K71,0)))</f>
        <v/>
      </c>
      <c r="S71" s="821" t="str">
        <f t="shared" si="31"/>
        <v/>
      </c>
      <c r="T71" s="826" t="str">
        <f t="shared" si="21"/>
        <v/>
      </c>
      <c r="U71" s="826" t="str">
        <f t="shared" si="22"/>
        <v/>
      </c>
      <c r="V71" s="827" t="str">
        <f t="shared" si="23"/>
        <v/>
      </c>
      <c r="W71" s="828"/>
      <c r="X71" s="819"/>
      <c r="Y71" s="820"/>
      <c r="Z71" s="820"/>
      <c r="AA71" s="820"/>
      <c r="BN71" s="832" t="str">
        <f>IF($B71="","",IFERROR(_xlfn.XLOOKUP($D71,Dashboard!$A$101:$A$350,Dashboard!$C$101:$C$350),""))</f>
        <v/>
      </c>
      <c r="BO71" s="832" t="str">
        <f t="shared" si="24"/>
        <v/>
      </c>
      <c r="BP71" s="832" t="str" cm="1">
        <f t="array" ref="BP71">IF(OR($B71="",$R71="",NOT(ISNUMBER($R71))),"",IF(AND($BV71="AL",$G71=1),"",_xlfn.LET(_xlpm.codes,IF($BV71="AL",Std_Al3_Code,IF($G71=1,Std_Cu1_Code,Std_Cu3_Code)),_xlpm.amps,IFERROR(--SUBSTITUTE(_xlpm.codes&amp;"","N",""),""),_xlpm.a,MIN(IF(ISNUMBER(_xlpm.amps),IF(_xlpm.amps&gt;=$R71,_xlpm.amps,""),"")),_xlpm.k,IF(_xlpm.a=0,$R71,_xlpm.a),IF($BO71="Y",TEXT(_xlpm.k,"0")&amp;"N",_xlpm.k))))</f>
        <v/>
      </c>
      <c r="BQ71" s="832" t="str" cm="1">
        <f t="array" ref="BQ71">IF($BP71="","",IFERROR(IF($BV71="AL",_xlfn.XLOOKUP($BP71,Std_Al3_Code,INDEX(Std_Al3_Table,0,3)),IF($G71=1,_xlfn.XLOOKUP($BP71,Std_Cu1_Code,INDEX(Std_Cu1_Table,0,3)),_xlfn.XLOOKUP($BP71,Std_Cu3_Code,INDEX(Std_Cu3_Table,0,3)))),""))</f>
        <v/>
      </c>
      <c r="BR71" s="832" t="str" cm="1">
        <f t="array" ref="BR71">IF($BP71="","",IFERROR(IF($BV71="AL",_xlfn.XLOOKUP($BP71,Std_Al3_Code,INDEX(Std_Al3_Table,0,4)),IF($G71=1,_xlfn.XLOOKUP($BP71,Std_Cu1_Code,INDEX(Std_Cu1_Table,0,4)),_xlfn.XLOOKUP($BP71,Std_Cu3_Code,INDEX(Std_Cu3_Table,0,4)))),""))</f>
        <v/>
      </c>
      <c r="BS71" s="832" t="str" cm="1">
        <f t="array" ref="BS71">IF($BP71="","",IFERROR(IF($BV71="AL",_xlfn.XLOOKUP($BP71,Std_Al3_Code,INDEX(Std_Al3_Table,0,5)),IF($G71=1,_xlfn.XLOOKUP($BP71,Std_Cu1_Code,INDEX(Std_Cu1_Table,0,5)),_xlfn.XLOOKUP($BP71,Std_Cu3_Code,INDEX(Std_Cu3_Table,0,5)))),""))</f>
        <v/>
      </c>
      <c r="BT71" s="832" t="str">
        <f t="shared" si="25"/>
        <v/>
      </c>
      <c r="BU71" s="832" t="str" cm="1">
        <f t="array" ref="BU71">IF($BP71="","",IFERROR(IF($BV71="AL",_xlfn.XLOOKUP($BP71,Std_Al3_Code,INDEX(Std_Al3_Table,0,2)),IF($G71=1,_xlfn.XLOOKUP($BP71,Std_Cu1_Code,INDEX(Std_Cu1_Table,0,2)),_xlfn.XLOOKUP($BP71,Std_Cu3_Code,INDEX(Std_Cu3_Table,0,2)))),""))</f>
        <v/>
      </c>
      <c r="BV71" s="829" t="str">
        <f t="shared" si="26"/>
        <v/>
      </c>
      <c r="BW71" s="829" t="str">
        <f t="shared" si="32"/>
        <v/>
      </c>
      <c r="BX71" s="829" t="str" cm="1">
        <f t="array" ref="BX71">IF(OR($BP71="",$H71="",$I71="",$F71="",$BW71=""),"",IFERROR(_xlfn.LET(_xlpm.codes,IF($BV71="AL",Std_Al3_Code,IF($G71=1,Std_Cu1_Code,Std_Cu3_Code)),_xlpm.tbl,IF($BV71="AL",Std_Al3_Table,IF($G71=1,Std_Cu1_Table,Std_Cu3_Table)),_xlpm.i,MATCH($BP71,_xlpm.codes,0),_xlpm.idx,_xlfn.SEQUENCE(ROWS(_xlpm.codes)),_xlpm.cnd,INDEX(_xlpm.tbl,0,4),_xlpm.sts,INDEX(_xlpm.tbl,0,2),_xlpm.sz,IFERROR(_xlfn.TEXTBEFORE(_xlfn.TEXTAFTER(_xlpm.cnd,"#"),","),IFERROR(_xlfn.TEXTAFTER(_xlpm.cnd,"#"),"")),_xlpm.cm,IFERROR(_xlfn.XLOOKUP(TRIM(_xlpm.sz),Ampacity_Size,Ampacity_CM),0),_xlpm.mult,IF($G71=3,SQRT3,2),_xlpm.kk,IF($BV71="AL",K_Al,K_Cu),_xlpm.vd,IF(_xlpm.cm*IF(ISNUMBER(_xlpm.sts),_xlpm.sts,0)=0,9,_xlpm.mult*_xlpm.kk*$I71*$H71/(_xlpm.cm*_xlpm.sts)/$F71),_xlpm.hasN,--(RIGHT(_xlpm.codes&amp;"",1)="N"),_xlpm.wantN,--(RIGHT($BP71&amp;"",1)="N"),_xlpm.ok,(_xlpm.idx&gt;=_xlpm.i)*(_xlpm.vd&lt;=Cfg_VDFeeder)*(_xlpm.cm&gt;0)*ISNUMBER(_xlpm.sts)*(_xlpm.hasN=_xlpm.wantN),_xlpm.m,MIN(IF(_xlpm.ok=1,_xlpm.idx)),INDEX(_xlpm.codes,IF(_xlpm.m=0,_xlpm.i,_xlpm.m))),""))</f>
        <v/>
      </c>
      <c r="BY71" s="829" t="str" cm="1">
        <f t="array" ref="BY71">IF($BP71="","",IF($BX71="",$BU71,IFERROR(IF($BV71="AL",_xlfn.XLOOKUP($BX71,Std_Al3_Code,INDEX(Std_Al3_Table,0,2)),IF($G71=1,_xlfn.XLOOKUP($BX71,Std_Cu1_Code,INDEX(Std_Cu1_Table,0,2)),_xlfn.XLOOKUP($BX71,Std_Cu3_Code,INDEX(Std_Cu3_Table,0,2)))),"")))</f>
        <v/>
      </c>
      <c r="BZ71" s="829" t="str" cm="1">
        <f t="array" ref="BZ71">IF($BP71="","",IF($BX71="",$BR71,IFERROR(IF($BV71="AL",_xlfn.XLOOKUP($BX71,Std_Al3_Code,INDEX(Std_Al3_Table,0,4)),IF($G71=1,_xlfn.XLOOKUP($BX71,Std_Cu1_Code,INDEX(Std_Cu1_Table,0,4)),_xlfn.XLOOKUP($BX71,Std_Cu3_Code,INDEX(Std_Cu3_Table,0,4)))),"")))</f>
        <v/>
      </c>
      <c r="CA71" s="829" t="str" cm="1">
        <f t="array" ref="CA71">IF($BP71="","",IF($BX71="",$BQ71,IFERROR(IF($BV71="AL",_xlfn.XLOOKUP($BX71,Std_Al3_Code,INDEX(Std_Al3_Table,0,3)),IF($G71=1,_xlfn.XLOOKUP($BX71,Std_Cu1_Code,INDEX(Std_Cu1_Table,0,3)),_xlfn.XLOOKUP($BX71,Std_Cu3_Code,INDEX(Std_Cu3_Table,0,3)))),"")))</f>
        <v/>
      </c>
      <c r="CB71" s="829" t="str" cm="1">
        <f t="array" ref="CB71">IF($BP71="","",IF($BX71="",$BS71,IFERROR(IF($BV71="AL",_xlfn.XLOOKUP($BX71,Std_Al3_Code,INDEX(Std_Al3_Table,0,5)),IF($G71=1,_xlfn.XLOOKUP($BX71,Std_Cu1_Code,INDEX(Std_Cu1_Table,0,5)),_xlfn.XLOOKUP($BX71,Std_Cu3_Code,INDEX(Std_Cu3_Table,0,5)))),"")))</f>
        <v/>
      </c>
      <c r="CC71" s="829" t="str">
        <f t="shared" si="33"/>
        <v/>
      </c>
      <c r="CD71" s="829" t="str">
        <f t="shared" si="34"/>
        <v/>
      </c>
      <c r="CE71" s="829" t="str">
        <f t="shared" si="35"/>
        <v/>
      </c>
      <c r="CF71" s="829" t="str">
        <f t="shared" si="36"/>
        <v/>
      </c>
      <c r="CG71" s="829" t="str">
        <f t="shared" si="37"/>
        <v/>
      </c>
      <c r="CH71" s="829" t="str">
        <f t="shared" si="38"/>
        <v/>
      </c>
      <c r="CI71" s="829" t="str">
        <f t="shared" si="39"/>
        <v/>
      </c>
      <c r="CJ71" s="829" t="str" cm="1">
        <f t="array" ref="CJ71">IF($B71="","",_xlfn.LET(_xlpm.to,$D71&amp;"",_xlpm.em,IFERROR(INDEX(_xlfn.ANCHORARRAY($BE$4),ROW()-4,6),"")="EMERG",_xlpm.pri,AND(NOT(_xlpm.em),LEFT(_xlpm.to,2)="T-",ISNUMBER(MATCH(MID(_xlpm.to,3,99),Equip_List,0)),ISNA(MATCH(_xlpm.to,Equip_List,0))),IF(_xlpm.pri,MID(_xlpm.to,3,99),_xlpm.to)))</f>
        <v/>
      </c>
      <c r="CK71" s="829" t="str" cm="1">
        <f t="array" ref="CK71">IF($CJ71="","",IF(IFERROR(INDEX(_xlfn.ANCHORARRAY($BE$4),ROW()-4,6),"")="EMERG","E",IF($CJ71&lt;&gt;$D71&amp;"","P","N")))</f>
        <v/>
      </c>
    </row>
    <row r="72" spans="1:89" ht="15" customHeight="1" x14ac:dyDescent="0.35">
      <c r="A72" s="821" t="str">
        <f t="shared" si="27"/>
        <v/>
      </c>
      <c r="B72" s="821" t="str" cm="1">
        <f t="array" ref="B72">IFERROR(IF(INDEX(_xlfn.ANCHORARRAY($BE$4),ROW()-4,2)="","","F-"&amp;INDEX(_xlfn.ANCHORARRAY($BE$4),ROW()-4,2)&amp;IF(IFERROR(INDEX(_xlfn.ANCHORARRAY($BE$4),ROW()-4,6),"")="EMERG","-E","")),"")</f>
        <v/>
      </c>
      <c r="C72" s="821" t="str" cm="1">
        <f t="array" ref="C72">IFERROR(IF($B72="","",INDEX(_xlfn.ANCHORARRAY($BE$4),ROW()-4,1)),"")</f>
        <v/>
      </c>
      <c r="D72" s="821" t="str" cm="1">
        <f t="array" ref="D72">IFERROR(IF($B72="","",INDEX(_xlfn.ANCHORARRAY($BE$4),ROW()-4,2)),"")</f>
        <v/>
      </c>
      <c r="E72" s="806" t="str" cm="1">
        <f t="array" ref="E72">IFERROR(IF($B72="","",INDEX(_xlfn.ANCHORARRAY($BE$4),ROW()-4,3)),"")</f>
        <v/>
      </c>
      <c r="F72" s="822" t="str" cm="1">
        <f t="array" ref="F72">IFERROR(IF($B72="","",INDEX(_xlfn.ANCHORARRAY($BE$4),ROW()-4,4)),"")</f>
        <v/>
      </c>
      <c r="G72" s="823" t="str" cm="1">
        <f t="array" ref="G72">IFERROR(IF($B72="","",INDEX(_xlfn.ANCHORARRAY($BE$4),ROW()-4,5)),"")</f>
        <v/>
      </c>
      <c r="H72" s="824" t="str" cm="1">
        <f t="array" ref="H72">IF($CJ72="","",_xlfn.LET(_xlpm.v,_xlfn.XLOOKUP($CJ72,Equip_List,IF($CK72="E",Equip_EmLen,IF($CK72="P",Equip_XfPriLen,Equip_FdrLen)),""),IF(_xlpm.v="","",_xlpm.v)))</f>
        <v/>
      </c>
      <c r="I72" s="806" t="str">
        <f t="shared" si="20"/>
        <v/>
      </c>
      <c r="J72" s="820"/>
      <c r="K72" s="806" t="str">
        <f>_xlfn.LET(_xlpm.k,IF($I72="","",IF(COUNTIF(UPS!$B$57:$B$64,$C72&amp;"")&gt;0,1.25*MAX($I72,N(_xlfn.XLOOKUP($C72&amp;"",UPS!$B$57:$B$64,UPS!$M$57:$M$64,0))),IF(COUNTIF(UPS!$B$57:$B$64,$D72&amp;"")&gt;0,1.25*MAX($I72,N(_xlfn.XLOOKUP($D72&amp;"",UPS!$B$57:$B$64,UPS!$Q$57:$Q$64,0))),$I72*IF(OR(UPPER($J72)="Y",LEFT($C72,2)="T-",LEFT($D72,2)="T-"),1.25,1)))),IF(_xlpm.k="","",MAX(_xlpm.k,N(IFERROR(_xlfn.XLOOKUP($D72&amp;"",Dashboard!$A$101:$A$350,Dashboard!$O$101:$O$350,0),0)))))</f>
        <v/>
      </c>
      <c r="L72" s="825" t="str">
        <f>IF($CJ72="","",_xlfn.LET(_xlpm.v,UPPER(TRIM(_xlfn.XLOOKUP($CJ72,Equip_List,Equip_FdrMat,"")&amp;"")),IF(_xlpm.v="",UPPER(TRIM(Cfg_FeederMat&amp;"")),_xlpm.v)))</f>
        <v/>
      </c>
      <c r="M72" s="825" t="str">
        <f>IF($CJ72="","",_xlfn.LET(_xlpm.v,TRIM(_xlfn.XLOOKUP($CJ72,Equip_List,Equip_FdrRace,"")&amp;""),IF(_xlpm.v="",Cfg_Conduit&amp;"",_xlpm.v)))</f>
        <v/>
      </c>
      <c r="N72" s="825" t="str">
        <f>IF($CJ72="","",IF(UPPER(TRIM(_xlfn.XLOOKUP($CJ72,Equip_List,Equip_FdrExist,"")&amp;""))="Y","Y",""))</f>
        <v/>
      </c>
      <c r="O72" s="823" t="str">
        <f t="shared" si="28"/>
        <v/>
      </c>
      <c r="P72" s="821" t="str">
        <f t="shared" si="29"/>
        <v/>
      </c>
      <c r="Q72" s="821" t="str">
        <f t="shared" si="30"/>
        <v/>
      </c>
      <c r="R72" s="822" t="str" cm="1">
        <f t="array" ref="R72">IF(K72="","",INDEX(OCPD_List,MATCH(TRUE,OCPD_List&gt;=K72,0)))</f>
        <v/>
      </c>
      <c r="S72" s="821" t="str">
        <f t="shared" si="31"/>
        <v/>
      </c>
      <c r="T72" s="826" t="str">
        <f t="shared" si="21"/>
        <v/>
      </c>
      <c r="U72" s="826" t="str">
        <f t="shared" si="22"/>
        <v/>
      </c>
      <c r="V72" s="827" t="str">
        <f t="shared" si="23"/>
        <v/>
      </c>
      <c r="W72" s="828"/>
      <c r="X72" s="819"/>
      <c r="Y72" s="820"/>
      <c r="Z72" s="820"/>
      <c r="AA72" s="820"/>
      <c r="BN72" s="832" t="str">
        <f>IF($B72="","",IFERROR(_xlfn.XLOOKUP($D72,Dashboard!$A$101:$A$350,Dashboard!$C$101:$C$350),""))</f>
        <v/>
      </c>
      <c r="BO72" s="832" t="str">
        <f t="shared" si="24"/>
        <v/>
      </c>
      <c r="BP72" s="832" t="str" cm="1">
        <f t="array" ref="BP72">IF(OR($B72="",$R72="",NOT(ISNUMBER($R72))),"",IF(AND($BV72="AL",$G72=1),"",_xlfn.LET(_xlpm.codes,IF($BV72="AL",Std_Al3_Code,IF($G72=1,Std_Cu1_Code,Std_Cu3_Code)),_xlpm.amps,IFERROR(--SUBSTITUTE(_xlpm.codes&amp;"","N",""),""),_xlpm.a,MIN(IF(ISNUMBER(_xlpm.amps),IF(_xlpm.amps&gt;=$R72,_xlpm.amps,""),"")),_xlpm.k,IF(_xlpm.a=0,$R72,_xlpm.a),IF($BO72="Y",TEXT(_xlpm.k,"0")&amp;"N",_xlpm.k))))</f>
        <v/>
      </c>
      <c r="BQ72" s="832" t="str" cm="1">
        <f t="array" ref="BQ72">IF($BP72="","",IFERROR(IF($BV72="AL",_xlfn.XLOOKUP($BP72,Std_Al3_Code,INDEX(Std_Al3_Table,0,3)),IF($G72=1,_xlfn.XLOOKUP($BP72,Std_Cu1_Code,INDEX(Std_Cu1_Table,0,3)),_xlfn.XLOOKUP($BP72,Std_Cu3_Code,INDEX(Std_Cu3_Table,0,3)))),""))</f>
        <v/>
      </c>
      <c r="BR72" s="832" t="str" cm="1">
        <f t="array" ref="BR72">IF($BP72="","",IFERROR(IF($BV72="AL",_xlfn.XLOOKUP($BP72,Std_Al3_Code,INDEX(Std_Al3_Table,0,4)),IF($G72=1,_xlfn.XLOOKUP($BP72,Std_Cu1_Code,INDEX(Std_Cu1_Table,0,4)),_xlfn.XLOOKUP($BP72,Std_Cu3_Code,INDEX(Std_Cu3_Table,0,4)))),""))</f>
        <v/>
      </c>
      <c r="BS72" s="832" t="str" cm="1">
        <f t="array" ref="BS72">IF($BP72="","",IFERROR(IF($BV72="AL",_xlfn.XLOOKUP($BP72,Std_Al3_Code,INDEX(Std_Al3_Table,0,5)),IF($G72=1,_xlfn.XLOOKUP($BP72,Std_Cu1_Code,INDEX(Std_Cu1_Table,0,5)),_xlfn.XLOOKUP($BP72,Std_Cu3_Code,INDEX(Std_Cu3_Table,0,5)))),""))</f>
        <v/>
      </c>
      <c r="BT72" s="832" t="str">
        <f t="shared" si="25"/>
        <v/>
      </c>
      <c r="BU72" s="832" t="str" cm="1">
        <f t="array" ref="BU72">IF($BP72="","",IFERROR(IF($BV72="AL",_xlfn.XLOOKUP($BP72,Std_Al3_Code,INDEX(Std_Al3_Table,0,2)),IF($G72=1,_xlfn.XLOOKUP($BP72,Std_Cu1_Code,INDEX(Std_Cu1_Table,0,2)),_xlfn.XLOOKUP($BP72,Std_Cu3_Code,INDEX(Std_Cu3_Table,0,2)))),""))</f>
        <v/>
      </c>
      <c r="BV72" s="829" t="str">
        <f t="shared" si="26"/>
        <v/>
      </c>
      <c r="BW72" s="829" t="str">
        <f t="shared" si="32"/>
        <v/>
      </c>
      <c r="BX72" s="829" t="str" cm="1">
        <f t="array" ref="BX72">IF(OR($BP72="",$H72="",$I72="",$F72="",$BW72=""),"",IFERROR(_xlfn.LET(_xlpm.codes,IF($BV72="AL",Std_Al3_Code,IF($G72=1,Std_Cu1_Code,Std_Cu3_Code)),_xlpm.tbl,IF($BV72="AL",Std_Al3_Table,IF($G72=1,Std_Cu1_Table,Std_Cu3_Table)),_xlpm.i,MATCH($BP72,_xlpm.codes,0),_xlpm.idx,_xlfn.SEQUENCE(ROWS(_xlpm.codes)),_xlpm.cnd,INDEX(_xlpm.tbl,0,4),_xlpm.sts,INDEX(_xlpm.tbl,0,2),_xlpm.sz,IFERROR(_xlfn.TEXTBEFORE(_xlfn.TEXTAFTER(_xlpm.cnd,"#"),","),IFERROR(_xlfn.TEXTAFTER(_xlpm.cnd,"#"),"")),_xlpm.cm,IFERROR(_xlfn.XLOOKUP(TRIM(_xlpm.sz),Ampacity_Size,Ampacity_CM),0),_xlpm.mult,IF($G72=3,SQRT3,2),_xlpm.kk,IF($BV72="AL",K_Al,K_Cu),_xlpm.vd,IF(_xlpm.cm*IF(ISNUMBER(_xlpm.sts),_xlpm.sts,0)=0,9,_xlpm.mult*_xlpm.kk*$I72*$H72/(_xlpm.cm*_xlpm.sts)/$F72),_xlpm.hasN,--(RIGHT(_xlpm.codes&amp;"",1)="N"),_xlpm.wantN,--(RIGHT($BP72&amp;"",1)="N"),_xlpm.ok,(_xlpm.idx&gt;=_xlpm.i)*(_xlpm.vd&lt;=Cfg_VDFeeder)*(_xlpm.cm&gt;0)*ISNUMBER(_xlpm.sts)*(_xlpm.hasN=_xlpm.wantN),_xlpm.m,MIN(IF(_xlpm.ok=1,_xlpm.idx)),INDEX(_xlpm.codes,IF(_xlpm.m=0,_xlpm.i,_xlpm.m))),""))</f>
        <v/>
      </c>
      <c r="BY72" s="829" t="str" cm="1">
        <f t="array" ref="BY72">IF($BP72="","",IF($BX72="",$BU72,IFERROR(IF($BV72="AL",_xlfn.XLOOKUP($BX72,Std_Al3_Code,INDEX(Std_Al3_Table,0,2)),IF($G72=1,_xlfn.XLOOKUP($BX72,Std_Cu1_Code,INDEX(Std_Cu1_Table,0,2)),_xlfn.XLOOKUP($BX72,Std_Cu3_Code,INDEX(Std_Cu3_Table,0,2)))),"")))</f>
        <v/>
      </c>
      <c r="BZ72" s="829" t="str" cm="1">
        <f t="array" ref="BZ72">IF($BP72="","",IF($BX72="",$BR72,IFERROR(IF($BV72="AL",_xlfn.XLOOKUP($BX72,Std_Al3_Code,INDEX(Std_Al3_Table,0,4)),IF($G72=1,_xlfn.XLOOKUP($BX72,Std_Cu1_Code,INDEX(Std_Cu1_Table,0,4)),_xlfn.XLOOKUP($BX72,Std_Cu3_Code,INDEX(Std_Cu3_Table,0,4)))),"")))</f>
        <v/>
      </c>
      <c r="CA72" s="829" t="str" cm="1">
        <f t="array" ref="CA72">IF($BP72="","",IF($BX72="",$BQ72,IFERROR(IF($BV72="AL",_xlfn.XLOOKUP($BX72,Std_Al3_Code,INDEX(Std_Al3_Table,0,3)),IF($G72=1,_xlfn.XLOOKUP($BX72,Std_Cu1_Code,INDEX(Std_Cu1_Table,0,3)),_xlfn.XLOOKUP($BX72,Std_Cu3_Code,INDEX(Std_Cu3_Table,0,3)))),"")))</f>
        <v/>
      </c>
      <c r="CB72" s="829" t="str" cm="1">
        <f t="array" ref="CB72">IF($BP72="","",IF($BX72="",$BS72,IFERROR(IF($BV72="AL",_xlfn.XLOOKUP($BX72,Std_Al3_Code,INDEX(Std_Al3_Table,0,5)),IF($G72=1,_xlfn.XLOOKUP($BX72,Std_Cu1_Code,INDEX(Std_Cu1_Table,0,5)),_xlfn.XLOOKUP($BX72,Std_Cu3_Code,INDEX(Std_Cu3_Table,0,5)))),"")))</f>
        <v/>
      </c>
      <c r="CC72" s="829" t="str">
        <f t="shared" si="33"/>
        <v/>
      </c>
      <c r="CD72" s="829" t="str">
        <f t="shared" si="34"/>
        <v/>
      </c>
      <c r="CE72" s="829" t="str">
        <f t="shared" si="35"/>
        <v/>
      </c>
      <c r="CF72" s="829" t="str">
        <f t="shared" si="36"/>
        <v/>
      </c>
      <c r="CG72" s="829" t="str">
        <f t="shared" si="37"/>
        <v/>
      </c>
      <c r="CH72" s="829" t="str">
        <f t="shared" si="38"/>
        <v/>
      </c>
      <c r="CI72" s="829" t="str">
        <f t="shared" si="39"/>
        <v/>
      </c>
      <c r="CJ72" s="829" t="str" cm="1">
        <f t="array" ref="CJ72">IF($B72="","",_xlfn.LET(_xlpm.to,$D72&amp;"",_xlpm.em,IFERROR(INDEX(_xlfn.ANCHORARRAY($BE$4),ROW()-4,6),"")="EMERG",_xlpm.pri,AND(NOT(_xlpm.em),LEFT(_xlpm.to,2)="T-",ISNUMBER(MATCH(MID(_xlpm.to,3,99),Equip_List,0)),ISNA(MATCH(_xlpm.to,Equip_List,0))),IF(_xlpm.pri,MID(_xlpm.to,3,99),_xlpm.to)))</f>
        <v/>
      </c>
      <c r="CK72" s="829" t="str" cm="1">
        <f t="array" ref="CK72">IF($CJ72="","",IF(IFERROR(INDEX(_xlfn.ANCHORARRAY($BE$4),ROW()-4,6),"")="EMERG","E",IF($CJ72&lt;&gt;$D72&amp;"","P","N")))</f>
        <v/>
      </c>
    </row>
    <row r="73" spans="1:89" ht="15" customHeight="1" x14ac:dyDescent="0.35">
      <c r="A73" s="821" t="str">
        <f t="shared" si="27"/>
        <v/>
      </c>
      <c r="B73" s="821" t="str" cm="1">
        <f t="array" ref="B73">IFERROR(IF(INDEX(_xlfn.ANCHORARRAY($BE$4),ROW()-4,2)="","","F-"&amp;INDEX(_xlfn.ANCHORARRAY($BE$4),ROW()-4,2)&amp;IF(IFERROR(INDEX(_xlfn.ANCHORARRAY($BE$4),ROW()-4,6),"")="EMERG","-E","")),"")</f>
        <v/>
      </c>
      <c r="C73" s="821" t="str" cm="1">
        <f t="array" ref="C73">IFERROR(IF($B73="","",INDEX(_xlfn.ANCHORARRAY($BE$4),ROW()-4,1)),"")</f>
        <v/>
      </c>
      <c r="D73" s="821" t="str" cm="1">
        <f t="array" ref="D73">IFERROR(IF($B73="","",INDEX(_xlfn.ANCHORARRAY($BE$4),ROW()-4,2)),"")</f>
        <v/>
      </c>
      <c r="E73" s="806" t="str" cm="1">
        <f t="array" ref="E73">IFERROR(IF($B73="","",INDEX(_xlfn.ANCHORARRAY($BE$4),ROW()-4,3)),"")</f>
        <v/>
      </c>
      <c r="F73" s="822" t="str" cm="1">
        <f t="array" ref="F73">IFERROR(IF($B73="","",INDEX(_xlfn.ANCHORARRAY($BE$4),ROW()-4,4)),"")</f>
        <v/>
      </c>
      <c r="G73" s="823" t="str" cm="1">
        <f t="array" ref="G73">IFERROR(IF($B73="","",INDEX(_xlfn.ANCHORARRAY($BE$4),ROW()-4,5)),"")</f>
        <v/>
      </c>
      <c r="H73" s="824" t="str" cm="1">
        <f t="array" ref="H73">IF($CJ73="","",_xlfn.LET(_xlpm.v,_xlfn.XLOOKUP($CJ73,Equip_List,IF($CK73="E",Equip_EmLen,IF($CK73="P",Equip_XfPriLen,Equip_FdrLen)),""),IF(_xlpm.v="","",_xlpm.v)))</f>
        <v/>
      </c>
      <c r="I73" s="806" t="str">
        <f t="shared" si="20"/>
        <v/>
      </c>
      <c r="J73" s="820"/>
      <c r="K73" s="806" t="str">
        <f>_xlfn.LET(_xlpm.k,IF($I73="","",IF(COUNTIF(UPS!$B$57:$B$64,$C73&amp;"")&gt;0,1.25*MAX($I73,N(_xlfn.XLOOKUP($C73&amp;"",UPS!$B$57:$B$64,UPS!$M$57:$M$64,0))),IF(COUNTIF(UPS!$B$57:$B$64,$D73&amp;"")&gt;0,1.25*MAX($I73,N(_xlfn.XLOOKUP($D73&amp;"",UPS!$B$57:$B$64,UPS!$Q$57:$Q$64,0))),$I73*IF(OR(UPPER($J73)="Y",LEFT($C73,2)="T-",LEFT($D73,2)="T-"),1.25,1)))),IF(_xlpm.k="","",MAX(_xlpm.k,N(IFERROR(_xlfn.XLOOKUP($D73&amp;"",Dashboard!$A$101:$A$350,Dashboard!$O$101:$O$350,0),0)))))</f>
        <v/>
      </c>
      <c r="L73" s="825" t="str">
        <f>IF($CJ73="","",_xlfn.LET(_xlpm.v,UPPER(TRIM(_xlfn.XLOOKUP($CJ73,Equip_List,Equip_FdrMat,"")&amp;"")),IF(_xlpm.v="",UPPER(TRIM(Cfg_FeederMat&amp;"")),_xlpm.v)))</f>
        <v/>
      </c>
      <c r="M73" s="825" t="str">
        <f>IF($CJ73="","",_xlfn.LET(_xlpm.v,TRIM(_xlfn.XLOOKUP($CJ73,Equip_List,Equip_FdrRace,"")&amp;""),IF(_xlpm.v="",Cfg_Conduit&amp;"",_xlpm.v)))</f>
        <v/>
      </c>
      <c r="N73" s="825" t="str">
        <f>IF($CJ73="","",IF(UPPER(TRIM(_xlfn.XLOOKUP($CJ73,Equip_List,Equip_FdrExist,"")&amp;""))="Y","Y",""))</f>
        <v/>
      </c>
      <c r="O73" s="823" t="str">
        <f t="shared" si="28"/>
        <v/>
      </c>
      <c r="P73" s="821" t="str">
        <f t="shared" si="29"/>
        <v/>
      </c>
      <c r="Q73" s="821" t="str">
        <f t="shared" si="30"/>
        <v/>
      </c>
      <c r="R73" s="822" t="str" cm="1">
        <f t="array" ref="R73">IF(K73="","",INDEX(OCPD_List,MATCH(TRUE,OCPD_List&gt;=K73,0)))</f>
        <v/>
      </c>
      <c r="S73" s="821" t="str">
        <f t="shared" si="31"/>
        <v/>
      </c>
      <c r="T73" s="826" t="str">
        <f t="shared" si="21"/>
        <v/>
      </c>
      <c r="U73" s="826" t="str">
        <f t="shared" si="22"/>
        <v/>
      </c>
      <c r="V73" s="827" t="str">
        <f t="shared" si="23"/>
        <v/>
      </c>
      <c r="W73" s="828"/>
      <c r="X73" s="819"/>
      <c r="Y73" s="820"/>
      <c r="Z73" s="820"/>
      <c r="AA73" s="820"/>
      <c r="BN73" s="832" t="str">
        <f>IF($B73="","",IFERROR(_xlfn.XLOOKUP($D73,Dashboard!$A$101:$A$350,Dashboard!$C$101:$C$350),""))</f>
        <v/>
      </c>
      <c r="BO73" s="832" t="str">
        <f t="shared" si="24"/>
        <v/>
      </c>
      <c r="BP73" s="832" t="str" cm="1">
        <f t="array" ref="BP73">IF(OR($B73="",$R73="",NOT(ISNUMBER($R73))),"",IF(AND($BV73="AL",$G73=1),"",_xlfn.LET(_xlpm.codes,IF($BV73="AL",Std_Al3_Code,IF($G73=1,Std_Cu1_Code,Std_Cu3_Code)),_xlpm.amps,IFERROR(--SUBSTITUTE(_xlpm.codes&amp;"","N",""),""),_xlpm.a,MIN(IF(ISNUMBER(_xlpm.amps),IF(_xlpm.amps&gt;=$R73,_xlpm.amps,""),"")),_xlpm.k,IF(_xlpm.a=0,$R73,_xlpm.a),IF($BO73="Y",TEXT(_xlpm.k,"0")&amp;"N",_xlpm.k))))</f>
        <v/>
      </c>
      <c r="BQ73" s="832" t="str" cm="1">
        <f t="array" ref="BQ73">IF($BP73="","",IFERROR(IF($BV73="AL",_xlfn.XLOOKUP($BP73,Std_Al3_Code,INDEX(Std_Al3_Table,0,3)),IF($G73=1,_xlfn.XLOOKUP($BP73,Std_Cu1_Code,INDEX(Std_Cu1_Table,0,3)),_xlfn.XLOOKUP($BP73,Std_Cu3_Code,INDEX(Std_Cu3_Table,0,3)))),""))</f>
        <v/>
      </c>
      <c r="BR73" s="832" t="str" cm="1">
        <f t="array" ref="BR73">IF($BP73="","",IFERROR(IF($BV73="AL",_xlfn.XLOOKUP($BP73,Std_Al3_Code,INDEX(Std_Al3_Table,0,4)),IF($G73=1,_xlfn.XLOOKUP($BP73,Std_Cu1_Code,INDEX(Std_Cu1_Table,0,4)),_xlfn.XLOOKUP($BP73,Std_Cu3_Code,INDEX(Std_Cu3_Table,0,4)))),""))</f>
        <v/>
      </c>
      <c r="BS73" s="832" t="str" cm="1">
        <f t="array" ref="BS73">IF($BP73="","",IFERROR(IF($BV73="AL",_xlfn.XLOOKUP($BP73,Std_Al3_Code,INDEX(Std_Al3_Table,0,5)),IF($G73=1,_xlfn.XLOOKUP($BP73,Std_Cu1_Code,INDEX(Std_Cu1_Table,0,5)),_xlfn.XLOOKUP($BP73,Std_Cu3_Code,INDEX(Std_Cu3_Table,0,5)))),""))</f>
        <v/>
      </c>
      <c r="BT73" s="832" t="str">
        <f t="shared" si="25"/>
        <v/>
      </c>
      <c r="BU73" s="832" t="str" cm="1">
        <f t="array" ref="BU73">IF($BP73="","",IFERROR(IF($BV73="AL",_xlfn.XLOOKUP($BP73,Std_Al3_Code,INDEX(Std_Al3_Table,0,2)),IF($G73=1,_xlfn.XLOOKUP($BP73,Std_Cu1_Code,INDEX(Std_Cu1_Table,0,2)),_xlfn.XLOOKUP($BP73,Std_Cu3_Code,INDEX(Std_Cu3_Table,0,2)))),""))</f>
        <v/>
      </c>
      <c r="BV73" s="829" t="str">
        <f t="shared" si="26"/>
        <v/>
      </c>
      <c r="BW73" s="829" t="str">
        <f t="shared" si="32"/>
        <v/>
      </c>
      <c r="BX73" s="829" t="str" cm="1">
        <f t="array" ref="BX73">IF(OR($BP73="",$H73="",$I73="",$F73="",$BW73=""),"",IFERROR(_xlfn.LET(_xlpm.codes,IF($BV73="AL",Std_Al3_Code,IF($G73=1,Std_Cu1_Code,Std_Cu3_Code)),_xlpm.tbl,IF($BV73="AL",Std_Al3_Table,IF($G73=1,Std_Cu1_Table,Std_Cu3_Table)),_xlpm.i,MATCH($BP73,_xlpm.codes,0),_xlpm.idx,_xlfn.SEQUENCE(ROWS(_xlpm.codes)),_xlpm.cnd,INDEX(_xlpm.tbl,0,4),_xlpm.sts,INDEX(_xlpm.tbl,0,2),_xlpm.sz,IFERROR(_xlfn.TEXTBEFORE(_xlfn.TEXTAFTER(_xlpm.cnd,"#"),","),IFERROR(_xlfn.TEXTAFTER(_xlpm.cnd,"#"),"")),_xlpm.cm,IFERROR(_xlfn.XLOOKUP(TRIM(_xlpm.sz),Ampacity_Size,Ampacity_CM),0),_xlpm.mult,IF($G73=3,SQRT3,2),_xlpm.kk,IF($BV73="AL",K_Al,K_Cu),_xlpm.vd,IF(_xlpm.cm*IF(ISNUMBER(_xlpm.sts),_xlpm.sts,0)=0,9,_xlpm.mult*_xlpm.kk*$I73*$H73/(_xlpm.cm*_xlpm.sts)/$F73),_xlpm.hasN,--(RIGHT(_xlpm.codes&amp;"",1)="N"),_xlpm.wantN,--(RIGHT($BP73&amp;"",1)="N"),_xlpm.ok,(_xlpm.idx&gt;=_xlpm.i)*(_xlpm.vd&lt;=Cfg_VDFeeder)*(_xlpm.cm&gt;0)*ISNUMBER(_xlpm.sts)*(_xlpm.hasN=_xlpm.wantN),_xlpm.m,MIN(IF(_xlpm.ok=1,_xlpm.idx)),INDEX(_xlpm.codes,IF(_xlpm.m=0,_xlpm.i,_xlpm.m))),""))</f>
        <v/>
      </c>
      <c r="BY73" s="829" t="str" cm="1">
        <f t="array" ref="BY73">IF($BP73="","",IF($BX73="",$BU73,IFERROR(IF($BV73="AL",_xlfn.XLOOKUP($BX73,Std_Al3_Code,INDEX(Std_Al3_Table,0,2)),IF($G73=1,_xlfn.XLOOKUP($BX73,Std_Cu1_Code,INDEX(Std_Cu1_Table,0,2)),_xlfn.XLOOKUP($BX73,Std_Cu3_Code,INDEX(Std_Cu3_Table,0,2)))),"")))</f>
        <v/>
      </c>
      <c r="BZ73" s="829" t="str" cm="1">
        <f t="array" ref="BZ73">IF($BP73="","",IF($BX73="",$BR73,IFERROR(IF($BV73="AL",_xlfn.XLOOKUP($BX73,Std_Al3_Code,INDEX(Std_Al3_Table,0,4)),IF($G73=1,_xlfn.XLOOKUP($BX73,Std_Cu1_Code,INDEX(Std_Cu1_Table,0,4)),_xlfn.XLOOKUP($BX73,Std_Cu3_Code,INDEX(Std_Cu3_Table,0,4)))),"")))</f>
        <v/>
      </c>
      <c r="CA73" s="829" t="str" cm="1">
        <f t="array" ref="CA73">IF($BP73="","",IF($BX73="",$BQ73,IFERROR(IF($BV73="AL",_xlfn.XLOOKUP($BX73,Std_Al3_Code,INDEX(Std_Al3_Table,0,3)),IF($G73=1,_xlfn.XLOOKUP($BX73,Std_Cu1_Code,INDEX(Std_Cu1_Table,0,3)),_xlfn.XLOOKUP($BX73,Std_Cu3_Code,INDEX(Std_Cu3_Table,0,3)))),"")))</f>
        <v/>
      </c>
      <c r="CB73" s="829" t="str" cm="1">
        <f t="array" ref="CB73">IF($BP73="","",IF($BX73="",$BS73,IFERROR(IF($BV73="AL",_xlfn.XLOOKUP($BX73,Std_Al3_Code,INDEX(Std_Al3_Table,0,5)),IF($G73=1,_xlfn.XLOOKUP($BX73,Std_Cu1_Code,INDEX(Std_Cu1_Table,0,5)),_xlfn.XLOOKUP($BX73,Std_Cu3_Code,INDEX(Std_Cu3_Table,0,5)))),"")))</f>
        <v/>
      </c>
      <c r="CC73" s="829" t="str">
        <f t="shared" si="33"/>
        <v/>
      </c>
      <c r="CD73" s="829" t="str">
        <f t="shared" si="34"/>
        <v/>
      </c>
      <c r="CE73" s="829" t="str">
        <f t="shared" si="35"/>
        <v/>
      </c>
      <c r="CF73" s="829" t="str">
        <f t="shared" si="36"/>
        <v/>
      </c>
      <c r="CG73" s="829" t="str">
        <f t="shared" si="37"/>
        <v/>
      </c>
      <c r="CH73" s="829" t="str">
        <f t="shared" si="38"/>
        <v/>
      </c>
      <c r="CI73" s="829" t="str">
        <f t="shared" si="39"/>
        <v/>
      </c>
      <c r="CJ73" s="829" t="str" cm="1">
        <f t="array" ref="CJ73">IF($B73="","",_xlfn.LET(_xlpm.to,$D73&amp;"",_xlpm.em,IFERROR(INDEX(_xlfn.ANCHORARRAY($BE$4),ROW()-4,6),"")="EMERG",_xlpm.pri,AND(NOT(_xlpm.em),LEFT(_xlpm.to,2)="T-",ISNUMBER(MATCH(MID(_xlpm.to,3,99),Equip_List,0)),ISNA(MATCH(_xlpm.to,Equip_List,0))),IF(_xlpm.pri,MID(_xlpm.to,3,99),_xlpm.to)))</f>
        <v/>
      </c>
      <c r="CK73" s="829" t="str" cm="1">
        <f t="array" ref="CK73">IF($CJ73="","",IF(IFERROR(INDEX(_xlfn.ANCHORARRAY($BE$4),ROW()-4,6),"")="EMERG","E",IF($CJ73&lt;&gt;$D73&amp;"","P","N")))</f>
        <v/>
      </c>
    </row>
    <row r="74" spans="1:89" ht="15" customHeight="1" x14ac:dyDescent="0.35">
      <c r="A74" s="821" t="str">
        <f t="shared" si="27"/>
        <v/>
      </c>
      <c r="B74" s="821" t="str" cm="1">
        <f t="array" ref="B74">IFERROR(IF(INDEX(_xlfn.ANCHORARRAY($BE$4),ROW()-4,2)="","","F-"&amp;INDEX(_xlfn.ANCHORARRAY($BE$4),ROW()-4,2)&amp;IF(IFERROR(INDEX(_xlfn.ANCHORARRAY($BE$4),ROW()-4,6),"")="EMERG","-E","")),"")</f>
        <v/>
      </c>
      <c r="C74" s="821" t="str" cm="1">
        <f t="array" ref="C74">IFERROR(IF($B74="","",INDEX(_xlfn.ANCHORARRAY($BE$4),ROW()-4,1)),"")</f>
        <v/>
      </c>
      <c r="D74" s="821" t="str" cm="1">
        <f t="array" ref="D74">IFERROR(IF($B74="","",INDEX(_xlfn.ANCHORARRAY($BE$4),ROW()-4,2)),"")</f>
        <v/>
      </c>
      <c r="E74" s="806" t="str" cm="1">
        <f t="array" ref="E74">IFERROR(IF($B74="","",INDEX(_xlfn.ANCHORARRAY($BE$4),ROW()-4,3)),"")</f>
        <v/>
      </c>
      <c r="F74" s="822" t="str" cm="1">
        <f t="array" ref="F74">IFERROR(IF($B74="","",INDEX(_xlfn.ANCHORARRAY($BE$4),ROW()-4,4)),"")</f>
        <v/>
      </c>
      <c r="G74" s="823" t="str" cm="1">
        <f t="array" ref="G74">IFERROR(IF($B74="","",INDEX(_xlfn.ANCHORARRAY($BE$4),ROW()-4,5)),"")</f>
        <v/>
      </c>
      <c r="H74" s="824" t="str" cm="1">
        <f t="array" ref="H74">IF($CJ74="","",_xlfn.LET(_xlpm.v,_xlfn.XLOOKUP($CJ74,Equip_List,IF($CK74="E",Equip_EmLen,IF($CK74="P",Equip_XfPriLen,Equip_FdrLen)),""),IF(_xlpm.v="","",_xlpm.v)))</f>
        <v/>
      </c>
      <c r="I74" s="806" t="str">
        <f t="shared" si="20"/>
        <v/>
      </c>
      <c r="J74" s="820"/>
      <c r="K74" s="806" t="str">
        <f>_xlfn.LET(_xlpm.k,IF($I74="","",IF(COUNTIF(UPS!$B$57:$B$64,$C74&amp;"")&gt;0,1.25*MAX($I74,N(_xlfn.XLOOKUP($C74&amp;"",UPS!$B$57:$B$64,UPS!$M$57:$M$64,0))),IF(COUNTIF(UPS!$B$57:$B$64,$D74&amp;"")&gt;0,1.25*MAX($I74,N(_xlfn.XLOOKUP($D74&amp;"",UPS!$B$57:$B$64,UPS!$Q$57:$Q$64,0))),$I74*IF(OR(UPPER($J74)="Y",LEFT($C74,2)="T-",LEFT($D74,2)="T-"),1.25,1)))),IF(_xlpm.k="","",MAX(_xlpm.k,N(IFERROR(_xlfn.XLOOKUP($D74&amp;"",Dashboard!$A$101:$A$350,Dashboard!$O$101:$O$350,0),0)))))</f>
        <v/>
      </c>
      <c r="L74" s="825" t="str">
        <f>IF($CJ74="","",_xlfn.LET(_xlpm.v,UPPER(TRIM(_xlfn.XLOOKUP($CJ74,Equip_List,Equip_FdrMat,"")&amp;"")),IF(_xlpm.v="",UPPER(TRIM(Cfg_FeederMat&amp;"")),_xlpm.v)))</f>
        <v/>
      </c>
      <c r="M74" s="825" t="str">
        <f>IF($CJ74="","",_xlfn.LET(_xlpm.v,TRIM(_xlfn.XLOOKUP($CJ74,Equip_List,Equip_FdrRace,"")&amp;""),IF(_xlpm.v="",Cfg_Conduit&amp;"",_xlpm.v)))</f>
        <v/>
      </c>
      <c r="N74" s="825" t="str">
        <f>IF($CJ74="","",IF(UPPER(TRIM(_xlfn.XLOOKUP($CJ74,Equip_List,Equip_FdrExist,"")&amp;""))="Y","Y",""))</f>
        <v/>
      </c>
      <c r="O74" s="823" t="str">
        <f t="shared" si="28"/>
        <v/>
      </c>
      <c r="P74" s="821" t="str">
        <f t="shared" si="29"/>
        <v/>
      </c>
      <c r="Q74" s="821" t="str">
        <f t="shared" si="30"/>
        <v/>
      </c>
      <c r="R74" s="822" t="str" cm="1">
        <f t="array" ref="R74">IF(K74="","",INDEX(OCPD_List,MATCH(TRUE,OCPD_List&gt;=K74,0)))</f>
        <v/>
      </c>
      <c r="S74" s="821" t="str">
        <f t="shared" si="31"/>
        <v/>
      </c>
      <c r="T74" s="826" t="str">
        <f t="shared" si="21"/>
        <v/>
      </c>
      <c r="U74" s="826" t="str">
        <f t="shared" si="22"/>
        <v/>
      </c>
      <c r="V74" s="827" t="str">
        <f t="shared" si="23"/>
        <v/>
      </c>
      <c r="W74" s="828"/>
      <c r="X74" s="819"/>
      <c r="Y74" s="820"/>
      <c r="Z74" s="820"/>
      <c r="AA74" s="820"/>
      <c r="BN74" s="832" t="str">
        <f>IF($B74="","",IFERROR(_xlfn.XLOOKUP($D74,Dashboard!$A$101:$A$350,Dashboard!$C$101:$C$350),""))</f>
        <v/>
      </c>
      <c r="BO74" s="832" t="str">
        <f t="shared" si="24"/>
        <v/>
      </c>
      <c r="BP74" s="832" t="str" cm="1">
        <f t="array" ref="BP74">IF(OR($B74="",$R74="",NOT(ISNUMBER($R74))),"",IF(AND($BV74="AL",$G74=1),"",_xlfn.LET(_xlpm.codes,IF($BV74="AL",Std_Al3_Code,IF($G74=1,Std_Cu1_Code,Std_Cu3_Code)),_xlpm.amps,IFERROR(--SUBSTITUTE(_xlpm.codes&amp;"","N",""),""),_xlpm.a,MIN(IF(ISNUMBER(_xlpm.amps),IF(_xlpm.amps&gt;=$R74,_xlpm.amps,""),"")),_xlpm.k,IF(_xlpm.a=0,$R74,_xlpm.a),IF($BO74="Y",TEXT(_xlpm.k,"0")&amp;"N",_xlpm.k))))</f>
        <v/>
      </c>
      <c r="BQ74" s="832" t="str" cm="1">
        <f t="array" ref="BQ74">IF($BP74="","",IFERROR(IF($BV74="AL",_xlfn.XLOOKUP($BP74,Std_Al3_Code,INDEX(Std_Al3_Table,0,3)),IF($G74=1,_xlfn.XLOOKUP($BP74,Std_Cu1_Code,INDEX(Std_Cu1_Table,0,3)),_xlfn.XLOOKUP($BP74,Std_Cu3_Code,INDEX(Std_Cu3_Table,0,3)))),""))</f>
        <v/>
      </c>
      <c r="BR74" s="832" t="str" cm="1">
        <f t="array" ref="BR74">IF($BP74="","",IFERROR(IF($BV74="AL",_xlfn.XLOOKUP($BP74,Std_Al3_Code,INDEX(Std_Al3_Table,0,4)),IF($G74=1,_xlfn.XLOOKUP($BP74,Std_Cu1_Code,INDEX(Std_Cu1_Table,0,4)),_xlfn.XLOOKUP($BP74,Std_Cu3_Code,INDEX(Std_Cu3_Table,0,4)))),""))</f>
        <v/>
      </c>
      <c r="BS74" s="832" t="str" cm="1">
        <f t="array" ref="BS74">IF($BP74="","",IFERROR(IF($BV74="AL",_xlfn.XLOOKUP($BP74,Std_Al3_Code,INDEX(Std_Al3_Table,0,5)),IF($G74=1,_xlfn.XLOOKUP($BP74,Std_Cu1_Code,INDEX(Std_Cu1_Table,0,5)),_xlfn.XLOOKUP($BP74,Std_Cu3_Code,INDEX(Std_Cu3_Table,0,5)))),""))</f>
        <v/>
      </c>
      <c r="BT74" s="832" t="str">
        <f t="shared" si="25"/>
        <v/>
      </c>
      <c r="BU74" s="832" t="str" cm="1">
        <f t="array" ref="BU74">IF($BP74="","",IFERROR(IF($BV74="AL",_xlfn.XLOOKUP($BP74,Std_Al3_Code,INDEX(Std_Al3_Table,0,2)),IF($G74=1,_xlfn.XLOOKUP($BP74,Std_Cu1_Code,INDEX(Std_Cu1_Table,0,2)),_xlfn.XLOOKUP($BP74,Std_Cu3_Code,INDEX(Std_Cu3_Table,0,2)))),""))</f>
        <v/>
      </c>
      <c r="BV74" s="829" t="str">
        <f t="shared" si="26"/>
        <v/>
      </c>
      <c r="BW74" s="829" t="str">
        <f t="shared" si="32"/>
        <v/>
      </c>
      <c r="BX74" s="829" t="str" cm="1">
        <f t="array" ref="BX74">IF(OR($BP74="",$H74="",$I74="",$F74="",$BW74=""),"",IFERROR(_xlfn.LET(_xlpm.codes,IF($BV74="AL",Std_Al3_Code,IF($G74=1,Std_Cu1_Code,Std_Cu3_Code)),_xlpm.tbl,IF($BV74="AL",Std_Al3_Table,IF($G74=1,Std_Cu1_Table,Std_Cu3_Table)),_xlpm.i,MATCH($BP74,_xlpm.codes,0),_xlpm.idx,_xlfn.SEQUENCE(ROWS(_xlpm.codes)),_xlpm.cnd,INDEX(_xlpm.tbl,0,4),_xlpm.sts,INDEX(_xlpm.tbl,0,2),_xlpm.sz,IFERROR(_xlfn.TEXTBEFORE(_xlfn.TEXTAFTER(_xlpm.cnd,"#"),","),IFERROR(_xlfn.TEXTAFTER(_xlpm.cnd,"#"),"")),_xlpm.cm,IFERROR(_xlfn.XLOOKUP(TRIM(_xlpm.sz),Ampacity_Size,Ampacity_CM),0),_xlpm.mult,IF($G74=3,SQRT3,2),_xlpm.kk,IF($BV74="AL",K_Al,K_Cu),_xlpm.vd,IF(_xlpm.cm*IF(ISNUMBER(_xlpm.sts),_xlpm.sts,0)=0,9,_xlpm.mult*_xlpm.kk*$I74*$H74/(_xlpm.cm*_xlpm.sts)/$F74),_xlpm.hasN,--(RIGHT(_xlpm.codes&amp;"",1)="N"),_xlpm.wantN,--(RIGHT($BP74&amp;"",1)="N"),_xlpm.ok,(_xlpm.idx&gt;=_xlpm.i)*(_xlpm.vd&lt;=Cfg_VDFeeder)*(_xlpm.cm&gt;0)*ISNUMBER(_xlpm.sts)*(_xlpm.hasN=_xlpm.wantN),_xlpm.m,MIN(IF(_xlpm.ok=1,_xlpm.idx)),INDEX(_xlpm.codes,IF(_xlpm.m=0,_xlpm.i,_xlpm.m))),""))</f>
        <v/>
      </c>
      <c r="BY74" s="829" t="str" cm="1">
        <f t="array" ref="BY74">IF($BP74="","",IF($BX74="",$BU74,IFERROR(IF($BV74="AL",_xlfn.XLOOKUP($BX74,Std_Al3_Code,INDEX(Std_Al3_Table,0,2)),IF($G74=1,_xlfn.XLOOKUP($BX74,Std_Cu1_Code,INDEX(Std_Cu1_Table,0,2)),_xlfn.XLOOKUP($BX74,Std_Cu3_Code,INDEX(Std_Cu3_Table,0,2)))),"")))</f>
        <v/>
      </c>
      <c r="BZ74" s="829" t="str" cm="1">
        <f t="array" ref="BZ74">IF($BP74="","",IF($BX74="",$BR74,IFERROR(IF($BV74="AL",_xlfn.XLOOKUP($BX74,Std_Al3_Code,INDEX(Std_Al3_Table,0,4)),IF($G74=1,_xlfn.XLOOKUP($BX74,Std_Cu1_Code,INDEX(Std_Cu1_Table,0,4)),_xlfn.XLOOKUP($BX74,Std_Cu3_Code,INDEX(Std_Cu3_Table,0,4)))),"")))</f>
        <v/>
      </c>
      <c r="CA74" s="829" t="str" cm="1">
        <f t="array" ref="CA74">IF($BP74="","",IF($BX74="",$BQ74,IFERROR(IF($BV74="AL",_xlfn.XLOOKUP($BX74,Std_Al3_Code,INDEX(Std_Al3_Table,0,3)),IF($G74=1,_xlfn.XLOOKUP($BX74,Std_Cu1_Code,INDEX(Std_Cu1_Table,0,3)),_xlfn.XLOOKUP($BX74,Std_Cu3_Code,INDEX(Std_Cu3_Table,0,3)))),"")))</f>
        <v/>
      </c>
      <c r="CB74" s="829" t="str" cm="1">
        <f t="array" ref="CB74">IF($BP74="","",IF($BX74="",$BS74,IFERROR(IF($BV74="AL",_xlfn.XLOOKUP($BX74,Std_Al3_Code,INDEX(Std_Al3_Table,0,5)),IF($G74=1,_xlfn.XLOOKUP($BX74,Std_Cu1_Code,INDEX(Std_Cu1_Table,0,5)),_xlfn.XLOOKUP($BX74,Std_Cu3_Code,INDEX(Std_Cu3_Table,0,5)))),"")))</f>
        <v/>
      </c>
      <c r="CC74" s="829" t="str">
        <f t="shared" si="33"/>
        <v/>
      </c>
      <c r="CD74" s="829" t="str">
        <f t="shared" si="34"/>
        <v/>
      </c>
      <c r="CE74" s="829" t="str">
        <f t="shared" si="35"/>
        <v/>
      </c>
      <c r="CF74" s="829" t="str">
        <f t="shared" si="36"/>
        <v/>
      </c>
      <c r="CG74" s="829" t="str">
        <f t="shared" si="37"/>
        <v/>
      </c>
      <c r="CH74" s="829" t="str">
        <f t="shared" si="38"/>
        <v/>
      </c>
      <c r="CI74" s="829" t="str">
        <f t="shared" si="39"/>
        <v/>
      </c>
      <c r="CJ74" s="829" t="str" cm="1">
        <f t="array" ref="CJ74">IF($B74="","",_xlfn.LET(_xlpm.to,$D74&amp;"",_xlpm.em,IFERROR(INDEX(_xlfn.ANCHORARRAY($BE$4),ROW()-4,6),"")="EMERG",_xlpm.pri,AND(NOT(_xlpm.em),LEFT(_xlpm.to,2)="T-",ISNUMBER(MATCH(MID(_xlpm.to,3,99),Equip_List,0)),ISNA(MATCH(_xlpm.to,Equip_List,0))),IF(_xlpm.pri,MID(_xlpm.to,3,99),_xlpm.to)))</f>
        <v/>
      </c>
      <c r="CK74" s="829" t="str" cm="1">
        <f t="array" ref="CK74">IF($CJ74="","",IF(IFERROR(INDEX(_xlfn.ANCHORARRAY($BE$4),ROW()-4,6),"")="EMERG","E",IF($CJ74&lt;&gt;$D74&amp;"","P","N")))</f>
        <v/>
      </c>
    </row>
    <row r="75" spans="1:89" ht="15" customHeight="1" x14ac:dyDescent="0.35">
      <c r="A75" s="821" t="str">
        <f t="shared" si="27"/>
        <v/>
      </c>
      <c r="B75" s="821" t="str" cm="1">
        <f t="array" ref="B75">IFERROR(IF(INDEX(_xlfn.ANCHORARRAY($BE$4),ROW()-4,2)="","","F-"&amp;INDEX(_xlfn.ANCHORARRAY($BE$4),ROW()-4,2)&amp;IF(IFERROR(INDEX(_xlfn.ANCHORARRAY($BE$4),ROW()-4,6),"")="EMERG","-E","")),"")</f>
        <v/>
      </c>
      <c r="C75" s="821" t="str" cm="1">
        <f t="array" ref="C75">IFERROR(IF($B75="","",INDEX(_xlfn.ANCHORARRAY($BE$4),ROW()-4,1)),"")</f>
        <v/>
      </c>
      <c r="D75" s="821" t="str" cm="1">
        <f t="array" ref="D75">IFERROR(IF($B75="","",INDEX(_xlfn.ANCHORARRAY($BE$4),ROW()-4,2)),"")</f>
        <v/>
      </c>
      <c r="E75" s="806" t="str" cm="1">
        <f t="array" ref="E75">IFERROR(IF($B75="","",INDEX(_xlfn.ANCHORARRAY($BE$4),ROW()-4,3)),"")</f>
        <v/>
      </c>
      <c r="F75" s="822" t="str" cm="1">
        <f t="array" ref="F75">IFERROR(IF($B75="","",INDEX(_xlfn.ANCHORARRAY($BE$4),ROW()-4,4)),"")</f>
        <v/>
      </c>
      <c r="G75" s="823" t="str" cm="1">
        <f t="array" ref="G75">IFERROR(IF($B75="","",INDEX(_xlfn.ANCHORARRAY($BE$4),ROW()-4,5)),"")</f>
        <v/>
      </c>
      <c r="H75" s="824" t="str" cm="1">
        <f t="array" ref="H75">IF($CJ75="","",_xlfn.LET(_xlpm.v,_xlfn.XLOOKUP($CJ75,Equip_List,IF($CK75="E",Equip_EmLen,IF($CK75="P",Equip_XfPriLen,Equip_FdrLen)),""),IF(_xlpm.v="","",_xlpm.v)))</f>
        <v/>
      </c>
      <c r="I75" s="806" t="str">
        <f t="shared" si="20"/>
        <v/>
      </c>
      <c r="J75" s="820"/>
      <c r="K75" s="806" t="str">
        <f>_xlfn.LET(_xlpm.k,IF($I75="","",IF(COUNTIF(UPS!$B$57:$B$64,$C75&amp;"")&gt;0,1.25*MAX($I75,N(_xlfn.XLOOKUP($C75&amp;"",UPS!$B$57:$B$64,UPS!$M$57:$M$64,0))),IF(COUNTIF(UPS!$B$57:$B$64,$D75&amp;"")&gt;0,1.25*MAX($I75,N(_xlfn.XLOOKUP($D75&amp;"",UPS!$B$57:$B$64,UPS!$Q$57:$Q$64,0))),$I75*IF(OR(UPPER($J75)="Y",LEFT($C75,2)="T-",LEFT($D75,2)="T-"),1.25,1)))),IF(_xlpm.k="","",MAX(_xlpm.k,N(IFERROR(_xlfn.XLOOKUP($D75&amp;"",Dashboard!$A$101:$A$350,Dashboard!$O$101:$O$350,0),0)))))</f>
        <v/>
      </c>
      <c r="L75" s="825" t="str">
        <f>IF($CJ75="","",_xlfn.LET(_xlpm.v,UPPER(TRIM(_xlfn.XLOOKUP($CJ75,Equip_List,Equip_FdrMat,"")&amp;"")),IF(_xlpm.v="",UPPER(TRIM(Cfg_FeederMat&amp;"")),_xlpm.v)))</f>
        <v/>
      </c>
      <c r="M75" s="825" t="str">
        <f>IF($CJ75="","",_xlfn.LET(_xlpm.v,TRIM(_xlfn.XLOOKUP($CJ75,Equip_List,Equip_FdrRace,"")&amp;""),IF(_xlpm.v="",Cfg_Conduit&amp;"",_xlpm.v)))</f>
        <v/>
      </c>
      <c r="N75" s="825" t="str">
        <f>IF($CJ75="","",IF(UPPER(TRIM(_xlfn.XLOOKUP($CJ75,Equip_List,Equip_FdrExist,"")&amp;""))="Y","Y",""))</f>
        <v/>
      </c>
      <c r="O75" s="823" t="str">
        <f t="shared" si="28"/>
        <v/>
      </c>
      <c r="P75" s="821" t="str">
        <f t="shared" si="29"/>
        <v/>
      </c>
      <c r="Q75" s="821" t="str">
        <f t="shared" si="30"/>
        <v/>
      </c>
      <c r="R75" s="822" t="str" cm="1">
        <f t="array" ref="R75">IF(K75="","",INDEX(OCPD_List,MATCH(TRUE,OCPD_List&gt;=K75,0)))</f>
        <v/>
      </c>
      <c r="S75" s="821" t="str">
        <f t="shared" si="31"/>
        <v/>
      </c>
      <c r="T75" s="826" t="str">
        <f t="shared" si="21"/>
        <v/>
      </c>
      <c r="U75" s="826" t="str">
        <f t="shared" si="22"/>
        <v/>
      </c>
      <c r="V75" s="827" t="str">
        <f t="shared" si="23"/>
        <v/>
      </c>
      <c r="W75" s="828"/>
      <c r="X75" s="819"/>
      <c r="Y75" s="820"/>
      <c r="Z75" s="820"/>
      <c r="AA75" s="820"/>
      <c r="BN75" s="832" t="str">
        <f>IF($B75="","",IFERROR(_xlfn.XLOOKUP($D75,Dashboard!$A$101:$A$350,Dashboard!$C$101:$C$350),""))</f>
        <v/>
      </c>
      <c r="BO75" s="832" t="str">
        <f t="shared" si="24"/>
        <v/>
      </c>
      <c r="BP75" s="832" t="str" cm="1">
        <f t="array" ref="BP75">IF(OR($B75="",$R75="",NOT(ISNUMBER($R75))),"",IF(AND($BV75="AL",$G75=1),"",_xlfn.LET(_xlpm.codes,IF($BV75="AL",Std_Al3_Code,IF($G75=1,Std_Cu1_Code,Std_Cu3_Code)),_xlpm.amps,IFERROR(--SUBSTITUTE(_xlpm.codes&amp;"","N",""),""),_xlpm.a,MIN(IF(ISNUMBER(_xlpm.amps),IF(_xlpm.amps&gt;=$R75,_xlpm.amps,""),"")),_xlpm.k,IF(_xlpm.a=0,$R75,_xlpm.a),IF($BO75="Y",TEXT(_xlpm.k,"0")&amp;"N",_xlpm.k))))</f>
        <v/>
      </c>
      <c r="BQ75" s="832" t="str" cm="1">
        <f t="array" ref="BQ75">IF($BP75="","",IFERROR(IF($BV75="AL",_xlfn.XLOOKUP($BP75,Std_Al3_Code,INDEX(Std_Al3_Table,0,3)),IF($G75=1,_xlfn.XLOOKUP($BP75,Std_Cu1_Code,INDEX(Std_Cu1_Table,0,3)),_xlfn.XLOOKUP($BP75,Std_Cu3_Code,INDEX(Std_Cu3_Table,0,3)))),""))</f>
        <v/>
      </c>
      <c r="BR75" s="832" t="str" cm="1">
        <f t="array" ref="BR75">IF($BP75="","",IFERROR(IF($BV75="AL",_xlfn.XLOOKUP($BP75,Std_Al3_Code,INDEX(Std_Al3_Table,0,4)),IF($G75=1,_xlfn.XLOOKUP($BP75,Std_Cu1_Code,INDEX(Std_Cu1_Table,0,4)),_xlfn.XLOOKUP($BP75,Std_Cu3_Code,INDEX(Std_Cu3_Table,0,4)))),""))</f>
        <v/>
      </c>
      <c r="BS75" s="832" t="str" cm="1">
        <f t="array" ref="BS75">IF($BP75="","",IFERROR(IF($BV75="AL",_xlfn.XLOOKUP($BP75,Std_Al3_Code,INDEX(Std_Al3_Table,0,5)),IF($G75=1,_xlfn.XLOOKUP($BP75,Std_Cu1_Code,INDEX(Std_Cu1_Table,0,5)),_xlfn.XLOOKUP($BP75,Std_Cu3_Code,INDEX(Std_Cu3_Table,0,5)))),""))</f>
        <v/>
      </c>
      <c r="BT75" s="832" t="str">
        <f t="shared" si="25"/>
        <v/>
      </c>
      <c r="BU75" s="832" t="str" cm="1">
        <f t="array" ref="BU75">IF($BP75="","",IFERROR(IF($BV75="AL",_xlfn.XLOOKUP($BP75,Std_Al3_Code,INDEX(Std_Al3_Table,0,2)),IF($G75=1,_xlfn.XLOOKUP($BP75,Std_Cu1_Code,INDEX(Std_Cu1_Table,0,2)),_xlfn.XLOOKUP($BP75,Std_Cu3_Code,INDEX(Std_Cu3_Table,0,2)))),""))</f>
        <v/>
      </c>
      <c r="BV75" s="829" t="str">
        <f t="shared" si="26"/>
        <v/>
      </c>
      <c r="BW75" s="829" t="str">
        <f t="shared" si="32"/>
        <v/>
      </c>
      <c r="BX75" s="829" t="str" cm="1">
        <f t="array" ref="BX75">IF(OR($BP75="",$H75="",$I75="",$F75="",$BW75=""),"",IFERROR(_xlfn.LET(_xlpm.codes,IF($BV75="AL",Std_Al3_Code,IF($G75=1,Std_Cu1_Code,Std_Cu3_Code)),_xlpm.tbl,IF($BV75="AL",Std_Al3_Table,IF($G75=1,Std_Cu1_Table,Std_Cu3_Table)),_xlpm.i,MATCH($BP75,_xlpm.codes,0),_xlpm.idx,_xlfn.SEQUENCE(ROWS(_xlpm.codes)),_xlpm.cnd,INDEX(_xlpm.tbl,0,4),_xlpm.sts,INDEX(_xlpm.tbl,0,2),_xlpm.sz,IFERROR(_xlfn.TEXTBEFORE(_xlfn.TEXTAFTER(_xlpm.cnd,"#"),","),IFERROR(_xlfn.TEXTAFTER(_xlpm.cnd,"#"),"")),_xlpm.cm,IFERROR(_xlfn.XLOOKUP(TRIM(_xlpm.sz),Ampacity_Size,Ampacity_CM),0),_xlpm.mult,IF($G75=3,SQRT3,2),_xlpm.kk,IF($BV75="AL",K_Al,K_Cu),_xlpm.vd,IF(_xlpm.cm*IF(ISNUMBER(_xlpm.sts),_xlpm.sts,0)=0,9,_xlpm.mult*_xlpm.kk*$I75*$H75/(_xlpm.cm*_xlpm.sts)/$F75),_xlpm.hasN,--(RIGHT(_xlpm.codes&amp;"",1)="N"),_xlpm.wantN,--(RIGHT($BP75&amp;"",1)="N"),_xlpm.ok,(_xlpm.idx&gt;=_xlpm.i)*(_xlpm.vd&lt;=Cfg_VDFeeder)*(_xlpm.cm&gt;0)*ISNUMBER(_xlpm.sts)*(_xlpm.hasN=_xlpm.wantN),_xlpm.m,MIN(IF(_xlpm.ok=1,_xlpm.idx)),INDEX(_xlpm.codes,IF(_xlpm.m=0,_xlpm.i,_xlpm.m))),""))</f>
        <v/>
      </c>
      <c r="BY75" s="829" t="str" cm="1">
        <f t="array" ref="BY75">IF($BP75="","",IF($BX75="",$BU75,IFERROR(IF($BV75="AL",_xlfn.XLOOKUP($BX75,Std_Al3_Code,INDEX(Std_Al3_Table,0,2)),IF($G75=1,_xlfn.XLOOKUP($BX75,Std_Cu1_Code,INDEX(Std_Cu1_Table,0,2)),_xlfn.XLOOKUP($BX75,Std_Cu3_Code,INDEX(Std_Cu3_Table,0,2)))),"")))</f>
        <v/>
      </c>
      <c r="BZ75" s="829" t="str" cm="1">
        <f t="array" ref="BZ75">IF($BP75="","",IF($BX75="",$BR75,IFERROR(IF($BV75="AL",_xlfn.XLOOKUP($BX75,Std_Al3_Code,INDEX(Std_Al3_Table,0,4)),IF($G75=1,_xlfn.XLOOKUP($BX75,Std_Cu1_Code,INDEX(Std_Cu1_Table,0,4)),_xlfn.XLOOKUP($BX75,Std_Cu3_Code,INDEX(Std_Cu3_Table,0,4)))),"")))</f>
        <v/>
      </c>
      <c r="CA75" s="829" t="str" cm="1">
        <f t="array" ref="CA75">IF($BP75="","",IF($BX75="",$BQ75,IFERROR(IF($BV75="AL",_xlfn.XLOOKUP($BX75,Std_Al3_Code,INDEX(Std_Al3_Table,0,3)),IF($G75=1,_xlfn.XLOOKUP($BX75,Std_Cu1_Code,INDEX(Std_Cu1_Table,0,3)),_xlfn.XLOOKUP($BX75,Std_Cu3_Code,INDEX(Std_Cu3_Table,0,3)))),"")))</f>
        <v/>
      </c>
      <c r="CB75" s="829" t="str" cm="1">
        <f t="array" ref="CB75">IF($BP75="","",IF($BX75="",$BS75,IFERROR(IF($BV75="AL",_xlfn.XLOOKUP($BX75,Std_Al3_Code,INDEX(Std_Al3_Table,0,5)),IF($G75=1,_xlfn.XLOOKUP($BX75,Std_Cu1_Code,INDEX(Std_Cu1_Table,0,5)),_xlfn.XLOOKUP($BX75,Std_Cu3_Code,INDEX(Std_Cu3_Table,0,5)))),"")))</f>
        <v/>
      </c>
      <c r="CC75" s="829" t="str">
        <f t="shared" si="33"/>
        <v/>
      </c>
      <c r="CD75" s="829" t="str">
        <f t="shared" si="34"/>
        <v/>
      </c>
      <c r="CE75" s="829" t="str">
        <f t="shared" si="35"/>
        <v/>
      </c>
      <c r="CF75" s="829" t="str">
        <f t="shared" si="36"/>
        <v/>
      </c>
      <c r="CG75" s="829" t="str">
        <f t="shared" si="37"/>
        <v/>
      </c>
      <c r="CH75" s="829" t="str">
        <f t="shared" si="38"/>
        <v/>
      </c>
      <c r="CI75" s="829" t="str">
        <f t="shared" si="39"/>
        <v/>
      </c>
      <c r="CJ75" s="829" t="str" cm="1">
        <f t="array" ref="CJ75">IF($B75="","",_xlfn.LET(_xlpm.to,$D75&amp;"",_xlpm.em,IFERROR(INDEX(_xlfn.ANCHORARRAY($BE$4),ROW()-4,6),"")="EMERG",_xlpm.pri,AND(NOT(_xlpm.em),LEFT(_xlpm.to,2)="T-",ISNUMBER(MATCH(MID(_xlpm.to,3,99),Equip_List,0)),ISNA(MATCH(_xlpm.to,Equip_List,0))),IF(_xlpm.pri,MID(_xlpm.to,3,99),_xlpm.to)))</f>
        <v/>
      </c>
      <c r="CK75" s="829" t="str" cm="1">
        <f t="array" ref="CK75">IF($CJ75="","",IF(IFERROR(INDEX(_xlfn.ANCHORARRAY($BE$4),ROW()-4,6),"")="EMERG","E",IF($CJ75&lt;&gt;$D75&amp;"","P","N")))</f>
        <v/>
      </c>
    </row>
    <row r="76" spans="1:89" ht="15" customHeight="1" x14ac:dyDescent="0.35">
      <c r="A76" s="821" t="str">
        <f t="shared" si="27"/>
        <v/>
      </c>
      <c r="B76" s="821" t="str" cm="1">
        <f t="array" ref="B76">IFERROR(IF(INDEX(_xlfn.ANCHORARRAY($BE$4),ROW()-4,2)="","","F-"&amp;INDEX(_xlfn.ANCHORARRAY($BE$4),ROW()-4,2)&amp;IF(IFERROR(INDEX(_xlfn.ANCHORARRAY($BE$4),ROW()-4,6),"")="EMERG","-E","")),"")</f>
        <v/>
      </c>
      <c r="C76" s="821" t="str" cm="1">
        <f t="array" ref="C76">IFERROR(IF($B76="","",INDEX(_xlfn.ANCHORARRAY($BE$4),ROW()-4,1)),"")</f>
        <v/>
      </c>
      <c r="D76" s="821" t="str" cm="1">
        <f t="array" ref="D76">IFERROR(IF($B76="","",INDEX(_xlfn.ANCHORARRAY($BE$4),ROW()-4,2)),"")</f>
        <v/>
      </c>
      <c r="E76" s="806" t="str" cm="1">
        <f t="array" ref="E76">IFERROR(IF($B76="","",INDEX(_xlfn.ANCHORARRAY($BE$4),ROW()-4,3)),"")</f>
        <v/>
      </c>
      <c r="F76" s="822" t="str" cm="1">
        <f t="array" ref="F76">IFERROR(IF($B76="","",INDEX(_xlfn.ANCHORARRAY($BE$4),ROW()-4,4)),"")</f>
        <v/>
      </c>
      <c r="G76" s="823" t="str" cm="1">
        <f t="array" ref="G76">IFERROR(IF($B76="","",INDEX(_xlfn.ANCHORARRAY($BE$4),ROW()-4,5)),"")</f>
        <v/>
      </c>
      <c r="H76" s="824" t="str" cm="1">
        <f t="array" ref="H76">IF($CJ76="","",_xlfn.LET(_xlpm.v,_xlfn.XLOOKUP($CJ76,Equip_List,IF($CK76="E",Equip_EmLen,IF($CK76="P",Equip_XfPriLen,Equip_FdrLen)),""),IF(_xlpm.v="","",_xlpm.v)))</f>
        <v/>
      </c>
      <c r="I76" s="806" t="str">
        <f t="shared" si="20"/>
        <v/>
      </c>
      <c r="J76" s="820"/>
      <c r="K76" s="806" t="str">
        <f>_xlfn.LET(_xlpm.k,IF($I76="","",IF(COUNTIF(UPS!$B$57:$B$64,$C76&amp;"")&gt;0,1.25*MAX($I76,N(_xlfn.XLOOKUP($C76&amp;"",UPS!$B$57:$B$64,UPS!$M$57:$M$64,0))),IF(COUNTIF(UPS!$B$57:$B$64,$D76&amp;"")&gt;0,1.25*MAX($I76,N(_xlfn.XLOOKUP($D76&amp;"",UPS!$B$57:$B$64,UPS!$Q$57:$Q$64,0))),$I76*IF(OR(UPPER($J76)="Y",LEFT($C76,2)="T-",LEFT($D76,2)="T-"),1.25,1)))),IF(_xlpm.k="","",MAX(_xlpm.k,N(IFERROR(_xlfn.XLOOKUP($D76&amp;"",Dashboard!$A$101:$A$350,Dashboard!$O$101:$O$350,0),0)))))</f>
        <v/>
      </c>
      <c r="L76" s="825" t="str">
        <f>IF($CJ76="","",_xlfn.LET(_xlpm.v,UPPER(TRIM(_xlfn.XLOOKUP($CJ76,Equip_List,Equip_FdrMat,"")&amp;"")),IF(_xlpm.v="",UPPER(TRIM(Cfg_FeederMat&amp;"")),_xlpm.v)))</f>
        <v/>
      </c>
      <c r="M76" s="825" t="str">
        <f>IF($CJ76="","",_xlfn.LET(_xlpm.v,TRIM(_xlfn.XLOOKUP($CJ76,Equip_List,Equip_FdrRace,"")&amp;""),IF(_xlpm.v="",Cfg_Conduit&amp;"",_xlpm.v)))</f>
        <v/>
      </c>
      <c r="N76" s="825" t="str">
        <f>IF($CJ76="","",IF(UPPER(TRIM(_xlfn.XLOOKUP($CJ76,Equip_List,Equip_FdrExist,"")&amp;""))="Y","Y",""))</f>
        <v/>
      </c>
      <c r="O76" s="823" t="str">
        <f t="shared" si="28"/>
        <v/>
      </c>
      <c r="P76" s="821" t="str">
        <f t="shared" si="29"/>
        <v/>
      </c>
      <c r="Q76" s="821" t="str">
        <f t="shared" si="30"/>
        <v/>
      </c>
      <c r="R76" s="822" t="str" cm="1">
        <f t="array" ref="R76">IF(K76="","",INDEX(OCPD_List,MATCH(TRUE,OCPD_List&gt;=K76,0)))</f>
        <v/>
      </c>
      <c r="S76" s="821" t="str">
        <f t="shared" si="31"/>
        <v/>
      </c>
      <c r="T76" s="826" t="str">
        <f t="shared" si="21"/>
        <v/>
      </c>
      <c r="U76" s="826" t="str">
        <f t="shared" si="22"/>
        <v/>
      </c>
      <c r="V76" s="827" t="str">
        <f t="shared" si="23"/>
        <v/>
      </c>
      <c r="W76" s="828"/>
      <c r="X76" s="819"/>
      <c r="Y76" s="820"/>
      <c r="Z76" s="820"/>
      <c r="AA76" s="820"/>
      <c r="BN76" s="832" t="str">
        <f>IF($B76="","",IFERROR(_xlfn.XLOOKUP($D76,Dashboard!$A$101:$A$350,Dashboard!$C$101:$C$350),""))</f>
        <v/>
      </c>
      <c r="BO76" s="832" t="str">
        <f t="shared" si="24"/>
        <v/>
      </c>
      <c r="BP76" s="832" t="str" cm="1">
        <f t="array" ref="BP76">IF(OR($B76="",$R76="",NOT(ISNUMBER($R76))),"",IF(AND($BV76="AL",$G76=1),"",_xlfn.LET(_xlpm.codes,IF($BV76="AL",Std_Al3_Code,IF($G76=1,Std_Cu1_Code,Std_Cu3_Code)),_xlpm.amps,IFERROR(--SUBSTITUTE(_xlpm.codes&amp;"","N",""),""),_xlpm.a,MIN(IF(ISNUMBER(_xlpm.amps),IF(_xlpm.amps&gt;=$R76,_xlpm.amps,""),"")),_xlpm.k,IF(_xlpm.a=0,$R76,_xlpm.a),IF($BO76="Y",TEXT(_xlpm.k,"0")&amp;"N",_xlpm.k))))</f>
        <v/>
      </c>
      <c r="BQ76" s="832" t="str" cm="1">
        <f t="array" ref="BQ76">IF($BP76="","",IFERROR(IF($BV76="AL",_xlfn.XLOOKUP($BP76,Std_Al3_Code,INDEX(Std_Al3_Table,0,3)),IF($G76=1,_xlfn.XLOOKUP($BP76,Std_Cu1_Code,INDEX(Std_Cu1_Table,0,3)),_xlfn.XLOOKUP($BP76,Std_Cu3_Code,INDEX(Std_Cu3_Table,0,3)))),""))</f>
        <v/>
      </c>
      <c r="BR76" s="832" t="str" cm="1">
        <f t="array" ref="BR76">IF($BP76="","",IFERROR(IF($BV76="AL",_xlfn.XLOOKUP($BP76,Std_Al3_Code,INDEX(Std_Al3_Table,0,4)),IF($G76=1,_xlfn.XLOOKUP($BP76,Std_Cu1_Code,INDEX(Std_Cu1_Table,0,4)),_xlfn.XLOOKUP($BP76,Std_Cu3_Code,INDEX(Std_Cu3_Table,0,4)))),""))</f>
        <v/>
      </c>
      <c r="BS76" s="832" t="str" cm="1">
        <f t="array" ref="BS76">IF($BP76="","",IFERROR(IF($BV76="AL",_xlfn.XLOOKUP($BP76,Std_Al3_Code,INDEX(Std_Al3_Table,0,5)),IF($G76=1,_xlfn.XLOOKUP($BP76,Std_Cu1_Code,INDEX(Std_Cu1_Table,0,5)),_xlfn.XLOOKUP($BP76,Std_Cu3_Code,INDEX(Std_Cu3_Table,0,5)))),""))</f>
        <v/>
      </c>
      <c r="BT76" s="832" t="str">
        <f t="shared" si="25"/>
        <v/>
      </c>
      <c r="BU76" s="832" t="str" cm="1">
        <f t="array" ref="BU76">IF($BP76="","",IFERROR(IF($BV76="AL",_xlfn.XLOOKUP($BP76,Std_Al3_Code,INDEX(Std_Al3_Table,0,2)),IF($G76=1,_xlfn.XLOOKUP($BP76,Std_Cu1_Code,INDEX(Std_Cu1_Table,0,2)),_xlfn.XLOOKUP($BP76,Std_Cu3_Code,INDEX(Std_Cu3_Table,0,2)))),""))</f>
        <v/>
      </c>
      <c r="BV76" s="829" t="str">
        <f t="shared" si="26"/>
        <v/>
      </c>
      <c r="BW76" s="829" t="str">
        <f t="shared" si="32"/>
        <v/>
      </c>
      <c r="BX76" s="829" t="str" cm="1">
        <f t="array" ref="BX76">IF(OR($BP76="",$H76="",$I76="",$F76="",$BW76=""),"",IFERROR(_xlfn.LET(_xlpm.codes,IF($BV76="AL",Std_Al3_Code,IF($G76=1,Std_Cu1_Code,Std_Cu3_Code)),_xlpm.tbl,IF($BV76="AL",Std_Al3_Table,IF($G76=1,Std_Cu1_Table,Std_Cu3_Table)),_xlpm.i,MATCH($BP76,_xlpm.codes,0),_xlpm.idx,_xlfn.SEQUENCE(ROWS(_xlpm.codes)),_xlpm.cnd,INDEX(_xlpm.tbl,0,4),_xlpm.sts,INDEX(_xlpm.tbl,0,2),_xlpm.sz,IFERROR(_xlfn.TEXTBEFORE(_xlfn.TEXTAFTER(_xlpm.cnd,"#"),","),IFERROR(_xlfn.TEXTAFTER(_xlpm.cnd,"#"),"")),_xlpm.cm,IFERROR(_xlfn.XLOOKUP(TRIM(_xlpm.sz),Ampacity_Size,Ampacity_CM),0),_xlpm.mult,IF($G76=3,SQRT3,2),_xlpm.kk,IF($BV76="AL",K_Al,K_Cu),_xlpm.vd,IF(_xlpm.cm*IF(ISNUMBER(_xlpm.sts),_xlpm.sts,0)=0,9,_xlpm.mult*_xlpm.kk*$I76*$H76/(_xlpm.cm*_xlpm.sts)/$F76),_xlpm.hasN,--(RIGHT(_xlpm.codes&amp;"",1)="N"),_xlpm.wantN,--(RIGHT($BP76&amp;"",1)="N"),_xlpm.ok,(_xlpm.idx&gt;=_xlpm.i)*(_xlpm.vd&lt;=Cfg_VDFeeder)*(_xlpm.cm&gt;0)*ISNUMBER(_xlpm.sts)*(_xlpm.hasN=_xlpm.wantN),_xlpm.m,MIN(IF(_xlpm.ok=1,_xlpm.idx)),INDEX(_xlpm.codes,IF(_xlpm.m=0,_xlpm.i,_xlpm.m))),""))</f>
        <v/>
      </c>
      <c r="BY76" s="829" t="str" cm="1">
        <f t="array" ref="BY76">IF($BP76="","",IF($BX76="",$BU76,IFERROR(IF($BV76="AL",_xlfn.XLOOKUP($BX76,Std_Al3_Code,INDEX(Std_Al3_Table,0,2)),IF($G76=1,_xlfn.XLOOKUP($BX76,Std_Cu1_Code,INDEX(Std_Cu1_Table,0,2)),_xlfn.XLOOKUP($BX76,Std_Cu3_Code,INDEX(Std_Cu3_Table,0,2)))),"")))</f>
        <v/>
      </c>
      <c r="BZ76" s="829" t="str" cm="1">
        <f t="array" ref="BZ76">IF($BP76="","",IF($BX76="",$BR76,IFERROR(IF($BV76="AL",_xlfn.XLOOKUP($BX76,Std_Al3_Code,INDEX(Std_Al3_Table,0,4)),IF($G76=1,_xlfn.XLOOKUP($BX76,Std_Cu1_Code,INDEX(Std_Cu1_Table,0,4)),_xlfn.XLOOKUP($BX76,Std_Cu3_Code,INDEX(Std_Cu3_Table,0,4)))),"")))</f>
        <v/>
      </c>
      <c r="CA76" s="829" t="str" cm="1">
        <f t="array" ref="CA76">IF($BP76="","",IF($BX76="",$BQ76,IFERROR(IF($BV76="AL",_xlfn.XLOOKUP($BX76,Std_Al3_Code,INDEX(Std_Al3_Table,0,3)),IF($G76=1,_xlfn.XLOOKUP($BX76,Std_Cu1_Code,INDEX(Std_Cu1_Table,0,3)),_xlfn.XLOOKUP($BX76,Std_Cu3_Code,INDEX(Std_Cu3_Table,0,3)))),"")))</f>
        <v/>
      </c>
      <c r="CB76" s="829" t="str" cm="1">
        <f t="array" ref="CB76">IF($BP76="","",IF($BX76="",$BS76,IFERROR(IF($BV76="AL",_xlfn.XLOOKUP($BX76,Std_Al3_Code,INDEX(Std_Al3_Table,0,5)),IF($G76=1,_xlfn.XLOOKUP($BX76,Std_Cu1_Code,INDEX(Std_Cu1_Table,0,5)),_xlfn.XLOOKUP($BX76,Std_Cu3_Code,INDEX(Std_Cu3_Table,0,5)))),"")))</f>
        <v/>
      </c>
      <c r="CC76" s="829" t="str">
        <f t="shared" si="33"/>
        <v/>
      </c>
      <c r="CD76" s="829" t="str">
        <f t="shared" si="34"/>
        <v/>
      </c>
      <c r="CE76" s="829" t="str">
        <f t="shared" si="35"/>
        <v/>
      </c>
      <c r="CF76" s="829" t="str">
        <f t="shared" si="36"/>
        <v/>
      </c>
      <c r="CG76" s="829" t="str">
        <f t="shared" si="37"/>
        <v/>
      </c>
      <c r="CH76" s="829" t="str">
        <f t="shared" si="38"/>
        <v/>
      </c>
      <c r="CI76" s="829" t="str">
        <f t="shared" si="39"/>
        <v/>
      </c>
      <c r="CJ76" s="829" t="str" cm="1">
        <f t="array" ref="CJ76">IF($B76="","",_xlfn.LET(_xlpm.to,$D76&amp;"",_xlpm.em,IFERROR(INDEX(_xlfn.ANCHORARRAY($BE$4),ROW()-4,6),"")="EMERG",_xlpm.pri,AND(NOT(_xlpm.em),LEFT(_xlpm.to,2)="T-",ISNUMBER(MATCH(MID(_xlpm.to,3,99),Equip_List,0)),ISNA(MATCH(_xlpm.to,Equip_List,0))),IF(_xlpm.pri,MID(_xlpm.to,3,99),_xlpm.to)))</f>
        <v/>
      </c>
      <c r="CK76" s="829" t="str" cm="1">
        <f t="array" ref="CK76">IF($CJ76="","",IF(IFERROR(INDEX(_xlfn.ANCHORARRAY($BE$4),ROW()-4,6),"")="EMERG","E",IF($CJ76&lt;&gt;$D76&amp;"","P","N")))</f>
        <v/>
      </c>
    </row>
    <row r="77" spans="1:89" ht="15" customHeight="1" x14ac:dyDescent="0.35">
      <c r="A77" s="821" t="str">
        <f t="shared" si="27"/>
        <v/>
      </c>
      <c r="B77" s="821" t="str" cm="1">
        <f t="array" ref="B77">IFERROR(IF(INDEX(_xlfn.ANCHORARRAY($BE$4),ROW()-4,2)="","","F-"&amp;INDEX(_xlfn.ANCHORARRAY($BE$4),ROW()-4,2)&amp;IF(IFERROR(INDEX(_xlfn.ANCHORARRAY($BE$4),ROW()-4,6),"")="EMERG","-E","")),"")</f>
        <v/>
      </c>
      <c r="C77" s="821" t="str" cm="1">
        <f t="array" ref="C77">IFERROR(IF($B77="","",INDEX(_xlfn.ANCHORARRAY($BE$4),ROW()-4,1)),"")</f>
        <v/>
      </c>
      <c r="D77" s="821" t="str" cm="1">
        <f t="array" ref="D77">IFERROR(IF($B77="","",INDEX(_xlfn.ANCHORARRAY($BE$4),ROW()-4,2)),"")</f>
        <v/>
      </c>
      <c r="E77" s="806" t="str" cm="1">
        <f t="array" ref="E77">IFERROR(IF($B77="","",INDEX(_xlfn.ANCHORARRAY($BE$4),ROW()-4,3)),"")</f>
        <v/>
      </c>
      <c r="F77" s="822" t="str" cm="1">
        <f t="array" ref="F77">IFERROR(IF($B77="","",INDEX(_xlfn.ANCHORARRAY($BE$4),ROW()-4,4)),"")</f>
        <v/>
      </c>
      <c r="G77" s="823" t="str" cm="1">
        <f t="array" ref="G77">IFERROR(IF($B77="","",INDEX(_xlfn.ANCHORARRAY($BE$4),ROW()-4,5)),"")</f>
        <v/>
      </c>
      <c r="H77" s="824" t="str" cm="1">
        <f t="array" ref="H77">IF($CJ77="","",_xlfn.LET(_xlpm.v,_xlfn.XLOOKUP($CJ77,Equip_List,IF($CK77="E",Equip_EmLen,IF($CK77="P",Equip_XfPriLen,Equip_FdrLen)),""),IF(_xlpm.v="","",_xlpm.v)))</f>
        <v/>
      </c>
      <c r="I77" s="806" t="str">
        <f t="shared" si="20"/>
        <v/>
      </c>
      <c r="J77" s="820"/>
      <c r="K77" s="806" t="str">
        <f>_xlfn.LET(_xlpm.k,IF($I77="","",IF(COUNTIF(UPS!$B$57:$B$64,$C77&amp;"")&gt;0,1.25*MAX($I77,N(_xlfn.XLOOKUP($C77&amp;"",UPS!$B$57:$B$64,UPS!$M$57:$M$64,0))),IF(COUNTIF(UPS!$B$57:$B$64,$D77&amp;"")&gt;0,1.25*MAX($I77,N(_xlfn.XLOOKUP($D77&amp;"",UPS!$B$57:$B$64,UPS!$Q$57:$Q$64,0))),$I77*IF(OR(UPPER($J77)="Y",LEFT($C77,2)="T-",LEFT($D77,2)="T-"),1.25,1)))),IF(_xlpm.k="","",MAX(_xlpm.k,N(IFERROR(_xlfn.XLOOKUP($D77&amp;"",Dashboard!$A$101:$A$350,Dashboard!$O$101:$O$350,0),0)))))</f>
        <v/>
      </c>
      <c r="L77" s="825" t="str">
        <f>IF($CJ77="","",_xlfn.LET(_xlpm.v,UPPER(TRIM(_xlfn.XLOOKUP($CJ77,Equip_List,Equip_FdrMat,"")&amp;"")),IF(_xlpm.v="",UPPER(TRIM(Cfg_FeederMat&amp;"")),_xlpm.v)))</f>
        <v/>
      </c>
      <c r="M77" s="825" t="str">
        <f>IF($CJ77="","",_xlfn.LET(_xlpm.v,TRIM(_xlfn.XLOOKUP($CJ77,Equip_List,Equip_FdrRace,"")&amp;""),IF(_xlpm.v="",Cfg_Conduit&amp;"",_xlpm.v)))</f>
        <v/>
      </c>
      <c r="N77" s="825" t="str">
        <f>IF($CJ77="","",IF(UPPER(TRIM(_xlfn.XLOOKUP($CJ77,Equip_List,Equip_FdrExist,"")&amp;""))="Y","Y",""))</f>
        <v/>
      </c>
      <c r="O77" s="823" t="str">
        <f t="shared" si="28"/>
        <v/>
      </c>
      <c r="P77" s="821" t="str">
        <f t="shared" si="29"/>
        <v/>
      </c>
      <c r="Q77" s="821" t="str">
        <f t="shared" si="30"/>
        <v/>
      </c>
      <c r="R77" s="822" t="str" cm="1">
        <f t="array" ref="R77">IF(K77="","",INDEX(OCPD_List,MATCH(TRUE,OCPD_List&gt;=K77,0)))</f>
        <v/>
      </c>
      <c r="S77" s="821" t="str">
        <f t="shared" si="31"/>
        <v/>
      </c>
      <c r="T77" s="826" t="str">
        <f t="shared" si="21"/>
        <v/>
      </c>
      <c r="U77" s="826" t="str">
        <f t="shared" si="22"/>
        <v/>
      </c>
      <c r="V77" s="827" t="str">
        <f t="shared" si="23"/>
        <v/>
      </c>
      <c r="W77" s="828"/>
      <c r="X77" s="819"/>
      <c r="Y77" s="820"/>
      <c r="Z77" s="820"/>
      <c r="AA77" s="820"/>
      <c r="BN77" s="832" t="str">
        <f>IF($B77="","",IFERROR(_xlfn.XLOOKUP($D77,Dashboard!$A$101:$A$350,Dashboard!$C$101:$C$350),""))</f>
        <v/>
      </c>
      <c r="BO77" s="832" t="str">
        <f t="shared" si="24"/>
        <v/>
      </c>
      <c r="BP77" s="832" t="str" cm="1">
        <f t="array" ref="BP77">IF(OR($B77="",$R77="",NOT(ISNUMBER($R77))),"",IF(AND($BV77="AL",$G77=1),"",_xlfn.LET(_xlpm.codes,IF($BV77="AL",Std_Al3_Code,IF($G77=1,Std_Cu1_Code,Std_Cu3_Code)),_xlpm.amps,IFERROR(--SUBSTITUTE(_xlpm.codes&amp;"","N",""),""),_xlpm.a,MIN(IF(ISNUMBER(_xlpm.amps),IF(_xlpm.amps&gt;=$R77,_xlpm.amps,""),"")),_xlpm.k,IF(_xlpm.a=0,$R77,_xlpm.a),IF($BO77="Y",TEXT(_xlpm.k,"0")&amp;"N",_xlpm.k))))</f>
        <v/>
      </c>
      <c r="BQ77" s="832" t="str" cm="1">
        <f t="array" ref="BQ77">IF($BP77="","",IFERROR(IF($BV77="AL",_xlfn.XLOOKUP($BP77,Std_Al3_Code,INDEX(Std_Al3_Table,0,3)),IF($G77=1,_xlfn.XLOOKUP($BP77,Std_Cu1_Code,INDEX(Std_Cu1_Table,0,3)),_xlfn.XLOOKUP($BP77,Std_Cu3_Code,INDEX(Std_Cu3_Table,0,3)))),""))</f>
        <v/>
      </c>
      <c r="BR77" s="832" t="str" cm="1">
        <f t="array" ref="BR77">IF($BP77="","",IFERROR(IF($BV77="AL",_xlfn.XLOOKUP($BP77,Std_Al3_Code,INDEX(Std_Al3_Table,0,4)),IF($G77=1,_xlfn.XLOOKUP($BP77,Std_Cu1_Code,INDEX(Std_Cu1_Table,0,4)),_xlfn.XLOOKUP($BP77,Std_Cu3_Code,INDEX(Std_Cu3_Table,0,4)))),""))</f>
        <v/>
      </c>
      <c r="BS77" s="832" t="str" cm="1">
        <f t="array" ref="BS77">IF($BP77="","",IFERROR(IF($BV77="AL",_xlfn.XLOOKUP($BP77,Std_Al3_Code,INDEX(Std_Al3_Table,0,5)),IF($G77=1,_xlfn.XLOOKUP($BP77,Std_Cu1_Code,INDEX(Std_Cu1_Table,0,5)),_xlfn.XLOOKUP($BP77,Std_Cu3_Code,INDEX(Std_Cu3_Table,0,5)))),""))</f>
        <v/>
      </c>
      <c r="BT77" s="832" t="str">
        <f t="shared" si="25"/>
        <v/>
      </c>
      <c r="BU77" s="832" t="str" cm="1">
        <f t="array" ref="BU77">IF($BP77="","",IFERROR(IF($BV77="AL",_xlfn.XLOOKUP($BP77,Std_Al3_Code,INDEX(Std_Al3_Table,0,2)),IF($G77=1,_xlfn.XLOOKUP($BP77,Std_Cu1_Code,INDEX(Std_Cu1_Table,0,2)),_xlfn.XLOOKUP($BP77,Std_Cu3_Code,INDEX(Std_Cu3_Table,0,2)))),""))</f>
        <v/>
      </c>
      <c r="BV77" s="829" t="str">
        <f t="shared" si="26"/>
        <v/>
      </c>
      <c r="BW77" s="829" t="str">
        <f t="shared" si="32"/>
        <v/>
      </c>
      <c r="BX77" s="829" t="str" cm="1">
        <f t="array" ref="BX77">IF(OR($BP77="",$H77="",$I77="",$F77="",$BW77=""),"",IFERROR(_xlfn.LET(_xlpm.codes,IF($BV77="AL",Std_Al3_Code,IF($G77=1,Std_Cu1_Code,Std_Cu3_Code)),_xlpm.tbl,IF($BV77="AL",Std_Al3_Table,IF($G77=1,Std_Cu1_Table,Std_Cu3_Table)),_xlpm.i,MATCH($BP77,_xlpm.codes,0),_xlpm.idx,_xlfn.SEQUENCE(ROWS(_xlpm.codes)),_xlpm.cnd,INDEX(_xlpm.tbl,0,4),_xlpm.sts,INDEX(_xlpm.tbl,0,2),_xlpm.sz,IFERROR(_xlfn.TEXTBEFORE(_xlfn.TEXTAFTER(_xlpm.cnd,"#"),","),IFERROR(_xlfn.TEXTAFTER(_xlpm.cnd,"#"),"")),_xlpm.cm,IFERROR(_xlfn.XLOOKUP(TRIM(_xlpm.sz),Ampacity_Size,Ampacity_CM),0),_xlpm.mult,IF($G77=3,SQRT3,2),_xlpm.kk,IF($BV77="AL",K_Al,K_Cu),_xlpm.vd,IF(_xlpm.cm*IF(ISNUMBER(_xlpm.sts),_xlpm.sts,0)=0,9,_xlpm.mult*_xlpm.kk*$I77*$H77/(_xlpm.cm*_xlpm.sts)/$F77),_xlpm.hasN,--(RIGHT(_xlpm.codes&amp;"",1)="N"),_xlpm.wantN,--(RIGHT($BP77&amp;"",1)="N"),_xlpm.ok,(_xlpm.idx&gt;=_xlpm.i)*(_xlpm.vd&lt;=Cfg_VDFeeder)*(_xlpm.cm&gt;0)*ISNUMBER(_xlpm.sts)*(_xlpm.hasN=_xlpm.wantN),_xlpm.m,MIN(IF(_xlpm.ok=1,_xlpm.idx)),INDEX(_xlpm.codes,IF(_xlpm.m=0,_xlpm.i,_xlpm.m))),""))</f>
        <v/>
      </c>
      <c r="BY77" s="829" t="str" cm="1">
        <f t="array" ref="BY77">IF($BP77="","",IF($BX77="",$BU77,IFERROR(IF($BV77="AL",_xlfn.XLOOKUP($BX77,Std_Al3_Code,INDEX(Std_Al3_Table,0,2)),IF($G77=1,_xlfn.XLOOKUP($BX77,Std_Cu1_Code,INDEX(Std_Cu1_Table,0,2)),_xlfn.XLOOKUP($BX77,Std_Cu3_Code,INDEX(Std_Cu3_Table,0,2)))),"")))</f>
        <v/>
      </c>
      <c r="BZ77" s="829" t="str" cm="1">
        <f t="array" ref="BZ77">IF($BP77="","",IF($BX77="",$BR77,IFERROR(IF($BV77="AL",_xlfn.XLOOKUP($BX77,Std_Al3_Code,INDEX(Std_Al3_Table,0,4)),IF($G77=1,_xlfn.XLOOKUP($BX77,Std_Cu1_Code,INDEX(Std_Cu1_Table,0,4)),_xlfn.XLOOKUP($BX77,Std_Cu3_Code,INDEX(Std_Cu3_Table,0,4)))),"")))</f>
        <v/>
      </c>
      <c r="CA77" s="829" t="str" cm="1">
        <f t="array" ref="CA77">IF($BP77="","",IF($BX77="",$BQ77,IFERROR(IF($BV77="AL",_xlfn.XLOOKUP($BX77,Std_Al3_Code,INDEX(Std_Al3_Table,0,3)),IF($G77=1,_xlfn.XLOOKUP($BX77,Std_Cu1_Code,INDEX(Std_Cu1_Table,0,3)),_xlfn.XLOOKUP($BX77,Std_Cu3_Code,INDEX(Std_Cu3_Table,0,3)))),"")))</f>
        <v/>
      </c>
      <c r="CB77" s="829" t="str" cm="1">
        <f t="array" ref="CB77">IF($BP77="","",IF($BX77="",$BS77,IFERROR(IF($BV77="AL",_xlfn.XLOOKUP($BX77,Std_Al3_Code,INDEX(Std_Al3_Table,0,5)),IF($G77=1,_xlfn.XLOOKUP($BX77,Std_Cu1_Code,INDEX(Std_Cu1_Table,0,5)),_xlfn.XLOOKUP($BX77,Std_Cu3_Code,INDEX(Std_Cu3_Table,0,5)))),"")))</f>
        <v/>
      </c>
      <c r="CC77" s="829" t="str">
        <f t="shared" si="33"/>
        <v/>
      </c>
      <c r="CD77" s="829" t="str">
        <f t="shared" si="34"/>
        <v/>
      </c>
      <c r="CE77" s="829" t="str">
        <f t="shared" si="35"/>
        <v/>
      </c>
      <c r="CF77" s="829" t="str">
        <f t="shared" si="36"/>
        <v/>
      </c>
      <c r="CG77" s="829" t="str">
        <f t="shared" si="37"/>
        <v/>
      </c>
      <c r="CH77" s="829" t="str">
        <f t="shared" si="38"/>
        <v/>
      </c>
      <c r="CI77" s="829" t="str">
        <f t="shared" si="39"/>
        <v/>
      </c>
      <c r="CJ77" s="829" t="str" cm="1">
        <f t="array" ref="CJ77">IF($B77="","",_xlfn.LET(_xlpm.to,$D77&amp;"",_xlpm.em,IFERROR(INDEX(_xlfn.ANCHORARRAY($BE$4),ROW()-4,6),"")="EMERG",_xlpm.pri,AND(NOT(_xlpm.em),LEFT(_xlpm.to,2)="T-",ISNUMBER(MATCH(MID(_xlpm.to,3,99),Equip_List,0)),ISNA(MATCH(_xlpm.to,Equip_List,0))),IF(_xlpm.pri,MID(_xlpm.to,3,99),_xlpm.to)))</f>
        <v/>
      </c>
      <c r="CK77" s="829" t="str" cm="1">
        <f t="array" ref="CK77">IF($CJ77="","",IF(IFERROR(INDEX(_xlfn.ANCHORARRAY($BE$4),ROW()-4,6),"")="EMERG","E",IF($CJ77&lt;&gt;$D77&amp;"","P","N")))</f>
        <v/>
      </c>
    </row>
    <row r="78" spans="1:89" ht="15" customHeight="1" x14ac:dyDescent="0.35">
      <c r="A78" s="821" t="str">
        <f t="shared" si="27"/>
        <v/>
      </c>
      <c r="B78" s="821" t="str" cm="1">
        <f t="array" ref="B78">IFERROR(IF(INDEX(_xlfn.ANCHORARRAY($BE$4),ROW()-4,2)="","","F-"&amp;INDEX(_xlfn.ANCHORARRAY($BE$4),ROW()-4,2)&amp;IF(IFERROR(INDEX(_xlfn.ANCHORARRAY($BE$4),ROW()-4,6),"")="EMERG","-E","")),"")</f>
        <v/>
      </c>
      <c r="C78" s="821" t="str" cm="1">
        <f t="array" ref="C78">IFERROR(IF($B78="","",INDEX(_xlfn.ANCHORARRAY($BE$4),ROW()-4,1)),"")</f>
        <v/>
      </c>
      <c r="D78" s="821" t="str" cm="1">
        <f t="array" ref="D78">IFERROR(IF($B78="","",INDEX(_xlfn.ANCHORARRAY($BE$4),ROW()-4,2)),"")</f>
        <v/>
      </c>
      <c r="E78" s="806" t="str" cm="1">
        <f t="array" ref="E78">IFERROR(IF($B78="","",INDEX(_xlfn.ANCHORARRAY($BE$4),ROW()-4,3)),"")</f>
        <v/>
      </c>
      <c r="F78" s="822" t="str" cm="1">
        <f t="array" ref="F78">IFERROR(IF($B78="","",INDEX(_xlfn.ANCHORARRAY($BE$4),ROW()-4,4)),"")</f>
        <v/>
      </c>
      <c r="G78" s="823" t="str" cm="1">
        <f t="array" ref="G78">IFERROR(IF($B78="","",INDEX(_xlfn.ANCHORARRAY($BE$4),ROW()-4,5)),"")</f>
        <v/>
      </c>
      <c r="H78" s="824" t="str" cm="1">
        <f t="array" ref="H78">IF($CJ78="","",_xlfn.LET(_xlpm.v,_xlfn.XLOOKUP($CJ78,Equip_List,IF($CK78="E",Equip_EmLen,IF($CK78="P",Equip_XfPriLen,Equip_FdrLen)),""),IF(_xlpm.v="","",_xlpm.v)))</f>
        <v/>
      </c>
      <c r="I78" s="806" t="str">
        <f t="shared" si="20"/>
        <v/>
      </c>
      <c r="J78" s="820"/>
      <c r="K78" s="806" t="str">
        <f>_xlfn.LET(_xlpm.k,IF($I78="","",IF(COUNTIF(UPS!$B$57:$B$64,$C78&amp;"")&gt;0,1.25*MAX($I78,N(_xlfn.XLOOKUP($C78&amp;"",UPS!$B$57:$B$64,UPS!$M$57:$M$64,0))),IF(COUNTIF(UPS!$B$57:$B$64,$D78&amp;"")&gt;0,1.25*MAX($I78,N(_xlfn.XLOOKUP($D78&amp;"",UPS!$B$57:$B$64,UPS!$Q$57:$Q$64,0))),$I78*IF(OR(UPPER($J78)="Y",LEFT($C78,2)="T-",LEFT($D78,2)="T-"),1.25,1)))),IF(_xlpm.k="","",MAX(_xlpm.k,N(IFERROR(_xlfn.XLOOKUP($D78&amp;"",Dashboard!$A$101:$A$350,Dashboard!$O$101:$O$350,0),0)))))</f>
        <v/>
      </c>
      <c r="L78" s="825" t="str">
        <f>IF($CJ78="","",_xlfn.LET(_xlpm.v,UPPER(TRIM(_xlfn.XLOOKUP($CJ78,Equip_List,Equip_FdrMat,"")&amp;"")),IF(_xlpm.v="",UPPER(TRIM(Cfg_FeederMat&amp;"")),_xlpm.v)))</f>
        <v/>
      </c>
      <c r="M78" s="825" t="str">
        <f>IF($CJ78="","",_xlfn.LET(_xlpm.v,TRIM(_xlfn.XLOOKUP($CJ78,Equip_List,Equip_FdrRace,"")&amp;""),IF(_xlpm.v="",Cfg_Conduit&amp;"",_xlpm.v)))</f>
        <v/>
      </c>
      <c r="N78" s="825" t="str">
        <f>IF($CJ78="","",IF(UPPER(TRIM(_xlfn.XLOOKUP($CJ78,Equip_List,Equip_FdrExist,"")&amp;""))="Y","Y",""))</f>
        <v/>
      </c>
      <c r="O78" s="823" t="str">
        <f t="shared" si="28"/>
        <v/>
      </c>
      <c r="P78" s="821" t="str">
        <f t="shared" si="29"/>
        <v/>
      </c>
      <c r="Q78" s="821" t="str">
        <f t="shared" si="30"/>
        <v/>
      </c>
      <c r="R78" s="822" t="str" cm="1">
        <f t="array" ref="R78">IF(K78="","",INDEX(OCPD_List,MATCH(TRUE,OCPD_List&gt;=K78,0)))</f>
        <v/>
      </c>
      <c r="S78" s="821" t="str">
        <f t="shared" si="31"/>
        <v/>
      </c>
      <c r="T78" s="826" t="str">
        <f t="shared" si="21"/>
        <v/>
      </c>
      <c r="U78" s="826" t="str">
        <f t="shared" si="22"/>
        <v/>
      </c>
      <c r="V78" s="827" t="str">
        <f t="shared" si="23"/>
        <v/>
      </c>
      <c r="W78" s="828"/>
      <c r="X78" s="819"/>
      <c r="Y78" s="820"/>
      <c r="Z78" s="820"/>
      <c r="AA78" s="820"/>
      <c r="BN78" s="832" t="str">
        <f>IF($B78="","",IFERROR(_xlfn.XLOOKUP($D78,Dashboard!$A$101:$A$350,Dashboard!$C$101:$C$350),""))</f>
        <v/>
      </c>
      <c r="BO78" s="832" t="str">
        <f t="shared" si="24"/>
        <v/>
      </c>
      <c r="BP78" s="832" t="str" cm="1">
        <f t="array" ref="BP78">IF(OR($B78="",$R78="",NOT(ISNUMBER($R78))),"",IF(AND($BV78="AL",$G78=1),"",_xlfn.LET(_xlpm.codes,IF($BV78="AL",Std_Al3_Code,IF($G78=1,Std_Cu1_Code,Std_Cu3_Code)),_xlpm.amps,IFERROR(--SUBSTITUTE(_xlpm.codes&amp;"","N",""),""),_xlpm.a,MIN(IF(ISNUMBER(_xlpm.amps),IF(_xlpm.amps&gt;=$R78,_xlpm.amps,""),"")),_xlpm.k,IF(_xlpm.a=0,$R78,_xlpm.a),IF($BO78="Y",TEXT(_xlpm.k,"0")&amp;"N",_xlpm.k))))</f>
        <v/>
      </c>
      <c r="BQ78" s="832" t="str" cm="1">
        <f t="array" ref="BQ78">IF($BP78="","",IFERROR(IF($BV78="AL",_xlfn.XLOOKUP($BP78,Std_Al3_Code,INDEX(Std_Al3_Table,0,3)),IF($G78=1,_xlfn.XLOOKUP($BP78,Std_Cu1_Code,INDEX(Std_Cu1_Table,0,3)),_xlfn.XLOOKUP($BP78,Std_Cu3_Code,INDEX(Std_Cu3_Table,0,3)))),""))</f>
        <v/>
      </c>
      <c r="BR78" s="832" t="str" cm="1">
        <f t="array" ref="BR78">IF($BP78="","",IFERROR(IF($BV78="AL",_xlfn.XLOOKUP($BP78,Std_Al3_Code,INDEX(Std_Al3_Table,0,4)),IF($G78=1,_xlfn.XLOOKUP($BP78,Std_Cu1_Code,INDEX(Std_Cu1_Table,0,4)),_xlfn.XLOOKUP($BP78,Std_Cu3_Code,INDEX(Std_Cu3_Table,0,4)))),""))</f>
        <v/>
      </c>
      <c r="BS78" s="832" t="str" cm="1">
        <f t="array" ref="BS78">IF($BP78="","",IFERROR(IF($BV78="AL",_xlfn.XLOOKUP($BP78,Std_Al3_Code,INDEX(Std_Al3_Table,0,5)),IF($G78=1,_xlfn.XLOOKUP($BP78,Std_Cu1_Code,INDEX(Std_Cu1_Table,0,5)),_xlfn.XLOOKUP($BP78,Std_Cu3_Code,INDEX(Std_Cu3_Table,0,5)))),""))</f>
        <v/>
      </c>
      <c r="BT78" s="832" t="str">
        <f t="shared" si="25"/>
        <v/>
      </c>
      <c r="BU78" s="832" t="str" cm="1">
        <f t="array" ref="BU78">IF($BP78="","",IFERROR(IF($BV78="AL",_xlfn.XLOOKUP($BP78,Std_Al3_Code,INDEX(Std_Al3_Table,0,2)),IF($G78=1,_xlfn.XLOOKUP($BP78,Std_Cu1_Code,INDEX(Std_Cu1_Table,0,2)),_xlfn.XLOOKUP($BP78,Std_Cu3_Code,INDEX(Std_Cu3_Table,0,2)))),""))</f>
        <v/>
      </c>
      <c r="BV78" s="829" t="str">
        <f t="shared" si="26"/>
        <v/>
      </c>
      <c r="BW78" s="829" t="str">
        <f t="shared" si="32"/>
        <v/>
      </c>
      <c r="BX78" s="829" t="str" cm="1">
        <f t="array" ref="BX78">IF(OR($BP78="",$H78="",$I78="",$F78="",$BW78=""),"",IFERROR(_xlfn.LET(_xlpm.codes,IF($BV78="AL",Std_Al3_Code,IF($G78=1,Std_Cu1_Code,Std_Cu3_Code)),_xlpm.tbl,IF($BV78="AL",Std_Al3_Table,IF($G78=1,Std_Cu1_Table,Std_Cu3_Table)),_xlpm.i,MATCH($BP78,_xlpm.codes,0),_xlpm.idx,_xlfn.SEQUENCE(ROWS(_xlpm.codes)),_xlpm.cnd,INDEX(_xlpm.tbl,0,4),_xlpm.sts,INDEX(_xlpm.tbl,0,2),_xlpm.sz,IFERROR(_xlfn.TEXTBEFORE(_xlfn.TEXTAFTER(_xlpm.cnd,"#"),","),IFERROR(_xlfn.TEXTAFTER(_xlpm.cnd,"#"),"")),_xlpm.cm,IFERROR(_xlfn.XLOOKUP(TRIM(_xlpm.sz),Ampacity_Size,Ampacity_CM),0),_xlpm.mult,IF($G78=3,SQRT3,2),_xlpm.kk,IF($BV78="AL",K_Al,K_Cu),_xlpm.vd,IF(_xlpm.cm*IF(ISNUMBER(_xlpm.sts),_xlpm.sts,0)=0,9,_xlpm.mult*_xlpm.kk*$I78*$H78/(_xlpm.cm*_xlpm.sts)/$F78),_xlpm.hasN,--(RIGHT(_xlpm.codes&amp;"",1)="N"),_xlpm.wantN,--(RIGHT($BP78&amp;"",1)="N"),_xlpm.ok,(_xlpm.idx&gt;=_xlpm.i)*(_xlpm.vd&lt;=Cfg_VDFeeder)*(_xlpm.cm&gt;0)*ISNUMBER(_xlpm.sts)*(_xlpm.hasN=_xlpm.wantN),_xlpm.m,MIN(IF(_xlpm.ok=1,_xlpm.idx)),INDEX(_xlpm.codes,IF(_xlpm.m=0,_xlpm.i,_xlpm.m))),""))</f>
        <v/>
      </c>
      <c r="BY78" s="829" t="str" cm="1">
        <f t="array" ref="BY78">IF($BP78="","",IF($BX78="",$BU78,IFERROR(IF($BV78="AL",_xlfn.XLOOKUP($BX78,Std_Al3_Code,INDEX(Std_Al3_Table,0,2)),IF($G78=1,_xlfn.XLOOKUP($BX78,Std_Cu1_Code,INDEX(Std_Cu1_Table,0,2)),_xlfn.XLOOKUP($BX78,Std_Cu3_Code,INDEX(Std_Cu3_Table,0,2)))),"")))</f>
        <v/>
      </c>
      <c r="BZ78" s="829" t="str" cm="1">
        <f t="array" ref="BZ78">IF($BP78="","",IF($BX78="",$BR78,IFERROR(IF($BV78="AL",_xlfn.XLOOKUP($BX78,Std_Al3_Code,INDEX(Std_Al3_Table,0,4)),IF($G78=1,_xlfn.XLOOKUP($BX78,Std_Cu1_Code,INDEX(Std_Cu1_Table,0,4)),_xlfn.XLOOKUP($BX78,Std_Cu3_Code,INDEX(Std_Cu3_Table,0,4)))),"")))</f>
        <v/>
      </c>
      <c r="CA78" s="829" t="str" cm="1">
        <f t="array" ref="CA78">IF($BP78="","",IF($BX78="",$BQ78,IFERROR(IF($BV78="AL",_xlfn.XLOOKUP($BX78,Std_Al3_Code,INDEX(Std_Al3_Table,0,3)),IF($G78=1,_xlfn.XLOOKUP($BX78,Std_Cu1_Code,INDEX(Std_Cu1_Table,0,3)),_xlfn.XLOOKUP($BX78,Std_Cu3_Code,INDEX(Std_Cu3_Table,0,3)))),"")))</f>
        <v/>
      </c>
      <c r="CB78" s="829" t="str" cm="1">
        <f t="array" ref="CB78">IF($BP78="","",IF($BX78="",$BS78,IFERROR(IF($BV78="AL",_xlfn.XLOOKUP($BX78,Std_Al3_Code,INDEX(Std_Al3_Table,0,5)),IF($G78=1,_xlfn.XLOOKUP($BX78,Std_Cu1_Code,INDEX(Std_Cu1_Table,0,5)),_xlfn.XLOOKUP($BX78,Std_Cu3_Code,INDEX(Std_Cu3_Table,0,5)))),"")))</f>
        <v/>
      </c>
      <c r="CC78" s="829" t="str">
        <f t="shared" si="33"/>
        <v/>
      </c>
      <c r="CD78" s="829" t="str">
        <f t="shared" si="34"/>
        <v/>
      </c>
      <c r="CE78" s="829" t="str">
        <f t="shared" si="35"/>
        <v/>
      </c>
      <c r="CF78" s="829" t="str">
        <f t="shared" si="36"/>
        <v/>
      </c>
      <c r="CG78" s="829" t="str">
        <f t="shared" si="37"/>
        <v/>
      </c>
      <c r="CH78" s="829" t="str">
        <f t="shared" si="38"/>
        <v/>
      </c>
      <c r="CI78" s="829" t="str">
        <f t="shared" si="39"/>
        <v/>
      </c>
      <c r="CJ78" s="829" t="str" cm="1">
        <f t="array" ref="CJ78">IF($B78="","",_xlfn.LET(_xlpm.to,$D78&amp;"",_xlpm.em,IFERROR(INDEX(_xlfn.ANCHORARRAY($BE$4),ROW()-4,6),"")="EMERG",_xlpm.pri,AND(NOT(_xlpm.em),LEFT(_xlpm.to,2)="T-",ISNUMBER(MATCH(MID(_xlpm.to,3,99),Equip_List,0)),ISNA(MATCH(_xlpm.to,Equip_List,0))),IF(_xlpm.pri,MID(_xlpm.to,3,99),_xlpm.to)))</f>
        <v/>
      </c>
      <c r="CK78" s="829" t="str" cm="1">
        <f t="array" ref="CK78">IF($CJ78="","",IF(IFERROR(INDEX(_xlfn.ANCHORARRAY($BE$4),ROW()-4,6),"")="EMERG","E",IF($CJ78&lt;&gt;$D78&amp;"","P","N")))</f>
        <v/>
      </c>
    </row>
    <row r="79" spans="1:89" ht="15" customHeight="1" x14ac:dyDescent="0.35">
      <c r="A79" s="821" t="str">
        <f t="shared" si="27"/>
        <v/>
      </c>
      <c r="B79" s="821" t="str" cm="1">
        <f t="array" ref="B79">IFERROR(IF(INDEX(_xlfn.ANCHORARRAY($BE$4),ROW()-4,2)="","","F-"&amp;INDEX(_xlfn.ANCHORARRAY($BE$4),ROW()-4,2)&amp;IF(IFERROR(INDEX(_xlfn.ANCHORARRAY($BE$4),ROW()-4,6),"")="EMERG","-E","")),"")</f>
        <v/>
      </c>
      <c r="C79" s="821" t="str" cm="1">
        <f t="array" ref="C79">IFERROR(IF($B79="","",INDEX(_xlfn.ANCHORARRAY($BE$4),ROW()-4,1)),"")</f>
        <v/>
      </c>
      <c r="D79" s="821" t="str" cm="1">
        <f t="array" ref="D79">IFERROR(IF($B79="","",INDEX(_xlfn.ANCHORARRAY($BE$4),ROW()-4,2)),"")</f>
        <v/>
      </c>
      <c r="E79" s="806" t="str" cm="1">
        <f t="array" ref="E79">IFERROR(IF($B79="","",INDEX(_xlfn.ANCHORARRAY($BE$4),ROW()-4,3)),"")</f>
        <v/>
      </c>
      <c r="F79" s="822" t="str" cm="1">
        <f t="array" ref="F79">IFERROR(IF($B79="","",INDEX(_xlfn.ANCHORARRAY($BE$4),ROW()-4,4)),"")</f>
        <v/>
      </c>
      <c r="G79" s="823" t="str" cm="1">
        <f t="array" ref="G79">IFERROR(IF($B79="","",INDEX(_xlfn.ANCHORARRAY($BE$4),ROW()-4,5)),"")</f>
        <v/>
      </c>
      <c r="H79" s="824" t="str" cm="1">
        <f t="array" ref="H79">IF($CJ79="","",_xlfn.LET(_xlpm.v,_xlfn.XLOOKUP($CJ79,Equip_List,IF($CK79="E",Equip_EmLen,IF($CK79="P",Equip_XfPriLen,Equip_FdrLen)),""),IF(_xlpm.v="","",_xlpm.v)))</f>
        <v/>
      </c>
      <c r="I79" s="806" t="str">
        <f t="shared" si="20"/>
        <v/>
      </c>
      <c r="J79" s="820"/>
      <c r="K79" s="806" t="str">
        <f>_xlfn.LET(_xlpm.k,IF($I79="","",IF(COUNTIF(UPS!$B$57:$B$64,$C79&amp;"")&gt;0,1.25*MAX($I79,N(_xlfn.XLOOKUP($C79&amp;"",UPS!$B$57:$B$64,UPS!$M$57:$M$64,0))),IF(COUNTIF(UPS!$B$57:$B$64,$D79&amp;"")&gt;0,1.25*MAX($I79,N(_xlfn.XLOOKUP($D79&amp;"",UPS!$B$57:$B$64,UPS!$Q$57:$Q$64,0))),$I79*IF(OR(UPPER($J79)="Y",LEFT($C79,2)="T-",LEFT($D79,2)="T-"),1.25,1)))),IF(_xlpm.k="","",MAX(_xlpm.k,N(IFERROR(_xlfn.XLOOKUP($D79&amp;"",Dashboard!$A$101:$A$350,Dashboard!$O$101:$O$350,0),0)))))</f>
        <v/>
      </c>
      <c r="L79" s="825" t="str">
        <f>IF($CJ79="","",_xlfn.LET(_xlpm.v,UPPER(TRIM(_xlfn.XLOOKUP($CJ79,Equip_List,Equip_FdrMat,"")&amp;"")),IF(_xlpm.v="",UPPER(TRIM(Cfg_FeederMat&amp;"")),_xlpm.v)))</f>
        <v/>
      </c>
      <c r="M79" s="825" t="str">
        <f>IF($CJ79="","",_xlfn.LET(_xlpm.v,TRIM(_xlfn.XLOOKUP($CJ79,Equip_List,Equip_FdrRace,"")&amp;""),IF(_xlpm.v="",Cfg_Conduit&amp;"",_xlpm.v)))</f>
        <v/>
      </c>
      <c r="N79" s="825" t="str">
        <f>IF($CJ79="","",IF(UPPER(TRIM(_xlfn.XLOOKUP($CJ79,Equip_List,Equip_FdrExist,"")&amp;""))="Y","Y",""))</f>
        <v/>
      </c>
      <c r="O79" s="823" t="str">
        <f t="shared" si="28"/>
        <v/>
      </c>
      <c r="P79" s="821" t="str">
        <f t="shared" si="29"/>
        <v/>
      </c>
      <c r="Q79" s="821" t="str">
        <f t="shared" si="30"/>
        <v/>
      </c>
      <c r="R79" s="822" t="str" cm="1">
        <f t="array" ref="R79">IF(K79="","",INDEX(OCPD_List,MATCH(TRUE,OCPD_List&gt;=K79,0)))</f>
        <v/>
      </c>
      <c r="S79" s="821" t="str">
        <f t="shared" si="31"/>
        <v/>
      </c>
      <c r="T79" s="826" t="str">
        <f t="shared" si="21"/>
        <v/>
      </c>
      <c r="U79" s="826" t="str">
        <f t="shared" si="22"/>
        <v/>
      </c>
      <c r="V79" s="827" t="str">
        <f t="shared" si="23"/>
        <v/>
      </c>
      <c r="W79" s="828"/>
      <c r="X79" s="819"/>
      <c r="Y79" s="820"/>
      <c r="Z79" s="820"/>
      <c r="AA79" s="820"/>
      <c r="BN79" s="832" t="str">
        <f>IF($B79="","",IFERROR(_xlfn.XLOOKUP($D79,Dashboard!$A$101:$A$350,Dashboard!$C$101:$C$350),""))</f>
        <v/>
      </c>
      <c r="BO79" s="832" t="str">
        <f t="shared" si="24"/>
        <v/>
      </c>
      <c r="BP79" s="832" t="str" cm="1">
        <f t="array" ref="BP79">IF(OR($B79="",$R79="",NOT(ISNUMBER($R79))),"",IF(AND($BV79="AL",$G79=1),"",_xlfn.LET(_xlpm.codes,IF($BV79="AL",Std_Al3_Code,IF($G79=1,Std_Cu1_Code,Std_Cu3_Code)),_xlpm.amps,IFERROR(--SUBSTITUTE(_xlpm.codes&amp;"","N",""),""),_xlpm.a,MIN(IF(ISNUMBER(_xlpm.amps),IF(_xlpm.amps&gt;=$R79,_xlpm.amps,""),"")),_xlpm.k,IF(_xlpm.a=0,$R79,_xlpm.a),IF($BO79="Y",TEXT(_xlpm.k,"0")&amp;"N",_xlpm.k))))</f>
        <v/>
      </c>
      <c r="BQ79" s="832" t="str" cm="1">
        <f t="array" ref="BQ79">IF($BP79="","",IFERROR(IF($BV79="AL",_xlfn.XLOOKUP($BP79,Std_Al3_Code,INDEX(Std_Al3_Table,0,3)),IF($G79=1,_xlfn.XLOOKUP($BP79,Std_Cu1_Code,INDEX(Std_Cu1_Table,0,3)),_xlfn.XLOOKUP($BP79,Std_Cu3_Code,INDEX(Std_Cu3_Table,0,3)))),""))</f>
        <v/>
      </c>
      <c r="BR79" s="832" t="str" cm="1">
        <f t="array" ref="BR79">IF($BP79="","",IFERROR(IF($BV79="AL",_xlfn.XLOOKUP($BP79,Std_Al3_Code,INDEX(Std_Al3_Table,0,4)),IF($G79=1,_xlfn.XLOOKUP($BP79,Std_Cu1_Code,INDEX(Std_Cu1_Table,0,4)),_xlfn.XLOOKUP($BP79,Std_Cu3_Code,INDEX(Std_Cu3_Table,0,4)))),""))</f>
        <v/>
      </c>
      <c r="BS79" s="832" t="str" cm="1">
        <f t="array" ref="BS79">IF($BP79="","",IFERROR(IF($BV79="AL",_xlfn.XLOOKUP($BP79,Std_Al3_Code,INDEX(Std_Al3_Table,0,5)),IF($G79=1,_xlfn.XLOOKUP($BP79,Std_Cu1_Code,INDEX(Std_Cu1_Table,0,5)),_xlfn.XLOOKUP($BP79,Std_Cu3_Code,INDEX(Std_Cu3_Table,0,5)))),""))</f>
        <v/>
      </c>
      <c r="BT79" s="832" t="str">
        <f t="shared" si="25"/>
        <v/>
      </c>
      <c r="BU79" s="832" t="str" cm="1">
        <f t="array" ref="BU79">IF($BP79="","",IFERROR(IF($BV79="AL",_xlfn.XLOOKUP($BP79,Std_Al3_Code,INDEX(Std_Al3_Table,0,2)),IF($G79=1,_xlfn.XLOOKUP($BP79,Std_Cu1_Code,INDEX(Std_Cu1_Table,0,2)),_xlfn.XLOOKUP($BP79,Std_Cu3_Code,INDEX(Std_Cu3_Table,0,2)))),""))</f>
        <v/>
      </c>
      <c r="BV79" s="829" t="str">
        <f t="shared" si="26"/>
        <v/>
      </c>
      <c r="BW79" s="829" t="str">
        <f t="shared" si="32"/>
        <v/>
      </c>
      <c r="BX79" s="829" t="str" cm="1">
        <f t="array" ref="BX79">IF(OR($BP79="",$H79="",$I79="",$F79="",$BW79=""),"",IFERROR(_xlfn.LET(_xlpm.codes,IF($BV79="AL",Std_Al3_Code,IF($G79=1,Std_Cu1_Code,Std_Cu3_Code)),_xlpm.tbl,IF($BV79="AL",Std_Al3_Table,IF($G79=1,Std_Cu1_Table,Std_Cu3_Table)),_xlpm.i,MATCH($BP79,_xlpm.codes,0),_xlpm.idx,_xlfn.SEQUENCE(ROWS(_xlpm.codes)),_xlpm.cnd,INDEX(_xlpm.tbl,0,4),_xlpm.sts,INDEX(_xlpm.tbl,0,2),_xlpm.sz,IFERROR(_xlfn.TEXTBEFORE(_xlfn.TEXTAFTER(_xlpm.cnd,"#"),","),IFERROR(_xlfn.TEXTAFTER(_xlpm.cnd,"#"),"")),_xlpm.cm,IFERROR(_xlfn.XLOOKUP(TRIM(_xlpm.sz),Ampacity_Size,Ampacity_CM),0),_xlpm.mult,IF($G79=3,SQRT3,2),_xlpm.kk,IF($BV79="AL",K_Al,K_Cu),_xlpm.vd,IF(_xlpm.cm*IF(ISNUMBER(_xlpm.sts),_xlpm.sts,0)=0,9,_xlpm.mult*_xlpm.kk*$I79*$H79/(_xlpm.cm*_xlpm.sts)/$F79),_xlpm.hasN,--(RIGHT(_xlpm.codes&amp;"",1)="N"),_xlpm.wantN,--(RIGHT($BP79&amp;"",1)="N"),_xlpm.ok,(_xlpm.idx&gt;=_xlpm.i)*(_xlpm.vd&lt;=Cfg_VDFeeder)*(_xlpm.cm&gt;0)*ISNUMBER(_xlpm.sts)*(_xlpm.hasN=_xlpm.wantN),_xlpm.m,MIN(IF(_xlpm.ok=1,_xlpm.idx)),INDEX(_xlpm.codes,IF(_xlpm.m=0,_xlpm.i,_xlpm.m))),""))</f>
        <v/>
      </c>
      <c r="BY79" s="829" t="str" cm="1">
        <f t="array" ref="BY79">IF($BP79="","",IF($BX79="",$BU79,IFERROR(IF($BV79="AL",_xlfn.XLOOKUP($BX79,Std_Al3_Code,INDEX(Std_Al3_Table,0,2)),IF($G79=1,_xlfn.XLOOKUP($BX79,Std_Cu1_Code,INDEX(Std_Cu1_Table,0,2)),_xlfn.XLOOKUP($BX79,Std_Cu3_Code,INDEX(Std_Cu3_Table,0,2)))),"")))</f>
        <v/>
      </c>
      <c r="BZ79" s="829" t="str" cm="1">
        <f t="array" ref="BZ79">IF($BP79="","",IF($BX79="",$BR79,IFERROR(IF($BV79="AL",_xlfn.XLOOKUP($BX79,Std_Al3_Code,INDEX(Std_Al3_Table,0,4)),IF($G79=1,_xlfn.XLOOKUP($BX79,Std_Cu1_Code,INDEX(Std_Cu1_Table,0,4)),_xlfn.XLOOKUP($BX79,Std_Cu3_Code,INDEX(Std_Cu3_Table,0,4)))),"")))</f>
        <v/>
      </c>
      <c r="CA79" s="829" t="str" cm="1">
        <f t="array" ref="CA79">IF($BP79="","",IF($BX79="",$BQ79,IFERROR(IF($BV79="AL",_xlfn.XLOOKUP($BX79,Std_Al3_Code,INDEX(Std_Al3_Table,0,3)),IF($G79=1,_xlfn.XLOOKUP($BX79,Std_Cu1_Code,INDEX(Std_Cu1_Table,0,3)),_xlfn.XLOOKUP($BX79,Std_Cu3_Code,INDEX(Std_Cu3_Table,0,3)))),"")))</f>
        <v/>
      </c>
      <c r="CB79" s="829" t="str" cm="1">
        <f t="array" ref="CB79">IF($BP79="","",IF($BX79="",$BS79,IFERROR(IF($BV79="AL",_xlfn.XLOOKUP($BX79,Std_Al3_Code,INDEX(Std_Al3_Table,0,5)),IF($G79=1,_xlfn.XLOOKUP($BX79,Std_Cu1_Code,INDEX(Std_Cu1_Table,0,5)),_xlfn.XLOOKUP($BX79,Std_Cu3_Code,INDEX(Std_Cu3_Table,0,5)))),"")))</f>
        <v/>
      </c>
      <c r="CC79" s="829" t="str">
        <f t="shared" si="33"/>
        <v/>
      </c>
      <c r="CD79" s="829" t="str">
        <f t="shared" si="34"/>
        <v/>
      </c>
      <c r="CE79" s="829" t="str">
        <f t="shared" si="35"/>
        <v/>
      </c>
      <c r="CF79" s="829" t="str">
        <f t="shared" si="36"/>
        <v/>
      </c>
      <c r="CG79" s="829" t="str">
        <f t="shared" si="37"/>
        <v/>
      </c>
      <c r="CH79" s="829" t="str">
        <f t="shared" si="38"/>
        <v/>
      </c>
      <c r="CI79" s="829" t="str">
        <f t="shared" si="39"/>
        <v/>
      </c>
      <c r="CJ79" s="829" t="str" cm="1">
        <f t="array" ref="CJ79">IF($B79="","",_xlfn.LET(_xlpm.to,$D79&amp;"",_xlpm.em,IFERROR(INDEX(_xlfn.ANCHORARRAY($BE$4),ROW()-4,6),"")="EMERG",_xlpm.pri,AND(NOT(_xlpm.em),LEFT(_xlpm.to,2)="T-",ISNUMBER(MATCH(MID(_xlpm.to,3,99),Equip_List,0)),ISNA(MATCH(_xlpm.to,Equip_List,0))),IF(_xlpm.pri,MID(_xlpm.to,3,99),_xlpm.to)))</f>
        <v/>
      </c>
      <c r="CK79" s="829" t="str" cm="1">
        <f t="array" ref="CK79">IF($CJ79="","",IF(IFERROR(INDEX(_xlfn.ANCHORARRAY($BE$4),ROW()-4,6),"")="EMERG","E",IF($CJ79&lt;&gt;$D79&amp;"","P","N")))</f>
        <v/>
      </c>
    </row>
    <row r="80" spans="1:89" ht="15" customHeight="1" x14ac:dyDescent="0.35">
      <c r="A80" s="821" t="str">
        <f t="shared" si="27"/>
        <v/>
      </c>
      <c r="B80" s="821" t="str" cm="1">
        <f t="array" ref="B80">IFERROR(IF(INDEX(_xlfn.ANCHORARRAY($BE$4),ROW()-4,2)="","","F-"&amp;INDEX(_xlfn.ANCHORARRAY($BE$4),ROW()-4,2)&amp;IF(IFERROR(INDEX(_xlfn.ANCHORARRAY($BE$4),ROW()-4,6),"")="EMERG","-E","")),"")</f>
        <v/>
      </c>
      <c r="C80" s="821" t="str" cm="1">
        <f t="array" ref="C80">IFERROR(IF($B80="","",INDEX(_xlfn.ANCHORARRAY($BE$4),ROW()-4,1)),"")</f>
        <v/>
      </c>
      <c r="D80" s="821" t="str" cm="1">
        <f t="array" ref="D80">IFERROR(IF($B80="","",INDEX(_xlfn.ANCHORARRAY($BE$4),ROW()-4,2)),"")</f>
        <v/>
      </c>
      <c r="E80" s="806" t="str" cm="1">
        <f t="array" ref="E80">IFERROR(IF($B80="","",INDEX(_xlfn.ANCHORARRAY($BE$4),ROW()-4,3)),"")</f>
        <v/>
      </c>
      <c r="F80" s="822" t="str" cm="1">
        <f t="array" ref="F80">IFERROR(IF($B80="","",INDEX(_xlfn.ANCHORARRAY($BE$4),ROW()-4,4)),"")</f>
        <v/>
      </c>
      <c r="G80" s="823" t="str" cm="1">
        <f t="array" ref="G80">IFERROR(IF($B80="","",INDEX(_xlfn.ANCHORARRAY($BE$4),ROW()-4,5)),"")</f>
        <v/>
      </c>
      <c r="H80" s="824" t="str" cm="1">
        <f t="array" ref="H80">IF($CJ80="","",_xlfn.LET(_xlpm.v,_xlfn.XLOOKUP($CJ80,Equip_List,IF($CK80="E",Equip_EmLen,IF($CK80="P",Equip_XfPriLen,Equip_FdrLen)),""),IF(_xlpm.v="","",_xlpm.v)))</f>
        <v/>
      </c>
      <c r="I80" s="806" t="str">
        <f t="shared" si="20"/>
        <v/>
      </c>
      <c r="J80" s="820"/>
      <c r="K80" s="806" t="str">
        <f>_xlfn.LET(_xlpm.k,IF($I80="","",IF(COUNTIF(UPS!$B$57:$B$64,$C80&amp;"")&gt;0,1.25*MAX($I80,N(_xlfn.XLOOKUP($C80&amp;"",UPS!$B$57:$B$64,UPS!$M$57:$M$64,0))),IF(COUNTIF(UPS!$B$57:$B$64,$D80&amp;"")&gt;0,1.25*MAX($I80,N(_xlfn.XLOOKUP($D80&amp;"",UPS!$B$57:$B$64,UPS!$Q$57:$Q$64,0))),$I80*IF(OR(UPPER($J80)="Y",LEFT($C80,2)="T-",LEFT($D80,2)="T-"),1.25,1)))),IF(_xlpm.k="","",MAX(_xlpm.k,N(IFERROR(_xlfn.XLOOKUP($D80&amp;"",Dashboard!$A$101:$A$350,Dashboard!$O$101:$O$350,0),0)))))</f>
        <v/>
      </c>
      <c r="L80" s="825" t="str">
        <f>IF($CJ80="","",_xlfn.LET(_xlpm.v,UPPER(TRIM(_xlfn.XLOOKUP($CJ80,Equip_List,Equip_FdrMat,"")&amp;"")),IF(_xlpm.v="",UPPER(TRIM(Cfg_FeederMat&amp;"")),_xlpm.v)))</f>
        <v/>
      </c>
      <c r="M80" s="825" t="str">
        <f>IF($CJ80="","",_xlfn.LET(_xlpm.v,TRIM(_xlfn.XLOOKUP($CJ80,Equip_List,Equip_FdrRace,"")&amp;""),IF(_xlpm.v="",Cfg_Conduit&amp;"",_xlpm.v)))</f>
        <v/>
      </c>
      <c r="N80" s="825" t="str">
        <f>IF($CJ80="","",IF(UPPER(TRIM(_xlfn.XLOOKUP($CJ80,Equip_List,Equip_FdrExist,"")&amp;""))="Y","Y",""))</f>
        <v/>
      </c>
      <c r="O80" s="823" t="str">
        <f t="shared" si="28"/>
        <v/>
      </c>
      <c r="P80" s="821" t="str">
        <f t="shared" si="29"/>
        <v/>
      </c>
      <c r="Q80" s="821" t="str">
        <f t="shared" si="30"/>
        <v/>
      </c>
      <c r="R80" s="822" t="str" cm="1">
        <f t="array" ref="R80">IF(K80="","",INDEX(OCPD_List,MATCH(TRUE,OCPD_List&gt;=K80,0)))</f>
        <v/>
      </c>
      <c r="S80" s="821" t="str">
        <f t="shared" si="31"/>
        <v/>
      </c>
      <c r="T80" s="826" t="str">
        <f t="shared" si="21"/>
        <v/>
      </c>
      <c r="U80" s="826" t="str">
        <f t="shared" si="22"/>
        <v/>
      </c>
      <c r="V80" s="827" t="str">
        <f t="shared" si="23"/>
        <v/>
      </c>
      <c r="W80" s="828"/>
      <c r="X80" s="819"/>
      <c r="Y80" s="820"/>
      <c r="Z80" s="820"/>
      <c r="AA80" s="820"/>
      <c r="BN80" s="832" t="str">
        <f>IF($B80="","",IFERROR(_xlfn.XLOOKUP($D80,Dashboard!$A$101:$A$350,Dashboard!$C$101:$C$350),""))</f>
        <v/>
      </c>
      <c r="BO80" s="832" t="str">
        <f t="shared" si="24"/>
        <v/>
      </c>
      <c r="BP80" s="832" t="str" cm="1">
        <f t="array" ref="BP80">IF(OR($B80="",$R80="",NOT(ISNUMBER($R80))),"",IF(AND($BV80="AL",$G80=1),"",_xlfn.LET(_xlpm.codes,IF($BV80="AL",Std_Al3_Code,IF($G80=1,Std_Cu1_Code,Std_Cu3_Code)),_xlpm.amps,IFERROR(--SUBSTITUTE(_xlpm.codes&amp;"","N",""),""),_xlpm.a,MIN(IF(ISNUMBER(_xlpm.amps),IF(_xlpm.amps&gt;=$R80,_xlpm.amps,""),"")),_xlpm.k,IF(_xlpm.a=0,$R80,_xlpm.a),IF($BO80="Y",TEXT(_xlpm.k,"0")&amp;"N",_xlpm.k))))</f>
        <v/>
      </c>
      <c r="BQ80" s="832" t="str" cm="1">
        <f t="array" ref="BQ80">IF($BP80="","",IFERROR(IF($BV80="AL",_xlfn.XLOOKUP($BP80,Std_Al3_Code,INDEX(Std_Al3_Table,0,3)),IF($G80=1,_xlfn.XLOOKUP($BP80,Std_Cu1_Code,INDEX(Std_Cu1_Table,0,3)),_xlfn.XLOOKUP($BP80,Std_Cu3_Code,INDEX(Std_Cu3_Table,0,3)))),""))</f>
        <v/>
      </c>
      <c r="BR80" s="832" t="str" cm="1">
        <f t="array" ref="BR80">IF($BP80="","",IFERROR(IF($BV80="AL",_xlfn.XLOOKUP($BP80,Std_Al3_Code,INDEX(Std_Al3_Table,0,4)),IF($G80=1,_xlfn.XLOOKUP($BP80,Std_Cu1_Code,INDEX(Std_Cu1_Table,0,4)),_xlfn.XLOOKUP($BP80,Std_Cu3_Code,INDEX(Std_Cu3_Table,0,4)))),""))</f>
        <v/>
      </c>
      <c r="BS80" s="832" t="str" cm="1">
        <f t="array" ref="BS80">IF($BP80="","",IFERROR(IF($BV80="AL",_xlfn.XLOOKUP($BP80,Std_Al3_Code,INDEX(Std_Al3_Table,0,5)),IF($G80=1,_xlfn.XLOOKUP($BP80,Std_Cu1_Code,INDEX(Std_Cu1_Table,0,5)),_xlfn.XLOOKUP($BP80,Std_Cu3_Code,INDEX(Std_Cu3_Table,0,5)))),""))</f>
        <v/>
      </c>
      <c r="BT80" s="832" t="str">
        <f t="shared" si="25"/>
        <v/>
      </c>
      <c r="BU80" s="832" t="str" cm="1">
        <f t="array" ref="BU80">IF($BP80="","",IFERROR(IF($BV80="AL",_xlfn.XLOOKUP($BP80,Std_Al3_Code,INDEX(Std_Al3_Table,0,2)),IF($G80=1,_xlfn.XLOOKUP($BP80,Std_Cu1_Code,INDEX(Std_Cu1_Table,0,2)),_xlfn.XLOOKUP($BP80,Std_Cu3_Code,INDEX(Std_Cu3_Table,0,2)))),""))</f>
        <v/>
      </c>
      <c r="BV80" s="829" t="str">
        <f t="shared" si="26"/>
        <v/>
      </c>
      <c r="BW80" s="829" t="str">
        <f t="shared" si="32"/>
        <v/>
      </c>
      <c r="BX80" s="829" t="str" cm="1">
        <f t="array" ref="BX80">IF(OR($BP80="",$H80="",$I80="",$F80="",$BW80=""),"",IFERROR(_xlfn.LET(_xlpm.codes,IF($BV80="AL",Std_Al3_Code,IF($G80=1,Std_Cu1_Code,Std_Cu3_Code)),_xlpm.tbl,IF($BV80="AL",Std_Al3_Table,IF($G80=1,Std_Cu1_Table,Std_Cu3_Table)),_xlpm.i,MATCH($BP80,_xlpm.codes,0),_xlpm.idx,_xlfn.SEQUENCE(ROWS(_xlpm.codes)),_xlpm.cnd,INDEX(_xlpm.tbl,0,4),_xlpm.sts,INDEX(_xlpm.tbl,0,2),_xlpm.sz,IFERROR(_xlfn.TEXTBEFORE(_xlfn.TEXTAFTER(_xlpm.cnd,"#"),","),IFERROR(_xlfn.TEXTAFTER(_xlpm.cnd,"#"),"")),_xlpm.cm,IFERROR(_xlfn.XLOOKUP(TRIM(_xlpm.sz),Ampacity_Size,Ampacity_CM),0),_xlpm.mult,IF($G80=3,SQRT3,2),_xlpm.kk,IF($BV80="AL",K_Al,K_Cu),_xlpm.vd,IF(_xlpm.cm*IF(ISNUMBER(_xlpm.sts),_xlpm.sts,0)=0,9,_xlpm.mult*_xlpm.kk*$I80*$H80/(_xlpm.cm*_xlpm.sts)/$F80),_xlpm.hasN,--(RIGHT(_xlpm.codes&amp;"",1)="N"),_xlpm.wantN,--(RIGHT($BP80&amp;"",1)="N"),_xlpm.ok,(_xlpm.idx&gt;=_xlpm.i)*(_xlpm.vd&lt;=Cfg_VDFeeder)*(_xlpm.cm&gt;0)*ISNUMBER(_xlpm.sts)*(_xlpm.hasN=_xlpm.wantN),_xlpm.m,MIN(IF(_xlpm.ok=1,_xlpm.idx)),INDEX(_xlpm.codes,IF(_xlpm.m=0,_xlpm.i,_xlpm.m))),""))</f>
        <v/>
      </c>
      <c r="BY80" s="829" t="str" cm="1">
        <f t="array" ref="BY80">IF($BP80="","",IF($BX80="",$BU80,IFERROR(IF($BV80="AL",_xlfn.XLOOKUP($BX80,Std_Al3_Code,INDEX(Std_Al3_Table,0,2)),IF($G80=1,_xlfn.XLOOKUP($BX80,Std_Cu1_Code,INDEX(Std_Cu1_Table,0,2)),_xlfn.XLOOKUP($BX80,Std_Cu3_Code,INDEX(Std_Cu3_Table,0,2)))),"")))</f>
        <v/>
      </c>
      <c r="BZ80" s="829" t="str" cm="1">
        <f t="array" ref="BZ80">IF($BP80="","",IF($BX80="",$BR80,IFERROR(IF($BV80="AL",_xlfn.XLOOKUP($BX80,Std_Al3_Code,INDEX(Std_Al3_Table,0,4)),IF($G80=1,_xlfn.XLOOKUP($BX80,Std_Cu1_Code,INDEX(Std_Cu1_Table,0,4)),_xlfn.XLOOKUP($BX80,Std_Cu3_Code,INDEX(Std_Cu3_Table,0,4)))),"")))</f>
        <v/>
      </c>
      <c r="CA80" s="829" t="str" cm="1">
        <f t="array" ref="CA80">IF($BP80="","",IF($BX80="",$BQ80,IFERROR(IF($BV80="AL",_xlfn.XLOOKUP($BX80,Std_Al3_Code,INDEX(Std_Al3_Table,0,3)),IF($G80=1,_xlfn.XLOOKUP($BX80,Std_Cu1_Code,INDEX(Std_Cu1_Table,0,3)),_xlfn.XLOOKUP($BX80,Std_Cu3_Code,INDEX(Std_Cu3_Table,0,3)))),"")))</f>
        <v/>
      </c>
      <c r="CB80" s="829" t="str" cm="1">
        <f t="array" ref="CB80">IF($BP80="","",IF($BX80="",$BS80,IFERROR(IF($BV80="AL",_xlfn.XLOOKUP($BX80,Std_Al3_Code,INDEX(Std_Al3_Table,0,5)),IF($G80=1,_xlfn.XLOOKUP($BX80,Std_Cu1_Code,INDEX(Std_Cu1_Table,0,5)),_xlfn.XLOOKUP($BX80,Std_Cu3_Code,INDEX(Std_Cu3_Table,0,5)))),"")))</f>
        <v/>
      </c>
      <c r="CC80" s="829" t="str">
        <f t="shared" si="33"/>
        <v/>
      </c>
      <c r="CD80" s="829" t="str">
        <f t="shared" si="34"/>
        <v/>
      </c>
      <c r="CE80" s="829" t="str">
        <f t="shared" si="35"/>
        <v/>
      </c>
      <c r="CF80" s="829" t="str">
        <f t="shared" si="36"/>
        <v/>
      </c>
      <c r="CG80" s="829" t="str">
        <f t="shared" si="37"/>
        <v/>
      </c>
      <c r="CH80" s="829" t="str">
        <f t="shared" si="38"/>
        <v/>
      </c>
      <c r="CI80" s="829" t="str">
        <f t="shared" si="39"/>
        <v/>
      </c>
      <c r="CJ80" s="829" t="str" cm="1">
        <f t="array" ref="CJ80">IF($B80="","",_xlfn.LET(_xlpm.to,$D80&amp;"",_xlpm.em,IFERROR(INDEX(_xlfn.ANCHORARRAY($BE$4),ROW()-4,6),"")="EMERG",_xlpm.pri,AND(NOT(_xlpm.em),LEFT(_xlpm.to,2)="T-",ISNUMBER(MATCH(MID(_xlpm.to,3,99),Equip_List,0)),ISNA(MATCH(_xlpm.to,Equip_List,0))),IF(_xlpm.pri,MID(_xlpm.to,3,99),_xlpm.to)))</f>
        <v/>
      </c>
      <c r="CK80" s="829" t="str" cm="1">
        <f t="array" ref="CK80">IF($CJ80="","",IF(IFERROR(INDEX(_xlfn.ANCHORARRAY($BE$4),ROW()-4,6),"")="EMERG","E",IF($CJ80&lt;&gt;$D80&amp;"","P","N")))</f>
        <v/>
      </c>
    </row>
    <row r="81" spans="1:89" ht="15" customHeight="1" x14ac:dyDescent="0.35">
      <c r="A81" s="821" t="str">
        <f t="shared" si="27"/>
        <v/>
      </c>
      <c r="B81" s="821" t="str" cm="1">
        <f t="array" ref="B81">IFERROR(IF(INDEX(_xlfn.ANCHORARRAY($BE$4),ROW()-4,2)="","","F-"&amp;INDEX(_xlfn.ANCHORARRAY($BE$4),ROW()-4,2)&amp;IF(IFERROR(INDEX(_xlfn.ANCHORARRAY($BE$4),ROW()-4,6),"")="EMERG","-E","")),"")</f>
        <v/>
      </c>
      <c r="C81" s="821" t="str" cm="1">
        <f t="array" ref="C81">IFERROR(IF($B81="","",INDEX(_xlfn.ANCHORARRAY($BE$4),ROW()-4,1)),"")</f>
        <v/>
      </c>
      <c r="D81" s="821" t="str" cm="1">
        <f t="array" ref="D81">IFERROR(IF($B81="","",INDEX(_xlfn.ANCHORARRAY($BE$4),ROW()-4,2)),"")</f>
        <v/>
      </c>
      <c r="E81" s="806" t="str" cm="1">
        <f t="array" ref="E81">IFERROR(IF($B81="","",INDEX(_xlfn.ANCHORARRAY($BE$4),ROW()-4,3)),"")</f>
        <v/>
      </c>
      <c r="F81" s="822" t="str" cm="1">
        <f t="array" ref="F81">IFERROR(IF($B81="","",INDEX(_xlfn.ANCHORARRAY($BE$4),ROW()-4,4)),"")</f>
        <v/>
      </c>
      <c r="G81" s="823" t="str" cm="1">
        <f t="array" ref="G81">IFERROR(IF($B81="","",INDEX(_xlfn.ANCHORARRAY($BE$4),ROW()-4,5)),"")</f>
        <v/>
      </c>
      <c r="H81" s="824" t="str" cm="1">
        <f t="array" ref="H81">IF($CJ81="","",_xlfn.LET(_xlpm.v,_xlfn.XLOOKUP($CJ81,Equip_List,IF($CK81="E",Equip_EmLen,IF($CK81="P",Equip_XfPriLen,Equip_FdrLen)),""),IF(_xlpm.v="","",_xlpm.v)))</f>
        <v/>
      </c>
      <c r="I81" s="806" t="str">
        <f t="shared" si="20"/>
        <v/>
      </c>
      <c r="J81" s="820"/>
      <c r="K81" s="806" t="str">
        <f>_xlfn.LET(_xlpm.k,IF($I81="","",IF(COUNTIF(UPS!$B$57:$B$64,$C81&amp;"")&gt;0,1.25*MAX($I81,N(_xlfn.XLOOKUP($C81&amp;"",UPS!$B$57:$B$64,UPS!$M$57:$M$64,0))),IF(COUNTIF(UPS!$B$57:$B$64,$D81&amp;"")&gt;0,1.25*MAX($I81,N(_xlfn.XLOOKUP($D81&amp;"",UPS!$B$57:$B$64,UPS!$Q$57:$Q$64,0))),$I81*IF(OR(UPPER($J81)="Y",LEFT($C81,2)="T-",LEFT($D81,2)="T-"),1.25,1)))),IF(_xlpm.k="","",MAX(_xlpm.k,N(IFERROR(_xlfn.XLOOKUP($D81&amp;"",Dashboard!$A$101:$A$350,Dashboard!$O$101:$O$350,0),0)))))</f>
        <v/>
      </c>
      <c r="L81" s="825" t="str">
        <f>IF($CJ81="","",_xlfn.LET(_xlpm.v,UPPER(TRIM(_xlfn.XLOOKUP($CJ81,Equip_List,Equip_FdrMat,"")&amp;"")),IF(_xlpm.v="",UPPER(TRIM(Cfg_FeederMat&amp;"")),_xlpm.v)))</f>
        <v/>
      </c>
      <c r="M81" s="825" t="str">
        <f>IF($CJ81="","",_xlfn.LET(_xlpm.v,TRIM(_xlfn.XLOOKUP($CJ81,Equip_List,Equip_FdrRace,"")&amp;""),IF(_xlpm.v="",Cfg_Conduit&amp;"",_xlpm.v)))</f>
        <v/>
      </c>
      <c r="N81" s="825" t="str">
        <f>IF($CJ81="","",IF(UPPER(TRIM(_xlfn.XLOOKUP($CJ81,Equip_List,Equip_FdrExist,"")&amp;""))="Y","Y",""))</f>
        <v/>
      </c>
      <c r="O81" s="823" t="str">
        <f t="shared" si="28"/>
        <v/>
      </c>
      <c r="P81" s="821" t="str">
        <f t="shared" si="29"/>
        <v/>
      </c>
      <c r="Q81" s="821" t="str">
        <f t="shared" si="30"/>
        <v/>
      </c>
      <c r="R81" s="822" t="str" cm="1">
        <f t="array" ref="R81">IF(K81="","",INDEX(OCPD_List,MATCH(TRUE,OCPD_List&gt;=K81,0)))</f>
        <v/>
      </c>
      <c r="S81" s="821" t="str">
        <f t="shared" si="31"/>
        <v/>
      </c>
      <c r="T81" s="826" t="str">
        <f t="shared" si="21"/>
        <v/>
      </c>
      <c r="U81" s="826" t="str">
        <f t="shared" si="22"/>
        <v/>
      </c>
      <c r="V81" s="827" t="str">
        <f t="shared" si="23"/>
        <v/>
      </c>
      <c r="W81" s="828"/>
      <c r="X81" s="819"/>
      <c r="Y81" s="820"/>
      <c r="Z81" s="820"/>
      <c r="AA81" s="820"/>
      <c r="BN81" s="832" t="str">
        <f>IF($B81="","",IFERROR(_xlfn.XLOOKUP($D81,Dashboard!$A$101:$A$350,Dashboard!$C$101:$C$350),""))</f>
        <v/>
      </c>
      <c r="BO81" s="832" t="str">
        <f t="shared" si="24"/>
        <v/>
      </c>
      <c r="BP81" s="832" t="str" cm="1">
        <f t="array" ref="BP81">IF(OR($B81="",$R81="",NOT(ISNUMBER($R81))),"",IF(AND($BV81="AL",$G81=1),"",_xlfn.LET(_xlpm.codes,IF($BV81="AL",Std_Al3_Code,IF($G81=1,Std_Cu1_Code,Std_Cu3_Code)),_xlpm.amps,IFERROR(--SUBSTITUTE(_xlpm.codes&amp;"","N",""),""),_xlpm.a,MIN(IF(ISNUMBER(_xlpm.amps),IF(_xlpm.amps&gt;=$R81,_xlpm.amps,""),"")),_xlpm.k,IF(_xlpm.a=0,$R81,_xlpm.a),IF($BO81="Y",TEXT(_xlpm.k,"0")&amp;"N",_xlpm.k))))</f>
        <v/>
      </c>
      <c r="BQ81" s="832" t="str" cm="1">
        <f t="array" ref="BQ81">IF($BP81="","",IFERROR(IF($BV81="AL",_xlfn.XLOOKUP($BP81,Std_Al3_Code,INDEX(Std_Al3_Table,0,3)),IF($G81=1,_xlfn.XLOOKUP($BP81,Std_Cu1_Code,INDEX(Std_Cu1_Table,0,3)),_xlfn.XLOOKUP($BP81,Std_Cu3_Code,INDEX(Std_Cu3_Table,0,3)))),""))</f>
        <v/>
      </c>
      <c r="BR81" s="832" t="str" cm="1">
        <f t="array" ref="BR81">IF($BP81="","",IFERROR(IF($BV81="AL",_xlfn.XLOOKUP($BP81,Std_Al3_Code,INDEX(Std_Al3_Table,0,4)),IF($G81=1,_xlfn.XLOOKUP($BP81,Std_Cu1_Code,INDEX(Std_Cu1_Table,0,4)),_xlfn.XLOOKUP($BP81,Std_Cu3_Code,INDEX(Std_Cu3_Table,0,4)))),""))</f>
        <v/>
      </c>
      <c r="BS81" s="832" t="str" cm="1">
        <f t="array" ref="BS81">IF($BP81="","",IFERROR(IF($BV81="AL",_xlfn.XLOOKUP($BP81,Std_Al3_Code,INDEX(Std_Al3_Table,0,5)),IF($G81=1,_xlfn.XLOOKUP($BP81,Std_Cu1_Code,INDEX(Std_Cu1_Table,0,5)),_xlfn.XLOOKUP($BP81,Std_Cu3_Code,INDEX(Std_Cu3_Table,0,5)))),""))</f>
        <v/>
      </c>
      <c r="BT81" s="832" t="str">
        <f t="shared" si="25"/>
        <v/>
      </c>
      <c r="BU81" s="832" t="str" cm="1">
        <f t="array" ref="BU81">IF($BP81="","",IFERROR(IF($BV81="AL",_xlfn.XLOOKUP($BP81,Std_Al3_Code,INDEX(Std_Al3_Table,0,2)),IF($G81=1,_xlfn.XLOOKUP($BP81,Std_Cu1_Code,INDEX(Std_Cu1_Table,0,2)),_xlfn.XLOOKUP($BP81,Std_Cu3_Code,INDEX(Std_Cu3_Table,0,2)))),""))</f>
        <v/>
      </c>
      <c r="BV81" s="829" t="str">
        <f t="shared" si="26"/>
        <v/>
      </c>
      <c r="BW81" s="829" t="str">
        <f t="shared" si="32"/>
        <v/>
      </c>
      <c r="BX81" s="829" t="str" cm="1">
        <f t="array" ref="BX81">IF(OR($BP81="",$H81="",$I81="",$F81="",$BW81=""),"",IFERROR(_xlfn.LET(_xlpm.codes,IF($BV81="AL",Std_Al3_Code,IF($G81=1,Std_Cu1_Code,Std_Cu3_Code)),_xlpm.tbl,IF($BV81="AL",Std_Al3_Table,IF($G81=1,Std_Cu1_Table,Std_Cu3_Table)),_xlpm.i,MATCH($BP81,_xlpm.codes,0),_xlpm.idx,_xlfn.SEQUENCE(ROWS(_xlpm.codes)),_xlpm.cnd,INDEX(_xlpm.tbl,0,4),_xlpm.sts,INDEX(_xlpm.tbl,0,2),_xlpm.sz,IFERROR(_xlfn.TEXTBEFORE(_xlfn.TEXTAFTER(_xlpm.cnd,"#"),","),IFERROR(_xlfn.TEXTAFTER(_xlpm.cnd,"#"),"")),_xlpm.cm,IFERROR(_xlfn.XLOOKUP(TRIM(_xlpm.sz),Ampacity_Size,Ampacity_CM),0),_xlpm.mult,IF($G81=3,SQRT3,2),_xlpm.kk,IF($BV81="AL",K_Al,K_Cu),_xlpm.vd,IF(_xlpm.cm*IF(ISNUMBER(_xlpm.sts),_xlpm.sts,0)=0,9,_xlpm.mult*_xlpm.kk*$I81*$H81/(_xlpm.cm*_xlpm.sts)/$F81),_xlpm.hasN,--(RIGHT(_xlpm.codes&amp;"",1)="N"),_xlpm.wantN,--(RIGHT($BP81&amp;"",1)="N"),_xlpm.ok,(_xlpm.idx&gt;=_xlpm.i)*(_xlpm.vd&lt;=Cfg_VDFeeder)*(_xlpm.cm&gt;0)*ISNUMBER(_xlpm.sts)*(_xlpm.hasN=_xlpm.wantN),_xlpm.m,MIN(IF(_xlpm.ok=1,_xlpm.idx)),INDEX(_xlpm.codes,IF(_xlpm.m=0,_xlpm.i,_xlpm.m))),""))</f>
        <v/>
      </c>
      <c r="BY81" s="829" t="str" cm="1">
        <f t="array" ref="BY81">IF($BP81="","",IF($BX81="",$BU81,IFERROR(IF($BV81="AL",_xlfn.XLOOKUP($BX81,Std_Al3_Code,INDEX(Std_Al3_Table,0,2)),IF($G81=1,_xlfn.XLOOKUP($BX81,Std_Cu1_Code,INDEX(Std_Cu1_Table,0,2)),_xlfn.XLOOKUP($BX81,Std_Cu3_Code,INDEX(Std_Cu3_Table,0,2)))),"")))</f>
        <v/>
      </c>
      <c r="BZ81" s="829" t="str" cm="1">
        <f t="array" ref="BZ81">IF($BP81="","",IF($BX81="",$BR81,IFERROR(IF($BV81="AL",_xlfn.XLOOKUP($BX81,Std_Al3_Code,INDEX(Std_Al3_Table,0,4)),IF($G81=1,_xlfn.XLOOKUP($BX81,Std_Cu1_Code,INDEX(Std_Cu1_Table,0,4)),_xlfn.XLOOKUP($BX81,Std_Cu3_Code,INDEX(Std_Cu3_Table,0,4)))),"")))</f>
        <v/>
      </c>
      <c r="CA81" s="829" t="str" cm="1">
        <f t="array" ref="CA81">IF($BP81="","",IF($BX81="",$BQ81,IFERROR(IF($BV81="AL",_xlfn.XLOOKUP($BX81,Std_Al3_Code,INDEX(Std_Al3_Table,0,3)),IF($G81=1,_xlfn.XLOOKUP($BX81,Std_Cu1_Code,INDEX(Std_Cu1_Table,0,3)),_xlfn.XLOOKUP($BX81,Std_Cu3_Code,INDEX(Std_Cu3_Table,0,3)))),"")))</f>
        <v/>
      </c>
      <c r="CB81" s="829" t="str" cm="1">
        <f t="array" ref="CB81">IF($BP81="","",IF($BX81="",$BS81,IFERROR(IF($BV81="AL",_xlfn.XLOOKUP($BX81,Std_Al3_Code,INDEX(Std_Al3_Table,0,5)),IF($G81=1,_xlfn.XLOOKUP($BX81,Std_Cu1_Code,INDEX(Std_Cu1_Table,0,5)),_xlfn.XLOOKUP($BX81,Std_Cu3_Code,INDEX(Std_Cu3_Table,0,5)))),"")))</f>
        <v/>
      </c>
      <c r="CC81" s="829" t="str">
        <f t="shared" si="33"/>
        <v/>
      </c>
      <c r="CD81" s="829" t="str">
        <f t="shared" si="34"/>
        <v/>
      </c>
      <c r="CE81" s="829" t="str">
        <f t="shared" si="35"/>
        <v/>
      </c>
      <c r="CF81" s="829" t="str">
        <f t="shared" si="36"/>
        <v/>
      </c>
      <c r="CG81" s="829" t="str">
        <f t="shared" si="37"/>
        <v/>
      </c>
      <c r="CH81" s="829" t="str">
        <f t="shared" si="38"/>
        <v/>
      </c>
      <c r="CI81" s="829" t="str">
        <f t="shared" si="39"/>
        <v/>
      </c>
      <c r="CJ81" s="829" t="str" cm="1">
        <f t="array" ref="CJ81">IF($B81="","",_xlfn.LET(_xlpm.to,$D81&amp;"",_xlpm.em,IFERROR(INDEX(_xlfn.ANCHORARRAY($BE$4),ROW()-4,6),"")="EMERG",_xlpm.pri,AND(NOT(_xlpm.em),LEFT(_xlpm.to,2)="T-",ISNUMBER(MATCH(MID(_xlpm.to,3,99),Equip_List,0)),ISNA(MATCH(_xlpm.to,Equip_List,0))),IF(_xlpm.pri,MID(_xlpm.to,3,99),_xlpm.to)))</f>
        <v/>
      </c>
      <c r="CK81" s="829" t="str" cm="1">
        <f t="array" ref="CK81">IF($CJ81="","",IF(IFERROR(INDEX(_xlfn.ANCHORARRAY($BE$4),ROW()-4,6),"")="EMERG","E",IF($CJ81&lt;&gt;$D81&amp;"","P","N")))</f>
        <v/>
      </c>
    </row>
    <row r="82" spans="1:89" ht="15" customHeight="1" x14ac:dyDescent="0.35">
      <c r="A82" s="821" t="str">
        <f t="shared" si="27"/>
        <v/>
      </c>
      <c r="B82" s="821" t="str" cm="1">
        <f t="array" ref="B82">IFERROR(IF(INDEX(_xlfn.ANCHORARRAY($BE$4),ROW()-4,2)="","","F-"&amp;INDEX(_xlfn.ANCHORARRAY($BE$4),ROW()-4,2)&amp;IF(IFERROR(INDEX(_xlfn.ANCHORARRAY($BE$4),ROW()-4,6),"")="EMERG","-E","")),"")</f>
        <v/>
      </c>
      <c r="C82" s="821" t="str" cm="1">
        <f t="array" ref="C82">IFERROR(IF($B82="","",INDEX(_xlfn.ANCHORARRAY($BE$4),ROW()-4,1)),"")</f>
        <v/>
      </c>
      <c r="D82" s="821" t="str" cm="1">
        <f t="array" ref="D82">IFERROR(IF($B82="","",INDEX(_xlfn.ANCHORARRAY($BE$4),ROW()-4,2)),"")</f>
        <v/>
      </c>
      <c r="E82" s="806" t="str" cm="1">
        <f t="array" ref="E82">IFERROR(IF($B82="","",INDEX(_xlfn.ANCHORARRAY($BE$4),ROW()-4,3)),"")</f>
        <v/>
      </c>
      <c r="F82" s="822" t="str" cm="1">
        <f t="array" ref="F82">IFERROR(IF($B82="","",INDEX(_xlfn.ANCHORARRAY($BE$4),ROW()-4,4)),"")</f>
        <v/>
      </c>
      <c r="G82" s="823" t="str" cm="1">
        <f t="array" ref="G82">IFERROR(IF($B82="","",INDEX(_xlfn.ANCHORARRAY($BE$4),ROW()-4,5)),"")</f>
        <v/>
      </c>
      <c r="H82" s="824" t="str" cm="1">
        <f t="array" ref="H82">IF($CJ82="","",_xlfn.LET(_xlpm.v,_xlfn.XLOOKUP($CJ82,Equip_List,IF($CK82="E",Equip_EmLen,IF($CK82="P",Equip_XfPriLen,Equip_FdrLen)),""),IF(_xlpm.v="","",_xlpm.v)))</f>
        <v/>
      </c>
      <c r="I82" s="806" t="str">
        <f t="shared" si="20"/>
        <v/>
      </c>
      <c r="J82" s="820"/>
      <c r="K82" s="806" t="str">
        <f>_xlfn.LET(_xlpm.k,IF($I82="","",IF(COUNTIF(UPS!$B$57:$B$64,$C82&amp;"")&gt;0,1.25*MAX($I82,N(_xlfn.XLOOKUP($C82&amp;"",UPS!$B$57:$B$64,UPS!$M$57:$M$64,0))),IF(COUNTIF(UPS!$B$57:$B$64,$D82&amp;"")&gt;0,1.25*MAX($I82,N(_xlfn.XLOOKUP($D82&amp;"",UPS!$B$57:$B$64,UPS!$Q$57:$Q$64,0))),$I82*IF(OR(UPPER($J82)="Y",LEFT($C82,2)="T-",LEFT($D82,2)="T-"),1.25,1)))),IF(_xlpm.k="","",MAX(_xlpm.k,N(IFERROR(_xlfn.XLOOKUP($D82&amp;"",Dashboard!$A$101:$A$350,Dashboard!$O$101:$O$350,0),0)))))</f>
        <v/>
      </c>
      <c r="L82" s="825" t="str">
        <f>IF($CJ82="","",_xlfn.LET(_xlpm.v,UPPER(TRIM(_xlfn.XLOOKUP($CJ82,Equip_List,Equip_FdrMat,"")&amp;"")),IF(_xlpm.v="",UPPER(TRIM(Cfg_FeederMat&amp;"")),_xlpm.v)))</f>
        <v/>
      </c>
      <c r="M82" s="825" t="str">
        <f>IF($CJ82="","",_xlfn.LET(_xlpm.v,TRIM(_xlfn.XLOOKUP($CJ82,Equip_List,Equip_FdrRace,"")&amp;""),IF(_xlpm.v="",Cfg_Conduit&amp;"",_xlpm.v)))</f>
        <v/>
      </c>
      <c r="N82" s="825" t="str">
        <f>IF($CJ82="","",IF(UPPER(TRIM(_xlfn.XLOOKUP($CJ82,Equip_List,Equip_FdrExist,"")&amp;""))="Y","Y",""))</f>
        <v/>
      </c>
      <c r="O82" s="823" t="str">
        <f t="shared" si="28"/>
        <v/>
      </c>
      <c r="P82" s="821" t="str">
        <f t="shared" si="29"/>
        <v/>
      </c>
      <c r="Q82" s="821" t="str">
        <f t="shared" si="30"/>
        <v/>
      </c>
      <c r="R82" s="822" t="str" cm="1">
        <f t="array" ref="R82">IF(K82="","",INDEX(OCPD_List,MATCH(TRUE,OCPD_List&gt;=K82,0)))</f>
        <v/>
      </c>
      <c r="S82" s="821" t="str">
        <f t="shared" si="31"/>
        <v/>
      </c>
      <c r="T82" s="826" t="str">
        <f t="shared" si="21"/>
        <v/>
      </c>
      <c r="U82" s="826" t="str">
        <f t="shared" si="22"/>
        <v/>
      </c>
      <c r="V82" s="827" t="str">
        <f t="shared" si="23"/>
        <v/>
      </c>
      <c r="W82" s="828"/>
      <c r="X82" s="819"/>
      <c r="Y82" s="820"/>
      <c r="Z82" s="820"/>
      <c r="AA82" s="820"/>
      <c r="BN82" s="832" t="str">
        <f>IF($B82="","",IFERROR(_xlfn.XLOOKUP($D82,Dashboard!$A$101:$A$350,Dashboard!$C$101:$C$350),""))</f>
        <v/>
      </c>
      <c r="BO82" s="832" t="str">
        <f t="shared" si="24"/>
        <v/>
      </c>
      <c r="BP82" s="832" t="str" cm="1">
        <f t="array" ref="BP82">IF(OR($B82="",$R82="",NOT(ISNUMBER($R82))),"",IF(AND($BV82="AL",$G82=1),"",_xlfn.LET(_xlpm.codes,IF($BV82="AL",Std_Al3_Code,IF($G82=1,Std_Cu1_Code,Std_Cu3_Code)),_xlpm.amps,IFERROR(--SUBSTITUTE(_xlpm.codes&amp;"","N",""),""),_xlpm.a,MIN(IF(ISNUMBER(_xlpm.amps),IF(_xlpm.amps&gt;=$R82,_xlpm.amps,""),"")),_xlpm.k,IF(_xlpm.a=0,$R82,_xlpm.a),IF($BO82="Y",TEXT(_xlpm.k,"0")&amp;"N",_xlpm.k))))</f>
        <v/>
      </c>
      <c r="BQ82" s="832" t="str" cm="1">
        <f t="array" ref="BQ82">IF($BP82="","",IFERROR(IF($BV82="AL",_xlfn.XLOOKUP($BP82,Std_Al3_Code,INDEX(Std_Al3_Table,0,3)),IF($G82=1,_xlfn.XLOOKUP($BP82,Std_Cu1_Code,INDEX(Std_Cu1_Table,0,3)),_xlfn.XLOOKUP($BP82,Std_Cu3_Code,INDEX(Std_Cu3_Table,0,3)))),""))</f>
        <v/>
      </c>
      <c r="BR82" s="832" t="str" cm="1">
        <f t="array" ref="BR82">IF($BP82="","",IFERROR(IF($BV82="AL",_xlfn.XLOOKUP($BP82,Std_Al3_Code,INDEX(Std_Al3_Table,0,4)),IF($G82=1,_xlfn.XLOOKUP($BP82,Std_Cu1_Code,INDEX(Std_Cu1_Table,0,4)),_xlfn.XLOOKUP($BP82,Std_Cu3_Code,INDEX(Std_Cu3_Table,0,4)))),""))</f>
        <v/>
      </c>
      <c r="BS82" s="832" t="str" cm="1">
        <f t="array" ref="BS82">IF($BP82="","",IFERROR(IF($BV82="AL",_xlfn.XLOOKUP($BP82,Std_Al3_Code,INDEX(Std_Al3_Table,0,5)),IF($G82=1,_xlfn.XLOOKUP($BP82,Std_Cu1_Code,INDEX(Std_Cu1_Table,0,5)),_xlfn.XLOOKUP($BP82,Std_Cu3_Code,INDEX(Std_Cu3_Table,0,5)))),""))</f>
        <v/>
      </c>
      <c r="BT82" s="832" t="str">
        <f t="shared" si="25"/>
        <v/>
      </c>
      <c r="BU82" s="832" t="str" cm="1">
        <f t="array" ref="BU82">IF($BP82="","",IFERROR(IF($BV82="AL",_xlfn.XLOOKUP($BP82,Std_Al3_Code,INDEX(Std_Al3_Table,0,2)),IF($G82=1,_xlfn.XLOOKUP($BP82,Std_Cu1_Code,INDEX(Std_Cu1_Table,0,2)),_xlfn.XLOOKUP($BP82,Std_Cu3_Code,INDEX(Std_Cu3_Table,0,2)))),""))</f>
        <v/>
      </c>
      <c r="BV82" s="829" t="str">
        <f t="shared" si="26"/>
        <v/>
      </c>
      <c r="BW82" s="829" t="str">
        <f t="shared" si="32"/>
        <v/>
      </c>
      <c r="BX82" s="829" t="str" cm="1">
        <f t="array" ref="BX82">IF(OR($BP82="",$H82="",$I82="",$F82="",$BW82=""),"",IFERROR(_xlfn.LET(_xlpm.codes,IF($BV82="AL",Std_Al3_Code,IF($G82=1,Std_Cu1_Code,Std_Cu3_Code)),_xlpm.tbl,IF($BV82="AL",Std_Al3_Table,IF($G82=1,Std_Cu1_Table,Std_Cu3_Table)),_xlpm.i,MATCH($BP82,_xlpm.codes,0),_xlpm.idx,_xlfn.SEQUENCE(ROWS(_xlpm.codes)),_xlpm.cnd,INDEX(_xlpm.tbl,0,4),_xlpm.sts,INDEX(_xlpm.tbl,0,2),_xlpm.sz,IFERROR(_xlfn.TEXTBEFORE(_xlfn.TEXTAFTER(_xlpm.cnd,"#"),","),IFERROR(_xlfn.TEXTAFTER(_xlpm.cnd,"#"),"")),_xlpm.cm,IFERROR(_xlfn.XLOOKUP(TRIM(_xlpm.sz),Ampacity_Size,Ampacity_CM),0),_xlpm.mult,IF($G82=3,SQRT3,2),_xlpm.kk,IF($BV82="AL",K_Al,K_Cu),_xlpm.vd,IF(_xlpm.cm*IF(ISNUMBER(_xlpm.sts),_xlpm.sts,0)=0,9,_xlpm.mult*_xlpm.kk*$I82*$H82/(_xlpm.cm*_xlpm.sts)/$F82),_xlpm.hasN,--(RIGHT(_xlpm.codes&amp;"",1)="N"),_xlpm.wantN,--(RIGHT($BP82&amp;"",1)="N"),_xlpm.ok,(_xlpm.idx&gt;=_xlpm.i)*(_xlpm.vd&lt;=Cfg_VDFeeder)*(_xlpm.cm&gt;0)*ISNUMBER(_xlpm.sts)*(_xlpm.hasN=_xlpm.wantN),_xlpm.m,MIN(IF(_xlpm.ok=1,_xlpm.idx)),INDEX(_xlpm.codes,IF(_xlpm.m=0,_xlpm.i,_xlpm.m))),""))</f>
        <v/>
      </c>
      <c r="BY82" s="829" t="str" cm="1">
        <f t="array" ref="BY82">IF($BP82="","",IF($BX82="",$BU82,IFERROR(IF($BV82="AL",_xlfn.XLOOKUP($BX82,Std_Al3_Code,INDEX(Std_Al3_Table,0,2)),IF($G82=1,_xlfn.XLOOKUP($BX82,Std_Cu1_Code,INDEX(Std_Cu1_Table,0,2)),_xlfn.XLOOKUP($BX82,Std_Cu3_Code,INDEX(Std_Cu3_Table,0,2)))),"")))</f>
        <v/>
      </c>
      <c r="BZ82" s="829" t="str" cm="1">
        <f t="array" ref="BZ82">IF($BP82="","",IF($BX82="",$BR82,IFERROR(IF($BV82="AL",_xlfn.XLOOKUP($BX82,Std_Al3_Code,INDEX(Std_Al3_Table,0,4)),IF($G82=1,_xlfn.XLOOKUP($BX82,Std_Cu1_Code,INDEX(Std_Cu1_Table,0,4)),_xlfn.XLOOKUP($BX82,Std_Cu3_Code,INDEX(Std_Cu3_Table,0,4)))),"")))</f>
        <v/>
      </c>
      <c r="CA82" s="829" t="str" cm="1">
        <f t="array" ref="CA82">IF($BP82="","",IF($BX82="",$BQ82,IFERROR(IF($BV82="AL",_xlfn.XLOOKUP($BX82,Std_Al3_Code,INDEX(Std_Al3_Table,0,3)),IF($G82=1,_xlfn.XLOOKUP($BX82,Std_Cu1_Code,INDEX(Std_Cu1_Table,0,3)),_xlfn.XLOOKUP($BX82,Std_Cu3_Code,INDEX(Std_Cu3_Table,0,3)))),"")))</f>
        <v/>
      </c>
      <c r="CB82" s="829" t="str" cm="1">
        <f t="array" ref="CB82">IF($BP82="","",IF($BX82="",$BS82,IFERROR(IF($BV82="AL",_xlfn.XLOOKUP($BX82,Std_Al3_Code,INDEX(Std_Al3_Table,0,5)),IF($G82=1,_xlfn.XLOOKUP($BX82,Std_Cu1_Code,INDEX(Std_Cu1_Table,0,5)),_xlfn.XLOOKUP($BX82,Std_Cu3_Code,INDEX(Std_Cu3_Table,0,5)))),"")))</f>
        <v/>
      </c>
      <c r="CC82" s="829" t="str">
        <f t="shared" si="33"/>
        <v/>
      </c>
      <c r="CD82" s="829" t="str">
        <f t="shared" si="34"/>
        <v/>
      </c>
      <c r="CE82" s="829" t="str">
        <f t="shared" si="35"/>
        <v/>
      </c>
      <c r="CF82" s="829" t="str">
        <f t="shared" si="36"/>
        <v/>
      </c>
      <c r="CG82" s="829" t="str">
        <f t="shared" si="37"/>
        <v/>
      </c>
      <c r="CH82" s="829" t="str">
        <f t="shared" si="38"/>
        <v/>
      </c>
      <c r="CI82" s="829" t="str">
        <f t="shared" si="39"/>
        <v/>
      </c>
      <c r="CJ82" s="829" t="str" cm="1">
        <f t="array" ref="CJ82">IF($B82="","",_xlfn.LET(_xlpm.to,$D82&amp;"",_xlpm.em,IFERROR(INDEX(_xlfn.ANCHORARRAY($BE$4),ROW()-4,6),"")="EMERG",_xlpm.pri,AND(NOT(_xlpm.em),LEFT(_xlpm.to,2)="T-",ISNUMBER(MATCH(MID(_xlpm.to,3,99),Equip_List,0)),ISNA(MATCH(_xlpm.to,Equip_List,0))),IF(_xlpm.pri,MID(_xlpm.to,3,99),_xlpm.to)))</f>
        <v/>
      </c>
      <c r="CK82" s="829" t="str" cm="1">
        <f t="array" ref="CK82">IF($CJ82="","",IF(IFERROR(INDEX(_xlfn.ANCHORARRAY($BE$4),ROW()-4,6),"")="EMERG","E",IF($CJ82&lt;&gt;$D82&amp;"","P","N")))</f>
        <v/>
      </c>
    </row>
    <row r="83" spans="1:89" ht="15" customHeight="1" x14ac:dyDescent="0.35">
      <c r="A83" s="821" t="str">
        <f t="shared" si="27"/>
        <v/>
      </c>
      <c r="B83" s="821" t="str" cm="1">
        <f t="array" ref="B83">IFERROR(IF(INDEX(_xlfn.ANCHORARRAY($BE$4),ROW()-4,2)="","","F-"&amp;INDEX(_xlfn.ANCHORARRAY($BE$4),ROW()-4,2)&amp;IF(IFERROR(INDEX(_xlfn.ANCHORARRAY($BE$4),ROW()-4,6),"")="EMERG","-E","")),"")</f>
        <v/>
      </c>
      <c r="C83" s="821" t="str" cm="1">
        <f t="array" ref="C83">IFERROR(IF($B83="","",INDEX(_xlfn.ANCHORARRAY($BE$4),ROW()-4,1)),"")</f>
        <v/>
      </c>
      <c r="D83" s="821" t="str" cm="1">
        <f t="array" ref="D83">IFERROR(IF($B83="","",INDEX(_xlfn.ANCHORARRAY($BE$4),ROW()-4,2)),"")</f>
        <v/>
      </c>
      <c r="E83" s="806" t="str" cm="1">
        <f t="array" ref="E83">IFERROR(IF($B83="","",INDEX(_xlfn.ANCHORARRAY($BE$4),ROW()-4,3)),"")</f>
        <v/>
      </c>
      <c r="F83" s="822" t="str" cm="1">
        <f t="array" ref="F83">IFERROR(IF($B83="","",INDEX(_xlfn.ANCHORARRAY($BE$4),ROW()-4,4)),"")</f>
        <v/>
      </c>
      <c r="G83" s="823" t="str" cm="1">
        <f t="array" ref="G83">IFERROR(IF($B83="","",INDEX(_xlfn.ANCHORARRAY($BE$4),ROW()-4,5)),"")</f>
        <v/>
      </c>
      <c r="H83" s="824" t="str" cm="1">
        <f t="array" ref="H83">IF($CJ83="","",_xlfn.LET(_xlpm.v,_xlfn.XLOOKUP($CJ83,Equip_List,IF($CK83="E",Equip_EmLen,IF($CK83="P",Equip_XfPriLen,Equip_FdrLen)),""),IF(_xlpm.v="","",_xlpm.v)))</f>
        <v/>
      </c>
      <c r="I83" s="806" t="str">
        <f t="shared" si="20"/>
        <v/>
      </c>
      <c r="J83" s="820"/>
      <c r="K83" s="806" t="str">
        <f>_xlfn.LET(_xlpm.k,IF($I83="","",IF(COUNTIF(UPS!$B$57:$B$64,$C83&amp;"")&gt;0,1.25*MAX($I83,N(_xlfn.XLOOKUP($C83&amp;"",UPS!$B$57:$B$64,UPS!$M$57:$M$64,0))),IF(COUNTIF(UPS!$B$57:$B$64,$D83&amp;"")&gt;0,1.25*MAX($I83,N(_xlfn.XLOOKUP($D83&amp;"",UPS!$B$57:$B$64,UPS!$Q$57:$Q$64,0))),$I83*IF(OR(UPPER($J83)="Y",LEFT($C83,2)="T-",LEFT($D83,2)="T-"),1.25,1)))),IF(_xlpm.k="","",MAX(_xlpm.k,N(IFERROR(_xlfn.XLOOKUP($D83&amp;"",Dashboard!$A$101:$A$350,Dashboard!$O$101:$O$350,0),0)))))</f>
        <v/>
      </c>
      <c r="L83" s="825" t="str">
        <f>IF($CJ83="","",_xlfn.LET(_xlpm.v,UPPER(TRIM(_xlfn.XLOOKUP($CJ83,Equip_List,Equip_FdrMat,"")&amp;"")),IF(_xlpm.v="",UPPER(TRIM(Cfg_FeederMat&amp;"")),_xlpm.v)))</f>
        <v/>
      </c>
      <c r="M83" s="825" t="str">
        <f>IF($CJ83="","",_xlfn.LET(_xlpm.v,TRIM(_xlfn.XLOOKUP($CJ83,Equip_List,Equip_FdrRace,"")&amp;""),IF(_xlpm.v="",Cfg_Conduit&amp;"",_xlpm.v)))</f>
        <v/>
      </c>
      <c r="N83" s="825" t="str">
        <f>IF($CJ83="","",IF(UPPER(TRIM(_xlfn.XLOOKUP($CJ83,Equip_List,Equip_FdrExist,"")&amp;""))="Y","Y",""))</f>
        <v/>
      </c>
      <c r="O83" s="823" t="str">
        <f t="shared" si="28"/>
        <v/>
      </c>
      <c r="P83" s="821" t="str">
        <f t="shared" si="29"/>
        <v/>
      </c>
      <c r="Q83" s="821" t="str">
        <f t="shared" si="30"/>
        <v/>
      </c>
      <c r="R83" s="822" t="str" cm="1">
        <f t="array" ref="R83">IF(K83="","",INDEX(OCPD_List,MATCH(TRUE,OCPD_List&gt;=K83,0)))</f>
        <v/>
      </c>
      <c r="S83" s="821" t="str">
        <f t="shared" si="31"/>
        <v/>
      </c>
      <c r="T83" s="826" t="str">
        <f t="shared" si="21"/>
        <v/>
      </c>
      <c r="U83" s="826" t="str">
        <f t="shared" si="22"/>
        <v/>
      </c>
      <c r="V83" s="827" t="str">
        <f t="shared" si="23"/>
        <v/>
      </c>
      <c r="W83" s="828"/>
      <c r="X83" s="819"/>
      <c r="Y83" s="820"/>
      <c r="Z83" s="820"/>
      <c r="AA83" s="820"/>
      <c r="BN83" s="832" t="str">
        <f>IF($B83="","",IFERROR(_xlfn.XLOOKUP($D83,Dashboard!$A$101:$A$350,Dashboard!$C$101:$C$350),""))</f>
        <v/>
      </c>
      <c r="BO83" s="832" t="str">
        <f t="shared" si="24"/>
        <v/>
      </c>
      <c r="BP83" s="832" t="str" cm="1">
        <f t="array" ref="BP83">IF(OR($B83="",$R83="",NOT(ISNUMBER($R83))),"",IF(AND($BV83="AL",$G83=1),"",_xlfn.LET(_xlpm.codes,IF($BV83="AL",Std_Al3_Code,IF($G83=1,Std_Cu1_Code,Std_Cu3_Code)),_xlpm.amps,IFERROR(--SUBSTITUTE(_xlpm.codes&amp;"","N",""),""),_xlpm.a,MIN(IF(ISNUMBER(_xlpm.amps),IF(_xlpm.amps&gt;=$R83,_xlpm.amps,""),"")),_xlpm.k,IF(_xlpm.a=0,$R83,_xlpm.a),IF($BO83="Y",TEXT(_xlpm.k,"0")&amp;"N",_xlpm.k))))</f>
        <v/>
      </c>
      <c r="BQ83" s="832" t="str" cm="1">
        <f t="array" ref="BQ83">IF($BP83="","",IFERROR(IF($BV83="AL",_xlfn.XLOOKUP($BP83,Std_Al3_Code,INDEX(Std_Al3_Table,0,3)),IF($G83=1,_xlfn.XLOOKUP($BP83,Std_Cu1_Code,INDEX(Std_Cu1_Table,0,3)),_xlfn.XLOOKUP($BP83,Std_Cu3_Code,INDEX(Std_Cu3_Table,0,3)))),""))</f>
        <v/>
      </c>
      <c r="BR83" s="832" t="str" cm="1">
        <f t="array" ref="BR83">IF($BP83="","",IFERROR(IF($BV83="AL",_xlfn.XLOOKUP($BP83,Std_Al3_Code,INDEX(Std_Al3_Table,0,4)),IF($G83=1,_xlfn.XLOOKUP($BP83,Std_Cu1_Code,INDEX(Std_Cu1_Table,0,4)),_xlfn.XLOOKUP($BP83,Std_Cu3_Code,INDEX(Std_Cu3_Table,0,4)))),""))</f>
        <v/>
      </c>
      <c r="BS83" s="832" t="str" cm="1">
        <f t="array" ref="BS83">IF($BP83="","",IFERROR(IF($BV83="AL",_xlfn.XLOOKUP($BP83,Std_Al3_Code,INDEX(Std_Al3_Table,0,5)),IF($G83=1,_xlfn.XLOOKUP($BP83,Std_Cu1_Code,INDEX(Std_Cu1_Table,0,5)),_xlfn.XLOOKUP($BP83,Std_Cu3_Code,INDEX(Std_Cu3_Table,0,5)))),""))</f>
        <v/>
      </c>
      <c r="BT83" s="832" t="str">
        <f t="shared" si="25"/>
        <v/>
      </c>
      <c r="BU83" s="832" t="str" cm="1">
        <f t="array" ref="BU83">IF($BP83="","",IFERROR(IF($BV83="AL",_xlfn.XLOOKUP($BP83,Std_Al3_Code,INDEX(Std_Al3_Table,0,2)),IF($G83=1,_xlfn.XLOOKUP($BP83,Std_Cu1_Code,INDEX(Std_Cu1_Table,0,2)),_xlfn.XLOOKUP($BP83,Std_Cu3_Code,INDEX(Std_Cu3_Table,0,2)))),""))</f>
        <v/>
      </c>
      <c r="BV83" s="829" t="str">
        <f t="shared" si="26"/>
        <v/>
      </c>
      <c r="BW83" s="829" t="str">
        <f t="shared" si="32"/>
        <v/>
      </c>
      <c r="BX83" s="829" t="str" cm="1">
        <f t="array" ref="BX83">IF(OR($BP83="",$H83="",$I83="",$F83="",$BW83=""),"",IFERROR(_xlfn.LET(_xlpm.codes,IF($BV83="AL",Std_Al3_Code,IF($G83=1,Std_Cu1_Code,Std_Cu3_Code)),_xlpm.tbl,IF($BV83="AL",Std_Al3_Table,IF($G83=1,Std_Cu1_Table,Std_Cu3_Table)),_xlpm.i,MATCH($BP83,_xlpm.codes,0),_xlpm.idx,_xlfn.SEQUENCE(ROWS(_xlpm.codes)),_xlpm.cnd,INDEX(_xlpm.tbl,0,4),_xlpm.sts,INDEX(_xlpm.tbl,0,2),_xlpm.sz,IFERROR(_xlfn.TEXTBEFORE(_xlfn.TEXTAFTER(_xlpm.cnd,"#"),","),IFERROR(_xlfn.TEXTAFTER(_xlpm.cnd,"#"),"")),_xlpm.cm,IFERROR(_xlfn.XLOOKUP(TRIM(_xlpm.sz),Ampacity_Size,Ampacity_CM),0),_xlpm.mult,IF($G83=3,SQRT3,2),_xlpm.kk,IF($BV83="AL",K_Al,K_Cu),_xlpm.vd,IF(_xlpm.cm*IF(ISNUMBER(_xlpm.sts),_xlpm.sts,0)=0,9,_xlpm.mult*_xlpm.kk*$I83*$H83/(_xlpm.cm*_xlpm.sts)/$F83),_xlpm.hasN,--(RIGHT(_xlpm.codes&amp;"",1)="N"),_xlpm.wantN,--(RIGHT($BP83&amp;"",1)="N"),_xlpm.ok,(_xlpm.idx&gt;=_xlpm.i)*(_xlpm.vd&lt;=Cfg_VDFeeder)*(_xlpm.cm&gt;0)*ISNUMBER(_xlpm.sts)*(_xlpm.hasN=_xlpm.wantN),_xlpm.m,MIN(IF(_xlpm.ok=1,_xlpm.idx)),INDEX(_xlpm.codes,IF(_xlpm.m=0,_xlpm.i,_xlpm.m))),""))</f>
        <v/>
      </c>
      <c r="BY83" s="829" t="str" cm="1">
        <f t="array" ref="BY83">IF($BP83="","",IF($BX83="",$BU83,IFERROR(IF($BV83="AL",_xlfn.XLOOKUP($BX83,Std_Al3_Code,INDEX(Std_Al3_Table,0,2)),IF($G83=1,_xlfn.XLOOKUP($BX83,Std_Cu1_Code,INDEX(Std_Cu1_Table,0,2)),_xlfn.XLOOKUP($BX83,Std_Cu3_Code,INDEX(Std_Cu3_Table,0,2)))),"")))</f>
        <v/>
      </c>
      <c r="BZ83" s="829" t="str" cm="1">
        <f t="array" ref="BZ83">IF($BP83="","",IF($BX83="",$BR83,IFERROR(IF($BV83="AL",_xlfn.XLOOKUP($BX83,Std_Al3_Code,INDEX(Std_Al3_Table,0,4)),IF($G83=1,_xlfn.XLOOKUP($BX83,Std_Cu1_Code,INDEX(Std_Cu1_Table,0,4)),_xlfn.XLOOKUP($BX83,Std_Cu3_Code,INDEX(Std_Cu3_Table,0,4)))),"")))</f>
        <v/>
      </c>
      <c r="CA83" s="829" t="str" cm="1">
        <f t="array" ref="CA83">IF($BP83="","",IF($BX83="",$BQ83,IFERROR(IF($BV83="AL",_xlfn.XLOOKUP($BX83,Std_Al3_Code,INDEX(Std_Al3_Table,0,3)),IF($G83=1,_xlfn.XLOOKUP($BX83,Std_Cu1_Code,INDEX(Std_Cu1_Table,0,3)),_xlfn.XLOOKUP($BX83,Std_Cu3_Code,INDEX(Std_Cu3_Table,0,3)))),"")))</f>
        <v/>
      </c>
      <c r="CB83" s="829" t="str" cm="1">
        <f t="array" ref="CB83">IF($BP83="","",IF($BX83="",$BS83,IFERROR(IF($BV83="AL",_xlfn.XLOOKUP($BX83,Std_Al3_Code,INDEX(Std_Al3_Table,0,5)),IF($G83=1,_xlfn.XLOOKUP($BX83,Std_Cu1_Code,INDEX(Std_Cu1_Table,0,5)),_xlfn.XLOOKUP($BX83,Std_Cu3_Code,INDEX(Std_Cu3_Table,0,5)))),"")))</f>
        <v/>
      </c>
      <c r="CC83" s="829" t="str">
        <f t="shared" si="33"/>
        <v/>
      </c>
      <c r="CD83" s="829" t="str">
        <f t="shared" si="34"/>
        <v/>
      </c>
      <c r="CE83" s="829" t="str">
        <f t="shared" si="35"/>
        <v/>
      </c>
      <c r="CF83" s="829" t="str">
        <f t="shared" si="36"/>
        <v/>
      </c>
      <c r="CG83" s="829" t="str">
        <f t="shared" si="37"/>
        <v/>
      </c>
      <c r="CH83" s="829" t="str">
        <f t="shared" si="38"/>
        <v/>
      </c>
      <c r="CI83" s="829" t="str">
        <f t="shared" si="39"/>
        <v/>
      </c>
      <c r="CJ83" s="829" t="str" cm="1">
        <f t="array" ref="CJ83">IF($B83="","",_xlfn.LET(_xlpm.to,$D83&amp;"",_xlpm.em,IFERROR(INDEX(_xlfn.ANCHORARRAY($BE$4),ROW()-4,6),"")="EMERG",_xlpm.pri,AND(NOT(_xlpm.em),LEFT(_xlpm.to,2)="T-",ISNUMBER(MATCH(MID(_xlpm.to,3,99),Equip_List,0)),ISNA(MATCH(_xlpm.to,Equip_List,0))),IF(_xlpm.pri,MID(_xlpm.to,3,99),_xlpm.to)))</f>
        <v/>
      </c>
      <c r="CK83" s="829" t="str" cm="1">
        <f t="array" ref="CK83">IF($CJ83="","",IF(IFERROR(INDEX(_xlfn.ANCHORARRAY($BE$4),ROW()-4,6),"")="EMERG","E",IF($CJ83&lt;&gt;$D83&amp;"","P","N")))</f>
        <v/>
      </c>
    </row>
    <row r="84" spans="1:89" ht="15" customHeight="1" x14ac:dyDescent="0.35">
      <c r="A84" s="821" t="str">
        <f t="shared" si="27"/>
        <v/>
      </c>
      <c r="B84" s="821" t="str" cm="1">
        <f t="array" ref="B84">IFERROR(IF(INDEX(_xlfn.ANCHORARRAY($BE$4),ROW()-4,2)="","","F-"&amp;INDEX(_xlfn.ANCHORARRAY($BE$4),ROW()-4,2)&amp;IF(IFERROR(INDEX(_xlfn.ANCHORARRAY($BE$4),ROW()-4,6),"")="EMERG","-E","")),"")</f>
        <v/>
      </c>
      <c r="C84" s="821" t="str" cm="1">
        <f t="array" ref="C84">IFERROR(IF($B84="","",INDEX(_xlfn.ANCHORARRAY($BE$4),ROW()-4,1)),"")</f>
        <v/>
      </c>
      <c r="D84" s="821" t="str" cm="1">
        <f t="array" ref="D84">IFERROR(IF($B84="","",INDEX(_xlfn.ANCHORARRAY($BE$4),ROW()-4,2)),"")</f>
        <v/>
      </c>
      <c r="E84" s="806" t="str" cm="1">
        <f t="array" ref="E84">IFERROR(IF($B84="","",INDEX(_xlfn.ANCHORARRAY($BE$4),ROW()-4,3)),"")</f>
        <v/>
      </c>
      <c r="F84" s="822" t="str" cm="1">
        <f t="array" ref="F84">IFERROR(IF($B84="","",INDEX(_xlfn.ANCHORARRAY($BE$4),ROW()-4,4)),"")</f>
        <v/>
      </c>
      <c r="G84" s="823" t="str" cm="1">
        <f t="array" ref="G84">IFERROR(IF($B84="","",INDEX(_xlfn.ANCHORARRAY($BE$4),ROW()-4,5)),"")</f>
        <v/>
      </c>
      <c r="H84" s="824" t="str" cm="1">
        <f t="array" ref="H84">IF($CJ84="","",_xlfn.LET(_xlpm.v,_xlfn.XLOOKUP($CJ84,Equip_List,IF($CK84="E",Equip_EmLen,IF($CK84="P",Equip_XfPriLen,Equip_FdrLen)),""),IF(_xlpm.v="","",_xlpm.v)))</f>
        <v/>
      </c>
      <c r="I84" s="806" t="str">
        <f t="shared" si="20"/>
        <v/>
      </c>
      <c r="J84" s="820"/>
      <c r="K84" s="806" t="str">
        <f>_xlfn.LET(_xlpm.k,IF($I84="","",IF(COUNTIF(UPS!$B$57:$B$64,$C84&amp;"")&gt;0,1.25*MAX($I84,N(_xlfn.XLOOKUP($C84&amp;"",UPS!$B$57:$B$64,UPS!$M$57:$M$64,0))),IF(COUNTIF(UPS!$B$57:$B$64,$D84&amp;"")&gt;0,1.25*MAX($I84,N(_xlfn.XLOOKUP($D84&amp;"",UPS!$B$57:$B$64,UPS!$Q$57:$Q$64,0))),$I84*IF(OR(UPPER($J84)="Y",LEFT($C84,2)="T-",LEFT($D84,2)="T-"),1.25,1)))),IF(_xlpm.k="","",MAX(_xlpm.k,N(IFERROR(_xlfn.XLOOKUP($D84&amp;"",Dashboard!$A$101:$A$350,Dashboard!$O$101:$O$350,0),0)))))</f>
        <v/>
      </c>
      <c r="L84" s="825" t="str">
        <f>IF($CJ84="","",_xlfn.LET(_xlpm.v,UPPER(TRIM(_xlfn.XLOOKUP($CJ84,Equip_List,Equip_FdrMat,"")&amp;"")),IF(_xlpm.v="",UPPER(TRIM(Cfg_FeederMat&amp;"")),_xlpm.v)))</f>
        <v/>
      </c>
      <c r="M84" s="825" t="str">
        <f>IF($CJ84="","",_xlfn.LET(_xlpm.v,TRIM(_xlfn.XLOOKUP($CJ84,Equip_List,Equip_FdrRace,"")&amp;""),IF(_xlpm.v="",Cfg_Conduit&amp;"",_xlpm.v)))</f>
        <v/>
      </c>
      <c r="N84" s="825" t="str">
        <f>IF($CJ84="","",IF(UPPER(TRIM(_xlfn.XLOOKUP($CJ84,Equip_List,Equip_FdrExist,"")&amp;""))="Y","Y",""))</f>
        <v/>
      </c>
      <c r="O84" s="823" t="str">
        <f t="shared" si="28"/>
        <v/>
      </c>
      <c r="P84" s="821" t="str">
        <f t="shared" si="29"/>
        <v/>
      </c>
      <c r="Q84" s="821" t="str">
        <f t="shared" si="30"/>
        <v/>
      </c>
      <c r="R84" s="822" t="str" cm="1">
        <f t="array" ref="R84">IF(K84="","",INDEX(OCPD_List,MATCH(TRUE,OCPD_List&gt;=K84,0)))</f>
        <v/>
      </c>
      <c r="S84" s="821" t="str">
        <f t="shared" si="31"/>
        <v/>
      </c>
      <c r="T84" s="826" t="str">
        <f t="shared" si="21"/>
        <v/>
      </c>
      <c r="U84" s="826" t="str">
        <f t="shared" si="22"/>
        <v/>
      </c>
      <c r="V84" s="827" t="str">
        <f t="shared" si="23"/>
        <v/>
      </c>
      <c r="W84" s="828"/>
      <c r="X84" s="819"/>
      <c r="Y84" s="820"/>
      <c r="Z84" s="820"/>
      <c r="AA84" s="820"/>
      <c r="BN84" s="832" t="str">
        <f>IF($B84="","",IFERROR(_xlfn.XLOOKUP($D84,Dashboard!$A$101:$A$350,Dashboard!$C$101:$C$350),""))</f>
        <v/>
      </c>
      <c r="BO84" s="832" t="str">
        <f t="shared" si="24"/>
        <v/>
      </c>
      <c r="BP84" s="832" t="str" cm="1">
        <f t="array" ref="BP84">IF(OR($B84="",$R84="",NOT(ISNUMBER($R84))),"",IF(AND($BV84="AL",$G84=1),"",_xlfn.LET(_xlpm.codes,IF($BV84="AL",Std_Al3_Code,IF($G84=1,Std_Cu1_Code,Std_Cu3_Code)),_xlpm.amps,IFERROR(--SUBSTITUTE(_xlpm.codes&amp;"","N",""),""),_xlpm.a,MIN(IF(ISNUMBER(_xlpm.amps),IF(_xlpm.amps&gt;=$R84,_xlpm.amps,""),"")),_xlpm.k,IF(_xlpm.a=0,$R84,_xlpm.a),IF($BO84="Y",TEXT(_xlpm.k,"0")&amp;"N",_xlpm.k))))</f>
        <v/>
      </c>
      <c r="BQ84" s="832" t="str" cm="1">
        <f t="array" ref="BQ84">IF($BP84="","",IFERROR(IF($BV84="AL",_xlfn.XLOOKUP($BP84,Std_Al3_Code,INDEX(Std_Al3_Table,0,3)),IF($G84=1,_xlfn.XLOOKUP($BP84,Std_Cu1_Code,INDEX(Std_Cu1_Table,0,3)),_xlfn.XLOOKUP($BP84,Std_Cu3_Code,INDEX(Std_Cu3_Table,0,3)))),""))</f>
        <v/>
      </c>
      <c r="BR84" s="832" t="str" cm="1">
        <f t="array" ref="BR84">IF($BP84="","",IFERROR(IF($BV84="AL",_xlfn.XLOOKUP($BP84,Std_Al3_Code,INDEX(Std_Al3_Table,0,4)),IF($G84=1,_xlfn.XLOOKUP($BP84,Std_Cu1_Code,INDEX(Std_Cu1_Table,0,4)),_xlfn.XLOOKUP($BP84,Std_Cu3_Code,INDEX(Std_Cu3_Table,0,4)))),""))</f>
        <v/>
      </c>
      <c r="BS84" s="832" t="str" cm="1">
        <f t="array" ref="BS84">IF($BP84="","",IFERROR(IF($BV84="AL",_xlfn.XLOOKUP($BP84,Std_Al3_Code,INDEX(Std_Al3_Table,0,5)),IF($G84=1,_xlfn.XLOOKUP($BP84,Std_Cu1_Code,INDEX(Std_Cu1_Table,0,5)),_xlfn.XLOOKUP($BP84,Std_Cu3_Code,INDEX(Std_Cu3_Table,0,5)))),""))</f>
        <v/>
      </c>
      <c r="BT84" s="832" t="str">
        <f t="shared" si="25"/>
        <v/>
      </c>
      <c r="BU84" s="832" t="str" cm="1">
        <f t="array" ref="BU84">IF($BP84="","",IFERROR(IF($BV84="AL",_xlfn.XLOOKUP($BP84,Std_Al3_Code,INDEX(Std_Al3_Table,0,2)),IF($G84=1,_xlfn.XLOOKUP($BP84,Std_Cu1_Code,INDEX(Std_Cu1_Table,0,2)),_xlfn.XLOOKUP($BP84,Std_Cu3_Code,INDEX(Std_Cu3_Table,0,2)))),""))</f>
        <v/>
      </c>
      <c r="BV84" s="829" t="str">
        <f t="shared" si="26"/>
        <v/>
      </c>
      <c r="BW84" s="829" t="str">
        <f t="shared" si="32"/>
        <v/>
      </c>
      <c r="BX84" s="829" t="str" cm="1">
        <f t="array" ref="BX84">IF(OR($BP84="",$H84="",$I84="",$F84="",$BW84=""),"",IFERROR(_xlfn.LET(_xlpm.codes,IF($BV84="AL",Std_Al3_Code,IF($G84=1,Std_Cu1_Code,Std_Cu3_Code)),_xlpm.tbl,IF($BV84="AL",Std_Al3_Table,IF($G84=1,Std_Cu1_Table,Std_Cu3_Table)),_xlpm.i,MATCH($BP84,_xlpm.codes,0),_xlpm.idx,_xlfn.SEQUENCE(ROWS(_xlpm.codes)),_xlpm.cnd,INDEX(_xlpm.tbl,0,4),_xlpm.sts,INDEX(_xlpm.tbl,0,2),_xlpm.sz,IFERROR(_xlfn.TEXTBEFORE(_xlfn.TEXTAFTER(_xlpm.cnd,"#"),","),IFERROR(_xlfn.TEXTAFTER(_xlpm.cnd,"#"),"")),_xlpm.cm,IFERROR(_xlfn.XLOOKUP(TRIM(_xlpm.sz),Ampacity_Size,Ampacity_CM),0),_xlpm.mult,IF($G84=3,SQRT3,2),_xlpm.kk,IF($BV84="AL",K_Al,K_Cu),_xlpm.vd,IF(_xlpm.cm*IF(ISNUMBER(_xlpm.sts),_xlpm.sts,0)=0,9,_xlpm.mult*_xlpm.kk*$I84*$H84/(_xlpm.cm*_xlpm.sts)/$F84),_xlpm.hasN,--(RIGHT(_xlpm.codes&amp;"",1)="N"),_xlpm.wantN,--(RIGHT($BP84&amp;"",1)="N"),_xlpm.ok,(_xlpm.idx&gt;=_xlpm.i)*(_xlpm.vd&lt;=Cfg_VDFeeder)*(_xlpm.cm&gt;0)*ISNUMBER(_xlpm.sts)*(_xlpm.hasN=_xlpm.wantN),_xlpm.m,MIN(IF(_xlpm.ok=1,_xlpm.idx)),INDEX(_xlpm.codes,IF(_xlpm.m=0,_xlpm.i,_xlpm.m))),""))</f>
        <v/>
      </c>
      <c r="BY84" s="829" t="str" cm="1">
        <f t="array" ref="BY84">IF($BP84="","",IF($BX84="",$BU84,IFERROR(IF($BV84="AL",_xlfn.XLOOKUP($BX84,Std_Al3_Code,INDEX(Std_Al3_Table,0,2)),IF($G84=1,_xlfn.XLOOKUP($BX84,Std_Cu1_Code,INDEX(Std_Cu1_Table,0,2)),_xlfn.XLOOKUP($BX84,Std_Cu3_Code,INDEX(Std_Cu3_Table,0,2)))),"")))</f>
        <v/>
      </c>
      <c r="BZ84" s="829" t="str" cm="1">
        <f t="array" ref="BZ84">IF($BP84="","",IF($BX84="",$BR84,IFERROR(IF($BV84="AL",_xlfn.XLOOKUP($BX84,Std_Al3_Code,INDEX(Std_Al3_Table,0,4)),IF($G84=1,_xlfn.XLOOKUP($BX84,Std_Cu1_Code,INDEX(Std_Cu1_Table,0,4)),_xlfn.XLOOKUP($BX84,Std_Cu3_Code,INDEX(Std_Cu3_Table,0,4)))),"")))</f>
        <v/>
      </c>
      <c r="CA84" s="829" t="str" cm="1">
        <f t="array" ref="CA84">IF($BP84="","",IF($BX84="",$BQ84,IFERROR(IF($BV84="AL",_xlfn.XLOOKUP($BX84,Std_Al3_Code,INDEX(Std_Al3_Table,0,3)),IF($G84=1,_xlfn.XLOOKUP($BX84,Std_Cu1_Code,INDEX(Std_Cu1_Table,0,3)),_xlfn.XLOOKUP($BX84,Std_Cu3_Code,INDEX(Std_Cu3_Table,0,3)))),"")))</f>
        <v/>
      </c>
      <c r="CB84" s="829" t="str" cm="1">
        <f t="array" ref="CB84">IF($BP84="","",IF($BX84="",$BS84,IFERROR(IF($BV84="AL",_xlfn.XLOOKUP($BX84,Std_Al3_Code,INDEX(Std_Al3_Table,0,5)),IF($G84=1,_xlfn.XLOOKUP($BX84,Std_Cu1_Code,INDEX(Std_Cu1_Table,0,5)),_xlfn.XLOOKUP($BX84,Std_Cu3_Code,INDEX(Std_Cu3_Table,0,5)))),"")))</f>
        <v/>
      </c>
      <c r="CC84" s="829" t="str">
        <f t="shared" si="33"/>
        <v/>
      </c>
      <c r="CD84" s="829" t="str">
        <f t="shared" si="34"/>
        <v/>
      </c>
      <c r="CE84" s="829" t="str">
        <f t="shared" si="35"/>
        <v/>
      </c>
      <c r="CF84" s="829" t="str">
        <f t="shared" si="36"/>
        <v/>
      </c>
      <c r="CG84" s="829" t="str">
        <f t="shared" si="37"/>
        <v/>
      </c>
      <c r="CH84" s="829" t="str">
        <f t="shared" si="38"/>
        <v/>
      </c>
      <c r="CI84" s="829" t="str">
        <f t="shared" si="39"/>
        <v/>
      </c>
      <c r="CJ84" s="829" t="str" cm="1">
        <f t="array" ref="CJ84">IF($B84="","",_xlfn.LET(_xlpm.to,$D84&amp;"",_xlpm.em,IFERROR(INDEX(_xlfn.ANCHORARRAY($BE$4),ROW()-4,6),"")="EMERG",_xlpm.pri,AND(NOT(_xlpm.em),LEFT(_xlpm.to,2)="T-",ISNUMBER(MATCH(MID(_xlpm.to,3,99),Equip_List,0)),ISNA(MATCH(_xlpm.to,Equip_List,0))),IF(_xlpm.pri,MID(_xlpm.to,3,99),_xlpm.to)))</f>
        <v/>
      </c>
      <c r="CK84" s="829" t="str" cm="1">
        <f t="array" ref="CK84">IF($CJ84="","",IF(IFERROR(INDEX(_xlfn.ANCHORARRAY($BE$4),ROW()-4,6),"")="EMERG","E",IF($CJ84&lt;&gt;$D84&amp;"","P","N")))</f>
        <v/>
      </c>
    </row>
    <row r="85" spans="1:89" ht="15" customHeight="1" x14ac:dyDescent="0.35">
      <c r="A85" s="821" t="str">
        <f t="shared" si="27"/>
        <v/>
      </c>
      <c r="B85" s="821" t="str" cm="1">
        <f t="array" ref="B85">IFERROR(IF(INDEX(_xlfn.ANCHORARRAY($BE$4),ROW()-4,2)="","","F-"&amp;INDEX(_xlfn.ANCHORARRAY($BE$4),ROW()-4,2)&amp;IF(IFERROR(INDEX(_xlfn.ANCHORARRAY($BE$4),ROW()-4,6),"")="EMERG","-E","")),"")</f>
        <v/>
      </c>
      <c r="C85" s="821" t="str" cm="1">
        <f t="array" ref="C85">IFERROR(IF($B85="","",INDEX(_xlfn.ANCHORARRAY($BE$4),ROW()-4,1)),"")</f>
        <v/>
      </c>
      <c r="D85" s="821" t="str" cm="1">
        <f t="array" ref="D85">IFERROR(IF($B85="","",INDEX(_xlfn.ANCHORARRAY($BE$4),ROW()-4,2)),"")</f>
        <v/>
      </c>
      <c r="E85" s="806" t="str" cm="1">
        <f t="array" ref="E85">IFERROR(IF($B85="","",INDEX(_xlfn.ANCHORARRAY($BE$4),ROW()-4,3)),"")</f>
        <v/>
      </c>
      <c r="F85" s="822" t="str" cm="1">
        <f t="array" ref="F85">IFERROR(IF($B85="","",INDEX(_xlfn.ANCHORARRAY($BE$4),ROW()-4,4)),"")</f>
        <v/>
      </c>
      <c r="G85" s="823" t="str" cm="1">
        <f t="array" ref="G85">IFERROR(IF($B85="","",INDEX(_xlfn.ANCHORARRAY($BE$4),ROW()-4,5)),"")</f>
        <v/>
      </c>
      <c r="H85" s="824" t="str" cm="1">
        <f t="array" ref="H85">IF($CJ85="","",_xlfn.LET(_xlpm.v,_xlfn.XLOOKUP($CJ85,Equip_List,IF($CK85="E",Equip_EmLen,IF($CK85="P",Equip_XfPriLen,Equip_FdrLen)),""),IF(_xlpm.v="","",_xlpm.v)))</f>
        <v/>
      </c>
      <c r="I85" s="806" t="str">
        <f t="shared" si="20"/>
        <v/>
      </c>
      <c r="J85" s="820"/>
      <c r="K85" s="806" t="str">
        <f>_xlfn.LET(_xlpm.k,IF($I85="","",IF(COUNTIF(UPS!$B$57:$B$64,$C85&amp;"")&gt;0,1.25*MAX($I85,N(_xlfn.XLOOKUP($C85&amp;"",UPS!$B$57:$B$64,UPS!$M$57:$M$64,0))),IF(COUNTIF(UPS!$B$57:$B$64,$D85&amp;"")&gt;0,1.25*MAX($I85,N(_xlfn.XLOOKUP($D85&amp;"",UPS!$B$57:$B$64,UPS!$Q$57:$Q$64,0))),$I85*IF(OR(UPPER($J85)="Y",LEFT($C85,2)="T-",LEFT($D85,2)="T-"),1.25,1)))),IF(_xlpm.k="","",MAX(_xlpm.k,N(IFERROR(_xlfn.XLOOKUP($D85&amp;"",Dashboard!$A$101:$A$350,Dashboard!$O$101:$O$350,0),0)))))</f>
        <v/>
      </c>
      <c r="L85" s="825" t="str">
        <f>IF($CJ85="","",_xlfn.LET(_xlpm.v,UPPER(TRIM(_xlfn.XLOOKUP($CJ85,Equip_List,Equip_FdrMat,"")&amp;"")),IF(_xlpm.v="",UPPER(TRIM(Cfg_FeederMat&amp;"")),_xlpm.v)))</f>
        <v/>
      </c>
      <c r="M85" s="825" t="str">
        <f>IF($CJ85="","",_xlfn.LET(_xlpm.v,TRIM(_xlfn.XLOOKUP($CJ85,Equip_List,Equip_FdrRace,"")&amp;""),IF(_xlpm.v="",Cfg_Conduit&amp;"",_xlpm.v)))</f>
        <v/>
      </c>
      <c r="N85" s="825" t="str">
        <f>IF($CJ85="","",IF(UPPER(TRIM(_xlfn.XLOOKUP($CJ85,Equip_List,Equip_FdrExist,"")&amp;""))="Y","Y",""))</f>
        <v/>
      </c>
      <c r="O85" s="823" t="str">
        <f t="shared" si="28"/>
        <v/>
      </c>
      <c r="P85" s="821" t="str">
        <f t="shared" si="29"/>
        <v/>
      </c>
      <c r="Q85" s="821" t="str">
        <f t="shared" si="30"/>
        <v/>
      </c>
      <c r="R85" s="822" t="str" cm="1">
        <f t="array" ref="R85">IF(K85="","",INDEX(OCPD_List,MATCH(TRUE,OCPD_List&gt;=K85,0)))</f>
        <v/>
      </c>
      <c r="S85" s="821" t="str">
        <f t="shared" si="31"/>
        <v/>
      </c>
      <c r="T85" s="826" t="str">
        <f t="shared" si="21"/>
        <v/>
      </c>
      <c r="U85" s="826" t="str">
        <f t="shared" si="22"/>
        <v/>
      </c>
      <c r="V85" s="827" t="str">
        <f t="shared" si="23"/>
        <v/>
      </c>
      <c r="W85" s="828"/>
      <c r="X85" s="819"/>
      <c r="Y85" s="820"/>
      <c r="Z85" s="820"/>
      <c r="AA85" s="820"/>
      <c r="BN85" s="832" t="str">
        <f>IF($B85="","",IFERROR(_xlfn.XLOOKUP($D85,Dashboard!$A$101:$A$350,Dashboard!$C$101:$C$350),""))</f>
        <v/>
      </c>
      <c r="BO85" s="832" t="str">
        <f t="shared" si="24"/>
        <v/>
      </c>
      <c r="BP85" s="832" t="str" cm="1">
        <f t="array" ref="BP85">IF(OR($B85="",$R85="",NOT(ISNUMBER($R85))),"",IF(AND($BV85="AL",$G85=1),"",_xlfn.LET(_xlpm.codes,IF($BV85="AL",Std_Al3_Code,IF($G85=1,Std_Cu1_Code,Std_Cu3_Code)),_xlpm.amps,IFERROR(--SUBSTITUTE(_xlpm.codes&amp;"","N",""),""),_xlpm.a,MIN(IF(ISNUMBER(_xlpm.amps),IF(_xlpm.amps&gt;=$R85,_xlpm.amps,""),"")),_xlpm.k,IF(_xlpm.a=0,$R85,_xlpm.a),IF($BO85="Y",TEXT(_xlpm.k,"0")&amp;"N",_xlpm.k))))</f>
        <v/>
      </c>
      <c r="BQ85" s="832" t="str" cm="1">
        <f t="array" ref="BQ85">IF($BP85="","",IFERROR(IF($BV85="AL",_xlfn.XLOOKUP($BP85,Std_Al3_Code,INDEX(Std_Al3_Table,0,3)),IF($G85=1,_xlfn.XLOOKUP($BP85,Std_Cu1_Code,INDEX(Std_Cu1_Table,0,3)),_xlfn.XLOOKUP($BP85,Std_Cu3_Code,INDEX(Std_Cu3_Table,0,3)))),""))</f>
        <v/>
      </c>
      <c r="BR85" s="832" t="str" cm="1">
        <f t="array" ref="BR85">IF($BP85="","",IFERROR(IF($BV85="AL",_xlfn.XLOOKUP($BP85,Std_Al3_Code,INDEX(Std_Al3_Table,0,4)),IF($G85=1,_xlfn.XLOOKUP($BP85,Std_Cu1_Code,INDEX(Std_Cu1_Table,0,4)),_xlfn.XLOOKUP($BP85,Std_Cu3_Code,INDEX(Std_Cu3_Table,0,4)))),""))</f>
        <v/>
      </c>
      <c r="BS85" s="832" t="str" cm="1">
        <f t="array" ref="BS85">IF($BP85="","",IFERROR(IF($BV85="AL",_xlfn.XLOOKUP($BP85,Std_Al3_Code,INDEX(Std_Al3_Table,0,5)),IF($G85=1,_xlfn.XLOOKUP($BP85,Std_Cu1_Code,INDEX(Std_Cu1_Table,0,5)),_xlfn.XLOOKUP($BP85,Std_Cu3_Code,INDEX(Std_Cu3_Table,0,5)))),""))</f>
        <v/>
      </c>
      <c r="BT85" s="832" t="str">
        <f t="shared" si="25"/>
        <v/>
      </c>
      <c r="BU85" s="832" t="str" cm="1">
        <f t="array" ref="BU85">IF($BP85="","",IFERROR(IF($BV85="AL",_xlfn.XLOOKUP($BP85,Std_Al3_Code,INDEX(Std_Al3_Table,0,2)),IF($G85=1,_xlfn.XLOOKUP($BP85,Std_Cu1_Code,INDEX(Std_Cu1_Table,0,2)),_xlfn.XLOOKUP($BP85,Std_Cu3_Code,INDEX(Std_Cu3_Table,0,2)))),""))</f>
        <v/>
      </c>
      <c r="BV85" s="829" t="str">
        <f t="shared" si="26"/>
        <v/>
      </c>
      <c r="BW85" s="829" t="str">
        <f t="shared" si="32"/>
        <v/>
      </c>
      <c r="BX85" s="829" t="str" cm="1">
        <f t="array" ref="BX85">IF(OR($BP85="",$H85="",$I85="",$F85="",$BW85=""),"",IFERROR(_xlfn.LET(_xlpm.codes,IF($BV85="AL",Std_Al3_Code,IF($G85=1,Std_Cu1_Code,Std_Cu3_Code)),_xlpm.tbl,IF($BV85="AL",Std_Al3_Table,IF($G85=1,Std_Cu1_Table,Std_Cu3_Table)),_xlpm.i,MATCH($BP85,_xlpm.codes,0),_xlpm.idx,_xlfn.SEQUENCE(ROWS(_xlpm.codes)),_xlpm.cnd,INDEX(_xlpm.tbl,0,4),_xlpm.sts,INDEX(_xlpm.tbl,0,2),_xlpm.sz,IFERROR(_xlfn.TEXTBEFORE(_xlfn.TEXTAFTER(_xlpm.cnd,"#"),","),IFERROR(_xlfn.TEXTAFTER(_xlpm.cnd,"#"),"")),_xlpm.cm,IFERROR(_xlfn.XLOOKUP(TRIM(_xlpm.sz),Ampacity_Size,Ampacity_CM),0),_xlpm.mult,IF($G85=3,SQRT3,2),_xlpm.kk,IF($BV85="AL",K_Al,K_Cu),_xlpm.vd,IF(_xlpm.cm*IF(ISNUMBER(_xlpm.sts),_xlpm.sts,0)=0,9,_xlpm.mult*_xlpm.kk*$I85*$H85/(_xlpm.cm*_xlpm.sts)/$F85),_xlpm.hasN,--(RIGHT(_xlpm.codes&amp;"",1)="N"),_xlpm.wantN,--(RIGHT($BP85&amp;"",1)="N"),_xlpm.ok,(_xlpm.idx&gt;=_xlpm.i)*(_xlpm.vd&lt;=Cfg_VDFeeder)*(_xlpm.cm&gt;0)*ISNUMBER(_xlpm.sts)*(_xlpm.hasN=_xlpm.wantN),_xlpm.m,MIN(IF(_xlpm.ok=1,_xlpm.idx)),INDEX(_xlpm.codes,IF(_xlpm.m=0,_xlpm.i,_xlpm.m))),""))</f>
        <v/>
      </c>
      <c r="BY85" s="829" t="str" cm="1">
        <f t="array" ref="BY85">IF($BP85="","",IF($BX85="",$BU85,IFERROR(IF($BV85="AL",_xlfn.XLOOKUP($BX85,Std_Al3_Code,INDEX(Std_Al3_Table,0,2)),IF($G85=1,_xlfn.XLOOKUP($BX85,Std_Cu1_Code,INDEX(Std_Cu1_Table,0,2)),_xlfn.XLOOKUP($BX85,Std_Cu3_Code,INDEX(Std_Cu3_Table,0,2)))),"")))</f>
        <v/>
      </c>
      <c r="BZ85" s="829" t="str" cm="1">
        <f t="array" ref="BZ85">IF($BP85="","",IF($BX85="",$BR85,IFERROR(IF($BV85="AL",_xlfn.XLOOKUP($BX85,Std_Al3_Code,INDEX(Std_Al3_Table,0,4)),IF($G85=1,_xlfn.XLOOKUP($BX85,Std_Cu1_Code,INDEX(Std_Cu1_Table,0,4)),_xlfn.XLOOKUP($BX85,Std_Cu3_Code,INDEX(Std_Cu3_Table,0,4)))),"")))</f>
        <v/>
      </c>
      <c r="CA85" s="829" t="str" cm="1">
        <f t="array" ref="CA85">IF($BP85="","",IF($BX85="",$BQ85,IFERROR(IF($BV85="AL",_xlfn.XLOOKUP($BX85,Std_Al3_Code,INDEX(Std_Al3_Table,0,3)),IF($G85=1,_xlfn.XLOOKUP($BX85,Std_Cu1_Code,INDEX(Std_Cu1_Table,0,3)),_xlfn.XLOOKUP($BX85,Std_Cu3_Code,INDEX(Std_Cu3_Table,0,3)))),"")))</f>
        <v/>
      </c>
      <c r="CB85" s="829" t="str" cm="1">
        <f t="array" ref="CB85">IF($BP85="","",IF($BX85="",$BS85,IFERROR(IF($BV85="AL",_xlfn.XLOOKUP($BX85,Std_Al3_Code,INDEX(Std_Al3_Table,0,5)),IF($G85=1,_xlfn.XLOOKUP($BX85,Std_Cu1_Code,INDEX(Std_Cu1_Table,0,5)),_xlfn.XLOOKUP($BX85,Std_Cu3_Code,INDEX(Std_Cu3_Table,0,5)))),"")))</f>
        <v/>
      </c>
      <c r="CC85" s="829" t="str">
        <f t="shared" si="33"/>
        <v/>
      </c>
      <c r="CD85" s="829" t="str">
        <f t="shared" si="34"/>
        <v/>
      </c>
      <c r="CE85" s="829" t="str">
        <f t="shared" si="35"/>
        <v/>
      </c>
      <c r="CF85" s="829" t="str">
        <f t="shared" si="36"/>
        <v/>
      </c>
      <c r="CG85" s="829" t="str">
        <f t="shared" si="37"/>
        <v/>
      </c>
      <c r="CH85" s="829" t="str">
        <f t="shared" si="38"/>
        <v/>
      </c>
      <c r="CI85" s="829" t="str">
        <f t="shared" si="39"/>
        <v/>
      </c>
      <c r="CJ85" s="829" t="str" cm="1">
        <f t="array" ref="CJ85">IF($B85="","",_xlfn.LET(_xlpm.to,$D85&amp;"",_xlpm.em,IFERROR(INDEX(_xlfn.ANCHORARRAY($BE$4),ROW()-4,6),"")="EMERG",_xlpm.pri,AND(NOT(_xlpm.em),LEFT(_xlpm.to,2)="T-",ISNUMBER(MATCH(MID(_xlpm.to,3,99),Equip_List,0)),ISNA(MATCH(_xlpm.to,Equip_List,0))),IF(_xlpm.pri,MID(_xlpm.to,3,99),_xlpm.to)))</f>
        <v/>
      </c>
      <c r="CK85" s="829" t="str" cm="1">
        <f t="array" ref="CK85">IF($CJ85="","",IF(IFERROR(INDEX(_xlfn.ANCHORARRAY($BE$4),ROW()-4,6),"")="EMERG","E",IF($CJ85&lt;&gt;$D85&amp;"","P","N")))</f>
        <v/>
      </c>
    </row>
    <row r="86" spans="1:89" ht="15" customHeight="1" x14ac:dyDescent="0.35">
      <c r="A86" s="821" t="str">
        <f t="shared" si="27"/>
        <v/>
      </c>
      <c r="B86" s="821" t="str" cm="1">
        <f t="array" ref="B86">IFERROR(IF(INDEX(_xlfn.ANCHORARRAY($BE$4),ROW()-4,2)="","","F-"&amp;INDEX(_xlfn.ANCHORARRAY($BE$4),ROW()-4,2)&amp;IF(IFERROR(INDEX(_xlfn.ANCHORARRAY($BE$4),ROW()-4,6),"")="EMERG","-E","")),"")</f>
        <v/>
      </c>
      <c r="C86" s="821" t="str" cm="1">
        <f t="array" ref="C86">IFERROR(IF($B86="","",INDEX(_xlfn.ANCHORARRAY($BE$4),ROW()-4,1)),"")</f>
        <v/>
      </c>
      <c r="D86" s="821" t="str" cm="1">
        <f t="array" ref="D86">IFERROR(IF($B86="","",INDEX(_xlfn.ANCHORARRAY($BE$4),ROW()-4,2)),"")</f>
        <v/>
      </c>
      <c r="E86" s="806" t="str" cm="1">
        <f t="array" ref="E86">IFERROR(IF($B86="","",INDEX(_xlfn.ANCHORARRAY($BE$4),ROW()-4,3)),"")</f>
        <v/>
      </c>
      <c r="F86" s="822" t="str" cm="1">
        <f t="array" ref="F86">IFERROR(IF($B86="","",INDEX(_xlfn.ANCHORARRAY($BE$4),ROW()-4,4)),"")</f>
        <v/>
      </c>
      <c r="G86" s="823" t="str" cm="1">
        <f t="array" ref="G86">IFERROR(IF($B86="","",INDEX(_xlfn.ANCHORARRAY($BE$4),ROW()-4,5)),"")</f>
        <v/>
      </c>
      <c r="H86" s="824" t="str" cm="1">
        <f t="array" ref="H86">IF($CJ86="","",_xlfn.LET(_xlpm.v,_xlfn.XLOOKUP($CJ86,Equip_List,IF($CK86="E",Equip_EmLen,IF($CK86="P",Equip_XfPriLen,Equip_FdrLen)),""),IF(_xlpm.v="","",_xlpm.v)))</f>
        <v/>
      </c>
      <c r="I86" s="806" t="str">
        <f t="shared" si="20"/>
        <v/>
      </c>
      <c r="J86" s="820"/>
      <c r="K86" s="806" t="str">
        <f>_xlfn.LET(_xlpm.k,IF($I86="","",IF(COUNTIF(UPS!$B$57:$B$64,$C86&amp;"")&gt;0,1.25*MAX($I86,N(_xlfn.XLOOKUP($C86&amp;"",UPS!$B$57:$B$64,UPS!$M$57:$M$64,0))),IF(COUNTIF(UPS!$B$57:$B$64,$D86&amp;"")&gt;0,1.25*MAX($I86,N(_xlfn.XLOOKUP($D86&amp;"",UPS!$B$57:$B$64,UPS!$Q$57:$Q$64,0))),$I86*IF(OR(UPPER($J86)="Y",LEFT($C86,2)="T-",LEFT($D86,2)="T-"),1.25,1)))),IF(_xlpm.k="","",MAX(_xlpm.k,N(IFERROR(_xlfn.XLOOKUP($D86&amp;"",Dashboard!$A$101:$A$350,Dashboard!$O$101:$O$350,0),0)))))</f>
        <v/>
      </c>
      <c r="L86" s="825" t="str">
        <f>IF($CJ86="","",_xlfn.LET(_xlpm.v,UPPER(TRIM(_xlfn.XLOOKUP($CJ86,Equip_List,Equip_FdrMat,"")&amp;"")),IF(_xlpm.v="",UPPER(TRIM(Cfg_FeederMat&amp;"")),_xlpm.v)))</f>
        <v/>
      </c>
      <c r="M86" s="825" t="str">
        <f>IF($CJ86="","",_xlfn.LET(_xlpm.v,TRIM(_xlfn.XLOOKUP($CJ86,Equip_List,Equip_FdrRace,"")&amp;""),IF(_xlpm.v="",Cfg_Conduit&amp;"",_xlpm.v)))</f>
        <v/>
      </c>
      <c r="N86" s="825" t="str">
        <f>IF($CJ86="","",IF(UPPER(TRIM(_xlfn.XLOOKUP($CJ86,Equip_List,Equip_FdrExist,"")&amp;""))="Y","Y",""))</f>
        <v/>
      </c>
      <c r="O86" s="823" t="str">
        <f t="shared" si="28"/>
        <v/>
      </c>
      <c r="P86" s="821" t="str">
        <f t="shared" si="29"/>
        <v/>
      </c>
      <c r="Q86" s="821" t="str">
        <f t="shared" si="30"/>
        <v/>
      </c>
      <c r="R86" s="822" t="str" cm="1">
        <f t="array" ref="R86">IF(K86="","",INDEX(OCPD_List,MATCH(TRUE,OCPD_List&gt;=K86,0)))</f>
        <v/>
      </c>
      <c r="S86" s="821" t="str">
        <f t="shared" si="31"/>
        <v/>
      </c>
      <c r="T86" s="826" t="str">
        <f t="shared" si="21"/>
        <v/>
      </c>
      <c r="U86" s="826" t="str">
        <f t="shared" si="22"/>
        <v/>
      </c>
      <c r="V86" s="827" t="str">
        <f t="shared" si="23"/>
        <v/>
      </c>
      <c r="W86" s="828"/>
      <c r="X86" s="819"/>
      <c r="Y86" s="820"/>
      <c r="Z86" s="820"/>
      <c r="AA86" s="820"/>
      <c r="BN86" s="832" t="str">
        <f>IF($B86="","",IFERROR(_xlfn.XLOOKUP($D86,Dashboard!$A$101:$A$350,Dashboard!$C$101:$C$350),""))</f>
        <v/>
      </c>
      <c r="BO86" s="832" t="str">
        <f t="shared" si="24"/>
        <v/>
      </c>
      <c r="BP86" s="832" t="str" cm="1">
        <f t="array" ref="BP86">IF(OR($B86="",$R86="",NOT(ISNUMBER($R86))),"",IF(AND($BV86="AL",$G86=1),"",_xlfn.LET(_xlpm.codes,IF($BV86="AL",Std_Al3_Code,IF($G86=1,Std_Cu1_Code,Std_Cu3_Code)),_xlpm.amps,IFERROR(--SUBSTITUTE(_xlpm.codes&amp;"","N",""),""),_xlpm.a,MIN(IF(ISNUMBER(_xlpm.amps),IF(_xlpm.amps&gt;=$R86,_xlpm.amps,""),"")),_xlpm.k,IF(_xlpm.a=0,$R86,_xlpm.a),IF($BO86="Y",TEXT(_xlpm.k,"0")&amp;"N",_xlpm.k))))</f>
        <v/>
      </c>
      <c r="BQ86" s="832" t="str" cm="1">
        <f t="array" ref="BQ86">IF($BP86="","",IFERROR(IF($BV86="AL",_xlfn.XLOOKUP($BP86,Std_Al3_Code,INDEX(Std_Al3_Table,0,3)),IF($G86=1,_xlfn.XLOOKUP($BP86,Std_Cu1_Code,INDEX(Std_Cu1_Table,0,3)),_xlfn.XLOOKUP($BP86,Std_Cu3_Code,INDEX(Std_Cu3_Table,0,3)))),""))</f>
        <v/>
      </c>
      <c r="BR86" s="832" t="str" cm="1">
        <f t="array" ref="BR86">IF($BP86="","",IFERROR(IF($BV86="AL",_xlfn.XLOOKUP($BP86,Std_Al3_Code,INDEX(Std_Al3_Table,0,4)),IF($G86=1,_xlfn.XLOOKUP($BP86,Std_Cu1_Code,INDEX(Std_Cu1_Table,0,4)),_xlfn.XLOOKUP($BP86,Std_Cu3_Code,INDEX(Std_Cu3_Table,0,4)))),""))</f>
        <v/>
      </c>
      <c r="BS86" s="832" t="str" cm="1">
        <f t="array" ref="BS86">IF($BP86="","",IFERROR(IF($BV86="AL",_xlfn.XLOOKUP($BP86,Std_Al3_Code,INDEX(Std_Al3_Table,0,5)),IF($G86=1,_xlfn.XLOOKUP($BP86,Std_Cu1_Code,INDEX(Std_Cu1_Table,0,5)),_xlfn.XLOOKUP($BP86,Std_Cu3_Code,INDEX(Std_Cu3_Table,0,5)))),""))</f>
        <v/>
      </c>
      <c r="BT86" s="832" t="str">
        <f t="shared" si="25"/>
        <v/>
      </c>
      <c r="BU86" s="832" t="str" cm="1">
        <f t="array" ref="BU86">IF($BP86="","",IFERROR(IF($BV86="AL",_xlfn.XLOOKUP($BP86,Std_Al3_Code,INDEX(Std_Al3_Table,0,2)),IF($G86=1,_xlfn.XLOOKUP($BP86,Std_Cu1_Code,INDEX(Std_Cu1_Table,0,2)),_xlfn.XLOOKUP($BP86,Std_Cu3_Code,INDEX(Std_Cu3_Table,0,2)))),""))</f>
        <v/>
      </c>
      <c r="BV86" s="829" t="str">
        <f t="shared" si="26"/>
        <v/>
      </c>
      <c r="BW86" s="829" t="str">
        <f t="shared" si="32"/>
        <v/>
      </c>
      <c r="BX86" s="829" t="str" cm="1">
        <f t="array" ref="BX86">IF(OR($BP86="",$H86="",$I86="",$F86="",$BW86=""),"",IFERROR(_xlfn.LET(_xlpm.codes,IF($BV86="AL",Std_Al3_Code,IF($G86=1,Std_Cu1_Code,Std_Cu3_Code)),_xlpm.tbl,IF($BV86="AL",Std_Al3_Table,IF($G86=1,Std_Cu1_Table,Std_Cu3_Table)),_xlpm.i,MATCH($BP86,_xlpm.codes,0),_xlpm.idx,_xlfn.SEQUENCE(ROWS(_xlpm.codes)),_xlpm.cnd,INDEX(_xlpm.tbl,0,4),_xlpm.sts,INDEX(_xlpm.tbl,0,2),_xlpm.sz,IFERROR(_xlfn.TEXTBEFORE(_xlfn.TEXTAFTER(_xlpm.cnd,"#"),","),IFERROR(_xlfn.TEXTAFTER(_xlpm.cnd,"#"),"")),_xlpm.cm,IFERROR(_xlfn.XLOOKUP(TRIM(_xlpm.sz),Ampacity_Size,Ampacity_CM),0),_xlpm.mult,IF($G86=3,SQRT3,2),_xlpm.kk,IF($BV86="AL",K_Al,K_Cu),_xlpm.vd,IF(_xlpm.cm*IF(ISNUMBER(_xlpm.sts),_xlpm.sts,0)=0,9,_xlpm.mult*_xlpm.kk*$I86*$H86/(_xlpm.cm*_xlpm.sts)/$F86),_xlpm.hasN,--(RIGHT(_xlpm.codes&amp;"",1)="N"),_xlpm.wantN,--(RIGHT($BP86&amp;"",1)="N"),_xlpm.ok,(_xlpm.idx&gt;=_xlpm.i)*(_xlpm.vd&lt;=Cfg_VDFeeder)*(_xlpm.cm&gt;0)*ISNUMBER(_xlpm.sts)*(_xlpm.hasN=_xlpm.wantN),_xlpm.m,MIN(IF(_xlpm.ok=1,_xlpm.idx)),INDEX(_xlpm.codes,IF(_xlpm.m=0,_xlpm.i,_xlpm.m))),""))</f>
        <v/>
      </c>
      <c r="BY86" s="829" t="str" cm="1">
        <f t="array" ref="BY86">IF($BP86="","",IF($BX86="",$BU86,IFERROR(IF($BV86="AL",_xlfn.XLOOKUP($BX86,Std_Al3_Code,INDEX(Std_Al3_Table,0,2)),IF($G86=1,_xlfn.XLOOKUP($BX86,Std_Cu1_Code,INDEX(Std_Cu1_Table,0,2)),_xlfn.XLOOKUP($BX86,Std_Cu3_Code,INDEX(Std_Cu3_Table,0,2)))),"")))</f>
        <v/>
      </c>
      <c r="BZ86" s="829" t="str" cm="1">
        <f t="array" ref="BZ86">IF($BP86="","",IF($BX86="",$BR86,IFERROR(IF($BV86="AL",_xlfn.XLOOKUP($BX86,Std_Al3_Code,INDEX(Std_Al3_Table,0,4)),IF($G86=1,_xlfn.XLOOKUP($BX86,Std_Cu1_Code,INDEX(Std_Cu1_Table,0,4)),_xlfn.XLOOKUP($BX86,Std_Cu3_Code,INDEX(Std_Cu3_Table,0,4)))),"")))</f>
        <v/>
      </c>
      <c r="CA86" s="829" t="str" cm="1">
        <f t="array" ref="CA86">IF($BP86="","",IF($BX86="",$BQ86,IFERROR(IF($BV86="AL",_xlfn.XLOOKUP($BX86,Std_Al3_Code,INDEX(Std_Al3_Table,0,3)),IF($G86=1,_xlfn.XLOOKUP($BX86,Std_Cu1_Code,INDEX(Std_Cu1_Table,0,3)),_xlfn.XLOOKUP($BX86,Std_Cu3_Code,INDEX(Std_Cu3_Table,0,3)))),"")))</f>
        <v/>
      </c>
      <c r="CB86" s="829" t="str" cm="1">
        <f t="array" ref="CB86">IF($BP86="","",IF($BX86="",$BS86,IFERROR(IF($BV86="AL",_xlfn.XLOOKUP($BX86,Std_Al3_Code,INDEX(Std_Al3_Table,0,5)),IF($G86=1,_xlfn.XLOOKUP($BX86,Std_Cu1_Code,INDEX(Std_Cu1_Table,0,5)),_xlfn.XLOOKUP($BX86,Std_Cu3_Code,INDEX(Std_Cu3_Table,0,5)))),"")))</f>
        <v/>
      </c>
      <c r="CC86" s="829" t="str">
        <f t="shared" si="33"/>
        <v/>
      </c>
      <c r="CD86" s="829" t="str">
        <f t="shared" si="34"/>
        <v/>
      </c>
      <c r="CE86" s="829" t="str">
        <f t="shared" si="35"/>
        <v/>
      </c>
      <c r="CF86" s="829" t="str">
        <f t="shared" si="36"/>
        <v/>
      </c>
      <c r="CG86" s="829" t="str">
        <f t="shared" si="37"/>
        <v/>
      </c>
      <c r="CH86" s="829" t="str">
        <f t="shared" si="38"/>
        <v/>
      </c>
      <c r="CI86" s="829" t="str">
        <f t="shared" si="39"/>
        <v/>
      </c>
      <c r="CJ86" s="829" t="str" cm="1">
        <f t="array" ref="CJ86">IF($B86="","",_xlfn.LET(_xlpm.to,$D86&amp;"",_xlpm.em,IFERROR(INDEX(_xlfn.ANCHORARRAY($BE$4),ROW()-4,6),"")="EMERG",_xlpm.pri,AND(NOT(_xlpm.em),LEFT(_xlpm.to,2)="T-",ISNUMBER(MATCH(MID(_xlpm.to,3,99),Equip_List,0)),ISNA(MATCH(_xlpm.to,Equip_List,0))),IF(_xlpm.pri,MID(_xlpm.to,3,99),_xlpm.to)))</f>
        <v/>
      </c>
      <c r="CK86" s="829" t="str" cm="1">
        <f t="array" ref="CK86">IF($CJ86="","",IF(IFERROR(INDEX(_xlfn.ANCHORARRAY($BE$4),ROW()-4,6),"")="EMERG","E",IF($CJ86&lt;&gt;$D86&amp;"","P","N")))</f>
        <v/>
      </c>
    </row>
    <row r="87" spans="1:89" ht="15" customHeight="1" x14ac:dyDescent="0.35">
      <c r="A87" s="821" t="str">
        <f t="shared" si="27"/>
        <v/>
      </c>
      <c r="B87" s="821" t="str" cm="1">
        <f t="array" ref="B87">IFERROR(IF(INDEX(_xlfn.ANCHORARRAY($BE$4),ROW()-4,2)="","","F-"&amp;INDEX(_xlfn.ANCHORARRAY($BE$4),ROW()-4,2)&amp;IF(IFERROR(INDEX(_xlfn.ANCHORARRAY($BE$4),ROW()-4,6),"")="EMERG","-E","")),"")</f>
        <v/>
      </c>
      <c r="C87" s="821" t="str" cm="1">
        <f t="array" ref="C87">IFERROR(IF($B87="","",INDEX(_xlfn.ANCHORARRAY($BE$4),ROW()-4,1)),"")</f>
        <v/>
      </c>
      <c r="D87" s="821" t="str" cm="1">
        <f t="array" ref="D87">IFERROR(IF($B87="","",INDEX(_xlfn.ANCHORARRAY($BE$4),ROW()-4,2)),"")</f>
        <v/>
      </c>
      <c r="E87" s="806" t="str" cm="1">
        <f t="array" ref="E87">IFERROR(IF($B87="","",INDEX(_xlfn.ANCHORARRAY($BE$4),ROW()-4,3)),"")</f>
        <v/>
      </c>
      <c r="F87" s="822" t="str" cm="1">
        <f t="array" ref="F87">IFERROR(IF($B87="","",INDEX(_xlfn.ANCHORARRAY($BE$4),ROW()-4,4)),"")</f>
        <v/>
      </c>
      <c r="G87" s="823" t="str" cm="1">
        <f t="array" ref="G87">IFERROR(IF($B87="","",INDEX(_xlfn.ANCHORARRAY($BE$4),ROW()-4,5)),"")</f>
        <v/>
      </c>
      <c r="H87" s="824" t="str" cm="1">
        <f t="array" ref="H87">IF($CJ87="","",_xlfn.LET(_xlpm.v,_xlfn.XLOOKUP($CJ87,Equip_List,IF($CK87="E",Equip_EmLen,IF($CK87="P",Equip_XfPriLen,Equip_FdrLen)),""),IF(_xlpm.v="","",_xlpm.v)))</f>
        <v/>
      </c>
      <c r="I87" s="806" t="str">
        <f t="shared" si="20"/>
        <v/>
      </c>
      <c r="J87" s="820"/>
      <c r="K87" s="806" t="str">
        <f>_xlfn.LET(_xlpm.k,IF($I87="","",IF(COUNTIF(UPS!$B$57:$B$64,$C87&amp;"")&gt;0,1.25*MAX($I87,N(_xlfn.XLOOKUP($C87&amp;"",UPS!$B$57:$B$64,UPS!$M$57:$M$64,0))),IF(COUNTIF(UPS!$B$57:$B$64,$D87&amp;"")&gt;0,1.25*MAX($I87,N(_xlfn.XLOOKUP($D87&amp;"",UPS!$B$57:$B$64,UPS!$Q$57:$Q$64,0))),$I87*IF(OR(UPPER($J87)="Y",LEFT($C87,2)="T-",LEFT($D87,2)="T-"),1.25,1)))),IF(_xlpm.k="","",MAX(_xlpm.k,N(IFERROR(_xlfn.XLOOKUP($D87&amp;"",Dashboard!$A$101:$A$350,Dashboard!$O$101:$O$350,0),0)))))</f>
        <v/>
      </c>
      <c r="L87" s="825" t="str">
        <f>IF($CJ87="","",_xlfn.LET(_xlpm.v,UPPER(TRIM(_xlfn.XLOOKUP($CJ87,Equip_List,Equip_FdrMat,"")&amp;"")),IF(_xlpm.v="",UPPER(TRIM(Cfg_FeederMat&amp;"")),_xlpm.v)))</f>
        <v/>
      </c>
      <c r="M87" s="825" t="str">
        <f>IF($CJ87="","",_xlfn.LET(_xlpm.v,TRIM(_xlfn.XLOOKUP($CJ87,Equip_List,Equip_FdrRace,"")&amp;""),IF(_xlpm.v="",Cfg_Conduit&amp;"",_xlpm.v)))</f>
        <v/>
      </c>
      <c r="N87" s="825" t="str">
        <f>IF($CJ87="","",IF(UPPER(TRIM(_xlfn.XLOOKUP($CJ87,Equip_List,Equip_FdrExist,"")&amp;""))="Y","Y",""))</f>
        <v/>
      </c>
      <c r="O87" s="823" t="str">
        <f t="shared" si="28"/>
        <v/>
      </c>
      <c r="P87" s="821" t="str">
        <f t="shared" si="29"/>
        <v/>
      </c>
      <c r="Q87" s="821" t="str">
        <f t="shared" si="30"/>
        <v/>
      </c>
      <c r="R87" s="822" t="str" cm="1">
        <f t="array" ref="R87">IF(K87="","",INDEX(OCPD_List,MATCH(TRUE,OCPD_List&gt;=K87,0)))</f>
        <v/>
      </c>
      <c r="S87" s="821" t="str">
        <f t="shared" si="31"/>
        <v/>
      </c>
      <c r="T87" s="826" t="str">
        <f t="shared" si="21"/>
        <v/>
      </c>
      <c r="U87" s="826" t="str">
        <f t="shared" si="22"/>
        <v/>
      </c>
      <c r="V87" s="827" t="str">
        <f t="shared" si="23"/>
        <v/>
      </c>
      <c r="W87" s="828"/>
      <c r="X87" s="819"/>
      <c r="Y87" s="820"/>
      <c r="Z87" s="820"/>
      <c r="AA87" s="820"/>
      <c r="BN87" s="832" t="str">
        <f>IF($B87="","",IFERROR(_xlfn.XLOOKUP($D87,Dashboard!$A$101:$A$350,Dashboard!$C$101:$C$350),""))</f>
        <v/>
      </c>
      <c r="BO87" s="832" t="str">
        <f t="shared" si="24"/>
        <v/>
      </c>
      <c r="BP87" s="832" t="str" cm="1">
        <f t="array" ref="BP87">IF(OR($B87="",$R87="",NOT(ISNUMBER($R87))),"",IF(AND($BV87="AL",$G87=1),"",_xlfn.LET(_xlpm.codes,IF($BV87="AL",Std_Al3_Code,IF($G87=1,Std_Cu1_Code,Std_Cu3_Code)),_xlpm.amps,IFERROR(--SUBSTITUTE(_xlpm.codes&amp;"","N",""),""),_xlpm.a,MIN(IF(ISNUMBER(_xlpm.amps),IF(_xlpm.amps&gt;=$R87,_xlpm.amps,""),"")),_xlpm.k,IF(_xlpm.a=0,$R87,_xlpm.a),IF($BO87="Y",TEXT(_xlpm.k,"0")&amp;"N",_xlpm.k))))</f>
        <v/>
      </c>
      <c r="BQ87" s="832" t="str" cm="1">
        <f t="array" ref="BQ87">IF($BP87="","",IFERROR(IF($BV87="AL",_xlfn.XLOOKUP($BP87,Std_Al3_Code,INDEX(Std_Al3_Table,0,3)),IF($G87=1,_xlfn.XLOOKUP($BP87,Std_Cu1_Code,INDEX(Std_Cu1_Table,0,3)),_xlfn.XLOOKUP($BP87,Std_Cu3_Code,INDEX(Std_Cu3_Table,0,3)))),""))</f>
        <v/>
      </c>
      <c r="BR87" s="832" t="str" cm="1">
        <f t="array" ref="BR87">IF($BP87="","",IFERROR(IF($BV87="AL",_xlfn.XLOOKUP($BP87,Std_Al3_Code,INDEX(Std_Al3_Table,0,4)),IF($G87=1,_xlfn.XLOOKUP($BP87,Std_Cu1_Code,INDEX(Std_Cu1_Table,0,4)),_xlfn.XLOOKUP($BP87,Std_Cu3_Code,INDEX(Std_Cu3_Table,0,4)))),""))</f>
        <v/>
      </c>
      <c r="BS87" s="832" t="str" cm="1">
        <f t="array" ref="BS87">IF($BP87="","",IFERROR(IF($BV87="AL",_xlfn.XLOOKUP($BP87,Std_Al3_Code,INDEX(Std_Al3_Table,0,5)),IF($G87=1,_xlfn.XLOOKUP($BP87,Std_Cu1_Code,INDEX(Std_Cu1_Table,0,5)),_xlfn.XLOOKUP($BP87,Std_Cu3_Code,INDEX(Std_Cu3_Table,0,5)))),""))</f>
        <v/>
      </c>
      <c r="BT87" s="832" t="str">
        <f t="shared" si="25"/>
        <v/>
      </c>
      <c r="BU87" s="832" t="str" cm="1">
        <f t="array" ref="BU87">IF($BP87="","",IFERROR(IF($BV87="AL",_xlfn.XLOOKUP($BP87,Std_Al3_Code,INDEX(Std_Al3_Table,0,2)),IF($G87=1,_xlfn.XLOOKUP($BP87,Std_Cu1_Code,INDEX(Std_Cu1_Table,0,2)),_xlfn.XLOOKUP($BP87,Std_Cu3_Code,INDEX(Std_Cu3_Table,0,2)))),""))</f>
        <v/>
      </c>
      <c r="BV87" s="829" t="str">
        <f t="shared" si="26"/>
        <v/>
      </c>
      <c r="BW87" s="829" t="str">
        <f t="shared" si="32"/>
        <v/>
      </c>
      <c r="BX87" s="829" t="str" cm="1">
        <f t="array" ref="BX87">IF(OR($BP87="",$H87="",$I87="",$F87="",$BW87=""),"",IFERROR(_xlfn.LET(_xlpm.codes,IF($BV87="AL",Std_Al3_Code,IF($G87=1,Std_Cu1_Code,Std_Cu3_Code)),_xlpm.tbl,IF($BV87="AL",Std_Al3_Table,IF($G87=1,Std_Cu1_Table,Std_Cu3_Table)),_xlpm.i,MATCH($BP87,_xlpm.codes,0),_xlpm.idx,_xlfn.SEQUENCE(ROWS(_xlpm.codes)),_xlpm.cnd,INDEX(_xlpm.tbl,0,4),_xlpm.sts,INDEX(_xlpm.tbl,0,2),_xlpm.sz,IFERROR(_xlfn.TEXTBEFORE(_xlfn.TEXTAFTER(_xlpm.cnd,"#"),","),IFERROR(_xlfn.TEXTAFTER(_xlpm.cnd,"#"),"")),_xlpm.cm,IFERROR(_xlfn.XLOOKUP(TRIM(_xlpm.sz),Ampacity_Size,Ampacity_CM),0),_xlpm.mult,IF($G87=3,SQRT3,2),_xlpm.kk,IF($BV87="AL",K_Al,K_Cu),_xlpm.vd,IF(_xlpm.cm*IF(ISNUMBER(_xlpm.sts),_xlpm.sts,0)=0,9,_xlpm.mult*_xlpm.kk*$I87*$H87/(_xlpm.cm*_xlpm.sts)/$F87),_xlpm.hasN,--(RIGHT(_xlpm.codes&amp;"",1)="N"),_xlpm.wantN,--(RIGHT($BP87&amp;"",1)="N"),_xlpm.ok,(_xlpm.idx&gt;=_xlpm.i)*(_xlpm.vd&lt;=Cfg_VDFeeder)*(_xlpm.cm&gt;0)*ISNUMBER(_xlpm.sts)*(_xlpm.hasN=_xlpm.wantN),_xlpm.m,MIN(IF(_xlpm.ok=1,_xlpm.idx)),INDEX(_xlpm.codes,IF(_xlpm.m=0,_xlpm.i,_xlpm.m))),""))</f>
        <v/>
      </c>
      <c r="BY87" s="829" t="str" cm="1">
        <f t="array" ref="BY87">IF($BP87="","",IF($BX87="",$BU87,IFERROR(IF($BV87="AL",_xlfn.XLOOKUP($BX87,Std_Al3_Code,INDEX(Std_Al3_Table,0,2)),IF($G87=1,_xlfn.XLOOKUP($BX87,Std_Cu1_Code,INDEX(Std_Cu1_Table,0,2)),_xlfn.XLOOKUP($BX87,Std_Cu3_Code,INDEX(Std_Cu3_Table,0,2)))),"")))</f>
        <v/>
      </c>
      <c r="BZ87" s="829" t="str" cm="1">
        <f t="array" ref="BZ87">IF($BP87="","",IF($BX87="",$BR87,IFERROR(IF($BV87="AL",_xlfn.XLOOKUP($BX87,Std_Al3_Code,INDEX(Std_Al3_Table,0,4)),IF($G87=1,_xlfn.XLOOKUP($BX87,Std_Cu1_Code,INDEX(Std_Cu1_Table,0,4)),_xlfn.XLOOKUP($BX87,Std_Cu3_Code,INDEX(Std_Cu3_Table,0,4)))),"")))</f>
        <v/>
      </c>
      <c r="CA87" s="829" t="str" cm="1">
        <f t="array" ref="CA87">IF($BP87="","",IF($BX87="",$BQ87,IFERROR(IF($BV87="AL",_xlfn.XLOOKUP($BX87,Std_Al3_Code,INDEX(Std_Al3_Table,0,3)),IF($G87=1,_xlfn.XLOOKUP($BX87,Std_Cu1_Code,INDEX(Std_Cu1_Table,0,3)),_xlfn.XLOOKUP($BX87,Std_Cu3_Code,INDEX(Std_Cu3_Table,0,3)))),"")))</f>
        <v/>
      </c>
      <c r="CB87" s="829" t="str" cm="1">
        <f t="array" ref="CB87">IF($BP87="","",IF($BX87="",$BS87,IFERROR(IF($BV87="AL",_xlfn.XLOOKUP($BX87,Std_Al3_Code,INDEX(Std_Al3_Table,0,5)),IF($G87=1,_xlfn.XLOOKUP($BX87,Std_Cu1_Code,INDEX(Std_Cu1_Table,0,5)),_xlfn.XLOOKUP($BX87,Std_Cu3_Code,INDEX(Std_Cu3_Table,0,5)))),"")))</f>
        <v/>
      </c>
      <c r="CC87" s="829" t="str">
        <f t="shared" si="33"/>
        <v/>
      </c>
      <c r="CD87" s="829" t="str">
        <f t="shared" si="34"/>
        <v/>
      </c>
      <c r="CE87" s="829" t="str">
        <f t="shared" si="35"/>
        <v/>
      </c>
      <c r="CF87" s="829" t="str">
        <f t="shared" si="36"/>
        <v/>
      </c>
      <c r="CG87" s="829" t="str">
        <f t="shared" si="37"/>
        <v/>
      </c>
      <c r="CH87" s="829" t="str">
        <f t="shared" si="38"/>
        <v/>
      </c>
      <c r="CI87" s="829" t="str">
        <f t="shared" si="39"/>
        <v/>
      </c>
      <c r="CJ87" s="829" t="str" cm="1">
        <f t="array" ref="CJ87">IF($B87="","",_xlfn.LET(_xlpm.to,$D87&amp;"",_xlpm.em,IFERROR(INDEX(_xlfn.ANCHORARRAY($BE$4),ROW()-4,6),"")="EMERG",_xlpm.pri,AND(NOT(_xlpm.em),LEFT(_xlpm.to,2)="T-",ISNUMBER(MATCH(MID(_xlpm.to,3,99),Equip_List,0)),ISNA(MATCH(_xlpm.to,Equip_List,0))),IF(_xlpm.pri,MID(_xlpm.to,3,99),_xlpm.to)))</f>
        <v/>
      </c>
      <c r="CK87" s="829" t="str" cm="1">
        <f t="array" ref="CK87">IF($CJ87="","",IF(IFERROR(INDEX(_xlfn.ANCHORARRAY($BE$4),ROW()-4,6),"")="EMERG","E",IF($CJ87&lt;&gt;$D87&amp;"","P","N")))</f>
        <v/>
      </c>
    </row>
    <row r="88" spans="1:89" ht="15" customHeight="1" x14ac:dyDescent="0.35">
      <c r="A88" s="821" t="str">
        <f t="shared" si="27"/>
        <v/>
      </c>
      <c r="B88" s="821" t="str" cm="1">
        <f t="array" ref="B88">IFERROR(IF(INDEX(_xlfn.ANCHORARRAY($BE$4),ROW()-4,2)="","","F-"&amp;INDEX(_xlfn.ANCHORARRAY($BE$4),ROW()-4,2)&amp;IF(IFERROR(INDEX(_xlfn.ANCHORARRAY($BE$4),ROW()-4,6),"")="EMERG","-E","")),"")</f>
        <v/>
      </c>
      <c r="C88" s="821" t="str" cm="1">
        <f t="array" ref="C88">IFERROR(IF($B88="","",INDEX(_xlfn.ANCHORARRAY($BE$4),ROW()-4,1)),"")</f>
        <v/>
      </c>
      <c r="D88" s="821" t="str" cm="1">
        <f t="array" ref="D88">IFERROR(IF($B88="","",INDEX(_xlfn.ANCHORARRAY($BE$4),ROW()-4,2)),"")</f>
        <v/>
      </c>
      <c r="E88" s="806" t="str" cm="1">
        <f t="array" ref="E88">IFERROR(IF($B88="","",INDEX(_xlfn.ANCHORARRAY($BE$4),ROW()-4,3)),"")</f>
        <v/>
      </c>
      <c r="F88" s="822" t="str" cm="1">
        <f t="array" ref="F88">IFERROR(IF($B88="","",INDEX(_xlfn.ANCHORARRAY($BE$4),ROW()-4,4)),"")</f>
        <v/>
      </c>
      <c r="G88" s="823" t="str" cm="1">
        <f t="array" ref="G88">IFERROR(IF($B88="","",INDEX(_xlfn.ANCHORARRAY($BE$4),ROW()-4,5)),"")</f>
        <v/>
      </c>
      <c r="H88" s="824" t="str" cm="1">
        <f t="array" ref="H88">IF($CJ88="","",_xlfn.LET(_xlpm.v,_xlfn.XLOOKUP($CJ88,Equip_List,IF($CK88="E",Equip_EmLen,IF($CK88="P",Equip_XfPriLen,Equip_FdrLen)),""),IF(_xlpm.v="","",_xlpm.v)))</f>
        <v/>
      </c>
      <c r="I88" s="806" t="str">
        <f t="shared" si="20"/>
        <v/>
      </c>
      <c r="J88" s="820"/>
      <c r="K88" s="806" t="str">
        <f>_xlfn.LET(_xlpm.k,IF($I88="","",IF(COUNTIF(UPS!$B$57:$B$64,$C88&amp;"")&gt;0,1.25*MAX($I88,N(_xlfn.XLOOKUP($C88&amp;"",UPS!$B$57:$B$64,UPS!$M$57:$M$64,0))),IF(COUNTIF(UPS!$B$57:$B$64,$D88&amp;"")&gt;0,1.25*MAX($I88,N(_xlfn.XLOOKUP($D88&amp;"",UPS!$B$57:$B$64,UPS!$Q$57:$Q$64,0))),$I88*IF(OR(UPPER($J88)="Y",LEFT($C88,2)="T-",LEFT($D88,2)="T-"),1.25,1)))),IF(_xlpm.k="","",MAX(_xlpm.k,N(IFERROR(_xlfn.XLOOKUP($D88&amp;"",Dashboard!$A$101:$A$350,Dashboard!$O$101:$O$350,0),0)))))</f>
        <v/>
      </c>
      <c r="L88" s="825" t="str">
        <f>IF($CJ88="","",_xlfn.LET(_xlpm.v,UPPER(TRIM(_xlfn.XLOOKUP($CJ88,Equip_List,Equip_FdrMat,"")&amp;"")),IF(_xlpm.v="",UPPER(TRIM(Cfg_FeederMat&amp;"")),_xlpm.v)))</f>
        <v/>
      </c>
      <c r="M88" s="825" t="str">
        <f>IF($CJ88="","",_xlfn.LET(_xlpm.v,TRIM(_xlfn.XLOOKUP($CJ88,Equip_List,Equip_FdrRace,"")&amp;""),IF(_xlpm.v="",Cfg_Conduit&amp;"",_xlpm.v)))</f>
        <v/>
      </c>
      <c r="N88" s="825" t="str">
        <f>IF($CJ88="","",IF(UPPER(TRIM(_xlfn.XLOOKUP($CJ88,Equip_List,Equip_FdrExist,"")&amp;""))="Y","Y",""))</f>
        <v/>
      </c>
      <c r="O88" s="823" t="str">
        <f t="shared" si="28"/>
        <v/>
      </c>
      <c r="P88" s="821" t="str">
        <f t="shared" si="29"/>
        <v/>
      </c>
      <c r="Q88" s="821" t="str">
        <f t="shared" si="30"/>
        <v/>
      </c>
      <c r="R88" s="822" t="str" cm="1">
        <f t="array" ref="R88">IF(K88="","",INDEX(OCPD_List,MATCH(TRUE,OCPD_List&gt;=K88,0)))</f>
        <v/>
      </c>
      <c r="S88" s="821" t="str">
        <f t="shared" si="31"/>
        <v/>
      </c>
      <c r="T88" s="826" t="str">
        <f t="shared" si="21"/>
        <v/>
      </c>
      <c r="U88" s="826" t="str">
        <f t="shared" si="22"/>
        <v/>
      </c>
      <c r="V88" s="827" t="str">
        <f t="shared" si="23"/>
        <v/>
      </c>
      <c r="W88" s="828"/>
      <c r="X88" s="819"/>
      <c r="Y88" s="820"/>
      <c r="Z88" s="820"/>
      <c r="AA88" s="820"/>
      <c r="BN88" s="832" t="str">
        <f>IF($B88="","",IFERROR(_xlfn.XLOOKUP($D88,Dashboard!$A$101:$A$350,Dashboard!$C$101:$C$350),""))</f>
        <v/>
      </c>
      <c r="BO88" s="832" t="str">
        <f t="shared" si="24"/>
        <v/>
      </c>
      <c r="BP88" s="832" t="str" cm="1">
        <f t="array" ref="BP88">IF(OR($B88="",$R88="",NOT(ISNUMBER($R88))),"",IF(AND($BV88="AL",$G88=1),"",_xlfn.LET(_xlpm.codes,IF($BV88="AL",Std_Al3_Code,IF($G88=1,Std_Cu1_Code,Std_Cu3_Code)),_xlpm.amps,IFERROR(--SUBSTITUTE(_xlpm.codes&amp;"","N",""),""),_xlpm.a,MIN(IF(ISNUMBER(_xlpm.amps),IF(_xlpm.amps&gt;=$R88,_xlpm.amps,""),"")),_xlpm.k,IF(_xlpm.a=0,$R88,_xlpm.a),IF($BO88="Y",TEXT(_xlpm.k,"0")&amp;"N",_xlpm.k))))</f>
        <v/>
      </c>
      <c r="BQ88" s="832" t="str" cm="1">
        <f t="array" ref="BQ88">IF($BP88="","",IFERROR(IF($BV88="AL",_xlfn.XLOOKUP($BP88,Std_Al3_Code,INDEX(Std_Al3_Table,0,3)),IF($G88=1,_xlfn.XLOOKUP($BP88,Std_Cu1_Code,INDEX(Std_Cu1_Table,0,3)),_xlfn.XLOOKUP($BP88,Std_Cu3_Code,INDEX(Std_Cu3_Table,0,3)))),""))</f>
        <v/>
      </c>
      <c r="BR88" s="832" t="str" cm="1">
        <f t="array" ref="BR88">IF($BP88="","",IFERROR(IF($BV88="AL",_xlfn.XLOOKUP($BP88,Std_Al3_Code,INDEX(Std_Al3_Table,0,4)),IF($G88=1,_xlfn.XLOOKUP($BP88,Std_Cu1_Code,INDEX(Std_Cu1_Table,0,4)),_xlfn.XLOOKUP($BP88,Std_Cu3_Code,INDEX(Std_Cu3_Table,0,4)))),""))</f>
        <v/>
      </c>
      <c r="BS88" s="832" t="str" cm="1">
        <f t="array" ref="BS88">IF($BP88="","",IFERROR(IF($BV88="AL",_xlfn.XLOOKUP($BP88,Std_Al3_Code,INDEX(Std_Al3_Table,0,5)),IF($G88=1,_xlfn.XLOOKUP($BP88,Std_Cu1_Code,INDEX(Std_Cu1_Table,0,5)),_xlfn.XLOOKUP($BP88,Std_Cu3_Code,INDEX(Std_Cu3_Table,0,5)))),""))</f>
        <v/>
      </c>
      <c r="BT88" s="832" t="str">
        <f t="shared" si="25"/>
        <v/>
      </c>
      <c r="BU88" s="832" t="str" cm="1">
        <f t="array" ref="BU88">IF($BP88="","",IFERROR(IF($BV88="AL",_xlfn.XLOOKUP($BP88,Std_Al3_Code,INDEX(Std_Al3_Table,0,2)),IF($G88=1,_xlfn.XLOOKUP($BP88,Std_Cu1_Code,INDEX(Std_Cu1_Table,0,2)),_xlfn.XLOOKUP($BP88,Std_Cu3_Code,INDEX(Std_Cu3_Table,0,2)))),""))</f>
        <v/>
      </c>
      <c r="BV88" s="829" t="str">
        <f t="shared" si="26"/>
        <v/>
      </c>
      <c r="BW88" s="829" t="str">
        <f t="shared" si="32"/>
        <v/>
      </c>
      <c r="BX88" s="829" t="str" cm="1">
        <f t="array" ref="BX88">IF(OR($BP88="",$H88="",$I88="",$F88="",$BW88=""),"",IFERROR(_xlfn.LET(_xlpm.codes,IF($BV88="AL",Std_Al3_Code,IF($G88=1,Std_Cu1_Code,Std_Cu3_Code)),_xlpm.tbl,IF($BV88="AL",Std_Al3_Table,IF($G88=1,Std_Cu1_Table,Std_Cu3_Table)),_xlpm.i,MATCH($BP88,_xlpm.codes,0),_xlpm.idx,_xlfn.SEQUENCE(ROWS(_xlpm.codes)),_xlpm.cnd,INDEX(_xlpm.tbl,0,4),_xlpm.sts,INDEX(_xlpm.tbl,0,2),_xlpm.sz,IFERROR(_xlfn.TEXTBEFORE(_xlfn.TEXTAFTER(_xlpm.cnd,"#"),","),IFERROR(_xlfn.TEXTAFTER(_xlpm.cnd,"#"),"")),_xlpm.cm,IFERROR(_xlfn.XLOOKUP(TRIM(_xlpm.sz),Ampacity_Size,Ampacity_CM),0),_xlpm.mult,IF($G88=3,SQRT3,2),_xlpm.kk,IF($BV88="AL",K_Al,K_Cu),_xlpm.vd,IF(_xlpm.cm*IF(ISNUMBER(_xlpm.sts),_xlpm.sts,0)=0,9,_xlpm.mult*_xlpm.kk*$I88*$H88/(_xlpm.cm*_xlpm.sts)/$F88),_xlpm.hasN,--(RIGHT(_xlpm.codes&amp;"",1)="N"),_xlpm.wantN,--(RIGHT($BP88&amp;"",1)="N"),_xlpm.ok,(_xlpm.idx&gt;=_xlpm.i)*(_xlpm.vd&lt;=Cfg_VDFeeder)*(_xlpm.cm&gt;0)*ISNUMBER(_xlpm.sts)*(_xlpm.hasN=_xlpm.wantN),_xlpm.m,MIN(IF(_xlpm.ok=1,_xlpm.idx)),INDEX(_xlpm.codes,IF(_xlpm.m=0,_xlpm.i,_xlpm.m))),""))</f>
        <v/>
      </c>
      <c r="BY88" s="829" t="str" cm="1">
        <f t="array" ref="BY88">IF($BP88="","",IF($BX88="",$BU88,IFERROR(IF($BV88="AL",_xlfn.XLOOKUP($BX88,Std_Al3_Code,INDEX(Std_Al3_Table,0,2)),IF($G88=1,_xlfn.XLOOKUP($BX88,Std_Cu1_Code,INDEX(Std_Cu1_Table,0,2)),_xlfn.XLOOKUP($BX88,Std_Cu3_Code,INDEX(Std_Cu3_Table,0,2)))),"")))</f>
        <v/>
      </c>
      <c r="BZ88" s="829" t="str" cm="1">
        <f t="array" ref="BZ88">IF($BP88="","",IF($BX88="",$BR88,IFERROR(IF($BV88="AL",_xlfn.XLOOKUP($BX88,Std_Al3_Code,INDEX(Std_Al3_Table,0,4)),IF($G88=1,_xlfn.XLOOKUP($BX88,Std_Cu1_Code,INDEX(Std_Cu1_Table,0,4)),_xlfn.XLOOKUP($BX88,Std_Cu3_Code,INDEX(Std_Cu3_Table,0,4)))),"")))</f>
        <v/>
      </c>
      <c r="CA88" s="829" t="str" cm="1">
        <f t="array" ref="CA88">IF($BP88="","",IF($BX88="",$BQ88,IFERROR(IF($BV88="AL",_xlfn.XLOOKUP($BX88,Std_Al3_Code,INDEX(Std_Al3_Table,0,3)),IF($G88=1,_xlfn.XLOOKUP($BX88,Std_Cu1_Code,INDEX(Std_Cu1_Table,0,3)),_xlfn.XLOOKUP($BX88,Std_Cu3_Code,INDEX(Std_Cu3_Table,0,3)))),"")))</f>
        <v/>
      </c>
      <c r="CB88" s="829" t="str" cm="1">
        <f t="array" ref="CB88">IF($BP88="","",IF($BX88="",$BS88,IFERROR(IF($BV88="AL",_xlfn.XLOOKUP($BX88,Std_Al3_Code,INDEX(Std_Al3_Table,0,5)),IF($G88=1,_xlfn.XLOOKUP($BX88,Std_Cu1_Code,INDEX(Std_Cu1_Table,0,5)),_xlfn.XLOOKUP($BX88,Std_Cu3_Code,INDEX(Std_Cu3_Table,0,5)))),"")))</f>
        <v/>
      </c>
      <c r="CC88" s="829" t="str">
        <f t="shared" si="33"/>
        <v/>
      </c>
      <c r="CD88" s="829" t="str">
        <f t="shared" si="34"/>
        <v/>
      </c>
      <c r="CE88" s="829" t="str">
        <f t="shared" si="35"/>
        <v/>
      </c>
      <c r="CF88" s="829" t="str">
        <f t="shared" si="36"/>
        <v/>
      </c>
      <c r="CG88" s="829" t="str">
        <f t="shared" si="37"/>
        <v/>
      </c>
      <c r="CH88" s="829" t="str">
        <f t="shared" si="38"/>
        <v/>
      </c>
      <c r="CI88" s="829" t="str">
        <f t="shared" si="39"/>
        <v/>
      </c>
      <c r="CJ88" s="829" t="str" cm="1">
        <f t="array" ref="CJ88">IF($B88="","",_xlfn.LET(_xlpm.to,$D88&amp;"",_xlpm.em,IFERROR(INDEX(_xlfn.ANCHORARRAY($BE$4),ROW()-4,6),"")="EMERG",_xlpm.pri,AND(NOT(_xlpm.em),LEFT(_xlpm.to,2)="T-",ISNUMBER(MATCH(MID(_xlpm.to,3,99),Equip_List,0)),ISNA(MATCH(_xlpm.to,Equip_List,0))),IF(_xlpm.pri,MID(_xlpm.to,3,99),_xlpm.to)))</f>
        <v/>
      </c>
      <c r="CK88" s="829" t="str" cm="1">
        <f t="array" ref="CK88">IF($CJ88="","",IF(IFERROR(INDEX(_xlfn.ANCHORARRAY($BE$4),ROW()-4,6),"")="EMERG","E",IF($CJ88&lt;&gt;$D88&amp;"","P","N")))</f>
        <v/>
      </c>
    </row>
    <row r="89" spans="1:89" ht="15" customHeight="1" x14ac:dyDescent="0.35">
      <c r="A89" s="821" t="str">
        <f t="shared" si="27"/>
        <v/>
      </c>
      <c r="B89" s="821" t="str" cm="1">
        <f t="array" ref="B89">IFERROR(IF(INDEX(_xlfn.ANCHORARRAY($BE$4),ROW()-4,2)="","","F-"&amp;INDEX(_xlfn.ANCHORARRAY($BE$4),ROW()-4,2)&amp;IF(IFERROR(INDEX(_xlfn.ANCHORARRAY($BE$4),ROW()-4,6),"")="EMERG","-E","")),"")</f>
        <v/>
      </c>
      <c r="C89" s="821" t="str" cm="1">
        <f t="array" ref="C89">IFERROR(IF($B89="","",INDEX(_xlfn.ANCHORARRAY($BE$4),ROW()-4,1)),"")</f>
        <v/>
      </c>
      <c r="D89" s="821" t="str" cm="1">
        <f t="array" ref="D89">IFERROR(IF($B89="","",INDEX(_xlfn.ANCHORARRAY($BE$4),ROW()-4,2)),"")</f>
        <v/>
      </c>
      <c r="E89" s="806" t="str" cm="1">
        <f t="array" ref="E89">IFERROR(IF($B89="","",INDEX(_xlfn.ANCHORARRAY($BE$4),ROW()-4,3)),"")</f>
        <v/>
      </c>
      <c r="F89" s="822" t="str" cm="1">
        <f t="array" ref="F89">IFERROR(IF($B89="","",INDEX(_xlfn.ANCHORARRAY($BE$4),ROW()-4,4)),"")</f>
        <v/>
      </c>
      <c r="G89" s="823" t="str" cm="1">
        <f t="array" ref="G89">IFERROR(IF($B89="","",INDEX(_xlfn.ANCHORARRAY($BE$4),ROW()-4,5)),"")</f>
        <v/>
      </c>
      <c r="H89" s="824" t="str" cm="1">
        <f t="array" ref="H89">IF($CJ89="","",_xlfn.LET(_xlpm.v,_xlfn.XLOOKUP($CJ89,Equip_List,IF($CK89="E",Equip_EmLen,IF($CK89="P",Equip_XfPriLen,Equip_FdrLen)),""),IF(_xlpm.v="","",_xlpm.v)))</f>
        <v/>
      </c>
      <c r="I89" s="806" t="str">
        <f t="shared" si="20"/>
        <v/>
      </c>
      <c r="J89" s="820"/>
      <c r="K89" s="806" t="str">
        <f>_xlfn.LET(_xlpm.k,IF($I89="","",IF(COUNTIF(UPS!$B$57:$B$64,$C89&amp;"")&gt;0,1.25*MAX($I89,N(_xlfn.XLOOKUP($C89&amp;"",UPS!$B$57:$B$64,UPS!$M$57:$M$64,0))),IF(COUNTIF(UPS!$B$57:$B$64,$D89&amp;"")&gt;0,1.25*MAX($I89,N(_xlfn.XLOOKUP($D89&amp;"",UPS!$B$57:$B$64,UPS!$Q$57:$Q$64,0))),$I89*IF(OR(UPPER($J89)="Y",LEFT($C89,2)="T-",LEFT($D89,2)="T-"),1.25,1)))),IF(_xlpm.k="","",MAX(_xlpm.k,N(IFERROR(_xlfn.XLOOKUP($D89&amp;"",Dashboard!$A$101:$A$350,Dashboard!$O$101:$O$350,0),0)))))</f>
        <v/>
      </c>
      <c r="L89" s="825" t="str">
        <f>IF($CJ89="","",_xlfn.LET(_xlpm.v,UPPER(TRIM(_xlfn.XLOOKUP($CJ89,Equip_List,Equip_FdrMat,"")&amp;"")),IF(_xlpm.v="",UPPER(TRIM(Cfg_FeederMat&amp;"")),_xlpm.v)))</f>
        <v/>
      </c>
      <c r="M89" s="825" t="str">
        <f>IF($CJ89="","",_xlfn.LET(_xlpm.v,TRIM(_xlfn.XLOOKUP($CJ89,Equip_List,Equip_FdrRace,"")&amp;""),IF(_xlpm.v="",Cfg_Conduit&amp;"",_xlpm.v)))</f>
        <v/>
      </c>
      <c r="N89" s="825" t="str">
        <f>IF($CJ89="","",IF(UPPER(TRIM(_xlfn.XLOOKUP($CJ89,Equip_List,Equip_FdrExist,"")&amp;""))="Y","Y",""))</f>
        <v/>
      </c>
      <c r="O89" s="823" t="str">
        <f t="shared" si="28"/>
        <v/>
      </c>
      <c r="P89" s="821" t="str">
        <f t="shared" si="29"/>
        <v/>
      </c>
      <c r="Q89" s="821" t="str">
        <f t="shared" si="30"/>
        <v/>
      </c>
      <c r="R89" s="822" t="str" cm="1">
        <f t="array" ref="R89">IF(K89="","",INDEX(OCPD_List,MATCH(TRUE,OCPD_List&gt;=K89,0)))</f>
        <v/>
      </c>
      <c r="S89" s="821" t="str">
        <f t="shared" si="31"/>
        <v/>
      </c>
      <c r="T89" s="826" t="str">
        <f t="shared" si="21"/>
        <v/>
      </c>
      <c r="U89" s="826" t="str">
        <f t="shared" si="22"/>
        <v/>
      </c>
      <c r="V89" s="827" t="str">
        <f t="shared" si="23"/>
        <v/>
      </c>
      <c r="W89" s="828"/>
      <c r="X89" s="819"/>
      <c r="Y89" s="820"/>
      <c r="Z89" s="820"/>
      <c r="AA89" s="820"/>
      <c r="BN89" s="832" t="str">
        <f>IF($B89="","",IFERROR(_xlfn.XLOOKUP($D89,Dashboard!$A$101:$A$350,Dashboard!$C$101:$C$350),""))</f>
        <v/>
      </c>
      <c r="BO89" s="832" t="str">
        <f t="shared" si="24"/>
        <v/>
      </c>
      <c r="BP89" s="832" t="str" cm="1">
        <f t="array" ref="BP89">IF(OR($B89="",$R89="",NOT(ISNUMBER($R89))),"",IF(AND($BV89="AL",$G89=1),"",_xlfn.LET(_xlpm.codes,IF($BV89="AL",Std_Al3_Code,IF($G89=1,Std_Cu1_Code,Std_Cu3_Code)),_xlpm.amps,IFERROR(--SUBSTITUTE(_xlpm.codes&amp;"","N",""),""),_xlpm.a,MIN(IF(ISNUMBER(_xlpm.amps),IF(_xlpm.amps&gt;=$R89,_xlpm.amps,""),"")),_xlpm.k,IF(_xlpm.a=0,$R89,_xlpm.a),IF($BO89="Y",TEXT(_xlpm.k,"0")&amp;"N",_xlpm.k))))</f>
        <v/>
      </c>
      <c r="BQ89" s="832" t="str" cm="1">
        <f t="array" ref="BQ89">IF($BP89="","",IFERROR(IF($BV89="AL",_xlfn.XLOOKUP($BP89,Std_Al3_Code,INDEX(Std_Al3_Table,0,3)),IF($G89=1,_xlfn.XLOOKUP($BP89,Std_Cu1_Code,INDEX(Std_Cu1_Table,0,3)),_xlfn.XLOOKUP($BP89,Std_Cu3_Code,INDEX(Std_Cu3_Table,0,3)))),""))</f>
        <v/>
      </c>
      <c r="BR89" s="832" t="str" cm="1">
        <f t="array" ref="BR89">IF($BP89="","",IFERROR(IF($BV89="AL",_xlfn.XLOOKUP($BP89,Std_Al3_Code,INDEX(Std_Al3_Table,0,4)),IF($G89=1,_xlfn.XLOOKUP($BP89,Std_Cu1_Code,INDEX(Std_Cu1_Table,0,4)),_xlfn.XLOOKUP($BP89,Std_Cu3_Code,INDEX(Std_Cu3_Table,0,4)))),""))</f>
        <v/>
      </c>
      <c r="BS89" s="832" t="str" cm="1">
        <f t="array" ref="BS89">IF($BP89="","",IFERROR(IF($BV89="AL",_xlfn.XLOOKUP($BP89,Std_Al3_Code,INDEX(Std_Al3_Table,0,5)),IF($G89=1,_xlfn.XLOOKUP($BP89,Std_Cu1_Code,INDEX(Std_Cu1_Table,0,5)),_xlfn.XLOOKUP($BP89,Std_Cu3_Code,INDEX(Std_Cu3_Table,0,5)))),""))</f>
        <v/>
      </c>
      <c r="BT89" s="832" t="str">
        <f t="shared" si="25"/>
        <v/>
      </c>
      <c r="BU89" s="832" t="str" cm="1">
        <f t="array" ref="BU89">IF($BP89="","",IFERROR(IF($BV89="AL",_xlfn.XLOOKUP($BP89,Std_Al3_Code,INDEX(Std_Al3_Table,0,2)),IF($G89=1,_xlfn.XLOOKUP($BP89,Std_Cu1_Code,INDEX(Std_Cu1_Table,0,2)),_xlfn.XLOOKUP($BP89,Std_Cu3_Code,INDEX(Std_Cu3_Table,0,2)))),""))</f>
        <v/>
      </c>
      <c r="BV89" s="829" t="str">
        <f t="shared" si="26"/>
        <v/>
      </c>
      <c r="BW89" s="829" t="str">
        <f t="shared" si="32"/>
        <v/>
      </c>
      <c r="BX89" s="829" t="str" cm="1">
        <f t="array" ref="BX89">IF(OR($BP89="",$H89="",$I89="",$F89="",$BW89=""),"",IFERROR(_xlfn.LET(_xlpm.codes,IF($BV89="AL",Std_Al3_Code,IF($G89=1,Std_Cu1_Code,Std_Cu3_Code)),_xlpm.tbl,IF($BV89="AL",Std_Al3_Table,IF($G89=1,Std_Cu1_Table,Std_Cu3_Table)),_xlpm.i,MATCH($BP89,_xlpm.codes,0),_xlpm.idx,_xlfn.SEQUENCE(ROWS(_xlpm.codes)),_xlpm.cnd,INDEX(_xlpm.tbl,0,4),_xlpm.sts,INDEX(_xlpm.tbl,0,2),_xlpm.sz,IFERROR(_xlfn.TEXTBEFORE(_xlfn.TEXTAFTER(_xlpm.cnd,"#"),","),IFERROR(_xlfn.TEXTAFTER(_xlpm.cnd,"#"),"")),_xlpm.cm,IFERROR(_xlfn.XLOOKUP(TRIM(_xlpm.sz),Ampacity_Size,Ampacity_CM),0),_xlpm.mult,IF($G89=3,SQRT3,2),_xlpm.kk,IF($BV89="AL",K_Al,K_Cu),_xlpm.vd,IF(_xlpm.cm*IF(ISNUMBER(_xlpm.sts),_xlpm.sts,0)=0,9,_xlpm.mult*_xlpm.kk*$I89*$H89/(_xlpm.cm*_xlpm.sts)/$F89),_xlpm.hasN,--(RIGHT(_xlpm.codes&amp;"",1)="N"),_xlpm.wantN,--(RIGHT($BP89&amp;"",1)="N"),_xlpm.ok,(_xlpm.idx&gt;=_xlpm.i)*(_xlpm.vd&lt;=Cfg_VDFeeder)*(_xlpm.cm&gt;0)*ISNUMBER(_xlpm.sts)*(_xlpm.hasN=_xlpm.wantN),_xlpm.m,MIN(IF(_xlpm.ok=1,_xlpm.idx)),INDEX(_xlpm.codes,IF(_xlpm.m=0,_xlpm.i,_xlpm.m))),""))</f>
        <v/>
      </c>
      <c r="BY89" s="829" t="str" cm="1">
        <f t="array" ref="BY89">IF($BP89="","",IF($BX89="",$BU89,IFERROR(IF($BV89="AL",_xlfn.XLOOKUP($BX89,Std_Al3_Code,INDEX(Std_Al3_Table,0,2)),IF($G89=1,_xlfn.XLOOKUP($BX89,Std_Cu1_Code,INDEX(Std_Cu1_Table,0,2)),_xlfn.XLOOKUP($BX89,Std_Cu3_Code,INDEX(Std_Cu3_Table,0,2)))),"")))</f>
        <v/>
      </c>
      <c r="BZ89" s="829" t="str" cm="1">
        <f t="array" ref="BZ89">IF($BP89="","",IF($BX89="",$BR89,IFERROR(IF($BV89="AL",_xlfn.XLOOKUP($BX89,Std_Al3_Code,INDEX(Std_Al3_Table,0,4)),IF($G89=1,_xlfn.XLOOKUP($BX89,Std_Cu1_Code,INDEX(Std_Cu1_Table,0,4)),_xlfn.XLOOKUP($BX89,Std_Cu3_Code,INDEX(Std_Cu3_Table,0,4)))),"")))</f>
        <v/>
      </c>
      <c r="CA89" s="829" t="str" cm="1">
        <f t="array" ref="CA89">IF($BP89="","",IF($BX89="",$BQ89,IFERROR(IF($BV89="AL",_xlfn.XLOOKUP($BX89,Std_Al3_Code,INDEX(Std_Al3_Table,0,3)),IF($G89=1,_xlfn.XLOOKUP($BX89,Std_Cu1_Code,INDEX(Std_Cu1_Table,0,3)),_xlfn.XLOOKUP($BX89,Std_Cu3_Code,INDEX(Std_Cu3_Table,0,3)))),"")))</f>
        <v/>
      </c>
      <c r="CB89" s="829" t="str" cm="1">
        <f t="array" ref="CB89">IF($BP89="","",IF($BX89="",$BS89,IFERROR(IF($BV89="AL",_xlfn.XLOOKUP($BX89,Std_Al3_Code,INDEX(Std_Al3_Table,0,5)),IF($G89=1,_xlfn.XLOOKUP($BX89,Std_Cu1_Code,INDEX(Std_Cu1_Table,0,5)),_xlfn.XLOOKUP($BX89,Std_Cu3_Code,INDEX(Std_Cu3_Table,0,5)))),"")))</f>
        <v/>
      </c>
      <c r="CC89" s="829" t="str">
        <f t="shared" si="33"/>
        <v/>
      </c>
      <c r="CD89" s="829" t="str">
        <f t="shared" si="34"/>
        <v/>
      </c>
      <c r="CE89" s="829" t="str">
        <f t="shared" si="35"/>
        <v/>
      </c>
      <c r="CF89" s="829" t="str">
        <f t="shared" si="36"/>
        <v/>
      </c>
      <c r="CG89" s="829" t="str">
        <f t="shared" si="37"/>
        <v/>
      </c>
      <c r="CH89" s="829" t="str">
        <f t="shared" si="38"/>
        <v/>
      </c>
      <c r="CI89" s="829" t="str">
        <f t="shared" si="39"/>
        <v/>
      </c>
      <c r="CJ89" s="829" t="str" cm="1">
        <f t="array" ref="CJ89">IF($B89="","",_xlfn.LET(_xlpm.to,$D89&amp;"",_xlpm.em,IFERROR(INDEX(_xlfn.ANCHORARRAY($BE$4),ROW()-4,6),"")="EMERG",_xlpm.pri,AND(NOT(_xlpm.em),LEFT(_xlpm.to,2)="T-",ISNUMBER(MATCH(MID(_xlpm.to,3,99),Equip_List,0)),ISNA(MATCH(_xlpm.to,Equip_List,0))),IF(_xlpm.pri,MID(_xlpm.to,3,99),_xlpm.to)))</f>
        <v/>
      </c>
      <c r="CK89" s="829" t="str" cm="1">
        <f t="array" ref="CK89">IF($CJ89="","",IF(IFERROR(INDEX(_xlfn.ANCHORARRAY($BE$4),ROW()-4,6),"")="EMERG","E",IF($CJ89&lt;&gt;$D89&amp;"","P","N")))</f>
        <v/>
      </c>
    </row>
    <row r="90" spans="1:89" ht="15" customHeight="1" x14ac:dyDescent="0.35">
      <c r="A90" s="821" t="str">
        <f t="shared" si="27"/>
        <v/>
      </c>
      <c r="B90" s="821" t="str" cm="1">
        <f t="array" ref="B90">IFERROR(IF(INDEX(_xlfn.ANCHORARRAY($BE$4),ROW()-4,2)="","","F-"&amp;INDEX(_xlfn.ANCHORARRAY($BE$4),ROW()-4,2)&amp;IF(IFERROR(INDEX(_xlfn.ANCHORARRAY($BE$4),ROW()-4,6),"")="EMERG","-E","")),"")</f>
        <v/>
      </c>
      <c r="C90" s="821" t="str" cm="1">
        <f t="array" ref="C90">IFERROR(IF($B90="","",INDEX(_xlfn.ANCHORARRAY($BE$4),ROW()-4,1)),"")</f>
        <v/>
      </c>
      <c r="D90" s="821" t="str" cm="1">
        <f t="array" ref="D90">IFERROR(IF($B90="","",INDEX(_xlfn.ANCHORARRAY($BE$4),ROW()-4,2)),"")</f>
        <v/>
      </c>
      <c r="E90" s="806" t="str" cm="1">
        <f t="array" ref="E90">IFERROR(IF($B90="","",INDEX(_xlfn.ANCHORARRAY($BE$4),ROW()-4,3)),"")</f>
        <v/>
      </c>
      <c r="F90" s="822" t="str" cm="1">
        <f t="array" ref="F90">IFERROR(IF($B90="","",INDEX(_xlfn.ANCHORARRAY($BE$4),ROW()-4,4)),"")</f>
        <v/>
      </c>
      <c r="G90" s="823" t="str" cm="1">
        <f t="array" ref="G90">IFERROR(IF($B90="","",INDEX(_xlfn.ANCHORARRAY($BE$4),ROW()-4,5)),"")</f>
        <v/>
      </c>
      <c r="H90" s="824" t="str" cm="1">
        <f t="array" ref="H90">IF($CJ90="","",_xlfn.LET(_xlpm.v,_xlfn.XLOOKUP($CJ90,Equip_List,IF($CK90="E",Equip_EmLen,IF($CK90="P",Equip_XfPriLen,Equip_FdrLen)),""),IF(_xlpm.v="","",_xlpm.v)))</f>
        <v/>
      </c>
      <c r="I90" s="806" t="str">
        <f t="shared" si="20"/>
        <v/>
      </c>
      <c r="J90" s="820"/>
      <c r="K90" s="806" t="str">
        <f>_xlfn.LET(_xlpm.k,IF($I90="","",IF(COUNTIF(UPS!$B$57:$B$64,$C90&amp;"")&gt;0,1.25*MAX($I90,N(_xlfn.XLOOKUP($C90&amp;"",UPS!$B$57:$B$64,UPS!$M$57:$M$64,0))),IF(COUNTIF(UPS!$B$57:$B$64,$D90&amp;"")&gt;0,1.25*MAX($I90,N(_xlfn.XLOOKUP($D90&amp;"",UPS!$B$57:$B$64,UPS!$Q$57:$Q$64,0))),$I90*IF(OR(UPPER($J90)="Y",LEFT($C90,2)="T-",LEFT($D90,2)="T-"),1.25,1)))),IF(_xlpm.k="","",MAX(_xlpm.k,N(IFERROR(_xlfn.XLOOKUP($D90&amp;"",Dashboard!$A$101:$A$350,Dashboard!$O$101:$O$350,0),0)))))</f>
        <v/>
      </c>
      <c r="L90" s="825" t="str">
        <f>IF($CJ90="","",_xlfn.LET(_xlpm.v,UPPER(TRIM(_xlfn.XLOOKUP($CJ90,Equip_List,Equip_FdrMat,"")&amp;"")),IF(_xlpm.v="",UPPER(TRIM(Cfg_FeederMat&amp;"")),_xlpm.v)))</f>
        <v/>
      </c>
      <c r="M90" s="825" t="str">
        <f>IF($CJ90="","",_xlfn.LET(_xlpm.v,TRIM(_xlfn.XLOOKUP($CJ90,Equip_List,Equip_FdrRace,"")&amp;""),IF(_xlpm.v="",Cfg_Conduit&amp;"",_xlpm.v)))</f>
        <v/>
      </c>
      <c r="N90" s="825" t="str">
        <f>IF($CJ90="","",IF(UPPER(TRIM(_xlfn.XLOOKUP($CJ90,Equip_List,Equip_FdrExist,"")&amp;""))="Y","Y",""))</f>
        <v/>
      </c>
      <c r="O90" s="823" t="str">
        <f t="shared" si="28"/>
        <v/>
      </c>
      <c r="P90" s="821" t="str">
        <f t="shared" si="29"/>
        <v/>
      </c>
      <c r="Q90" s="821" t="str">
        <f t="shared" si="30"/>
        <v/>
      </c>
      <c r="R90" s="822" t="str" cm="1">
        <f t="array" ref="R90">IF(K90="","",INDEX(OCPD_List,MATCH(TRUE,OCPD_List&gt;=K90,0)))</f>
        <v/>
      </c>
      <c r="S90" s="821" t="str">
        <f t="shared" si="31"/>
        <v/>
      </c>
      <c r="T90" s="826" t="str">
        <f t="shared" si="21"/>
        <v/>
      </c>
      <c r="U90" s="826" t="str">
        <f t="shared" si="22"/>
        <v/>
      </c>
      <c r="V90" s="827" t="str">
        <f t="shared" si="23"/>
        <v/>
      </c>
      <c r="W90" s="828"/>
      <c r="X90" s="819"/>
      <c r="Y90" s="820"/>
      <c r="Z90" s="820"/>
      <c r="AA90" s="820"/>
      <c r="BN90" s="832" t="str">
        <f>IF($B90="","",IFERROR(_xlfn.XLOOKUP($D90,Dashboard!$A$101:$A$350,Dashboard!$C$101:$C$350),""))</f>
        <v/>
      </c>
      <c r="BO90" s="832" t="str">
        <f t="shared" si="24"/>
        <v/>
      </c>
      <c r="BP90" s="832" t="str" cm="1">
        <f t="array" ref="BP90">IF(OR($B90="",$R90="",NOT(ISNUMBER($R90))),"",IF(AND($BV90="AL",$G90=1),"",_xlfn.LET(_xlpm.codes,IF($BV90="AL",Std_Al3_Code,IF($G90=1,Std_Cu1_Code,Std_Cu3_Code)),_xlpm.amps,IFERROR(--SUBSTITUTE(_xlpm.codes&amp;"","N",""),""),_xlpm.a,MIN(IF(ISNUMBER(_xlpm.amps),IF(_xlpm.amps&gt;=$R90,_xlpm.amps,""),"")),_xlpm.k,IF(_xlpm.a=0,$R90,_xlpm.a),IF($BO90="Y",TEXT(_xlpm.k,"0")&amp;"N",_xlpm.k))))</f>
        <v/>
      </c>
      <c r="BQ90" s="832" t="str" cm="1">
        <f t="array" ref="BQ90">IF($BP90="","",IFERROR(IF($BV90="AL",_xlfn.XLOOKUP($BP90,Std_Al3_Code,INDEX(Std_Al3_Table,0,3)),IF($G90=1,_xlfn.XLOOKUP($BP90,Std_Cu1_Code,INDEX(Std_Cu1_Table,0,3)),_xlfn.XLOOKUP($BP90,Std_Cu3_Code,INDEX(Std_Cu3_Table,0,3)))),""))</f>
        <v/>
      </c>
      <c r="BR90" s="832" t="str" cm="1">
        <f t="array" ref="BR90">IF($BP90="","",IFERROR(IF($BV90="AL",_xlfn.XLOOKUP($BP90,Std_Al3_Code,INDEX(Std_Al3_Table,0,4)),IF($G90=1,_xlfn.XLOOKUP($BP90,Std_Cu1_Code,INDEX(Std_Cu1_Table,0,4)),_xlfn.XLOOKUP($BP90,Std_Cu3_Code,INDEX(Std_Cu3_Table,0,4)))),""))</f>
        <v/>
      </c>
      <c r="BS90" s="832" t="str" cm="1">
        <f t="array" ref="BS90">IF($BP90="","",IFERROR(IF($BV90="AL",_xlfn.XLOOKUP($BP90,Std_Al3_Code,INDEX(Std_Al3_Table,0,5)),IF($G90=1,_xlfn.XLOOKUP($BP90,Std_Cu1_Code,INDEX(Std_Cu1_Table,0,5)),_xlfn.XLOOKUP($BP90,Std_Cu3_Code,INDEX(Std_Cu3_Table,0,5)))),""))</f>
        <v/>
      </c>
      <c r="BT90" s="832" t="str">
        <f t="shared" si="25"/>
        <v/>
      </c>
      <c r="BU90" s="832" t="str" cm="1">
        <f t="array" ref="BU90">IF($BP90="","",IFERROR(IF($BV90="AL",_xlfn.XLOOKUP($BP90,Std_Al3_Code,INDEX(Std_Al3_Table,0,2)),IF($G90=1,_xlfn.XLOOKUP($BP90,Std_Cu1_Code,INDEX(Std_Cu1_Table,0,2)),_xlfn.XLOOKUP($BP90,Std_Cu3_Code,INDEX(Std_Cu3_Table,0,2)))),""))</f>
        <v/>
      </c>
      <c r="BV90" s="829" t="str">
        <f t="shared" si="26"/>
        <v/>
      </c>
      <c r="BW90" s="829" t="str">
        <f t="shared" si="32"/>
        <v/>
      </c>
      <c r="BX90" s="829" t="str" cm="1">
        <f t="array" ref="BX90">IF(OR($BP90="",$H90="",$I90="",$F90="",$BW90=""),"",IFERROR(_xlfn.LET(_xlpm.codes,IF($BV90="AL",Std_Al3_Code,IF($G90=1,Std_Cu1_Code,Std_Cu3_Code)),_xlpm.tbl,IF($BV90="AL",Std_Al3_Table,IF($G90=1,Std_Cu1_Table,Std_Cu3_Table)),_xlpm.i,MATCH($BP90,_xlpm.codes,0),_xlpm.idx,_xlfn.SEQUENCE(ROWS(_xlpm.codes)),_xlpm.cnd,INDEX(_xlpm.tbl,0,4),_xlpm.sts,INDEX(_xlpm.tbl,0,2),_xlpm.sz,IFERROR(_xlfn.TEXTBEFORE(_xlfn.TEXTAFTER(_xlpm.cnd,"#"),","),IFERROR(_xlfn.TEXTAFTER(_xlpm.cnd,"#"),"")),_xlpm.cm,IFERROR(_xlfn.XLOOKUP(TRIM(_xlpm.sz),Ampacity_Size,Ampacity_CM),0),_xlpm.mult,IF($G90=3,SQRT3,2),_xlpm.kk,IF($BV90="AL",K_Al,K_Cu),_xlpm.vd,IF(_xlpm.cm*IF(ISNUMBER(_xlpm.sts),_xlpm.sts,0)=0,9,_xlpm.mult*_xlpm.kk*$I90*$H90/(_xlpm.cm*_xlpm.sts)/$F90),_xlpm.hasN,--(RIGHT(_xlpm.codes&amp;"",1)="N"),_xlpm.wantN,--(RIGHT($BP90&amp;"",1)="N"),_xlpm.ok,(_xlpm.idx&gt;=_xlpm.i)*(_xlpm.vd&lt;=Cfg_VDFeeder)*(_xlpm.cm&gt;0)*ISNUMBER(_xlpm.sts)*(_xlpm.hasN=_xlpm.wantN),_xlpm.m,MIN(IF(_xlpm.ok=1,_xlpm.idx)),INDEX(_xlpm.codes,IF(_xlpm.m=0,_xlpm.i,_xlpm.m))),""))</f>
        <v/>
      </c>
      <c r="BY90" s="829" t="str" cm="1">
        <f t="array" ref="BY90">IF($BP90="","",IF($BX90="",$BU90,IFERROR(IF($BV90="AL",_xlfn.XLOOKUP($BX90,Std_Al3_Code,INDEX(Std_Al3_Table,0,2)),IF($G90=1,_xlfn.XLOOKUP($BX90,Std_Cu1_Code,INDEX(Std_Cu1_Table,0,2)),_xlfn.XLOOKUP($BX90,Std_Cu3_Code,INDEX(Std_Cu3_Table,0,2)))),"")))</f>
        <v/>
      </c>
      <c r="BZ90" s="829" t="str" cm="1">
        <f t="array" ref="BZ90">IF($BP90="","",IF($BX90="",$BR90,IFERROR(IF($BV90="AL",_xlfn.XLOOKUP($BX90,Std_Al3_Code,INDEX(Std_Al3_Table,0,4)),IF($G90=1,_xlfn.XLOOKUP($BX90,Std_Cu1_Code,INDEX(Std_Cu1_Table,0,4)),_xlfn.XLOOKUP($BX90,Std_Cu3_Code,INDEX(Std_Cu3_Table,0,4)))),"")))</f>
        <v/>
      </c>
      <c r="CA90" s="829" t="str" cm="1">
        <f t="array" ref="CA90">IF($BP90="","",IF($BX90="",$BQ90,IFERROR(IF($BV90="AL",_xlfn.XLOOKUP($BX90,Std_Al3_Code,INDEX(Std_Al3_Table,0,3)),IF($G90=1,_xlfn.XLOOKUP($BX90,Std_Cu1_Code,INDEX(Std_Cu1_Table,0,3)),_xlfn.XLOOKUP($BX90,Std_Cu3_Code,INDEX(Std_Cu3_Table,0,3)))),"")))</f>
        <v/>
      </c>
      <c r="CB90" s="829" t="str" cm="1">
        <f t="array" ref="CB90">IF($BP90="","",IF($BX90="",$BS90,IFERROR(IF($BV90="AL",_xlfn.XLOOKUP($BX90,Std_Al3_Code,INDEX(Std_Al3_Table,0,5)),IF($G90=1,_xlfn.XLOOKUP($BX90,Std_Cu1_Code,INDEX(Std_Cu1_Table,0,5)),_xlfn.XLOOKUP($BX90,Std_Cu3_Code,INDEX(Std_Cu3_Table,0,5)))),"")))</f>
        <v/>
      </c>
      <c r="CC90" s="829" t="str">
        <f t="shared" si="33"/>
        <v/>
      </c>
      <c r="CD90" s="829" t="str">
        <f t="shared" si="34"/>
        <v/>
      </c>
      <c r="CE90" s="829" t="str">
        <f t="shared" si="35"/>
        <v/>
      </c>
      <c r="CF90" s="829" t="str">
        <f t="shared" si="36"/>
        <v/>
      </c>
      <c r="CG90" s="829" t="str">
        <f t="shared" si="37"/>
        <v/>
      </c>
      <c r="CH90" s="829" t="str">
        <f t="shared" si="38"/>
        <v/>
      </c>
      <c r="CI90" s="829" t="str">
        <f t="shared" si="39"/>
        <v/>
      </c>
      <c r="CJ90" s="829" t="str" cm="1">
        <f t="array" ref="CJ90">IF($B90="","",_xlfn.LET(_xlpm.to,$D90&amp;"",_xlpm.em,IFERROR(INDEX(_xlfn.ANCHORARRAY($BE$4),ROW()-4,6),"")="EMERG",_xlpm.pri,AND(NOT(_xlpm.em),LEFT(_xlpm.to,2)="T-",ISNUMBER(MATCH(MID(_xlpm.to,3,99),Equip_List,0)),ISNA(MATCH(_xlpm.to,Equip_List,0))),IF(_xlpm.pri,MID(_xlpm.to,3,99),_xlpm.to)))</f>
        <v/>
      </c>
      <c r="CK90" s="829" t="str" cm="1">
        <f t="array" ref="CK90">IF($CJ90="","",IF(IFERROR(INDEX(_xlfn.ANCHORARRAY($BE$4),ROW()-4,6),"")="EMERG","E",IF($CJ90&lt;&gt;$D90&amp;"","P","N")))</f>
        <v/>
      </c>
    </row>
    <row r="91" spans="1:89" ht="15" customHeight="1" x14ac:dyDescent="0.35">
      <c r="A91" s="821" t="str">
        <f t="shared" si="27"/>
        <v/>
      </c>
      <c r="B91" s="821" t="str" cm="1">
        <f t="array" ref="B91">IFERROR(IF(INDEX(_xlfn.ANCHORARRAY($BE$4),ROW()-4,2)="","","F-"&amp;INDEX(_xlfn.ANCHORARRAY($BE$4),ROW()-4,2)&amp;IF(IFERROR(INDEX(_xlfn.ANCHORARRAY($BE$4),ROW()-4,6),"")="EMERG","-E","")),"")</f>
        <v/>
      </c>
      <c r="C91" s="821" t="str" cm="1">
        <f t="array" ref="C91">IFERROR(IF($B91="","",INDEX(_xlfn.ANCHORARRAY($BE$4),ROW()-4,1)),"")</f>
        <v/>
      </c>
      <c r="D91" s="821" t="str" cm="1">
        <f t="array" ref="D91">IFERROR(IF($B91="","",INDEX(_xlfn.ANCHORARRAY($BE$4),ROW()-4,2)),"")</f>
        <v/>
      </c>
      <c r="E91" s="806" t="str" cm="1">
        <f t="array" ref="E91">IFERROR(IF($B91="","",INDEX(_xlfn.ANCHORARRAY($BE$4),ROW()-4,3)),"")</f>
        <v/>
      </c>
      <c r="F91" s="822" t="str" cm="1">
        <f t="array" ref="F91">IFERROR(IF($B91="","",INDEX(_xlfn.ANCHORARRAY($BE$4),ROW()-4,4)),"")</f>
        <v/>
      </c>
      <c r="G91" s="823" t="str" cm="1">
        <f t="array" ref="G91">IFERROR(IF($B91="","",INDEX(_xlfn.ANCHORARRAY($BE$4),ROW()-4,5)),"")</f>
        <v/>
      </c>
      <c r="H91" s="824" t="str" cm="1">
        <f t="array" ref="H91">IF($CJ91="","",_xlfn.LET(_xlpm.v,_xlfn.XLOOKUP($CJ91,Equip_List,IF($CK91="E",Equip_EmLen,IF($CK91="P",Equip_XfPriLen,Equip_FdrLen)),""),IF(_xlpm.v="","",_xlpm.v)))</f>
        <v/>
      </c>
      <c r="I91" s="806" t="str">
        <f t="shared" si="20"/>
        <v/>
      </c>
      <c r="J91" s="820"/>
      <c r="K91" s="806" t="str">
        <f>_xlfn.LET(_xlpm.k,IF($I91="","",IF(COUNTIF(UPS!$B$57:$B$64,$C91&amp;"")&gt;0,1.25*MAX($I91,N(_xlfn.XLOOKUP($C91&amp;"",UPS!$B$57:$B$64,UPS!$M$57:$M$64,0))),IF(COUNTIF(UPS!$B$57:$B$64,$D91&amp;"")&gt;0,1.25*MAX($I91,N(_xlfn.XLOOKUP($D91&amp;"",UPS!$B$57:$B$64,UPS!$Q$57:$Q$64,0))),$I91*IF(OR(UPPER($J91)="Y",LEFT($C91,2)="T-",LEFT($D91,2)="T-"),1.25,1)))),IF(_xlpm.k="","",MAX(_xlpm.k,N(IFERROR(_xlfn.XLOOKUP($D91&amp;"",Dashboard!$A$101:$A$350,Dashboard!$O$101:$O$350,0),0)))))</f>
        <v/>
      </c>
      <c r="L91" s="825" t="str">
        <f>IF($CJ91="","",_xlfn.LET(_xlpm.v,UPPER(TRIM(_xlfn.XLOOKUP($CJ91,Equip_List,Equip_FdrMat,"")&amp;"")),IF(_xlpm.v="",UPPER(TRIM(Cfg_FeederMat&amp;"")),_xlpm.v)))</f>
        <v/>
      </c>
      <c r="M91" s="825" t="str">
        <f>IF($CJ91="","",_xlfn.LET(_xlpm.v,TRIM(_xlfn.XLOOKUP($CJ91,Equip_List,Equip_FdrRace,"")&amp;""),IF(_xlpm.v="",Cfg_Conduit&amp;"",_xlpm.v)))</f>
        <v/>
      </c>
      <c r="N91" s="825" t="str">
        <f>IF($CJ91="","",IF(UPPER(TRIM(_xlfn.XLOOKUP($CJ91,Equip_List,Equip_FdrExist,"")&amp;""))="Y","Y",""))</f>
        <v/>
      </c>
      <c r="O91" s="823" t="str">
        <f t="shared" si="28"/>
        <v/>
      </c>
      <c r="P91" s="821" t="str">
        <f t="shared" si="29"/>
        <v/>
      </c>
      <c r="Q91" s="821" t="str">
        <f t="shared" si="30"/>
        <v/>
      </c>
      <c r="R91" s="822" t="str" cm="1">
        <f t="array" ref="R91">IF(K91="","",INDEX(OCPD_List,MATCH(TRUE,OCPD_List&gt;=K91,0)))</f>
        <v/>
      </c>
      <c r="S91" s="821" t="str">
        <f t="shared" si="31"/>
        <v/>
      </c>
      <c r="T91" s="826" t="str">
        <f t="shared" si="21"/>
        <v/>
      </c>
      <c r="U91" s="826" t="str">
        <f t="shared" si="22"/>
        <v/>
      </c>
      <c r="V91" s="827" t="str">
        <f t="shared" si="23"/>
        <v/>
      </c>
      <c r="W91" s="828"/>
      <c r="X91" s="819"/>
      <c r="Y91" s="820"/>
      <c r="Z91" s="820"/>
      <c r="AA91" s="820"/>
      <c r="BN91" s="832" t="str">
        <f>IF($B91="","",IFERROR(_xlfn.XLOOKUP($D91,Dashboard!$A$101:$A$350,Dashboard!$C$101:$C$350),""))</f>
        <v/>
      </c>
      <c r="BO91" s="832" t="str">
        <f t="shared" si="24"/>
        <v/>
      </c>
      <c r="BP91" s="832" t="str" cm="1">
        <f t="array" ref="BP91">IF(OR($B91="",$R91="",NOT(ISNUMBER($R91))),"",IF(AND($BV91="AL",$G91=1),"",_xlfn.LET(_xlpm.codes,IF($BV91="AL",Std_Al3_Code,IF($G91=1,Std_Cu1_Code,Std_Cu3_Code)),_xlpm.amps,IFERROR(--SUBSTITUTE(_xlpm.codes&amp;"","N",""),""),_xlpm.a,MIN(IF(ISNUMBER(_xlpm.amps),IF(_xlpm.amps&gt;=$R91,_xlpm.amps,""),"")),_xlpm.k,IF(_xlpm.a=0,$R91,_xlpm.a),IF($BO91="Y",TEXT(_xlpm.k,"0")&amp;"N",_xlpm.k))))</f>
        <v/>
      </c>
      <c r="BQ91" s="832" t="str" cm="1">
        <f t="array" ref="BQ91">IF($BP91="","",IFERROR(IF($BV91="AL",_xlfn.XLOOKUP($BP91,Std_Al3_Code,INDEX(Std_Al3_Table,0,3)),IF($G91=1,_xlfn.XLOOKUP($BP91,Std_Cu1_Code,INDEX(Std_Cu1_Table,0,3)),_xlfn.XLOOKUP($BP91,Std_Cu3_Code,INDEX(Std_Cu3_Table,0,3)))),""))</f>
        <v/>
      </c>
      <c r="BR91" s="832" t="str" cm="1">
        <f t="array" ref="BR91">IF($BP91="","",IFERROR(IF($BV91="AL",_xlfn.XLOOKUP($BP91,Std_Al3_Code,INDEX(Std_Al3_Table,0,4)),IF($G91=1,_xlfn.XLOOKUP($BP91,Std_Cu1_Code,INDEX(Std_Cu1_Table,0,4)),_xlfn.XLOOKUP($BP91,Std_Cu3_Code,INDEX(Std_Cu3_Table,0,4)))),""))</f>
        <v/>
      </c>
      <c r="BS91" s="832" t="str" cm="1">
        <f t="array" ref="BS91">IF($BP91="","",IFERROR(IF($BV91="AL",_xlfn.XLOOKUP($BP91,Std_Al3_Code,INDEX(Std_Al3_Table,0,5)),IF($G91=1,_xlfn.XLOOKUP($BP91,Std_Cu1_Code,INDEX(Std_Cu1_Table,0,5)),_xlfn.XLOOKUP($BP91,Std_Cu3_Code,INDEX(Std_Cu3_Table,0,5)))),""))</f>
        <v/>
      </c>
      <c r="BT91" s="832" t="str">
        <f t="shared" si="25"/>
        <v/>
      </c>
      <c r="BU91" s="832" t="str" cm="1">
        <f t="array" ref="BU91">IF($BP91="","",IFERROR(IF($BV91="AL",_xlfn.XLOOKUP($BP91,Std_Al3_Code,INDEX(Std_Al3_Table,0,2)),IF($G91=1,_xlfn.XLOOKUP($BP91,Std_Cu1_Code,INDEX(Std_Cu1_Table,0,2)),_xlfn.XLOOKUP($BP91,Std_Cu3_Code,INDEX(Std_Cu3_Table,0,2)))),""))</f>
        <v/>
      </c>
      <c r="BV91" s="829" t="str">
        <f t="shared" si="26"/>
        <v/>
      </c>
      <c r="BW91" s="829" t="str">
        <f t="shared" si="32"/>
        <v/>
      </c>
      <c r="BX91" s="829" t="str" cm="1">
        <f t="array" ref="BX91">IF(OR($BP91="",$H91="",$I91="",$F91="",$BW91=""),"",IFERROR(_xlfn.LET(_xlpm.codes,IF($BV91="AL",Std_Al3_Code,IF($G91=1,Std_Cu1_Code,Std_Cu3_Code)),_xlpm.tbl,IF($BV91="AL",Std_Al3_Table,IF($G91=1,Std_Cu1_Table,Std_Cu3_Table)),_xlpm.i,MATCH($BP91,_xlpm.codes,0),_xlpm.idx,_xlfn.SEQUENCE(ROWS(_xlpm.codes)),_xlpm.cnd,INDEX(_xlpm.tbl,0,4),_xlpm.sts,INDEX(_xlpm.tbl,0,2),_xlpm.sz,IFERROR(_xlfn.TEXTBEFORE(_xlfn.TEXTAFTER(_xlpm.cnd,"#"),","),IFERROR(_xlfn.TEXTAFTER(_xlpm.cnd,"#"),"")),_xlpm.cm,IFERROR(_xlfn.XLOOKUP(TRIM(_xlpm.sz),Ampacity_Size,Ampacity_CM),0),_xlpm.mult,IF($G91=3,SQRT3,2),_xlpm.kk,IF($BV91="AL",K_Al,K_Cu),_xlpm.vd,IF(_xlpm.cm*IF(ISNUMBER(_xlpm.sts),_xlpm.sts,0)=0,9,_xlpm.mult*_xlpm.kk*$I91*$H91/(_xlpm.cm*_xlpm.sts)/$F91),_xlpm.hasN,--(RIGHT(_xlpm.codes&amp;"",1)="N"),_xlpm.wantN,--(RIGHT($BP91&amp;"",1)="N"),_xlpm.ok,(_xlpm.idx&gt;=_xlpm.i)*(_xlpm.vd&lt;=Cfg_VDFeeder)*(_xlpm.cm&gt;0)*ISNUMBER(_xlpm.sts)*(_xlpm.hasN=_xlpm.wantN),_xlpm.m,MIN(IF(_xlpm.ok=1,_xlpm.idx)),INDEX(_xlpm.codes,IF(_xlpm.m=0,_xlpm.i,_xlpm.m))),""))</f>
        <v/>
      </c>
      <c r="BY91" s="829" t="str" cm="1">
        <f t="array" ref="BY91">IF($BP91="","",IF($BX91="",$BU91,IFERROR(IF($BV91="AL",_xlfn.XLOOKUP($BX91,Std_Al3_Code,INDEX(Std_Al3_Table,0,2)),IF($G91=1,_xlfn.XLOOKUP($BX91,Std_Cu1_Code,INDEX(Std_Cu1_Table,0,2)),_xlfn.XLOOKUP($BX91,Std_Cu3_Code,INDEX(Std_Cu3_Table,0,2)))),"")))</f>
        <v/>
      </c>
      <c r="BZ91" s="829" t="str" cm="1">
        <f t="array" ref="BZ91">IF($BP91="","",IF($BX91="",$BR91,IFERROR(IF($BV91="AL",_xlfn.XLOOKUP($BX91,Std_Al3_Code,INDEX(Std_Al3_Table,0,4)),IF($G91=1,_xlfn.XLOOKUP($BX91,Std_Cu1_Code,INDEX(Std_Cu1_Table,0,4)),_xlfn.XLOOKUP($BX91,Std_Cu3_Code,INDEX(Std_Cu3_Table,0,4)))),"")))</f>
        <v/>
      </c>
      <c r="CA91" s="829" t="str" cm="1">
        <f t="array" ref="CA91">IF($BP91="","",IF($BX91="",$BQ91,IFERROR(IF($BV91="AL",_xlfn.XLOOKUP($BX91,Std_Al3_Code,INDEX(Std_Al3_Table,0,3)),IF($G91=1,_xlfn.XLOOKUP($BX91,Std_Cu1_Code,INDEX(Std_Cu1_Table,0,3)),_xlfn.XLOOKUP($BX91,Std_Cu3_Code,INDEX(Std_Cu3_Table,0,3)))),"")))</f>
        <v/>
      </c>
      <c r="CB91" s="829" t="str" cm="1">
        <f t="array" ref="CB91">IF($BP91="","",IF($BX91="",$BS91,IFERROR(IF($BV91="AL",_xlfn.XLOOKUP($BX91,Std_Al3_Code,INDEX(Std_Al3_Table,0,5)),IF($G91=1,_xlfn.XLOOKUP($BX91,Std_Cu1_Code,INDEX(Std_Cu1_Table,0,5)),_xlfn.XLOOKUP($BX91,Std_Cu3_Code,INDEX(Std_Cu3_Table,0,5)))),"")))</f>
        <v/>
      </c>
      <c r="CC91" s="829" t="str">
        <f t="shared" si="33"/>
        <v/>
      </c>
      <c r="CD91" s="829" t="str">
        <f t="shared" si="34"/>
        <v/>
      </c>
      <c r="CE91" s="829" t="str">
        <f t="shared" si="35"/>
        <v/>
      </c>
      <c r="CF91" s="829" t="str">
        <f t="shared" si="36"/>
        <v/>
      </c>
      <c r="CG91" s="829" t="str">
        <f t="shared" si="37"/>
        <v/>
      </c>
      <c r="CH91" s="829" t="str">
        <f t="shared" si="38"/>
        <v/>
      </c>
      <c r="CI91" s="829" t="str">
        <f t="shared" si="39"/>
        <v/>
      </c>
      <c r="CJ91" s="829" t="str" cm="1">
        <f t="array" ref="CJ91">IF($B91="","",_xlfn.LET(_xlpm.to,$D91&amp;"",_xlpm.em,IFERROR(INDEX(_xlfn.ANCHORARRAY($BE$4),ROW()-4,6),"")="EMERG",_xlpm.pri,AND(NOT(_xlpm.em),LEFT(_xlpm.to,2)="T-",ISNUMBER(MATCH(MID(_xlpm.to,3,99),Equip_List,0)),ISNA(MATCH(_xlpm.to,Equip_List,0))),IF(_xlpm.pri,MID(_xlpm.to,3,99),_xlpm.to)))</f>
        <v/>
      </c>
      <c r="CK91" s="829" t="str" cm="1">
        <f t="array" ref="CK91">IF($CJ91="","",IF(IFERROR(INDEX(_xlfn.ANCHORARRAY($BE$4),ROW()-4,6),"")="EMERG","E",IF($CJ91&lt;&gt;$D91&amp;"","P","N")))</f>
        <v/>
      </c>
    </row>
    <row r="92" spans="1:89" ht="15" customHeight="1" x14ac:dyDescent="0.35">
      <c r="A92" s="821" t="str">
        <f t="shared" si="27"/>
        <v/>
      </c>
      <c r="B92" s="821" t="str" cm="1">
        <f t="array" ref="B92">IFERROR(IF(INDEX(_xlfn.ANCHORARRAY($BE$4),ROW()-4,2)="","","F-"&amp;INDEX(_xlfn.ANCHORARRAY($BE$4),ROW()-4,2)&amp;IF(IFERROR(INDEX(_xlfn.ANCHORARRAY($BE$4),ROW()-4,6),"")="EMERG","-E","")),"")</f>
        <v/>
      </c>
      <c r="C92" s="821" t="str" cm="1">
        <f t="array" ref="C92">IFERROR(IF($B92="","",INDEX(_xlfn.ANCHORARRAY($BE$4),ROW()-4,1)),"")</f>
        <v/>
      </c>
      <c r="D92" s="821" t="str" cm="1">
        <f t="array" ref="D92">IFERROR(IF($B92="","",INDEX(_xlfn.ANCHORARRAY($BE$4),ROW()-4,2)),"")</f>
        <v/>
      </c>
      <c r="E92" s="806" t="str" cm="1">
        <f t="array" ref="E92">IFERROR(IF($B92="","",INDEX(_xlfn.ANCHORARRAY($BE$4),ROW()-4,3)),"")</f>
        <v/>
      </c>
      <c r="F92" s="822" t="str" cm="1">
        <f t="array" ref="F92">IFERROR(IF($B92="","",INDEX(_xlfn.ANCHORARRAY($BE$4),ROW()-4,4)),"")</f>
        <v/>
      </c>
      <c r="G92" s="823" t="str" cm="1">
        <f t="array" ref="G92">IFERROR(IF($B92="","",INDEX(_xlfn.ANCHORARRAY($BE$4),ROW()-4,5)),"")</f>
        <v/>
      </c>
      <c r="H92" s="824" t="str" cm="1">
        <f t="array" ref="H92">IF($CJ92="","",_xlfn.LET(_xlpm.v,_xlfn.XLOOKUP($CJ92,Equip_List,IF($CK92="E",Equip_EmLen,IF($CK92="P",Equip_XfPriLen,Equip_FdrLen)),""),IF(_xlpm.v="","",_xlpm.v)))</f>
        <v/>
      </c>
      <c r="I92" s="806" t="str">
        <f t="shared" si="20"/>
        <v/>
      </c>
      <c r="J92" s="820"/>
      <c r="K92" s="806" t="str">
        <f>_xlfn.LET(_xlpm.k,IF($I92="","",IF(COUNTIF(UPS!$B$57:$B$64,$C92&amp;"")&gt;0,1.25*MAX($I92,N(_xlfn.XLOOKUP($C92&amp;"",UPS!$B$57:$B$64,UPS!$M$57:$M$64,0))),IF(COUNTIF(UPS!$B$57:$B$64,$D92&amp;"")&gt;0,1.25*MAX($I92,N(_xlfn.XLOOKUP($D92&amp;"",UPS!$B$57:$B$64,UPS!$Q$57:$Q$64,0))),$I92*IF(OR(UPPER($J92)="Y",LEFT($C92,2)="T-",LEFT($D92,2)="T-"),1.25,1)))),IF(_xlpm.k="","",MAX(_xlpm.k,N(IFERROR(_xlfn.XLOOKUP($D92&amp;"",Dashboard!$A$101:$A$350,Dashboard!$O$101:$O$350,0),0)))))</f>
        <v/>
      </c>
      <c r="L92" s="825" t="str">
        <f>IF($CJ92="","",_xlfn.LET(_xlpm.v,UPPER(TRIM(_xlfn.XLOOKUP($CJ92,Equip_List,Equip_FdrMat,"")&amp;"")),IF(_xlpm.v="",UPPER(TRIM(Cfg_FeederMat&amp;"")),_xlpm.v)))</f>
        <v/>
      </c>
      <c r="M92" s="825" t="str">
        <f>IF($CJ92="","",_xlfn.LET(_xlpm.v,TRIM(_xlfn.XLOOKUP($CJ92,Equip_List,Equip_FdrRace,"")&amp;""),IF(_xlpm.v="",Cfg_Conduit&amp;"",_xlpm.v)))</f>
        <v/>
      </c>
      <c r="N92" s="825" t="str">
        <f>IF($CJ92="","",IF(UPPER(TRIM(_xlfn.XLOOKUP($CJ92,Equip_List,Equip_FdrExist,"")&amp;""))="Y","Y",""))</f>
        <v/>
      </c>
      <c r="O92" s="823" t="str">
        <f t="shared" si="28"/>
        <v/>
      </c>
      <c r="P92" s="821" t="str">
        <f t="shared" si="29"/>
        <v/>
      </c>
      <c r="Q92" s="821" t="str">
        <f t="shared" si="30"/>
        <v/>
      </c>
      <c r="R92" s="822" t="str" cm="1">
        <f t="array" ref="R92">IF(K92="","",INDEX(OCPD_List,MATCH(TRUE,OCPD_List&gt;=K92,0)))</f>
        <v/>
      </c>
      <c r="S92" s="821" t="str">
        <f t="shared" si="31"/>
        <v/>
      </c>
      <c r="T92" s="826" t="str">
        <f t="shared" si="21"/>
        <v/>
      </c>
      <c r="U92" s="826" t="str">
        <f t="shared" si="22"/>
        <v/>
      </c>
      <c r="V92" s="827" t="str">
        <f t="shared" si="23"/>
        <v/>
      </c>
      <c r="W92" s="828"/>
      <c r="X92" s="819"/>
      <c r="Y92" s="820"/>
      <c r="Z92" s="820"/>
      <c r="AA92" s="820"/>
      <c r="BN92" s="832" t="str">
        <f>IF($B92="","",IFERROR(_xlfn.XLOOKUP($D92,Dashboard!$A$101:$A$350,Dashboard!$C$101:$C$350),""))</f>
        <v/>
      </c>
      <c r="BO92" s="832" t="str">
        <f t="shared" si="24"/>
        <v/>
      </c>
      <c r="BP92" s="832" t="str" cm="1">
        <f t="array" ref="BP92">IF(OR($B92="",$R92="",NOT(ISNUMBER($R92))),"",IF(AND($BV92="AL",$G92=1),"",_xlfn.LET(_xlpm.codes,IF($BV92="AL",Std_Al3_Code,IF($G92=1,Std_Cu1_Code,Std_Cu3_Code)),_xlpm.amps,IFERROR(--SUBSTITUTE(_xlpm.codes&amp;"","N",""),""),_xlpm.a,MIN(IF(ISNUMBER(_xlpm.amps),IF(_xlpm.amps&gt;=$R92,_xlpm.amps,""),"")),_xlpm.k,IF(_xlpm.a=0,$R92,_xlpm.a),IF($BO92="Y",TEXT(_xlpm.k,"0")&amp;"N",_xlpm.k))))</f>
        <v/>
      </c>
      <c r="BQ92" s="832" t="str" cm="1">
        <f t="array" ref="BQ92">IF($BP92="","",IFERROR(IF($BV92="AL",_xlfn.XLOOKUP($BP92,Std_Al3_Code,INDEX(Std_Al3_Table,0,3)),IF($G92=1,_xlfn.XLOOKUP($BP92,Std_Cu1_Code,INDEX(Std_Cu1_Table,0,3)),_xlfn.XLOOKUP($BP92,Std_Cu3_Code,INDEX(Std_Cu3_Table,0,3)))),""))</f>
        <v/>
      </c>
      <c r="BR92" s="832" t="str" cm="1">
        <f t="array" ref="BR92">IF($BP92="","",IFERROR(IF($BV92="AL",_xlfn.XLOOKUP($BP92,Std_Al3_Code,INDEX(Std_Al3_Table,0,4)),IF($G92=1,_xlfn.XLOOKUP($BP92,Std_Cu1_Code,INDEX(Std_Cu1_Table,0,4)),_xlfn.XLOOKUP($BP92,Std_Cu3_Code,INDEX(Std_Cu3_Table,0,4)))),""))</f>
        <v/>
      </c>
      <c r="BS92" s="832" t="str" cm="1">
        <f t="array" ref="BS92">IF($BP92="","",IFERROR(IF($BV92="AL",_xlfn.XLOOKUP($BP92,Std_Al3_Code,INDEX(Std_Al3_Table,0,5)),IF($G92=1,_xlfn.XLOOKUP($BP92,Std_Cu1_Code,INDEX(Std_Cu1_Table,0,5)),_xlfn.XLOOKUP($BP92,Std_Cu3_Code,INDEX(Std_Cu3_Table,0,5)))),""))</f>
        <v/>
      </c>
      <c r="BT92" s="832" t="str">
        <f t="shared" si="25"/>
        <v/>
      </c>
      <c r="BU92" s="832" t="str" cm="1">
        <f t="array" ref="BU92">IF($BP92="","",IFERROR(IF($BV92="AL",_xlfn.XLOOKUP($BP92,Std_Al3_Code,INDEX(Std_Al3_Table,0,2)),IF($G92=1,_xlfn.XLOOKUP($BP92,Std_Cu1_Code,INDEX(Std_Cu1_Table,0,2)),_xlfn.XLOOKUP($BP92,Std_Cu3_Code,INDEX(Std_Cu3_Table,0,2)))),""))</f>
        <v/>
      </c>
      <c r="BV92" s="829" t="str">
        <f t="shared" si="26"/>
        <v/>
      </c>
      <c r="BW92" s="829" t="str">
        <f t="shared" si="32"/>
        <v/>
      </c>
      <c r="BX92" s="829" t="str" cm="1">
        <f t="array" ref="BX92">IF(OR($BP92="",$H92="",$I92="",$F92="",$BW92=""),"",IFERROR(_xlfn.LET(_xlpm.codes,IF($BV92="AL",Std_Al3_Code,IF($G92=1,Std_Cu1_Code,Std_Cu3_Code)),_xlpm.tbl,IF($BV92="AL",Std_Al3_Table,IF($G92=1,Std_Cu1_Table,Std_Cu3_Table)),_xlpm.i,MATCH($BP92,_xlpm.codes,0),_xlpm.idx,_xlfn.SEQUENCE(ROWS(_xlpm.codes)),_xlpm.cnd,INDEX(_xlpm.tbl,0,4),_xlpm.sts,INDEX(_xlpm.tbl,0,2),_xlpm.sz,IFERROR(_xlfn.TEXTBEFORE(_xlfn.TEXTAFTER(_xlpm.cnd,"#"),","),IFERROR(_xlfn.TEXTAFTER(_xlpm.cnd,"#"),"")),_xlpm.cm,IFERROR(_xlfn.XLOOKUP(TRIM(_xlpm.sz),Ampacity_Size,Ampacity_CM),0),_xlpm.mult,IF($G92=3,SQRT3,2),_xlpm.kk,IF($BV92="AL",K_Al,K_Cu),_xlpm.vd,IF(_xlpm.cm*IF(ISNUMBER(_xlpm.sts),_xlpm.sts,0)=0,9,_xlpm.mult*_xlpm.kk*$I92*$H92/(_xlpm.cm*_xlpm.sts)/$F92),_xlpm.hasN,--(RIGHT(_xlpm.codes&amp;"",1)="N"),_xlpm.wantN,--(RIGHT($BP92&amp;"",1)="N"),_xlpm.ok,(_xlpm.idx&gt;=_xlpm.i)*(_xlpm.vd&lt;=Cfg_VDFeeder)*(_xlpm.cm&gt;0)*ISNUMBER(_xlpm.sts)*(_xlpm.hasN=_xlpm.wantN),_xlpm.m,MIN(IF(_xlpm.ok=1,_xlpm.idx)),INDEX(_xlpm.codes,IF(_xlpm.m=0,_xlpm.i,_xlpm.m))),""))</f>
        <v/>
      </c>
      <c r="BY92" s="829" t="str" cm="1">
        <f t="array" ref="BY92">IF($BP92="","",IF($BX92="",$BU92,IFERROR(IF($BV92="AL",_xlfn.XLOOKUP($BX92,Std_Al3_Code,INDEX(Std_Al3_Table,0,2)),IF($G92=1,_xlfn.XLOOKUP($BX92,Std_Cu1_Code,INDEX(Std_Cu1_Table,0,2)),_xlfn.XLOOKUP($BX92,Std_Cu3_Code,INDEX(Std_Cu3_Table,0,2)))),"")))</f>
        <v/>
      </c>
      <c r="BZ92" s="829" t="str" cm="1">
        <f t="array" ref="BZ92">IF($BP92="","",IF($BX92="",$BR92,IFERROR(IF($BV92="AL",_xlfn.XLOOKUP($BX92,Std_Al3_Code,INDEX(Std_Al3_Table,0,4)),IF($G92=1,_xlfn.XLOOKUP($BX92,Std_Cu1_Code,INDEX(Std_Cu1_Table,0,4)),_xlfn.XLOOKUP($BX92,Std_Cu3_Code,INDEX(Std_Cu3_Table,0,4)))),"")))</f>
        <v/>
      </c>
      <c r="CA92" s="829" t="str" cm="1">
        <f t="array" ref="CA92">IF($BP92="","",IF($BX92="",$BQ92,IFERROR(IF($BV92="AL",_xlfn.XLOOKUP($BX92,Std_Al3_Code,INDEX(Std_Al3_Table,0,3)),IF($G92=1,_xlfn.XLOOKUP($BX92,Std_Cu1_Code,INDEX(Std_Cu1_Table,0,3)),_xlfn.XLOOKUP($BX92,Std_Cu3_Code,INDEX(Std_Cu3_Table,0,3)))),"")))</f>
        <v/>
      </c>
      <c r="CB92" s="829" t="str" cm="1">
        <f t="array" ref="CB92">IF($BP92="","",IF($BX92="",$BS92,IFERROR(IF($BV92="AL",_xlfn.XLOOKUP($BX92,Std_Al3_Code,INDEX(Std_Al3_Table,0,5)),IF($G92=1,_xlfn.XLOOKUP($BX92,Std_Cu1_Code,INDEX(Std_Cu1_Table,0,5)),_xlfn.XLOOKUP($BX92,Std_Cu3_Code,INDEX(Std_Cu3_Table,0,5)))),"")))</f>
        <v/>
      </c>
      <c r="CC92" s="829" t="str">
        <f t="shared" si="33"/>
        <v/>
      </c>
      <c r="CD92" s="829" t="str">
        <f t="shared" si="34"/>
        <v/>
      </c>
      <c r="CE92" s="829" t="str">
        <f t="shared" si="35"/>
        <v/>
      </c>
      <c r="CF92" s="829" t="str">
        <f t="shared" si="36"/>
        <v/>
      </c>
      <c r="CG92" s="829" t="str">
        <f t="shared" si="37"/>
        <v/>
      </c>
      <c r="CH92" s="829" t="str">
        <f t="shared" si="38"/>
        <v/>
      </c>
      <c r="CI92" s="829" t="str">
        <f t="shared" si="39"/>
        <v/>
      </c>
      <c r="CJ92" s="829" t="str" cm="1">
        <f t="array" ref="CJ92">IF($B92="","",_xlfn.LET(_xlpm.to,$D92&amp;"",_xlpm.em,IFERROR(INDEX(_xlfn.ANCHORARRAY($BE$4),ROW()-4,6),"")="EMERG",_xlpm.pri,AND(NOT(_xlpm.em),LEFT(_xlpm.to,2)="T-",ISNUMBER(MATCH(MID(_xlpm.to,3,99),Equip_List,0)),ISNA(MATCH(_xlpm.to,Equip_List,0))),IF(_xlpm.pri,MID(_xlpm.to,3,99),_xlpm.to)))</f>
        <v/>
      </c>
      <c r="CK92" s="829" t="str" cm="1">
        <f t="array" ref="CK92">IF($CJ92="","",IF(IFERROR(INDEX(_xlfn.ANCHORARRAY($BE$4),ROW()-4,6),"")="EMERG","E",IF($CJ92&lt;&gt;$D92&amp;"","P","N")))</f>
        <v/>
      </c>
    </row>
    <row r="93" spans="1:89" ht="15" customHeight="1" x14ac:dyDescent="0.35">
      <c r="A93" s="821" t="str">
        <f t="shared" si="27"/>
        <v/>
      </c>
      <c r="B93" s="821" t="str" cm="1">
        <f t="array" ref="B93">IFERROR(IF(INDEX(_xlfn.ANCHORARRAY($BE$4),ROW()-4,2)="","","F-"&amp;INDEX(_xlfn.ANCHORARRAY($BE$4),ROW()-4,2)&amp;IF(IFERROR(INDEX(_xlfn.ANCHORARRAY($BE$4),ROW()-4,6),"")="EMERG","-E","")),"")</f>
        <v/>
      </c>
      <c r="C93" s="821" t="str" cm="1">
        <f t="array" ref="C93">IFERROR(IF($B93="","",INDEX(_xlfn.ANCHORARRAY($BE$4),ROW()-4,1)),"")</f>
        <v/>
      </c>
      <c r="D93" s="821" t="str" cm="1">
        <f t="array" ref="D93">IFERROR(IF($B93="","",INDEX(_xlfn.ANCHORARRAY($BE$4),ROW()-4,2)),"")</f>
        <v/>
      </c>
      <c r="E93" s="806" t="str" cm="1">
        <f t="array" ref="E93">IFERROR(IF($B93="","",INDEX(_xlfn.ANCHORARRAY($BE$4),ROW()-4,3)),"")</f>
        <v/>
      </c>
      <c r="F93" s="822" t="str" cm="1">
        <f t="array" ref="F93">IFERROR(IF($B93="","",INDEX(_xlfn.ANCHORARRAY($BE$4),ROW()-4,4)),"")</f>
        <v/>
      </c>
      <c r="G93" s="823" t="str" cm="1">
        <f t="array" ref="G93">IFERROR(IF($B93="","",INDEX(_xlfn.ANCHORARRAY($BE$4),ROW()-4,5)),"")</f>
        <v/>
      </c>
      <c r="H93" s="824" t="str" cm="1">
        <f t="array" ref="H93">IF($CJ93="","",_xlfn.LET(_xlpm.v,_xlfn.XLOOKUP($CJ93,Equip_List,IF($CK93="E",Equip_EmLen,IF($CK93="P",Equip_XfPriLen,Equip_FdrLen)),""),IF(_xlpm.v="","",_xlpm.v)))</f>
        <v/>
      </c>
      <c r="I93" s="806" t="str">
        <f t="shared" si="20"/>
        <v/>
      </c>
      <c r="J93" s="820"/>
      <c r="K93" s="806" t="str">
        <f>_xlfn.LET(_xlpm.k,IF($I93="","",IF(COUNTIF(UPS!$B$57:$B$64,$C93&amp;"")&gt;0,1.25*MAX($I93,N(_xlfn.XLOOKUP($C93&amp;"",UPS!$B$57:$B$64,UPS!$M$57:$M$64,0))),IF(COUNTIF(UPS!$B$57:$B$64,$D93&amp;"")&gt;0,1.25*MAX($I93,N(_xlfn.XLOOKUP($D93&amp;"",UPS!$B$57:$B$64,UPS!$Q$57:$Q$64,0))),$I93*IF(OR(UPPER($J93)="Y",LEFT($C93,2)="T-",LEFT($D93,2)="T-"),1.25,1)))),IF(_xlpm.k="","",MAX(_xlpm.k,N(IFERROR(_xlfn.XLOOKUP($D93&amp;"",Dashboard!$A$101:$A$350,Dashboard!$O$101:$O$350,0),0)))))</f>
        <v/>
      </c>
      <c r="L93" s="825" t="str">
        <f>IF($CJ93="","",_xlfn.LET(_xlpm.v,UPPER(TRIM(_xlfn.XLOOKUP($CJ93,Equip_List,Equip_FdrMat,"")&amp;"")),IF(_xlpm.v="",UPPER(TRIM(Cfg_FeederMat&amp;"")),_xlpm.v)))</f>
        <v/>
      </c>
      <c r="M93" s="825" t="str">
        <f>IF($CJ93="","",_xlfn.LET(_xlpm.v,TRIM(_xlfn.XLOOKUP($CJ93,Equip_List,Equip_FdrRace,"")&amp;""),IF(_xlpm.v="",Cfg_Conduit&amp;"",_xlpm.v)))</f>
        <v/>
      </c>
      <c r="N93" s="825" t="str">
        <f>IF($CJ93="","",IF(UPPER(TRIM(_xlfn.XLOOKUP($CJ93,Equip_List,Equip_FdrExist,"")&amp;""))="Y","Y",""))</f>
        <v/>
      </c>
      <c r="O93" s="823" t="str">
        <f t="shared" si="28"/>
        <v/>
      </c>
      <c r="P93" s="821" t="str">
        <f t="shared" si="29"/>
        <v/>
      </c>
      <c r="Q93" s="821" t="str">
        <f t="shared" si="30"/>
        <v/>
      </c>
      <c r="R93" s="822" t="str" cm="1">
        <f t="array" ref="R93">IF(K93="","",INDEX(OCPD_List,MATCH(TRUE,OCPD_List&gt;=K93,0)))</f>
        <v/>
      </c>
      <c r="S93" s="821" t="str">
        <f t="shared" si="31"/>
        <v/>
      </c>
      <c r="T93" s="826" t="str">
        <f t="shared" si="21"/>
        <v/>
      </c>
      <c r="U93" s="826" t="str">
        <f t="shared" si="22"/>
        <v/>
      </c>
      <c r="V93" s="827" t="str">
        <f t="shared" si="23"/>
        <v/>
      </c>
      <c r="W93" s="828"/>
      <c r="X93" s="819"/>
      <c r="Y93" s="820"/>
      <c r="Z93" s="820"/>
      <c r="AA93" s="820"/>
      <c r="BN93" s="832" t="str">
        <f>IF($B93="","",IFERROR(_xlfn.XLOOKUP($D93,Dashboard!$A$101:$A$350,Dashboard!$C$101:$C$350),""))</f>
        <v/>
      </c>
      <c r="BO93" s="832" t="str">
        <f t="shared" si="24"/>
        <v/>
      </c>
      <c r="BP93" s="832" t="str" cm="1">
        <f t="array" ref="BP93">IF(OR($B93="",$R93="",NOT(ISNUMBER($R93))),"",IF(AND($BV93="AL",$G93=1),"",_xlfn.LET(_xlpm.codes,IF($BV93="AL",Std_Al3_Code,IF($G93=1,Std_Cu1_Code,Std_Cu3_Code)),_xlpm.amps,IFERROR(--SUBSTITUTE(_xlpm.codes&amp;"","N",""),""),_xlpm.a,MIN(IF(ISNUMBER(_xlpm.amps),IF(_xlpm.amps&gt;=$R93,_xlpm.amps,""),"")),_xlpm.k,IF(_xlpm.a=0,$R93,_xlpm.a),IF($BO93="Y",TEXT(_xlpm.k,"0")&amp;"N",_xlpm.k))))</f>
        <v/>
      </c>
      <c r="BQ93" s="832" t="str" cm="1">
        <f t="array" ref="BQ93">IF($BP93="","",IFERROR(IF($BV93="AL",_xlfn.XLOOKUP($BP93,Std_Al3_Code,INDEX(Std_Al3_Table,0,3)),IF($G93=1,_xlfn.XLOOKUP($BP93,Std_Cu1_Code,INDEX(Std_Cu1_Table,0,3)),_xlfn.XLOOKUP($BP93,Std_Cu3_Code,INDEX(Std_Cu3_Table,0,3)))),""))</f>
        <v/>
      </c>
      <c r="BR93" s="832" t="str" cm="1">
        <f t="array" ref="BR93">IF($BP93="","",IFERROR(IF($BV93="AL",_xlfn.XLOOKUP($BP93,Std_Al3_Code,INDEX(Std_Al3_Table,0,4)),IF($G93=1,_xlfn.XLOOKUP($BP93,Std_Cu1_Code,INDEX(Std_Cu1_Table,0,4)),_xlfn.XLOOKUP($BP93,Std_Cu3_Code,INDEX(Std_Cu3_Table,0,4)))),""))</f>
        <v/>
      </c>
      <c r="BS93" s="832" t="str" cm="1">
        <f t="array" ref="BS93">IF($BP93="","",IFERROR(IF($BV93="AL",_xlfn.XLOOKUP($BP93,Std_Al3_Code,INDEX(Std_Al3_Table,0,5)),IF($G93=1,_xlfn.XLOOKUP($BP93,Std_Cu1_Code,INDEX(Std_Cu1_Table,0,5)),_xlfn.XLOOKUP($BP93,Std_Cu3_Code,INDEX(Std_Cu3_Table,0,5)))),""))</f>
        <v/>
      </c>
      <c r="BT93" s="832" t="str">
        <f t="shared" si="25"/>
        <v/>
      </c>
      <c r="BU93" s="832" t="str" cm="1">
        <f t="array" ref="BU93">IF($BP93="","",IFERROR(IF($BV93="AL",_xlfn.XLOOKUP($BP93,Std_Al3_Code,INDEX(Std_Al3_Table,0,2)),IF($G93=1,_xlfn.XLOOKUP($BP93,Std_Cu1_Code,INDEX(Std_Cu1_Table,0,2)),_xlfn.XLOOKUP($BP93,Std_Cu3_Code,INDEX(Std_Cu3_Table,0,2)))),""))</f>
        <v/>
      </c>
      <c r="BV93" s="829" t="str">
        <f t="shared" si="26"/>
        <v/>
      </c>
      <c r="BW93" s="829" t="str">
        <f t="shared" si="32"/>
        <v/>
      </c>
      <c r="BX93" s="829" t="str" cm="1">
        <f t="array" ref="BX93">IF(OR($BP93="",$H93="",$I93="",$F93="",$BW93=""),"",IFERROR(_xlfn.LET(_xlpm.codes,IF($BV93="AL",Std_Al3_Code,IF($G93=1,Std_Cu1_Code,Std_Cu3_Code)),_xlpm.tbl,IF($BV93="AL",Std_Al3_Table,IF($G93=1,Std_Cu1_Table,Std_Cu3_Table)),_xlpm.i,MATCH($BP93,_xlpm.codes,0),_xlpm.idx,_xlfn.SEQUENCE(ROWS(_xlpm.codes)),_xlpm.cnd,INDEX(_xlpm.tbl,0,4),_xlpm.sts,INDEX(_xlpm.tbl,0,2),_xlpm.sz,IFERROR(_xlfn.TEXTBEFORE(_xlfn.TEXTAFTER(_xlpm.cnd,"#"),","),IFERROR(_xlfn.TEXTAFTER(_xlpm.cnd,"#"),"")),_xlpm.cm,IFERROR(_xlfn.XLOOKUP(TRIM(_xlpm.sz),Ampacity_Size,Ampacity_CM),0),_xlpm.mult,IF($G93=3,SQRT3,2),_xlpm.kk,IF($BV93="AL",K_Al,K_Cu),_xlpm.vd,IF(_xlpm.cm*IF(ISNUMBER(_xlpm.sts),_xlpm.sts,0)=0,9,_xlpm.mult*_xlpm.kk*$I93*$H93/(_xlpm.cm*_xlpm.sts)/$F93),_xlpm.hasN,--(RIGHT(_xlpm.codes&amp;"",1)="N"),_xlpm.wantN,--(RIGHT($BP93&amp;"",1)="N"),_xlpm.ok,(_xlpm.idx&gt;=_xlpm.i)*(_xlpm.vd&lt;=Cfg_VDFeeder)*(_xlpm.cm&gt;0)*ISNUMBER(_xlpm.sts)*(_xlpm.hasN=_xlpm.wantN),_xlpm.m,MIN(IF(_xlpm.ok=1,_xlpm.idx)),INDEX(_xlpm.codes,IF(_xlpm.m=0,_xlpm.i,_xlpm.m))),""))</f>
        <v/>
      </c>
      <c r="BY93" s="829" t="str" cm="1">
        <f t="array" ref="BY93">IF($BP93="","",IF($BX93="",$BU93,IFERROR(IF($BV93="AL",_xlfn.XLOOKUP($BX93,Std_Al3_Code,INDEX(Std_Al3_Table,0,2)),IF($G93=1,_xlfn.XLOOKUP($BX93,Std_Cu1_Code,INDEX(Std_Cu1_Table,0,2)),_xlfn.XLOOKUP($BX93,Std_Cu3_Code,INDEX(Std_Cu3_Table,0,2)))),"")))</f>
        <v/>
      </c>
      <c r="BZ93" s="829" t="str" cm="1">
        <f t="array" ref="BZ93">IF($BP93="","",IF($BX93="",$BR93,IFERROR(IF($BV93="AL",_xlfn.XLOOKUP($BX93,Std_Al3_Code,INDEX(Std_Al3_Table,0,4)),IF($G93=1,_xlfn.XLOOKUP($BX93,Std_Cu1_Code,INDEX(Std_Cu1_Table,0,4)),_xlfn.XLOOKUP($BX93,Std_Cu3_Code,INDEX(Std_Cu3_Table,0,4)))),"")))</f>
        <v/>
      </c>
      <c r="CA93" s="829" t="str" cm="1">
        <f t="array" ref="CA93">IF($BP93="","",IF($BX93="",$BQ93,IFERROR(IF($BV93="AL",_xlfn.XLOOKUP($BX93,Std_Al3_Code,INDEX(Std_Al3_Table,0,3)),IF($G93=1,_xlfn.XLOOKUP($BX93,Std_Cu1_Code,INDEX(Std_Cu1_Table,0,3)),_xlfn.XLOOKUP($BX93,Std_Cu3_Code,INDEX(Std_Cu3_Table,0,3)))),"")))</f>
        <v/>
      </c>
      <c r="CB93" s="829" t="str" cm="1">
        <f t="array" ref="CB93">IF($BP93="","",IF($BX93="",$BS93,IFERROR(IF($BV93="AL",_xlfn.XLOOKUP($BX93,Std_Al3_Code,INDEX(Std_Al3_Table,0,5)),IF($G93=1,_xlfn.XLOOKUP($BX93,Std_Cu1_Code,INDEX(Std_Cu1_Table,0,5)),_xlfn.XLOOKUP($BX93,Std_Cu3_Code,INDEX(Std_Cu3_Table,0,5)))),"")))</f>
        <v/>
      </c>
      <c r="CC93" s="829" t="str">
        <f t="shared" si="33"/>
        <v/>
      </c>
      <c r="CD93" s="829" t="str">
        <f t="shared" si="34"/>
        <v/>
      </c>
      <c r="CE93" s="829" t="str">
        <f t="shared" si="35"/>
        <v/>
      </c>
      <c r="CF93" s="829" t="str">
        <f t="shared" si="36"/>
        <v/>
      </c>
      <c r="CG93" s="829" t="str">
        <f t="shared" si="37"/>
        <v/>
      </c>
      <c r="CH93" s="829" t="str">
        <f t="shared" si="38"/>
        <v/>
      </c>
      <c r="CI93" s="829" t="str">
        <f t="shared" si="39"/>
        <v/>
      </c>
      <c r="CJ93" s="829" t="str" cm="1">
        <f t="array" ref="CJ93">IF($B93="","",_xlfn.LET(_xlpm.to,$D93&amp;"",_xlpm.em,IFERROR(INDEX(_xlfn.ANCHORARRAY($BE$4),ROW()-4,6),"")="EMERG",_xlpm.pri,AND(NOT(_xlpm.em),LEFT(_xlpm.to,2)="T-",ISNUMBER(MATCH(MID(_xlpm.to,3,99),Equip_List,0)),ISNA(MATCH(_xlpm.to,Equip_List,0))),IF(_xlpm.pri,MID(_xlpm.to,3,99),_xlpm.to)))</f>
        <v/>
      </c>
      <c r="CK93" s="829" t="str" cm="1">
        <f t="array" ref="CK93">IF($CJ93="","",IF(IFERROR(INDEX(_xlfn.ANCHORARRAY($BE$4),ROW()-4,6),"")="EMERG","E",IF($CJ93&lt;&gt;$D93&amp;"","P","N")))</f>
        <v/>
      </c>
    </row>
    <row r="94" spans="1:89" ht="15" customHeight="1" x14ac:dyDescent="0.35">
      <c r="A94" s="821" t="str">
        <f t="shared" si="27"/>
        <v/>
      </c>
      <c r="B94" s="821" t="str" cm="1">
        <f t="array" ref="B94">IFERROR(IF(INDEX(_xlfn.ANCHORARRAY($BE$4),ROW()-4,2)="","","F-"&amp;INDEX(_xlfn.ANCHORARRAY($BE$4),ROW()-4,2)&amp;IF(IFERROR(INDEX(_xlfn.ANCHORARRAY($BE$4),ROW()-4,6),"")="EMERG","-E","")),"")</f>
        <v/>
      </c>
      <c r="C94" s="821" t="str" cm="1">
        <f t="array" ref="C94">IFERROR(IF($B94="","",INDEX(_xlfn.ANCHORARRAY($BE$4),ROW()-4,1)),"")</f>
        <v/>
      </c>
      <c r="D94" s="821" t="str" cm="1">
        <f t="array" ref="D94">IFERROR(IF($B94="","",INDEX(_xlfn.ANCHORARRAY($BE$4),ROW()-4,2)),"")</f>
        <v/>
      </c>
      <c r="E94" s="806" t="str" cm="1">
        <f t="array" ref="E94">IFERROR(IF($B94="","",INDEX(_xlfn.ANCHORARRAY($BE$4),ROW()-4,3)),"")</f>
        <v/>
      </c>
      <c r="F94" s="822" t="str" cm="1">
        <f t="array" ref="F94">IFERROR(IF($B94="","",INDEX(_xlfn.ANCHORARRAY($BE$4),ROW()-4,4)),"")</f>
        <v/>
      </c>
      <c r="G94" s="823" t="str" cm="1">
        <f t="array" ref="G94">IFERROR(IF($B94="","",INDEX(_xlfn.ANCHORARRAY($BE$4),ROW()-4,5)),"")</f>
        <v/>
      </c>
      <c r="H94" s="824" t="str" cm="1">
        <f t="array" ref="H94">IF($CJ94="","",_xlfn.LET(_xlpm.v,_xlfn.XLOOKUP($CJ94,Equip_List,IF($CK94="E",Equip_EmLen,IF($CK94="P",Equip_XfPriLen,Equip_FdrLen)),""),IF(_xlpm.v="","",_xlpm.v)))</f>
        <v/>
      </c>
      <c r="I94" s="806" t="str">
        <f t="shared" si="20"/>
        <v/>
      </c>
      <c r="J94" s="820"/>
      <c r="K94" s="806" t="str">
        <f>_xlfn.LET(_xlpm.k,IF($I94="","",IF(COUNTIF(UPS!$B$57:$B$64,$C94&amp;"")&gt;0,1.25*MAX($I94,N(_xlfn.XLOOKUP($C94&amp;"",UPS!$B$57:$B$64,UPS!$M$57:$M$64,0))),IF(COUNTIF(UPS!$B$57:$B$64,$D94&amp;"")&gt;0,1.25*MAX($I94,N(_xlfn.XLOOKUP($D94&amp;"",UPS!$B$57:$B$64,UPS!$Q$57:$Q$64,0))),$I94*IF(OR(UPPER($J94)="Y",LEFT($C94,2)="T-",LEFT($D94,2)="T-"),1.25,1)))),IF(_xlpm.k="","",MAX(_xlpm.k,N(IFERROR(_xlfn.XLOOKUP($D94&amp;"",Dashboard!$A$101:$A$350,Dashboard!$O$101:$O$350,0),0)))))</f>
        <v/>
      </c>
      <c r="L94" s="825" t="str">
        <f>IF($CJ94="","",_xlfn.LET(_xlpm.v,UPPER(TRIM(_xlfn.XLOOKUP($CJ94,Equip_List,Equip_FdrMat,"")&amp;"")),IF(_xlpm.v="",UPPER(TRIM(Cfg_FeederMat&amp;"")),_xlpm.v)))</f>
        <v/>
      </c>
      <c r="M94" s="825" t="str">
        <f>IF($CJ94="","",_xlfn.LET(_xlpm.v,TRIM(_xlfn.XLOOKUP($CJ94,Equip_List,Equip_FdrRace,"")&amp;""),IF(_xlpm.v="",Cfg_Conduit&amp;"",_xlpm.v)))</f>
        <v/>
      </c>
      <c r="N94" s="825" t="str">
        <f>IF($CJ94="","",IF(UPPER(TRIM(_xlfn.XLOOKUP($CJ94,Equip_List,Equip_FdrExist,"")&amp;""))="Y","Y",""))</f>
        <v/>
      </c>
      <c r="O94" s="823" t="str">
        <f t="shared" si="28"/>
        <v/>
      </c>
      <c r="P94" s="821" t="str">
        <f t="shared" si="29"/>
        <v/>
      </c>
      <c r="Q94" s="821" t="str">
        <f t="shared" si="30"/>
        <v/>
      </c>
      <c r="R94" s="822" t="str" cm="1">
        <f t="array" ref="R94">IF(K94="","",INDEX(OCPD_List,MATCH(TRUE,OCPD_List&gt;=K94,0)))</f>
        <v/>
      </c>
      <c r="S94" s="821" t="str">
        <f t="shared" si="31"/>
        <v/>
      </c>
      <c r="T94" s="826" t="str">
        <f t="shared" si="21"/>
        <v/>
      </c>
      <c r="U94" s="826" t="str">
        <f t="shared" si="22"/>
        <v/>
      </c>
      <c r="V94" s="827" t="str">
        <f t="shared" si="23"/>
        <v/>
      </c>
      <c r="W94" s="828"/>
      <c r="X94" s="819"/>
      <c r="Y94" s="820"/>
      <c r="Z94" s="820"/>
      <c r="AA94" s="820"/>
      <c r="BN94" s="832" t="str">
        <f>IF($B94="","",IFERROR(_xlfn.XLOOKUP($D94,Dashboard!$A$101:$A$350,Dashboard!$C$101:$C$350),""))</f>
        <v/>
      </c>
      <c r="BO94" s="832" t="str">
        <f t="shared" si="24"/>
        <v/>
      </c>
      <c r="BP94" s="832" t="str" cm="1">
        <f t="array" ref="BP94">IF(OR($B94="",$R94="",NOT(ISNUMBER($R94))),"",IF(AND($BV94="AL",$G94=1),"",_xlfn.LET(_xlpm.codes,IF($BV94="AL",Std_Al3_Code,IF($G94=1,Std_Cu1_Code,Std_Cu3_Code)),_xlpm.amps,IFERROR(--SUBSTITUTE(_xlpm.codes&amp;"","N",""),""),_xlpm.a,MIN(IF(ISNUMBER(_xlpm.amps),IF(_xlpm.amps&gt;=$R94,_xlpm.amps,""),"")),_xlpm.k,IF(_xlpm.a=0,$R94,_xlpm.a),IF($BO94="Y",TEXT(_xlpm.k,"0")&amp;"N",_xlpm.k))))</f>
        <v/>
      </c>
      <c r="BQ94" s="832" t="str" cm="1">
        <f t="array" ref="BQ94">IF($BP94="","",IFERROR(IF($BV94="AL",_xlfn.XLOOKUP($BP94,Std_Al3_Code,INDEX(Std_Al3_Table,0,3)),IF($G94=1,_xlfn.XLOOKUP($BP94,Std_Cu1_Code,INDEX(Std_Cu1_Table,0,3)),_xlfn.XLOOKUP($BP94,Std_Cu3_Code,INDEX(Std_Cu3_Table,0,3)))),""))</f>
        <v/>
      </c>
      <c r="BR94" s="832" t="str" cm="1">
        <f t="array" ref="BR94">IF($BP94="","",IFERROR(IF($BV94="AL",_xlfn.XLOOKUP($BP94,Std_Al3_Code,INDEX(Std_Al3_Table,0,4)),IF($G94=1,_xlfn.XLOOKUP($BP94,Std_Cu1_Code,INDEX(Std_Cu1_Table,0,4)),_xlfn.XLOOKUP($BP94,Std_Cu3_Code,INDEX(Std_Cu3_Table,0,4)))),""))</f>
        <v/>
      </c>
      <c r="BS94" s="832" t="str" cm="1">
        <f t="array" ref="BS94">IF($BP94="","",IFERROR(IF($BV94="AL",_xlfn.XLOOKUP($BP94,Std_Al3_Code,INDEX(Std_Al3_Table,0,5)),IF($G94=1,_xlfn.XLOOKUP($BP94,Std_Cu1_Code,INDEX(Std_Cu1_Table,0,5)),_xlfn.XLOOKUP($BP94,Std_Cu3_Code,INDEX(Std_Cu3_Table,0,5)))),""))</f>
        <v/>
      </c>
      <c r="BT94" s="832" t="str">
        <f t="shared" si="25"/>
        <v/>
      </c>
      <c r="BU94" s="832" t="str" cm="1">
        <f t="array" ref="BU94">IF($BP94="","",IFERROR(IF($BV94="AL",_xlfn.XLOOKUP($BP94,Std_Al3_Code,INDEX(Std_Al3_Table,0,2)),IF($G94=1,_xlfn.XLOOKUP($BP94,Std_Cu1_Code,INDEX(Std_Cu1_Table,0,2)),_xlfn.XLOOKUP($BP94,Std_Cu3_Code,INDEX(Std_Cu3_Table,0,2)))),""))</f>
        <v/>
      </c>
      <c r="BV94" s="829" t="str">
        <f t="shared" si="26"/>
        <v/>
      </c>
      <c r="BW94" s="829" t="str">
        <f t="shared" si="32"/>
        <v/>
      </c>
      <c r="BX94" s="829" t="str" cm="1">
        <f t="array" ref="BX94">IF(OR($BP94="",$H94="",$I94="",$F94="",$BW94=""),"",IFERROR(_xlfn.LET(_xlpm.codes,IF($BV94="AL",Std_Al3_Code,IF($G94=1,Std_Cu1_Code,Std_Cu3_Code)),_xlpm.tbl,IF($BV94="AL",Std_Al3_Table,IF($G94=1,Std_Cu1_Table,Std_Cu3_Table)),_xlpm.i,MATCH($BP94,_xlpm.codes,0),_xlpm.idx,_xlfn.SEQUENCE(ROWS(_xlpm.codes)),_xlpm.cnd,INDEX(_xlpm.tbl,0,4),_xlpm.sts,INDEX(_xlpm.tbl,0,2),_xlpm.sz,IFERROR(_xlfn.TEXTBEFORE(_xlfn.TEXTAFTER(_xlpm.cnd,"#"),","),IFERROR(_xlfn.TEXTAFTER(_xlpm.cnd,"#"),"")),_xlpm.cm,IFERROR(_xlfn.XLOOKUP(TRIM(_xlpm.sz),Ampacity_Size,Ampacity_CM),0),_xlpm.mult,IF($G94=3,SQRT3,2),_xlpm.kk,IF($BV94="AL",K_Al,K_Cu),_xlpm.vd,IF(_xlpm.cm*IF(ISNUMBER(_xlpm.sts),_xlpm.sts,0)=0,9,_xlpm.mult*_xlpm.kk*$I94*$H94/(_xlpm.cm*_xlpm.sts)/$F94),_xlpm.hasN,--(RIGHT(_xlpm.codes&amp;"",1)="N"),_xlpm.wantN,--(RIGHT($BP94&amp;"",1)="N"),_xlpm.ok,(_xlpm.idx&gt;=_xlpm.i)*(_xlpm.vd&lt;=Cfg_VDFeeder)*(_xlpm.cm&gt;0)*ISNUMBER(_xlpm.sts)*(_xlpm.hasN=_xlpm.wantN),_xlpm.m,MIN(IF(_xlpm.ok=1,_xlpm.idx)),INDEX(_xlpm.codes,IF(_xlpm.m=0,_xlpm.i,_xlpm.m))),""))</f>
        <v/>
      </c>
      <c r="BY94" s="829" t="str" cm="1">
        <f t="array" ref="BY94">IF($BP94="","",IF($BX94="",$BU94,IFERROR(IF($BV94="AL",_xlfn.XLOOKUP($BX94,Std_Al3_Code,INDEX(Std_Al3_Table,0,2)),IF($G94=1,_xlfn.XLOOKUP($BX94,Std_Cu1_Code,INDEX(Std_Cu1_Table,0,2)),_xlfn.XLOOKUP($BX94,Std_Cu3_Code,INDEX(Std_Cu3_Table,0,2)))),"")))</f>
        <v/>
      </c>
      <c r="BZ94" s="829" t="str" cm="1">
        <f t="array" ref="BZ94">IF($BP94="","",IF($BX94="",$BR94,IFERROR(IF($BV94="AL",_xlfn.XLOOKUP($BX94,Std_Al3_Code,INDEX(Std_Al3_Table,0,4)),IF($G94=1,_xlfn.XLOOKUP($BX94,Std_Cu1_Code,INDEX(Std_Cu1_Table,0,4)),_xlfn.XLOOKUP($BX94,Std_Cu3_Code,INDEX(Std_Cu3_Table,0,4)))),"")))</f>
        <v/>
      </c>
      <c r="CA94" s="829" t="str" cm="1">
        <f t="array" ref="CA94">IF($BP94="","",IF($BX94="",$BQ94,IFERROR(IF($BV94="AL",_xlfn.XLOOKUP($BX94,Std_Al3_Code,INDEX(Std_Al3_Table,0,3)),IF($G94=1,_xlfn.XLOOKUP($BX94,Std_Cu1_Code,INDEX(Std_Cu1_Table,0,3)),_xlfn.XLOOKUP($BX94,Std_Cu3_Code,INDEX(Std_Cu3_Table,0,3)))),"")))</f>
        <v/>
      </c>
      <c r="CB94" s="829" t="str" cm="1">
        <f t="array" ref="CB94">IF($BP94="","",IF($BX94="",$BS94,IFERROR(IF($BV94="AL",_xlfn.XLOOKUP($BX94,Std_Al3_Code,INDEX(Std_Al3_Table,0,5)),IF($G94=1,_xlfn.XLOOKUP($BX94,Std_Cu1_Code,INDEX(Std_Cu1_Table,0,5)),_xlfn.XLOOKUP($BX94,Std_Cu3_Code,INDEX(Std_Cu3_Table,0,5)))),"")))</f>
        <v/>
      </c>
      <c r="CC94" s="829" t="str">
        <f t="shared" si="33"/>
        <v/>
      </c>
      <c r="CD94" s="829" t="str">
        <f t="shared" si="34"/>
        <v/>
      </c>
      <c r="CE94" s="829" t="str">
        <f t="shared" si="35"/>
        <v/>
      </c>
      <c r="CF94" s="829" t="str">
        <f t="shared" si="36"/>
        <v/>
      </c>
      <c r="CG94" s="829" t="str">
        <f t="shared" si="37"/>
        <v/>
      </c>
      <c r="CH94" s="829" t="str">
        <f t="shared" si="38"/>
        <v/>
      </c>
      <c r="CI94" s="829" t="str">
        <f t="shared" si="39"/>
        <v/>
      </c>
      <c r="CJ94" s="829" t="str" cm="1">
        <f t="array" ref="CJ94">IF($B94="","",_xlfn.LET(_xlpm.to,$D94&amp;"",_xlpm.em,IFERROR(INDEX(_xlfn.ANCHORARRAY($BE$4),ROW()-4,6),"")="EMERG",_xlpm.pri,AND(NOT(_xlpm.em),LEFT(_xlpm.to,2)="T-",ISNUMBER(MATCH(MID(_xlpm.to,3,99),Equip_List,0)),ISNA(MATCH(_xlpm.to,Equip_List,0))),IF(_xlpm.pri,MID(_xlpm.to,3,99),_xlpm.to)))</f>
        <v/>
      </c>
      <c r="CK94" s="829" t="str" cm="1">
        <f t="array" ref="CK94">IF($CJ94="","",IF(IFERROR(INDEX(_xlfn.ANCHORARRAY($BE$4),ROW()-4,6),"")="EMERG","E",IF($CJ94&lt;&gt;$D94&amp;"","P","N")))</f>
        <v/>
      </c>
    </row>
    <row r="95" spans="1:89" ht="15" customHeight="1" x14ac:dyDescent="0.35">
      <c r="A95" s="821" t="str">
        <f t="shared" si="27"/>
        <v/>
      </c>
      <c r="B95" s="821" t="str" cm="1">
        <f t="array" ref="B95">IFERROR(IF(INDEX(_xlfn.ANCHORARRAY($BE$4),ROW()-4,2)="","","F-"&amp;INDEX(_xlfn.ANCHORARRAY($BE$4),ROW()-4,2)&amp;IF(IFERROR(INDEX(_xlfn.ANCHORARRAY($BE$4),ROW()-4,6),"")="EMERG","-E","")),"")</f>
        <v/>
      </c>
      <c r="C95" s="821" t="str" cm="1">
        <f t="array" ref="C95">IFERROR(IF($B95="","",INDEX(_xlfn.ANCHORARRAY($BE$4),ROW()-4,1)),"")</f>
        <v/>
      </c>
      <c r="D95" s="821" t="str" cm="1">
        <f t="array" ref="D95">IFERROR(IF($B95="","",INDEX(_xlfn.ANCHORARRAY($BE$4),ROW()-4,2)),"")</f>
        <v/>
      </c>
      <c r="E95" s="806" t="str" cm="1">
        <f t="array" ref="E95">IFERROR(IF($B95="","",INDEX(_xlfn.ANCHORARRAY($BE$4),ROW()-4,3)),"")</f>
        <v/>
      </c>
      <c r="F95" s="822" t="str" cm="1">
        <f t="array" ref="F95">IFERROR(IF($B95="","",INDEX(_xlfn.ANCHORARRAY($BE$4),ROW()-4,4)),"")</f>
        <v/>
      </c>
      <c r="G95" s="823" t="str" cm="1">
        <f t="array" ref="G95">IFERROR(IF($B95="","",INDEX(_xlfn.ANCHORARRAY($BE$4),ROW()-4,5)),"")</f>
        <v/>
      </c>
      <c r="H95" s="824" t="str" cm="1">
        <f t="array" ref="H95">IF($CJ95="","",_xlfn.LET(_xlpm.v,_xlfn.XLOOKUP($CJ95,Equip_List,IF($CK95="E",Equip_EmLen,IF($CK95="P",Equip_XfPriLen,Equip_FdrLen)),""),IF(_xlpm.v="","",_xlpm.v)))</f>
        <v/>
      </c>
      <c r="I95" s="806" t="str">
        <f t="shared" si="20"/>
        <v/>
      </c>
      <c r="J95" s="820"/>
      <c r="K95" s="806" t="str">
        <f>_xlfn.LET(_xlpm.k,IF($I95="","",IF(COUNTIF(UPS!$B$57:$B$64,$C95&amp;"")&gt;0,1.25*MAX($I95,N(_xlfn.XLOOKUP($C95&amp;"",UPS!$B$57:$B$64,UPS!$M$57:$M$64,0))),IF(COUNTIF(UPS!$B$57:$B$64,$D95&amp;"")&gt;0,1.25*MAX($I95,N(_xlfn.XLOOKUP($D95&amp;"",UPS!$B$57:$B$64,UPS!$Q$57:$Q$64,0))),$I95*IF(OR(UPPER($J95)="Y",LEFT($C95,2)="T-",LEFT($D95,2)="T-"),1.25,1)))),IF(_xlpm.k="","",MAX(_xlpm.k,N(IFERROR(_xlfn.XLOOKUP($D95&amp;"",Dashboard!$A$101:$A$350,Dashboard!$O$101:$O$350,0),0)))))</f>
        <v/>
      </c>
      <c r="L95" s="825" t="str">
        <f>IF($CJ95="","",_xlfn.LET(_xlpm.v,UPPER(TRIM(_xlfn.XLOOKUP($CJ95,Equip_List,Equip_FdrMat,"")&amp;"")),IF(_xlpm.v="",UPPER(TRIM(Cfg_FeederMat&amp;"")),_xlpm.v)))</f>
        <v/>
      </c>
      <c r="M95" s="825" t="str">
        <f>IF($CJ95="","",_xlfn.LET(_xlpm.v,TRIM(_xlfn.XLOOKUP($CJ95,Equip_List,Equip_FdrRace,"")&amp;""),IF(_xlpm.v="",Cfg_Conduit&amp;"",_xlpm.v)))</f>
        <v/>
      </c>
      <c r="N95" s="825" t="str">
        <f>IF($CJ95="","",IF(UPPER(TRIM(_xlfn.XLOOKUP($CJ95,Equip_List,Equip_FdrExist,"")&amp;""))="Y","Y",""))</f>
        <v/>
      </c>
      <c r="O95" s="823" t="str">
        <f t="shared" si="28"/>
        <v/>
      </c>
      <c r="P95" s="821" t="str">
        <f t="shared" si="29"/>
        <v/>
      </c>
      <c r="Q95" s="821" t="str">
        <f t="shared" si="30"/>
        <v/>
      </c>
      <c r="R95" s="822" t="str" cm="1">
        <f t="array" ref="R95">IF(K95="","",INDEX(OCPD_List,MATCH(TRUE,OCPD_List&gt;=K95,0)))</f>
        <v/>
      </c>
      <c r="S95" s="821" t="str">
        <f t="shared" si="31"/>
        <v/>
      </c>
      <c r="T95" s="826" t="str">
        <f t="shared" si="21"/>
        <v/>
      </c>
      <c r="U95" s="826" t="str">
        <f t="shared" si="22"/>
        <v/>
      </c>
      <c r="V95" s="827" t="str">
        <f t="shared" si="23"/>
        <v/>
      </c>
      <c r="W95" s="828"/>
      <c r="X95" s="819"/>
      <c r="Y95" s="820"/>
      <c r="Z95" s="820"/>
      <c r="AA95" s="820"/>
      <c r="BN95" s="832" t="str">
        <f>IF($B95="","",IFERROR(_xlfn.XLOOKUP($D95,Dashboard!$A$101:$A$350,Dashboard!$C$101:$C$350),""))</f>
        <v/>
      </c>
      <c r="BO95" s="832" t="str">
        <f t="shared" si="24"/>
        <v/>
      </c>
      <c r="BP95" s="832" t="str" cm="1">
        <f t="array" ref="BP95">IF(OR($B95="",$R95="",NOT(ISNUMBER($R95))),"",IF(AND($BV95="AL",$G95=1),"",_xlfn.LET(_xlpm.codes,IF($BV95="AL",Std_Al3_Code,IF($G95=1,Std_Cu1_Code,Std_Cu3_Code)),_xlpm.amps,IFERROR(--SUBSTITUTE(_xlpm.codes&amp;"","N",""),""),_xlpm.a,MIN(IF(ISNUMBER(_xlpm.amps),IF(_xlpm.amps&gt;=$R95,_xlpm.amps,""),"")),_xlpm.k,IF(_xlpm.a=0,$R95,_xlpm.a),IF($BO95="Y",TEXT(_xlpm.k,"0")&amp;"N",_xlpm.k))))</f>
        <v/>
      </c>
      <c r="BQ95" s="832" t="str" cm="1">
        <f t="array" ref="BQ95">IF($BP95="","",IFERROR(IF($BV95="AL",_xlfn.XLOOKUP($BP95,Std_Al3_Code,INDEX(Std_Al3_Table,0,3)),IF($G95=1,_xlfn.XLOOKUP($BP95,Std_Cu1_Code,INDEX(Std_Cu1_Table,0,3)),_xlfn.XLOOKUP($BP95,Std_Cu3_Code,INDEX(Std_Cu3_Table,0,3)))),""))</f>
        <v/>
      </c>
      <c r="BR95" s="832" t="str" cm="1">
        <f t="array" ref="BR95">IF($BP95="","",IFERROR(IF($BV95="AL",_xlfn.XLOOKUP($BP95,Std_Al3_Code,INDEX(Std_Al3_Table,0,4)),IF($G95=1,_xlfn.XLOOKUP($BP95,Std_Cu1_Code,INDEX(Std_Cu1_Table,0,4)),_xlfn.XLOOKUP($BP95,Std_Cu3_Code,INDEX(Std_Cu3_Table,0,4)))),""))</f>
        <v/>
      </c>
      <c r="BS95" s="832" t="str" cm="1">
        <f t="array" ref="BS95">IF($BP95="","",IFERROR(IF($BV95="AL",_xlfn.XLOOKUP($BP95,Std_Al3_Code,INDEX(Std_Al3_Table,0,5)),IF($G95=1,_xlfn.XLOOKUP($BP95,Std_Cu1_Code,INDEX(Std_Cu1_Table,0,5)),_xlfn.XLOOKUP($BP95,Std_Cu3_Code,INDEX(Std_Cu3_Table,0,5)))),""))</f>
        <v/>
      </c>
      <c r="BT95" s="832" t="str">
        <f t="shared" si="25"/>
        <v/>
      </c>
      <c r="BU95" s="832" t="str" cm="1">
        <f t="array" ref="BU95">IF($BP95="","",IFERROR(IF($BV95="AL",_xlfn.XLOOKUP($BP95,Std_Al3_Code,INDEX(Std_Al3_Table,0,2)),IF($G95=1,_xlfn.XLOOKUP($BP95,Std_Cu1_Code,INDEX(Std_Cu1_Table,0,2)),_xlfn.XLOOKUP($BP95,Std_Cu3_Code,INDEX(Std_Cu3_Table,0,2)))),""))</f>
        <v/>
      </c>
      <c r="BV95" s="829" t="str">
        <f t="shared" si="26"/>
        <v/>
      </c>
      <c r="BW95" s="829" t="str">
        <f t="shared" si="32"/>
        <v/>
      </c>
      <c r="BX95" s="829" t="str" cm="1">
        <f t="array" ref="BX95">IF(OR($BP95="",$H95="",$I95="",$F95="",$BW95=""),"",IFERROR(_xlfn.LET(_xlpm.codes,IF($BV95="AL",Std_Al3_Code,IF($G95=1,Std_Cu1_Code,Std_Cu3_Code)),_xlpm.tbl,IF($BV95="AL",Std_Al3_Table,IF($G95=1,Std_Cu1_Table,Std_Cu3_Table)),_xlpm.i,MATCH($BP95,_xlpm.codes,0),_xlpm.idx,_xlfn.SEQUENCE(ROWS(_xlpm.codes)),_xlpm.cnd,INDEX(_xlpm.tbl,0,4),_xlpm.sts,INDEX(_xlpm.tbl,0,2),_xlpm.sz,IFERROR(_xlfn.TEXTBEFORE(_xlfn.TEXTAFTER(_xlpm.cnd,"#"),","),IFERROR(_xlfn.TEXTAFTER(_xlpm.cnd,"#"),"")),_xlpm.cm,IFERROR(_xlfn.XLOOKUP(TRIM(_xlpm.sz),Ampacity_Size,Ampacity_CM),0),_xlpm.mult,IF($G95=3,SQRT3,2),_xlpm.kk,IF($BV95="AL",K_Al,K_Cu),_xlpm.vd,IF(_xlpm.cm*IF(ISNUMBER(_xlpm.sts),_xlpm.sts,0)=0,9,_xlpm.mult*_xlpm.kk*$I95*$H95/(_xlpm.cm*_xlpm.sts)/$F95),_xlpm.hasN,--(RIGHT(_xlpm.codes&amp;"",1)="N"),_xlpm.wantN,--(RIGHT($BP95&amp;"",1)="N"),_xlpm.ok,(_xlpm.idx&gt;=_xlpm.i)*(_xlpm.vd&lt;=Cfg_VDFeeder)*(_xlpm.cm&gt;0)*ISNUMBER(_xlpm.sts)*(_xlpm.hasN=_xlpm.wantN),_xlpm.m,MIN(IF(_xlpm.ok=1,_xlpm.idx)),INDEX(_xlpm.codes,IF(_xlpm.m=0,_xlpm.i,_xlpm.m))),""))</f>
        <v/>
      </c>
      <c r="BY95" s="829" t="str" cm="1">
        <f t="array" ref="BY95">IF($BP95="","",IF($BX95="",$BU95,IFERROR(IF($BV95="AL",_xlfn.XLOOKUP($BX95,Std_Al3_Code,INDEX(Std_Al3_Table,0,2)),IF($G95=1,_xlfn.XLOOKUP($BX95,Std_Cu1_Code,INDEX(Std_Cu1_Table,0,2)),_xlfn.XLOOKUP($BX95,Std_Cu3_Code,INDEX(Std_Cu3_Table,0,2)))),"")))</f>
        <v/>
      </c>
      <c r="BZ95" s="829" t="str" cm="1">
        <f t="array" ref="BZ95">IF($BP95="","",IF($BX95="",$BR95,IFERROR(IF($BV95="AL",_xlfn.XLOOKUP($BX95,Std_Al3_Code,INDEX(Std_Al3_Table,0,4)),IF($G95=1,_xlfn.XLOOKUP($BX95,Std_Cu1_Code,INDEX(Std_Cu1_Table,0,4)),_xlfn.XLOOKUP($BX95,Std_Cu3_Code,INDEX(Std_Cu3_Table,0,4)))),"")))</f>
        <v/>
      </c>
      <c r="CA95" s="829" t="str" cm="1">
        <f t="array" ref="CA95">IF($BP95="","",IF($BX95="",$BQ95,IFERROR(IF($BV95="AL",_xlfn.XLOOKUP($BX95,Std_Al3_Code,INDEX(Std_Al3_Table,0,3)),IF($G95=1,_xlfn.XLOOKUP($BX95,Std_Cu1_Code,INDEX(Std_Cu1_Table,0,3)),_xlfn.XLOOKUP($BX95,Std_Cu3_Code,INDEX(Std_Cu3_Table,0,3)))),"")))</f>
        <v/>
      </c>
      <c r="CB95" s="829" t="str" cm="1">
        <f t="array" ref="CB95">IF($BP95="","",IF($BX95="",$BS95,IFERROR(IF($BV95="AL",_xlfn.XLOOKUP($BX95,Std_Al3_Code,INDEX(Std_Al3_Table,0,5)),IF($G95=1,_xlfn.XLOOKUP($BX95,Std_Cu1_Code,INDEX(Std_Cu1_Table,0,5)),_xlfn.XLOOKUP($BX95,Std_Cu3_Code,INDEX(Std_Cu3_Table,0,5)))),"")))</f>
        <v/>
      </c>
      <c r="CC95" s="829" t="str">
        <f t="shared" si="33"/>
        <v/>
      </c>
      <c r="CD95" s="829" t="str">
        <f t="shared" si="34"/>
        <v/>
      </c>
      <c r="CE95" s="829" t="str">
        <f t="shared" si="35"/>
        <v/>
      </c>
      <c r="CF95" s="829" t="str">
        <f t="shared" si="36"/>
        <v/>
      </c>
      <c r="CG95" s="829" t="str">
        <f t="shared" si="37"/>
        <v/>
      </c>
      <c r="CH95" s="829" t="str">
        <f t="shared" si="38"/>
        <v/>
      </c>
      <c r="CI95" s="829" t="str">
        <f t="shared" si="39"/>
        <v/>
      </c>
      <c r="CJ95" s="829" t="str" cm="1">
        <f t="array" ref="CJ95">IF($B95="","",_xlfn.LET(_xlpm.to,$D95&amp;"",_xlpm.em,IFERROR(INDEX(_xlfn.ANCHORARRAY($BE$4),ROW()-4,6),"")="EMERG",_xlpm.pri,AND(NOT(_xlpm.em),LEFT(_xlpm.to,2)="T-",ISNUMBER(MATCH(MID(_xlpm.to,3,99),Equip_List,0)),ISNA(MATCH(_xlpm.to,Equip_List,0))),IF(_xlpm.pri,MID(_xlpm.to,3,99),_xlpm.to)))</f>
        <v/>
      </c>
      <c r="CK95" s="829" t="str" cm="1">
        <f t="array" ref="CK95">IF($CJ95="","",IF(IFERROR(INDEX(_xlfn.ANCHORARRAY($BE$4),ROW()-4,6),"")="EMERG","E",IF($CJ95&lt;&gt;$D95&amp;"","P","N")))</f>
        <v/>
      </c>
    </row>
    <row r="96" spans="1:89" ht="15" customHeight="1" x14ac:dyDescent="0.35">
      <c r="A96" s="821" t="str">
        <f t="shared" si="27"/>
        <v/>
      </c>
      <c r="B96" s="821" t="str" cm="1">
        <f t="array" ref="B96">IFERROR(IF(INDEX(_xlfn.ANCHORARRAY($BE$4),ROW()-4,2)="","","F-"&amp;INDEX(_xlfn.ANCHORARRAY($BE$4),ROW()-4,2)&amp;IF(IFERROR(INDEX(_xlfn.ANCHORARRAY($BE$4),ROW()-4,6),"")="EMERG","-E","")),"")</f>
        <v/>
      </c>
      <c r="C96" s="821" t="str" cm="1">
        <f t="array" ref="C96">IFERROR(IF($B96="","",INDEX(_xlfn.ANCHORARRAY($BE$4),ROW()-4,1)),"")</f>
        <v/>
      </c>
      <c r="D96" s="821" t="str" cm="1">
        <f t="array" ref="D96">IFERROR(IF($B96="","",INDEX(_xlfn.ANCHORARRAY($BE$4),ROW()-4,2)),"")</f>
        <v/>
      </c>
      <c r="E96" s="806" t="str" cm="1">
        <f t="array" ref="E96">IFERROR(IF($B96="","",INDEX(_xlfn.ANCHORARRAY($BE$4),ROW()-4,3)),"")</f>
        <v/>
      </c>
      <c r="F96" s="822" t="str" cm="1">
        <f t="array" ref="F96">IFERROR(IF($B96="","",INDEX(_xlfn.ANCHORARRAY($BE$4),ROW()-4,4)),"")</f>
        <v/>
      </c>
      <c r="G96" s="823" t="str" cm="1">
        <f t="array" ref="G96">IFERROR(IF($B96="","",INDEX(_xlfn.ANCHORARRAY($BE$4),ROW()-4,5)),"")</f>
        <v/>
      </c>
      <c r="H96" s="824" t="str" cm="1">
        <f t="array" ref="H96">IF($CJ96="","",_xlfn.LET(_xlpm.v,_xlfn.XLOOKUP($CJ96,Equip_List,IF($CK96="E",Equip_EmLen,IF($CK96="P",Equip_XfPriLen,Equip_FdrLen)),""),IF(_xlpm.v="","",_xlpm.v)))</f>
        <v/>
      </c>
      <c r="I96" s="806" t="str">
        <f t="shared" si="20"/>
        <v/>
      </c>
      <c r="J96" s="820"/>
      <c r="K96" s="806" t="str">
        <f>_xlfn.LET(_xlpm.k,IF($I96="","",IF(COUNTIF(UPS!$B$57:$B$64,$C96&amp;"")&gt;0,1.25*MAX($I96,N(_xlfn.XLOOKUP($C96&amp;"",UPS!$B$57:$B$64,UPS!$M$57:$M$64,0))),IF(COUNTIF(UPS!$B$57:$B$64,$D96&amp;"")&gt;0,1.25*MAX($I96,N(_xlfn.XLOOKUP($D96&amp;"",UPS!$B$57:$B$64,UPS!$Q$57:$Q$64,0))),$I96*IF(OR(UPPER($J96)="Y",LEFT($C96,2)="T-",LEFT($D96,2)="T-"),1.25,1)))),IF(_xlpm.k="","",MAX(_xlpm.k,N(IFERROR(_xlfn.XLOOKUP($D96&amp;"",Dashboard!$A$101:$A$350,Dashboard!$O$101:$O$350,0),0)))))</f>
        <v/>
      </c>
      <c r="L96" s="825" t="str">
        <f>IF($CJ96="","",_xlfn.LET(_xlpm.v,UPPER(TRIM(_xlfn.XLOOKUP($CJ96,Equip_List,Equip_FdrMat,"")&amp;"")),IF(_xlpm.v="",UPPER(TRIM(Cfg_FeederMat&amp;"")),_xlpm.v)))</f>
        <v/>
      </c>
      <c r="M96" s="825" t="str">
        <f>IF($CJ96="","",_xlfn.LET(_xlpm.v,TRIM(_xlfn.XLOOKUP($CJ96,Equip_List,Equip_FdrRace,"")&amp;""),IF(_xlpm.v="",Cfg_Conduit&amp;"",_xlpm.v)))</f>
        <v/>
      </c>
      <c r="N96" s="825" t="str">
        <f>IF($CJ96="","",IF(UPPER(TRIM(_xlfn.XLOOKUP($CJ96,Equip_List,Equip_FdrExist,"")&amp;""))="Y","Y",""))</f>
        <v/>
      </c>
      <c r="O96" s="823" t="str">
        <f t="shared" si="28"/>
        <v/>
      </c>
      <c r="P96" s="821" t="str">
        <f t="shared" si="29"/>
        <v/>
      </c>
      <c r="Q96" s="821" t="str">
        <f t="shared" si="30"/>
        <v/>
      </c>
      <c r="R96" s="822" t="str" cm="1">
        <f t="array" ref="R96">IF(K96="","",INDEX(OCPD_List,MATCH(TRUE,OCPD_List&gt;=K96,0)))</f>
        <v/>
      </c>
      <c r="S96" s="821" t="str">
        <f t="shared" si="31"/>
        <v/>
      </c>
      <c r="T96" s="826" t="str">
        <f t="shared" si="21"/>
        <v/>
      </c>
      <c r="U96" s="826" t="str">
        <f t="shared" si="22"/>
        <v/>
      </c>
      <c r="V96" s="827" t="str">
        <f t="shared" si="23"/>
        <v/>
      </c>
      <c r="W96" s="828"/>
      <c r="X96" s="819"/>
      <c r="Y96" s="820"/>
      <c r="Z96" s="820"/>
      <c r="AA96" s="820"/>
      <c r="BN96" s="832" t="str">
        <f>IF($B96="","",IFERROR(_xlfn.XLOOKUP($D96,Dashboard!$A$101:$A$350,Dashboard!$C$101:$C$350),""))</f>
        <v/>
      </c>
      <c r="BO96" s="832" t="str">
        <f t="shared" si="24"/>
        <v/>
      </c>
      <c r="BP96" s="832" t="str" cm="1">
        <f t="array" ref="BP96">IF(OR($B96="",$R96="",NOT(ISNUMBER($R96))),"",IF(AND($BV96="AL",$G96=1),"",_xlfn.LET(_xlpm.codes,IF($BV96="AL",Std_Al3_Code,IF($G96=1,Std_Cu1_Code,Std_Cu3_Code)),_xlpm.amps,IFERROR(--SUBSTITUTE(_xlpm.codes&amp;"","N",""),""),_xlpm.a,MIN(IF(ISNUMBER(_xlpm.amps),IF(_xlpm.amps&gt;=$R96,_xlpm.amps,""),"")),_xlpm.k,IF(_xlpm.a=0,$R96,_xlpm.a),IF($BO96="Y",TEXT(_xlpm.k,"0")&amp;"N",_xlpm.k))))</f>
        <v/>
      </c>
      <c r="BQ96" s="832" t="str" cm="1">
        <f t="array" ref="BQ96">IF($BP96="","",IFERROR(IF($BV96="AL",_xlfn.XLOOKUP($BP96,Std_Al3_Code,INDEX(Std_Al3_Table,0,3)),IF($G96=1,_xlfn.XLOOKUP($BP96,Std_Cu1_Code,INDEX(Std_Cu1_Table,0,3)),_xlfn.XLOOKUP($BP96,Std_Cu3_Code,INDEX(Std_Cu3_Table,0,3)))),""))</f>
        <v/>
      </c>
      <c r="BR96" s="832" t="str" cm="1">
        <f t="array" ref="BR96">IF($BP96="","",IFERROR(IF($BV96="AL",_xlfn.XLOOKUP($BP96,Std_Al3_Code,INDEX(Std_Al3_Table,0,4)),IF($G96=1,_xlfn.XLOOKUP($BP96,Std_Cu1_Code,INDEX(Std_Cu1_Table,0,4)),_xlfn.XLOOKUP($BP96,Std_Cu3_Code,INDEX(Std_Cu3_Table,0,4)))),""))</f>
        <v/>
      </c>
      <c r="BS96" s="832" t="str" cm="1">
        <f t="array" ref="BS96">IF($BP96="","",IFERROR(IF($BV96="AL",_xlfn.XLOOKUP($BP96,Std_Al3_Code,INDEX(Std_Al3_Table,0,5)),IF($G96=1,_xlfn.XLOOKUP($BP96,Std_Cu1_Code,INDEX(Std_Cu1_Table,0,5)),_xlfn.XLOOKUP($BP96,Std_Cu3_Code,INDEX(Std_Cu3_Table,0,5)))),""))</f>
        <v/>
      </c>
      <c r="BT96" s="832" t="str">
        <f t="shared" si="25"/>
        <v/>
      </c>
      <c r="BU96" s="832" t="str" cm="1">
        <f t="array" ref="BU96">IF($BP96="","",IFERROR(IF($BV96="AL",_xlfn.XLOOKUP($BP96,Std_Al3_Code,INDEX(Std_Al3_Table,0,2)),IF($G96=1,_xlfn.XLOOKUP($BP96,Std_Cu1_Code,INDEX(Std_Cu1_Table,0,2)),_xlfn.XLOOKUP($BP96,Std_Cu3_Code,INDEX(Std_Cu3_Table,0,2)))),""))</f>
        <v/>
      </c>
      <c r="BV96" s="829" t="str">
        <f t="shared" si="26"/>
        <v/>
      </c>
      <c r="BW96" s="829" t="str">
        <f t="shared" si="32"/>
        <v/>
      </c>
      <c r="BX96" s="829" t="str" cm="1">
        <f t="array" ref="BX96">IF(OR($BP96="",$H96="",$I96="",$F96="",$BW96=""),"",IFERROR(_xlfn.LET(_xlpm.codes,IF($BV96="AL",Std_Al3_Code,IF($G96=1,Std_Cu1_Code,Std_Cu3_Code)),_xlpm.tbl,IF($BV96="AL",Std_Al3_Table,IF($G96=1,Std_Cu1_Table,Std_Cu3_Table)),_xlpm.i,MATCH($BP96,_xlpm.codes,0),_xlpm.idx,_xlfn.SEQUENCE(ROWS(_xlpm.codes)),_xlpm.cnd,INDEX(_xlpm.tbl,0,4),_xlpm.sts,INDEX(_xlpm.tbl,0,2),_xlpm.sz,IFERROR(_xlfn.TEXTBEFORE(_xlfn.TEXTAFTER(_xlpm.cnd,"#"),","),IFERROR(_xlfn.TEXTAFTER(_xlpm.cnd,"#"),"")),_xlpm.cm,IFERROR(_xlfn.XLOOKUP(TRIM(_xlpm.sz),Ampacity_Size,Ampacity_CM),0),_xlpm.mult,IF($G96=3,SQRT3,2),_xlpm.kk,IF($BV96="AL",K_Al,K_Cu),_xlpm.vd,IF(_xlpm.cm*IF(ISNUMBER(_xlpm.sts),_xlpm.sts,0)=0,9,_xlpm.mult*_xlpm.kk*$I96*$H96/(_xlpm.cm*_xlpm.sts)/$F96),_xlpm.hasN,--(RIGHT(_xlpm.codes&amp;"",1)="N"),_xlpm.wantN,--(RIGHT($BP96&amp;"",1)="N"),_xlpm.ok,(_xlpm.idx&gt;=_xlpm.i)*(_xlpm.vd&lt;=Cfg_VDFeeder)*(_xlpm.cm&gt;0)*ISNUMBER(_xlpm.sts)*(_xlpm.hasN=_xlpm.wantN),_xlpm.m,MIN(IF(_xlpm.ok=1,_xlpm.idx)),INDEX(_xlpm.codes,IF(_xlpm.m=0,_xlpm.i,_xlpm.m))),""))</f>
        <v/>
      </c>
      <c r="BY96" s="829" t="str" cm="1">
        <f t="array" ref="BY96">IF($BP96="","",IF($BX96="",$BU96,IFERROR(IF($BV96="AL",_xlfn.XLOOKUP($BX96,Std_Al3_Code,INDEX(Std_Al3_Table,0,2)),IF($G96=1,_xlfn.XLOOKUP($BX96,Std_Cu1_Code,INDEX(Std_Cu1_Table,0,2)),_xlfn.XLOOKUP($BX96,Std_Cu3_Code,INDEX(Std_Cu3_Table,0,2)))),"")))</f>
        <v/>
      </c>
      <c r="BZ96" s="829" t="str" cm="1">
        <f t="array" ref="BZ96">IF($BP96="","",IF($BX96="",$BR96,IFERROR(IF($BV96="AL",_xlfn.XLOOKUP($BX96,Std_Al3_Code,INDEX(Std_Al3_Table,0,4)),IF($G96=1,_xlfn.XLOOKUP($BX96,Std_Cu1_Code,INDEX(Std_Cu1_Table,0,4)),_xlfn.XLOOKUP($BX96,Std_Cu3_Code,INDEX(Std_Cu3_Table,0,4)))),"")))</f>
        <v/>
      </c>
      <c r="CA96" s="829" t="str" cm="1">
        <f t="array" ref="CA96">IF($BP96="","",IF($BX96="",$BQ96,IFERROR(IF($BV96="AL",_xlfn.XLOOKUP($BX96,Std_Al3_Code,INDEX(Std_Al3_Table,0,3)),IF($G96=1,_xlfn.XLOOKUP($BX96,Std_Cu1_Code,INDEX(Std_Cu1_Table,0,3)),_xlfn.XLOOKUP($BX96,Std_Cu3_Code,INDEX(Std_Cu3_Table,0,3)))),"")))</f>
        <v/>
      </c>
      <c r="CB96" s="829" t="str" cm="1">
        <f t="array" ref="CB96">IF($BP96="","",IF($BX96="",$BS96,IFERROR(IF($BV96="AL",_xlfn.XLOOKUP($BX96,Std_Al3_Code,INDEX(Std_Al3_Table,0,5)),IF($G96=1,_xlfn.XLOOKUP($BX96,Std_Cu1_Code,INDEX(Std_Cu1_Table,0,5)),_xlfn.XLOOKUP($BX96,Std_Cu3_Code,INDEX(Std_Cu3_Table,0,5)))),"")))</f>
        <v/>
      </c>
      <c r="CC96" s="829" t="str">
        <f t="shared" si="33"/>
        <v/>
      </c>
      <c r="CD96" s="829" t="str">
        <f t="shared" si="34"/>
        <v/>
      </c>
      <c r="CE96" s="829" t="str">
        <f t="shared" si="35"/>
        <v/>
      </c>
      <c r="CF96" s="829" t="str">
        <f t="shared" si="36"/>
        <v/>
      </c>
      <c r="CG96" s="829" t="str">
        <f t="shared" si="37"/>
        <v/>
      </c>
      <c r="CH96" s="829" t="str">
        <f t="shared" si="38"/>
        <v/>
      </c>
      <c r="CI96" s="829" t="str">
        <f t="shared" si="39"/>
        <v/>
      </c>
      <c r="CJ96" s="829" t="str" cm="1">
        <f t="array" ref="CJ96">IF($B96="","",_xlfn.LET(_xlpm.to,$D96&amp;"",_xlpm.em,IFERROR(INDEX(_xlfn.ANCHORARRAY($BE$4),ROW()-4,6),"")="EMERG",_xlpm.pri,AND(NOT(_xlpm.em),LEFT(_xlpm.to,2)="T-",ISNUMBER(MATCH(MID(_xlpm.to,3,99),Equip_List,0)),ISNA(MATCH(_xlpm.to,Equip_List,0))),IF(_xlpm.pri,MID(_xlpm.to,3,99),_xlpm.to)))</f>
        <v/>
      </c>
      <c r="CK96" s="829" t="str" cm="1">
        <f t="array" ref="CK96">IF($CJ96="","",IF(IFERROR(INDEX(_xlfn.ANCHORARRAY($BE$4),ROW()-4,6),"")="EMERG","E",IF($CJ96&lt;&gt;$D96&amp;"","P","N")))</f>
        <v/>
      </c>
    </row>
    <row r="97" spans="1:89" ht="15" customHeight="1" x14ac:dyDescent="0.35">
      <c r="A97" s="821" t="str">
        <f t="shared" si="27"/>
        <v/>
      </c>
      <c r="B97" s="821" t="str" cm="1">
        <f t="array" ref="B97">IFERROR(IF(INDEX(_xlfn.ANCHORARRAY($BE$4),ROW()-4,2)="","","F-"&amp;INDEX(_xlfn.ANCHORARRAY($BE$4),ROW()-4,2)&amp;IF(IFERROR(INDEX(_xlfn.ANCHORARRAY($BE$4),ROW()-4,6),"")="EMERG","-E","")),"")</f>
        <v/>
      </c>
      <c r="C97" s="821" t="str" cm="1">
        <f t="array" ref="C97">IFERROR(IF($B97="","",INDEX(_xlfn.ANCHORARRAY($BE$4),ROW()-4,1)),"")</f>
        <v/>
      </c>
      <c r="D97" s="821" t="str" cm="1">
        <f t="array" ref="D97">IFERROR(IF($B97="","",INDEX(_xlfn.ANCHORARRAY($BE$4),ROW()-4,2)),"")</f>
        <v/>
      </c>
      <c r="E97" s="806" t="str" cm="1">
        <f t="array" ref="E97">IFERROR(IF($B97="","",INDEX(_xlfn.ANCHORARRAY($BE$4),ROW()-4,3)),"")</f>
        <v/>
      </c>
      <c r="F97" s="822" t="str" cm="1">
        <f t="array" ref="F97">IFERROR(IF($B97="","",INDEX(_xlfn.ANCHORARRAY($BE$4),ROW()-4,4)),"")</f>
        <v/>
      </c>
      <c r="G97" s="823" t="str" cm="1">
        <f t="array" ref="G97">IFERROR(IF($B97="","",INDEX(_xlfn.ANCHORARRAY($BE$4),ROW()-4,5)),"")</f>
        <v/>
      </c>
      <c r="H97" s="824" t="str" cm="1">
        <f t="array" ref="H97">IF($CJ97="","",_xlfn.LET(_xlpm.v,_xlfn.XLOOKUP($CJ97,Equip_List,IF($CK97="E",Equip_EmLen,IF($CK97="P",Equip_XfPriLen,Equip_FdrLen)),""),IF(_xlpm.v="","",_xlpm.v)))</f>
        <v/>
      </c>
      <c r="I97" s="806" t="str">
        <f t="shared" si="20"/>
        <v/>
      </c>
      <c r="J97" s="820"/>
      <c r="K97" s="806" t="str">
        <f>_xlfn.LET(_xlpm.k,IF($I97="","",IF(COUNTIF(UPS!$B$57:$B$64,$C97&amp;"")&gt;0,1.25*MAX($I97,N(_xlfn.XLOOKUP($C97&amp;"",UPS!$B$57:$B$64,UPS!$M$57:$M$64,0))),IF(COUNTIF(UPS!$B$57:$B$64,$D97&amp;"")&gt;0,1.25*MAX($I97,N(_xlfn.XLOOKUP($D97&amp;"",UPS!$B$57:$B$64,UPS!$Q$57:$Q$64,0))),$I97*IF(OR(UPPER($J97)="Y",LEFT($C97,2)="T-",LEFT($D97,2)="T-"),1.25,1)))),IF(_xlpm.k="","",MAX(_xlpm.k,N(IFERROR(_xlfn.XLOOKUP($D97&amp;"",Dashboard!$A$101:$A$350,Dashboard!$O$101:$O$350,0),0)))))</f>
        <v/>
      </c>
      <c r="L97" s="825" t="str">
        <f>IF($CJ97="","",_xlfn.LET(_xlpm.v,UPPER(TRIM(_xlfn.XLOOKUP($CJ97,Equip_List,Equip_FdrMat,"")&amp;"")),IF(_xlpm.v="",UPPER(TRIM(Cfg_FeederMat&amp;"")),_xlpm.v)))</f>
        <v/>
      </c>
      <c r="M97" s="825" t="str">
        <f>IF($CJ97="","",_xlfn.LET(_xlpm.v,TRIM(_xlfn.XLOOKUP($CJ97,Equip_List,Equip_FdrRace,"")&amp;""),IF(_xlpm.v="",Cfg_Conduit&amp;"",_xlpm.v)))</f>
        <v/>
      </c>
      <c r="N97" s="825" t="str">
        <f>IF($CJ97="","",IF(UPPER(TRIM(_xlfn.XLOOKUP($CJ97,Equip_List,Equip_FdrExist,"")&amp;""))="Y","Y",""))</f>
        <v/>
      </c>
      <c r="O97" s="823" t="str">
        <f t="shared" si="28"/>
        <v/>
      </c>
      <c r="P97" s="821" t="str">
        <f t="shared" si="29"/>
        <v/>
      </c>
      <c r="Q97" s="821" t="str">
        <f t="shared" si="30"/>
        <v/>
      </c>
      <c r="R97" s="822" t="str" cm="1">
        <f t="array" ref="R97">IF(K97="","",INDEX(OCPD_List,MATCH(TRUE,OCPD_List&gt;=K97,0)))</f>
        <v/>
      </c>
      <c r="S97" s="821" t="str">
        <f t="shared" si="31"/>
        <v/>
      </c>
      <c r="T97" s="826" t="str">
        <f t="shared" si="21"/>
        <v/>
      </c>
      <c r="U97" s="826" t="str">
        <f t="shared" si="22"/>
        <v/>
      </c>
      <c r="V97" s="827" t="str">
        <f t="shared" si="23"/>
        <v/>
      </c>
      <c r="W97" s="828"/>
      <c r="X97" s="819"/>
      <c r="Y97" s="820"/>
      <c r="Z97" s="820"/>
      <c r="AA97" s="820"/>
      <c r="BN97" s="832" t="str">
        <f>IF($B97="","",IFERROR(_xlfn.XLOOKUP($D97,Dashboard!$A$101:$A$350,Dashboard!$C$101:$C$350),""))</f>
        <v/>
      </c>
      <c r="BO97" s="832" t="str">
        <f t="shared" si="24"/>
        <v/>
      </c>
      <c r="BP97" s="832" t="str" cm="1">
        <f t="array" ref="BP97">IF(OR($B97="",$R97="",NOT(ISNUMBER($R97))),"",IF(AND($BV97="AL",$G97=1),"",_xlfn.LET(_xlpm.codes,IF($BV97="AL",Std_Al3_Code,IF($G97=1,Std_Cu1_Code,Std_Cu3_Code)),_xlpm.amps,IFERROR(--SUBSTITUTE(_xlpm.codes&amp;"","N",""),""),_xlpm.a,MIN(IF(ISNUMBER(_xlpm.amps),IF(_xlpm.amps&gt;=$R97,_xlpm.amps,""),"")),_xlpm.k,IF(_xlpm.a=0,$R97,_xlpm.a),IF($BO97="Y",TEXT(_xlpm.k,"0")&amp;"N",_xlpm.k))))</f>
        <v/>
      </c>
      <c r="BQ97" s="832" t="str" cm="1">
        <f t="array" ref="BQ97">IF($BP97="","",IFERROR(IF($BV97="AL",_xlfn.XLOOKUP($BP97,Std_Al3_Code,INDEX(Std_Al3_Table,0,3)),IF($G97=1,_xlfn.XLOOKUP($BP97,Std_Cu1_Code,INDEX(Std_Cu1_Table,0,3)),_xlfn.XLOOKUP($BP97,Std_Cu3_Code,INDEX(Std_Cu3_Table,0,3)))),""))</f>
        <v/>
      </c>
      <c r="BR97" s="832" t="str" cm="1">
        <f t="array" ref="BR97">IF($BP97="","",IFERROR(IF($BV97="AL",_xlfn.XLOOKUP($BP97,Std_Al3_Code,INDEX(Std_Al3_Table,0,4)),IF($G97=1,_xlfn.XLOOKUP($BP97,Std_Cu1_Code,INDEX(Std_Cu1_Table,0,4)),_xlfn.XLOOKUP($BP97,Std_Cu3_Code,INDEX(Std_Cu3_Table,0,4)))),""))</f>
        <v/>
      </c>
      <c r="BS97" s="832" t="str" cm="1">
        <f t="array" ref="BS97">IF($BP97="","",IFERROR(IF($BV97="AL",_xlfn.XLOOKUP($BP97,Std_Al3_Code,INDEX(Std_Al3_Table,0,5)),IF($G97=1,_xlfn.XLOOKUP($BP97,Std_Cu1_Code,INDEX(Std_Cu1_Table,0,5)),_xlfn.XLOOKUP($BP97,Std_Cu3_Code,INDEX(Std_Cu3_Table,0,5)))),""))</f>
        <v/>
      </c>
      <c r="BT97" s="832" t="str">
        <f t="shared" si="25"/>
        <v/>
      </c>
      <c r="BU97" s="832" t="str" cm="1">
        <f t="array" ref="BU97">IF($BP97="","",IFERROR(IF($BV97="AL",_xlfn.XLOOKUP($BP97,Std_Al3_Code,INDEX(Std_Al3_Table,0,2)),IF($G97=1,_xlfn.XLOOKUP($BP97,Std_Cu1_Code,INDEX(Std_Cu1_Table,0,2)),_xlfn.XLOOKUP($BP97,Std_Cu3_Code,INDEX(Std_Cu3_Table,0,2)))),""))</f>
        <v/>
      </c>
      <c r="BV97" s="829" t="str">
        <f t="shared" si="26"/>
        <v/>
      </c>
      <c r="BW97" s="829" t="str">
        <f t="shared" si="32"/>
        <v/>
      </c>
      <c r="BX97" s="829" t="str" cm="1">
        <f t="array" ref="BX97">IF(OR($BP97="",$H97="",$I97="",$F97="",$BW97=""),"",IFERROR(_xlfn.LET(_xlpm.codes,IF($BV97="AL",Std_Al3_Code,IF($G97=1,Std_Cu1_Code,Std_Cu3_Code)),_xlpm.tbl,IF($BV97="AL",Std_Al3_Table,IF($G97=1,Std_Cu1_Table,Std_Cu3_Table)),_xlpm.i,MATCH($BP97,_xlpm.codes,0),_xlpm.idx,_xlfn.SEQUENCE(ROWS(_xlpm.codes)),_xlpm.cnd,INDEX(_xlpm.tbl,0,4),_xlpm.sts,INDEX(_xlpm.tbl,0,2),_xlpm.sz,IFERROR(_xlfn.TEXTBEFORE(_xlfn.TEXTAFTER(_xlpm.cnd,"#"),","),IFERROR(_xlfn.TEXTAFTER(_xlpm.cnd,"#"),"")),_xlpm.cm,IFERROR(_xlfn.XLOOKUP(TRIM(_xlpm.sz),Ampacity_Size,Ampacity_CM),0),_xlpm.mult,IF($G97=3,SQRT3,2),_xlpm.kk,IF($BV97="AL",K_Al,K_Cu),_xlpm.vd,IF(_xlpm.cm*IF(ISNUMBER(_xlpm.sts),_xlpm.sts,0)=0,9,_xlpm.mult*_xlpm.kk*$I97*$H97/(_xlpm.cm*_xlpm.sts)/$F97),_xlpm.hasN,--(RIGHT(_xlpm.codes&amp;"",1)="N"),_xlpm.wantN,--(RIGHT($BP97&amp;"",1)="N"),_xlpm.ok,(_xlpm.idx&gt;=_xlpm.i)*(_xlpm.vd&lt;=Cfg_VDFeeder)*(_xlpm.cm&gt;0)*ISNUMBER(_xlpm.sts)*(_xlpm.hasN=_xlpm.wantN),_xlpm.m,MIN(IF(_xlpm.ok=1,_xlpm.idx)),INDEX(_xlpm.codes,IF(_xlpm.m=0,_xlpm.i,_xlpm.m))),""))</f>
        <v/>
      </c>
      <c r="BY97" s="829" t="str" cm="1">
        <f t="array" ref="BY97">IF($BP97="","",IF($BX97="",$BU97,IFERROR(IF($BV97="AL",_xlfn.XLOOKUP($BX97,Std_Al3_Code,INDEX(Std_Al3_Table,0,2)),IF($G97=1,_xlfn.XLOOKUP($BX97,Std_Cu1_Code,INDEX(Std_Cu1_Table,0,2)),_xlfn.XLOOKUP($BX97,Std_Cu3_Code,INDEX(Std_Cu3_Table,0,2)))),"")))</f>
        <v/>
      </c>
      <c r="BZ97" s="829" t="str" cm="1">
        <f t="array" ref="BZ97">IF($BP97="","",IF($BX97="",$BR97,IFERROR(IF($BV97="AL",_xlfn.XLOOKUP($BX97,Std_Al3_Code,INDEX(Std_Al3_Table,0,4)),IF($G97=1,_xlfn.XLOOKUP($BX97,Std_Cu1_Code,INDEX(Std_Cu1_Table,0,4)),_xlfn.XLOOKUP($BX97,Std_Cu3_Code,INDEX(Std_Cu3_Table,0,4)))),"")))</f>
        <v/>
      </c>
      <c r="CA97" s="829" t="str" cm="1">
        <f t="array" ref="CA97">IF($BP97="","",IF($BX97="",$BQ97,IFERROR(IF($BV97="AL",_xlfn.XLOOKUP($BX97,Std_Al3_Code,INDEX(Std_Al3_Table,0,3)),IF($G97=1,_xlfn.XLOOKUP($BX97,Std_Cu1_Code,INDEX(Std_Cu1_Table,0,3)),_xlfn.XLOOKUP($BX97,Std_Cu3_Code,INDEX(Std_Cu3_Table,0,3)))),"")))</f>
        <v/>
      </c>
      <c r="CB97" s="829" t="str" cm="1">
        <f t="array" ref="CB97">IF($BP97="","",IF($BX97="",$BS97,IFERROR(IF($BV97="AL",_xlfn.XLOOKUP($BX97,Std_Al3_Code,INDEX(Std_Al3_Table,0,5)),IF($G97=1,_xlfn.XLOOKUP($BX97,Std_Cu1_Code,INDEX(Std_Cu1_Table,0,5)),_xlfn.XLOOKUP($BX97,Std_Cu3_Code,INDEX(Std_Cu3_Table,0,5)))),"")))</f>
        <v/>
      </c>
      <c r="CC97" s="829" t="str">
        <f t="shared" si="33"/>
        <v/>
      </c>
      <c r="CD97" s="829" t="str">
        <f t="shared" si="34"/>
        <v/>
      </c>
      <c r="CE97" s="829" t="str">
        <f t="shared" si="35"/>
        <v/>
      </c>
      <c r="CF97" s="829" t="str">
        <f t="shared" si="36"/>
        <v/>
      </c>
      <c r="CG97" s="829" t="str">
        <f t="shared" si="37"/>
        <v/>
      </c>
      <c r="CH97" s="829" t="str">
        <f t="shared" si="38"/>
        <v/>
      </c>
      <c r="CI97" s="829" t="str">
        <f t="shared" si="39"/>
        <v/>
      </c>
      <c r="CJ97" s="829" t="str" cm="1">
        <f t="array" ref="CJ97">IF($B97="","",_xlfn.LET(_xlpm.to,$D97&amp;"",_xlpm.em,IFERROR(INDEX(_xlfn.ANCHORARRAY($BE$4),ROW()-4,6),"")="EMERG",_xlpm.pri,AND(NOT(_xlpm.em),LEFT(_xlpm.to,2)="T-",ISNUMBER(MATCH(MID(_xlpm.to,3,99),Equip_List,0)),ISNA(MATCH(_xlpm.to,Equip_List,0))),IF(_xlpm.pri,MID(_xlpm.to,3,99),_xlpm.to)))</f>
        <v/>
      </c>
      <c r="CK97" s="829" t="str" cm="1">
        <f t="array" ref="CK97">IF($CJ97="","",IF(IFERROR(INDEX(_xlfn.ANCHORARRAY($BE$4),ROW()-4,6),"")="EMERG","E",IF($CJ97&lt;&gt;$D97&amp;"","P","N")))</f>
        <v/>
      </c>
    </row>
    <row r="98" spans="1:89" ht="15" customHeight="1" x14ac:dyDescent="0.35">
      <c r="A98" s="821" t="str">
        <f t="shared" si="27"/>
        <v/>
      </c>
      <c r="B98" s="821" t="str" cm="1">
        <f t="array" ref="B98">IFERROR(IF(INDEX(_xlfn.ANCHORARRAY($BE$4),ROW()-4,2)="","","F-"&amp;INDEX(_xlfn.ANCHORARRAY($BE$4),ROW()-4,2)&amp;IF(IFERROR(INDEX(_xlfn.ANCHORARRAY($BE$4),ROW()-4,6),"")="EMERG","-E","")),"")</f>
        <v/>
      </c>
      <c r="C98" s="821" t="str" cm="1">
        <f t="array" ref="C98">IFERROR(IF($B98="","",INDEX(_xlfn.ANCHORARRAY($BE$4),ROW()-4,1)),"")</f>
        <v/>
      </c>
      <c r="D98" s="821" t="str" cm="1">
        <f t="array" ref="D98">IFERROR(IF($B98="","",INDEX(_xlfn.ANCHORARRAY($BE$4),ROW()-4,2)),"")</f>
        <v/>
      </c>
      <c r="E98" s="806" t="str" cm="1">
        <f t="array" ref="E98">IFERROR(IF($B98="","",INDEX(_xlfn.ANCHORARRAY($BE$4),ROW()-4,3)),"")</f>
        <v/>
      </c>
      <c r="F98" s="822" t="str" cm="1">
        <f t="array" ref="F98">IFERROR(IF($B98="","",INDEX(_xlfn.ANCHORARRAY($BE$4),ROW()-4,4)),"")</f>
        <v/>
      </c>
      <c r="G98" s="823" t="str" cm="1">
        <f t="array" ref="G98">IFERROR(IF($B98="","",INDEX(_xlfn.ANCHORARRAY($BE$4),ROW()-4,5)),"")</f>
        <v/>
      </c>
      <c r="H98" s="824" t="str" cm="1">
        <f t="array" ref="H98">IF($CJ98="","",_xlfn.LET(_xlpm.v,_xlfn.XLOOKUP($CJ98,Equip_List,IF($CK98="E",Equip_EmLen,IF($CK98="P",Equip_XfPriLen,Equip_FdrLen)),""),IF(_xlpm.v="","",_xlpm.v)))</f>
        <v/>
      </c>
      <c r="I98" s="806" t="str">
        <f t="shared" si="20"/>
        <v/>
      </c>
      <c r="J98" s="820"/>
      <c r="K98" s="806" t="str">
        <f>_xlfn.LET(_xlpm.k,IF($I98="","",IF(COUNTIF(UPS!$B$57:$B$64,$C98&amp;"")&gt;0,1.25*MAX($I98,N(_xlfn.XLOOKUP($C98&amp;"",UPS!$B$57:$B$64,UPS!$M$57:$M$64,0))),IF(COUNTIF(UPS!$B$57:$B$64,$D98&amp;"")&gt;0,1.25*MAX($I98,N(_xlfn.XLOOKUP($D98&amp;"",UPS!$B$57:$B$64,UPS!$Q$57:$Q$64,0))),$I98*IF(OR(UPPER($J98)="Y",LEFT($C98,2)="T-",LEFT($D98,2)="T-"),1.25,1)))),IF(_xlpm.k="","",MAX(_xlpm.k,N(IFERROR(_xlfn.XLOOKUP($D98&amp;"",Dashboard!$A$101:$A$350,Dashboard!$O$101:$O$350,0),0)))))</f>
        <v/>
      </c>
      <c r="L98" s="825" t="str">
        <f>IF($CJ98="","",_xlfn.LET(_xlpm.v,UPPER(TRIM(_xlfn.XLOOKUP($CJ98,Equip_List,Equip_FdrMat,"")&amp;"")),IF(_xlpm.v="",UPPER(TRIM(Cfg_FeederMat&amp;"")),_xlpm.v)))</f>
        <v/>
      </c>
      <c r="M98" s="825" t="str">
        <f>IF($CJ98="","",_xlfn.LET(_xlpm.v,TRIM(_xlfn.XLOOKUP($CJ98,Equip_List,Equip_FdrRace,"")&amp;""),IF(_xlpm.v="",Cfg_Conduit&amp;"",_xlpm.v)))</f>
        <v/>
      </c>
      <c r="N98" s="825" t="str">
        <f>IF($CJ98="","",IF(UPPER(TRIM(_xlfn.XLOOKUP($CJ98,Equip_List,Equip_FdrExist,"")&amp;""))="Y","Y",""))</f>
        <v/>
      </c>
      <c r="O98" s="823" t="str">
        <f t="shared" si="28"/>
        <v/>
      </c>
      <c r="P98" s="821" t="str">
        <f t="shared" si="29"/>
        <v/>
      </c>
      <c r="Q98" s="821" t="str">
        <f t="shared" si="30"/>
        <v/>
      </c>
      <c r="R98" s="822" t="str" cm="1">
        <f t="array" ref="R98">IF(K98="","",INDEX(OCPD_List,MATCH(TRUE,OCPD_List&gt;=K98,0)))</f>
        <v/>
      </c>
      <c r="S98" s="821" t="str">
        <f t="shared" si="31"/>
        <v/>
      </c>
      <c r="T98" s="826" t="str">
        <f t="shared" si="21"/>
        <v/>
      </c>
      <c r="U98" s="826" t="str">
        <f t="shared" si="22"/>
        <v/>
      </c>
      <c r="V98" s="827" t="str">
        <f t="shared" si="23"/>
        <v/>
      </c>
      <c r="W98" s="828"/>
      <c r="X98" s="819"/>
      <c r="Y98" s="820"/>
      <c r="Z98" s="820"/>
      <c r="AA98" s="820"/>
      <c r="BN98" s="832" t="str">
        <f>IF($B98="","",IFERROR(_xlfn.XLOOKUP($D98,Dashboard!$A$101:$A$350,Dashboard!$C$101:$C$350),""))</f>
        <v/>
      </c>
      <c r="BO98" s="832" t="str">
        <f t="shared" si="24"/>
        <v/>
      </c>
      <c r="BP98" s="832" t="str" cm="1">
        <f t="array" ref="BP98">IF(OR($B98="",$R98="",NOT(ISNUMBER($R98))),"",IF(AND($BV98="AL",$G98=1),"",_xlfn.LET(_xlpm.codes,IF($BV98="AL",Std_Al3_Code,IF($G98=1,Std_Cu1_Code,Std_Cu3_Code)),_xlpm.amps,IFERROR(--SUBSTITUTE(_xlpm.codes&amp;"","N",""),""),_xlpm.a,MIN(IF(ISNUMBER(_xlpm.amps),IF(_xlpm.amps&gt;=$R98,_xlpm.amps,""),"")),_xlpm.k,IF(_xlpm.a=0,$R98,_xlpm.a),IF($BO98="Y",TEXT(_xlpm.k,"0")&amp;"N",_xlpm.k))))</f>
        <v/>
      </c>
      <c r="BQ98" s="832" t="str" cm="1">
        <f t="array" ref="BQ98">IF($BP98="","",IFERROR(IF($BV98="AL",_xlfn.XLOOKUP($BP98,Std_Al3_Code,INDEX(Std_Al3_Table,0,3)),IF($G98=1,_xlfn.XLOOKUP($BP98,Std_Cu1_Code,INDEX(Std_Cu1_Table,0,3)),_xlfn.XLOOKUP($BP98,Std_Cu3_Code,INDEX(Std_Cu3_Table,0,3)))),""))</f>
        <v/>
      </c>
      <c r="BR98" s="832" t="str" cm="1">
        <f t="array" ref="BR98">IF($BP98="","",IFERROR(IF($BV98="AL",_xlfn.XLOOKUP($BP98,Std_Al3_Code,INDEX(Std_Al3_Table,0,4)),IF($G98=1,_xlfn.XLOOKUP($BP98,Std_Cu1_Code,INDEX(Std_Cu1_Table,0,4)),_xlfn.XLOOKUP($BP98,Std_Cu3_Code,INDEX(Std_Cu3_Table,0,4)))),""))</f>
        <v/>
      </c>
      <c r="BS98" s="832" t="str" cm="1">
        <f t="array" ref="BS98">IF($BP98="","",IFERROR(IF($BV98="AL",_xlfn.XLOOKUP($BP98,Std_Al3_Code,INDEX(Std_Al3_Table,0,5)),IF($G98=1,_xlfn.XLOOKUP($BP98,Std_Cu1_Code,INDEX(Std_Cu1_Table,0,5)),_xlfn.XLOOKUP($BP98,Std_Cu3_Code,INDEX(Std_Cu3_Table,0,5)))),""))</f>
        <v/>
      </c>
      <c r="BT98" s="832" t="str">
        <f t="shared" si="25"/>
        <v/>
      </c>
      <c r="BU98" s="832" t="str" cm="1">
        <f t="array" ref="BU98">IF($BP98="","",IFERROR(IF($BV98="AL",_xlfn.XLOOKUP($BP98,Std_Al3_Code,INDEX(Std_Al3_Table,0,2)),IF($G98=1,_xlfn.XLOOKUP($BP98,Std_Cu1_Code,INDEX(Std_Cu1_Table,0,2)),_xlfn.XLOOKUP($BP98,Std_Cu3_Code,INDEX(Std_Cu3_Table,0,2)))),""))</f>
        <v/>
      </c>
      <c r="BV98" s="829" t="str">
        <f t="shared" si="26"/>
        <v/>
      </c>
      <c r="BW98" s="829" t="str">
        <f t="shared" si="32"/>
        <v/>
      </c>
      <c r="BX98" s="829" t="str" cm="1">
        <f t="array" ref="BX98">IF(OR($BP98="",$H98="",$I98="",$F98="",$BW98=""),"",IFERROR(_xlfn.LET(_xlpm.codes,IF($BV98="AL",Std_Al3_Code,IF($G98=1,Std_Cu1_Code,Std_Cu3_Code)),_xlpm.tbl,IF($BV98="AL",Std_Al3_Table,IF($G98=1,Std_Cu1_Table,Std_Cu3_Table)),_xlpm.i,MATCH($BP98,_xlpm.codes,0),_xlpm.idx,_xlfn.SEQUENCE(ROWS(_xlpm.codes)),_xlpm.cnd,INDEX(_xlpm.tbl,0,4),_xlpm.sts,INDEX(_xlpm.tbl,0,2),_xlpm.sz,IFERROR(_xlfn.TEXTBEFORE(_xlfn.TEXTAFTER(_xlpm.cnd,"#"),","),IFERROR(_xlfn.TEXTAFTER(_xlpm.cnd,"#"),"")),_xlpm.cm,IFERROR(_xlfn.XLOOKUP(TRIM(_xlpm.sz),Ampacity_Size,Ampacity_CM),0),_xlpm.mult,IF($G98=3,SQRT3,2),_xlpm.kk,IF($BV98="AL",K_Al,K_Cu),_xlpm.vd,IF(_xlpm.cm*IF(ISNUMBER(_xlpm.sts),_xlpm.sts,0)=0,9,_xlpm.mult*_xlpm.kk*$I98*$H98/(_xlpm.cm*_xlpm.sts)/$F98),_xlpm.hasN,--(RIGHT(_xlpm.codes&amp;"",1)="N"),_xlpm.wantN,--(RIGHT($BP98&amp;"",1)="N"),_xlpm.ok,(_xlpm.idx&gt;=_xlpm.i)*(_xlpm.vd&lt;=Cfg_VDFeeder)*(_xlpm.cm&gt;0)*ISNUMBER(_xlpm.sts)*(_xlpm.hasN=_xlpm.wantN),_xlpm.m,MIN(IF(_xlpm.ok=1,_xlpm.idx)),INDEX(_xlpm.codes,IF(_xlpm.m=0,_xlpm.i,_xlpm.m))),""))</f>
        <v/>
      </c>
      <c r="BY98" s="829" t="str" cm="1">
        <f t="array" ref="BY98">IF($BP98="","",IF($BX98="",$BU98,IFERROR(IF($BV98="AL",_xlfn.XLOOKUP($BX98,Std_Al3_Code,INDEX(Std_Al3_Table,0,2)),IF($G98=1,_xlfn.XLOOKUP($BX98,Std_Cu1_Code,INDEX(Std_Cu1_Table,0,2)),_xlfn.XLOOKUP($BX98,Std_Cu3_Code,INDEX(Std_Cu3_Table,0,2)))),"")))</f>
        <v/>
      </c>
      <c r="BZ98" s="829" t="str" cm="1">
        <f t="array" ref="BZ98">IF($BP98="","",IF($BX98="",$BR98,IFERROR(IF($BV98="AL",_xlfn.XLOOKUP($BX98,Std_Al3_Code,INDEX(Std_Al3_Table,0,4)),IF($G98=1,_xlfn.XLOOKUP($BX98,Std_Cu1_Code,INDEX(Std_Cu1_Table,0,4)),_xlfn.XLOOKUP($BX98,Std_Cu3_Code,INDEX(Std_Cu3_Table,0,4)))),"")))</f>
        <v/>
      </c>
      <c r="CA98" s="829" t="str" cm="1">
        <f t="array" ref="CA98">IF($BP98="","",IF($BX98="",$BQ98,IFERROR(IF($BV98="AL",_xlfn.XLOOKUP($BX98,Std_Al3_Code,INDEX(Std_Al3_Table,0,3)),IF($G98=1,_xlfn.XLOOKUP($BX98,Std_Cu1_Code,INDEX(Std_Cu1_Table,0,3)),_xlfn.XLOOKUP($BX98,Std_Cu3_Code,INDEX(Std_Cu3_Table,0,3)))),"")))</f>
        <v/>
      </c>
      <c r="CB98" s="829" t="str" cm="1">
        <f t="array" ref="CB98">IF($BP98="","",IF($BX98="",$BS98,IFERROR(IF($BV98="AL",_xlfn.XLOOKUP($BX98,Std_Al3_Code,INDEX(Std_Al3_Table,0,5)),IF($G98=1,_xlfn.XLOOKUP($BX98,Std_Cu1_Code,INDEX(Std_Cu1_Table,0,5)),_xlfn.XLOOKUP($BX98,Std_Cu3_Code,INDEX(Std_Cu3_Table,0,5)))),"")))</f>
        <v/>
      </c>
      <c r="CC98" s="829" t="str">
        <f t="shared" si="33"/>
        <v/>
      </c>
      <c r="CD98" s="829" t="str">
        <f t="shared" si="34"/>
        <v/>
      </c>
      <c r="CE98" s="829" t="str">
        <f t="shared" si="35"/>
        <v/>
      </c>
      <c r="CF98" s="829" t="str">
        <f t="shared" si="36"/>
        <v/>
      </c>
      <c r="CG98" s="829" t="str">
        <f t="shared" si="37"/>
        <v/>
      </c>
      <c r="CH98" s="829" t="str">
        <f t="shared" si="38"/>
        <v/>
      </c>
      <c r="CI98" s="829" t="str">
        <f t="shared" si="39"/>
        <v/>
      </c>
      <c r="CJ98" s="829" t="str" cm="1">
        <f t="array" ref="CJ98">IF($B98="","",_xlfn.LET(_xlpm.to,$D98&amp;"",_xlpm.em,IFERROR(INDEX(_xlfn.ANCHORARRAY($BE$4),ROW()-4,6),"")="EMERG",_xlpm.pri,AND(NOT(_xlpm.em),LEFT(_xlpm.to,2)="T-",ISNUMBER(MATCH(MID(_xlpm.to,3,99),Equip_List,0)),ISNA(MATCH(_xlpm.to,Equip_List,0))),IF(_xlpm.pri,MID(_xlpm.to,3,99),_xlpm.to)))</f>
        <v/>
      </c>
      <c r="CK98" s="829" t="str" cm="1">
        <f t="array" ref="CK98">IF($CJ98="","",IF(IFERROR(INDEX(_xlfn.ANCHORARRAY($BE$4),ROW()-4,6),"")="EMERG","E",IF($CJ98&lt;&gt;$D98&amp;"","P","N")))</f>
        <v/>
      </c>
    </row>
    <row r="99" spans="1:89" ht="15" customHeight="1" x14ac:dyDescent="0.35">
      <c r="A99" s="821" t="str">
        <f t="shared" si="27"/>
        <v/>
      </c>
      <c r="B99" s="821" t="str" cm="1">
        <f t="array" ref="B99">IFERROR(IF(INDEX(_xlfn.ANCHORARRAY($BE$4),ROW()-4,2)="","","F-"&amp;INDEX(_xlfn.ANCHORARRAY($BE$4),ROW()-4,2)&amp;IF(IFERROR(INDEX(_xlfn.ANCHORARRAY($BE$4),ROW()-4,6),"")="EMERG","-E","")),"")</f>
        <v/>
      </c>
      <c r="C99" s="821" t="str" cm="1">
        <f t="array" ref="C99">IFERROR(IF($B99="","",INDEX(_xlfn.ANCHORARRAY($BE$4),ROW()-4,1)),"")</f>
        <v/>
      </c>
      <c r="D99" s="821" t="str" cm="1">
        <f t="array" ref="D99">IFERROR(IF($B99="","",INDEX(_xlfn.ANCHORARRAY($BE$4),ROW()-4,2)),"")</f>
        <v/>
      </c>
      <c r="E99" s="806" t="str" cm="1">
        <f t="array" ref="E99">IFERROR(IF($B99="","",INDEX(_xlfn.ANCHORARRAY($BE$4),ROW()-4,3)),"")</f>
        <v/>
      </c>
      <c r="F99" s="822" t="str" cm="1">
        <f t="array" ref="F99">IFERROR(IF($B99="","",INDEX(_xlfn.ANCHORARRAY($BE$4),ROW()-4,4)),"")</f>
        <v/>
      </c>
      <c r="G99" s="823" t="str" cm="1">
        <f t="array" ref="G99">IFERROR(IF($B99="","",INDEX(_xlfn.ANCHORARRAY($BE$4),ROW()-4,5)),"")</f>
        <v/>
      </c>
      <c r="H99" s="824" t="str" cm="1">
        <f t="array" ref="H99">IF($CJ99="","",_xlfn.LET(_xlpm.v,_xlfn.XLOOKUP($CJ99,Equip_List,IF($CK99="E",Equip_EmLen,IF($CK99="P",Equip_XfPriLen,Equip_FdrLen)),""),IF(_xlpm.v="","",_xlpm.v)))</f>
        <v/>
      </c>
      <c r="I99" s="806" t="str">
        <f t="shared" si="20"/>
        <v/>
      </c>
      <c r="J99" s="820"/>
      <c r="K99" s="806" t="str">
        <f>_xlfn.LET(_xlpm.k,IF($I99="","",IF(COUNTIF(UPS!$B$57:$B$64,$C99&amp;"")&gt;0,1.25*MAX($I99,N(_xlfn.XLOOKUP($C99&amp;"",UPS!$B$57:$B$64,UPS!$M$57:$M$64,0))),IF(COUNTIF(UPS!$B$57:$B$64,$D99&amp;"")&gt;0,1.25*MAX($I99,N(_xlfn.XLOOKUP($D99&amp;"",UPS!$B$57:$B$64,UPS!$Q$57:$Q$64,0))),$I99*IF(OR(UPPER($J99)="Y",LEFT($C99,2)="T-",LEFT($D99,2)="T-"),1.25,1)))),IF(_xlpm.k="","",MAX(_xlpm.k,N(IFERROR(_xlfn.XLOOKUP($D99&amp;"",Dashboard!$A$101:$A$350,Dashboard!$O$101:$O$350,0),0)))))</f>
        <v/>
      </c>
      <c r="L99" s="825" t="str">
        <f>IF($CJ99="","",_xlfn.LET(_xlpm.v,UPPER(TRIM(_xlfn.XLOOKUP($CJ99,Equip_List,Equip_FdrMat,"")&amp;"")),IF(_xlpm.v="",UPPER(TRIM(Cfg_FeederMat&amp;"")),_xlpm.v)))</f>
        <v/>
      </c>
      <c r="M99" s="825" t="str">
        <f>IF($CJ99="","",_xlfn.LET(_xlpm.v,TRIM(_xlfn.XLOOKUP($CJ99,Equip_List,Equip_FdrRace,"")&amp;""),IF(_xlpm.v="",Cfg_Conduit&amp;"",_xlpm.v)))</f>
        <v/>
      </c>
      <c r="N99" s="825" t="str">
        <f>IF($CJ99="","",IF(UPPER(TRIM(_xlfn.XLOOKUP($CJ99,Equip_List,Equip_FdrExist,"")&amp;""))="Y","Y",""))</f>
        <v/>
      </c>
      <c r="O99" s="823" t="str">
        <f t="shared" si="28"/>
        <v/>
      </c>
      <c r="P99" s="821" t="str">
        <f t="shared" si="29"/>
        <v/>
      </c>
      <c r="Q99" s="821" t="str">
        <f t="shared" si="30"/>
        <v/>
      </c>
      <c r="R99" s="822" t="str" cm="1">
        <f t="array" ref="R99">IF(K99="","",INDEX(OCPD_List,MATCH(TRUE,OCPD_List&gt;=K99,0)))</f>
        <v/>
      </c>
      <c r="S99" s="821" t="str">
        <f t="shared" si="31"/>
        <v/>
      </c>
      <c r="T99" s="826" t="str">
        <f t="shared" si="21"/>
        <v/>
      </c>
      <c r="U99" s="826" t="str">
        <f t="shared" si="22"/>
        <v/>
      </c>
      <c r="V99" s="827" t="str">
        <f t="shared" si="23"/>
        <v/>
      </c>
      <c r="W99" s="828"/>
      <c r="X99" s="819"/>
      <c r="Y99" s="820"/>
      <c r="Z99" s="820"/>
      <c r="AA99" s="820"/>
      <c r="BN99" s="832" t="str">
        <f>IF($B99="","",IFERROR(_xlfn.XLOOKUP($D99,Dashboard!$A$101:$A$350,Dashboard!$C$101:$C$350),""))</f>
        <v/>
      </c>
      <c r="BO99" s="832" t="str">
        <f t="shared" si="24"/>
        <v/>
      </c>
      <c r="BP99" s="832" t="str" cm="1">
        <f t="array" ref="BP99">IF(OR($B99="",$R99="",NOT(ISNUMBER($R99))),"",IF(AND($BV99="AL",$G99=1),"",_xlfn.LET(_xlpm.codes,IF($BV99="AL",Std_Al3_Code,IF($G99=1,Std_Cu1_Code,Std_Cu3_Code)),_xlpm.amps,IFERROR(--SUBSTITUTE(_xlpm.codes&amp;"","N",""),""),_xlpm.a,MIN(IF(ISNUMBER(_xlpm.amps),IF(_xlpm.amps&gt;=$R99,_xlpm.amps,""),"")),_xlpm.k,IF(_xlpm.a=0,$R99,_xlpm.a),IF($BO99="Y",TEXT(_xlpm.k,"0")&amp;"N",_xlpm.k))))</f>
        <v/>
      </c>
      <c r="BQ99" s="832" t="str" cm="1">
        <f t="array" ref="BQ99">IF($BP99="","",IFERROR(IF($BV99="AL",_xlfn.XLOOKUP($BP99,Std_Al3_Code,INDEX(Std_Al3_Table,0,3)),IF($G99=1,_xlfn.XLOOKUP($BP99,Std_Cu1_Code,INDEX(Std_Cu1_Table,0,3)),_xlfn.XLOOKUP($BP99,Std_Cu3_Code,INDEX(Std_Cu3_Table,0,3)))),""))</f>
        <v/>
      </c>
      <c r="BR99" s="832" t="str" cm="1">
        <f t="array" ref="BR99">IF($BP99="","",IFERROR(IF($BV99="AL",_xlfn.XLOOKUP($BP99,Std_Al3_Code,INDEX(Std_Al3_Table,0,4)),IF($G99=1,_xlfn.XLOOKUP($BP99,Std_Cu1_Code,INDEX(Std_Cu1_Table,0,4)),_xlfn.XLOOKUP($BP99,Std_Cu3_Code,INDEX(Std_Cu3_Table,0,4)))),""))</f>
        <v/>
      </c>
      <c r="BS99" s="832" t="str" cm="1">
        <f t="array" ref="BS99">IF($BP99="","",IFERROR(IF($BV99="AL",_xlfn.XLOOKUP($BP99,Std_Al3_Code,INDEX(Std_Al3_Table,0,5)),IF($G99=1,_xlfn.XLOOKUP($BP99,Std_Cu1_Code,INDEX(Std_Cu1_Table,0,5)),_xlfn.XLOOKUP($BP99,Std_Cu3_Code,INDEX(Std_Cu3_Table,0,5)))),""))</f>
        <v/>
      </c>
      <c r="BT99" s="832" t="str">
        <f t="shared" si="25"/>
        <v/>
      </c>
      <c r="BU99" s="832" t="str" cm="1">
        <f t="array" ref="BU99">IF($BP99="","",IFERROR(IF($BV99="AL",_xlfn.XLOOKUP($BP99,Std_Al3_Code,INDEX(Std_Al3_Table,0,2)),IF($G99=1,_xlfn.XLOOKUP($BP99,Std_Cu1_Code,INDEX(Std_Cu1_Table,0,2)),_xlfn.XLOOKUP($BP99,Std_Cu3_Code,INDEX(Std_Cu3_Table,0,2)))),""))</f>
        <v/>
      </c>
      <c r="BV99" s="829" t="str">
        <f t="shared" si="26"/>
        <v/>
      </c>
      <c r="BW99" s="829" t="str">
        <f t="shared" si="32"/>
        <v/>
      </c>
      <c r="BX99" s="829" t="str" cm="1">
        <f t="array" ref="BX99">IF(OR($BP99="",$H99="",$I99="",$F99="",$BW99=""),"",IFERROR(_xlfn.LET(_xlpm.codes,IF($BV99="AL",Std_Al3_Code,IF($G99=1,Std_Cu1_Code,Std_Cu3_Code)),_xlpm.tbl,IF($BV99="AL",Std_Al3_Table,IF($G99=1,Std_Cu1_Table,Std_Cu3_Table)),_xlpm.i,MATCH($BP99,_xlpm.codes,0),_xlpm.idx,_xlfn.SEQUENCE(ROWS(_xlpm.codes)),_xlpm.cnd,INDEX(_xlpm.tbl,0,4),_xlpm.sts,INDEX(_xlpm.tbl,0,2),_xlpm.sz,IFERROR(_xlfn.TEXTBEFORE(_xlfn.TEXTAFTER(_xlpm.cnd,"#"),","),IFERROR(_xlfn.TEXTAFTER(_xlpm.cnd,"#"),"")),_xlpm.cm,IFERROR(_xlfn.XLOOKUP(TRIM(_xlpm.sz),Ampacity_Size,Ampacity_CM),0),_xlpm.mult,IF($G99=3,SQRT3,2),_xlpm.kk,IF($BV99="AL",K_Al,K_Cu),_xlpm.vd,IF(_xlpm.cm*IF(ISNUMBER(_xlpm.sts),_xlpm.sts,0)=0,9,_xlpm.mult*_xlpm.kk*$I99*$H99/(_xlpm.cm*_xlpm.sts)/$F99),_xlpm.hasN,--(RIGHT(_xlpm.codes&amp;"",1)="N"),_xlpm.wantN,--(RIGHT($BP99&amp;"",1)="N"),_xlpm.ok,(_xlpm.idx&gt;=_xlpm.i)*(_xlpm.vd&lt;=Cfg_VDFeeder)*(_xlpm.cm&gt;0)*ISNUMBER(_xlpm.sts)*(_xlpm.hasN=_xlpm.wantN),_xlpm.m,MIN(IF(_xlpm.ok=1,_xlpm.idx)),INDEX(_xlpm.codes,IF(_xlpm.m=0,_xlpm.i,_xlpm.m))),""))</f>
        <v/>
      </c>
      <c r="BY99" s="829" t="str" cm="1">
        <f t="array" ref="BY99">IF($BP99="","",IF($BX99="",$BU99,IFERROR(IF($BV99="AL",_xlfn.XLOOKUP($BX99,Std_Al3_Code,INDEX(Std_Al3_Table,0,2)),IF($G99=1,_xlfn.XLOOKUP($BX99,Std_Cu1_Code,INDEX(Std_Cu1_Table,0,2)),_xlfn.XLOOKUP($BX99,Std_Cu3_Code,INDEX(Std_Cu3_Table,0,2)))),"")))</f>
        <v/>
      </c>
      <c r="BZ99" s="829" t="str" cm="1">
        <f t="array" ref="BZ99">IF($BP99="","",IF($BX99="",$BR99,IFERROR(IF($BV99="AL",_xlfn.XLOOKUP($BX99,Std_Al3_Code,INDEX(Std_Al3_Table,0,4)),IF($G99=1,_xlfn.XLOOKUP($BX99,Std_Cu1_Code,INDEX(Std_Cu1_Table,0,4)),_xlfn.XLOOKUP($BX99,Std_Cu3_Code,INDEX(Std_Cu3_Table,0,4)))),"")))</f>
        <v/>
      </c>
      <c r="CA99" s="829" t="str" cm="1">
        <f t="array" ref="CA99">IF($BP99="","",IF($BX99="",$BQ99,IFERROR(IF($BV99="AL",_xlfn.XLOOKUP($BX99,Std_Al3_Code,INDEX(Std_Al3_Table,0,3)),IF($G99=1,_xlfn.XLOOKUP($BX99,Std_Cu1_Code,INDEX(Std_Cu1_Table,0,3)),_xlfn.XLOOKUP($BX99,Std_Cu3_Code,INDEX(Std_Cu3_Table,0,3)))),"")))</f>
        <v/>
      </c>
      <c r="CB99" s="829" t="str" cm="1">
        <f t="array" ref="CB99">IF($BP99="","",IF($BX99="",$BS99,IFERROR(IF($BV99="AL",_xlfn.XLOOKUP($BX99,Std_Al3_Code,INDEX(Std_Al3_Table,0,5)),IF($G99=1,_xlfn.XLOOKUP($BX99,Std_Cu1_Code,INDEX(Std_Cu1_Table,0,5)),_xlfn.XLOOKUP($BX99,Std_Cu3_Code,INDEX(Std_Cu3_Table,0,5)))),"")))</f>
        <v/>
      </c>
      <c r="CC99" s="829" t="str">
        <f t="shared" si="33"/>
        <v/>
      </c>
      <c r="CD99" s="829" t="str">
        <f t="shared" si="34"/>
        <v/>
      </c>
      <c r="CE99" s="829" t="str">
        <f t="shared" si="35"/>
        <v/>
      </c>
      <c r="CF99" s="829" t="str">
        <f t="shared" si="36"/>
        <v/>
      </c>
      <c r="CG99" s="829" t="str">
        <f t="shared" si="37"/>
        <v/>
      </c>
      <c r="CH99" s="829" t="str">
        <f t="shared" si="38"/>
        <v/>
      </c>
      <c r="CI99" s="829" t="str">
        <f t="shared" si="39"/>
        <v/>
      </c>
      <c r="CJ99" s="829" t="str" cm="1">
        <f t="array" ref="CJ99">IF($B99="","",_xlfn.LET(_xlpm.to,$D99&amp;"",_xlpm.em,IFERROR(INDEX(_xlfn.ANCHORARRAY($BE$4),ROW()-4,6),"")="EMERG",_xlpm.pri,AND(NOT(_xlpm.em),LEFT(_xlpm.to,2)="T-",ISNUMBER(MATCH(MID(_xlpm.to,3,99),Equip_List,0)),ISNA(MATCH(_xlpm.to,Equip_List,0))),IF(_xlpm.pri,MID(_xlpm.to,3,99),_xlpm.to)))</f>
        <v/>
      </c>
      <c r="CK99" s="829" t="str" cm="1">
        <f t="array" ref="CK99">IF($CJ99="","",IF(IFERROR(INDEX(_xlfn.ANCHORARRAY($BE$4),ROW()-4,6),"")="EMERG","E",IF($CJ99&lt;&gt;$D99&amp;"","P","N")))</f>
        <v/>
      </c>
    </row>
    <row r="100" spans="1:89" ht="15" customHeight="1" x14ac:dyDescent="0.35">
      <c r="A100" s="821" t="str">
        <f t="shared" si="27"/>
        <v/>
      </c>
      <c r="B100" s="821" t="str" cm="1">
        <f t="array" ref="B100">IFERROR(IF(INDEX(_xlfn.ANCHORARRAY($BE$4),ROW()-4,2)="","","F-"&amp;INDEX(_xlfn.ANCHORARRAY($BE$4),ROW()-4,2)&amp;IF(IFERROR(INDEX(_xlfn.ANCHORARRAY($BE$4),ROW()-4,6),"")="EMERG","-E","")),"")</f>
        <v/>
      </c>
      <c r="C100" s="821" t="str" cm="1">
        <f t="array" ref="C100">IFERROR(IF($B100="","",INDEX(_xlfn.ANCHORARRAY($BE$4),ROW()-4,1)),"")</f>
        <v/>
      </c>
      <c r="D100" s="821" t="str" cm="1">
        <f t="array" ref="D100">IFERROR(IF($B100="","",INDEX(_xlfn.ANCHORARRAY($BE$4),ROW()-4,2)),"")</f>
        <v/>
      </c>
      <c r="E100" s="806" t="str" cm="1">
        <f t="array" ref="E100">IFERROR(IF($B100="","",INDEX(_xlfn.ANCHORARRAY($BE$4),ROW()-4,3)),"")</f>
        <v/>
      </c>
      <c r="F100" s="822" t="str" cm="1">
        <f t="array" ref="F100">IFERROR(IF($B100="","",INDEX(_xlfn.ANCHORARRAY($BE$4),ROW()-4,4)),"")</f>
        <v/>
      </c>
      <c r="G100" s="823" t="str" cm="1">
        <f t="array" ref="G100">IFERROR(IF($B100="","",INDEX(_xlfn.ANCHORARRAY($BE$4),ROW()-4,5)),"")</f>
        <v/>
      </c>
      <c r="H100" s="824" t="str" cm="1">
        <f t="array" ref="H100">IF($CJ100="","",_xlfn.LET(_xlpm.v,_xlfn.XLOOKUP($CJ100,Equip_List,IF($CK100="E",Equip_EmLen,IF($CK100="P",Equip_XfPriLen,Equip_FdrLen)),""),IF(_xlpm.v="","",_xlpm.v)))</f>
        <v/>
      </c>
      <c r="I100" s="806" t="str">
        <f t="shared" si="20"/>
        <v/>
      </c>
      <c r="J100" s="820"/>
      <c r="K100" s="806" t="str">
        <f>_xlfn.LET(_xlpm.k,IF($I100="","",IF(COUNTIF(UPS!$B$57:$B$64,$C100&amp;"")&gt;0,1.25*MAX($I100,N(_xlfn.XLOOKUP($C100&amp;"",UPS!$B$57:$B$64,UPS!$M$57:$M$64,0))),IF(COUNTIF(UPS!$B$57:$B$64,$D100&amp;"")&gt;0,1.25*MAX($I100,N(_xlfn.XLOOKUP($D100&amp;"",UPS!$B$57:$B$64,UPS!$Q$57:$Q$64,0))),$I100*IF(OR(UPPER($J100)="Y",LEFT($C100,2)="T-",LEFT($D100,2)="T-"),1.25,1)))),IF(_xlpm.k="","",MAX(_xlpm.k,N(IFERROR(_xlfn.XLOOKUP($D100&amp;"",Dashboard!$A$101:$A$350,Dashboard!$O$101:$O$350,0),0)))))</f>
        <v/>
      </c>
      <c r="L100" s="825" t="str">
        <f>IF($CJ100="","",_xlfn.LET(_xlpm.v,UPPER(TRIM(_xlfn.XLOOKUP($CJ100,Equip_List,Equip_FdrMat,"")&amp;"")),IF(_xlpm.v="",UPPER(TRIM(Cfg_FeederMat&amp;"")),_xlpm.v)))</f>
        <v/>
      </c>
      <c r="M100" s="825" t="str">
        <f>IF($CJ100="","",_xlfn.LET(_xlpm.v,TRIM(_xlfn.XLOOKUP($CJ100,Equip_List,Equip_FdrRace,"")&amp;""),IF(_xlpm.v="",Cfg_Conduit&amp;"",_xlpm.v)))</f>
        <v/>
      </c>
      <c r="N100" s="825" t="str">
        <f>IF($CJ100="","",IF(UPPER(TRIM(_xlfn.XLOOKUP($CJ100,Equip_List,Equip_FdrExist,"")&amp;""))="Y","Y",""))</f>
        <v/>
      </c>
      <c r="O100" s="823" t="str">
        <f t="shared" si="28"/>
        <v/>
      </c>
      <c r="P100" s="821" t="str">
        <f t="shared" si="29"/>
        <v/>
      </c>
      <c r="Q100" s="821" t="str">
        <f t="shared" si="30"/>
        <v/>
      </c>
      <c r="R100" s="822" t="str" cm="1">
        <f t="array" ref="R100">IF(K100="","",INDEX(OCPD_List,MATCH(TRUE,OCPD_List&gt;=K100,0)))</f>
        <v/>
      </c>
      <c r="S100" s="821" t="str">
        <f t="shared" si="31"/>
        <v/>
      </c>
      <c r="T100" s="826" t="str">
        <f t="shared" si="21"/>
        <v/>
      </c>
      <c r="U100" s="826" t="str">
        <f t="shared" si="22"/>
        <v/>
      </c>
      <c r="V100" s="827" t="str">
        <f t="shared" si="23"/>
        <v/>
      </c>
      <c r="W100" s="828"/>
      <c r="X100" s="819"/>
      <c r="Y100" s="820"/>
      <c r="Z100" s="820"/>
      <c r="AA100" s="820"/>
      <c r="BN100" s="832" t="str">
        <f>IF($B100="","",IFERROR(_xlfn.XLOOKUP($D100,Dashboard!$A$101:$A$350,Dashboard!$C$101:$C$350),""))</f>
        <v/>
      </c>
      <c r="BO100" s="832" t="str">
        <f t="shared" si="24"/>
        <v/>
      </c>
      <c r="BP100" s="832" t="str" cm="1">
        <f t="array" ref="BP100">IF(OR($B100="",$R100="",NOT(ISNUMBER($R100))),"",IF(AND($BV100="AL",$G100=1),"",_xlfn.LET(_xlpm.codes,IF($BV100="AL",Std_Al3_Code,IF($G100=1,Std_Cu1_Code,Std_Cu3_Code)),_xlpm.amps,IFERROR(--SUBSTITUTE(_xlpm.codes&amp;"","N",""),""),_xlpm.a,MIN(IF(ISNUMBER(_xlpm.amps),IF(_xlpm.amps&gt;=$R100,_xlpm.amps,""),"")),_xlpm.k,IF(_xlpm.a=0,$R100,_xlpm.a),IF($BO100="Y",TEXT(_xlpm.k,"0")&amp;"N",_xlpm.k))))</f>
        <v/>
      </c>
      <c r="BQ100" s="832" t="str" cm="1">
        <f t="array" ref="BQ100">IF($BP100="","",IFERROR(IF($BV100="AL",_xlfn.XLOOKUP($BP100,Std_Al3_Code,INDEX(Std_Al3_Table,0,3)),IF($G100=1,_xlfn.XLOOKUP($BP100,Std_Cu1_Code,INDEX(Std_Cu1_Table,0,3)),_xlfn.XLOOKUP($BP100,Std_Cu3_Code,INDEX(Std_Cu3_Table,0,3)))),""))</f>
        <v/>
      </c>
      <c r="BR100" s="832" t="str" cm="1">
        <f t="array" ref="BR100">IF($BP100="","",IFERROR(IF($BV100="AL",_xlfn.XLOOKUP($BP100,Std_Al3_Code,INDEX(Std_Al3_Table,0,4)),IF($G100=1,_xlfn.XLOOKUP($BP100,Std_Cu1_Code,INDEX(Std_Cu1_Table,0,4)),_xlfn.XLOOKUP($BP100,Std_Cu3_Code,INDEX(Std_Cu3_Table,0,4)))),""))</f>
        <v/>
      </c>
      <c r="BS100" s="832" t="str" cm="1">
        <f t="array" ref="BS100">IF($BP100="","",IFERROR(IF($BV100="AL",_xlfn.XLOOKUP($BP100,Std_Al3_Code,INDEX(Std_Al3_Table,0,5)),IF($G100=1,_xlfn.XLOOKUP($BP100,Std_Cu1_Code,INDEX(Std_Cu1_Table,0,5)),_xlfn.XLOOKUP($BP100,Std_Cu3_Code,INDEX(Std_Cu3_Table,0,5)))),""))</f>
        <v/>
      </c>
      <c r="BT100" s="832" t="str">
        <f t="shared" si="25"/>
        <v/>
      </c>
      <c r="BU100" s="832" t="str" cm="1">
        <f t="array" ref="BU100">IF($BP100="","",IFERROR(IF($BV100="AL",_xlfn.XLOOKUP($BP100,Std_Al3_Code,INDEX(Std_Al3_Table,0,2)),IF($G100=1,_xlfn.XLOOKUP($BP100,Std_Cu1_Code,INDEX(Std_Cu1_Table,0,2)),_xlfn.XLOOKUP($BP100,Std_Cu3_Code,INDEX(Std_Cu3_Table,0,2)))),""))</f>
        <v/>
      </c>
      <c r="BV100" s="829" t="str">
        <f t="shared" si="26"/>
        <v/>
      </c>
      <c r="BW100" s="829" t="str">
        <f t="shared" si="32"/>
        <v/>
      </c>
      <c r="BX100" s="829" t="str" cm="1">
        <f t="array" ref="BX100">IF(OR($BP100="",$H100="",$I100="",$F100="",$BW100=""),"",IFERROR(_xlfn.LET(_xlpm.codes,IF($BV100="AL",Std_Al3_Code,IF($G100=1,Std_Cu1_Code,Std_Cu3_Code)),_xlpm.tbl,IF($BV100="AL",Std_Al3_Table,IF($G100=1,Std_Cu1_Table,Std_Cu3_Table)),_xlpm.i,MATCH($BP100,_xlpm.codes,0),_xlpm.idx,_xlfn.SEQUENCE(ROWS(_xlpm.codes)),_xlpm.cnd,INDEX(_xlpm.tbl,0,4),_xlpm.sts,INDEX(_xlpm.tbl,0,2),_xlpm.sz,IFERROR(_xlfn.TEXTBEFORE(_xlfn.TEXTAFTER(_xlpm.cnd,"#"),","),IFERROR(_xlfn.TEXTAFTER(_xlpm.cnd,"#"),"")),_xlpm.cm,IFERROR(_xlfn.XLOOKUP(TRIM(_xlpm.sz),Ampacity_Size,Ampacity_CM),0),_xlpm.mult,IF($G100=3,SQRT3,2),_xlpm.kk,IF($BV100="AL",K_Al,K_Cu),_xlpm.vd,IF(_xlpm.cm*IF(ISNUMBER(_xlpm.sts),_xlpm.sts,0)=0,9,_xlpm.mult*_xlpm.kk*$I100*$H100/(_xlpm.cm*_xlpm.sts)/$F100),_xlpm.hasN,--(RIGHT(_xlpm.codes&amp;"",1)="N"),_xlpm.wantN,--(RIGHT($BP100&amp;"",1)="N"),_xlpm.ok,(_xlpm.idx&gt;=_xlpm.i)*(_xlpm.vd&lt;=Cfg_VDFeeder)*(_xlpm.cm&gt;0)*ISNUMBER(_xlpm.sts)*(_xlpm.hasN=_xlpm.wantN),_xlpm.m,MIN(IF(_xlpm.ok=1,_xlpm.idx)),INDEX(_xlpm.codes,IF(_xlpm.m=0,_xlpm.i,_xlpm.m))),""))</f>
        <v/>
      </c>
      <c r="BY100" s="829" t="str" cm="1">
        <f t="array" ref="BY100">IF($BP100="","",IF($BX100="",$BU100,IFERROR(IF($BV100="AL",_xlfn.XLOOKUP($BX100,Std_Al3_Code,INDEX(Std_Al3_Table,0,2)),IF($G100=1,_xlfn.XLOOKUP($BX100,Std_Cu1_Code,INDEX(Std_Cu1_Table,0,2)),_xlfn.XLOOKUP($BX100,Std_Cu3_Code,INDEX(Std_Cu3_Table,0,2)))),"")))</f>
        <v/>
      </c>
      <c r="BZ100" s="829" t="str" cm="1">
        <f t="array" ref="BZ100">IF($BP100="","",IF($BX100="",$BR100,IFERROR(IF($BV100="AL",_xlfn.XLOOKUP($BX100,Std_Al3_Code,INDEX(Std_Al3_Table,0,4)),IF($G100=1,_xlfn.XLOOKUP($BX100,Std_Cu1_Code,INDEX(Std_Cu1_Table,0,4)),_xlfn.XLOOKUP($BX100,Std_Cu3_Code,INDEX(Std_Cu3_Table,0,4)))),"")))</f>
        <v/>
      </c>
      <c r="CA100" s="829" t="str" cm="1">
        <f t="array" ref="CA100">IF($BP100="","",IF($BX100="",$BQ100,IFERROR(IF($BV100="AL",_xlfn.XLOOKUP($BX100,Std_Al3_Code,INDEX(Std_Al3_Table,0,3)),IF($G100=1,_xlfn.XLOOKUP($BX100,Std_Cu1_Code,INDEX(Std_Cu1_Table,0,3)),_xlfn.XLOOKUP($BX100,Std_Cu3_Code,INDEX(Std_Cu3_Table,0,3)))),"")))</f>
        <v/>
      </c>
      <c r="CB100" s="829" t="str" cm="1">
        <f t="array" ref="CB100">IF($BP100="","",IF($BX100="",$BS100,IFERROR(IF($BV100="AL",_xlfn.XLOOKUP($BX100,Std_Al3_Code,INDEX(Std_Al3_Table,0,5)),IF($G100=1,_xlfn.XLOOKUP($BX100,Std_Cu1_Code,INDEX(Std_Cu1_Table,0,5)),_xlfn.XLOOKUP($BX100,Std_Cu3_Code,INDEX(Std_Cu3_Table,0,5)))),"")))</f>
        <v/>
      </c>
      <c r="CC100" s="829" t="str">
        <f t="shared" si="33"/>
        <v/>
      </c>
      <c r="CD100" s="829" t="str">
        <f t="shared" si="34"/>
        <v/>
      </c>
      <c r="CE100" s="829" t="str">
        <f t="shared" si="35"/>
        <v/>
      </c>
      <c r="CF100" s="829" t="str">
        <f t="shared" si="36"/>
        <v/>
      </c>
      <c r="CG100" s="829" t="str">
        <f t="shared" si="37"/>
        <v/>
      </c>
      <c r="CH100" s="829" t="str">
        <f t="shared" si="38"/>
        <v/>
      </c>
      <c r="CI100" s="829" t="str">
        <f t="shared" si="39"/>
        <v/>
      </c>
      <c r="CJ100" s="829" t="str" cm="1">
        <f t="array" ref="CJ100">IF($B100="","",_xlfn.LET(_xlpm.to,$D100&amp;"",_xlpm.em,IFERROR(INDEX(_xlfn.ANCHORARRAY($BE$4),ROW()-4,6),"")="EMERG",_xlpm.pri,AND(NOT(_xlpm.em),LEFT(_xlpm.to,2)="T-",ISNUMBER(MATCH(MID(_xlpm.to,3,99),Equip_List,0)),ISNA(MATCH(_xlpm.to,Equip_List,0))),IF(_xlpm.pri,MID(_xlpm.to,3,99),_xlpm.to)))</f>
        <v/>
      </c>
      <c r="CK100" s="829" t="str" cm="1">
        <f t="array" ref="CK100">IF($CJ100="","",IF(IFERROR(INDEX(_xlfn.ANCHORARRAY($BE$4),ROW()-4,6),"")="EMERG","E",IF($CJ100&lt;&gt;$D100&amp;"","P","N")))</f>
        <v/>
      </c>
    </row>
    <row r="101" spans="1:89" ht="15" customHeight="1" x14ac:dyDescent="0.35">
      <c r="A101" s="821" t="str">
        <f t="shared" si="27"/>
        <v/>
      </c>
      <c r="B101" s="821" t="str" cm="1">
        <f t="array" ref="B101">IFERROR(IF(INDEX(_xlfn.ANCHORARRAY($BE$4),ROW()-4,2)="","","F-"&amp;INDEX(_xlfn.ANCHORARRAY($BE$4),ROW()-4,2)&amp;IF(IFERROR(INDEX(_xlfn.ANCHORARRAY($BE$4),ROW()-4,6),"")="EMERG","-E","")),"")</f>
        <v/>
      </c>
      <c r="C101" s="821" t="str" cm="1">
        <f t="array" ref="C101">IFERROR(IF($B101="","",INDEX(_xlfn.ANCHORARRAY($BE$4),ROW()-4,1)),"")</f>
        <v/>
      </c>
      <c r="D101" s="821" t="str" cm="1">
        <f t="array" ref="D101">IFERROR(IF($B101="","",INDEX(_xlfn.ANCHORARRAY($BE$4),ROW()-4,2)),"")</f>
        <v/>
      </c>
      <c r="E101" s="806" t="str" cm="1">
        <f t="array" ref="E101">IFERROR(IF($B101="","",INDEX(_xlfn.ANCHORARRAY($BE$4),ROW()-4,3)),"")</f>
        <v/>
      </c>
      <c r="F101" s="822" t="str" cm="1">
        <f t="array" ref="F101">IFERROR(IF($B101="","",INDEX(_xlfn.ANCHORARRAY($BE$4),ROW()-4,4)),"")</f>
        <v/>
      </c>
      <c r="G101" s="823" t="str" cm="1">
        <f t="array" ref="G101">IFERROR(IF($B101="","",INDEX(_xlfn.ANCHORARRAY($BE$4),ROW()-4,5)),"")</f>
        <v/>
      </c>
      <c r="H101" s="824" t="str" cm="1">
        <f t="array" ref="H101">IF($CJ101="","",_xlfn.LET(_xlpm.v,_xlfn.XLOOKUP($CJ101,Equip_List,IF($CK101="E",Equip_EmLen,IF($CK101="P",Equip_XfPriLen,Equip_FdrLen)),""),IF(_xlpm.v="","",_xlpm.v)))</f>
        <v/>
      </c>
      <c r="I101" s="806" t="str">
        <f t="shared" si="20"/>
        <v/>
      </c>
      <c r="J101" s="820"/>
      <c r="K101" s="806" t="str">
        <f>_xlfn.LET(_xlpm.k,IF($I101="","",IF(COUNTIF(UPS!$B$57:$B$64,$C101&amp;"")&gt;0,1.25*MAX($I101,N(_xlfn.XLOOKUP($C101&amp;"",UPS!$B$57:$B$64,UPS!$M$57:$M$64,0))),IF(COUNTIF(UPS!$B$57:$B$64,$D101&amp;"")&gt;0,1.25*MAX($I101,N(_xlfn.XLOOKUP($D101&amp;"",UPS!$B$57:$B$64,UPS!$Q$57:$Q$64,0))),$I101*IF(OR(UPPER($J101)="Y",LEFT($C101,2)="T-",LEFT($D101,2)="T-"),1.25,1)))),IF(_xlpm.k="","",MAX(_xlpm.k,N(IFERROR(_xlfn.XLOOKUP($D101&amp;"",Dashboard!$A$101:$A$350,Dashboard!$O$101:$O$350,0),0)))))</f>
        <v/>
      </c>
      <c r="L101" s="825" t="str">
        <f>IF($CJ101="","",_xlfn.LET(_xlpm.v,UPPER(TRIM(_xlfn.XLOOKUP($CJ101,Equip_List,Equip_FdrMat,"")&amp;"")),IF(_xlpm.v="",UPPER(TRIM(Cfg_FeederMat&amp;"")),_xlpm.v)))</f>
        <v/>
      </c>
      <c r="M101" s="825" t="str">
        <f>IF($CJ101="","",_xlfn.LET(_xlpm.v,TRIM(_xlfn.XLOOKUP($CJ101,Equip_List,Equip_FdrRace,"")&amp;""),IF(_xlpm.v="",Cfg_Conduit&amp;"",_xlpm.v)))</f>
        <v/>
      </c>
      <c r="N101" s="825" t="str">
        <f>IF($CJ101="","",IF(UPPER(TRIM(_xlfn.XLOOKUP($CJ101,Equip_List,Equip_FdrExist,"")&amp;""))="Y","Y",""))</f>
        <v/>
      </c>
      <c r="O101" s="823" t="str">
        <f t="shared" si="28"/>
        <v/>
      </c>
      <c r="P101" s="821" t="str">
        <f t="shared" si="29"/>
        <v/>
      </c>
      <c r="Q101" s="821" t="str">
        <f t="shared" si="30"/>
        <v/>
      </c>
      <c r="R101" s="822" t="str" cm="1">
        <f t="array" ref="R101">IF(K101="","",INDEX(OCPD_List,MATCH(TRUE,OCPD_List&gt;=K101,0)))</f>
        <v/>
      </c>
      <c r="S101" s="821" t="str">
        <f t="shared" si="31"/>
        <v/>
      </c>
      <c r="T101" s="826" t="str">
        <f t="shared" si="21"/>
        <v/>
      </c>
      <c r="U101" s="826" t="str">
        <f t="shared" si="22"/>
        <v/>
      </c>
      <c r="V101" s="827" t="str">
        <f t="shared" si="23"/>
        <v/>
      </c>
      <c r="W101" s="828"/>
      <c r="X101" s="819"/>
      <c r="Y101" s="820"/>
      <c r="Z101" s="820"/>
      <c r="AA101" s="820"/>
      <c r="BN101" s="832" t="str">
        <f>IF($B101="","",IFERROR(_xlfn.XLOOKUP($D101,Dashboard!$A$101:$A$350,Dashboard!$C$101:$C$350),""))</f>
        <v/>
      </c>
      <c r="BO101" s="832" t="str">
        <f t="shared" si="24"/>
        <v/>
      </c>
      <c r="BP101" s="832" t="str" cm="1">
        <f t="array" ref="BP101">IF(OR($B101="",$R101="",NOT(ISNUMBER($R101))),"",IF(AND($BV101="AL",$G101=1),"",_xlfn.LET(_xlpm.codes,IF($BV101="AL",Std_Al3_Code,IF($G101=1,Std_Cu1_Code,Std_Cu3_Code)),_xlpm.amps,IFERROR(--SUBSTITUTE(_xlpm.codes&amp;"","N",""),""),_xlpm.a,MIN(IF(ISNUMBER(_xlpm.amps),IF(_xlpm.amps&gt;=$R101,_xlpm.amps,""),"")),_xlpm.k,IF(_xlpm.a=0,$R101,_xlpm.a),IF($BO101="Y",TEXT(_xlpm.k,"0")&amp;"N",_xlpm.k))))</f>
        <v/>
      </c>
      <c r="BQ101" s="832" t="str" cm="1">
        <f t="array" ref="BQ101">IF($BP101="","",IFERROR(IF($BV101="AL",_xlfn.XLOOKUP($BP101,Std_Al3_Code,INDEX(Std_Al3_Table,0,3)),IF($G101=1,_xlfn.XLOOKUP($BP101,Std_Cu1_Code,INDEX(Std_Cu1_Table,0,3)),_xlfn.XLOOKUP($BP101,Std_Cu3_Code,INDEX(Std_Cu3_Table,0,3)))),""))</f>
        <v/>
      </c>
      <c r="BR101" s="832" t="str" cm="1">
        <f t="array" ref="BR101">IF($BP101="","",IFERROR(IF($BV101="AL",_xlfn.XLOOKUP($BP101,Std_Al3_Code,INDEX(Std_Al3_Table,0,4)),IF($G101=1,_xlfn.XLOOKUP($BP101,Std_Cu1_Code,INDEX(Std_Cu1_Table,0,4)),_xlfn.XLOOKUP($BP101,Std_Cu3_Code,INDEX(Std_Cu3_Table,0,4)))),""))</f>
        <v/>
      </c>
      <c r="BS101" s="832" t="str" cm="1">
        <f t="array" ref="BS101">IF($BP101="","",IFERROR(IF($BV101="AL",_xlfn.XLOOKUP($BP101,Std_Al3_Code,INDEX(Std_Al3_Table,0,5)),IF($G101=1,_xlfn.XLOOKUP($BP101,Std_Cu1_Code,INDEX(Std_Cu1_Table,0,5)),_xlfn.XLOOKUP($BP101,Std_Cu3_Code,INDEX(Std_Cu3_Table,0,5)))),""))</f>
        <v/>
      </c>
      <c r="BT101" s="832" t="str">
        <f t="shared" si="25"/>
        <v/>
      </c>
      <c r="BU101" s="832" t="str" cm="1">
        <f t="array" ref="BU101">IF($BP101="","",IFERROR(IF($BV101="AL",_xlfn.XLOOKUP($BP101,Std_Al3_Code,INDEX(Std_Al3_Table,0,2)),IF($G101=1,_xlfn.XLOOKUP($BP101,Std_Cu1_Code,INDEX(Std_Cu1_Table,0,2)),_xlfn.XLOOKUP($BP101,Std_Cu3_Code,INDEX(Std_Cu3_Table,0,2)))),""))</f>
        <v/>
      </c>
      <c r="BV101" s="829" t="str">
        <f t="shared" si="26"/>
        <v/>
      </c>
      <c r="BW101" s="829" t="str">
        <f t="shared" si="32"/>
        <v/>
      </c>
      <c r="BX101" s="829" t="str" cm="1">
        <f t="array" ref="BX101">IF(OR($BP101="",$H101="",$I101="",$F101="",$BW101=""),"",IFERROR(_xlfn.LET(_xlpm.codes,IF($BV101="AL",Std_Al3_Code,IF($G101=1,Std_Cu1_Code,Std_Cu3_Code)),_xlpm.tbl,IF($BV101="AL",Std_Al3_Table,IF($G101=1,Std_Cu1_Table,Std_Cu3_Table)),_xlpm.i,MATCH($BP101,_xlpm.codes,0),_xlpm.idx,_xlfn.SEQUENCE(ROWS(_xlpm.codes)),_xlpm.cnd,INDEX(_xlpm.tbl,0,4),_xlpm.sts,INDEX(_xlpm.tbl,0,2),_xlpm.sz,IFERROR(_xlfn.TEXTBEFORE(_xlfn.TEXTAFTER(_xlpm.cnd,"#"),","),IFERROR(_xlfn.TEXTAFTER(_xlpm.cnd,"#"),"")),_xlpm.cm,IFERROR(_xlfn.XLOOKUP(TRIM(_xlpm.sz),Ampacity_Size,Ampacity_CM),0),_xlpm.mult,IF($G101=3,SQRT3,2),_xlpm.kk,IF($BV101="AL",K_Al,K_Cu),_xlpm.vd,IF(_xlpm.cm*IF(ISNUMBER(_xlpm.sts),_xlpm.sts,0)=0,9,_xlpm.mult*_xlpm.kk*$I101*$H101/(_xlpm.cm*_xlpm.sts)/$F101),_xlpm.hasN,--(RIGHT(_xlpm.codes&amp;"",1)="N"),_xlpm.wantN,--(RIGHT($BP101&amp;"",1)="N"),_xlpm.ok,(_xlpm.idx&gt;=_xlpm.i)*(_xlpm.vd&lt;=Cfg_VDFeeder)*(_xlpm.cm&gt;0)*ISNUMBER(_xlpm.sts)*(_xlpm.hasN=_xlpm.wantN),_xlpm.m,MIN(IF(_xlpm.ok=1,_xlpm.idx)),INDEX(_xlpm.codes,IF(_xlpm.m=0,_xlpm.i,_xlpm.m))),""))</f>
        <v/>
      </c>
      <c r="BY101" s="829" t="str" cm="1">
        <f t="array" ref="BY101">IF($BP101="","",IF($BX101="",$BU101,IFERROR(IF($BV101="AL",_xlfn.XLOOKUP($BX101,Std_Al3_Code,INDEX(Std_Al3_Table,0,2)),IF($G101=1,_xlfn.XLOOKUP($BX101,Std_Cu1_Code,INDEX(Std_Cu1_Table,0,2)),_xlfn.XLOOKUP($BX101,Std_Cu3_Code,INDEX(Std_Cu3_Table,0,2)))),"")))</f>
        <v/>
      </c>
      <c r="BZ101" s="829" t="str" cm="1">
        <f t="array" ref="BZ101">IF($BP101="","",IF($BX101="",$BR101,IFERROR(IF($BV101="AL",_xlfn.XLOOKUP($BX101,Std_Al3_Code,INDEX(Std_Al3_Table,0,4)),IF($G101=1,_xlfn.XLOOKUP($BX101,Std_Cu1_Code,INDEX(Std_Cu1_Table,0,4)),_xlfn.XLOOKUP($BX101,Std_Cu3_Code,INDEX(Std_Cu3_Table,0,4)))),"")))</f>
        <v/>
      </c>
      <c r="CA101" s="829" t="str" cm="1">
        <f t="array" ref="CA101">IF($BP101="","",IF($BX101="",$BQ101,IFERROR(IF($BV101="AL",_xlfn.XLOOKUP($BX101,Std_Al3_Code,INDEX(Std_Al3_Table,0,3)),IF($G101=1,_xlfn.XLOOKUP($BX101,Std_Cu1_Code,INDEX(Std_Cu1_Table,0,3)),_xlfn.XLOOKUP($BX101,Std_Cu3_Code,INDEX(Std_Cu3_Table,0,3)))),"")))</f>
        <v/>
      </c>
      <c r="CB101" s="829" t="str" cm="1">
        <f t="array" ref="CB101">IF($BP101="","",IF($BX101="",$BS101,IFERROR(IF($BV101="AL",_xlfn.XLOOKUP($BX101,Std_Al3_Code,INDEX(Std_Al3_Table,0,5)),IF($G101=1,_xlfn.XLOOKUP($BX101,Std_Cu1_Code,INDEX(Std_Cu1_Table,0,5)),_xlfn.XLOOKUP($BX101,Std_Cu3_Code,INDEX(Std_Cu3_Table,0,5)))),"")))</f>
        <v/>
      </c>
      <c r="CC101" s="829" t="str">
        <f t="shared" si="33"/>
        <v/>
      </c>
      <c r="CD101" s="829" t="str">
        <f t="shared" si="34"/>
        <v/>
      </c>
      <c r="CE101" s="829" t="str">
        <f t="shared" si="35"/>
        <v/>
      </c>
      <c r="CF101" s="829" t="str">
        <f t="shared" si="36"/>
        <v/>
      </c>
      <c r="CG101" s="829" t="str">
        <f t="shared" si="37"/>
        <v/>
      </c>
      <c r="CH101" s="829" t="str">
        <f t="shared" si="38"/>
        <v/>
      </c>
      <c r="CI101" s="829" t="str">
        <f t="shared" si="39"/>
        <v/>
      </c>
      <c r="CJ101" s="829" t="str" cm="1">
        <f t="array" ref="CJ101">IF($B101="","",_xlfn.LET(_xlpm.to,$D101&amp;"",_xlpm.em,IFERROR(INDEX(_xlfn.ANCHORARRAY($BE$4),ROW()-4,6),"")="EMERG",_xlpm.pri,AND(NOT(_xlpm.em),LEFT(_xlpm.to,2)="T-",ISNUMBER(MATCH(MID(_xlpm.to,3,99),Equip_List,0)),ISNA(MATCH(_xlpm.to,Equip_List,0))),IF(_xlpm.pri,MID(_xlpm.to,3,99),_xlpm.to)))</f>
        <v/>
      </c>
      <c r="CK101" s="829" t="str" cm="1">
        <f t="array" ref="CK101">IF($CJ101="","",IF(IFERROR(INDEX(_xlfn.ANCHORARRAY($BE$4),ROW()-4,6),"")="EMERG","E",IF($CJ101&lt;&gt;$D101&amp;"","P","N")))</f>
        <v/>
      </c>
    </row>
    <row r="102" spans="1:89" ht="15" customHeight="1" x14ac:dyDescent="0.35">
      <c r="A102" s="821" t="str">
        <f t="shared" si="27"/>
        <v/>
      </c>
      <c r="B102" s="821" t="str" cm="1">
        <f t="array" ref="B102">IFERROR(IF(INDEX(_xlfn.ANCHORARRAY($BE$4),ROW()-4,2)="","","F-"&amp;INDEX(_xlfn.ANCHORARRAY($BE$4),ROW()-4,2)&amp;IF(IFERROR(INDEX(_xlfn.ANCHORARRAY($BE$4),ROW()-4,6),"")="EMERG","-E","")),"")</f>
        <v/>
      </c>
      <c r="C102" s="821" t="str" cm="1">
        <f t="array" ref="C102">IFERROR(IF($B102="","",INDEX(_xlfn.ANCHORARRAY($BE$4),ROW()-4,1)),"")</f>
        <v/>
      </c>
      <c r="D102" s="821" t="str" cm="1">
        <f t="array" ref="D102">IFERROR(IF($B102="","",INDEX(_xlfn.ANCHORARRAY($BE$4),ROW()-4,2)),"")</f>
        <v/>
      </c>
      <c r="E102" s="806" t="str" cm="1">
        <f t="array" ref="E102">IFERROR(IF($B102="","",INDEX(_xlfn.ANCHORARRAY($BE$4),ROW()-4,3)),"")</f>
        <v/>
      </c>
      <c r="F102" s="822" t="str" cm="1">
        <f t="array" ref="F102">IFERROR(IF($B102="","",INDEX(_xlfn.ANCHORARRAY($BE$4),ROW()-4,4)),"")</f>
        <v/>
      </c>
      <c r="G102" s="823" t="str" cm="1">
        <f t="array" ref="G102">IFERROR(IF($B102="","",INDEX(_xlfn.ANCHORARRAY($BE$4),ROW()-4,5)),"")</f>
        <v/>
      </c>
      <c r="H102" s="824" t="str" cm="1">
        <f t="array" ref="H102">IF($CJ102="","",_xlfn.LET(_xlpm.v,_xlfn.XLOOKUP($CJ102,Equip_List,IF($CK102="E",Equip_EmLen,IF($CK102="P",Equip_XfPriLen,Equip_FdrLen)),""),IF(_xlpm.v="","",_xlpm.v)))</f>
        <v/>
      </c>
      <c r="I102" s="806" t="str">
        <f t="shared" si="20"/>
        <v/>
      </c>
      <c r="J102" s="820"/>
      <c r="K102" s="806" t="str">
        <f>_xlfn.LET(_xlpm.k,IF($I102="","",IF(COUNTIF(UPS!$B$57:$B$64,$C102&amp;"")&gt;0,1.25*MAX($I102,N(_xlfn.XLOOKUP($C102&amp;"",UPS!$B$57:$B$64,UPS!$M$57:$M$64,0))),IF(COUNTIF(UPS!$B$57:$B$64,$D102&amp;"")&gt;0,1.25*MAX($I102,N(_xlfn.XLOOKUP($D102&amp;"",UPS!$B$57:$B$64,UPS!$Q$57:$Q$64,0))),$I102*IF(OR(UPPER($J102)="Y",LEFT($C102,2)="T-",LEFT($D102,2)="T-"),1.25,1)))),IF(_xlpm.k="","",MAX(_xlpm.k,N(IFERROR(_xlfn.XLOOKUP($D102&amp;"",Dashboard!$A$101:$A$350,Dashboard!$O$101:$O$350,0),0)))))</f>
        <v/>
      </c>
      <c r="L102" s="825" t="str">
        <f>IF($CJ102="","",_xlfn.LET(_xlpm.v,UPPER(TRIM(_xlfn.XLOOKUP($CJ102,Equip_List,Equip_FdrMat,"")&amp;"")),IF(_xlpm.v="",UPPER(TRIM(Cfg_FeederMat&amp;"")),_xlpm.v)))</f>
        <v/>
      </c>
      <c r="M102" s="825" t="str">
        <f>IF($CJ102="","",_xlfn.LET(_xlpm.v,TRIM(_xlfn.XLOOKUP($CJ102,Equip_List,Equip_FdrRace,"")&amp;""),IF(_xlpm.v="",Cfg_Conduit&amp;"",_xlpm.v)))</f>
        <v/>
      </c>
      <c r="N102" s="825" t="str">
        <f>IF($CJ102="","",IF(UPPER(TRIM(_xlfn.XLOOKUP($CJ102,Equip_List,Equip_FdrExist,"")&amp;""))="Y","Y",""))</f>
        <v/>
      </c>
      <c r="O102" s="823" t="str">
        <f t="shared" si="28"/>
        <v/>
      </c>
      <c r="P102" s="821" t="str">
        <f t="shared" si="29"/>
        <v/>
      </c>
      <c r="Q102" s="821" t="str">
        <f t="shared" si="30"/>
        <v/>
      </c>
      <c r="R102" s="822" t="str" cm="1">
        <f t="array" ref="R102">IF(K102="","",INDEX(OCPD_List,MATCH(TRUE,OCPD_List&gt;=K102,0)))</f>
        <v/>
      </c>
      <c r="S102" s="821" t="str">
        <f t="shared" si="31"/>
        <v/>
      </c>
      <c r="T102" s="826" t="str">
        <f t="shared" si="21"/>
        <v/>
      </c>
      <c r="U102" s="826" t="str">
        <f t="shared" si="22"/>
        <v/>
      </c>
      <c r="V102" s="827" t="str">
        <f t="shared" si="23"/>
        <v/>
      </c>
      <c r="W102" s="828"/>
      <c r="X102" s="819"/>
      <c r="Y102" s="820"/>
      <c r="Z102" s="820"/>
      <c r="AA102" s="820"/>
      <c r="BN102" s="832" t="str">
        <f>IF($B102="","",IFERROR(_xlfn.XLOOKUP($D102,Dashboard!$A$101:$A$350,Dashboard!$C$101:$C$350),""))</f>
        <v/>
      </c>
      <c r="BO102" s="832" t="str">
        <f t="shared" si="24"/>
        <v/>
      </c>
      <c r="BP102" s="832" t="str" cm="1">
        <f t="array" ref="BP102">IF(OR($B102="",$R102="",NOT(ISNUMBER($R102))),"",IF(AND($BV102="AL",$G102=1),"",_xlfn.LET(_xlpm.codes,IF($BV102="AL",Std_Al3_Code,IF($G102=1,Std_Cu1_Code,Std_Cu3_Code)),_xlpm.amps,IFERROR(--SUBSTITUTE(_xlpm.codes&amp;"","N",""),""),_xlpm.a,MIN(IF(ISNUMBER(_xlpm.amps),IF(_xlpm.amps&gt;=$R102,_xlpm.amps,""),"")),_xlpm.k,IF(_xlpm.a=0,$R102,_xlpm.a),IF($BO102="Y",TEXT(_xlpm.k,"0")&amp;"N",_xlpm.k))))</f>
        <v/>
      </c>
      <c r="BQ102" s="832" t="str" cm="1">
        <f t="array" ref="BQ102">IF($BP102="","",IFERROR(IF($BV102="AL",_xlfn.XLOOKUP($BP102,Std_Al3_Code,INDEX(Std_Al3_Table,0,3)),IF($G102=1,_xlfn.XLOOKUP($BP102,Std_Cu1_Code,INDEX(Std_Cu1_Table,0,3)),_xlfn.XLOOKUP($BP102,Std_Cu3_Code,INDEX(Std_Cu3_Table,0,3)))),""))</f>
        <v/>
      </c>
      <c r="BR102" s="832" t="str" cm="1">
        <f t="array" ref="BR102">IF($BP102="","",IFERROR(IF($BV102="AL",_xlfn.XLOOKUP($BP102,Std_Al3_Code,INDEX(Std_Al3_Table,0,4)),IF($G102=1,_xlfn.XLOOKUP($BP102,Std_Cu1_Code,INDEX(Std_Cu1_Table,0,4)),_xlfn.XLOOKUP($BP102,Std_Cu3_Code,INDEX(Std_Cu3_Table,0,4)))),""))</f>
        <v/>
      </c>
      <c r="BS102" s="832" t="str" cm="1">
        <f t="array" ref="BS102">IF($BP102="","",IFERROR(IF($BV102="AL",_xlfn.XLOOKUP($BP102,Std_Al3_Code,INDEX(Std_Al3_Table,0,5)),IF($G102=1,_xlfn.XLOOKUP($BP102,Std_Cu1_Code,INDEX(Std_Cu1_Table,0,5)),_xlfn.XLOOKUP($BP102,Std_Cu3_Code,INDEX(Std_Cu3_Table,0,5)))),""))</f>
        <v/>
      </c>
      <c r="BT102" s="832" t="str">
        <f t="shared" si="25"/>
        <v/>
      </c>
      <c r="BU102" s="832" t="str" cm="1">
        <f t="array" ref="BU102">IF($BP102="","",IFERROR(IF($BV102="AL",_xlfn.XLOOKUP($BP102,Std_Al3_Code,INDEX(Std_Al3_Table,0,2)),IF($G102=1,_xlfn.XLOOKUP($BP102,Std_Cu1_Code,INDEX(Std_Cu1_Table,0,2)),_xlfn.XLOOKUP($BP102,Std_Cu3_Code,INDEX(Std_Cu3_Table,0,2)))),""))</f>
        <v/>
      </c>
      <c r="BV102" s="829" t="str">
        <f t="shared" si="26"/>
        <v/>
      </c>
      <c r="BW102" s="829" t="str">
        <f t="shared" si="32"/>
        <v/>
      </c>
      <c r="BX102" s="829" t="str" cm="1">
        <f t="array" ref="BX102">IF(OR($BP102="",$H102="",$I102="",$F102="",$BW102=""),"",IFERROR(_xlfn.LET(_xlpm.codes,IF($BV102="AL",Std_Al3_Code,IF($G102=1,Std_Cu1_Code,Std_Cu3_Code)),_xlpm.tbl,IF($BV102="AL",Std_Al3_Table,IF($G102=1,Std_Cu1_Table,Std_Cu3_Table)),_xlpm.i,MATCH($BP102,_xlpm.codes,0),_xlpm.idx,_xlfn.SEQUENCE(ROWS(_xlpm.codes)),_xlpm.cnd,INDEX(_xlpm.tbl,0,4),_xlpm.sts,INDEX(_xlpm.tbl,0,2),_xlpm.sz,IFERROR(_xlfn.TEXTBEFORE(_xlfn.TEXTAFTER(_xlpm.cnd,"#"),","),IFERROR(_xlfn.TEXTAFTER(_xlpm.cnd,"#"),"")),_xlpm.cm,IFERROR(_xlfn.XLOOKUP(TRIM(_xlpm.sz),Ampacity_Size,Ampacity_CM),0),_xlpm.mult,IF($G102=3,SQRT3,2),_xlpm.kk,IF($BV102="AL",K_Al,K_Cu),_xlpm.vd,IF(_xlpm.cm*IF(ISNUMBER(_xlpm.sts),_xlpm.sts,0)=0,9,_xlpm.mult*_xlpm.kk*$I102*$H102/(_xlpm.cm*_xlpm.sts)/$F102),_xlpm.hasN,--(RIGHT(_xlpm.codes&amp;"",1)="N"),_xlpm.wantN,--(RIGHT($BP102&amp;"",1)="N"),_xlpm.ok,(_xlpm.idx&gt;=_xlpm.i)*(_xlpm.vd&lt;=Cfg_VDFeeder)*(_xlpm.cm&gt;0)*ISNUMBER(_xlpm.sts)*(_xlpm.hasN=_xlpm.wantN),_xlpm.m,MIN(IF(_xlpm.ok=1,_xlpm.idx)),INDEX(_xlpm.codes,IF(_xlpm.m=0,_xlpm.i,_xlpm.m))),""))</f>
        <v/>
      </c>
      <c r="BY102" s="829" t="str" cm="1">
        <f t="array" ref="BY102">IF($BP102="","",IF($BX102="",$BU102,IFERROR(IF($BV102="AL",_xlfn.XLOOKUP($BX102,Std_Al3_Code,INDEX(Std_Al3_Table,0,2)),IF($G102=1,_xlfn.XLOOKUP($BX102,Std_Cu1_Code,INDEX(Std_Cu1_Table,0,2)),_xlfn.XLOOKUP($BX102,Std_Cu3_Code,INDEX(Std_Cu3_Table,0,2)))),"")))</f>
        <v/>
      </c>
      <c r="BZ102" s="829" t="str" cm="1">
        <f t="array" ref="BZ102">IF($BP102="","",IF($BX102="",$BR102,IFERROR(IF($BV102="AL",_xlfn.XLOOKUP($BX102,Std_Al3_Code,INDEX(Std_Al3_Table,0,4)),IF($G102=1,_xlfn.XLOOKUP($BX102,Std_Cu1_Code,INDEX(Std_Cu1_Table,0,4)),_xlfn.XLOOKUP($BX102,Std_Cu3_Code,INDEX(Std_Cu3_Table,0,4)))),"")))</f>
        <v/>
      </c>
      <c r="CA102" s="829" t="str" cm="1">
        <f t="array" ref="CA102">IF($BP102="","",IF($BX102="",$BQ102,IFERROR(IF($BV102="AL",_xlfn.XLOOKUP($BX102,Std_Al3_Code,INDEX(Std_Al3_Table,0,3)),IF($G102=1,_xlfn.XLOOKUP($BX102,Std_Cu1_Code,INDEX(Std_Cu1_Table,0,3)),_xlfn.XLOOKUP($BX102,Std_Cu3_Code,INDEX(Std_Cu3_Table,0,3)))),"")))</f>
        <v/>
      </c>
      <c r="CB102" s="829" t="str" cm="1">
        <f t="array" ref="CB102">IF($BP102="","",IF($BX102="",$BS102,IFERROR(IF($BV102="AL",_xlfn.XLOOKUP($BX102,Std_Al3_Code,INDEX(Std_Al3_Table,0,5)),IF($G102=1,_xlfn.XLOOKUP($BX102,Std_Cu1_Code,INDEX(Std_Cu1_Table,0,5)),_xlfn.XLOOKUP($BX102,Std_Cu3_Code,INDEX(Std_Cu3_Table,0,5)))),"")))</f>
        <v/>
      </c>
      <c r="CC102" s="829" t="str">
        <f t="shared" si="33"/>
        <v/>
      </c>
      <c r="CD102" s="829" t="str">
        <f t="shared" si="34"/>
        <v/>
      </c>
      <c r="CE102" s="829" t="str">
        <f t="shared" si="35"/>
        <v/>
      </c>
      <c r="CF102" s="829" t="str">
        <f t="shared" si="36"/>
        <v/>
      </c>
      <c r="CG102" s="829" t="str">
        <f t="shared" si="37"/>
        <v/>
      </c>
      <c r="CH102" s="829" t="str">
        <f t="shared" si="38"/>
        <v/>
      </c>
      <c r="CI102" s="829" t="str">
        <f t="shared" si="39"/>
        <v/>
      </c>
      <c r="CJ102" s="829" t="str" cm="1">
        <f t="array" ref="CJ102">IF($B102="","",_xlfn.LET(_xlpm.to,$D102&amp;"",_xlpm.em,IFERROR(INDEX(_xlfn.ANCHORARRAY($BE$4),ROW()-4,6),"")="EMERG",_xlpm.pri,AND(NOT(_xlpm.em),LEFT(_xlpm.to,2)="T-",ISNUMBER(MATCH(MID(_xlpm.to,3,99),Equip_List,0)),ISNA(MATCH(_xlpm.to,Equip_List,0))),IF(_xlpm.pri,MID(_xlpm.to,3,99),_xlpm.to)))</f>
        <v/>
      </c>
      <c r="CK102" s="829" t="str" cm="1">
        <f t="array" ref="CK102">IF($CJ102="","",IF(IFERROR(INDEX(_xlfn.ANCHORARRAY($BE$4),ROW()-4,6),"")="EMERG","E",IF($CJ102&lt;&gt;$D102&amp;"","P","N")))</f>
        <v/>
      </c>
    </row>
    <row r="103" spans="1:89" ht="15" customHeight="1" x14ac:dyDescent="0.35">
      <c r="A103" s="821" t="str">
        <f t="shared" si="27"/>
        <v/>
      </c>
      <c r="B103" s="821" t="str" cm="1">
        <f t="array" ref="B103">IFERROR(IF(INDEX(_xlfn.ANCHORARRAY($BE$4),ROW()-4,2)="","","F-"&amp;INDEX(_xlfn.ANCHORARRAY($BE$4),ROW()-4,2)&amp;IF(IFERROR(INDEX(_xlfn.ANCHORARRAY($BE$4),ROW()-4,6),"")="EMERG","-E","")),"")</f>
        <v/>
      </c>
      <c r="C103" s="821" t="str" cm="1">
        <f t="array" ref="C103">IFERROR(IF($B103="","",INDEX(_xlfn.ANCHORARRAY($BE$4),ROW()-4,1)),"")</f>
        <v/>
      </c>
      <c r="D103" s="821" t="str" cm="1">
        <f t="array" ref="D103">IFERROR(IF($B103="","",INDEX(_xlfn.ANCHORARRAY($BE$4),ROW()-4,2)),"")</f>
        <v/>
      </c>
      <c r="E103" s="806" t="str" cm="1">
        <f t="array" ref="E103">IFERROR(IF($B103="","",INDEX(_xlfn.ANCHORARRAY($BE$4),ROW()-4,3)),"")</f>
        <v/>
      </c>
      <c r="F103" s="822" t="str" cm="1">
        <f t="array" ref="F103">IFERROR(IF($B103="","",INDEX(_xlfn.ANCHORARRAY($BE$4),ROW()-4,4)),"")</f>
        <v/>
      </c>
      <c r="G103" s="823" t="str" cm="1">
        <f t="array" ref="G103">IFERROR(IF($B103="","",INDEX(_xlfn.ANCHORARRAY($BE$4),ROW()-4,5)),"")</f>
        <v/>
      </c>
      <c r="H103" s="824" t="str" cm="1">
        <f t="array" ref="H103">IF($CJ103="","",_xlfn.LET(_xlpm.v,_xlfn.XLOOKUP($CJ103,Equip_List,IF($CK103="E",Equip_EmLen,IF($CK103="P",Equip_XfPriLen,Equip_FdrLen)),""),IF(_xlpm.v="","",_xlpm.v)))</f>
        <v/>
      </c>
      <c r="I103" s="806" t="str">
        <f t="shared" si="20"/>
        <v/>
      </c>
      <c r="J103" s="820"/>
      <c r="K103" s="806" t="str">
        <f>_xlfn.LET(_xlpm.k,IF($I103="","",IF(COUNTIF(UPS!$B$57:$B$64,$C103&amp;"")&gt;0,1.25*MAX($I103,N(_xlfn.XLOOKUP($C103&amp;"",UPS!$B$57:$B$64,UPS!$M$57:$M$64,0))),IF(COUNTIF(UPS!$B$57:$B$64,$D103&amp;"")&gt;0,1.25*MAX($I103,N(_xlfn.XLOOKUP($D103&amp;"",UPS!$B$57:$B$64,UPS!$Q$57:$Q$64,0))),$I103*IF(OR(UPPER($J103)="Y",LEFT($C103,2)="T-",LEFT($D103,2)="T-"),1.25,1)))),IF(_xlpm.k="","",MAX(_xlpm.k,N(IFERROR(_xlfn.XLOOKUP($D103&amp;"",Dashboard!$A$101:$A$350,Dashboard!$O$101:$O$350,0),0)))))</f>
        <v/>
      </c>
      <c r="L103" s="825" t="str">
        <f>IF($CJ103="","",_xlfn.LET(_xlpm.v,UPPER(TRIM(_xlfn.XLOOKUP($CJ103,Equip_List,Equip_FdrMat,"")&amp;"")),IF(_xlpm.v="",UPPER(TRIM(Cfg_FeederMat&amp;"")),_xlpm.v)))</f>
        <v/>
      </c>
      <c r="M103" s="825" t="str">
        <f>IF($CJ103="","",_xlfn.LET(_xlpm.v,TRIM(_xlfn.XLOOKUP($CJ103,Equip_List,Equip_FdrRace,"")&amp;""),IF(_xlpm.v="",Cfg_Conduit&amp;"",_xlpm.v)))</f>
        <v/>
      </c>
      <c r="N103" s="825" t="str">
        <f>IF($CJ103="","",IF(UPPER(TRIM(_xlfn.XLOOKUP($CJ103,Equip_List,Equip_FdrExist,"")&amp;""))="Y","Y",""))</f>
        <v/>
      </c>
      <c r="O103" s="823" t="str">
        <f t="shared" si="28"/>
        <v/>
      </c>
      <c r="P103" s="821" t="str">
        <f t="shared" si="29"/>
        <v/>
      </c>
      <c r="Q103" s="821" t="str">
        <f t="shared" si="30"/>
        <v/>
      </c>
      <c r="R103" s="822" t="str" cm="1">
        <f t="array" ref="R103">IF(K103="","",INDEX(OCPD_List,MATCH(TRUE,OCPD_List&gt;=K103,0)))</f>
        <v/>
      </c>
      <c r="S103" s="821" t="str">
        <f t="shared" si="31"/>
        <v/>
      </c>
      <c r="T103" s="826" t="str">
        <f t="shared" si="21"/>
        <v/>
      </c>
      <c r="U103" s="826" t="str">
        <f t="shared" si="22"/>
        <v/>
      </c>
      <c r="V103" s="827" t="str">
        <f t="shared" si="23"/>
        <v/>
      </c>
      <c r="W103" s="828"/>
      <c r="X103" s="819"/>
      <c r="Y103" s="820"/>
      <c r="Z103" s="820"/>
      <c r="AA103" s="820"/>
      <c r="BN103" s="832" t="str">
        <f>IF($B103="","",IFERROR(_xlfn.XLOOKUP($D103,Dashboard!$A$101:$A$350,Dashboard!$C$101:$C$350),""))</f>
        <v/>
      </c>
      <c r="BO103" s="832" t="str">
        <f t="shared" si="24"/>
        <v/>
      </c>
      <c r="BP103" s="832" t="str" cm="1">
        <f t="array" ref="BP103">IF(OR($B103="",$R103="",NOT(ISNUMBER($R103))),"",IF(AND($BV103="AL",$G103=1),"",_xlfn.LET(_xlpm.codes,IF($BV103="AL",Std_Al3_Code,IF($G103=1,Std_Cu1_Code,Std_Cu3_Code)),_xlpm.amps,IFERROR(--SUBSTITUTE(_xlpm.codes&amp;"","N",""),""),_xlpm.a,MIN(IF(ISNUMBER(_xlpm.amps),IF(_xlpm.amps&gt;=$R103,_xlpm.amps,""),"")),_xlpm.k,IF(_xlpm.a=0,$R103,_xlpm.a),IF($BO103="Y",TEXT(_xlpm.k,"0")&amp;"N",_xlpm.k))))</f>
        <v/>
      </c>
      <c r="BQ103" s="832" t="str" cm="1">
        <f t="array" ref="BQ103">IF($BP103="","",IFERROR(IF($BV103="AL",_xlfn.XLOOKUP($BP103,Std_Al3_Code,INDEX(Std_Al3_Table,0,3)),IF($G103=1,_xlfn.XLOOKUP($BP103,Std_Cu1_Code,INDEX(Std_Cu1_Table,0,3)),_xlfn.XLOOKUP($BP103,Std_Cu3_Code,INDEX(Std_Cu3_Table,0,3)))),""))</f>
        <v/>
      </c>
      <c r="BR103" s="832" t="str" cm="1">
        <f t="array" ref="BR103">IF($BP103="","",IFERROR(IF($BV103="AL",_xlfn.XLOOKUP($BP103,Std_Al3_Code,INDEX(Std_Al3_Table,0,4)),IF($G103=1,_xlfn.XLOOKUP($BP103,Std_Cu1_Code,INDEX(Std_Cu1_Table,0,4)),_xlfn.XLOOKUP($BP103,Std_Cu3_Code,INDEX(Std_Cu3_Table,0,4)))),""))</f>
        <v/>
      </c>
      <c r="BS103" s="832" t="str" cm="1">
        <f t="array" ref="BS103">IF($BP103="","",IFERROR(IF($BV103="AL",_xlfn.XLOOKUP($BP103,Std_Al3_Code,INDEX(Std_Al3_Table,0,5)),IF($G103=1,_xlfn.XLOOKUP($BP103,Std_Cu1_Code,INDEX(Std_Cu1_Table,0,5)),_xlfn.XLOOKUP($BP103,Std_Cu3_Code,INDEX(Std_Cu3_Table,0,5)))),""))</f>
        <v/>
      </c>
      <c r="BT103" s="832" t="str">
        <f t="shared" si="25"/>
        <v/>
      </c>
      <c r="BU103" s="832" t="str" cm="1">
        <f t="array" ref="BU103">IF($BP103="","",IFERROR(IF($BV103="AL",_xlfn.XLOOKUP($BP103,Std_Al3_Code,INDEX(Std_Al3_Table,0,2)),IF($G103=1,_xlfn.XLOOKUP($BP103,Std_Cu1_Code,INDEX(Std_Cu1_Table,0,2)),_xlfn.XLOOKUP($BP103,Std_Cu3_Code,INDEX(Std_Cu3_Table,0,2)))),""))</f>
        <v/>
      </c>
      <c r="BV103" s="829" t="str">
        <f t="shared" si="26"/>
        <v/>
      </c>
      <c r="BW103" s="829" t="str">
        <f t="shared" si="32"/>
        <v/>
      </c>
      <c r="BX103" s="829" t="str" cm="1">
        <f t="array" ref="BX103">IF(OR($BP103="",$H103="",$I103="",$F103="",$BW103=""),"",IFERROR(_xlfn.LET(_xlpm.codes,IF($BV103="AL",Std_Al3_Code,IF($G103=1,Std_Cu1_Code,Std_Cu3_Code)),_xlpm.tbl,IF($BV103="AL",Std_Al3_Table,IF($G103=1,Std_Cu1_Table,Std_Cu3_Table)),_xlpm.i,MATCH($BP103,_xlpm.codes,0),_xlpm.idx,_xlfn.SEQUENCE(ROWS(_xlpm.codes)),_xlpm.cnd,INDEX(_xlpm.tbl,0,4),_xlpm.sts,INDEX(_xlpm.tbl,0,2),_xlpm.sz,IFERROR(_xlfn.TEXTBEFORE(_xlfn.TEXTAFTER(_xlpm.cnd,"#"),","),IFERROR(_xlfn.TEXTAFTER(_xlpm.cnd,"#"),"")),_xlpm.cm,IFERROR(_xlfn.XLOOKUP(TRIM(_xlpm.sz),Ampacity_Size,Ampacity_CM),0),_xlpm.mult,IF($G103=3,SQRT3,2),_xlpm.kk,IF($BV103="AL",K_Al,K_Cu),_xlpm.vd,IF(_xlpm.cm*IF(ISNUMBER(_xlpm.sts),_xlpm.sts,0)=0,9,_xlpm.mult*_xlpm.kk*$I103*$H103/(_xlpm.cm*_xlpm.sts)/$F103),_xlpm.hasN,--(RIGHT(_xlpm.codes&amp;"",1)="N"),_xlpm.wantN,--(RIGHT($BP103&amp;"",1)="N"),_xlpm.ok,(_xlpm.idx&gt;=_xlpm.i)*(_xlpm.vd&lt;=Cfg_VDFeeder)*(_xlpm.cm&gt;0)*ISNUMBER(_xlpm.sts)*(_xlpm.hasN=_xlpm.wantN),_xlpm.m,MIN(IF(_xlpm.ok=1,_xlpm.idx)),INDEX(_xlpm.codes,IF(_xlpm.m=0,_xlpm.i,_xlpm.m))),""))</f>
        <v/>
      </c>
      <c r="BY103" s="829" t="str" cm="1">
        <f t="array" ref="BY103">IF($BP103="","",IF($BX103="",$BU103,IFERROR(IF($BV103="AL",_xlfn.XLOOKUP($BX103,Std_Al3_Code,INDEX(Std_Al3_Table,0,2)),IF($G103=1,_xlfn.XLOOKUP($BX103,Std_Cu1_Code,INDEX(Std_Cu1_Table,0,2)),_xlfn.XLOOKUP($BX103,Std_Cu3_Code,INDEX(Std_Cu3_Table,0,2)))),"")))</f>
        <v/>
      </c>
      <c r="BZ103" s="829" t="str" cm="1">
        <f t="array" ref="BZ103">IF($BP103="","",IF($BX103="",$BR103,IFERROR(IF($BV103="AL",_xlfn.XLOOKUP($BX103,Std_Al3_Code,INDEX(Std_Al3_Table,0,4)),IF($G103=1,_xlfn.XLOOKUP($BX103,Std_Cu1_Code,INDEX(Std_Cu1_Table,0,4)),_xlfn.XLOOKUP($BX103,Std_Cu3_Code,INDEX(Std_Cu3_Table,0,4)))),"")))</f>
        <v/>
      </c>
      <c r="CA103" s="829" t="str" cm="1">
        <f t="array" ref="CA103">IF($BP103="","",IF($BX103="",$BQ103,IFERROR(IF($BV103="AL",_xlfn.XLOOKUP($BX103,Std_Al3_Code,INDEX(Std_Al3_Table,0,3)),IF($G103=1,_xlfn.XLOOKUP($BX103,Std_Cu1_Code,INDEX(Std_Cu1_Table,0,3)),_xlfn.XLOOKUP($BX103,Std_Cu3_Code,INDEX(Std_Cu3_Table,0,3)))),"")))</f>
        <v/>
      </c>
      <c r="CB103" s="829" t="str" cm="1">
        <f t="array" ref="CB103">IF($BP103="","",IF($BX103="",$BS103,IFERROR(IF($BV103="AL",_xlfn.XLOOKUP($BX103,Std_Al3_Code,INDEX(Std_Al3_Table,0,5)),IF($G103=1,_xlfn.XLOOKUP($BX103,Std_Cu1_Code,INDEX(Std_Cu1_Table,0,5)),_xlfn.XLOOKUP($BX103,Std_Cu3_Code,INDEX(Std_Cu3_Table,0,5)))),"")))</f>
        <v/>
      </c>
      <c r="CC103" s="829" t="str">
        <f t="shared" si="33"/>
        <v/>
      </c>
      <c r="CD103" s="829" t="str">
        <f t="shared" si="34"/>
        <v/>
      </c>
      <c r="CE103" s="829" t="str">
        <f t="shared" si="35"/>
        <v/>
      </c>
      <c r="CF103" s="829" t="str">
        <f t="shared" si="36"/>
        <v/>
      </c>
      <c r="CG103" s="829" t="str">
        <f t="shared" si="37"/>
        <v/>
      </c>
      <c r="CH103" s="829" t="str">
        <f t="shared" si="38"/>
        <v/>
      </c>
      <c r="CI103" s="829" t="str">
        <f t="shared" si="39"/>
        <v/>
      </c>
      <c r="CJ103" s="829" t="str" cm="1">
        <f t="array" ref="CJ103">IF($B103="","",_xlfn.LET(_xlpm.to,$D103&amp;"",_xlpm.em,IFERROR(INDEX(_xlfn.ANCHORARRAY($BE$4),ROW()-4,6),"")="EMERG",_xlpm.pri,AND(NOT(_xlpm.em),LEFT(_xlpm.to,2)="T-",ISNUMBER(MATCH(MID(_xlpm.to,3,99),Equip_List,0)),ISNA(MATCH(_xlpm.to,Equip_List,0))),IF(_xlpm.pri,MID(_xlpm.to,3,99),_xlpm.to)))</f>
        <v/>
      </c>
      <c r="CK103" s="829" t="str" cm="1">
        <f t="array" ref="CK103">IF($CJ103="","",IF(IFERROR(INDEX(_xlfn.ANCHORARRAY($BE$4),ROW()-4,6),"")="EMERG","E",IF($CJ103&lt;&gt;$D103&amp;"","P","N")))</f>
        <v/>
      </c>
    </row>
    <row r="104" spans="1:89" ht="15" customHeight="1" x14ac:dyDescent="0.35">
      <c r="A104" s="821" t="str">
        <f t="shared" si="27"/>
        <v/>
      </c>
      <c r="B104" s="821" t="str" cm="1">
        <f t="array" ref="B104">IFERROR(IF(INDEX(_xlfn.ANCHORARRAY($BE$4),ROW()-4,2)="","","F-"&amp;INDEX(_xlfn.ANCHORARRAY($BE$4),ROW()-4,2)&amp;IF(IFERROR(INDEX(_xlfn.ANCHORARRAY($BE$4),ROW()-4,6),"")="EMERG","-E","")),"")</f>
        <v/>
      </c>
      <c r="C104" s="821" t="str" cm="1">
        <f t="array" ref="C104">IFERROR(IF($B104="","",INDEX(_xlfn.ANCHORARRAY($BE$4),ROW()-4,1)),"")</f>
        <v/>
      </c>
      <c r="D104" s="821" t="str" cm="1">
        <f t="array" ref="D104">IFERROR(IF($B104="","",INDEX(_xlfn.ANCHORARRAY($BE$4),ROW()-4,2)),"")</f>
        <v/>
      </c>
      <c r="E104" s="806" t="str" cm="1">
        <f t="array" ref="E104">IFERROR(IF($B104="","",INDEX(_xlfn.ANCHORARRAY($BE$4),ROW()-4,3)),"")</f>
        <v/>
      </c>
      <c r="F104" s="822" t="str" cm="1">
        <f t="array" ref="F104">IFERROR(IF($B104="","",INDEX(_xlfn.ANCHORARRAY($BE$4),ROW()-4,4)),"")</f>
        <v/>
      </c>
      <c r="G104" s="823" t="str" cm="1">
        <f t="array" ref="G104">IFERROR(IF($B104="","",INDEX(_xlfn.ANCHORARRAY($BE$4),ROW()-4,5)),"")</f>
        <v/>
      </c>
      <c r="H104" s="824" t="str" cm="1">
        <f t="array" ref="H104">IF($CJ104="","",_xlfn.LET(_xlpm.v,_xlfn.XLOOKUP($CJ104,Equip_List,IF($CK104="E",Equip_EmLen,IF($CK104="P",Equip_XfPriLen,Equip_FdrLen)),""),IF(_xlpm.v="","",_xlpm.v)))</f>
        <v/>
      </c>
      <c r="I104" s="806" t="str">
        <f t="shared" si="20"/>
        <v/>
      </c>
      <c r="J104" s="820"/>
      <c r="K104" s="806" t="str">
        <f>_xlfn.LET(_xlpm.k,IF($I104="","",IF(COUNTIF(UPS!$B$57:$B$64,$C104&amp;"")&gt;0,1.25*MAX($I104,N(_xlfn.XLOOKUP($C104&amp;"",UPS!$B$57:$B$64,UPS!$M$57:$M$64,0))),IF(COUNTIF(UPS!$B$57:$B$64,$D104&amp;"")&gt;0,1.25*MAX($I104,N(_xlfn.XLOOKUP($D104&amp;"",UPS!$B$57:$B$64,UPS!$Q$57:$Q$64,0))),$I104*IF(OR(UPPER($J104)="Y",LEFT($C104,2)="T-",LEFT($D104,2)="T-"),1.25,1)))),IF(_xlpm.k="","",MAX(_xlpm.k,N(IFERROR(_xlfn.XLOOKUP($D104&amp;"",Dashboard!$A$101:$A$350,Dashboard!$O$101:$O$350,0),0)))))</f>
        <v/>
      </c>
      <c r="L104" s="825" t="str">
        <f>IF($CJ104="","",_xlfn.LET(_xlpm.v,UPPER(TRIM(_xlfn.XLOOKUP($CJ104,Equip_List,Equip_FdrMat,"")&amp;"")),IF(_xlpm.v="",UPPER(TRIM(Cfg_FeederMat&amp;"")),_xlpm.v)))</f>
        <v/>
      </c>
      <c r="M104" s="825" t="str">
        <f>IF($CJ104="","",_xlfn.LET(_xlpm.v,TRIM(_xlfn.XLOOKUP($CJ104,Equip_List,Equip_FdrRace,"")&amp;""),IF(_xlpm.v="",Cfg_Conduit&amp;"",_xlpm.v)))</f>
        <v/>
      </c>
      <c r="N104" s="825" t="str">
        <f>IF($CJ104="","",IF(UPPER(TRIM(_xlfn.XLOOKUP($CJ104,Equip_List,Equip_FdrExist,"")&amp;""))="Y","Y",""))</f>
        <v/>
      </c>
      <c r="O104" s="823" t="str">
        <f t="shared" si="28"/>
        <v/>
      </c>
      <c r="P104" s="821" t="str">
        <f t="shared" si="29"/>
        <v/>
      </c>
      <c r="Q104" s="821" t="str">
        <f t="shared" si="30"/>
        <v/>
      </c>
      <c r="R104" s="822" t="str" cm="1">
        <f t="array" ref="R104">IF(K104="","",INDEX(OCPD_List,MATCH(TRUE,OCPD_List&gt;=K104,0)))</f>
        <v/>
      </c>
      <c r="S104" s="821" t="str">
        <f t="shared" si="31"/>
        <v/>
      </c>
      <c r="T104" s="826" t="str">
        <f t="shared" si="21"/>
        <v/>
      </c>
      <c r="U104" s="826" t="str">
        <f t="shared" si="22"/>
        <v/>
      </c>
      <c r="V104" s="827" t="str">
        <f t="shared" si="23"/>
        <v/>
      </c>
      <c r="W104" s="828"/>
      <c r="X104" s="819"/>
      <c r="Y104" s="820"/>
      <c r="Z104" s="820"/>
      <c r="AA104" s="820"/>
      <c r="BN104" s="832" t="str">
        <f>IF($B104="","",IFERROR(_xlfn.XLOOKUP($D104,Dashboard!$A$101:$A$350,Dashboard!$C$101:$C$350),""))</f>
        <v/>
      </c>
      <c r="BO104" s="832" t="str">
        <f t="shared" si="24"/>
        <v/>
      </c>
      <c r="BP104" s="832" t="str" cm="1">
        <f t="array" ref="BP104">IF(OR($B104="",$R104="",NOT(ISNUMBER($R104))),"",IF(AND($BV104="AL",$G104=1),"",_xlfn.LET(_xlpm.codes,IF($BV104="AL",Std_Al3_Code,IF($G104=1,Std_Cu1_Code,Std_Cu3_Code)),_xlpm.amps,IFERROR(--SUBSTITUTE(_xlpm.codes&amp;"","N",""),""),_xlpm.a,MIN(IF(ISNUMBER(_xlpm.amps),IF(_xlpm.amps&gt;=$R104,_xlpm.amps,""),"")),_xlpm.k,IF(_xlpm.a=0,$R104,_xlpm.a),IF($BO104="Y",TEXT(_xlpm.k,"0")&amp;"N",_xlpm.k))))</f>
        <v/>
      </c>
      <c r="BQ104" s="832" t="str" cm="1">
        <f t="array" ref="BQ104">IF($BP104="","",IFERROR(IF($BV104="AL",_xlfn.XLOOKUP($BP104,Std_Al3_Code,INDEX(Std_Al3_Table,0,3)),IF($G104=1,_xlfn.XLOOKUP($BP104,Std_Cu1_Code,INDEX(Std_Cu1_Table,0,3)),_xlfn.XLOOKUP($BP104,Std_Cu3_Code,INDEX(Std_Cu3_Table,0,3)))),""))</f>
        <v/>
      </c>
      <c r="BR104" s="832" t="str" cm="1">
        <f t="array" ref="BR104">IF($BP104="","",IFERROR(IF($BV104="AL",_xlfn.XLOOKUP($BP104,Std_Al3_Code,INDEX(Std_Al3_Table,0,4)),IF($G104=1,_xlfn.XLOOKUP($BP104,Std_Cu1_Code,INDEX(Std_Cu1_Table,0,4)),_xlfn.XLOOKUP($BP104,Std_Cu3_Code,INDEX(Std_Cu3_Table,0,4)))),""))</f>
        <v/>
      </c>
      <c r="BS104" s="832" t="str" cm="1">
        <f t="array" ref="BS104">IF($BP104="","",IFERROR(IF($BV104="AL",_xlfn.XLOOKUP($BP104,Std_Al3_Code,INDEX(Std_Al3_Table,0,5)),IF($G104=1,_xlfn.XLOOKUP($BP104,Std_Cu1_Code,INDEX(Std_Cu1_Table,0,5)),_xlfn.XLOOKUP($BP104,Std_Cu3_Code,INDEX(Std_Cu3_Table,0,5)))),""))</f>
        <v/>
      </c>
      <c r="BT104" s="832" t="str">
        <f t="shared" si="25"/>
        <v/>
      </c>
      <c r="BU104" s="832" t="str" cm="1">
        <f t="array" ref="BU104">IF($BP104="","",IFERROR(IF($BV104="AL",_xlfn.XLOOKUP($BP104,Std_Al3_Code,INDEX(Std_Al3_Table,0,2)),IF($G104=1,_xlfn.XLOOKUP($BP104,Std_Cu1_Code,INDEX(Std_Cu1_Table,0,2)),_xlfn.XLOOKUP($BP104,Std_Cu3_Code,INDEX(Std_Cu3_Table,0,2)))),""))</f>
        <v/>
      </c>
      <c r="BV104" s="829" t="str">
        <f t="shared" si="26"/>
        <v/>
      </c>
      <c r="BW104" s="829" t="str">
        <f t="shared" si="32"/>
        <v/>
      </c>
      <c r="BX104" s="829" t="str" cm="1">
        <f t="array" ref="BX104">IF(OR($BP104="",$H104="",$I104="",$F104="",$BW104=""),"",IFERROR(_xlfn.LET(_xlpm.codes,IF($BV104="AL",Std_Al3_Code,IF($G104=1,Std_Cu1_Code,Std_Cu3_Code)),_xlpm.tbl,IF($BV104="AL",Std_Al3_Table,IF($G104=1,Std_Cu1_Table,Std_Cu3_Table)),_xlpm.i,MATCH($BP104,_xlpm.codes,0),_xlpm.idx,_xlfn.SEQUENCE(ROWS(_xlpm.codes)),_xlpm.cnd,INDEX(_xlpm.tbl,0,4),_xlpm.sts,INDEX(_xlpm.tbl,0,2),_xlpm.sz,IFERROR(_xlfn.TEXTBEFORE(_xlfn.TEXTAFTER(_xlpm.cnd,"#"),","),IFERROR(_xlfn.TEXTAFTER(_xlpm.cnd,"#"),"")),_xlpm.cm,IFERROR(_xlfn.XLOOKUP(TRIM(_xlpm.sz),Ampacity_Size,Ampacity_CM),0),_xlpm.mult,IF($G104=3,SQRT3,2),_xlpm.kk,IF($BV104="AL",K_Al,K_Cu),_xlpm.vd,IF(_xlpm.cm*IF(ISNUMBER(_xlpm.sts),_xlpm.sts,0)=0,9,_xlpm.mult*_xlpm.kk*$I104*$H104/(_xlpm.cm*_xlpm.sts)/$F104),_xlpm.hasN,--(RIGHT(_xlpm.codes&amp;"",1)="N"),_xlpm.wantN,--(RIGHT($BP104&amp;"",1)="N"),_xlpm.ok,(_xlpm.idx&gt;=_xlpm.i)*(_xlpm.vd&lt;=Cfg_VDFeeder)*(_xlpm.cm&gt;0)*ISNUMBER(_xlpm.sts)*(_xlpm.hasN=_xlpm.wantN),_xlpm.m,MIN(IF(_xlpm.ok=1,_xlpm.idx)),INDEX(_xlpm.codes,IF(_xlpm.m=0,_xlpm.i,_xlpm.m))),""))</f>
        <v/>
      </c>
      <c r="BY104" s="829" t="str" cm="1">
        <f t="array" ref="BY104">IF($BP104="","",IF($BX104="",$BU104,IFERROR(IF($BV104="AL",_xlfn.XLOOKUP($BX104,Std_Al3_Code,INDEX(Std_Al3_Table,0,2)),IF($G104=1,_xlfn.XLOOKUP($BX104,Std_Cu1_Code,INDEX(Std_Cu1_Table,0,2)),_xlfn.XLOOKUP($BX104,Std_Cu3_Code,INDEX(Std_Cu3_Table,0,2)))),"")))</f>
        <v/>
      </c>
      <c r="BZ104" s="829" t="str" cm="1">
        <f t="array" ref="BZ104">IF($BP104="","",IF($BX104="",$BR104,IFERROR(IF($BV104="AL",_xlfn.XLOOKUP($BX104,Std_Al3_Code,INDEX(Std_Al3_Table,0,4)),IF($G104=1,_xlfn.XLOOKUP($BX104,Std_Cu1_Code,INDEX(Std_Cu1_Table,0,4)),_xlfn.XLOOKUP($BX104,Std_Cu3_Code,INDEX(Std_Cu3_Table,0,4)))),"")))</f>
        <v/>
      </c>
      <c r="CA104" s="829" t="str" cm="1">
        <f t="array" ref="CA104">IF($BP104="","",IF($BX104="",$BQ104,IFERROR(IF($BV104="AL",_xlfn.XLOOKUP($BX104,Std_Al3_Code,INDEX(Std_Al3_Table,0,3)),IF($G104=1,_xlfn.XLOOKUP($BX104,Std_Cu1_Code,INDEX(Std_Cu1_Table,0,3)),_xlfn.XLOOKUP($BX104,Std_Cu3_Code,INDEX(Std_Cu3_Table,0,3)))),"")))</f>
        <v/>
      </c>
      <c r="CB104" s="829" t="str" cm="1">
        <f t="array" ref="CB104">IF($BP104="","",IF($BX104="",$BS104,IFERROR(IF($BV104="AL",_xlfn.XLOOKUP($BX104,Std_Al3_Code,INDEX(Std_Al3_Table,0,5)),IF($G104=1,_xlfn.XLOOKUP($BX104,Std_Cu1_Code,INDEX(Std_Cu1_Table,0,5)),_xlfn.XLOOKUP($BX104,Std_Cu3_Code,INDEX(Std_Cu3_Table,0,5)))),"")))</f>
        <v/>
      </c>
      <c r="CC104" s="829" t="str">
        <f t="shared" si="33"/>
        <v/>
      </c>
      <c r="CD104" s="829" t="str">
        <f t="shared" si="34"/>
        <v/>
      </c>
      <c r="CE104" s="829" t="str">
        <f t="shared" si="35"/>
        <v/>
      </c>
      <c r="CF104" s="829" t="str">
        <f t="shared" si="36"/>
        <v/>
      </c>
      <c r="CG104" s="829" t="str">
        <f t="shared" si="37"/>
        <v/>
      </c>
      <c r="CH104" s="829" t="str">
        <f t="shared" si="38"/>
        <v/>
      </c>
      <c r="CI104" s="829" t="str">
        <f t="shared" si="39"/>
        <v/>
      </c>
      <c r="CJ104" s="829" t="str" cm="1">
        <f t="array" ref="CJ104">IF($B104="","",_xlfn.LET(_xlpm.to,$D104&amp;"",_xlpm.em,IFERROR(INDEX(_xlfn.ANCHORARRAY($BE$4),ROW()-4,6),"")="EMERG",_xlpm.pri,AND(NOT(_xlpm.em),LEFT(_xlpm.to,2)="T-",ISNUMBER(MATCH(MID(_xlpm.to,3,99),Equip_List,0)),ISNA(MATCH(_xlpm.to,Equip_List,0))),IF(_xlpm.pri,MID(_xlpm.to,3,99),_xlpm.to)))</f>
        <v/>
      </c>
      <c r="CK104" s="829" t="str" cm="1">
        <f t="array" ref="CK104">IF($CJ104="","",IF(IFERROR(INDEX(_xlfn.ANCHORARRAY($BE$4),ROW()-4,6),"")="EMERG","E",IF($CJ104&lt;&gt;$D104&amp;"","P","N")))</f>
        <v/>
      </c>
    </row>
    <row r="105" spans="1:89" ht="15" customHeight="1" x14ac:dyDescent="0.35">
      <c r="A105" s="821" t="str">
        <f t="shared" si="27"/>
        <v/>
      </c>
      <c r="B105" s="821" t="str" cm="1">
        <f t="array" ref="B105">IFERROR(IF(INDEX(_xlfn.ANCHORARRAY($BE$4),ROW()-4,2)="","","F-"&amp;INDEX(_xlfn.ANCHORARRAY($BE$4),ROW()-4,2)&amp;IF(IFERROR(INDEX(_xlfn.ANCHORARRAY($BE$4),ROW()-4,6),"")="EMERG","-E","")),"")</f>
        <v/>
      </c>
      <c r="C105" s="821" t="str" cm="1">
        <f t="array" ref="C105">IFERROR(IF($B105="","",INDEX(_xlfn.ANCHORARRAY($BE$4),ROW()-4,1)),"")</f>
        <v/>
      </c>
      <c r="D105" s="821" t="str" cm="1">
        <f t="array" ref="D105">IFERROR(IF($B105="","",INDEX(_xlfn.ANCHORARRAY($BE$4),ROW()-4,2)),"")</f>
        <v/>
      </c>
      <c r="E105" s="806" t="str" cm="1">
        <f t="array" ref="E105">IFERROR(IF($B105="","",INDEX(_xlfn.ANCHORARRAY($BE$4),ROW()-4,3)),"")</f>
        <v/>
      </c>
      <c r="F105" s="822" t="str" cm="1">
        <f t="array" ref="F105">IFERROR(IF($B105="","",INDEX(_xlfn.ANCHORARRAY($BE$4),ROW()-4,4)),"")</f>
        <v/>
      </c>
      <c r="G105" s="823" t="str" cm="1">
        <f t="array" ref="G105">IFERROR(IF($B105="","",INDEX(_xlfn.ANCHORARRAY($BE$4),ROW()-4,5)),"")</f>
        <v/>
      </c>
      <c r="H105" s="824" t="str" cm="1">
        <f t="array" ref="H105">IF($CJ105="","",_xlfn.LET(_xlpm.v,_xlfn.XLOOKUP($CJ105,Equip_List,IF($CK105="E",Equip_EmLen,IF($CK105="P",Equip_XfPriLen,Equip_FdrLen)),""),IF(_xlpm.v="","",_xlpm.v)))</f>
        <v/>
      </c>
      <c r="I105" s="806" t="str">
        <f t="shared" si="20"/>
        <v/>
      </c>
      <c r="J105" s="820"/>
      <c r="K105" s="806" t="str">
        <f>_xlfn.LET(_xlpm.k,IF($I105="","",IF(COUNTIF(UPS!$B$57:$B$64,$C105&amp;"")&gt;0,1.25*MAX($I105,N(_xlfn.XLOOKUP($C105&amp;"",UPS!$B$57:$B$64,UPS!$M$57:$M$64,0))),IF(COUNTIF(UPS!$B$57:$B$64,$D105&amp;"")&gt;0,1.25*MAX($I105,N(_xlfn.XLOOKUP($D105&amp;"",UPS!$B$57:$B$64,UPS!$Q$57:$Q$64,0))),$I105*IF(OR(UPPER($J105)="Y",LEFT($C105,2)="T-",LEFT($D105,2)="T-"),1.25,1)))),IF(_xlpm.k="","",MAX(_xlpm.k,N(IFERROR(_xlfn.XLOOKUP($D105&amp;"",Dashboard!$A$101:$A$350,Dashboard!$O$101:$O$350,0),0)))))</f>
        <v/>
      </c>
      <c r="L105" s="825" t="str">
        <f>IF($CJ105="","",_xlfn.LET(_xlpm.v,UPPER(TRIM(_xlfn.XLOOKUP($CJ105,Equip_List,Equip_FdrMat,"")&amp;"")),IF(_xlpm.v="",UPPER(TRIM(Cfg_FeederMat&amp;"")),_xlpm.v)))</f>
        <v/>
      </c>
      <c r="M105" s="825" t="str">
        <f>IF($CJ105="","",_xlfn.LET(_xlpm.v,TRIM(_xlfn.XLOOKUP($CJ105,Equip_List,Equip_FdrRace,"")&amp;""),IF(_xlpm.v="",Cfg_Conduit&amp;"",_xlpm.v)))</f>
        <v/>
      </c>
      <c r="N105" s="825" t="str">
        <f>IF($CJ105="","",IF(UPPER(TRIM(_xlfn.XLOOKUP($CJ105,Equip_List,Equip_FdrExist,"")&amp;""))="Y","Y",""))</f>
        <v/>
      </c>
      <c r="O105" s="823" t="str">
        <f t="shared" si="28"/>
        <v/>
      </c>
      <c r="P105" s="821" t="str">
        <f t="shared" si="29"/>
        <v/>
      </c>
      <c r="Q105" s="821" t="str">
        <f t="shared" si="30"/>
        <v/>
      </c>
      <c r="R105" s="822" t="str" cm="1">
        <f t="array" ref="R105">IF(K105="","",INDEX(OCPD_List,MATCH(TRUE,OCPD_List&gt;=K105,0)))</f>
        <v/>
      </c>
      <c r="S105" s="821" t="str">
        <f t="shared" si="31"/>
        <v/>
      </c>
      <c r="T105" s="826" t="str">
        <f t="shared" si="21"/>
        <v/>
      </c>
      <c r="U105" s="826" t="str">
        <f t="shared" si="22"/>
        <v/>
      </c>
      <c r="V105" s="827" t="str">
        <f t="shared" si="23"/>
        <v/>
      </c>
      <c r="W105" s="828"/>
      <c r="X105" s="819"/>
      <c r="Y105" s="820"/>
      <c r="Z105" s="820"/>
      <c r="AA105" s="820"/>
      <c r="BN105" s="832" t="str">
        <f>IF($B105="","",IFERROR(_xlfn.XLOOKUP($D105,Dashboard!$A$101:$A$350,Dashboard!$C$101:$C$350),""))</f>
        <v/>
      </c>
      <c r="BO105" s="832" t="str">
        <f t="shared" si="24"/>
        <v/>
      </c>
      <c r="BP105" s="832" t="str" cm="1">
        <f t="array" ref="BP105">IF(OR($B105="",$R105="",NOT(ISNUMBER($R105))),"",IF(AND($BV105="AL",$G105=1),"",_xlfn.LET(_xlpm.codes,IF($BV105="AL",Std_Al3_Code,IF($G105=1,Std_Cu1_Code,Std_Cu3_Code)),_xlpm.amps,IFERROR(--SUBSTITUTE(_xlpm.codes&amp;"","N",""),""),_xlpm.a,MIN(IF(ISNUMBER(_xlpm.amps),IF(_xlpm.amps&gt;=$R105,_xlpm.amps,""),"")),_xlpm.k,IF(_xlpm.a=0,$R105,_xlpm.a),IF($BO105="Y",TEXT(_xlpm.k,"0")&amp;"N",_xlpm.k))))</f>
        <v/>
      </c>
      <c r="BQ105" s="832" t="str" cm="1">
        <f t="array" ref="BQ105">IF($BP105="","",IFERROR(IF($BV105="AL",_xlfn.XLOOKUP($BP105,Std_Al3_Code,INDEX(Std_Al3_Table,0,3)),IF($G105=1,_xlfn.XLOOKUP($BP105,Std_Cu1_Code,INDEX(Std_Cu1_Table,0,3)),_xlfn.XLOOKUP($BP105,Std_Cu3_Code,INDEX(Std_Cu3_Table,0,3)))),""))</f>
        <v/>
      </c>
      <c r="BR105" s="832" t="str" cm="1">
        <f t="array" ref="BR105">IF($BP105="","",IFERROR(IF($BV105="AL",_xlfn.XLOOKUP($BP105,Std_Al3_Code,INDEX(Std_Al3_Table,0,4)),IF($G105=1,_xlfn.XLOOKUP($BP105,Std_Cu1_Code,INDEX(Std_Cu1_Table,0,4)),_xlfn.XLOOKUP($BP105,Std_Cu3_Code,INDEX(Std_Cu3_Table,0,4)))),""))</f>
        <v/>
      </c>
      <c r="BS105" s="832" t="str" cm="1">
        <f t="array" ref="BS105">IF($BP105="","",IFERROR(IF($BV105="AL",_xlfn.XLOOKUP($BP105,Std_Al3_Code,INDEX(Std_Al3_Table,0,5)),IF($G105=1,_xlfn.XLOOKUP($BP105,Std_Cu1_Code,INDEX(Std_Cu1_Table,0,5)),_xlfn.XLOOKUP($BP105,Std_Cu3_Code,INDEX(Std_Cu3_Table,0,5)))),""))</f>
        <v/>
      </c>
      <c r="BT105" s="832" t="str">
        <f t="shared" si="25"/>
        <v/>
      </c>
      <c r="BU105" s="832" t="str" cm="1">
        <f t="array" ref="BU105">IF($BP105="","",IFERROR(IF($BV105="AL",_xlfn.XLOOKUP($BP105,Std_Al3_Code,INDEX(Std_Al3_Table,0,2)),IF($G105=1,_xlfn.XLOOKUP($BP105,Std_Cu1_Code,INDEX(Std_Cu1_Table,0,2)),_xlfn.XLOOKUP($BP105,Std_Cu3_Code,INDEX(Std_Cu3_Table,0,2)))),""))</f>
        <v/>
      </c>
      <c r="BV105" s="829" t="str">
        <f t="shared" si="26"/>
        <v/>
      </c>
      <c r="BW105" s="829" t="str">
        <f t="shared" si="32"/>
        <v/>
      </c>
      <c r="BX105" s="829" t="str" cm="1">
        <f t="array" ref="BX105">IF(OR($BP105="",$H105="",$I105="",$F105="",$BW105=""),"",IFERROR(_xlfn.LET(_xlpm.codes,IF($BV105="AL",Std_Al3_Code,IF($G105=1,Std_Cu1_Code,Std_Cu3_Code)),_xlpm.tbl,IF($BV105="AL",Std_Al3_Table,IF($G105=1,Std_Cu1_Table,Std_Cu3_Table)),_xlpm.i,MATCH($BP105,_xlpm.codes,0),_xlpm.idx,_xlfn.SEQUENCE(ROWS(_xlpm.codes)),_xlpm.cnd,INDEX(_xlpm.tbl,0,4),_xlpm.sts,INDEX(_xlpm.tbl,0,2),_xlpm.sz,IFERROR(_xlfn.TEXTBEFORE(_xlfn.TEXTAFTER(_xlpm.cnd,"#"),","),IFERROR(_xlfn.TEXTAFTER(_xlpm.cnd,"#"),"")),_xlpm.cm,IFERROR(_xlfn.XLOOKUP(TRIM(_xlpm.sz),Ampacity_Size,Ampacity_CM),0),_xlpm.mult,IF($G105=3,SQRT3,2),_xlpm.kk,IF($BV105="AL",K_Al,K_Cu),_xlpm.vd,IF(_xlpm.cm*IF(ISNUMBER(_xlpm.sts),_xlpm.sts,0)=0,9,_xlpm.mult*_xlpm.kk*$I105*$H105/(_xlpm.cm*_xlpm.sts)/$F105),_xlpm.hasN,--(RIGHT(_xlpm.codes&amp;"",1)="N"),_xlpm.wantN,--(RIGHT($BP105&amp;"",1)="N"),_xlpm.ok,(_xlpm.idx&gt;=_xlpm.i)*(_xlpm.vd&lt;=Cfg_VDFeeder)*(_xlpm.cm&gt;0)*ISNUMBER(_xlpm.sts)*(_xlpm.hasN=_xlpm.wantN),_xlpm.m,MIN(IF(_xlpm.ok=1,_xlpm.idx)),INDEX(_xlpm.codes,IF(_xlpm.m=0,_xlpm.i,_xlpm.m))),""))</f>
        <v/>
      </c>
      <c r="BY105" s="829" t="str" cm="1">
        <f t="array" ref="BY105">IF($BP105="","",IF($BX105="",$BU105,IFERROR(IF($BV105="AL",_xlfn.XLOOKUP($BX105,Std_Al3_Code,INDEX(Std_Al3_Table,0,2)),IF($G105=1,_xlfn.XLOOKUP($BX105,Std_Cu1_Code,INDEX(Std_Cu1_Table,0,2)),_xlfn.XLOOKUP($BX105,Std_Cu3_Code,INDEX(Std_Cu3_Table,0,2)))),"")))</f>
        <v/>
      </c>
      <c r="BZ105" s="829" t="str" cm="1">
        <f t="array" ref="BZ105">IF($BP105="","",IF($BX105="",$BR105,IFERROR(IF($BV105="AL",_xlfn.XLOOKUP($BX105,Std_Al3_Code,INDEX(Std_Al3_Table,0,4)),IF($G105=1,_xlfn.XLOOKUP($BX105,Std_Cu1_Code,INDEX(Std_Cu1_Table,0,4)),_xlfn.XLOOKUP($BX105,Std_Cu3_Code,INDEX(Std_Cu3_Table,0,4)))),"")))</f>
        <v/>
      </c>
      <c r="CA105" s="829" t="str" cm="1">
        <f t="array" ref="CA105">IF($BP105="","",IF($BX105="",$BQ105,IFERROR(IF($BV105="AL",_xlfn.XLOOKUP($BX105,Std_Al3_Code,INDEX(Std_Al3_Table,0,3)),IF($G105=1,_xlfn.XLOOKUP($BX105,Std_Cu1_Code,INDEX(Std_Cu1_Table,0,3)),_xlfn.XLOOKUP($BX105,Std_Cu3_Code,INDEX(Std_Cu3_Table,0,3)))),"")))</f>
        <v/>
      </c>
      <c r="CB105" s="829" t="str" cm="1">
        <f t="array" ref="CB105">IF($BP105="","",IF($BX105="",$BS105,IFERROR(IF($BV105="AL",_xlfn.XLOOKUP($BX105,Std_Al3_Code,INDEX(Std_Al3_Table,0,5)),IF($G105=1,_xlfn.XLOOKUP($BX105,Std_Cu1_Code,INDEX(Std_Cu1_Table,0,5)),_xlfn.XLOOKUP($BX105,Std_Cu3_Code,INDEX(Std_Cu3_Table,0,5)))),"")))</f>
        <v/>
      </c>
      <c r="CC105" s="829" t="str">
        <f t="shared" si="33"/>
        <v/>
      </c>
      <c r="CD105" s="829" t="str">
        <f t="shared" si="34"/>
        <v/>
      </c>
      <c r="CE105" s="829" t="str">
        <f t="shared" si="35"/>
        <v/>
      </c>
      <c r="CF105" s="829" t="str">
        <f t="shared" si="36"/>
        <v/>
      </c>
      <c r="CG105" s="829" t="str">
        <f t="shared" si="37"/>
        <v/>
      </c>
      <c r="CH105" s="829" t="str">
        <f t="shared" si="38"/>
        <v/>
      </c>
      <c r="CI105" s="829" t="str">
        <f t="shared" si="39"/>
        <v/>
      </c>
      <c r="CJ105" s="829" t="str" cm="1">
        <f t="array" ref="CJ105">IF($B105="","",_xlfn.LET(_xlpm.to,$D105&amp;"",_xlpm.em,IFERROR(INDEX(_xlfn.ANCHORARRAY($BE$4),ROW()-4,6),"")="EMERG",_xlpm.pri,AND(NOT(_xlpm.em),LEFT(_xlpm.to,2)="T-",ISNUMBER(MATCH(MID(_xlpm.to,3,99),Equip_List,0)),ISNA(MATCH(_xlpm.to,Equip_List,0))),IF(_xlpm.pri,MID(_xlpm.to,3,99),_xlpm.to)))</f>
        <v/>
      </c>
      <c r="CK105" s="829" t="str" cm="1">
        <f t="array" ref="CK105">IF($CJ105="","",IF(IFERROR(INDEX(_xlfn.ANCHORARRAY($BE$4),ROW()-4,6),"")="EMERG","E",IF($CJ105&lt;&gt;$D105&amp;"","P","N")))</f>
        <v/>
      </c>
    </row>
    <row r="106" spans="1:89" ht="15" customHeight="1" x14ac:dyDescent="0.35">
      <c r="A106" s="821" t="str">
        <f t="shared" si="27"/>
        <v/>
      </c>
      <c r="B106" s="821" t="str" cm="1">
        <f t="array" ref="B106">IFERROR(IF(INDEX(_xlfn.ANCHORARRAY($BE$4),ROW()-4,2)="","","F-"&amp;INDEX(_xlfn.ANCHORARRAY($BE$4),ROW()-4,2)&amp;IF(IFERROR(INDEX(_xlfn.ANCHORARRAY($BE$4),ROW()-4,6),"")="EMERG","-E","")),"")</f>
        <v/>
      </c>
      <c r="C106" s="821" t="str" cm="1">
        <f t="array" ref="C106">IFERROR(IF($B106="","",INDEX(_xlfn.ANCHORARRAY($BE$4),ROW()-4,1)),"")</f>
        <v/>
      </c>
      <c r="D106" s="821" t="str" cm="1">
        <f t="array" ref="D106">IFERROR(IF($B106="","",INDEX(_xlfn.ANCHORARRAY($BE$4),ROW()-4,2)),"")</f>
        <v/>
      </c>
      <c r="E106" s="806" t="str" cm="1">
        <f t="array" ref="E106">IFERROR(IF($B106="","",INDEX(_xlfn.ANCHORARRAY($BE$4),ROW()-4,3)),"")</f>
        <v/>
      </c>
      <c r="F106" s="822" t="str" cm="1">
        <f t="array" ref="F106">IFERROR(IF($B106="","",INDEX(_xlfn.ANCHORARRAY($BE$4),ROW()-4,4)),"")</f>
        <v/>
      </c>
      <c r="G106" s="823" t="str" cm="1">
        <f t="array" ref="G106">IFERROR(IF($B106="","",INDEX(_xlfn.ANCHORARRAY($BE$4),ROW()-4,5)),"")</f>
        <v/>
      </c>
      <c r="H106" s="824" t="str" cm="1">
        <f t="array" ref="H106">IF($CJ106="","",_xlfn.LET(_xlpm.v,_xlfn.XLOOKUP($CJ106,Equip_List,IF($CK106="E",Equip_EmLen,IF($CK106="P",Equip_XfPriLen,Equip_FdrLen)),""),IF(_xlpm.v="","",_xlpm.v)))</f>
        <v/>
      </c>
      <c r="I106" s="806" t="str">
        <f t="shared" si="20"/>
        <v/>
      </c>
      <c r="J106" s="820"/>
      <c r="K106" s="806" t="str">
        <f>_xlfn.LET(_xlpm.k,IF($I106="","",IF(COUNTIF(UPS!$B$57:$B$64,$C106&amp;"")&gt;0,1.25*MAX($I106,N(_xlfn.XLOOKUP($C106&amp;"",UPS!$B$57:$B$64,UPS!$M$57:$M$64,0))),IF(COUNTIF(UPS!$B$57:$B$64,$D106&amp;"")&gt;0,1.25*MAX($I106,N(_xlfn.XLOOKUP($D106&amp;"",UPS!$B$57:$B$64,UPS!$Q$57:$Q$64,0))),$I106*IF(OR(UPPER($J106)="Y",LEFT($C106,2)="T-",LEFT($D106,2)="T-"),1.25,1)))),IF(_xlpm.k="","",MAX(_xlpm.k,N(IFERROR(_xlfn.XLOOKUP($D106&amp;"",Dashboard!$A$101:$A$350,Dashboard!$O$101:$O$350,0),0)))))</f>
        <v/>
      </c>
      <c r="L106" s="825" t="str">
        <f>IF($CJ106="","",_xlfn.LET(_xlpm.v,UPPER(TRIM(_xlfn.XLOOKUP($CJ106,Equip_List,Equip_FdrMat,"")&amp;"")),IF(_xlpm.v="",UPPER(TRIM(Cfg_FeederMat&amp;"")),_xlpm.v)))</f>
        <v/>
      </c>
      <c r="M106" s="825" t="str">
        <f>IF($CJ106="","",_xlfn.LET(_xlpm.v,TRIM(_xlfn.XLOOKUP($CJ106,Equip_List,Equip_FdrRace,"")&amp;""),IF(_xlpm.v="",Cfg_Conduit&amp;"",_xlpm.v)))</f>
        <v/>
      </c>
      <c r="N106" s="825" t="str">
        <f>IF($CJ106="","",IF(UPPER(TRIM(_xlfn.XLOOKUP($CJ106,Equip_List,Equip_FdrExist,"")&amp;""))="Y","Y",""))</f>
        <v/>
      </c>
      <c r="O106" s="823" t="str">
        <f t="shared" si="28"/>
        <v/>
      </c>
      <c r="P106" s="821" t="str">
        <f t="shared" si="29"/>
        <v/>
      </c>
      <c r="Q106" s="821" t="str">
        <f t="shared" si="30"/>
        <v/>
      </c>
      <c r="R106" s="822" t="str" cm="1">
        <f t="array" ref="R106">IF(K106="","",INDEX(OCPD_List,MATCH(TRUE,OCPD_List&gt;=K106,0)))</f>
        <v/>
      </c>
      <c r="S106" s="821" t="str">
        <f t="shared" si="31"/>
        <v/>
      </c>
      <c r="T106" s="826" t="str">
        <f t="shared" si="21"/>
        <v/>
      </c>
      <c r="U106" s="826" t="str">
        <f t="shared" si="22"/>
        <v/>
      </c>
      <c r="V106" s="827" t="str">
        <f t="shared" si="23"/>
        <v/>
      </c>
      <c r="W106" s="828"/>
      <c r="X106" s="819"/>
      <c r="Y106" s="820"/>
      <c r="Z106" s="820"/>
      <c r="AA106" s="820"/>
      <c r="BN106" s="832" t="str">
        <f>IF($B106="","",IFERROR(_xlfn.XLOOKUP($D106,Dashboard!$A$101:$A$350,Dashboard!$C$101:$C$350),""))</f>
        <v/>
      </c>
      <c r="BO106" s="832" t="str">
        <f t="shared" si="24"/>
        <v/>
      </c>
      <c r="BP106" s="832" t="str" cm="1">
        <f t="array" ref="BP106">IF(OR($B106="",$R106="",NOT(ISNUMBER($R106))),"",IF(AND($BV106="AL",$G106=1),"",_xlfn.LET(_xlpm.codes,IF($BV106="AL",Std_Al3_Code,IF($G106=1,Std_Cu1_Code,Std_Cu3_Code)),_xlpm.amps,IFERROR(--SUBSTITUTE(_xlpm.codes&amp;"","N",""),""),_xlpm.a,MIN(IF(ISNUMBER(_xlpm.amps),IF(_xlpm.amps&gt;=$R106,_xlpm.amps,""),"")),_xlpm.k,IF(_xlpm.a=0,$R106,_xlpm.a),IF($BO106="Y",TEXT(_xlpm.k,"0")&amp;"N",_xlpm.k))))</f>
        <v/>
      </c>
      <c r="BQ106" s="832" t="str" cm="1">
        <f t="array" ref="BQ106">IF($BP106="","",IFERROR(IF($BV106="AL",_xlfn.XLOOKUP($BP106,Std_Al3_Code,INDEX(Std_Al3_Table,0,3)),IF($G106=1,_xlfn.XLOOKUP($BP106,Std_Cu1_Code,INDEX(Std_Cu1_Table,0,3)),_xlfn.XLOOKUP($BP106,Std_Cu3_Code,INDEX(Std_Cu3_Table,0,3)))),""))</f>
        <v/>
      </c>
      <c r="BR106" s="832" t="str" cm="1">
        <f t="array" ref="BR106">IF($BP106="","",IFERROR(IF($BV106="AL",_xlfn.XLOOKUP($BP106,Std_Al3_Code,INDEX(Std_Al3_Table,0,4)),IF($G106=1,_xlfn.XLOOKUP($BP106,Std_Cu1_Code,INDEX(Std_Cu1_Table,0,4)),_xlfn.XLOOKUP($BP106,Std_Cu3_Code,INDEX(Std_Cu3_Table,0,4)))),""))</f>
        <v/>
      </c>
      <c r="BS106" s="832" t="str" cm="1">
        <f t="array" ref="BS106">IF($BP106="","",IFERROR(IF($BV106="AL",_xlfn.XLOOKUP($BP106,Std_Al3_Code,INDEX(Std_Al3_Table,0,5)),IF($G106=1,_xlfn.XLOOKUP($BP106,Std_Cu1_Code,INDEX(Std_Cu1_Table,0,5)),_xlfn.XLOOKUP($BP106,Std_Cu3_Code,INDEX(Std_Cu3_Table,0,5)))),""))</f>
        <v/>
      </c>
      <c r="BT106" s="832" t="str">
        <f t="shared" si="25"/>
        <v/>
      </c>
      <c r="BU106" s="832" t="str" cm="1">
        <f t="array" ref="BU106">IF($BP106="","",IFERROR(IF($BV106="AL",_xlfn.XLOOKUP($BP106,Std_Al3_Code,INDEX(Std_Al3_Table,0,2)),IF($G106=1,_xlfn.XLOOKUP($BP106,Std_Cu1_Code,INDEX(Std_Cu1_Table,0,2)),_xlfn.XLOOKUP($BP106,Std_Cu3_Code,INDEX(Std_Cu3_Table,0,2)))),""))</f>
        <v/>
      </c>
      <c r="BV106" s="829" t="str">
        <f t="shared" si="26"/>
        <v/>
      </c>
      <c r="BW106" s="829" t="str">
        <f t="shared" si="32"/>
        <v/>
      </c>
      <c r="BX106" s="829" t="str" cm="1">
        <f t="array" ref="BX106">IF(OR($BP106="",$H106="",$I106="",$F106="",$BW106=""),"",IFERROR(_xlfn.LET(_xlpm.codes,IF($BV106="AL",Std_Al3_Code,IF($G106=1,Std_Cu1_Code,Std_Cu3_Code)),_xlpm.tbl,IF($BV106="AL",Std_Al3_Table,IF($G106=1,Std_Cu1_Table,Std_Cu3_Table)),_xlpm.i,MATCH($BP106,_xlpm.codes,0),_xlpm.idx,_xlfn.SEQUENCE(ROWS(_xlpm.codes)),_xlpm.cnd,INDEX(_xlpm.tbl,0,4),_xlpm.sts,INDEX(_xlpm.tbl,0,2),_xlpm.sz,IFERROR(_xlfn.TEXTBEFORE(_xlfn.TEXTAFTER(_xlpm.cnd,"#"),","),IFERROR(_xlfn.TEXTAFTER(_xlpm.cnd,"#"),"")),_xlpm.cm,IFERROR(_xlfn.XLOOKUP(TRIM(_xlpm.sz),Ampacity_Size,Ampacity_CM),0),_xlpm.mult,IF($G106=3,SQRT3,2),_xlpm.kk,IF($BV106="AL",K_Al,K_Cu),_xlpm.vd,IF(_xlpm.cm*IF(ISNUMBER(_xlpm.sts),_xlpm.sts,0)=0,9,_xlpm.mult*_xlpm.kk*$I106*$H106/(_xlpm.cm*_xlpm.sts)/$F106),_xlpm.hasN,--(RIGHT(_xlpm.codes&amp;"",1)="N"),_xlpm.wantN,--(RIGHT($BP106&amp;"",1)="N"),_xlpm.ok,(_xlpm.idx&gt;=_xlpm.i)*(_xlpm.vd&lt;=Cfg_VDFeeder)*(_xlpm.cm&gt;0)*ISNUMBER(_xlpm.sts)*(_xlpm.hasN=_xlpm.wantN),_xlpm.m,MIN(IF(_xlpm.ok=1,_xlpm.idx)),INDEX(_xlpm.codes,IF(_xlpm.m=0,_xlpm.i,_xlpm.m))),""))</f>
        <v/>
      </c>
      <c r="BY106" s="829" t="str" cm="1">
        <f t="array" ref="BY106">IF($BP106="","",IF($BX106="",$BU106,IFERROR(IF($BV106="AL",_xlfn.XLOOKUP($BX106,Std_Al3_Code,INDEX(Std_Al3_Table,0,2)),IF($G106=1,_xlfn.XLOOKUP($BX106,Std_Cu1_Code,INDEX(Std_Cu1_Table,0,2)),_xlfn.XLOOKUP($BX106,Std_Cu3_Code,INDEX(Std_Cu3_Table,0,2)))),"")))</f>
        <v/>
      </c>
      <c r="BZ106" s="829" t="str" cm="1">
        <f t="array" ref="BZ106">IF($BP106="","",IF($BX106="",$BR106,IFERROR(IF($BV106="AL",_xlfn.XLOOKUP($BX106,Std_Al3_Code,INDEX(Std_Al3_Table,0,4)),IF($G106=1,_xlfn.XLOOKUP($BX106,Std_Cu1_Code,INDEX(Std_Cu1_Table,0,4)),_xlfn.XLOOKUP($BX106,Std_Cu3_Code,INDEX(Std_Cu3_Table,0,4)))),"")))</f>
        <v/>
      </c>
      <c r="CA106" s="829" t="str" cm="1">
        <f t="array" ref="CA106">IF($BP106="","",IF($BX106="",$BQ106,IFERROR(IF($BV106="AL",_xlfn.XLOOKUP($BX106,Std_Al3_Code,INDEX(Std_Al3_Table,0,3)),IF($G106=1,_xlfn.XLOOKUP($BX106,Std_Cu1_Code,INDEX(Std_Cu1_Table,0,3)),_xlfn.XLOOKUP($BX106,Std_Cu3_Code,INDEX(Std_Cu3_Table,0,3)))),"")))</f>
        <v/>
      </c>
      <c r="CB106" s="829" t="str" cm="1">
        <f t="array" ref="CB106">IF($BP106="","",IF($BX106="",$BS106,IFERROR(IF($BV106="AL",_xlfn.XLOOKUP($BX106,Std_Al3_Code,INDEX(Std_Al3_Table,0,5)),IF($G106=1,_xlfn.XLOOKUP($BX106,Std_Cu1_Code,INDEX(Std_Cu1_Table,0,5)),_xlfn.XLOOKUP($BX106,Std_Cu3_Code,INDEX(Std_Cu3_Table,0,5)))),"")))</f>
        <v/>
      </c>
      <c r="CC106" s="829" t="str">
        <f t="shared" si="33"/>
        <v/>
      </c>
      <c r="CD106" s="829" t="str">
        <f t="shared" si="34"/>
        <v/>
      </c>
      <c r="CE106" s="829" t="str">
        <f t="shared" si="35"/>
        <v/>
      </c>
      <c r="CF106" s="829" t="str">
        <f t="shared" si="36"/>
        <v/>
      </c>
      <c r="CG106" s="829" t="str">
        <f t="shared" si="37"/>
        <v/>
      </c>
      <c r="CH106" s="829" t="str">
        <f t="shared" si="38"/>
        <v/>
      </c>
      <c r="CI106" s="829" t="str">
        <f t="shared" si="39"/>
        <v/>
      </c>
      <c r="CJ106" s="829" t="str" cm="1">
        <f t="array" ref="CJ106">IF($B106="","",_xlfn.LET(_xlpm.to,$D106&amp;"",_xlpm.em,IFERROR(INDEX(_xlfn.ANCHORARRAY($BE$4),ROW()-4,6),"")="EMERG",_xlpm.pri,AND(NOT(_xlpm.em),LEFT(_xlpm.to,2)="T-",ISNUMBER(MATCH(MID(_xlpm.to,3,99),Equip_List,0)),ISNA(MATCH(_xlpm.to,Equip_List,0))),IF(_xlpm.pri,MID(_xlpm.to,3,99),_xlpm.to)))</f>
        <v/>
      </c>
      <c r="CK106" s="829" t="str" cm="1">
        <f t="array" ref="CK106">IF($CJ106="","",IF(IFERROR(INDEX(_xlfn.ANCHORARRAY($BE$4),ROW()-4,6),"")="EMERG","E",IF($CJ106&lt;&gt;$D106&amp;"","P","N")))</f>
        <v/>
      </c>
    </row>
    <row r="107" spans="1:89" ht="15" customHeight="1" x14ac:dyDescent="0.35">
      <c r="A107" s="821" t="str">
        <f t="shared" si="27"/>
        <v/>
      </c>
      <c r="B107" s="821" t="str" cm="1">
        <f t="array" ref="B107">IFERROR(IF(INDEX(_xlfn.ANCHORARRAY($BE$4),ROW()-4,2)="","","F-"&amp;INDEX(_xlfn.ANCHORARRAY($BE$4),ROW()-4,2)&amp;IF(IFERROR(INDEX(_xlfn.ANCHORARRAY($BE$4),ROW()-4,6),"")="EMERG","-E","")),"")</f>
        <v/>
      </c>
      <c r="C107" s="821" t="str" cm="1">
        <f t="array" ref="C107">IFERROR(IF($B107="","",INDEX(_xlfn.ANCHORARRAY($BE$4),ROW()-4,1)),"")</f>
        <v/>
      </c>
      <c r="D107" s="821" t="str" cm="1">
        <f t="array" ref="D107">IFERROR(IF($B107="","",INDEX(_xlfn.ANCHORARRAY($BE$4),ROW()-4,2)),"")</f>
        <v/>
      </c>
      <c r="E107" s="806" t="str" cm="1">
        <f t="array" ref="E107">IFERROR(IF($B107="","",INDEX(_xlfn.ANCHORARRAY($BE$4),ROW()-4,3)),"")</f>
        <v/>
      </c>
      <c r="F107" s="822" t="str" cm="1">
        <f t="array" ref="F107">IFERROR(IF($B107="","",INDEX(_xlfn.ANCHORARRAY($BE$4),ROW()-4,4)),"")</f>
        <v/>
      </c>
      <c r="G107" s="823" t="str" cm="1">
        <f t="array" ref="G107">IFERROR(IF($B107="","",INDEX(_xlfn.ANCHORARRAY($BE$4),ROW()-4,5)),"")</f>
        <v/>
      </c>
      <c r="H107" s="824" t="str" cm="1">
        <f t="array" ref="H107">IF($CJ107="","",_xlfn.LET(_xlpm.v,_xlfn.XLOOKUP($CJ107,Equip_List,IF($CK107="E",Equip_EmLen,IF($CK107="P",Equip_XfPriLen,Equip_FdrLen)),""),IF(_xlpm.v="","",_xlpm.v)))</f>
        <v/>
      </c>
      <c r="I107" s="806" t="str">
        <f t="shared" si="20"/>
        <v/>
      </c>
      <c r="J107" s="820"/>
      <c r="K107" s="806" t="str">
        <f>_xlfn.LET(_xlpm.k,IF($I107="","",IF(COUNTIF(UPS!$B$57:$B$64,$C107&amp;"")&gt;0,1.25*MAX($I107,N(_xlfn.XLOOKUP($C107&amp;"",UPS!$B$57:$B$64,UPS!$M$57:$M$64,0))),IF(COUNTIF(UPS!$B$57:$B$64,$D107&amp;"")&gt;0,1.25*MAX($I107,N(_xlfn.XLOOKUP($D107&amp;"",UPS!$B$57:$B$64,UPS!$Q$57:$Q$64,0))),$I107*IF(OR(UPPER($J107)="Y",LEFT($C107,2)="T-",LEFT($D107,2)="T-"),1.25,1)))),IF(_xlpm.k="","",MAX(_xlpm.k,N(IFERROR(_xlfn.XLOOKUP($D107&amp;"",Dashboard!$A$101:$A$350,Dashboard!$O$101:$O$350,0),0)))))</f>
        <v/>
      </c>
      <c r="L107" s="825" t="str">
        <f>IF($CJ107="","",_xlfn.LET(_xlpm.v,UPPER(TRIM(_xlfn.XLOOKUP($CJ107,Equip_List,Equip_FdrMat,"")&amp;"")),IF(_xlpm.v="",UPPER(TRIM(Cfg_FeederMat&amp;"")),_xlpm.v)))</f>
        <v/>
      </c>
      <c r="M107" s="825" t="str">
        <f>IF($CJ107="","",_xlfn.LET(_xlpm.v,TRIM(_xlfn.XLOOKUP($CJ107,Equip_List,Equip_FdrRace,"")&amp;""),IF(_xlpm.v="",Cfg_Conduit&amp;"",_xlpm.v)))</f>
        <v/>
      </c>
      <c r="N107" s="825" t="str">
        <f>IF($CJ107="","",IF(UPPER(TRIM(_xlfn.XLOOKUP($CJ107,Equip_List,Equip_FdrExist,"")&amp;""))="Y","Y",""))</f>
        <v/>
      </c>
      <c r="O107" s="823" t="str">
        <f t="shared" si="28"/>
        <v/>
      </c>
      <c r="P107" s="821" t="str">
        <f t="shared" si="29"/>
        <v/>
      </c>
      <c r="Q107" s="821" t="str">
        <f t="shared" si="30"/>
        <v/>
      </c>
      <c r="R107" s="822" t="str" cm="1">
        <f t="array" ref="R107">IF(K107="","",INDEX(OCPD_List,MATCH(TRUE,OCPD_List&gt;=K107,0)))</f>
        <v/>
      </c>
      <c r="S107" s="821" t="str">
        <f t="shared" si="31"/>
        <v/>
      </c>
      <c r="T107" s="826" t="str">
        <f t="shared" si="21"/>
        <v/>
      </c>
      <c r="U107" s="826" t="str">
        <f t="shared" si="22"/>
        <v/>
      </c>
      <c r="V107" s="827" t="str">
        <f t="shared" si="23"/>
        <v/>
      </c>
      <c r="W107" s="828"/>
      <c r="X107" s="819"/>
      <c r="Y107" s="820"/>
      <c r="Z107" s="820"/>
      <c r="AA107" s="820"/>
      <c r="BN107" s="832" t="str">
        <f>IF($B107="","",IFERROR(_xlfn.XLOOKUP($D107,Dashboard!$A$101:$A$350,Dashboard!$C$101:$C$350),""))</f>
        <v/>
      </c>
      <c r="BO107" s="832" t="str">
        <f t="shared" si="24"/>
        <v/>
      </c>
      <c r="BP107" s="832" t="str" cm="1">
        <f t="array" ref="BP107">IF(OR($B107="",$R107="",NOT(ISNUMBER($R107))),"",IF(AND($BV107="AL",$G107=1),"",_xlfn.LET(_xlpm.codes,IF($BV107="AL",Std_Al3_Code,IF($G107=1,Std_Cu1_Code,Std_Cu3_Code)),_xlpm.amps,IFERROR(--SUBSTITUTE(_xlpm.codes&amp;"","N",""),""),_xlpm.a,MIN(IF(ISNUMBER(_xlpm.amps),IF(_xlpm.amps&gt;=$R107,_xlpm.amps,""),"")),_xlpm.k,IF(_xlpm.a=0,$R107,_xlpm.a),IF($BO107="Y",TEXT(_xlpm.k,"0")&amp;"N",_xlpm.k))))</f>
        <v/>
      </c>
      <c r="BQ107" s="832" t="str" cm="1">
        <f t="array" ref="BQ107">IF($BP107="","",IFERROR(IF($BV107="AL",_xlfn.XLOOKUP($BP107,Std_Al3_Code,INDEX(Std_Al3_Table,0,3)),IF($G107=1,_xlfn.XLOOKUP($BP107,Std_Cu1_Code,INDEX(Std_Cu1_Table,0,3)),_xlfn.XLOOKUP($BP107,Std_Cu3_Code,INDEX(Std_Cu3_Table,0,3)))),""))</f>
        <v/>
      </c>
      <c r="BR107" s="832" t="str" cm="1">
        <f t="array" ref="BR107">IF($BP107="","",IFERROR(IF($BV107="AL",_xlfn.XLOOKUP($BP107,Std_Al3_Code,INDEX(Std_Al3_Table,0,4)),IF($G107=1,_xlfn.XLOOKUP($BP107,Std_Cu1_Code,INDEX(Std_Cu1_Table,0,4)),_xlfn.XLOOKUP($BP107,Std_Cu3_Code,INDEX(Std_Cu3_Table,0,4)))),""))</f>
        <v/>
      </c>
      <c r="BS107" s="832" t="str" cm="1">
        <f t="array" ref="BS107">IF($BP107="","",IFERROR(IF($BV107="AL",_xlfn.XLOOKUP($BP107,Std_Al3_Code,INDEX(Std_Al3_Table,0,5)),IF($G107=1,_xlfn.XLOOKUP($BP107,Std_Cu1_Code,INDEX(Std_Cu1_Table,0,5)),_xlfn.XLOOKUP($BP107,Std_Cu3_Code,INDEX(Std_Cu3_Table,0,5)))),""))</f>
        <v/>
      </c>
      <c r="BT107" s="832" t="str">
        <f t="shared" si="25"/>
        <v/>
      </c>
      <c r="BU107" s="832" t="str" cm="1">
        <f t="array" ref="BU107">IF($BP107="","",IFERROR(IF($BV107="AL",_xlfn.XLOOKUP($BP107,Std_Al3_Code,INDEX(Std_Al3_Table,0,2)),IF($G107=1,_xlfn.XLOOKUP($BP107,Std_Cu1_Code,INDEX(Std_Cu1_Table,0,2)),_xlfn.XLOOKUP($BP107,Std_Cu3_Code,INDEX(Std_Cu3_Table,0,2)))),""))</f>
        <v/>
      </c>
      <c r="BV107" s="829" t="str">
        <f t="shared" si="26"/>
        <v/>
      </c>
      <c r="BW107" s="829" t="str">
        <f t="shared" si="32"/>
        <v/>
      </c>
      <c r="BX107" s="829" t="str" cm="1">
        <f t="array" ref="BX107">IF(OR($BP107="",$H107="",$I107="",$F107="",$BW107=""),"",IFERROR(_xlfn.LET(_xlpm.codes,IF($BV107="AL",Std_Al3_Code,IF($G107=1,Std_Cu1_Code,Std_Cu3_Code)),_xlpm.tbl,IF($BV107="AL",Std_Al3_Table,IF($G107=1,Std_Cu1_Table,Std_Cu3_Table)),_xlpm.i,MATCH($BP107,_xlpm.codes,0),_xlpm.idx,_xlfn.SEQUENCE(ROWS(_xlpm.codes)),_xlpm.cnd,INDEX(_xlpm.tbl,0,4),_xlpm.sts,INDEX(_xlpm.tbl,0,2),_xlpm.sz,IFERROR(_xlfn.TEXTBEFORE(_xlfn.TEXTAFTER(_xlpm.cnd,"#"),","),IFERROR(_xlfn.TEXTAFTER(_xlpm.cnd,"#"),"")),_xlpm.cm,IFERROR(_xlfn.XLOOKUP(TRIM(_xlpm.sz),Ampacity_Size,Ampacity_CM),0),_xlpm.mult,IF($G107=3,SQRT3,2),_xlpm.kk,IF($BV107="AL",K_Al,K_Cu),_xlpm.vd,IF(_xlpm.cm*IF(ISNUMBER(_xlpm.sts),_xlpm.sts,0)=0,9,_xlpm.mult*_xlpm.kk*$I107*$H107/(_xlpm.cm*_xlpm.sts)/$F107),_xlpm.hasN,--(RIGHT(_xlpm.codes&amp;"",1)="N"),_xlpm.wantN,--(RIGHT($BP107&amp;"",1)="N"),_xlpm.ok,(_xlpm.idx&gt;=_xlpm.i)*(_xlpm.vd&lt;=Cfg_VDFeeder)*(_xlpm.cm&gt;0)*ISNUMBER(_xlpm.sts)*(_xlpm.hasN=_xlpm.wantN),_xlpm.m,MIN(IF(_xlpm.ok=1,_xlpm.idx)),INDEX(_xlpm.codes,IF(_xlpm.m=0,_xlpm.i,_xlpm.m))),""))</f>
        <v/>
      </c>
      <c r="BY107" s="829" t="str" cm="1">
        <f t="array" ref="BY107">IF($BP107="","",IF($BX107="",$BU107,IFERROR(IF($BV107="AL",_xlfn.XLOOKUP($BX107,Std_Al3_Code,INDEX(Std_Al3_Table,0,2)),IF($G107=1,_xlfn.XLOOKUP($BX107,Std_Cu1_Code,INDEX(Std_Cu1_Table,0,2)),_xlfn.XLOOKUP($BX107,Std_Cu3_Code,INDEX(Std_Cu3_Table,0,2)))),"")))</f>
        <v/>
      </c>
      <c r="BZ107" s="829" t="str" cm="1">
        <f t="array" ref="BZ107">IF($BP107="","",IF($BX107="",$BR107,IFERROR(IF($BV107="AL",_xlfn.XLOOKUP($BX107,Std_Al3_Code,INDEX(Std_Al3_Table,0,4)),IF($G107=1,_xlfn.XLOOKUP($BX107,Std_Cu1_Code,INDEX(Std_Cu1_Table,0,4)),_xlfn.XLOOKUP($BX107,Std_Cu3_Code,INDEX(Std_Cu3_Table,0,4)))),"")))</f>
        <v/>
      </c>
      <c r="CA107" s="829" t="str" cm="1">
        <f t="array" ref="CA107">IF($BP107="","",IF($BX107="",$BQ107,IFERROR(IF($BV107="AL",_xlfn.XLOOKUP($BX107,Std_Al3_Code,INDEX(Std_Al3_Table,0,3)),IF($G107=1,_xlfn.XLOOKUP($BX107,Std_Cu1_Code,INDEX(Std_Cu1_Table,0,3)),_xlfn.XLOOKUP($BX107,Std_Cu3_Code,INDEX(Std_Cu3_Table,0,3)))),"")))</f>
        <v/>
      </c>
      <c r="CB107" s="829" t="str" cm="1">
        <f t="array" ref="CB107">IF($BP107="","",IF($BX107="",$BS107,IFERROR(IF($BV107="AL",_xlfn.XLOOKUP($BX107,Std_Al3_Code,INDEX(Std_Al3_Table,0,5)),IF($G107=1,_xlfn.XLOOKUP($BX107,Std_Cu1_Code,INDEX(Std_Cu1_Table,0,5)),_xlfn.XLOOKUP($BX107,Std_Cu3_Code,INDEX(Std_Cu3_Table,0,5)))),"")))</f>
        <v/>
      </c>
      <c r="CC107" s="829" t="str">
        <f t="shared" si="33"/>
        <v/>
      </c>
      <c r="CD107" s="829" t="str">
        <f t="shared" si="34"/>
        <v/>
      </c>
      <c r="CE107" s="829" t="str">
        <f t="shared" si="35"/>
        <v/>
      </c>
      <c r="CF107" s="829" t="str">
        <f t="shared" si="36"/>
        <v/>
      </c>
      <c r="CG107" s="829" t="str">
        <f t="shared" si="37"/>
        <v/>
      </c>
      <c r="CH107" s="829" t="str">
        <f t="shared" si="38"/>
        <v/>
      </c>
      <c r="CI107" s="829" t="str">
        <f t="shared" si="39"/>
        <v/>
      </c>
      <c r="CJ107" s="829" t="str" cm="1">
        <f t="array" ref="CJ107">IF($B107="","",_xlfn.LET(_xlpm.to,$D107&amp;"",_xlpm.em,IFERROR(INDEX(_xlfn.ANCHORARRAY($BE$4),ROW()-4,6),"")="EMERG",_xlpm.pri,AND(NOT(_xlpm.em),LEFT(_xlpm.to,2)="T-",ISNUMBER(MATCH(MID(_xlpm.to,3,99),Equip_List,0)),ISNA(MATCH(_xlpm.to,Equip_List,0))),IF(_xlpm.pri,MID(_xlpm.to,3,99),_xlpm.to)))</f>
        <v/>
      </c>
      <c r="CK107" s="829" t="str" cm="1">
        <f t="array" ref="CK107">IF($CJ107="","",IF(IFERROR(INDEX(_xlfn.ANCHORARRAY($BE$4),ROW()-4,6),"")="EMERG","E",IF($CJ107&lt;&gt;$D107&amp;"","P","N")))</f>
        <v/>
      </c>
    </row>
    <row r="108" spans="1:89" ht="15" customHeight="1" x14ac:dyDescent="0.35">
      <c r="A108" s="821" t="str">
        <f t="shared" si="27"/>
        <v/>
      </c>
      <c r="B108" s="821" t="str" cm="1">
        <f t="array" ref="B108">IFERROR(IF(INDEX(_xlfn.ANCHORARRAY($BE$4),ROW()-4,2)="","","F-"&amp;INDEX(_xlfn.ANCHORARRAY($BE$4),ROW()-4,2)&amp;IF(IFERROR(INDEX(_xlfn.ANCHORARRAY($BE$4),ROW()-4,6),"")="EMERG","-E","")),"")</f>
        <v/>
      </c>
      <c r="C108" s="821" t="str" cm="1">
        <f t="array" ref="C108">IFERROR(IF($B108="","",INDEX(_xlfn.ANCHORARRAY($BE$4),ROW()-4,1)),"")</f>
        <v/>
      </c>
      <c r="D108" s="821" t="str" cm="1">
        <f t="array" ref="D108">IFERROR(IF($B108="","",INDEX(_xlfn.ANCHORARRAY($BE$4),ROW()-4,2)),"")</f>
        <v/>
      </c>
      <c r="E108" s="806" t="str" cm="1">
        <f t="array" ref="E108">IFERROR(IF($B108="","",INDEX(_xlfn.ANCHORARRAY($BE$4),ROW()-4,3)),"")</f>
        <v/>
      </c>
      <c r="F108" s="822" t="str" cm="1">
        <f t="array" ref="F108">IFERROR(IF($B108="","",INDEX(_xlfn.ANCHORARRAY($BE$4),ROW()-4,4)),"")</f>
        <v/>
      </c>
      <c r="G108" s="823" t="str" cm="1">
        <f t="array" ref="G108">IFERROR(IF($B108="","",INDEX(_xlfn.ANCHORARRAY($BE$4),ROW()-4,5)),"")</f>
        <v/>
      </c>
      <c r="H108" s="824" t="str" cm="1">
        <f t="array" ref="H108">IF($CJ108="","",_xlfn.LET(_xlpm.v,_xlfn.XLOOKUP($CJ108,Equip_List,IF($CK108="E",Equip_EmLen,IF($CK108="P",Equip_XfPriLen,Equip_FdrLen)),""),IF(_xlpm.v="","",_xlpm.v)))</f>
        <v/>
      </c>
      <c r="I108" s="806" t="str">
        <f t="shared" si="20"/>
        <v/>
      </c>
      <c r="J108" s="820"/>
      <c r="K108" s="806" t="str">
        <f>_xlfn.LET(_xlpm.k,IF($I108="","",IF(COUNTIF(UPS!$B$57:$B$64,$C108&amp;"")&gt;0,1.25*MAX($I108,N(_xlfn.XLOOKUP($C108&amp;"",UPS!$B$57:$B$64,UPS!$M$57:$M$64,0))),IF(COUNTIF(UPS!$B$57:$B$64,$D108&amp;"")&gt;0,1.25*MAX($I108,N(_xlfn.XLOOKUP($D108&amp;"",UPS!$B$57:$B$64,UPS!$Q$57:$Q$64,0))),$I108*IF(OR(UPPER($J108)="Y",LEFT($C108,2)="T-",LEFT($D108,2)="T-"),1.25,1)))),IF(_xlpm.k="","",MAX(_xlpm.k,N(IFERROR(_xlfn.XLOOKUP($D108&amp;"",Dashboard!$A$101:$A$350,Dashboard!$O$101:$O$350,0),0)))))</f>
        <v/>
      </c>
      <c r="L108" s="825" t="str">
        <f>IF($CJ108="","",_xlfn.LET(_xlpm.v,UPPER(TRIM(_xlfn.XLOOKUP($CJ108,Equip_List,Equip_FdrMat,"")&amp;"")),IF(_xlpm.v="",UPPER(TRIM(Cfg_FeederMat&amp;"")),_xlpm.v)))</f>
        <v/>
      </c>
      <c r="M108" s="825" t="str">
        <f>IF($CJ108="","",_xlfn.LET(_xlpm.v,TRIM(_xlfn.XLOOKUP($CJ108,Equip_List,Equip_FdrRace,"")&amp;""),IF(_xlpm.v="",Cfg_Conduit&amp;"",_xlpm.v)))</f>
        <v/>
      </c>
      <c r="N108" s="825" t="str">
        <f>IF($CJ108="","",IF(UPPER(TRIM(_xlfn.XLOOKUP($CJ108,Equip_List,Equip_FdrExist,"")&amp;""))="Y","Y",""))</f>
        <v/>
      </c>
      <c r="O108" s="823" t="str">
        <f t="shared" si="28"/>
        <v/>
      </c>
      <c r="P108" s="821" t="str">
        <f t="shared" si="29"/>
        <v/>
      </c>
      <c r="Q108" s="821" t="str">
        <f t="shared" si="30"/>
        <v/>
      </c>
      <c r="R108" s="822" t="str" cm="1">
        <f t="array" ref="R108">IF(K108="","",INDEX(OCPD_List,MATCH(TRUE,OCPD_List&gt;=K108,0)))</f>
        <v/>
      </c>
      <c r="S108" s="821" t="str">
        <f t="shared" si="31"/>
        <v/>
      </c>
      <c r="T108" s="826" t="str">
        <f t="shared" si="21"/>
        <v/>
      </c>
      <c r="U108" s="826" t="str">
        <f t="shared" si="22"/>
        <v/>
      </c>
      <c r="V108" s="827" t="str">
        <f t="shared" si="23"/>
        <v/>
      </c>
      <c r="W108" s="828"/>
      <c r="X108" s="819"/>
      <c r="Y108" s="820"/>
      <c r="Z108" s="820"/>
      <c r="AA108" s="820"/>
      <c r="BN108" s="832" t="str">
        <f>IF($B108="","",IFERROR(_xlfn.XLOOKUP($D108,Dashboard!$A$101:$A$350,Dashboard!$C$101:$C$350),""))</f>
        <v/>
      </c>
      <c r="BO108" s="832" t="str">
        <f t="shared" si="24"/>
        <v/>
      </c>
      <c r="BP108" s="832" t="str" cm="1">
        <f t="array" ref="BP108">IF(OR($B108="",$R108="",NOT(ISNUMBER($R108))),"",IF(AND($BV108="AL",$G108=1),"",_xlfn.LET(_xlpm.codes,IF($BV108="AL",Std_Al3_Code,IF($G108=1,Std_Cu1_Code,Std_Cu3_Code)),_xlpm.amps,IFERROR(--SUBSTITUTE(_xlpm.codes&amp;"","N",""),""),_xlpm.a,MIN(IF(ISNUMBER(_xlpm.amps),IF(_xlpm.amps&gt;=$R108,_xlpm.amps,""),"")),_xlpm.k,IF(_xlpm.a=0,$R108,_xlpm.a),IF($BO108="Y",TEXT(_xlpm.k,"0")&amp;"N",_xlpm.k))))</f>
        <v/>
      </c>
      <c r="BQ108" s="832" t="str" cm="1">
        <f t="array" ref="BQ108">IF($BP108="","",IFERROR(IF($BV108="AL",_xlfn.XLOOKUP($BP108,Std_Al3_Code,INDEX(Std_Al3_Table,0,3)),IF($G108=1,_xlfn.XLOOKUP($BP108,Std_Cu1_Code,INDEX(Std_Cu1_Table,0,3)),_xlfn.XLOOKUP($BP108,Std_Cu3_Code,INDEX(Std_Cu3_Table,0,3)))),""))</f>
        <v/>
      </c>
      <c r="BR108" s="832" t="str" cm="1">
        <f t="array" ref="BR108">IF($BP108="","",IFERROR(IF($BV108="AL",_xlfn.XLOOKUP($BP108,Std_Al3_Code,INDEX(Std_Al3_Table,0,4)),IF($G108=1,_xlfn.XLOOKUP($BP108,Std_Cu1_Code,INDEX(Std_Cu1_Table,0,4)),_xlfn.XLOOKUP($BP108,Std_Cu3_Code,INDEX(Std_Cu3_Table,0,4)))),""))</f>
        <v/>
      </c>
      <c r="BS108" s="832" t="str" cm="1">
        <f t="array" ref="BS108">IF($BP108="","",IFERROR(IF($BV108="AL",_xlfn.XLOOKUP($BP108,Std_Al3_Code,INDEX(Std_Al3_Table,0,5)),IF($G108=1,_xlfn.XLOOKUP($BP108,Std_Cu1_Code,INDEX(Std_Cu1_Table,0,5)),_xlfn.XLOOKUP($BP108,Std_Cu3_Code,INDEX(Std_Cu3_Table,0,5)))),""))</f>
        <v/>
      </c>
      <c r="BT108" s="832" t="str">
        <f t="shared" si="25"/>
        <v/>
      </c>
      <c r="BU108" s="832" t="str" cm="1">
        <f t="array" ref="BU108">IF($BP108="","",IFERROR(IF($BV108="AL",_xlfn.XLOOKUP($BP108,Std_Al3_Code,INDEX(Std_Al3_Table,0,2)),IF($G108=1,_xlfn.XLOOKUP($BP108,Std_Cu1_Code,INDEX(Std_Cu1_Table,0,2)),_xlfn.XLOOKUP($BP108,Std_Cu3_Code,INDEX(Std_Cu3_Table,0,2)))),""))</f>
        <v/>
      </c>
      <c r="BV108" s="829" t="str">
        <f t="shared" si="26"/>
        <v/>
      </c>
      <c r="BW108" s="829" t="str">
        <f t="shared" si="32"/>
        <v/>
      </c>
      <c r="BX108" s="829" t="str" cm="1">
        <f t="array" ref="BX108">IF(OR($BP108="",$H108="",$I108="",$F108="",$BW108=""),"",IFERROR(_xlfn.LET(_xlpm.codes,IF($BV108="AL",Std_Al3_Code,IF($G108=1,Std_Cu1_Code,Std_Cu3_Code)),_xlpm.tbl,IF($BV108="AL",Std_Al3_Table,IF($G108=1,Std_Cu1_Table,Std_Cu3_Table)),_xlpm.i,MATCH($BP108,_xlpm.codes,0),_xlpm.idx,_xlfn.SEQUENCE(ROWS(_xlpm.codes)),_xlpm.cnd,INDEX(_xlpm.tbl,0,4),_xlpm.sts,INDEX(_xlpm.tbl,0,2),_xlpm.sz,IFERROR(_xlfn.TEXTBEFORE(_xlfn.TEXTAFTER(_xlpm.cnd,"#"),","),IFERROR(_xlfn.TEXTAFTER(_xlpm.cnd,"#"),"")),_xlpm.cm,IFERROR(_xlfn.XLOOKUP(TRIM(_xlpm.sz),Ampacity_Size,Ampacity_CM),0),_xlpm.mult,IF($G108=3,SQRT3,2),_xlpm.kk,IF($BV108="AL",K_Al,K_Cu),_xlpm.vd,IF(_xlpm.cm*IF(ISNUMBER(_xlpm.sts),_xlpm.sts,0)=0,9,_xlpm.mult*_xlpm.kk*$I108*$H108/(_xlpm.cm*_xlpm.sts)/$F108),_xlpm.hasN,--(RIGHT(_xlpm.codes&amp;"",1)="N"),_xlpm.wantN,--(RIGHT($BP108&amp;"",1)="N"),_xlpm.ok,(_xlpm.idx&gt;=_xlpm.i)*(_xlpm.vd&lt;=Cfg_VDFeeder)*(_xlpm.cm&gt;0)*ISNUMBER(_xlpm.sts)*(_xlpm.hasN=_xlpm.wantN),_xlpm.m,MIN(IF(_xlpm.ok=1,_xlpm.idx)),INDEX(_xlpm.codes,IF(_xlpm.m=0,_xlpm.i,_xlpm.m))),""))</f>
        <v/>
      </c>
      <c r="BY108" s="829" t="str" cm="1">
        <f t="array" ref="BY108">IF($BP108="","",IF($BX108="",$BU108,IFERROR(IF($BV108="AL",_xlfn.XLOOKUP($BX108,Std_Al3_Code,INDEX(Std_Al3_Table,0,2)),IF($G108=1,_xlfn.XLOOKUP($BX108,Std_Cu1_Code,INDEX(Std_Cu1_Table,0,2)),_xlfn.XLOOKUP($BX108,Std_Cu3_Code,INDEX(Std_Cu3_Table,0,2)))),"")))</f>
        <v/>
      </c>
      <c r="BZ108" s="829" t="str" cm="1">
        <f t="array" ref="BZ108">IF($BP108="","",IF($BX108="",$BR108,IFERROR(IF($BV108="AL",_xlfn.XLOOKUP($BX108,Std_Al3_Code,INDEX(Std_Al3_Table,0,4)),IF($G108=1,_xlfn.XLOOKUP($BX108,Std_Cu1_Code,INDEX(Std_Cu1_Table,0,4)),_xlfn.XLOOKUP($BX108,Std_Cu3_Code,INDEX(Std_Cu3_Table,0,4)))),"")))</f>
        <v/>
      </c>
      <c r="CA108" s="829" t="str" cm="1">
        <f t="array" ref="CA108">IF($BP108="","",IF($BX108="",$BQ108,IFERROR(IF($BV108="AL",_xlfn.XLOOKUP($BX108,Std_Al3_Code,INDEX(Std_Al3_Table,0,3)),IF($G108=1,_xlfn.XLOOKUP($BX108,Std_Cu1_Code,INDEX(Std_Cu1_Table,0,3)),_xlfn.XLOOKUP($BX108,Std_Cu3_Code,INDEX(Std_Cu3_Table,0,3)))),"")))</f>
        <v/>
      </c>
      <c r="CB108" s="829" t="str" cm="1">
        <f t="array" ref="CB108">IF($BP108="","",IF($BX108="",$BS108,IFERROR(IF($BV108="AL",_xlfn.XLOOKUP($BX108,Std_Al3_Code,INDEX(Std_Al3_Table,0,5)),IF($G108=1,_xlfn.XLOOKUP($BX108,Std_Cu1_Code,INDEX(Std_Cu1_Table,0,5)),_xlfn.XLOOKUP($BX108,Std_Cu3_Code,INDEX(Std_Cu3_Table,0,5)))),"")))</f>
        <v/>
      </c>
      <c r="CC108" s="829" t="str">
        <f t="shared" si="33"/>
        <v/>
      </c>
      <c r="CD108" s="829" t="str">
        <f t="shared" si="34"/>
        <v/>
      </c>
      <c r="CE108" s="829" t="str">
        <f t="shared" si="35"/>
        <v/>
      </c>
      <c r="CF108" s="829" t="str">
        <f t="shared" si="36"/>
        <v/>
      </c>
      <c r="CG108" s="829" t="str">
        <f t="shared" si="37"/>
        <v/>
      </c>
      <c r="CH108" s="829" t="str">
        <f t="shared" si="38"/>
        <v/>
      </c>
      <c r="CI108" s="829" t="str">
        <f t="shared" si="39"/>
        <v/>
      </c>
      <c r="CJ108" s="829" t="str" cm="1">
        <f t="array" ref="CJ108">IF($B108="","",_xlfn.LET(_xlpm.to,$D108&amp;"",_xlpm.em,IFERROR(INDEX(_xlfn.ANCHORARRAY($BE$4),ROW()-4,6),"")="EMERG",_xlpm.pri,AND(NOT(_xlpm.em),LEFT(_xlpm.to,2)="T-",ISNUMBER(MATCH(MID(_xlpm.to,3,99),Equip_List,0)),ISNA(MATCH(_xlpm.to,Equip_List,0))),IF(_xlpm.pri,MID(_xlpm.to,3,99),_xlpm.to)))</f>
        <v/>
      </c>
      <c r="CK108" s="829" t="str" cm="1">
        <f t="array" ref="CK108">IF($CJ108="","",IF(IFERROR(INDEX(_xlfn.ANCHORARRAY($BE$4),ROW()-4,6),"")="EMERG","E",IF($CJ108&lt;&gt;$D108&amp;"","P","N")))</f>
        <v/>
      </c>
    </row>
    <row r="109" spans="1:89" ht="15" customHeight="1" x14ac:dyDescent="0.35">
      <c r="A109" s="821" t="str">
        <f t="shared" si="27"/>
        <v/>
      </c>
      <c r="B109" s="821" t="str" cm="1">
        <f t="array" ref="B109">IFERROR(IF(INDEX(_xlfn.ANCHORARRAY($BE$4),ROW()-4,2)="","","F-"&amp;INDEX(_xlfn.ANCHORARRAY($BE$4),ROW()-4,2)&amp;IF(IFERROR(INDEX(_xlfn.ANCHORARRAY($BE$4),ROW()-4,6),"")="EMERG","-E","")),"")</f>
        <v/>
      </c>
      <c r="C109" s="821" t="str" cm="1">
        <f t="array" ref="C109">IFERROR(IF($B109="","",INDEX(_xlfn.ANCHORARRAY($BE$4),ROW()-4,1)),"")</f>
        <v/>
      </c>
      <c r="D109" s="821" t="str" cm="1">
        <f t="array" ref="D109">IFERROR(IF($B109="","",INDEX(_xlfn.ANCHORARRAY($BE$4),ROW()-4,2)),"")</f>
        <v/>
      </c>
      <c r="E109" s="806" t="str" cm="1">
        <f t="array" ref="E109">IFERROR(IF($B109="","",INDEX(_xlfn.ANCHORARRAY($BE$4),ROW()-4,3)),"")</f>
        <v/>
      </c>
      <c r="F109" s="822" t="str" cm="1">
        <f t="array" ref="F109">IFERROR(IF($B109="","",INDEX(_xlfn.ANCHORARRAY($BE$4),ROW()-4,4)),"")</f>
        <v/>
      </c>
      <c r="G109" s="823" t="str" cm="1">
        <f t="array" ref="G109">IFERROR(IF($B109="","",INDEX(_xlfn.ANCHORARRAY($BE$4),ROW()-4,5)),"")</f>
        <v/>
      </c>
      <c r="H109" s="824" t="str" cm="1">
        <f t="array" ref="H109">IF($CJ109="","",_xlfn.LET(_xlpm.v,_xlfn.XLOOKUP($CJ109,Equip_List,IF($CK109="E",Equip_EmLen,IF($CK109="P",Equip_XfPriLen,Equip_FdrLen)),""),IF(_xlpm.v="","",_xlpm.v)))</f>
        <v/>
      </c>
      <c r="I109" s="806" t="str">
        <f t="shared" si="20"/>
        <v/>
      </c>
      <c r="J109" s="820"/>
      <c r="K109" s="806" t="str">
        <f>_xlfn.LET(_xlpm.k,IF($I109="","",IF(COUNTIF(UPS!$B$57:$B$64,$C109&amp;"")&gt;0,1.25*MAX($I109,N(_xlfn.XLOOKUP($C109&amp;"",UPS!$B$57:$B$64,UPS!$M$57:$M$64,0))),IF(COUNTIF(UPS!$B$57:$B$64,$D109&amp;"")&gt;0,1.25*MAX($I109,N(_xlfn.XLOOKUP($D109&amp;"",UPS!$B$57:$B$64,UPS!$Q$57:$Q$64,0))),$I109*IF(OR(UPPER($J109)="Y",LEFT($C109,2)="T-",LEFT($D109,2)="T-"),1.25,1)))),IF(_xlpm.k="","",MAX(_xlpm.k,N(IFERROR(_xlfn.XLOOKUP($D109&amp;"",Dashboard!$A$101:$A$350,Dashboard!$O$101:$O$350,0),0)))))</f>
        <v/>
      </c>
      <c r="L109" s="825" t="str">
        <f>IF($CJ109="","",_xlfn.LET(_xlpm.v,UPPER(TRIM(_xlfn.XLOOKUP($CJ109,Equip_List,Equip_FdrMat,"")&amp;"")),IF(_xlpm.v="",UPPER(TRIM(Cfg_FeederMat&amp;"")),_xlpm.v)))</f>
        <v/>
      </c>
      <c r="M109" s="825" t="str">
        <f>IF($CJ109="","",_xlfn.LET(_xlpm.v,TRIM(_xlfn.XLOOKUP($CJ109,Equip_List,Equip_FdrRace,"")&amp;""),IF(_xlpm.v="",Cfg_Conduit&amp;"",_xlpm.v)))</f>
        <v/>
      </c>
      <c r="N109" s="825" t="str">
        <f>IF($CJ109="","",IF(UPPER(TRIM(_xlfn.XLOOKUP($CJ109,Equip_List,Equip_FdrExist,"")&amp;""))="Y","Y",""))</f>
        <v/>
      </c>
      <c r="O109" s="823" t="str">
        <f t="shared" si="28"/>
        <v/>
      </c>
      <c r="P109" s="821" t="str">
        <f t="shared" si="29"/>
        <v/>
      </c>
      <c r="Q109" s="821" t="str">
        <f t="shared" si="30"/>
        <v/>
      </c>
      <c r="R109" s="822" t="str" cm="1">
        <f t="array" ref="R109">IF(K109="","",INDEX(OCPD_List,MATCH(TRUE,OCPD_List&gt;=K109,0)))</f>
        <v/>
      </c>
      <c r="S109" s="821" t="str">
        <f t="shared" si="31"/>
        <v/>
      </c>
      <c r="T109" s="826" t="str">
        <f t="shared" si="21"/>
        <v/>
      </c>
      <c r="U109" s="826" t="str">
        <f t="shared" si="22"/>
        <v/>
      </c>
      <c r="V109" s="827" t="str">
        <f t="shared" si="23"/>
        <v/>
      </c>
      <c r="W109" s="828"/>
      <c r="X109" s="819"/>
      <c r="Y109" s="820"/>
      <c r="Z109" s="820"/>
      <c r="AA109" s="820"/>
      <c r="BN109" s="832" t="str">
        <f>IF($B109="","",IFERROR(_xlfn.XLOOKUP($D109,Dashboard!$A$101:$A$350,Dashboard!$C$101:$C$350),""))</f>
        <v/>
      </c>
      <c r="BO109" s="832" t="str">
        <f t="shared" si="24"/>
        <v/>
      </c>
      <c r="BP109" s="832" t="str" cm="1">
        <f t="array" ref="BP109">IF(OR($B109="",$R109="",NOT(ISNUMBER($R109))),"",IF(AND($BV109="AL",$G109=1),"",_xlfn.LET(_xlpm.codes,IF($BV109="AL",Std_Al3_Code,IF($G109=1,Std_Cu1_Code,Std_Cu3_Code)),_xlpm.amps,IFERROR(--SUBSTITUTE(_xlpm.codes&amp;"","N",""),""),_xlpm.a,MIN(IF(ISNUMBER(_xlpm.amps),IF(_xlpm.amps&gt;=$R109,_xlpm.amps,""),"")),_xlpm.k,IF(_xlpm.a=0,$R109,_xlpm.a),IF($BO109="Y",TEXT(_xlpm.k,"0")&amp;"N",_xlpm.k))))</f>
        <v/>
      </c>
      <c r="BQ109" s="832" t="str" cm="1">
        <f t="array" ref="BQ109">IF($BP109="","",IFERROR(IF($BV109="AL",_xlfn.XLOOKUP($BP109,Std_Al3_Code,INDEX(Std_Al3_Table,0,3)),IF($G109=1,_xlfn.XLOOKUP($BP109,Std_Cu1_Code,INDEX(Std_Cu1_Table,0,3)),_xlfn.XLOOKUP($BP109,Std_Cu3_Code,INDEX(Std_Cu3_Table,0,3)))),""))</f>
        <v/>
      </c>
      <c r="BR109" s="832" t="str" cm="1">
        <f t="array" ref="BR109">IF($BP109="","",IFERROR(IF($BV109="AL",_xlfn.XLOOKUP($BP109,Std_Al3_Code,INDEX(Std_Al3_Table,0,4)),IF($G109=1,_xlfn.XLOOKUP($BP109,Std_Cu1_Code,INDEX(Std_Cu1_Table,0,4)),_xlfn.XLOOKUP($BP109,Std_Cu3_Code,INDEX(Std_Cu3_Table,0,4)))),""))</f>
        <v/>
      </c>
      <c r="BS109" s="832" t="str" cm="1">
        <f t="array" ref="BS109">IF($BP109="","",IFERROR(IF($BV109="AL",_xlfn.XLOOKUP($BP109,Std_Al3_Code,INDEX(Std_Al3_Table,0,5)),IF($G109=1,_xlfn.XLOOKUP($BP109,Std_Cu1_Code,INDEX(Std_Cu1_Table,0,5)),_xlfn.XLOOKUP($BP109,Std_Cu3_Code,INDEX(Std_Cu3_Table,0,5)))),""))</f>
        <v/>
      </c>
      <c r="BT109" s="832" t="str">
        <f t="shared" si="25"/>
        <v/>
      </c>
      <c r="BU109" s="832" t="str" cm="1">
        <f t="array" ref="BU109">IF($BP109="","",IFERROR(IF($BV109="AL",_xlfn.XLOOKUP($BP109,Std_Al3_Code,INDEX(Std_Al3_Table,0,2)),IF($G109=1,_xlfn.XLOOKUP($BP109,Std_Cu1_Code,INDEX(Std_Cu1_Table,0,2)),_xlfn.XLOOKUP($BP109,Std_Cu3_Code,INDEX(Std_Cu3_Table,0,2)))),""))</f>
        <v/>
      </c>
      <c r="BV109" s="829" t="str">
        <f t="shared" si="26"/>
        <v/>
      </c>
      <c r="BW109" s="829" t="str">
        <f t="shared" si="32"/>
        <v/>
      </c>
      <c r="BX109" s="829" t="str" cm="1">
        <f t="array" ref="BX109">IF(OR($BP109="",$H109="",$I109="",$F109="",$BW109=""),"",IFERROR(_xlfn.LET(_xlpm.codes,IF($BV109="AL",Std_Al3_Code,IF($G109=1,Std_Cu1_Code,Std_Cu3_Code)),_xlpm.tbl,IF($BV109="AL",Std_Al3_Table,IF($G109=1,Std_Cu1_Table,Std_Cu3_Table)),_xlpm.i,MATCH($BP109,_xlpm.codes,0),_xlpm.idx,_xlfn.SEQUENCE(ROWS(_xlpm.codes)),_xlpm.cnd,INDEX(_xlpm.tbl,0,4),_xlpm.sts,INDEX(_xlpm.tbl,0,2),_xlpm.sz,IFERROR(_xlfn.TEXTBEFORE(_xlfn.TEXTAFTER(_xlpm.cnd,"#"),","),IFERROR(_xlfn.TEXTAFTER(_xlpm.cnd,"#"),"")),_xlpm.cm,IFERROR(_xlfn.XLOOKUP(TRIM(_xlpm.sz),Ampacity_Size,Ampacity_CM),0),_xlpm.mult,IF($G109=3,SQRT3,2),_xlpm.kk,IF($BV109="AL",K_Al,K_Cu),_xlpm.vd,IF(_xlpm.cm*IF(ISNUMBER(_xlpm.sts),_xlpm.sts,0)=0,9,_xlpm.mult*_xlpm.kk*$I109*$H109/(_xlpm.cm*_xlpm.sts)/$F109),_xlpm.hasN,--(RIGHT(_xlpm.codes&amp;"",1)="N"),_xlpm.wantN,--(RIGHT($BP109&amp;"",1)="N"),_xlpm.ok,(_xlpm.idx&gt;=_xlpm.i)*(_xlpm.vd&lt;=Cfg_VDFeeder)*(_xlpm.cm&gt;0)*ISNUMBER(_xlpm.sts)*(_xlpm.hasN=_xlpm.wantN),_xlpm.m,MIN(IF(_xlpm.ok=1,_xlpm.idx)),INDEX(_xlpm.codes,IF(_xlpm.m=0,_xlpm.i,_xlpm.m))),""))</f>
        <v/>
      </c>
      <c r="BY109" s="829" t="str" cm="1">
        <f t="array" ref="BY109">IF($BP109="","",IF($BX109="",$BU109,IFERROR(IF($BV109="AL",_xlfn.XLOOKUP($BX109,Std_Al3_Code,INDEX(Std_Al3_Table,0,2)),IF($G109=1,_xlfn.XLOOKUP($BX109,Std_Cu1_Code,INDEX(Std_Cu1_Table,0,2)),_xlfn.XLOOKUP($BX109,Std_Cu3_Code,INDEX(Std_Cu3_Table,0,2)))),"")))</f>
        <v/>
      </c>
      <c r="BZ109" s="829" t="str" cm="1">
        <f t="array" ref="BZ109">IF($BP109="","",IF($BX109="",$BR109,IFERROR(IF($BV109="AL",_xlfn.XLOOKUP($BX109,Std_Al3_Code,INDEX(Std_Al3_Table,0,4)),IF($G109=1,_xlfn.XLOOKUP($BX109,Std_Cu1_Code,INDEX(Std_Cu1_Table,0,4)),_xlfn.XLOOKUP($BX109,Std_Cu3_Code,INDEX(Std_Cu3_Table,0,4)))),"")))</f>
        <v/>
      </c>
      <c r="CA109" s="829" t="str" cm="1">
        <f t="array" ref="CA109">IF($BP109="","",IF($BX109="",$BQ109,IFERROR(IF($BV109="AL",_xlfn.XLOOKUP($BX109,Std_Al3_Code,INDEX(Std_Al3_Table,0,3)),IF($G109=1,_xlfn.XLOOKUP($BX109,Std_Cu1_Code,INDEX(Std_Cu1_Table,0,3)),_xlfn.XLOOKUP($BX109,Std_Cu3_Code,INDEX(Std_Cu3_Table,0,3)))),"")))</f>
        <v/>
      </c>
      <c r="CB109" s="829" t="str" cm="1">
        <f t="array" ref="CB109">IF($BP109="","",IF($BX109="",$BS109,IFERROR(IF($BV109="AL",_xlfn.XLOOKUP($BX109,Std_Al3_Code,INDEX(Std_Al3_Table,0,5)),IF($G109=1,_xlfn.XLOOKUP($BX109,Std_Cu1_Code,INDEX(Std_Cu1_Table,0,5)),_xlfn.XLOOKUP($BX109,Std_Cu3_Code,INDEX(Std_Cu3_Table,0,5)))),"")))</f>
        <v/>
      </c>
      <c r="CC109" s="829" t="str">
        <f t="shared" si="33"/>
        <v/>
      </c>
      <c r="CD109" s="829" t="str">
        <f t="shared" si="34"/>
        <v/>
      </c>
      <c r="CE109" s="829" t="str">
        <f t="shared" si="35"/>
        <v/>
      </c>
      <c r="CF109" s="829" t="str">
        <f t="shared" si="36"/>
        <v/>
      </c>
      <c r="CG109" s="829" t="str">
        <f t="shared" si="37"/>
        <v/>
      </c>
      <c r="CH109" s="829" t="str">
        <f t="shared" si="38"/>
        <v/>
      </c>
      <c r="CI109" s="829" t="str">
        <f t="shared" si="39"/>
        <v/>
      </c>
      <c r="CJ109" s="829" t="str" cm="1">
        <f t="array" ref="CJ109">IF($B109="","",_xlfn.LET(_xlpm.to,$D109&amp;"",_xlpm.em,IFERROR(INDEX(_xlfn.ANCHORARRAY($BE$4),ROW()-4,6),"")="EMERG",_xlpm.pri,AND(NOT(_xlpm.em),LEFT(_xlpm.to,2)="T-",ISNUMBER(MATCH(MID(_xlpm.to,3,99),Equip_List,0)),ISNA(MATCH(_xlpm.to,Equip_List,0))),IF(_xlpm.pri,MID(_xlpm.to,3,99),_xlpm.to)))</f>
        <v/>
      </c>
      <c r="CK109" s="829" t="str" cm="1">
        <f t="array" ref="CK109">IF($CJ109="","",IF(IFERROR(INDEX(_xlfn.ANCHORARRAY($BE$4),ROW()-4,6),"")="EMERG","E",IF($CJ109&lt;&gt;$D109&amp;"","P","N")))</f>
        <v/>
      </c>
    </row>
    <row r="110" spans="1:89" ht="15" customHeight="1" x14ac:dyDescent="0.35">
      <c r="A110" s="821" t="str">
        <f t="shared" si="27"/>
        <v/>
      </c>
      <c r="B110" s="821" t="str" cm="1">
        <f t="array" ref="B110">IFERROR(IF(INDEX(_xlfn.ANCHORARRAY($BE$4),ROW()-4,2)="","","F-"&amp;INDEX(_xlfn.ANCHORARRAY($BE$4),ROW()-4,2)&amp;IF(IFERROR(INDEX(_xlfn.ANCHORARRAY($BE$4),ROW()-4,6),"")="EMERG","-E","")),"")</f>
        <v/>
      </c>
      <c r="C110" s="821" t="str" cm="1">
        <f t="array" ref="C110">IFERROR(IF($B110="","",INDEX(_xlfn.ANCHORARRAY($BE$4),ROW()-4,1)),"")</f>
        <v/>
      </c>
      <c r="D110" s="821" t="str" cm="1">
        <f t="array" ref="D110">IFERROR(IF($B110="","",INDEX(_xlfn.ANCHORARRAY($BE$4),ROW()-4,2)),"")</f>
        <v/>
      </c>
      <c r="E110" s="806" t="str" cm="1">
        <f t="array" ref="E110">IFERROR(IF($B110="","",INDEX(_xlfn.ANCHORARRAY($BE$4),ROW()-4,3)),"")</f>
        <v/>
      </c>
      <c r="F110" s="822" t="str" cm="1">
        <f t="array" ref="F110">IFERROR(IF($B110="","",INDEX(_xlfn.ANCHORARRAY($BE$4),ROW()-4,4)),"")</f>
        <v/>
      </c>
      <c r="G110" s="823" t="str" cm="1">
        <f t="array" ref="G110">IFERROR(IF($B110="","",INDEX(_xlfn.ANCHORARRAY($BE$4),ROW()-4,5)),"")</f>
        <v/>
      </c>
      <c r="H110" s="824" t="str" cm="1">
        <f t="array" ref="H110">IF($CJ110="","",_xlfn.LET(_xlpm.v,_xlfn.XLOOKUP($CJ110,Equip_List,IF($CK110="E",Equip_EmLen,IF($CK110="P",Equip_XfPriLen,Equip_FdrLen)),""),IF(_xlpm.v="","",_xlpm.v)))</f>
        <v/>
      </c>
      <c r="I110" s="806" t="str">
        <f t="shared" si="20"/>
        <v/>
      </c>
      <c r="J110" s="820"/>
      <c r="K110" s="806" t="str">
        <f>_xlfn.LET(_xlpm.k,IF($I110="","",IF(COUNTIF(UPS!$B$57:$B$64,$C110&amp;"")&gt;0,1.25*MAX($I110,N(_xlfn.XLOOKUP($C110&amp;"",UPS!$B$57:$B$64,UPS!$M$57:$M$64,0))),IF(COUNTIF(UPS!$B$57:$B$64,$D110&amp;"")&gt;0,1.25*MAX($I110,N(_xlfn.XLOOKUP($D110&amp;"",UPS!$B$57:$B$64,UPS!$Q$57:$Q$64,0))),$I110*IF(OR(UPPER($J110)="Y",LEFT($C110,2)="T-",LEFT($D110,2)="T-"),1.25,1)))),IF(_xlpm.k="","",MAX(_xlpm.k,N(IFERROR(_xlfn.XLOOKUP($D110&amp;"",Dashboard!$A$101:$A$350,Dashboard!$O$101:$O$350,0),0)))))</f>
        <v/>
      </c>
      <c r="L110" s="825" t="str">
        <f>IF($CJ110="","",_xlfn.LET(_xlpm.v,UPPER(TRIM(_xlfn.XLOOKUP($CJ110,Equip_List,Equip_FdrMat,"")&amp;"")),IF(_xlpm.v="",UPPER(TRIM(Cfg_FeederMat&amp;"")),_xlpm.v)))</f>
        <v/>
      </c>
      <c r="M110" s="825" t="str">
        <f>IF($CJ110="","",_xlfn.LET(_xlpm.v,TRIM(_xlfn.XLOOKUP($CJ110,Equip_List,Equip_FdrRace,"")&amp;""),IF(_xlpm.v="",Cfg_Conduit&amp;"",_xlpm.v)))</f>
        <v/>
      </c>
      <c r="N110" s="825" t="str">
        <f>IF($CJ110="","",IF(UPPER(TRIM(_xlfn.XLOOKUP($CJ110,Equip_List,Equip_FdrExist,"")&amp;""))="Y","Y",""))</f>
        <v/>
      </c>
      <c r="O110" s="823" t="str">
        <f t="shared" si="28"/>
        <v/>
      </c>
      <c r="P110" s="821" t="str">
        <f t="shared" si="29"/>
        <v/>
      </c>
      <c r="Q110" s="821" t="str">
        <f t="shared" si="30"/>
        <v/>
      </c>
      <c r="R110" s="822" t="str" cm="1">
        <f t="array" ref="R110">IF(K110="","",INDEX(OCPD_List,MATCH(TRUE,OCPD_List&gt;=K110,0)))</f>
        <v/>
      </c>
      <c r="S110" s="821" t="str">
        <f t="shared" si="31"/>
        <v/>
      </c>
      <c r="T110" s="826" t="str">
        <f t="shared" si="21"/>
        <v/>
      </c>
      <c r="U110" s="826" t="str">
        <f t="shared" si="22"/>
        <v/>
      </c>
      <c r="V110" s="827" t="str">
        <f t="shared" si="23"/>
        <v/>
      </c>
      <c r="W110" s="828"/>
      <c r="X110" s="819"/>
      <c r="Y110" s="820"/>
      <c r="Z110" s="820"/>
      <c r="AA110" s="820"/>
      <c r="BN110" s="832" t="str">
        <f>IF($B110="","",IFERROR(_xlfn.XLOOKUP($D110,Dashboard!$A$101:$A$350,Dashboard!$C$101:$C$350),""))</f>
        <v/>
      </c>
      <c r="BO110" s="832" t="str">
        <f t="shared" si="24"/>
        <v/>
      </c>
      <c r="BP110" s="832" t="str" cm="1">
        <f t="array" ref="BP110">IF(OR($B110="",$R110="",NOT(ISNUMBER($R110))),"",IF(AND($BV110="AL",$G110=1),"",_xlfn.LET(_xlpm.codes,IF($BV110="AL",Std_Al3_Code,IF($G110=1,Std_Cu1_Code,Std_Cu3_Code)),_xlpm.amps,IFERROR(--SUBSTITUTE(_xlpm.codes&amp;"","N",""),""),_xlpm.a,MIN(IF(ISNUMBER(_xlpm.amps),IF(_xlpm.amps&gt;=$R110,_xlpm.amps,""),"")),_xlpm.k,IF(_xlpm.a=0,$R110,_xlpm.a),IF($BO110="Y",TEXT(_xlpm.k,"0")&amp;"N",_xlpm.k))))</f>
        <v/>
      </c>
      <c r="BQ110" s="832" t="str" cm="1">
        <f t="array" ref="BQ110">IF($BP110="","",IFERROR(IF($BV110="AL",_xlfn.XLOOKUP($BP110,Std_Al3_Code,INDEX(Std_Al3_Table,0,3)),IF($G110=1,_xlfn.XLOOKUP($BP110,Std_Cu1_Code,INDEX(Std_Cu1_Table,0,3)),_xlfn.XLOOKUP($BP110,Std_Cu3_Code,INDEX(Std_Cu3_Table,0,3)))),""))</f>
        <v/>
      </c>
      <c r="BR110" s="832" t="str" cm="1">
        <f t="array" ref="BR110">IF($BP110="","",IFERROR(IF($BV110="AL",_xlfn.XLOOKUP($BP110,Std_Al3_Code,INDEX(Std_Al3_Table,0,4)),IF($G110=1,_xlfn.XLOOKUP($BP110,Std_Cu1_Code,INDEX(Std_Cu1_Table,0,4)),_xlfn.XLOOKUP($BP110,Std_Cu3_Code,INDEX(Std_Cu3_Table,0,4)))),""))</f>
        <v/>
      </c>
      <c r="BS110" s="832" t="str" cm="1">
        <f t="array" ref="BS110">IF($BP110="","",IFERROR(IF($BV110="AL",_xlfn.XLOOKUP($BP110,Std_Al3_Code,INDEX(Std_Al3_Table,0,5)),IF($G110=1,_xlfn.XLOOKUP($BP110,Std_Cu1_Code,INDEX(Std_Cu1_Table,0,5)),_xlfn.XLOOKUP($BP110,Std_Cu3_Code,INDEX(Std_Cu3_Table,0,5)))),""))</f>
        <v/>
      </c>
      <c r="BT110" s="832" t="str">
        <f t="shared" si="25"/>
        <v/>
      </c>
      <c r="BU110" s="832" t="str" cm="1">
        <f t="array" ref="BU110">IF($BP110="","",IFERROR(IF($BV110="AL",_xlfn.XLOOKUP($BP110,Std_Al3_Code,INDEX(Std_Al3_Table,0,2)),IF($G110=1,_xlfn.XLOOKUP($BP110,Std_Cu1_Code,INDEX(Std_Cu1_Table,0,2)),_xlfn.XLOOKUP($BP110,Std_Cu3_Code,INDEX(Std_Cu3_Table,0,2)))),""))</f>
        <v/>
      </c>
      <c r="BV110" s="829" t="str">
        <f t="shared" si="26"/>
        <v/>
      </c>
      <c r="BW110" s="829" t="str">
        <f t="shared" si="32"/>
        <v/>
      </c>
      <c r="BX110" s="829" t="str" cm="1">
        <f t="array" ref="BX110">IF(OR($BP110="",$H110="",$I110="",$F110="",$BW110=""),"",IFERROR(_xlfn.LET(_xlpm.codes,IF($BV110="AL",Std_Al3_Code,IF($G110=1,Std_Cu1_Code,Std_Cu3_Code)),_xlpm.tbl,IF($BV110="AL",Std_Al3_Table,IF($G110=1,Std_Cu1_Table,Std_Cu3_Table)),_xlpm.i,MATCH($BP110,_xlpm.codes,0),_xlpm.idx,_xlfn.SEQUENCE(ROWS(_xlpm.codes)),_xlpm.cnd,INDEX(_xlpm.tbl,0,4),_xlpm.sts,INDEX(_xlpm.tbl,0,2),_xlpm.sz,IFERROR(_xlfn.TEXTBEFORE(_xlfn.TEXTAFTER(_xlpm.cnd,"#"),","),IFERROR(_xlfn.TEXTAFTER(_xlpm.cnd,"#"),"")),_xlpm.cm,IFERROR(_xlfn.XLOOKUP(TRIM(_xlpm.sz),Ampacity_Size,Ampacity_CM),0),_xlpm.mult,IF($G110=3,SQRT3,2),_xlpm.kk,IF($BV110="AL",K_Al,K_Cu),_xlpm.vd,IF(_xlpm.cm*IF(ISNUMBER(_xlpm.sts),_xlpm.sts,0)=0,9,_xlpm.mult*_xlpm.kk*$I110*$H110/(_xlpm.cm*_xlpm.sts)/$F110),_xlpm.hasN,--(RIGHT(_xlpm.codes&amp;"",1)="N"),_xlpm.wantN,--(RIGHT($BP110&amp;"",1)="N"),_xlpm.ok,(_xlpm.idx&gt;=_xlpm.i)*(_xlpm.vd&lt;=Cfg_VDFeeder)*(_xlpm.cm&gt;0)*ISNUMBER(_xlpm.sts)*(_xlpm.hasN=_xlpm.wantN),_xlpm.m,MIN(IF(_xlpm.ok=1,_xlpm.idx)),INDEX(_xlpm.codes,IF(_xlpm.m=0,_xlpm.i,_xlpm.m))),""))</f>
        <v/>
      </c>
      <c r="BY110" s="829" t="str" cm="1">
        <f t="array" ref="BY110">IF($BP110="","",IF($BX110="",$BU110,IFERROR(IF($BV110="AL",_xlfn.XLOOKUP($BX110,Std_Al3_Code,INDEX(Std_Al3_Table,0,2)),IF($G110=1,_xlfn.XLOOKUP($BX110,Std_Cu1_Code,INDEX(Std_Cu1_Table,0,2)),_xlfn.XLOOKUP($BX110,Std_Cu3_Code,INDEX(Std_Cu3_Table,0,2)))),"")))</f>
        <v/>
      </c>
      <c r="BZ110" s="829" t="str" cm="1">
        <f t="array" ref="BZ110">IF($BP110="","",IF($BX110="",$BR110,IFERROR(IF($BV110="AL",_xlfn.XLOOKUP($BX110,Std_Al3_Code,INDEX(Std_Al3_Table,0,4)),IF($G110=1,_xlfn.XLOOKUP($BX110,Std_Cu1_Code,INDEX(Std_Cu1_Table,0,4)),_xlfn.XLOOKUP($BX110,Std_Cu3_Code,INDEX(Std_Cu3_Table,0,4)))),"")))</f>
        <v/>
      </c>
      <c r="CA110" s="829" t="str" cm="1">
        <f t="array" ref="CA110">IF($BP110="","",IF($BX110="",$BQ110,IFERROR(IF($BV110="AL",_xlfn.XLOOKUP($BX110,Std_Al3_Code,INDEX(Std_Al3_Table,0,3)),IF($G110=1,_xlfn.XLOOKUP($BX110,Std_Cu1_Code,INDEX(Std_Cu1_Table,0,3)),_xlfn.XLOOKUP($BX110,Std_Cu3_Code,INDEX(Std_Cu3_Table,0,3)))),"")))</f>
        <v/>
      </c>
      <c r="CB110" s="829" t="str" cm="1">
        <f t="array" ref="CB110">IF($BP110="","",IF($BX110="",$BS110,IFERROR(IF($BV110="AL",_xlfn.XLOOKUP($BX110,Std_Al3_Code,INDEX(Std_Al3_Table,0,5)),IF($G110=1,_xlfn.XLOOKUP($BX110,Std_Cu1_Code,INDEX(Std_Cu1_Table,0,5)),_xlfn.XLOOKUP($BX110,Std_Cu3_Code,INDEX(Std_Cu3_Table,0,5)))),"")))</f>
        <v/>
      </c>
      <c r="CC110" s="829" t="str">
        <f t="shared" si="33"/>
        <v/>
      </c>
      <c r="CD110" s="829" t="str">
        <f t="shared" si="34"/>
        <v/>
      </c>
      <c r="CE110" s="829" t="str">
        <f t="shared" si="35"/>
        <v/>
      </c>
      <c r="CF110" s="829" t="str">
        <f t="shared" si="36"/>
        <v/>
      </c>
      <c r="CG110" s="829" t="str">
        <f t="shared" si="37"/>
        <v/>
      </c>
      <c r="CH110" s="829" t="str">
        <f t="shared" si="38"/>
        <v/>
      </c>
      <c r="CI110" s="829" t="str">
        <f t="shared" si="39"/>
        <v/>
      </c>
      <c r="CJ110" s="829" t="str" cm="1">
        <f t="array" ref="CJ110">IF($B110="","",_xlfn.LET(_xlpm.to,$D110&amp;"",_xlpm.em,IFERROR(INDEX(_xlfn.ANCHORARRAY($BE$4),ROW()-4,6),"")="EMERG",_xlpm.pri,AND(NOT(_xlpm.em),LEFT(_xlpm.to,2)="T-",ISNUMBER(MATCH(MID(_xlpm.to,3,99),Equip_List,0)),ISNA(MATCH(_xlpm.to,Equip_List,0))),IF(_xlpm.pri,MID(_xlpm.to,3,99),_xlpm.to)))</f>
        <v/>
      </c>
      <c r="CK110" s="829" t="str" cm="1">
        <f t="array" ref="CK110">IF($CJ110="","",IF(IFERROR(INDEX(_xlfn.ANCHORARRAY($BE$4),ROW()-4,6),"")="EMERG","E",IF($CJ110&lt;&gt;$D110&amp;"","P","N")))</f>
        <v/>
      </c>
    </row>
    <row r="111" spans="1:89" ht="15" customHeight="1" x14ac:dyDescent="0.35">
      <c r="A111" s="821" t="str">
        <f t="shared" si="27"/>
        <v/>
      </c>
      <c r="B111" s="821" t="str" cm="1">
        <f t="array" ref="B111">IFERROR(IF(INDEX(_xlfn.ANCHORARRAY($BE$4),ROW()-4,2)="","","F-"&amp;INDEX(_xlfn.ANCHORARRAY($BE$4),ROW()-4,2)&amp;IF(IFERROR(INDEX(_xlfn.ANCHORARRAY($BE$4),ROW()-4,6),"")="EMERG","-E","")),"")</f>
        <v/>
      </c>
      <c r="C111" s="821" t="str" cm="1">
        <f t="array" ref="C111">IFERROR(IF($B111="","",INDEX(_xlfn.ANCHORARRAY($BE$4),ROW()-4,1)),"")</f>
        <v/>
      </c>
      <c r="D111" s="821" t="str" cm="1">
        <f t="array" ref="D111">IFERROR(IF($B111="","",INDEX(_xlfn.ANCHORARRAY($BE$4),ROW()-4,2)),"")</f>
        <v/>
      </c>
      <c r="E111" s="806" t="str" cm="1">
        <f t="array" ref="E111">IFERROR(IF($B111="","",INDEX(_xlfn.ANCHORARRAY($BE$4),ROW()-4,3)),"")</f>
        <v/>
      </c>
      <c r="F111" s="822" t="str" cm="1">
        <f t="array" ref="F111">IFERROR(IF($B111="","",INDEX(_xlfn.ANCHORARRAY($BE$4),ROW()-4,4)),"")</f>
        <v/>
      </c>
      <c r="G111" s="823" t="str" cm="1">
        <f t="array" ref="G111">IFERROR(IF($B111="","",INDEX(_xlfn.ANCHORARRAY($BE$4),ROW()-4,5)),"")</f>
        <v/>
      </c>
      <c r="H111" s="824" t="str" cm="1">
        <f t="array" ref="H111">IF($CJ111="","",_xlfn.LET(_xlpm.v,_xlfn.XLOOKUP($CJ111,Equip_List,IF($CK111="E",Equip_EmLen,IF($CK111="P",Equip_XfPriLen,Equip_FdrLen)),""),IF(_xlpm.v="","",_xlpm.v)))</f>
        <v/>
      </c>
      <c r="I111" s="806" t="str">
        <f t="shared" si="20"/>
        <v/>
      </c>
      <c r="J111" s="820"/>
      <c r="K111" s="806" t="str">
        <f>_xlfn.LET(_xlpm.k,IF($I111="","",IF(COUNTIF(UPS!$B$57:$B$64,$C111&amp;"")&gt;0,1.25*MAX($I111,N(_xlfn.XLOOKUP($C111&amp;"",UPS!$B$57:$B$64,UPS!$M$57:$M$64,0))),IF(COUNTIF(UPS!$B$57:$B$64,$D111&amp;"")&gt;0,1.25*MAX($I111,N(_xlfn.XLOOKUP($D111&amp;"",UPS!$B$57:$B$64,UPS!$Q$57:$Q$64,0))),$I111*IF(OR(UPPER($J111)="Y",LEFT($C111,2)="T-",LEFT($D111,2)="T-"),1.25,1)))),IF(_xlpm.k="","",MAX(_xlpm.k,N(IFERROR(_xlfn.XLOOKUP($D111&amp;"",Dashboard!$A$101:$A$350,Dashboard!$O$101:$O$350,0),0)))))</f>
        <v/>
      </c>
      <c r="L111" s="825" t="str">
        <f>IF($CJ111="","",_xlfn.LET(_xlpm.v,UPPER(TRIM(_xlfn.XLOOKUP($CJ111,Equip_List,Equip_FdrMat,"")&amp;"")),IF(_xlpm.v="",UPPER(TRIM(Cfg_FeederMat&amp;"")),_xlpm.v)))</f>
        <v/>
      </c>
      <c r="M111" s="825" t="str">
        <f>IF($CJ111="","",_xlfn.LET(_xlpm.v,TRIM(_xlfn.XLOOKUP($CJ111,Equip_List,Equip_FdrRace,"")&amp;""),IF(_xlpm.v="",Cfg_Conduit&amp;"",_xlpm.v)))</f>
        <v/>
      </c>
      <c r="N111" s="825" t="str">
        <f>IF($CJ111="","",IF(UPPER(TRIM(_xlfn.XLOOKUP($CJ111,Equip_List,Equip_FdrExist,"")&amp;""))="Y","Y",""))</f>
        <v/>
      </c>
      <c r="O111" s="823" t="str">
        <f t="shared" si="28"/>
        <v/>
      </c>
      <c r="P111" s="821" t="str">
        <f t="shared" si="29"/>
        <v/>
      </c>
      <c r="Q111" s="821" t="str">
        <f t="shared" si="30"/>
        <v/>
      </c>
      <c r="R111" s="822" t="str" cm="1">
        <f t="array" ref="R111">IF(K111="","",INDEX(OCPD_List,MATCH(TRUE,OCPD_List&gt;=K111,0)))</f>
        <v/>
      </c>
      <c r="S111" s="821" t="str">
        <f t="shared" si="31"/>
        <v/>
      </c>
      <c r="T111" s="826" t="str">
        <f t="shared" si="21"/>
        <v/>
      </c>
      <c r="U111" s="826" t="str">
        <f t="shared" si="22"/>
        <v/>
      </c>
      <c r="V111" s="827" t="str">
        <f t="shared" si="23"/>
        <v/>
      </c>
      <c r="W111" s="828"/>
      <c r="X111" s="819"/>
      <c r="Y111" s="820"/>
      <c r="Z111" s="820"/>
      <c r="AA111" s="820"/>
      <c r="BN111" s="832" t="str">
        <f>IF($B111="","",IFERROR(_xlfn.XLOOKUP($D111,Dashboard!$A$101:$A$350,Dashboard!$C$101:$C$350),""))</f>
        <v/>
      </c>
      <c r="BO111" s="832" t="str">
        <f t="shared" si="24"/>
        <v/>
      </c>
      <c r="BP111" s="832" t="str" cm="1">
        <f t="array" ref="BP111">IF(OR($B111="",$R111="",NOT(ISNUMBER($R111))),"",IF(AND($BV111="AL",$G111=1),"",_xlfn.LET(_xlpm.codes,IF($BV111="AL",Std_Al3_Code,IF($G111=1,Std_Cu1_Code,Std_Cu3_Code)),_xlpm.amps,IFERROR(--SUBSTITUTE(_xlpm.codes&amp;"","N",""),""),_xlpm.a,MIN(IF(ISNUMBER(_xlpm.amps),IF(_xlpm.amps&gt;=$R111,_xlpm.amps,""),"")),_xlpm.k,IF(_xlpm.a=0,$R111,_xlpm.a),IF($BO111="Y",TEXT(_xlpm.k,"0")&amp;"N",_xlpm.k))))</f>
        <v/>
      </c>
      <c r="BQ111" s="832" t="str" cm="1">
        <f t="array" ref="BQ111">IF($BP111="","",IFERROR(IF($BV111="AL",_xlfn.XLOOKUP($BP111,Std_Al3_Code,INDEX(Std_Al3_Table,0,3)),IF($G111=1,_xlfn.XLOOKUP($BP111,Std_Cu1_Code,INDEX(Std_Cu1_Table,0,3)),_xlfn.XLOOKUP($BP111,Std_Cu3_Code,INDEX(Std_Cu3_Table,0,3)))),""))</f>
        <v/>
      </c>
      <c r="BR111" s="832" t="str" cm="1">
        <f t="array" ref="BR111">IF($BP111="","",IFERROR(IF($BV111="AL",_xlfn.XLOOKUP($BP111,Std_Al3_Code,INDEX(Std_Al3_Table,0,4)),IF($G111=1,_xlfn.XLOOKUP($BP111,Std_Cu1_Code,INDEX(Std_Cu1_Table,0,4)),_xlfn.XLOOKUP($BP111,Std_Cu3_Code,INDEX(Std_Cu3_Table,0,4)))),""))</f>
        <v/>
      </c>
      <c r="BS111" s="832" t="str" cm="1">
        <f t="array" ref="BS111">IF($BP111="","",IFERROR(IF($BV111="AL",_xlfn.XLOOKUP($BP111,Std_Al3_Code,INDEX(Std_Al3_Table,0,5)),IF($G111=1,_xlfn.XLOOKUP($BP111,Std_Cu1_Code,INDEX(Std_Cu1_Table,0,5)),_xlfn.XLOOKUP($BP111,Std_Cu3_Code,INDEX(Std_Cu3_Table,0,5)))),""))</f>
        <v/>
      </c>
      <c r="BT111" s="832" t="str">
        <f t="shared" si="25"/>
        <v/>
      </c>
      <c r="BU111" s="832" t="str" cm="1">
        <f t="array" ref="BU111">IF($BP111="","",IFERROR(IF($BV111="AL",_xlfn.XLOOKUP($BP111,Std_Al3_Code,INDEX(Std_Al3_Table,0,2)),IF($G111=1,_xlfn.XLOOKUP($BP111,Std_Cu1_Code,INDEX(Std_Cu1_Table,0,2)),_xlfn.XLOOKUP($BP111,Std_Cu3_Code,INDEX(Std_Cu3_Table,0,2)))),""))</f>
        <v/>
      </c>
      <c r="BV111" s="829" t="str">
        <f t="shared" si="26"/>
        <v/>
      </c>
      <c r="BW111" s="829" t="str">
        <f t="shared" si="32"/>
        <v/>
      </c>
      <c r="BX111" s="829" t="str" cm="1">
        <f t="array" ref="BX111">IF(OR($BP111="",$H111="",$I111="",$F111="",$BW111=""),"",IFERROR(_xlfn.LET(_xlpm.codes,IF($BV111="AL",Std_Al3_Code,IF($G111=1,Std_Cu1_Code,Std_Cu3_Code)),_xlpm.tbl,IF($BV111="AL",Std_Al3_Table,IF($G111=1,Std_Cu1_Table,Std_Cu3_Table)),_xlpm.i,MATCH($BP111,_xlpm.codes,0),_xlpm.idx,_xlfn.SEQUENCE(ROWS(_xlpm.codes)),_xlpm.cnd,INDEX(_xlpm.tbl,0,4),_xlpm.sts,INDEX(_xlpm.tbl,0,2),_xlpm.sz,IFERROR(_xlfn.TEXTBEFORE(_xlfn.TEXTAFTER(_xlpm.cnd,"#"),","),IFERROR(_xlfn.TEXTAFTER(_xlpm.cnd,"#"),"")),_xlpm.cm,IFERROR(_xlfn.XLOOKUP(TRIM(_xlpm.sz),Ampacity_Size,Ampacity_CM),0),_xlpm.mult,IF($G111=3,SQRT3,2),_xlpm.kk,IF($BV111="AL",K_Al,K_Cu),_xlpm.vd,IF(_xlpm.cm*IF(ISNUMBER(_xlpm.sts),_xlpm.sts,0)=0,9,_xlpm.mult*_xlpm.kk*$I111*$H111/(_xlpm.cm*_xlpm.sts)/$F111),_xlpm.hasN,--(RIGHT(_xlpm.codes&amp;"",1)="N"),_xlpm.wantN,--(RIGHT($BP111&amp;"",1)="N"),_xlpm.ok,(_xlpm.idx&gt;=_xlpm.i)*(_xlpm.vd&lt;=Cfg_VDFeeder)*(_xlpm.cm&gt;0)*ISNUMBER(_xlpm.sts)*(_xlpm.hasN=_xlpm.wantN),_xlpm.m,MIN(IF(_xlpm.ok=1,_xlpm.idx)),INDEX(_xlpm.codes,IF(_xlpm.m=0,_xlpm.i,_xlpm.m))),""))</f>
        <v/>
      </c>
      <c r="BY111" s="829" t="str" cm="1">
        <f t="array" ref="BY111">IF($BP111="","",IF($BX111="",$BU111,IFERROR(IF($BV111="AL",_xlfn.XLOOKUP($BX111,Std_Al3_Code,INDEX(Std_Al3_Table,0,2)),IF($G111=1,_xlfn.XLOOKUP($BX111,Std_Cu1_Code,INDEX(Std_Cu1_Table,0,2)),_xlfn.XLOOKUP($BX111,Std_Cu3_Code,INDEX(Std_Cu3_Table,0,2)))),"")))</f>
        <v/>
      </c>
      <c r="BZ111" s="829" t="str" cm="1">
        <f t="array" ref="BZ111">IF($BP111="","",IF($BX111="",$BR111,IFERROR(IF($BV111="AL",_xlfn.XLOOKUP($BX111,Std_Al3_Code,INDEX(Std_Al3_Table,0,4)),IF($G111=1,_xlfn.XLOOKUP($BX111,Std_Cu1_Code,INDEX(Std_Cu1_Table,0,4)),_xlfn.XLOOKUP($BX111,Std_Cu3_Code,INDEX(Std_Cu3_Table,0,4)))),"")))</f>
        <v/>
      </c>
      <c r="CA111" s="829" t="str" cm="1">
        <f t="array" ref="CA111">IF($BP111="","",IF($BX111="",$BQ111,IFERROR(IF($BV111="AL",_xlfn.XLOOKUP($BX111,Std_Al3_Code,INDEX(Std_Al3_Table,0,3)),IF($G111=1,_xlfn.XLOOKUP($BX111,Std_Cu1_Code,INDEX(Std_Cu1_Table,0,3)),_xlfn.XLOOKUP($BX111,Std_Cu3_Code,INDEX(Std_Cu3_Table,0,3)))),"")))</f>
        <v/>
      </c>
      <c r="CB111" s="829" t="str" cm="1">
        <f t="array" ref="CB111">IF($BP111="","",IF($BX111="",$BS111,IFERROR(IF($BV111="AL",_xlfn.XLOOKUP($BX111,Std_Al3_Code,INDEX(Std_Al3_Table,0,5)),IF($G111=1,_xlfn.XLOOKUP($BX111,Std_Cu1_Code,INDEX(Std_Cu1_Table,0,5)),_xlfn.XLOOKUP($BX111,Std_Cu3_Code,INDEX(Std_Cu3_Table,0,5)))),"")))</f>
        <v/>
      </c>
      <c r="CC111" s="829" t="str">
        <f t="shared" si="33"/>
        <v/>
      </c>
      <c r="CD111" s="829" t="str">
        <f t="shared" si="34"/>
        <v/>
      </c>
      <c r="CE111" s="829" t="str">
        <f t="shared" si="35"/>
        <v/>
      </c>
      <c r="CF111" s="829" t="str">
        <f t="shared" si="36"/>
        <v/>
      </c>
      <c r="CG111" s="829" t="str">
        <f t="shared" si="37"/>
        <v/>
      </c>
      <c r="CH111" s="829" t="str">
        <f t="shared" si="38"/>
        <v/>
      </c>
      <c r="CI111" s="829" t="str">
        <f t="shared" si="39"/>
        <v/>
      </c>
      <c r="CJ111" s="829" t="str" cm="1">
        <f t="array" ref="CJ111">IF($B111="","",_xlfn.LET(_xlpm.to,$D111&amp;"",_xlpm.em,IFERROR(INDEX(_xlfn.ANCHORARRAY($BE$4),ROW()-4,6),"")="EMERG",_xlpm.pri,AND(NOT(_xlpm.em),LEFT(_xlpm.to,2)="T-",ISNUMBER(MATCH(MID(_xlpm.to,3,99),Equip_List,0)),ISNA(MATCH(_xlpm.to,Equip_List,0))),IF(_xlpm.pri,MID(_xlpm.to,3,99),_xlpm.to)))</f>
        <v/>
      </c>
      <c r="CK111" s="829" t="str" cm="1">
        <f t="array" ref="CK111">IF($CJ111="","",IF(IFERROR(INDEX(_xlfn.ANCHORARRAY($BE$4),ROW()-4,6),"")="EMERG","E",IF($CJ111&lt;&gt;$D111&amp;"","P","N")))</f>
        <v/>
      </c>
    </row>
    <row r="112" spans="1:89" ht="15" customHeight="1" x14ac:dyDescent="0.35">
      <c r="A112" s="821" t="str">
        <f t="shared" si="27"/>
        <v/>
      </c>
      <c r="B112" s="821" t="str" cm="1">
        <f t="array" ref="B112">IFERROR(IF(INDEX(_xlfn.ANCHORARRAY($BE$4),ROW()-4,2)="","","F-"&amp;INDEX(_xlfn.ANCHORARRAY($BE$4),ROW()-4,2)&amp;IF(IFERROR(INDEX(_xlfn.ANCHORARRAY($BE$4),ROW()-4,6),"")="EMERG","-E","")),"")</f>
        <v/>
      </c>
      <c r="C112" s="821" t="str" cm="1">
        <f t="array" ref="C112">IFERROR(IF($B112="","",INDEX(_xlfn.ANCHORARRAY($BE$4),ROW()-4,1)),"")</f>
        <v/>
      </c>
      <c r="D112" s="821" t="str" cm="1">
        <f t="array" ref="D112">IFERROR(IF($B112="","",INDEX(_xlfn.ANCHORARRAY($BE$4),ROW()-4,2)),"")</f>
        <v/>
      </c>
      <c r="E112" s="806" t="str" cm="1">
        <f t="array" ref="E112">IFERROR(IF($B112="","",INDEX(_xlfn.ANCHORARRAY($BE$4),ROW()-4,3)),"")</f>
        <v/>
      </c>
      <c r="F112" s="822" t="str" cm="1">
        <f t="array" ref="F112">IFERROR(IF($B112="","",INDEX(_xlfn.ANCHORARRAY($BE$4),ROW()-4,4)),"")</f>
        <v/>
      </c>
      <c r="G112" s="823" t="str" cm="1">
        <f t="array" ref="G112">IFERROR(IF($B112="","",INDEX(_xlfn.ANCHORARRAY($BE$4),ROW()-4,5)),"")</f>
        <v/>
      </c>
      <c r="H112" s="824" t="str" cm="1">
        <f t="array" ref="H112">IF($CJ112="","",_xlfn.LET(_xlpm.v,_xlfn.XLOOKUP($CJ112,Equip_List,IF($CK112="E",Equip_EmLen,IF($CK112="P",Equip_XfPriLen,Equip_FdrLen)),""),IF(_xlpm.v="","",_xlpm.v)))</f>
        <v/>
      </c>
      <c r="I112" s="806" t="str">
        <f t="shared" si="20"/>
        <v/>
      </c>
      <c r="J112" s="820"/>
      <c r="K112" s="806" t="str">
        <f>_xlfn.LET(_xlpm.k,IF($I112="","",IF(COUNTIF(UPS!$B$57:$B$64,$C112&amp;"")&gt;0,1.25*MAX($I112,N(_xlfn.XLOOKUP($C112&amp;"",UPS!$B$57:$B$64,UPS!$M$57:$M$64,0))),IF(COUNTIF(UPS!$B$57:$B$64,$D112&amp;"")&gt;0,1.25*MAX($I112,N(_xlfn.XLOOKUP($D112&amp;"",UPS!$B$57:$B$64,UPS!$Q$57:$Q$64,0))),$I112*IF(OR(UPPER($J112)="Y",LEFT($C112,2)="T-",LEFT($D112,2)="T-"),1.25,1)))),IF(_xlpm.k="","",MAX(_xlpm.k,N(IFERROR(_xlfn.XLOOKUP($D112&amp;"",Dashboard!$A$101:$A$350,Dashboard!$O$101:$O$350,0),0)))))</f>
        <v/>
      </c>
      <c r="L112" s="825" t="str">
        <f>IF($CJ112="","",_xlfn.LET(_xlpm.v,UPPER(TRIM(_xlfn.XLOOKUP($CJ112,Equip_List,Equip_FdrMat,"")&amp;"")),IF(_xlpm.v="",UPPER(TRIM(Cfg_FeederMat&amp;"")),_xlpm.v)))</f>
        <v/>
      </c>
      <c r="M112" s="825" t="str">
        <f>IF($CJ112="","",_xlfn.LET(_xlpm.v,TRIM(_xlfn.XLOOKUP($CJ112,Equip_List,Equip_FdrRace,"")&amp;""),IF(_xlpm.v="",Cfg_Conduit&amp;"",_xlpm.v)))</f>
        <v/>
      </c>
      <c r="N112" s="825" t="str">
        <f>IF($CJ112="","",IF(UPPER(TRIM(_xlfn.XLOOKUP($CJ112,Equip_List,Equip_FdrExist,"")&amp;""))="Y","Y",""))</f>
        <v/>
      </c>
      <c r="O112" s="823" t="str">
        <f t="shared" si="28"/>
        <v/>
      </c>
      <c r="P112" s="821" t="str">
        <f t="shared" si="29"/>
        <v/>
      </c>
      <c r="Q112" s="821" t="str">
        <f t="shared" si="30"/>
        <v/>
      </c>
      <c r="R112" s="822" t="str" cm="1">
        <f t="array" ref="R112">IF(K112="","",INDEX(OCPD_List,MATCH(TRUE,OCPD_List&gt;=K112,0)))</f>
        <v/>
      </c>
      <c r="S112" s="821" t="str">
        <f t="shared" si="31"/>
        <v/>
      </c>
      <c r="T112" s="826" t="str">
        <f t="shared" si="21"/>
        <v/>
      </c>
      <c r="U112" s="826" t="str">
        <f t="shared" si="22"/>
        <v/>
      </c>
      <c r="V112" s="827" t="str">
        <f t="shared" si="23"/>
        <v/>
      </c>
      <c r="W112" s="828"/>
      <c r="X112" s="819"/>
      <c r="Y112" s="820"/>
      <c r="Z112" s="820"/>
      <c r="AA112" s="820"/>
      <c r="BN112" s="832" t="str">
        <f>IF($B112="","",IFERROR(_xlfn.XLOOKUP($D112,Dashboard!$A$101:$A$350,Dashboard!$C$101:$C$350),""))</f>
        <v/>
      </c>
      <c r="BO112" s="832" t="str">
        <f t="shared" si="24"/>
        <v/>
      </c>
      <c r="BP112" s="832" t="str" cm="1">
        <f t="array" ref="BP112">IF(OR($B112="",$R112="",NOT(ISNUMBER($R112))),"",IF(AND($BV112="AL",$G112=1),"",_xlfn.LET(_xlpm.codes,IF($BV112="AL",Std_Al3_Code,IF($G112=1,Std_Cu1_Code,Std_Cu3_Code)),_xlpm.amps,IFERROR(--SUBSTITUTE(_xlpm.codes&amp;"","N",""),""),_xlpm.a,MIN(IF(ISNUMBER(_xlpm.amps),IF(_xlpm.amps&gt;=$R112,_xlpm.amps,""),"")),_xlpm.k,IF(_xlpm.a=0,$R112,_xlpm.a),IF($BO112="Y",TEXT(_xlpm.k,"0")&amp;"N",_xlpm.k))))</f>
        <v/>
      </c>
      <c r="BQ112" s="832" t="str" cm="1">
        <f t="array" ref="BQ112">IF($BP112="","",IFERROR(IF($BV112="AL",_xlfn.XLOOKUP($BP112,Std_Al3_Code,INDEX(Std_Al3_Table,0,3)),IF($G112=1,_xlfn.XLOOKUP($BP112,Std_Cu1_Code,INDEX(Std_Cu1_Table,0,3)),_xlfn.XLOOKUP($BP112,Std_Cu3_Code,INDEX(Std_Cu3_Table,0,3)))),""))</f>
        <v/>
      </c>
      <c r="BR112" s="832" t="str" cm="1">
        <f t="array" ref="BR112">IF($BP112="","",IFERROR(IF($BV112="AL",_xlfn.XLOOKUP($BP112,Std_Al3_Code,INDEX(Std_Al3_Table,0,4)),IF($G112=1,_xlfn.XLOOKUP($BP112,Std_Cu1_Code,INDEX(Std_Cu1_Table,0,4)),_xlfn.XLOOKUP($BP112,Std_Cu3_Code,INDEX(Std_Cu3_Table,0,4)))),""))</f>
        <v/>
      </c>
      <c r="BS112" s="832" t="str" cm="1">
        <f t="array" ref="BS112">IF($BP112="","",IFERROR(IF($BV112="AL",_xlfn.XLOOKUP($BP112,Std_Al3_Code,INDEX(Std_Al3_Table,0,5)),IF($G112=1,_xlfn.XLOOKUP($BP112,Std_Cu1_Code,INDEX(Std_Cu1_Table,0,5)),_xlfn.XLOOKUP($BP112,Std_Cu3_Code,INDEX(Std_Cu3_Table,0,5)))),""))</f>
        <v/>
      </c>
      <c r="BT112" s="832" t="str">
        <f t="shared" si="25"/>
        <v/>
      </c>
      <c r="BU112" s="832" t="str" cm="1">
        <f t="array" ref="BU112">IF($BP112="","",IFERROR(IF($BV112="AL",_xlfn.XLOOKUP($BP112,Std_Al3_Code,INDEX(Std_Al3_Table,0,2)),IF($G112=1,_xlfn.XLOOKUP($BP112,Std_Cu1_Code,INDEX(Std_Cu1_Table,0,2)),_xlfn.XLOOKUP($BP112,Std_Cu3_Code,INDEX(Std_Cu3_Table,0,2)))),""))</f>
        <v/>
      </c>
      <c r="BV112" s="829" t="str">
        <f t="shared" si="26"/>
        <v/>
      </c>
      <c r="BW112" s="829" t="str">
        <f t="shared" si="32"/>
        <v/>
      </c>
      <c r="BX112" s="829" t="str" cm="1">
        <f t="array" ref="BX112">IF(OR($BP112="",$H112="",$I112="",$F112="",$BW112=""),"",IFERROR(_xlfn.LET(_xlpm.codes,IF($BV112="AL",Std_Al3_Code,IF($G112=1,Std_Cu1_Code,Std_Cu3_Code)),_xlpm.tbl,IF($BV112="AL",Std_Al3_Table,IF($G112=1,Std_Cu1_Table,Std_Cu3_Table)),_xlpm.i,MATCH($BP112,_xlpm.codes,0),_xlpm.idx,_xlfn.SEQUENCE(ROWS(_xlpm.codes)),_xlpm.cnd,INDEX(_xlpm.tbl,0,4),_xlpm.sts,INDEX(_xlpm.tbl,0,2),_xlpm.sz,IFERROR(_xlfn.TEXTBEFORE(_xlfn.TEXTAFTER(_xlpm.cnd,"#"),","),IFERROR(_xlfn.TEXTAFTER(_xlpm.cnd,"#"),"")),_xlpm.cm,IFERROR(_xlfn.XLOOKUP(TRIM(_xlpm.sz),Ampacity_Size,Ampacity_CM),0),_xlpm.mult,IF($G112=3,SQRT3,2),_xlpm.kk,IF($BV112="AL",K_Al,K_Cu),_xlpm.vd,IF(_xlpm.cm*IF(ISNUMBER(_xlpm.sts),_xlpm.sts,0)=0,9,_xlpm.mult*_xlpm.kk*$I112*$H112/(_xlpm.cm*_xlpm.sts)/$F112),_xlpm.hasN,--(RIGHT(_xlpm.codes&amp;"",1)="N"),_xlpm.wantN,--(RIGHT($BP112&amp;"",1)="N"),_xlpm.ok,(_xlpm.idx&gt;=_xlpm.i)*(_xlpm.vd&lt;=Cfg_VDFeeder)*(_xlpm.cm&gt;0)*ISNUMBER(_xlpm.sts)*(_xlpm.hasN=_xlpm.wantN),_xlpm.m,MIN(IF(_xlpm.ok=1,_xlpm.idx)),INDEX(_xlpm.codes,IF(_xlpm.m=0,_xlpm.i,_xlpm.m))),""))</f>
        <v/>
      </c>
      <c r="BY112" s="829" t="str" cm="1">
        <f t="array" ref="BY112">IF($BP112="","",IF($BX112="",$BU112,IFERROR(IF($BV112="AL",_xlfn.XLOOKUP($BX112,Std_Al3_Code,INDEX(Std_Al3_Table,0,2)),IF($G112=1,_xlfn.XLOOKUP($BX112,Std_Cu1_Code,INDEX(Std_Cu1_Table,0,2)),_xlfn.XLOOKUP($BX112,Std_Cu3_Code,INDEX(Std_Cu3_Table,0,2)))),"")))</f>
        <v/>
      </c>
      <c r="BZ112" s="829" t="str" cm="1">
        <f t="array" ref="BZ112">IF($BP112="","",IF($BX112="",$BR112,IFERROR(IF($BV112="AL",_xlfn.XLOOKUP($BX112,Std_Al3_Code,INDEX(Std_Al3_Table,0,4)),IF($G112=1,_xlfn.XLOOKUP($BX112,Std_Cu1_Code,INDEX(Std_Cu1_Table,0,4)),_xlfn.XLOOKUP($BX112,Std_Cu3_Code,INDEX(Std_Cu3_Table,0,4)))),"")))</f>
        <v/>
      </c>
      <c r="CA112" s="829" t="str" cm="1">
        <f t="array" ref="CA112">IF($BP112="","",IF($BX112="",$BQ112,IFERROR(IF($BV112="AL",_xlfn.XLOOKUP($BX112,Std_Al3_Code,INDEX(Std_Al3_Table,0,3)),IF($G112=1,_xlfn.XLOOKUP($BX112,Std_Cu1_Code,INDEX(Std_Cu1_Table,0,3)),_xlfn.XLOOKUP($BX112,Std_Cu3_Code,INDEX(Std_Cu3_Table,0,3)))),"")))</f>
        <v/>
      </c>
      <c r="CB112" s="829" t="str" cm="1">
        <f t="array" ref="CB112">IF($BP112="","",IF($BX112="",$BS112,IFERROR(IF($BV112="AL",_xlfn.XLOOKUP($BX112,Std_Al3_Code,INDEX(Std_Al3_Table,0,5)),IF($G112=1,_xlfn.XLOOKUP($BX112,Std_Cu1_Code,INDEX(Std_Cu1_Table,0,5)),_xlfn.XLOOKUP($BX112,Std_Cu3_Code,INDEX(Std_Cu3_Table,0,5)))),"")))</f>
        <v/>
      </c>
      <c r="CC112" s="829" t="str">
        <f t="shared" si="33"/>
        <v/>
      </c>
      <c r="CD112" s="829" t="str">
        <f t="shared" si="34"/>
        <v/>
      </c>
      <c r="CE112" s="829" t="str">
        <f t="shared" si="35"/>
        <v/>
      </c>
      <c r="CF112" s="829" t="str">
        <f t="shared" si="36"/>
        <v/>
      </c>
      <c r="CG112" s="829" t="str">
        <f t="shared" si="37"/>
        <v/>
      </c>
      <c r="CH112" s="829" t="str">
        <f t="shared" si="38"/>
        <v/>
      </c>
      <c r="CI112" s="829" t="str">
        <f t="shared" si="39"/>
        <v/>
      </c>
      <c r="CJ112" s="829" t="str" cm="1">
        <f t="array" ref="CJ112">IF($B112="","",_xlfn.LET(_xlpm.to,$D112&amp;"",_xlpm.em,IFERROR(INDEX(_xlfn.ANCHORARRAY($BE$4),ROW()-4,6),"")="EMERG",_xlpm.pri,AND(NOT(_xlpm.em),LEFT(_xlpm.to,2)="T-",ISNUMBER(MATCH(MID(_xlpm.to,3,99),Equip_List,0)),ISNA(MATCH(_xlpm.to,Equip_List,0))),IF(_xlpm.pri,MID(_xlpm.to,3,99),_xlpm.to)))</f>
        <v/>
      </c>
      <c r="CK112" s="829" t="str" cm="1">
        <f t="array" ref="CK112">IF($CJ112="","",IF(IFERROR(INDEX(_xlfn.ANCHORARRAY($BE$4),ROW()-4,6),"")="EMERG","E",IF($CJ112&lt;&gt;$D112&amp;"","P","N")))</f>
        <v/>
      </c>
    </row>
    <row r="113" spans="1:89" ht="15" customHeight="1" x14ac:dyDescent="0.35">
      <c r="A113" s="821" t="str">
        <f t="shared" si="27"/>
        <v/>
      </c>
      <c r="B113" s="821" t="str" cm="1">
        <f t="array" ref="B113">IFERROR(IF(INDEX(_xlfn.ANCHORARRAY($BE$4),ROW()-4,2)="","","F-"&amp;INDEX(_xlfn.ANCHORARRAY($BE$4),ROW()-4,2)&amp;IF(IFERROR(INDEX(_xlfn.ANCHORARRAY($BE$4),ROW()-4,6),"")="EMERG","-E","")),"")</f>
        <v/>
      </c>
      <c r="C113" s="821" t="str" cm="1">
        <f t="array" ref="C113">IFERROR(IF($B113="","",INDEX(_xlfn.ANCHORARRAY($BE$4),ROW()-4,1)),"")</f>
        <v/>
      </c>
      <c r="D113" s="821" t="str" cm="1">
        <f t="array" ref="D113">IFERROR(IF($B113="","",INDEX(_xlfn.ANCHORARRAY($BE$4),ROW()-4,2)),"")</f>
        <v/>
      </c>
      <c r="E113" s="806" t="str" cm="1">
        <f t="array" ref="E113">IFERROR(IF($B113="","",INDEX(_xlfn.ANCHORARRAY($BE$4),ROW()-4,3)),"")</f>
        <v/>
      </c>
      <c r="F113" s="822" t="str" cm="1">
        <f t="array" ref="F113">IFERROR(IF($B113="","",INDEX(_xlfn.ANCHORARRAY($BE$4),ROW()-4,4)),"")</f>
        <v/>
      </c>
      <c r="G113" s="823" t="str" cm="1">
        <f t="array" ref="G113">IFERROR(IF($B113="","",INDEX(_xlfn.ANCHORARRAY($BE$4),ROW()-4,5)),"")</f>
        <v/>
      </c>
      <c r="H113" s="824" t="str" cm="1">
        <f t="array" ref="H113">IF($CJ113="","",_xlfn.LET(_xlpm.v,_xlfn.XLOOKUP($CJ113,Equip_List,IF($CK113="E",Equip_EmLen,IF($CK113="P",Equip_XfPriLen,Equip_FdrLen)),""),IF(_xlpm.v="","",_xlpm.v)))</f>
        <v/>
      </c>
      <c r="I113" s="806" t="str">
        <f t="shared" si="20"/>
        <v/>
      </c>
      <c r="J113" s="820"/>
      <c r="K113" s="806" t="str">
        <f>_xlfn.LET(_xlpm.k,IF($I113="","",IF(COUNTIF(UPS!$B$57:$B$64,$C113&amp;"")&gt;0,1.25*MAX($I113,N(_xlfn.XLOOKUP($C113&amp;"",UPS!$B$57:$B$64,UPS!$M$57:$M$64,0))),IF(COUNTIF(UPS!$B$57:$B$64,$D113&amp;"")&gt;0,1.25*MAX($I113,N(_xlfn.XLOOKUP($D113&amp;"",UPS!$B$57:$B$64,UPS!$Q$57:$Q$64,0))),$I113*IF(OR(UPPER($J113)="Y",LEFT($C113,2)="T-",LEFT($D113,2)="T-"),1.25,1)))),IF(_xlpm.k="","",MAX(_xlpm.k,N(IFERROR(_xlfn.XLOOKUP($D113&amp;"",Dashboard!$A$101:$A$350,Dashboard!$O$101:$O$350,0),0)))))</f>
        <v/>
      </c>
      <c r="L113" s="825" t="str">
        <f>IF($CJ113="","",_xlfn.LET(_xlpm.v,UPPER(TRIM(_xlfn.XLOOKUP($CJ113,Equip_List,Equip_FdrMat,"")&amp;"")),IF(_xlpm.v="",UPPER(TRIM(Cfg_FeederMat&amp;"")),_xlpm.v)))</f>
        <v/>
      </c>
      <c r="M113" s="825" t="str">
        <f>IF($CJ113="","",_xlfn.LET(_xlpm.v,TRIM(_xlfn.XLOOKUP($CJ113,Equip_List,Equip_FdrRace,"")&amp;""),IF(_xlpm.v="",Cfg_Conduit&amp;"",_xlpm.v)))</f>
        <v/>
      </c>
      <c r="N113" s="825" t="str">
        <f>IF($CJ113="","",IF(UPPER(TRIM(_xlfn.XLOOKUP($CJ113,Equip_List,Equip_FdrExist,"")&amp;""))="Y","Y",""))</f>
        <v/>
      </c>
      <c r="O113" s="823" t="str">
        <f t="shared" si="28"/>
        <v/>
      </c>
      <c r="P113" s="821" t="str">
        <f t="shared" si="29"/>
        <v/>
      </c>
      <c r="Q113" s="821" t="str">
        <f t="shared" si="30"/>
        <v/>
      </c>
      <c r="R113" s="822" t="str" cm="1">
        <f t="array" ref="R113">IF(K113="","",INDEX(OCPD_List,MATCH(TRUE,OCPD_List&gt;=K113,0)))</f>
        <v/>
      </c>
      <c r="S113" s="821" t="str">
        <f t="shared" si="31"/>
        <v/>
      </c>
      <c r="T113" s="826" t="str">
        <f t="shared" si="21"/>
        <v/>
      </c>
      <c r="U113" s="826" t="str">
        <f t="shared" si="22"/>
        <v/>
      </c>
      <c r="V113" s="827" t="str">
        <f t="shared" si="23"/>
        <v/>
      </c>
      <c r="W113" s="828"/>
      <c r="X113" s="819"/>
      <c r="Y113" s="820"/>
      <c r="Z113" s="820"/>
      <c r="AA113" s="820"/>
      <c r="BN113" s="832" t="str">
        <f>IF($B113="","",IFERROR(_xlfn.XLOOKUP($D113,Dashboard!$A$101:$A$350,Dashboard!$C$101:$C$350),""))</f>
        <v/>
      </c>
      <c r="BO113" s="832" t="str">
        <f t="shared" si="24"/>
        <v/>
      </c>
      <c r="BP113" s="832" t="str" cm="1">
        <f t="array" ref="BP113">IF(OR($B113="",$R113="",NOT(ISNUMBER($R113))),"",IF(AND($BV113="AL",$G113=1),"",_xlfn.LET(_xlpm.codes,IF($BV113="AL",Std_Al3_Code,IF($G113=1,Std_Cu1_Code,Std_Cu3_Code)),_xlpm.amps,IFERROR(--SUBSTITUTE(_xlpm.codes&amp;"","N",""),""),_xlpm.a,MIN(IF(ISNUMBER(_xlpm.amps),IF(_xlpm.amps&gt;=$R113,_xlpm.amps,""),"")),_xlpm.k,IF(_xlpm.a=0,$R113,_xlpm.a),IF($BO113="Y",TEXT(_xlpm.k,"0")&amp;"N",_xlpm.k))))</f>
        <v/>
      </c>
      <c r="BQ113" s="832" t="str" cm="1">
        <f t="array" ref="BQ113">IF($BP113="","",IFERROR(IF($BV113="AL",_xlfn.XLOOKUP($BP113,Std_Al3_Code,INDEX(Std_Al3_Table,0,3)),IF($G113=1,_xlfn.XLOOKUP($BP113,Std_Cu1_Code,INDEX(Std_Cu1_Table,0,3)),_xlfn.XLOOKUP($BP113,Std_Cu3_Code,INDEX(Std_Cu3_Table,0,3)))),""))</f>
        <v/>
      </c>
      <c r="BR113" s="832" t="str" cm="1">
        <f t="array" ref="BR113">IF($BP113="","",IFERROR(IF($BV113="AL",_xlfn.XLOOKUP($BP113,Std_Al3_Code,INDEX(Std_Al3_Table,0,4)),IF($G113=1,_xlfn.XLOOKUP($BP113,Std_Cu1_Code,INDEX(Std_Cu1_Table,0,4)),_xlfn.XLOOKUP($BP113,Std_Cu3_Code,INDEX(Std_Cu3_Table,0,4)))),""))</f>
        <v/>
      </c>
      <c r="BS113" s="832" t="str" cm="1">
        <f t="array" ref="BS113">IF($BP113="","",IFERROR(IF($BV113="AL",_xlfn.XLOOKUP($BP113,Std_Al3_Code,INDEX(Std_Al3_Table,0,5)),IF($G113=1,_xlfn.XLOOKUP($BP113,Std_Cu1_Code,INDEX(Std_Cu1_Table,0,5)),_xlfn.XLOOKUP($BP113,Std_Cu3_Code,INDEX(Std_Cu3_Table,0,5)))),""))</f>
        <v/>
      </c>
      <c r="BT113" s="832" t="str">
        <f t="shared" si="25"/>
        <v/>
      </c>
      <c r="BU113" s="832" t="str" cm="1">
        <f t="array" ref="BU113">IF($BP113="","",IFERROR(IF($BV113="AL",_xlfn.XLOOKUP($BP113,Std_Al3_Code,INDEX(Std_Al3_Table,0,2)),IF($G113=1,_xlfn.XLOOKUP($BP113,Std_Cu1_Code,INDEX(Std_Cu1_Table,0,2)),_xlfn.XLOOKUP($BP113,Std_Cu3_Code,INDEX(Std_Cu3_Table,0,2)))),""))</f>
        <v/>
      </c>
      <c r="BV113" s="829" t="str">
        <f t="shared" si="26"/>
        <v/>
      </c>
      <c r="BW113" s="829" t="str">
        <f t="shared" si="32"/>
        <v/>
      </c>
      <c r="BX113" s="829" t="str" cm="1">
        <f t="array" ref="BX113">IF(OR($BP113="",$H113="",$I113="",$F113="",$BW113=""),"",IFERROR(_xlfn.LET(_xlpm.codes,IF($BV113="AL",Std_Al3_Code,IF($G113=1,Std_Cu1_Code,Std_Cu3_Code)),_xlpm.tbl,IF($BV113="AL",Std_Al3_Table,IF($G113=1,Std_Cu1_Table,Std_Cu3_Table)),_xlpm.i,MATCH($BP113,_xlpm.codes,0),_xlpm.idx,_xlfn.SEQUENCE(ROWS(_xlpm.codes)),_xlpm.cnd,INDEX(_xlpm.tbl,0,4),_xlpm.sts,INDEX(_xlpm.tbl,0,2),_xlpm.sz,IFERROR(_xlfn.TEXTBEFORE(_xlfn.TEXTAFTER(_xlpm.cnd,"#"),","),IFERROR(_xlfn.TEXTAFTER(_xlpm.cnd,"#"),"")),_xlpm.cm,IFERROR(_xlfn.XLOOKUP(TRIM(_xlpm.sz),Ampacity_Size,Ampacity_CM),0),_xlpm.mult,IF($G113=3,SQRT3,2),_xlpm.kk,IF($BV113="AL",K_Al,K_Cu),_xlpm.vd,IF(_xlpm.cm*IF(ISNUMBER(_xlpm.sts),_xlpm.sts,0)=0,9,_xlpm.mult*_xlpm.kk*$I113*$H113/(_xlpm.cm*_xlpm.sts)/$F113),_xlpm.hasN,--(RIGHT(_xlpm.codes&amp;"",1)="N"),_xlpm.wantN,--(RIGHT($BP113&amp;"",1)="N"),_xlpm.ok,(_xlpm.idx&gt;=_xlpm.i)*(_xlpm.vd&lt;=Cfg_VDFeeder)*(_xlpm.cm&gt;0)*ISNUMBER(_xlpm.sts)*(_xlpm.hasN=_xlpm.wantN),_xlpm.m,MIN(IF(_xlpm.ok=1,_xlpm.idx)),INDEX(_xlpm.codes,IF(_xlpm.m=0,_xlpm.i,_xlpm.m))),""))</f>
        <v/>
      </c>
      <c r="BY113" s="829" t="str" cm="1">
        <f t="array" ref="BY113">IF($BP113="","",IF($BX113="",$BU113,IFERROR(IF($BV113="AL",_xlfn.XLOOKUP($BX113,Std_Al3_Code,INDEX(Std_Al3_Table,0,2)),IF($G113=1,_xlfn.XLOOKUP($BX113,Std_Cu1_Code,INDEX(Std_Cu1_Table,0,2)),_xlfn.XLOOKUP($BX113,Std_Cu3_Code,INDEX(Std_Cu3_Table,0,2)))),"")))</f>
        <v/>
      </c>
      <c r="BZ113" s="829" t="str" cm="1">
        <f t="array" ref="BZ113">IF($BP113="","",IF($BX113="",$BR113,IFERROR(IF($BV113="AL",_xlfn.XLOOKUP($BX113,Std_Al3_Code,INDEX(Std_Al3_Table,0,4)),IF($G113=1,_xlfn.XLOOKUP($BX113,Std_Cu1_Code,INDEX(Std_Cu1_Table,0,4)),_xlfn.XLOOKUP($BX113,Std_Cu3_Code,INDEX(Std_Cu3_Table,0,4)))),"")))</f>
        <v/>
      </c>
      <c r="CA113" s="829" t="str" cm="1">
        <f t="array" ref="CA113">IF($BP113="","",IF($BX113="",$BQ113,IFERROR(IF($BV113="AL",_xlfn.XLOOKUP($BX113,Std_Al3_Code,INDEX(Std_Al3_Table,0,3)),IF($G113=1,_xlfn.XLOOKUP($BX113,Std_Cu1_Code,INDEX(Std_Cu1_Table,0,3)),_xlfn.XLOOKUP($BX113,Std_Cu3_Code,INDEX(Std_Cu3_Table,0,3)))),"")))</f>
        <v/>
      </c>
      <c r="CB113" s="829" t="str" cm="1">
        <f t="array" ref="CB113">IF($BP113="","",IF($BX113="",$BS113,IFERROR(IF($BV113="AL",_xlfn.XLOOKUP($BX113,Std_Al3_Code,INDEX(Std_Al3_Table,0,5)),IF($G113=1,_xlfn.XLOOKUP($BX113,Std_Cu1_Code,INDEX(Std_Cu1_Table,0,5)),_xlfn.XLOOKUP($BX113,Std_Cu3_Code,INDEX(Std_Cu3_Table,0,5)))),"")))</f>
        <v/>
      </c>
      <c r="CC113" s="829" t="str">
        <f t="shared" si="33"/>
        <v/>
      </c>
      <c r="CD113" s="829" t="str">
        <f t="shared" si="34"/>
        <v/>
      </c>
      <c r="CE113" s="829" t="str">
        <f t="shared" si="35"/>
        <v/>
      </c>
      <c r="CF113" s="829" t="str">
        <f t="shared" si="36"/>
        <v/>
      </c>
      <c r="CG113" s="829" t="str">
        <f t="shared" si="37"/>
        <v/>
      </c>
      <c r="CH113" s="829" t="str">
        <f t="shared" si="38"/>
        <v/>
      </c>
      <c r="CI113" s="829" t="str">
        <f t="shared" si="39"/>
        <v/>
      </c>
      <c r="CJ113" s="829" t="str" cm="1">
        <f t="array" ref="CJ113">IF($B113="","",_xlfn.LET(_xlpm.to,$D113&amp;"",_xlpm.em,IFERROR(INDEX(_xlfn.ANCHORARRAY($BE$4),ROW()-4,6),"")="EMERG",_xlpm.pri,AND(NOT(_xlpm.em),LEFT(_xlpm.to,2)="T-",ISNUMBER(MATCH(MID(_xlpm.to,3,99),Equip_List,0)),ISNA(MATCH(_xlpm.to,Equip_List,0))),IF(_xlpm.pri,MID(_xlpm.to,3,99),_xlpm.to)))</f>
        <v/>
      </c>
      <c r="CK113" s="829" t="str" cm="1">
        <f t="array" ref="CK113">IF($CJ113="","",IF(IFERROR(INDEX(_xlfn.ANCHORARRAY($BE$4),ROW()-4,6),"")="EMERG","E",IF($CJ113&lt;&gt;$D113&amp;"","P","N")))</f>
        <v/>
      </c>
    </row>
    <row r="114" spans="1:89" ht="15" customHeight="1" x14ac:dyDescent="0.35">
      <c r="A114" s="821" t="str">
        <f t="shared" si="27"/>
        <v/>
      </c>
      <c r="B114" s="821" t="str" cm="1">
        <f t="array" ref="B114">IFERROR(IF(INDEX(_xlfn.ANCHORARRAY($BE$4),ROW()-4,2)="","","F-"&amp;INDEX(_xlfn.ANCHORARRAY($BE$4),ROW()-4,2)&amp;IF(IFERROR(INDEX(_xlfn.ANCHORARRAY($BE$4),ROW()-4,6),"")="EMERG","-E","")),"")</f>
        <v/>
      </c>
      <c r="C114" s="821" t="str" cm="1">
        <f t="array" ref="C114">IFERROR(IF($B114="","",INDEX(_xlfn.ANCHORARRAY($BE$4),ROW()-4,1)),"")</f>
        <v/>
      </c>
      <c r="D114" s="821" t="str" cm="1">
        <f t="array" ref="D114">IFERROR(IF($B114="","",INDEX(_xlfn.ANCHORARRAY($BE$4),ROW()-4,2)),"")</f>
        <v/>
      </c>
      <c r="E114" s="806" t="str" cm="1">
        <f t="array" ref="E114">IFERROR(IF($B114="","",INDEX(_xlfn.ANCHORARRAY($BE$4),ROW()-4,3)),"")</f>
        <v/>
      </c>
      <c r="F114" s="822" t="str" cm="1">
        <f t="array" ref="F114">IFERROR(IF($B114="","",INDEX(_xlfn.ANCHORARRAY($BE$4),ROW()-4,4)),"")</f>
        <v/>
      </c>
      <c r="G114" s="823" t="str" cm="1">
        <f t="array" ref="G114">IFERROR(IF($B114="","",INDEX(_xlfn.ANCHORARRAY($BE$4),ROW()-4,5)),"")</f>
        <v/>
      </c>
      <c r="H114" s="824" t="str" cm="1">
        <f t="array" ref="H114">IF($CJ114="","",_xlfn.LET(_xlpm.v,_xlfn.XLOOKUP($CJ114,Equip_List,IF($CK114="E",Equip_EmLen,IF($CK114="P",Equip_XfPriLen,Equip_FdrLen)),""),IF(_xlpm.v="","",_xlpm.v)))</f>
        <v/>
      </c>
      <c r="I114" s="806" t="str">
        <f t="shared" si="20"/>
        <v/>
      </c>
      <c r="J114" s="820"/>
      <c r="K114" s="806" t="str">
        <f>_xlfn.LET(_xlpm.k,IF($I114="","",IF(COUNTIF(UPS!$B$57:$B$64,$C114&amp;"")&gt;0,1.25*MAX($I114,N(_xlfn.XLOOKUP($C114&amp;"",UPS!$B$57:$B$64,UPS!$M$57:$M$64,0))),IF(COUNTIF(UPS!$B$57:$B$64,$D114&amp;"")&gt;0,1.25*MAX($I114,N(_xlfn.XLOOKUP($D114&amp;"",UPS!$B$57:$B$64,UPS!$Q$57:$Q$64,0))),$I114*IF(OR(UPPER($J114)="Y",LEFT($C114,2)="T-",LEFT($D114,2)="T-"),1.25,1)))),IF(_xlpm.k="","",MAX(_xlpm.k,N(IFERROR(_xlfn.XLOOKUP($D114&amp;"",Dashboard!$A$101:$A$350,Dashboard!$O$101:$O$350,0),0)))))</f>
        <v/>
      </c>
      <c r="L114" s="825" t="str">
        <f>IF($CJ114="","",_xlfn.LET(_xlpm.v,UPPER(TRIM(_xlfn.XLOOKUP($CJ114,Equip_List,Equip_FdrMat,"")&amp;"")),IF(_xlpm.v="",UPPER(TRIM(Cfg_FeederMat&amp;"")),_xlpm.v)))</f>
        <v/>
      </c>
      <c r="M114" s="825" t="str">
        <f>IF($CJ114="","",_xlfn.LET(_xlpm.v,TRIM(_xlfn.XLOOKUP($CJ114,Equip_List,Equip_FdrRace,"")&amp;""),IF(_xlpm.v="",Cfg_Conduit&amp;"",_xlpm.v)))</f>
        <v/>
      </c>
      <c r="N114" s="825" t="str">
        <f>IF($CJ114="","",IF(UPPER(TRIM(_xlfn.XLOOKUP($CJ114,Equip_List,Equip_FdrExist,"")&amp;""))="Y","Y",""))</f>
        <v/>
      </c>
      <c r="O114" s="823" t="str">
        <f t="shared" si="28"/>
        <v/>
      </c>
      <c r="P114" s="821" t="str">
        <f t="shared" si="29"/>
        <v/>
      </c>
      <c r="Q114" s="821" t="str">
        <f t="shared" si="30"/>
        <v/>
      </c>
      <c r="R114" s="822" t="str" cm="1">
        <f t="array" ref="R114">IF(K114="","",INDEX(OCPD_List,MATCH(TRUE,OCPD_List&gt;=K114,0)))</f>
        <v/>
      </c>
      <c r="S114" s="821" t="str">
        <f t="shared" si="31"/>
        <v/>
      </c>
      <c r="T114" s="826" t="str">
        <f t="shared" si="21"/>
        <v/>
      </c>
      <c r="U114" s="826" t="str">
        <f t="shared" si="22"/>
        <v/>
      </c>
      <c r="V114" s="827" t="str">
        <f t="shared" si="23"/>
        <v/>
      </c>
      <c r="W114" s="828"/>
      <c r="X114" s="819"/>
      <c r="Y114" s="820"/>
      <c r="Z114" s="820"/>
      <c r="AA114" s="820"/>
      <c r="BN114" s="832" t="str">
        <f>IF($B114="","",IFERROR(_xlfn.XLOOKUP($D114,Dashboard!$A$101:$A$350,Dashboard!$C$101:$C$350),""))</f>
        <v/>
      </c>
      <c r="BO114" s="832" t="str">
        <f t="shared" si="24"/>
        <v/>
      </c>
      <c r="BP114" s="832" t="str" cm="1">
        <f t="array" ref="BP114">IF(OR($B114="",$R114="",NOT(ISNUMBER($R114))),"",IF(AND($BV114="AL",$G114=1),"",_xlfn.LET(_xlpm.codes,IF($BV114="AL",Std_Al3_Code,IF($G114=1,Std_Cu1_Code,Std_Cu3_Code)),_xlpm.amps,IFERROR(--SUBSTITUTE(_xlpm.codes&amp;"","N",""),""),_xlpm.a,MIN(IF(ISNUMBER(_xlpm.amps),IF(_xlpm.amps&gt;=$R114,_xlpm.amps,""),"")),_xlpm.k,IF(_xlpm.a=0,$R114,_xlpm.a),IF($BO114="Y",TEXT(_xlpm.k,"0")&amp;"N",_xlpm.k))))</f>
        <v/>
      </c>
      <c r="BQ114" s="832" t="str" cm="1">
        <f t="array" ref="BQ114">IF($BP114="","",IFERROR(IF($BV114="AL",_xlfn.XLOOKUP($BP114,Std_Al3_Code,INDEX(Std_Al3_Table,0,3)),IF($G114=1,_xlfn.XLOOKUP($BP114,Std_Cu1_Code,INDEX(Std_Cu1_Table,0,3)),_xlfn.XLOOKUP($BP114,Std_Cu3_Code,INDEX(Std_Cu3_Table,0,3)))),""))</f>
        <v/>
      </c>
      <c r="BR114" s="832" t="str" cm="1">
        <f t="array" ref="BR114">IF($BP114="","",IFERROR(IF($BV114="AL",_xlfn.XLOOKUP($BP114,Std_Al3_Code,INDEX(Std_Al3_Table,0,4)),IF($G114=1,_xlfn.XLOOKUP($BP114,Std_Cu1_Code,INDEX(Std_Cu1_Table,0,4)),_xlfn.XLOOKUP($BP114,Std_Cu3_Code,INDEX(Std_Cu3_Table,0,4)))),""))</f>
        <v/>
      </c>
      <c r="BS114" s="832" t="str" cm="1">
        <f t="array" ref="BS114">IF($BP114="","",IFERROR(IF($BV114="AL",_xlfn.XLOOKUP($BP114,Std_Al3_Code,INDEX(Std_Al3_Table,0,5)),IF($G114=1,_xlfn.XLOOKUP($BP114,Std_Cu1_Code,INDEX(Std_Cu1_Table,0,5)),_xlfn.XLOOKUP($BP114,Std_Cu3_Code,INDEX(Std_Cu3_Table,0,5)))),""))</f>
        <v/>
      </c>
      <c r="BT114" s="832" t="str">
        <f t="shared" si="25"/>
        <v/>
      </c>
      <c r="BU114" s="832" t="str" cm="1">
        <f t="array" ref="BU114">IF($BP114="","",IFERROR(IF($BV114="AL",_xlfn.XLOOKUP($BP114,Std_Al3_Code,INDEX(Std_Al3_Table,0,2)),IF($G114=1,_xlfn.XLOOKUP($BP114,Std_Cu1_Code,INDEX(Std_Cu1_Table,0,2)),_xlfn.XLOOKUP($BP114,Std_Cu3_Code,INDEX(Std_Cu3_Table,0,2)))),""))</f>
        <v/>
      </c>
      <c r="BV114" s="829" t="str">
        <f t="shared" si="26"/>
        <v/>
      </c>
      <c r="BW114" s="829" t="str">
        <f t="shared" si="32"/>
        <v/>
      </c>
      <c r="BX114" s="829" t="str" cm="1">
        <f t="array" ref="BX114">IF(OR($BP114="",$H114="",$I114="",$F114="",$BW114=""),"",IFERROR(_xlfn.LET(_xlpm.codes,IF($BV114="AL",Std_Al3_Code,IF($G114=1,Std_Cu1_Code,Std_Cu3_Code)),_xlpm.tbl,IF($BV114="AL",Std_Al3_Table,IF($G114=1,Std_Cu1_Table,Std_Cu3_Table)),_xlpm.i,MATCH($BP114,_xlpm.codes,0),_xlpm.idx,_xlfn.SEQUENCE(ROWS(_xlpm.codes)),_xlpm.cnd,INDEX(_xlpm.tbl,0,4),_xlpm.sts,INDEX(_xlpm.tbl,0,2),_xlpm.sz,IFERROR(_xlfn.TEXTBEFORE(_xlfn.TEXTAFTER(_xlpm.cnd,"#"),","),IFERROR(_xlfn.TEXTAFTER(_xlpm.cnd,"#"),"")),_xlpm.cm,IFERROR(_xlfn.XLOOKUP(TRIM(_xlpm.sz),Ampacity_Size,Ampacity_CM),0),_xlpm.mult,IF($G114=3,SQRT3,2),_xlpm.kk,IF($BV114="AL",K_Al,K_Cu),_xlpm.vd,IF(_xlpm.cm*IF(ISNUMBER(_xlpm.sts),_xlpm.sts,0)=0,9,_xlpm.mult*_xlpm.kk*$I114*$H114/(_xlpm.cm*_xlpm.sts)/$F114),_xlpm.hasN,--(RIGHT(_xlpm.codes&amp;"",1)="N"),_xlpm.wantN,--(RIGHT($BP114&amp;"",1)="N"),_xlpm.ok,(_xlpm.idx&gt;=_xlpm.i)*(_xlpm.vd&lt;=Cfg_VDFeeder)*(_xlpm.cm&gt;0)*ISNUMBER(_xlpm.sts)*(_xlpm.hasN=_xlpm.wantN),_xlpm.m,MIN(IF(_xlpm.ok=1,_xlpm.idx)),INDEX(_xlpm.codes,IF(_xlpm.m=0,_xlpm.i,_xlpm.m))),""))</f>
        <v/>
      </c>
      <c r="BY114" s="829" t="str" cm="1">
        <f t="array" ref="BY114">IF($BP114="","",IF($BX114="",$BU114,IFERROR(IF($BV114="AL",_xlfn.XLOOKUP($BX114,Std_Al3_Code,INDEX(Std_Al3_Table,0,2)),IF($G114=1,_xlfn.XLOOKUP($BX114,Std_Cu1_Code,INDEX(Std_Cu1_Table,0,2)),_xlfn.XLOOKUP($BX114,Std_Cu3_Code,INDEX(Std_Cu3_Table,0,2)))),"")))</f>
        <v/>
      </c>
      <c r="BZ114" s="829" t="str" cm="1">
        <f t="array" ref="BZ114">IF($BP114="","",IF($BX114="",$BR114,IFERROR(IF($BV114="AL",_xlfn.XLOOKUP($BX114,Std_Al3_Code,INDEX(Std_Al3_Table,0,4)),IF($G114=1,_xlfn.XLOOKUP($BX114,Std_Cu1_Code,INDEX(Std_Cu1_Table,0,4)),_xlfn.XLOOKUP($BX114,Std_Cu3_Code,INDEX(Std_Cu3_Table,0,4)))),"")))</f>
        <v/>
      </c>
      <c r="CA114" s="829" t="str" cm="1">
        <f t="array" ref="CA114">IF($BP114="","",IF($BX114="",$BQ114,IFERROR(IF($BV114="AL",_xlfn.XLOOKUP($BX114,Std_Al3_Code,INDEX(Std_Al3_Table,0,3)),IF($G114=1,_xlfn.XLOOKUP($BX114,Std_Cu1_Code,INDEX(Std_Cu1_Table,0,3)),_xlfn.XLOOKUP($BX114,Std_Cu3_Code,INDEX(Std_Cu3_Table,0,3)))),"")))</f>
        <v/>
      </c>
      <c r="CB114" s="829" t="str" cm="1">
        <f t="array" ref="CB114">IF($BP114="","",IF($BX114="",$BS114,IFERROR(IF($BV114="AL",_xlfn.XLOOKUP($BX114,Std_Al3_Code,INDEX(Std_Al3_Table,0,5)),IF($G114=1,_xlfn.XLOOKUP($BX114,Std_Cu1_Code,INDEX(Std_Cu1_Table,0,5)),_xlfn.XLOOKUP($BX114,Std_Cu3_Code,INDEX(Std_Cu3_Table,0,5)))),"")))</f>
        <v/>
      </c>
      <c r="CC114" s="829" t="str">
        <f t="shared" si="33"/>
        <v/>
      </c>
      <c r="CD114" s="829" t="str">
        <f t="shared" si="34"/>
        <v/>
      </c>
      <c r="CE114" s="829" t="str">
        <f t="shared" si="35"/>
        <v/>
      </c>
      <c r="CF114" s="829" t="str">
        <f t="shared" si="36"/>
        <v/>
      </c>
      <c r="CG114" s="829" t="str">
        <f t="shared" si="37"/>
        <v/>
      </c>
      <c r="CH114" s="829" t="str">
        <f t="shared" si="38"/>
        <v/>
      </c>
      <c r="CI114" s="829" t="str">
        <f t="shared" si="39"/>
        <v/>
      </c>
      <c r="CJ114" s="829" t="str" cm="1">
        <f t="array" ref="CJ114">IF($B114="","",_xlfn.LET(_xlpm.to,$D114&amp;"",_xlpm.em,IFERROR(INDEX(_xlfn.ANCHORARRAY($BE$4),ROW()-4,6),"")="EMERG",_xlpm.pri,AND(NOT(_xlpm.em),LEFT(_xlpm.to,2)="T-",ISNUMBER(MATCH(MID(_xlpm.to,3,99),Equip_List,0)),ISNA(MATCH(_xlpm.to,Equip_List,0))),IF(_xlpm.pri,MID(_xlpm.to,3,99),_xlpm.to)))</f>
        <v/>
      </c>
      <c r="CK114" s="829" t="str" cm="1">
        <f t="array" ref="CK114">IF($CJ114="","",IF(IFERROR(INDEX(_xlfn.ANCHORARRAY($BE$4),ROW()-4,6),"")="EMERG","E",IF($CJ114&lt;&gt;$D114&amp;"","P","N")))</f>
        <v/>
      </c>
    </row>
    <row r="115" spans="1:89" ht="15" customHeight="1" x14ac:dyDescent="0.35">
      <c r="A115" s="821" t="str">
        <f t="shared" si="27"/>
        <v/>
      </c>
      <c r="B115" s="821" t="str" cm="1">
        <f t="array" ref="B115">IFERROR(IF(INDEX(_xlfn.ANCHORARRAY($BE$4),ROW()-4,2)="","","F-"&amp;INDEX(_xlfn.ANCHORARRAY($BE$4),ROW()-4,2)&amp;IF(IFERROR(INDEX(_xlfn.ANCHORARRAY($BE$4),ROW()-4,6),"")="EMERG","-E","")),"")</f>
        <v/>
      </c>
      <c r="C115" s="821" t="str" cm="1">
        <f t="array" ref="C115">IFERROR(IF($B115="","",INDEX(_xlfn.ANCHORARRAY($BE$4),ROW()-4,1)),"")</f>
        <v/>
      </c>
      <c r="D115" s="821" t="str" cm="1">
        <f t="array" ref="D115">IFERROR(IF($B115="","",INDEX(_xlfn.ANCHORARRAY($BE$4),ROW()-4,2)),"")</f>
        <v/>
      </c>
      <c r="E115" s="806" t="str" cm="1">
        <f t="array" ref="E115">IFERROR(IF($B115="","",INDEX(_xlfn.ANCHORARRAY($BE$4),ROW()-4,3)),"")</f>
        <v/>
      </c>
      <c r="F115" s="822" t="str" cm="1">
        <f t="array" ref="F115">IFERROR(IF($B115="","",INDEX(_xlfn.ANCHORARRAY($BE$4),ROW()-4,4)),"")</f>
        <v/>
      </c>
      <c r="G115" s="823" t="str" cm="1">
        <f t="array" ref="G115">IFERROR(IF($B115="","",INDEX(_xlfn.ANCHORARRAY($BE$4),ROW()-4,5)),"")</f>
        <v/>
      </c>
      <c r="H115" s="824" t="str" cm="1">
        <f t="array" ref="H115">IF($CJ115="","",_xlfn.LET(_xlpm.v,_xlfn.XLOOKUP($CJ115,Equip_List,IF($CK115="E",Equip_EmLen,IF($CK115="P",Equip_XfPriLen,Equip_FdrLen)),""),IF(_xlpm.v="","",_xlpm.v)))</f>
        <v/>
      </c>
      <c r="I115" s="806" t="str">
        <f t="shared" si="20"/>
        <v/>
      </c>
      <c r="J115" s="820"/>
      <c r="K115" s="806" t="str">
        <f>_xlfn.LET(_xlpm.k,IF($I115="","",IF(COUNTIF(UPS!$B$57:$B$64,$C115&amp;"")&gt;0,1.25*MAX($I115,N(_xlfn.XLOOKUP($C115&amp;"",UPS!$B$57:$B$64,UPS!$M$57:$M$64,0))),IF(COUNTIF(UPS!$B$57:$B$64,$D115&amp;"")&gt;0,1.25*MAX($I115,N(_xlfn.XLOOKUP($D115&amp;"",UPS!$B$57:$B$64,UPS!$Q$57:$Q$64,0))),$I115*IF(OR(UPPER($J115)="Y",LEFT($C115,2)="T-",LEFT($D115,2)="T-"),1.25,1)))),IF(_xlpm.k="","",MAX(_xlpm.k,N(IFERROR(_xlfn.XLOOKUP($D115&amp;"",Dashboard!$A$101:$A$350,Dashboard!$O$101:$O$350,0),0)))))</f>
        <v/>
      </c>
      <c r="L115" s="825" t="str">
        <f>IF($CJ115="","",_xlfn.LET(_xlpm.v,UPPER(TRIM(_xlfn.XLOOKUP($CJ115,Equip_List,Equip_FdrMat,"")&amp;"")),IF(_xlpm.v="",UPPER(TRIM(Cfg_FeederMat&amp;"")),_xlpm.v)))</f>
        <v/>
      </c>
      <c r="M115" s="825" t="str">
        <f>IF($CJ115="","",_xlfn.LET(_xlpm.v,TRIM(_xlfn.XLOOKUP($CJ115,Equip_List,Equip_FdrRace,"")&amp;""),IF(_xlpm.v="",Cfg_Conduit&amp;"",_xlpm.v)))</f>
        <v/>
      </c>
      <c r="N115" s="825" t="str">
        <f>IF($CJ115="","",IF(UPPER(TRIM(_xlfn.XLOOKUP($CJ115,Equip_List,Equip_FdrExist,"")&amp;""))="Y","Y",""))</f>
        <v/>
      </c>
      <c r="O115" s="823" t="str">
        <f t="shared" si="28"/>
        <v/>
      </c>
      <c r="P115" s="821" t="str">
        <f t="shared" si="29"/>
        <v/>
      </c>
      <c r="Q115" s="821" t="str">
        <f t="shared" si="30"/>
        <v/>
      </c>
      <c r="R115" s="822" t="str" cm="1">
        <f t="array" ref="R115">IF(K115="","",INDEX(OCPD_List,MATCH(TRUE,OCPD_List&gt;=K115,0)))</f>
        <v/>
      </c>
      <c r="S115" s="821" t="str">
        <f t="shared" si="31"/>
        <v/>
      </c>
      <c r="T115" s="826" t="str">
        <f t="shared" si="21"/>
        <v/>
      </c>
      <c r="U115" s="826" t="str">
        <f t="shared" si="22"/>
        <v/>
      </c>
      <c r="V115" s="827" t="str">
        <f t="shared" si="23"/>
        <v/>
      </c>
      <c r="W115" s="828"/>
      <c r="X115" s="819"/>
      <c r="Y115" s="820"/>
      <c r="Z115" s="820"/>
      <c r="AA115" s="820"/>
      <c r="BN115" s="832" t="str">
        <f>IF($B115="","",IFERROR(_xlfn.XLOOKUP($D115,Dashboard!$A$101:$A$350,Dashboard!$C$101:$C$350),""))</f>
        <v/>
      </c>
      <c r="BO115" s="832" t="str">
        <f t="shared" si="24"/>
        <v/>
      </c>
      <c r="BP115" s="832" t="str" cm="1">
        <f t="array" ref="BP115">IF(OR($B115="",$R115="",NOT(ISNUMBER($R115))),"",IF(AND($BV115="AL",$G115=1),"",_xlfn.LET(_xlpm.codes,IF($BV115="AL",Std_Al3_Code,IF($G115=1,Std_Cu1_Code,Std_Cu3_Code)),_xlpm.amps,IFERROR(--SUBSTITUTE(_xlpm.codes&amp;"","N",""),""),_xlpm.a,MIN(IF(ISNUMBER(_xlpm.amps),IF(_xlpm.amps&gt;=$R115,_xlpm.amps,""),"")),_xlpm.k,IF(_xlpm.a=0,$R115,_xlpm.a),IF($BO115="Y",TEXT(_xlpm.k,"0")&amp;"N",_xlpm.k))))</f>
        <v/>
      </c>
      <c r="BQ115" s="832" t="str" cm="1">
        <f t="array" ref="BQ115">IF($BP115="","",IFERROR(IF($BV115="AL",_xlfn.XLOOKUP($BP115,Std_Al3_Code,INDEX(Std_Al3_Table,0,3)),IF($G115=1,_xlfn.XLOOKUP($BP115,Std_Cu1_Code,INDEX(Std_Cu1_Table,0,3)),_xlfn.XLOOKUP($BP115,Std_Cu3_Code,INDEX(Std_Cu3_Table,0,3)))),""))</f>
        <v/>
      </c>
      <c r="BR115" s="832" t="str" cm="1">
        <f t="array" ref="BR115">IF($BP115="","",IFERROR(IF($BV115="AL",_xlfn.XLOOKUP($BP115,Std_Al3_Code,INDEX(Std_Al3_Table,0,4)),IF($G115=1,_xlfn.XLOOKUP($BP115,Std_Cu1_Code,INDEX(Std_Cu1_Table,0,4)),_xlfn.XLOOKUP($BP115,Std_Cu3_Code,INDEX(Std_Cu3_Table,0,4)))),""))</f>
        <v/>
      </c>
      <c r="BS115" s="832" t="str" cm="1">
        <f t="array" ref="BS115">IF($BP115="","",IFERROR(IF($BV115="AL",_xlfn.XLOOKUP($BP115,Std_Al3_Code,INDEX(Std_Al3_Table,0,5)),IF($G115=1,_xlfn.XLOOKUP($BP115,Std_Cu1_Code,INDEX(Std_Cu1_Table,0,5)),_xlfn.XLOOKUP($BP115,Std_Cu3_Code,INDEX(Std_Cu3_Table,0,5)))),""))</f>
        <v/>
      </c>
      <c r="BT115" s="832" t="str">
        <f t="shared" si="25"/>
        <v/>
      </c>
      <c r="BU115" s="832" t="str" cm="1">
        <f t="array" ref="BU115">IF($BP115="","",IFERROR(IF($BV115="AL",_xlfn.XLOOKUP($BP115,Std_Al3_Code,INDEX(Std_Al3_Table,0,2)),IF($G115=1,_xlfn.XLOOKUP($BP115,Std_Cu1_Code,INDEX(Std_Cu1_Table,0,2)),_xlfn.XLOOKUP($BP115,Std_Cu3_Code,INDEX(Std_Cu3_Table,0,2)))),""))</f>
        <v/>
      </c>
      <c r="BV115" s="829" t="str">
        <f t="shared" si="26"/>
        <v/>
      </c>
      <c r="BW115" s="829" t="str">
        <f t="shared" si="32"/>
        <v/>
      </c>
      <c r="BX115" s="829" t="str" cm="1">
        <f t="array" ref="BX115">IF(OR($BP115="",$H115="",$I115="",$F115="",$BW115=""),"",IFERROR(_xlfn.LET(_xlpm.codes,IF($BV115="AL",Std_Al3_Code,IF($G115=1,Std_Cu1_Code,Std_Cu3_Code)),_xlpm.tbl,IF($BV115="AL",Std_Al3_Table,IF($G115=1,Std_Cu1_Table,Std_Cu3_Table)),_xlpm.i,MATCH($BP115,_xlpm.codes,0),_xlpm.idx,_xlfn.SEQUENCE(ROWS(_xlpm.codes)),_xlpm.cnd,INDEX(_xlpm.tbl,0,4),_xlpm.sts,INDEX(_xlpm.tbl,0,2),_xlpm.sz,IFERROR(_xlfn.TEXTBEFORE(_xlfn.TEXTAFTER(_xlpm.cnd,"#"),","),IFERROR(_xlfn.TEXTAFTER(_xlpm.cnd,"#"),"")),_xlpm.cm,IFERROR(_xlfn.XLOOKUP(TRIM(_xlpm.sz),Ampacity_Size,Ampacity_CM),0),_xlpm.mult,IF($G115=3,SQRT3,2),_xlpm.kk,IF($BV115="AL",K_Al,K_Cu),_xlpm.vd,IF(_xlpm.cm*IF(ISNUMBER(_xlpm.sts),_xlpm.sts,0)=0,9,_xlpm.mult*_xlpm.kk*$I115*$H115/(_xlpm.cm*_xlpm.sts)/$F115),_xlpm.hasN,--(RIGHT(_xlpm.codes&amp;"",1)="N"),_xlpm.wantN,--(RIGHT($BP115&amp;"",1)="N"),_xlpm.ok,(_xlpm.idx&gt;=_xlpm.i)*(_xlpm.vd&lt;=Cfg_VDFeeder)*(_xlpm.cm&gt;0)*ISNUMBER(_xlpm.sts)*(_xlpm.hasN=_xlpm.wantN),_xlpm.m,MIN(IF(_xlpm.ok=1,_xlpm.idx)),INDEX(_xlpm.codes,IF(_xlpm.m=0,_xlpm.i,_xlpm.m))),""))</f>
        <v/>
      </c>
      <c r="BY115" s="829" t="str" cm="1">
        <f t="array" ref="BY115">IF($BP115="","",IF($BX115="",$BU115,IFERROR(IF($BV115="AL",_xlfn.XLOOKUP($BX115,Std_Al3_Code,INDEX(Std_Al3_Table,0,2)),IF($G115=1,_xlfn.XLOOKUP($BX115,Std_Cu1_Code,INDEX(Std_Cu1_Table,0,2)),_xlfn.XLOOKUP($BX115,Std_Cu3_Code,INDEX(Std_Cu3_Table,0,2)))),"")))</f>
        <v/>
      </c>
      <c r="BZ115" s="829" t="str" cm="1">
        <f t="array" ref="BZ115">IF($BP115="","",IF($BX115="",$BR115,IFERROR(IF($BV115="AL",_xlfn.XLOOKUP($BX115,Std_Al3_Code,INDEX(Std_Al3_Table,0,4)),IF($G115=1,_xlfn.XLOOKUP($BX115,Std_Cu1_Code,INDEX(Std_Cu1_Table,0,4)),_xlfn.XLOOKUP($BX115,Std_Cu3_Code,INDEX(Std_Cu3_Table,0,4)))),"")))</f>
        <v/>
      </c>
      <c r="CA115" s="829" t="str" cm="1">
        <f t="array" ref="CA115">IF($BP115="","",IF($BX115="",$BQ115,IFERROR(IF($BV115="AL",_xlfn.XLOOKUP($BX115,Std_Al3_Code,INDEX(Std_Al3_Table,0,3)),IF($G115=1,_xlfn.XLOOKUP($BX115,Std_Cu1_Code,INDEX(Std_Cu1_Table,0,3)),_xlfn.XLOOKUP($BX115,Std_Cu3_Code,INDEX(Std_Cu3_Table,0,3)))),"")))</f>
        <v/>
      </c>
      <c r="CB115" s="829" t="str" cm="1">
        <f t="array" ref="CB115">IF($BP115="","",IF($BX115="",$BS115,IFERROR(IF($BV115="AL",_xlfn.XLOOKUP($BX115,Std_Al3_Code,INDEX(Std_Al3_Table,0,5)),IF($G115=1,_xlfn.XLOOKUP($BX115,Std_Cu1_Code,INDEX(Std_Cu1_Table,0,5)),_xlfn.XLOOKUP($BX115,Std_Cu3_Code,INDEX(Std_Cu3_Table,0,5)))),"")))</f>
        <v/>
      </c>
      <c r="CC115" s="829" t="str">
        <f t="shared" si="33"/>
        <v/>
      </c>
      <c r="CD115" s="829" t="str">
        <f t="shared" si="34"/>
        <v/>
      </c>
      <c r="CE115" s="829" t="str">
        <f t="shared" si="35"/>
        <v/>
      </c>
      <c r="CF115" s="829" t="str">
        <f t="shared" si="36"/>
        <v/>
      </c>
      <c r="CG115" s="829" t="str">
        <f t="shared" si="37"/>
        <v/>
      </c>
      <c r="CH115" s="829" t="str">
        <f t="shared" si="38"/>
        <v/>
      </c>
      <c r="CI115" s="829" t="str">
        <f t="shared" si="39"/>
        <v/>
      </c>
      <c r="CJ115" s="829" t="str" cm="1">
        <f t="array" ref="CJ115">IF($B115="","",_xlfn.LET(_xlpm.to,$D115&amp;"",_xlpm.em,IFERROR(INDEX(_xlfn.ANCHORARRAY($BE$4),ROW()-4,6),"")="EMERG",_xlpm.pri,AND(NOT(_xlpm.em),LEFT(_xlpm.to,2)="T-",ISNUMBER(MATCH(MID(_xlpm.to,3,99),Equip_List,0)),ISNA(MATCH(_xlpm.to,Equip_List,0))),IF(_xlpm.pri,MID(_xlpm.to,3,99),_xlpm.to)))</f>
        <v/>
      </c>
      <c r="CK115" s="829" t="str" cm="1">
        <f t="array" ref="CK115">IF($CJ115="","",IF(IFERROR(INDEX(_xlfn.ANCHORARRAY($BE$4),ROW()-4,6),"")="EMERG","E",IF($CJ115&lt;&gt;$D115&amp;"","P","N")))</f>
        <v/>
      </c>
    </row>
    <row r="116" spans="1:89" ht="15" customHeight="1" x14ac:dyDescent="0.35">
      <c r="A116" s="821" t="str">
        <f t="shared" si="27"/>
        <v/>
      </c>
      <c r="B116" s="821" t="str" cm="1">
        <f t="array" ref="B116">IFERROR(IF(INDEX(_xlfn.ANCHORARRAY($BE$4),ROW()-4,2)="","","F-"&amp;INDEX(_xlfn.ANCHORARRAY($BE$4),ROW()-4,2)&amp;IF(IFERROR(INDEX(_xlfn.ANCHORARRAY($BE$4),ROW()-4,6),"")="EMERG","-E","")),"")</f>
        <v/>
      </c>
      <c r="C116" s="821" t="str" cm="1">
        <f t="array" ref="C116">IFERROR(IF($B116="","",INDEX(_xlfn.ANCHORARRAY($BE$4),ROW()-4,1)),"")</f>
        <v/>
      </c>
      <c r="D116" s="821" t="str" cm="1">
        <f t="array" ref="D116">IFERROR(IF($B116="","",INDEX(_xlfn.ANCHORARRAY($BE$4),ROW()-4,2)),"")</f>
        <v/>
      </c>
      <c r="E116" s="806" t="str" cm="1">
        <f t="array" ref="E116">IFERROR(IF($B116="","",INDEX(_xlfn.ANCHORARRAY($BE$4),ROW()-4,3)),"")</f>
        <v/>
      </c>
      <c r="F116" s="822" t="str" cm="1">
        <f t="array" ref="F116">IFERROR(IF($B116="","",INDEX(_xlfn.ANCHORARRAY($BE$4),ROW()-4,4)),"")</f>
        <v/>
      </c>
      <c r="G116" s="823" t="str" cm="1">
        <f t="array" ref="G116">IFERROR(IF($B116="","",INDEX(_xlfn.ANCHORARRAY($BE$4),ROW()-4,5)),"")</f>
        <v/>
      </c>
      <c r="H116" s="824" t="str" cm="1">
        <f t="array" ref="H116">IF($CJ116="","",_xlfn.LET(_xlpm.v,_xlfn.XLOOKUP($CJ116,Equip_List,IF($CK116="E",Equip_EmLen,IF($CK116="P",Equip_XfPriLen,Equip_FdrLen)),""),IF(_xlpm.v="","",_xlpm.v)))</f>
        <v/>
      </c>
      <c r="I116" s="806" t="str">
        <f t="shared" si="20"/>
        <v/>
      </c>
      <c r="J116" s="820"/>
      <c r="K116" s="806" t="str">
        <f>_xlfn.LET(_xlpm.k,IF($I116="","",IF(COUNTIF(UPS!$B$57:$B$64,$C116&amp;"")&gt;0,1.25*MAX($I116,N(_xlfn.XLOOKUP($C116&amp;"",UPS!$B$57:$B$64,UPS!$M$57:$M$64,0))),IF(COUNTIF(UPS!$B$57:$B$64,$D116&amp;"")&gt;0,1.25*MAX($I116,N(_xlfn.XLOOKUP($D116&amp;"",UPS!$B$57:$B$64,UPS!$Q$57:$Q$64,0))),$I116*IF(OR(UPPER($J116)="Y",LEFT($C116,2)="T-",LEFT($D116,2)="T-"),1.25,1)))),IF(_xlpm.k="","",MAX(_xlpm.k,N(IFERROR(_xlfn.XLOOKUP($D116&amp;"",Dashboard!$A$101:$A$350,Dashboard!$O$101:$O$350,0),0)))))</f>
        <v/>
      </c>
      <c r="L116" s="825" t="str">
        <f>IF($CJ116="","",_xlfn.LET(_xlpm.v,UPPER(TRIM(_xlfn.XLOOKUP($CJ116,Equip_List,Equip_FdrMat,"")&amp;"")),IF(_xlpm.v="",UPPER(TRIM(Cfg_FeederMat&amp;"")),_xlpm.v)))</f>
        <v/>
      </c>
      <c r="M116" s="825" t="str">
        <f>IF($CJ116="","",_xlfn.LET(_xlpm.v,TRIM(_xlfn.XLOOKUP($CJ116,Equip_List,Equip_FdrRace,"")&amp;""),IF(_xlpm.v="",Cfg_Conduit&amp;"",_xlpm.v)))</f>
        <v/>
      </c>
      <c r="N116" s="825" t="str">
        <f>IF($CJ116="","",IF(UPPER(TRIM(_xlfn.XLOOKUP($CJ116,Equip_List,Equip_FdrExist,"")&amp;""))="Y","Y",""))</f>
        <v/>
      </c>
      <c r="O116" s="823" t="str">
        <f t="shared" si="28"/>
        <v/>
      </c>
      <c r="P116" s="821" t="str">
        <f t="shared" si="29"/>
        <v/>
      </c>
      <c r="Q116" s="821" t="str">
        <f t="shared" si="30"/>
        <v/>
      </c>
      <c r="R116" s="822" t="str" cm="1">
        <f t="array" ref="R116">IF(K116="","",INDEX(OCPD_List,MATCH(TRUE,OCPD_List&gt;=K116,0)))</f>
        <v/>
      </c>
      <c r="S116" s="821" t="str">
        <f t="shared" si="31"/>
        <v/>
      </c>
      <c r="T116" s="826" t="str">
        <f t="shared" si="21"/>
        <v/>
      </c>
      <c r="U116" s="826" t="str">
        <f t="shared" si="22"/>
        <v/>
      </c>
      <c r="V116" s="827" t="str">
        <f t="shared" si="23"/>
        <v/>
      </c>
      <c r="W116" s="828"/>
      <c r="X116" s="819"/>
      <c r="Y116" s="820"/>
      <c r="Z116" s="820"/>
      <c r="AA116" s="820"/>
      <c r="BN116" s="832" t="str">
        <f>IF($B116="","",IFERROR(_xlfn.XLOOKUP($D116,Dashboard!$A$101:$A$350,Dashboard!$C$101:$C$350),""))</f>
        <v/>
      </c>
      <c r="BO116" s="832" t="str">
        <f t="shared" si="24"/>
        <v/>
      </c>
      <c r="BP116" s="832" t="str" cm="1">
        <f t="array" ref="BP116">IF(OR($B116="",$R116="",NOT(ISNUMBER($R116))),"",IF(AND($BV116="AL",$G116=1),"",_xlfn.LET(_xlpm.codes,IF($BV116="AL",Std_Al3_Code,IF($G116=1,Std_Cu1_Code,Std_Cu3_Code)),_xlpm.amps,IFERROR(--SUBSTITUTE(_xlpm.codes&amp;"","N",""),""),_xlpm.a,MIN(IF(ISNUMBER(_xlpm.amps),IF(_xlpm.amps&gt;=$R116,_xlpm.amps,""),"")),_xlpm.k,IF(_xlpm.a=0,$R116,_xlpm.a),IF($BO116="Y",TEXT(_xlpm.k,"0")&amp;"N",_xlpm.k))))</f>
        <v/>
      </c>
      <c r="BQ116" s="832" t="str" cm="1">
        <f t="array" ref="BQ116">IF($BP116="","",IFERROR(IF($BV116="AL",_xlfn.XLOOKUP($BP116,Std_Al3_Code,INDEX(Std_Al3_Table,0,3)),IF($G116=1,_xlfn.XLOOKUP($BP116,Std_Cu1_Code,INDEX(Std_Cu1_Table,0,3)),_xlfn.XLOOKUP($BP116,Std_Cu3_Code,INDEX(Std_Cu3_Table,0,3)))),""))</f>
        <v/>
      </c>
      <c r="BR116" s="832" t="str" cm="1">
        <f t="array" ref="BR116">IF($BP116="","",IFERROR(IF($BV116="AL",_xlfn.XLOOKUP($BP116,Std_Al3_Code,INDEX(Std_Al3_Table,0,4)),IF($G116=1,_xlfn.XLOOKUP($BP116,Std_Cu1_Code,INDEX(Std_Cu1_Table,0,4)),_xlfn.XLOOKUP($BP116,Std_Cu3_Code,INDEX(Std_Cu3_Table,0,4)))),""))</f>
        <v/>
      </c>
      <c r="BS116" s="832" t="str" cm="1">
        <f t="array" ref="BS116">IF($BP116="","",IFERROR(IF($BV116="AL",_xlfn.XLOOKUP($BP116,Std_Al3_Code,INDEX(Std_Al3_Table,0,5)),IF($G116=1,_xlfn.XLOOKUP($BP116,Std_Cu1_Code,INDEX(Std_Cu1_Table,0,5)),_xlfn.XLOOKUP($BP116,Std_Cu3_Code,INDEX(Std_Cu3_Table,0,5)))),""))</f>
        <v/>
      </c>
      <c r="BT116" s="832" t="str">
        <f t="shared" si="25"/>
        <v/>
      </c>
      <c r="BU116" s="832" t="str" cm="1">
        <f t="array" ref="BU116">IF($BP116="","",IFERROR(IF($BV116="AL",_xlfn.XLOOKUP($BP116,Std_Al3_Code,INDEX(Std_Al3_Table,0,2)),IF($G116=1,_xlfn.XLOOKUP($BP116,Std_Cu1_Code,INDEX(Std_Cu1_Table,0,2)),_xlfn.XLOOKUP($BP116,Std_Cu3_Code,INDEX(Std_Cu3_Table,0,2)))),""))</f>
        <v/>
      </c>
      <c r="BV116" s="829" t="str">
        <f t="shared" si="26"/>
        <v/>
      </c>
      <c r="BW116" s="829" t="str">
        <f t="shared" si="32"/>
        <v/>
      </c>
      <c r="BX116" s="829" t="str" cm="1">
        <f t="array" ref="BX116">IF(OR($BP116="",$H116="",$I116="",$F116="",$BW116=""),"",IFERROR(_xlfn.LET(_xlpm.codes,IF($BV116="AL",Std_Al3_Code,IF($G116=1,Std_Cu1_Code,Std_Cu3_Code)),_xlpm.tbl,IF($BV116="AL",Std_Al3_Table,IF($G116=1,Std_Cu1_Table,Std_Cu3_Table)),_xlpm.i,MATCH($BP116,_xlpm.codes,0),_xlpm.idx,_xlfn.SEQUENCE(ROWS(_xlpm.codes)),_xlpm.cnd,INDEX(_xlpm.tbl,0,4),_xlpm.sts,INDEX(_xlpm.tbl,0,2),_xlpm.sz,IFERROR(_xlfn.TEXTBEFORE(_xlfn.TEXTAFTER(_xlpm.cnd,"#"),","),IFERROR(_xlfn.TEXTAFTER(_xlpm.cnd,"#"),"")),_xlpm.cm,IFERROR(_xlfn.XLOOKUP(TRIM(_xlpm.sz),Ampacity_Size,Ampacity_CM),0),_xlpm.mult,IF($G116=3,SQRT3,2),_xlpm.kk,IF($BV116="AL",K_Al,K_Cu),_xlpm.vd,IF(_xlpm.cm*IF(ISNUMBER(_xlpm.sts),_xlpm.sts,0)=0,9,_xlpm.mult*_xlpm.kk*$I116*$H116/(_xlpm.cm*_xlpm.sts)/$F116),_xlpm.hasN,--(RIGHT(_xlpm.codes&amp;"",1)="N"),_xlpm.wantN,--(RIGHT($BP116&amp;"",1)="N"),_xlpm.ok,(_xlpm.idx&gt;=_xlpm.i)*(_xlpm.vd&lt;=Cfg_VDFeeder)*(_xlpm.cm&gt;0)*ISNUMBER(_xlpm.sts)*(_xlpm.hasN=_xlpm.wantN),_xlpm.m,MIN(IF(_xlpm.ok=1,_xlpm.idx)),INDEX(_xlpm.codes,IF(_xlpm.m=0,_xlpm.i,_xlpm.m))),""))</f>
        <v/>
      </c>
      <c r="BY116" s="829" t="str" cm="1">
        <f t="array" ref="BY116">IF($BP116="","",IF($BX116="",$BU116,IFERROR(IF($BV116="AL",_xlfn.XLOOKUP($BX116,Std_Al3_Code,INDEX(Std_Al3_Table,0,2)),IF($G116=1,_xlfn.XLOOKUP($BX116,Std_Cu1_Code,INDEX(Std_Cu1_Table,0,2)),_xlfn.XLOOKUP($BX116,Std_Cu3_Code,INDEX(Std_Cu3_Table,0,2)))),"")))</f>
        <v/>
      </c>
      <c r="BZ116" s="829" t="str" cm="1">
        <f t="array" ref="BZ116">IF($BP116="","",IF($BX116="",$BR116,IFERROR(IF($BV116="AL",_xlfn.XLOOKUP($BX116,Std_Al3_Code,INDEX(Std_Al3_Table,0,4)),IF($G116=1,_xlfn.XLOOKUP($BX116,Std_Cu1_Code,INDEX(Std_Cu1_Table,0,4)),_xlfn.XLOOKUP($BX116,Std_Cu3_Code,INDEX(Std_Cu3_Table,0,4)))),"")))</f>
        <v/>
      </c>
      <c r="CA116" s="829" t="str" cm="1">
        <f t="array" ref="CA116">IF($BP116="","",IF($BX116="",$BQ116,IFERROR(IF($BV116="AL",_xlfn.XLOOKUP($BX116,Std_Al3_Code,INDEX(Std_Al3_Table,0,3)),IF($G116=1,_xlfn.XLOOKUP($BX116,Std_Cu1_Code,INDEX(Std_Cu1_Table,0,3)),_xlfn.XLOOKUP($BX116,Std_Cu3_Code,INDEX(Std_Cu3_Table,0,3)))),"")))</f>
        <v/>
      </c>
      <c r="CB116" s="829" t="str" cm="1">
        <f t="array" ref="CB116">IF($BP116="","",IF($BX116="",$BS116,IFERROR(IF($BV116="AL",_xlfn.XLOOKUP($BX116,Std_Al3_Code,INDEX(Std_Al3_Table,0,5)),IF($G116=1,_xlfn.XLOOKUP($BX116,Std_Cu1_Code,INDEX(Std_Cu1_Table,0,5)),_xlfn.XLOOKUP($BX116,Std_Cu3_Code,INDEX(Std_Cu3_Table,0,5)))),"")))</f>
        <v/>
      </c>
      <c r="CC116" s="829" t="str">
        <f t="shared" si="33"/>
        <v/>
      </c>
      <c r="CD116" s="829" t="str">
        <f t="shared" si="34"/>
        <v/>
      </c>
      <c r="CE116" s="829" t="str">
        <f t="shared" si="35"/>
        <v/>
      </c>
      <c r="CF116" s="829" t="str">
        <f t="shared" si="36"/>
        <v/>
      </c>
      <c r="CG116" s="829" t="str">
        <f t="shared" si="37"/>
        <v/>
      </c>
      <c r="CH116" s="829" t="str">
        <f t="shared" si="38"/>
        <v/>
      </c>
      <c r="CI116" s="829" t="str">
        <f t="shared" si="39"/>
        <v/>
      </c>
      <c r="CJ116" s="829" t="str" cm="1">
        <f t="array" ref="CJ116">IF($B116="","",_xlfn.LET(_xlpm.to,$D116&amp;"",_xlpm.em,IFERROR(INDEX(_xlfn.ANCHORARRAY($BE$4),ROW()-4,6),"")="EMERG",_xlpm.pri,AND(NOT(_xlpm.em),LEFT(_xlpm.to,2)="T-",ISNUMBER(MATCH(MID(_xlpm.to,3,99),Equip_List,0)),ISNA(MATCH(_xlpm.to,Equip_List,0))),IF(_xlpm.pri,MID(_xlpm.to,3,99),_xlpm.to)))</f>
        <v/>
      </c>
      <c r="CK116" s="829" t="str" cm="1">
        <f t="array" ref="CK116">IF($CJ116="","",IF(IFERROR(INDEX(_xlfn.ANCHORARRAY($BE$4),ROW()-4,6),"")="EMERG","E",IF($CJ116&lt;&gt;$D116&amp;"","P","N")))</f>
        <v/>
      </c>
    </row>
    <row r="117" spans="1:89" ht="15" customHeight="1" x14ac:dyDescent="0.35">
      <c r="A117" s="821" t="str">
        <f t="shared" si="27"/>
        <v/>
      </c>
      <c r="B117" s="821" t="str" cm="1">
        <f t="array" ref="B117">IFERROR(IF(INDEX(_xlfn.ANCHORARRAY($BE$4),ROW()-4,2)="","","F-"&amp;INDEX(_xlfn.ANCHORARRAY($BE$4),ROW()-4,2)&amp;IF(IFERROR(INDEX(_xlfn.ANCHORARRAY($BE$4),ROW()-4,6),"")="EMERG","-E","")),"")</f>
        <v/>
      </c>
      <c r="C117" s="821" t="str" cm="1">
        <f t="array" ref="C117">IFERROR(IF($B117="","",INDEX(_xlfn.ANCHORARRAY($BE$4),ROW()-4,1)),"")</f>
        <v/>
      </c>
      <c r="D117" s="821" t="str" cm="1">
        <f t="array" ref="D117">IFERROR(IF($B117="","",INDEX(_xlfn.ANCHORARRAY($BE$4),ROW()-4,2)),"")</f>
        <v/>
      </c>
      <c r="E117" s="806" t="str" cm="1">
        <f t="array" ref="E117">IFERROR(IF($B117="","",INDEX(_xlfn.ANCHORARRAY($BE$4),ROW()-4,3)),"")</f>
        <v/>
      </c>
      <c r="F117" s="822" t="str" cm="1">
        <f t="array" ref="F117">IFERROR(IF($B117="","",INDEX(_xlfn.ANCHORARRAY($BE$4),ROW()-4,4)),"")</f>
        <v/>
      </c>
      <c r="G117" s="823" t="str" cm="1">
        <f t="array" ref="G117">IFERROR(IF($B117="","",INDEX(_xlfn.ANCHORARRAY($BE$4),ROW()-4,5)),"")</f>
        <v/>
      </c>
      <c r="H117" s="824" t="str" cm="1">
        <f t="array" ref="H117">IF($CJ117="","",_xlfn.LET(_xlpm.v,_xlfn.XLOOKUP($CJ117,Equip_List,IF($CK117="E",Equip_EmLen,IF($CK117="P",Equip_XfPriLen,Equip_FdrLen)),""),IF(_xlpm.v="","",_xlpm.v)))</f>
        <v/>
      </c>
      <c r="I117" s="806" t="str">
        <f t="shared" si="20"/>
        <v/>
      </c>
      <c r="J117" s="820"/>
      <c r="K117" s="806" t="str">
        <f>_xlfn.LET(_xlpm.k,IF($I117="","",IF(COUNTIF(UPS!$B$57:$B$64,$C117&amp;"")&gt;0,1.25*MAX($I117,N(_xlfn.XLOOKUP($C117&amp;"",UPS!$B$57:$B$64,UPS!$M$57:$M$64,0))),IF(COUNTIF(UPS!$B$57:$B$64,$D117&amp;"")&gt;0,1.25*MAX($I117,N(_xlfn.XLOOKUP($D117&amp;"",UPS!$B$57:$B$64,UPS!$Q$57:$Q$64,0))),$I117*IF(OR(UPPER($J117)="Y",LEFT($C117,2)="T-",LEFT($D117,2)="T-"),1.25,1)))),IF(_xlpm.k="","",MAX(_xlpm.k,N(IFERROR(_xlfn.XLOOKUP($D117&amp;"",Dashboard!$A$101:$A$350,Dashboard!$O$101:$O$350,0),0)))))</f>
        <v/>
      </c>
      <c r="L117" s="825" t="str">
        <f>IF($CJ117="","",_xlfn.LET(_xlpm.v,UPPER(TRIM(_xlfn.XLOOKUP($CJ117,Equip_List,Equip_FdrMat,"")&amp;"")),IF(_xlpm.v="",UPPER(TRIM(Cfg_FeederMat&amp;"")),_xlpm.v)))</f>
        <v/>
      </c>
      <c r="M117" s="825" t="str">
        <f>IF($CJ117="","",_xlfn.LET(_xlpm.v,TRIM(_xlfn.XLOOKUP($CJ117,Equip_List,Equip_FdrRace,"")&amp;""),IF(_xlpm.v="",Cfg_Conduit&amp;"",_xlpm.v)))</f>
        <v/>
      </c>
      <c r="N117" s="825" t="str">
        <f>IF($CJ117="","",IF(UPPER(TRIM(_xlfn.XLOOKUP($CJ117,Equip_List,Equip_FdrExist,"")&amp;""))="Y","Y",""))</f>
        <v/>
      </c>
      <c r="O117" s="823" t="str">
        <f t="shared" si="28"/>
        <v/>
      </c>
      <c r="P117" s="821" t="str">
        <f t="shared" si="29"/>
        <v/>
      </c>
      <c r="Q117" s="821" t="str">
        <f t="shared" si="30"/>
        <v/>
      </c>
      <c r="R117" s="822" t="str" cm="1">
        <f t="array" ref="R117">IF(K117="","",INDEX(OCPD_List,MATCH(TRUE,OCPD_List&gt;=K117,0)))</f>
        <v/>
      </c>
      <c r="S117" s="821" t="str">
        <f t="shared" si="31"/>
        <v/>
      </c>
      <c r="T117" s="826" t="str">
        <f t="shared" si="21"/>
        <v/>
      </c>
      <c r="U117" s="826" t="str">
        <f t="shared" si="22"/>
        <v/>
      </c>
      <c r="V117" s="827" t="str">
        <f t="shared" si="23"/>
        <v/>
      </c>
      <c r="W117" s="828"/>
      <c r="X117" s="819"/>
      <c r="Y117" s="820"/>
      <c r="Z117" s="820"/>
      <c r="AA117" s="820"/>
      <c r="BN117" s="832" t="str">
        <f>IF($B117="","",IFERROR(_xlfn.XLOOKUP($D117,Dashboard!$A$101:$A$350,Dashboard!$C$101:$C$350),""))</f>
        <v/>
      </c>
      <c r="BO117" s="832" t="str">
        <f t="shared" si="24"/>
        <v/>
      </c>
      <c r="BP117" s="832" t="str" cm="1">
        <f t="array" ref="BP117">IF(OR($B117="",$R117="",NOT(ISNUMBER($R117))),"",IF(AND($BV117="AL",$G117=1),"",_xlfn.LET(_xlpm.codes,IF($BV117="AL",Std_Al3_Code,IF($G117=1,Std_Cu1_Code,Std_Cu3_Code)),_xlpm.amps,IFERROR(--SUBSTITUTE(_xlpm.codes&amp;"","N",""),""),_xlpm.a,MIN(IF(ISNUMBER(_xlpm.amps),IF(_xlpm.amps&gt;=$R117,_xlpm.amps,""),"")),_xlpm.k,IF(_xlpm.a=0,$R117,_xlpm.a),IF($BO117="Y",TEXT(_xlpm.k,"0")&amp;"N",_xlpm.k))))</f>
        <v/>
      </c>
      <c r="BQ117" s="832" t="str" cm="1">
        <f t="array" ref="BQ117">IF($BP117="","",IFERROR(IF($BV117="AL",_xlfn.XLOOKUP($BP117,Std_Al3_Code,INDEX(Std_Al3_Table,0,3)),IF($G117=1,_xlfn.XLOOKUP($BP117,Std_Cu1_Code,INDEX(Std_Cu1_Table,0,3)),_xlfn.XLOOKUP($BP117,Std_Cu3_Code,INDEX(Std_Cu3_Table,0,3)))),""))</f>
        <v/>
      </c>
      <c r="BR117" s="832" t="str" cm="1">
        <f t="array" ref="BR117">IF($BP117="","",IFERROR(IF($BV117="AL",_xlfn.XLOOKUP($BP117,Std_Al3_Code,INDEX(Std_Al3_Table,0,4)),IF($G117=1,_xlfn.XLOOKUP($BP117,Std_Cu1_Code,INDEX(Std_Cu1_Table,0,4)),_xlfn.XLOOKUP($BP117,Std_Cu3_Code,INDEX(Std_Cu3_Table,0,4)))),""))</f>
        <v/>
      </c>
      <c r="BS117" s="832" t="str" cm="1">
        <f t="array" ref="BS117">IF($BP117="","",IFERROR(IF($BV117="AL",_xlfn.XLOOKUP($BP117,Std_Al3_Code,INDEX(Std_Al3_Table,0,5)),IF($G117=1,_xlfn.XLOOKUP($BP117,Std_Cu1_Code,INDEX(Std_Cu1_Table,0,5)),_xlfn.XLOOKUP($BP117,Std_Cu3_Code,INDEX(Std_Cu3_Table,0,5)))),""))</f>
        <v/>
      </c>
      <c r="BT117" s="832" t="str">
        <f t="shared" si="25"/>
        <v/>
      </c>
      <c r="BU117" s="832" t="str" cm="1">
        <f t="array" ref="BU117">IF($BP117="","",IFERROR(IF($BV117="AL",_xlfn.XLOOKUP($BP117,Std_Al3_Code,INDEX(Std_Al3_Table,0,2)),IF($G117=1,_xlfn.XLOOKUP($BP117,Std_Cu1_Code,INDEX(Std_Cu1_Table,0,2)),_xlfn.XLOOKUP($BP117,Std_Cu3_Code,INDEX(Std_Cu3_Table,0,2)))),""))</f>
        <v/>
      </c>
      <c r="BV117" s="829" t="str">
        <f t="shared" si="26"/>
        <v/>
      </c>
      <c r="BW117" s="829" t="str">
        <f t="shared" si="32"/>
        <v/>
      </c>
      <c r="BX117" s="829" t="str" cm="1">
        <f t="array" ref="BX117">IF(OR($BP117="",$H117="",$I117="",$F117="",$BW117=""),"",IFERROR(_xlfn.LET(_xlpm.codes,IF($BV117="AL",Std_Al3_Code,IF($G117=1,Std_Cu1_Code,Std_Cu3_Code)),_xlpm.tbl,IF($BV117="AL",Std_Al3_Table,IF($G117=1,Std_Cu1_Table,Std_Cu3_Table)),_xlpm.i,MATCH($BP117,_xlpm.codes,0),_xlpm.idx,_xlfn.SEQUENCE(ROWS(_xlpm.codes)),_xlpm.cnd,INDEX(_xlpm.tbl,0,4),_xlpm.sts,INDEX(_xlpm.tbl,0,2),_xlpm.sz,IFERROR(_xlfn.TEXTBEFORE(_xlfn.TEXTAFTER(_xlpm.cnd,"#"),","),IFERROR(_xlfn.TEXTAFTER(_xlpm.cnd,"#"),"")),_xlpm.cm,IFERROR(_xlfn.XLOOKUP(TRIM(_xlpm.sz),Ampacity_Size,Ampacity_CM),0),_xlpm.mult,IF($G117=3,SQRT3,2),_xlpm.kk,IF($BV117="AL",K_Al,K_Cu),_xlpm.vd,IF(_xlpm.cm*IF(ISNUMBER(_xlpm.sts),_xlpm.sts,0)=0,9,_xlpm.mult*_xlpm.kk*$I117*$H117/(_xlpm.cm*_xlpm.sts)/$F117),_xlpm.hasN,--(RIGHT(_xlpm.codes&amp;"",1)="N"),_xlpm.wantN,--(RIGHT($BP117&amp;"",1)="N"),_xlpm.ok,(_xlpm.idx&gt;=_xlpm.i)*(_xlpm.vd&lt;=Cfg_VDFeeder)*(_xlpm.cm&gt;0)*ISNUMBER(_xlpm.sts)*(_xlpm.hasN=_xlpm.wantN),_xlpm.m,MIN(IF(_xlpm.ok=1,_xlpm.idx)),INDEX(_xlpm.codes,IF(_xlpm.m=0,_xlpm.i,_xlpm.m))),""))</f>
        <v/>
      </c>
      <c r="BY117" s="829" t="str" cm="1">
        <f t="array" ref="BY117">IF($BP117="","",IF($BX117="",$BU117,IFERROR(IF($BV117="AL",_xlfn.XLOOKUP($BX117,Std_Al3_Code,INDEX(Std_Al3_Table,0,2)),IF($G117=1,_xlfn.XLOOKUP($BX117,Std_Cu1_Code,INDEX(Std_Cu1_Table,0,2)),_xlfn.XLOOKUP($BX117,Std_Cu3_Code,INDEX(Std_Cu3_Table,0,2)))),"")))</f>
        <v/>
      </c>
      <c r="BZ117" s="829" t="str" cm="1">
        <f t="array" ref="BZ117">IF($BP117="","",IF($BX117="",$BR117,IFERROR(IF($BV117="AL",_xlfn.XLOOKUP($BX117,Std_Al3_Code,INDEX(Std_Al3_Table,0,4)),IF($G117=1,_xlfn.XLOOKUP($BX117,Std_Cu1_Code,INDEX(Std_Cu1_Table,0,4)),_xlfn.XLOOKUP($BX117,Std_Cu3_Code,INDEX(Std_Cu3_Table,0,4)))),"")))</f>
        <v/>
      </c>
      <c r="CA117" s="829" t="str" cm="1">
        <f t="array" ref="CA117">IF($BP117="","",IF($BX117="",$BQ117,IFERROR(IF($BV117="AL",_xlfn.XLOOKUP($BX117,Std_Al3_Code,INDEX(Std_Al3_Table,0,3)),IF($G117=1,_xlfn.XLOOKUP($BX117,Std_Cu1_Code,INDEX(Std_Cu1_Table,0,3)),_xlfn.XLOOKUP($BX117,Std_Cu3_Code,INDEX(Std_Cu3_Table,0,3)))),"")))</f>
        <v/>
      </c>
      <c r="CB117" s="829" t="str" cm="1">
        <f t="array" ref="CB117">IF($BP117="","",IF($BX117="",$BS117,IFERROR(IF($BV117="AL",_xlfn.XLOOKUP($BX117,Std_Al3_Code,INDEX(Std_Al3_Table,0,5)),IF($G117=1,_xlfn.XLOOKUP($BX117,Std_Cu1_Code,INDEX(Std_Cu1_Table,0,5)),_xlfn.XLOOKUP($BX117,Std_Cu3_Code,INDEX(Std_Cu3_Table,0,5)))),"")))</f>
        <v/>
      </c>
      <c r="CC117" s="829" t="str">
        <f t="shared" si="33"/>
        <v/>
      </c>
      <c r="CD117" s="829" t="str">
        <f t="shared" si="34"/>
        <v/>
      </c>
      <c r="CE117" s="829" t="str">
        <f t="shared" si="35"/>
        <v/>
      </c>
      <c r="CF117" s="829" t="str">
        <f t="shared" si="36"/>
        <v/>
      </c>
      <c r="CG117" s="829" t="str">
        <f t="shared" si="37"/>
        <v/>
      </c>
      <c r="CH117" s="829" t="str">
        <f t="shared" si="38"/>
        <v/>
      </c>
      <c r="CI117" s="829" t="str">
        <f t="shared" si="39"/>
        <v/>
      </c>
      <c r="CJ117" s="829" t="str" cm="1">
        <f t="array" ref="CJ117">IF($B117="","",_xlfn.LET(_xlpm.to,$D117&amp;"",_xlpm.em,IFERROR(INDEX(_xlfn.ANCHORARRAY($BE$4),ROW()-4,6),"")="EMERG",_xlpm.pri,AND(NOT(_xlpm.em),LEFT(_xlpm.to,2)="T-",ISNUMBER(MATCH(MID(_xlpm.to,3,99),Equip_List,0)),ISNA(MATCH(_xlpm.to,Equip_List,0))),IF(_xlpm.pri,MID(_xlpm.to,3,99),_xlpm.to)))</f>
        <v/>
      </c>
      <c r="CK117" s="829" t="str" cm="1">
        <f t="array" ref="CK117">IF($CJ117="","",IF(IFERROR(INDEX(_xlfn.ANCHORARRAY($BE$4),ROW()-4,6),"")="EMERG","E",IF($CJ117&lt;&gt;$D117&amp;"","P","N")))</f>
        <v/>
      </c>
    </row>
    <row r="118" spans="1:89" ht="15" customHeight="1" x14ac:dyDescent="0.35">
      <c r="A118" s="821" t="str">
        <f t="shared" si="27"/>
        <v/>
      </c>
      <c r="B118" s="821" t="str" cm="1">
        <f t="array" ref="B118">IFERROR(IF(INDEX(_xlfn.ANCHORARRAY($BE$4),ROW()-4,2)="","","F-"&amp;INDEX(_xlfn.ANCHORARRAY($BE$4),ROW()-4,2)&amp;IF(IFERROR(INDEX(_xlfn.ANCHORARRAY($BE$4),ROW()-4,6),"")="EMERG","-E","")),"")</f>
        <v/>
      </c>
      <c r="C118" s="821" t="str" cm="1">
        <f t="array" ref="C118">IFERROR(IF($B118="","",INDEX(_xlfn.ANCHORARRAY($BE$4),ROW()-4,1)),"")</f>
        <v/>
      </c>
      <c r="D118" s="821" t="str" cm="1">
        <f t="array" ref="D118">IFERROR(IF($B118="","",INDEX(_xlfn.ANCHORARRAY($BE$4),ROW()-4,2)),"")</f>
        <v/>
      </c>
      <c r="E118" s="806" t="str" cm="1">
        <f t="array" ref="E118">IFERROR(IF($B118="","",INDEX(_xlfn.ANCHORARRAY($BE$4),ROW()-4,3)),"")</f>
        <v/>
      </c>
      <c r="F118" s="822" t="str" cm="1">
        <f t="array" ref="F118">IFERROR(IF($B118="","",INDEX(_xlfn.ANCHORARRAY($BE$4),ROW()-4,4)),"")</f>
        <v/>
      </c>
      <c r="G118" s="823" t="str" cm="1">
        <f t="array" ref="G118">IFERROR(IF($B118="","",INDEX(_xlfn.ANCHORARRAY($BE$4),ROW()-4,5)),"")</f>
        <v/>
      </c>
      <c r="H118" s="824" t="str" cm="1">
        <f t="array" ref="H118">IF($CJ118="","",_xlfn.LET(_xlpm.v,_xlfn.XLOOKUP($CJ118,Equip_List,IF($CK118="E",Equip_EmLen,IF($CK118="P",Equip_XfPriLen,Equip_FdrLen)),""),IF(_xlpm.v="","",_xlpm.v)))</f>
        <v/>
      </c>
      <c r="I118" s="806" t="str">
        <f t="shared" si="20"/>
        <v/>
      </c>
      <c r="J118" s="820"/>
      <c r="K118" s="806" t="str">
        <f>_xlfn.LET(_xlpm.k,IF($I118="","",IF(COUNTIF(UPS!$B$57:$B$64,$C118&amp;"")&gt;0,1.25*MAX($I118,N(_xlfn.XLOOKUP($C118&amp;"",UPS!$B$57:$B$64,UPS!$M$57:$M$64,0))),IF(COUNTIF(UPS!$B$57:$B$64,$D118&amp;"")&gt;0,1.25*MAX($I118,N(_xlfn.XLOOKUP($D118&amp;"",UPS!$B$57:$B$64,UPS!$Q$57:$Q$64,0))),$I118*IF(OR(UPPER($J118)="Y",LEFT($C118,2)="T-",LEFT($D118,2)="T-"),1.25,1)))),IF(_xlpm.k="","",MAX(_xlpm.k,N(IFERROR(_xlfn.XLOOKUP($D118&amp;"",Dashboard!$A$101:$A$350,Dashboard!$O$101:$O$350,0),0)))))</f>
        <v/>
      </c>
      <c r="L118" s="825" t="str">
        <f>IF($CJ118="","",_xlfn.LET(_xlpm.v,UPPER(TRIM(_xlfn.XLOOKUP($CJ118,Equip_List,Equip_FdrMat,"")&amp;"")),IF(_xlpm.v="",UPPER(TRIM(Cfg_FeederMat&amp;"")),_xlpm.v)))</f>
        <v/>
      </c>
      <c r="M118" s="825" t="str">
        <f>IF($CJ118="","",_xlfn.LET(_xlpm.v,TRIM(_xlfn.XLOOKUP($CJ118,Equip_List,Equip_FdrRace,"")&amp;""),IF(_xlpm.v="",Cfg_Conduit&amp;"",_xlpm.v)))</f>
        <v/>
      </c>
      <c r="N118" s="825" t="str">
        <f>IF($CJ118="","",IF(UPPER(TRIM(_xlfn.XLOOKUP($CJ118,Equip_List,Equip_FdrExist,"")&amp;""))="Y","Y",""))</f>
        <v/>
      </c>
      <c r="O118" s="823" t="str">
        <f t="shared" si="28"/>
        <v/>
      </c>
      <c r="P118" s="821" t="str">
        <f t="shared" si="29"/>
        <v/>
      </c>
      <c r="Q118" s="821" t="str">
        <f t="shared" si="30"/>
        <v/>
      </c>
      <c r="R118" s="822" t="str" cm="1">
        <f t="array" ref="R118">IF(K118="","",INDEX(OCPD_List,MATCH(TRUE,OCPD_List&gt;=K118,0)))</f>
        <v/>
      </c>
      <c r="S118" s="821" t="str">
        <f t="shared" si="31"/>
        <v/>
      </c>
      <c r="T118" s="826" t="str">
        <f t="shared" si="21"/>
        <v/>
      </c>
      <c r="U118" s="826" t="str">
        <f t="shared" si="22"/>
        <v/>
      </c>
      <c r="V118" s="827" t="str">
        <f t="shared" si="23"/>
        <v/>
      </c>
      <c r="W118" s="828"/>
      <c r="X118" s="819"/>
      <c r="Y118" s="820"/>
      <c r="Z118" s="820"/>
      <c r="AA118" s="820"/>
      <c r="BN118" s="832" t="str">
        <f>IF($B118="","",IFERROR(_xlfn.XLOOKUP($D118,Dashboard!$A$101:$A$350,Dashboard!$C$101:$C$350),""))</f>
        <v/>
      </c>
      <c r="BO118" s="832" t="str">
        <f t="shared" si="24"/>
        <v/>
      </c>
      <c r="BP118" s="832" t="str" cm="1">
        <f t="array" ref="BP118">IF(OR($B118="",$R118="",NOT(ISNUMBER($R118))),"",IF(AND($BV118="AL",$G118=1),"",_xlfn.LET(_xlpm.codes,IF($BV118="AL",Std_Al3_Code,IF($G118=1,Std_Cu1_Code,Std_Cu3_Code)),_xlpm.amps,IFERROR(--SUBSTITUTE(_xlpm.codes&amp;"","N",""),""),_xlpm.a,MIN(IF(ISNUMBER(_xlpm.amps),IF(_xlpm.amps&gt;=$R118,_xlpm.amps,""),"")),_xlpm.k,IF(_xlpm.a=0,$R118,_xlpm.a),IF($BO118="Y",TEXT(_xlpm.k,"0")&amp;"N",_xlpm.k))))</f>
        <v/>
      </c>
      <c r="BQ118" s="832" t="str" cm="1">
        <f t="array" ref="BQ118">IF($BP118="","",IFERROR(IF($BV118="AL",_xlfn.XLOOKUP($BP118,Std_Al3_Code,INDEX(Std_Al3_Table,0,3)),IF($G118=1,_xlfn.XLOOKUP($BP118,Std_Cu1_Code,INDEX(Std_Cu1_Table,0,3)),_xlfn.XLOOKUP($BP118,Std_Cu3_Code,INDEX(Std_Cu3_Table,0,3)))),""))</f>
        <v/>
      </c>
      <c r="BR118" s="832" t="str" cm="1">
        <f t="array" ref="BR118">IF($BP118="","",IFERROR(IF($BV118="AL",_xlfn.XLOOKUP($BP118,Std_Al3_Code,INDEX(Std_Al3_Table,0,4)),IF($G118=1,_xlfn.XLOOKUP($BP118,Std_Cu1_Code,INDEX(Std_Cu1_Table,0,4)),_xlfn.XLOOKUP($BP118,Std_Cu3_Code,INDEX(Std_Cu3_Table,0,4)))),""))</f>
        <v/>
      </c>
      <c r="BS118" s="832" t="str" cm="1">
        <f t="array" ref="BS118">IF($BP118="","",IFERROR(IF($BV118="AL",_xlfn.XLOOKUP($BP118,Std_Al3_Code,INDEX(Std_Al3_Table,0,5)),IF($G118=1,_xlfn.XLOOKUP($BP118,Std_Cu1_Code,INDEX(Std_Cu1_Table,0,5)),_xlfn.XLOOKUP($BP118,Std_Cu3_Code,INDEX(Std_Cu3_Table,0,5)))),""))</f>
        <v/>
      </c>
      <c r="BT118" s="832" t="str">
        <f t="shared" si="25"/>
        <v/>
      </c>
      <c r="BU118" s="832" t="str" cm="1">
        <f t="array" ref="BU118">IF($BP118="","",IFERROR(IF($BV118="AL",_xlfn.XLOOKUP($BP118,Std_Al3_Code,INDEX(Std_Al3_Table,0,2)),IF($G118=1,_xlfn.XLOOKUP($BP118,Std_Cu1_Code,INDEX(Std_Cu1_Table,0,2)),_xlfn.XLOOKUP($BP118,Std_Cu3_Code,INDEX(Std_Cu3_Table,0,2)))),""))</f>
        <v/>
      </c>
      <c r="BV118" s="829" t="str">
        <f t="shared" si="26"/>
        <v/>
      </c>
      <c r="BW118" s="829" t="str">
        <f t="shared" si="32"/>
        <v/>
      </c>
      <c r="BX118" s="829" t="str" cm="1">
        <f t="array" ref="BX118">IF(OR($BP118="",$H118="",$I118="",$F118="",$BW118=""),"",IFERROR(_xlfn.LET(_xlpm.codes,IF($BV118="AL",Std_Al3_Code,IF($G118=1,Std_Cu1_Code,Std_Cu3_Code)),_xlpm.tbl,IF($BV118="AL",Std_Al3_Table,IF($G118=1,Std_Cu1_Table,Std_Cu3_Table)),_xlpm.i,MATCH($BP118,_xlpm.codes,0),_xlpm.idx,_xlfn.SEQUENCE(ROWS(_xlpm.codes)),_xlpm.cnd,INDEX(_xlpm.tbl,0,4),_xlpm.sts,INDEX(_xlpm.tbl,0,2),_xlpm.sz,IFERROR(_xlfn.TEXTBEFORE(_xlfn.TEXTAFTER(_xlpm.cnd,"#"),","),IFERROR(_xlfn.TEXTAFTER(_xlpm.cnd,"#"),"")),_xlpm.cm,IFERROR(_xlfn.XLOOKUP(TRIM(_xlpm.sz),Ampacity_Size,Ampacity_CM),0),_xlpm.mult,IF($G118=3,SQRT3,2),_xlpm.kk,IF($BV118="AL",K_Al,K_Cu),_xlpm.vd,IF(_xlpm.cm*IF(ISNUMBER(_xlpm.sts),_xlpm.sts,0)=0,9,_xlpm.mult*_xlpm.kk*$I118*$H118/(_xlpm.cm*_xlpm.sts)/$F118),_xlpm.hasN,--(RIGHT(_xlpm.codes&amp;"",1)="N"),_xlpm.wantN,--(RIGHT($BP118&amp;"",1)="N"),_xlpm.ok,(_xlpm.idx&gt;=_xlpm.i)*(_xlpm.vd&lt;=Cfg_VDFeeder)*(_xlpm.cm&gt;0)*ISNUMBER(_xlpm.sts)*(_xlpm.hasN=_xlpm.wantN),_xlpm.m,MIN(IF(_xlpm.ok=1,_xlpm.idx)),INDEX(_xlpm.codes,IF(_xlpm.m=0,_xlpm.i,_xlpm.m))),""))</f>
        <v/>
      </c>
      <c r="BY118" s="829" t="str" cm="1">
        <f t="array" ref="BY118">IF($BP118="","",IF($BX118="",$BU118,IFERROR(IF($BV118="AL",_xlfn.XLOOKUP($BX118,Std_Al3_Code,INDEX(Std_Al3_Table,0,2)),IF($G118=1,_xlfn.XLOOKUP($BX118,Std_Cu1_Code,INDEX(Std_Cu1_Table,0,2)),_xlfn.XLOOKUP($BX118,Std_Cu3_Code,INDEX(Std_Cu3_Table,0,2)))),"")))</f>
        <v/>
      </c>
      <c r="BZ118" s="829" t="str" cm="1">
        <f t="array" ref="BZ118">IF($BP118="","",IF($BX118="",$BR118,IFERROR(IF($BV118="AL",_xlfn.XLOOKUP($BX118,Std_Al3_Code,INDEX(Std_Al3_Table,0,4)),IF($G118=1,_xlfn.XLOOKUP($BX118,Std_Cu1_Code,INDEX(Std_Cu1_Table,0,4)),_xlfn.XLOOKUP($BX118,Std_Cu3_Code,INDEX(Std_Cu3_Table,0,4)))),"")))</f>
        <v/>
      </c>
      <c r="CA118" s="829" t="str" cm="1">
        <f t="array" ref="CA118">IF($BP118="","",IF($BX118="",$BQ118,IFERROR(IF($BV118="AL",_xlfn.XLOOKUP($BX118,Std_Al3_Code,INDEX(Std_Al3_Table,0,3)),IF($G118=1,_xlfn.XLOOKUP($BX118,Std_Cu1_Code,INDEX(Std_Cu1_Table,0,3)),_xlfn.XLOOKUP($BX118,Std_Cu3_Code,INDEX(Std_Cu3_Table,0,3)))),"")))</f>
        <v/>
      </c>
      <c r="CB118" s="829" t="str" cm="1">
        <f t="array" ref="CB118">IF($BP118="","",IF($BX118="",$BS118,IFERROR(IF($BV118="AL",_xlfn.XLOOKUP($BX118,Std_Al3_Code,INDEX(Std_Al3_Table,0,5)),IF($G118=1,_xlfn.XLOOKUP($BX118,Std_Cu1_Code,INDEX(Std_Cu1_Table,0,5)),_xlfn.XLOOKUP($BX118,Std_Cu3_Code,INDEX(Std_Cu3_Table,0,5)))),"")))</f>
        <v/>
      </c>
      <c r="CC118" s="829" t="str">
        <f t="shared" si="33"/>
        <v/>
      </c>
      <c r="CD118" s="829" t="str">
        <f t="shared" si="34"/>
        <v/>
      </c>
      <c r="CE118" s="829" t="str">
        <f t="shared" si="35"/>
        <v/>
      </c>
      <c r="CF118" s="829" t="str">
        <f t="shared" si="36"/>
        <v/>
      </c>
      <c r="CG118" s="829" t="str">
        <f t="shared" si="37"/>
        <v/>
      </c>
      <c r="CH118" s="829" t="str">
        <f t="shared" si="38"/>
        <v/>
      </c>
      <c r="CI118" s="829" t="str">
        <f t="shared" si="39"/>
        <v/>
      </c>
      <c r="CJ118" s="829" t="str" cm="1">
        <f t="array" ref="CJ118">IF($B118="","",_xlfn.LET(_xlpm.to,$D118&amp;"",_xlpm.em,IFERROR(INDEX(_xlfn.ANCHORARRAY($BE$4),ROW()-4,6),"")="EMERG",_xlpm.pri,AND(NOT(_xlpm.em),LEFT(_xlpm.to,2)="T-",ISNUMBER(MATCH(MID(_xlpm.to,3,99),Equip_List,0)),ISNA(MATCH(_xlpm.to,Equip_List,0))),IF(_xlpm.pri,MID(_xlpm.to,3,99),_xlpm.to)))</f>
        <v/>
      </c>
      <c r="CK118" s="829" t="str" cm="1">
        <f t="array" ref="CK118">IF($CJ118="","",IF(IFERROR(INDEX(_xlfn.ANCHORARRAY($BE$4),ROW()-4,6),"")="EMERG","E",IF($CJ118&lt;&gt;$D118&amp;"","P","N")))</f>
        <v/>
      </c>
    </row>
    <row r="119" spans="1:89" ht="15" customHeight="1" x14ac:dyDescent="0.35">
      <c r="A119" s="821" t="str">
        <f t="shared" si="27"/>
        <v/>
      </c>
      <c r="B119" s="821" t="str" cm="1">
        <f t="array" ref="B119">IFERROR(IF(INDEX(_xlfn.ANCHORARRAY($BE$4),ROW()-4,2)="","","F-"&amp;INDEX(_xlfn.ANCHORARRAY($BE$4),ROW()-4,2)&amp;IF(IFERROR(INDEX(_xlfn.ANCHORARRAY($BE$4),ROW()-4,6),"")="EMERG","-E","")),"")</f>
        <v/>
      </c>
      <c r="C119" s="821" t="str" cm="1">
        <f t="array" ref="C119">IFERROR(IF($B119="","",INDEX(_xlfn.ANCHORARRAY($BE$4),ROW()-4,1)),"")</f>
        <v/>
      </c>
      <c r="D119" s="821" t="str" cm="1">
        <f t="array" ref="D119">IFERROR(IF($B119="","",INDEX(_xlfn.ANCHORARRAY($BE$4),ROW()-4,2)),"")</f>
        <v/>
      </c>
      <c r="E119" s="806" t="str" cm="1">
        <f t="array" ref="E119">IFERROR(IF($B119="","",INDEX(_xlfn.ANCHORARRAY($BE$4),ROW()-4,3)),"")</f>
        <v/>
      </c>
      <c r="F119" s="822" t="str" cm="1">
        <f t="array" ref="F119">IFERROR(IF($B119="","",INDEX(_xlfn.ANCHORARRAY($BE$4),ROW()-4,4)),"")</f>
        <v/>
      </c>
      <c r="G119" s="823" t="str" cm="1">
        <f t="array" ref="G119">IFERROR(IF($B119="","",INDEX(_xlfn.ANCHORARRAY($BE$4),ROW()-4,5)),"")</f>
        <v/>
      </c>
      <c r="H119" s="824" t="str" cm="1">
        <f t="array" ref="H119">IF($CJ119="","",_xlfn.LET(_xlpm.v,_xlfn.XLOOKUP($CJ119,Equip_List,IF($CK119="E",Equip_EmLen,IF($CK119="P",Equip_XfPriLen,Equip_FdrLen)),""),IF(_xlpm.v="","",_xlpm.v)))</f>
        <v/>
      </c>
      <c r="I119" s="806" t="str">
        <f t="shared" si="20"/>
        <v/>
      </c>
      <c r="J119" s="820"/>
      <c r="K119" s="806" t="str">
        <f>_xlfn.LET(_xlpm.k,IF($I119="","",IF(COUNTIF(UPS!$B$57:$B$64,$C119&amp;"")&gt;0,1.25*MAX($I119,N(_xlfn.XLOOKUP($C119&amp;"",UPS!$B$57:$B$64,UPS!$M$57:$M$64,0))),IF(COUNTIF(UPS!$B$57:$B$64,$D119&amp;"")&gt;0,1.25*MAX($I119,N(_xlfn.XLOOKUP($D119&amp;"",UPS!$B$57:$B$64,UPS!$Q$57:$Q$64,0))),$I119*IF(OR(UPPER($J119)="Y",LEFT($C119,2)="T-",LEFT($D119,2)="T-"),1.25,1)))),IF(_xlpm.k="","",MAX(_xlpm.k,N(IFERROR(_xlfn.XLOOKUP($D119&amp;"",Dashboard!$A$101:$A$350,Dashboard!$O$101:$O$350,0),0)))))</f>
        <v/>
      </c>
      <c r="L119" s="825" t="str">
        <f>IF($CJ119="","",_xlfn.LET(_xlpm.v,UPPER(TRIM(_xlfn.XLOOKUP($CJ119,Equip_List,Equip_FdrMat,"")&amp;"")),IF(_xlpm.v="",UPPER(TRIM(Cfg_FeederMat&amp;"")),_xlpm.v)))</f>
        <v/>
      </c>
      <c r="M119" s="825" t="str">
        <f>IF($CJ119="","",_xlfn.LET(_xlpm.v,TRIM(_xlfn.XLOOKUP($CJ119,Equip_List,Equip_FdrRace,"")&amp;""),IF(_xlpm.v="",Cfg_Conduit&amp;"",_xlpm.v)))</f>
        <v/>
      </c>
      <c r="N119" s="825" t="str">
        <f>IF($CJ119="","",IF(UPPER(TRIM(_xlfn.XLOOKUP($CJ119,Equip_List,Equip_FdrExist,"")&amp;""))="Y","Y",""))</f>
        <v/>
      </c>
      <c r="O119" s="823" t="str">
        <f t="shared" si="28"/>
        <v/>
      </c>
      <c r="P119" s="821" t="str">
        <f t="shared" si="29"/>
        <v/>
      </c>
      <c r="Q119" s="821" t="str">
        <f t="shared" si="30"/>
        <v/>
      </c>
      <c r="R119" s="822" t="str" cm="1">
        <f t="array" ref="R119">IF(K119="","",INDEX(OCPD_List,MATCH(TRUE,OCPD_List&gt;=K119,0)))</f>
        <v/>
      </c>
      <c r="S119" s="821" t="str">
        <f t="shared" si="31"/>
        <v/>
      </c>
      <c r="T119" s="826" t="str">
        <f t="shared" si="21"/>
        <v/>
      </c>
      <c r="U119" s="826" t="str">
        <f t="shared" si="22"/>
        <v/>
      </c>
      <c r="V119" s="827" t="str">
        <f t="shared" si="23"/>
        <v/>
      </c>
      <c r="W119" s="828"/>
      <c r="X119" s="819"/>
      <c r="Y119" s="820"/>
      <c r="Z119" s="820"/>
      <c r="AA119" s="820"/>
      <c r="BN119" s="832" t="str">
        <f>IF($B119="","",IFERROR(_xlfn.XLOOKUP($D119,Dashboard!$A$101:$A$350,Dashboard!$C$101:$C$350),""))</f>
        <v/>
      </c>
      <c r="BO119" s="832" t="str">
        <f t="shared" si="24"/>
        <v/>
      </c>
      <c r="BP119" s="832" t="str" cm="1">
        <f t="array" ref="BP119">IF(OR($B119="",$R119="",NOT(ISNUMBER($R119))),"",IF(AND($BV119="AL",$G119=1),"",_xlfn.LET(_xlpm.codes,IF($BV119="AL",Std_Al3_Code,IF($G119=1,Std_Cu1_Code,Std_Cu3_Code)),_xlpm.amps,IFERROR(--SUBSTITUTE(_xlpm.codes&amp;"","N",""),""),_xlpm.a,MIN(IF(ISNUMBER(_xlpm.amps),IF(_xlpm.amps&gt;=$R119,_xlpm.amps,""),"")),_xlpm.k,IF(_xlpm.a=0,$R119,_xlpm.a),IF($BO119="Y",TEXT(_xlpm.k,"0")&amp;"N",_xlpm.k))))</f>
        <v/>
      </c>
      <c r="BQ119" s="832" t="str" cm="1">
        <f t="array" ref="BQ119">IF($BP119="","",IFERROR(IF($BV119="AL",_xlfn.XLOOKUP($BP119,Std_Al3_Code,INDEX(Std_Al3_Table,0,3)),IF($G119=1,_xlfn.XLOOKUP($BP119,Std_Cu1_Code,INDEX(Std_Cu1_Table,0,3)),_xlfn.XLOOKUP($BP119,Std_Cu3_Code,INDEX(Std_Cu3_Table,0,3)))),""))</f>
        <v/>
      </c>
      <c r="BR119" s="832" t="str" cm="1">
        <f t="array" ref="BR119">IF($BP119="","",IFERROR(IF($BV119="AL",_xlfn.XLOOKUP($BP119,Std_Al3_Code,INDEX(Std_Al3_Table,0,4)),IF($G119=1,_xlfn.XLOOKUP($BP119,Std_Cu1_Code,INDEX(Std_Cu1_Table,0,4)),_xlfn.XLOOKUP($BP119,Std_Cu3_Code,INDEX(Std_Cu3_Table,0,4)))),""))</f>
        <v/>
      </c>
      <c r="BS119" s="832" t="str" cm="1">
        <f t="array" ref="BS119">IF($BP119="","",IFERROR(IF($BV119="AL",_xlfn.XLOOKUP($BP119,Std_Al3_Code,INDEX(Std_Al3_Table,0,5)),IF($G119=1,_xlfn.XLOOKUP($BP119,Std_Cu1_Code,INDEX(Std_Cu1_Table,0,5)),_xlfn.XLOOKUP($BP119,Std_Cu3_Code,INDEX(Std_Cu3_Table,0,5)))),""))</f>
        <v/>
      </c>
      <c r="BT119" s="832" t="str">
        <f t="shared" si="25"/>
        <v/>
      </c>
      <c r="BU119" s="832" t="str" cm="1">
        <f t="array" ref="BU119">IF($BP119="","",IFERROR(IF($BV119="AL",_xlfn.XLOOKUP($BP119,Std_Al3_Code,INDEX(Std_Al3_Table,0,2)),IF($G119=1,_xlfn.XLOOKUP($BP119,Std_Cu1_Code,INDEX(Std_Cu1_Table,0,2)),_xlfn.XLOOKUP($BP119,Std_Cu3_Code,INDEX(Std_Cu3_Table,0,2)))),""))</f>
        <v/>
      </c>
      <c r="BV119" s="829" t="str">
        <f t="shared" si="26"/>
        <v/>
      </c>
      <c r="BW119" s="829" t="str">
        <f t="shared" si="32"/>
        <v/>
      </c>
      <c r="BX119" s="829" t="str" cm="1">
        <f t="array" ref="BX119">IF(OR($BP119="",$H119="",$I119="",$F119="",$BW119=""),"",IFERROR(_xlfn.LET(_xlpm.codes,IF($BV119="AL",Std_Al3_Code,IF($G119=1,Std_Cu1_Code,Std_Cu3_Code)),_xlpm.tbl,IF($BV119="AL",Std_Al3_Table,IF($G119=1,Std_Cu1_Table,Std_Cu3_Table)),_xlpm.i,MATCH($BP119,_xlpm.codes,0),_xlpm.idx,_xlfn.SEQUENCE(ROWS(_xlpm.codes)),_xlpm.cnd,INDEX(_xlpm.tbl,0,4),_xlpm.sts,INDEX(_xlpm.tbl,0,2),_xlpm.sz,IFERROR(_xlfn.TEXTBEFORE(_xlfn.TEXTAFTER(_xlpm.cnd,"#"),","),IFERROR(_xlfn.TEXTAFTER(_xlpm.cnd,"#"),"")),_xlpm.cm,IFERROR(_xlfn.XLOOKUP(TRIM(_xlpm.sz),Ampacity_Size,Ampacity_CM),0),_xlpm.mult,IF($G119=3,SQRT3,2),_xlpm.kk,IF($BV119="AL",K_Al,K_Cu),_xlpm.vd,IF(_xlpm.cm*IF(ISNUMBER(_xlpm.sts),_xlpm.sts,0)=0,9,_xlpm.mult*_xlpm.kk*$I119*$H119/(_xlpm.cm*_xlpm.sts)/$F119),_xlpm.hasN,--(RIGHT(_xlpm.codes&amp;"",1)="N"),_xlpm.wantN,--(RIGHT($BP119&amp;"",1)="N"),_xlpm.ok,(_xlpm.idx&gt;=_xlpm.i)*(_xlpm.vd&lt;=Cfg_VDFeeder)*(_xlpm.cm&gt;0)*ISNUMBER(_xlpm.sts)*(_xlpm.hasN=_xlpm.wantN),_xlpm.m,MIN(IF(_xlpm.ok=1,_xlpm.idx)),INDEX(_xlpm.codes,IF(_xlpm.m=0,_xlpm.i,_xlpm.m))),""))</f>
        <v/>
      </c>
      <c r="BY119" s="829" t="str" cm="1">
        <f t="array" ref="BY119">IF($BP119="","",IF($BX119="",$BU119,IFERROR(IF($BV119="AL",_xlfn.XLOOKUP($BX119,Std_Al3_Code,INDEX(Std_Al3_Table,0,2)),IF($G119=1,_xlfn.XLOOKUP($BX119,Std_Cu1_Code,INDEX(Std_Cu1_Table,0,2)),_xlfn.XLOOKUP($BX119,Std_Cu3_Code,INDEX(Std_Cu3_Table,0,2)))),"")))</f>
        <v/>
      </c>
      <c r="BZ119" s="829" t="str" cm="1">
        <f t="array" ref="BZ119">IF($BP119="","",IF($BX119="",$BR119,IFERROR(IF($BV119="AL",_xlfn.XLOOKUP($BX119,Std_Al3_Code,INDEX(Std_Al3_Table,0,4)),IF($G119=1,_xlfn.XLOOKUP($BX119,Std_Cu1_Code,INDEX(Std_Cu1_Table,0,4)),_xlfn.XLOOKUP($BX119,Std_Cu3_Code,INDEX(Std_Cu3_Table,0,4)))),"")))</f>
        <v/>
      </c>
      <c r="CA119" s="829" t="str" cm="1">
        <f t="array" ref="CA119">IF($BP119="","",IF($BX119="",$BQ119,IFERROR(IF($BV119="AL",_xlfn.XLOOKUP($BX119,Std_Al3_Code,INDEX(Std_Al3_Table,0,3)),IF($G119=1,_xlfn.XLOOKUP($BX119,Std_Cu1_Code,INDEX(Std_Cu1_Table,0,3)),_xlfn.XLOOKUP($BX119,Std_Cu3_Code,INDEX(Std_Cu3_Table,0,3)))),"")))</f>
        <v/>
      </c>
      <c r="CB119" s="829" t="str" cm="1">
        <f t="array" ref="CB119">IF($BP119="","",IF($BX119="",$BS119,IFERROR(IF($BV119="AL",_xlfn.XLOOKUP($BX119,Std_Al3_Code,INDEX(Std_Al3_Table,0,5)),IF($G119=1,_xlfn.XLOOKUP($BX119,Std_Cu1_Code,INDEX(Std_Cu1_Table,0,5)),_xlfn.XLOOKUP($BX119,Std_Cu3_Code,INDEX(Std_Cu3_Table,0,5)))),"")))</f>
        <v/>
      </c>
      <c r="CC119" s="829" t="str">
        <f t="shared" si="33"/>
        <v/>
      </c>
      <c r="CD119" s="829" t="str">
        <f t="shared" si="34"/>
        <v/>
      </c>
      <c r="CE119" s="829" t="str">
        <f t="shared" si="35"/>
        <v/>
      </c>
      <c r="CF119" s="829" t="str">
        <f t="shared" si="36"/>
        <v/>
      </c>
      <c r="CG119" s="829" t="str">
        <f t="shared" si="37"/>
        <v/>
      </c>
      <c r="CH119" s="829" t="str">
        <f t="shared" si="38"/>
        <v/>
      </c>
      <c r="CI119" s="829" t="str">
        <f t="shared" si="39"/>
        <v/>
      </c>
      <c r="CJ119" s="829" t="str" cm="1">
        <f t="array" ref="CJ119">IF($B119="","",_xlfn.LET(_xlpm.to,$D119&amp;"",_xlpm.em,IFERROR(INDEX(_xlfn.ANCHORARRAY($BE$4),ROW()-4,6),"")="EMERG",_xlpm.pri,AND(NOT(_xlpm.em),LEFT(_xlpm.to,2)="T-",ISNUMBER(MATCH(MID(_xlpm.to,3,99),Equip_List,0)),ISNA(MATCH(_xlpm.to,Equip_List,0))),IF(_xlpm.pri,MID(_xlpm.to,3,99),_xlpm.to)))</f>
        <v/>
      </c>
      <c r="CK119" s="829" t="str" cm="1">
        <f t="array" ref="CK119">IF($CJ119="","",IF(IFERROR(INDEX(_xlfn.ANCHORARRAY($BE$4),ROW()-4,6),"")="EMERG","E",IF($CJ119&lt;&gt;$D119&amp;"","P","N")))</f>
        <v/>
      </c>
    </row>
    <row r="120" spans="1:89" ht="15" customHeight="1" x14ac:dyDescent="0.35">
      <c r="A120" s="821" t="str">
        <f t="shared" si="27"/>
        <v/>
      </c>
      <c r="B120" s="821" t="str" cm="1">
        <f t="array" ref="B120">IFERROR(IF(INDEX(_xlfn.ANCHORARRAY($BE$4),ROW()-4,2)="","","F-"&amp;INDEX(_xlfn.ANCHORARRAY($BE$4),ROW()-4,2)&amp;IF(IFERROR(INDEX(_xlfn.ANCHORARRAY($BE$4),ROW()-4,6),"")="EMERG","-E","")),"")</f>
        <v/>
      </c>
      <c r="C120" s="821" t="str" cm="1">
        <f t="array" ref="C120">IFERROR(IF($B120="","",INDEX(_xlfn.ANCHORARRAY($BE$4),ROW()-4,1)),"")</f>
        <v/>
      </c>
      <c r="D120" s="821" t="str" cm="1">
        <f t="array" ref="D120">IFERROR(IF($B120="","",INDEX(_xlfn.ANCHORARRAY($BE$4),ROW()-4,2)),"")</f>
        <v/>
      </c>
      <c r="E120" s="806" t="str" cm="1">
        <f t="array" ref="E120">IFERROR(IF($B120="","",INDEX(_xlfn.ANCHORARRAY($BE$4),ROW()-4,3)),"")</f>
        <v/>
      </c>
      <c r="F120" s="822" t="str" cm="1">
        <f t="array" ref="F120">IFERROR(IF($B120="","",INDEX(_xlfn.ANCHORARRAY($BE$4),ROW()-4,4)),"")</f>
        <v/>
      </c>
      <c r="G120" s="823" t="str" cm="1">
        <f t="array" ref="G120">IFERROR(IF($B120="","",INDEX(_xlfn.ANCHORARRAY($BE$4),ROW()-4,5)),"")</f>
        <v/>
      </c>
      <c r="H120" s="824" t="str" cm="1">
        <f t="array" ref="H120">IF($CJ120="","",_xlfn.LET(_xlpm.v,_xlfn.XLOOKUP($CJ120,Equip_List,IF($CK120="E",Equip_EmLen,IF($CK120="P",Equip_XfPriLen,Equip_FdrLen)),""),IF(_xlpm.v="","",_xlpm.v)))</f>
        <v/>
      </c>
      <c r="I120" s="806" t="str">
        <f t="shared" si="20"/>
        <v/>
      </c>
      <c r="J120" s="820"/>
      <c r="K120" s="806" t="str">
        <f>_xlfn.LET(_xlpm.k,IF($I120="","",IF(COUNTIF(UPS!$B$57:$B$64,$C120&amp;"")&gt;0,1.25*MAX($I120,N(_xlfn.XLOOKUP($C120&amp;"",UPS!$B$57:$B$64,UPS!$M$57:$M$64,0))),IF(COUNTIF(UPS!$B$57:$B$64,$D120&amp;"")&gt;0,1.25*MAX($I120,N(_xlfn.XLOOKUP($D120&amp;"",UPS!$B$57:$B$64,UPS!$Q$57:$Q$64,0))),$I120*IF(OR(UPPER($J120)="Y",LEFT($C120,2)="T-",LEFT($D120,2)="T-"),1.25,1)))),IF(_xlpm.k="","",MAX(_xlpm.k,N(IFERROR(_xlfn.XLOOKUP($D120&amp;"",Dashboard!$A$101:$A$350,Dashboard!$O$101:$O$350,0),0)))))</f>
        <v/>
      </c>
      <c r="L120" s="825" t="str">
        <f>IF($CJ120="","",_xlfn.LET(_xlpm.v,UPPER(TRIM(_xlfn.XLOOKUP($CJ120,Equip_List,Equip_FdrMat,"")&amp;"")),IF(_xlpm.v="",UPPER(TRIM(Cfg_FeederMat&amp;"")),_xlpm.v)))</f>
        <v/>
      </c>
      <c r="M120" s="825" t="str">
        <f>IF($CJ120="","",_xlfn.LET(_xlpm.v,TRIM(_xlfn.XLOOKUP($CJ120,Equip_List,Equip_FdrRace,"")&amp;""),IF(_xlpm.v="",Cfg_Conduit&amp;"",_xlpm.v)))</f>
        <v/>
      </c>
      <c r="N120" s="825" t="str">
        <f>IF($CJ120="","",IF(UPPER(TRIM(_xlfn.XLOOKUP($CJ120,Equip_List,Equip_FdrExist,"")&amp;""))="Y","Y",""))</f>
        <v/>
      </c>
      <c r="O120" s="823" t="str">
        <f t="shared" si="28"/>
        <v/>
      </c>
      <c r="P120" s="821" t="str">
        <f t="shared" si="29"/>
        <v/>
      </c>
      <c r="Q120" s="821" t="str">
        <f t="shared" si="30"/>
        <v/>
      </c>
      <c r="R120" s="822" t="str" cm="1">
        <f t="array" ref="R120">IF(K120="","",INDEX(OCPD_List,MATCH(TRUE,OCPD_List&gt;=K120,0)))</f>
        <v/>
      </c>
      <c r="S120" s="821" t="str">
        <f t="shared" si="31"/>
        <v/>
      </c>
      <c r="T120" s="826" t="str">
        <f t="shared" si="21"/>
        <v/>
      </c>
      <c r="U120" s="826" t="str">
        <f t="shared" si="22"/>
        <v/>
      </c>
      <c r="V120" s="827" t="str">
        <f t="shared" si="23"/>
        <v/>
      </c>
      <c r="W120" s="828"/>
      <c r="X120" s="819"/>
      <c r="Y120" s="820"/>
      <c r="Z120" s="820"/>
      <c r="AA120" s="820"/>
      <c r="BN120" s="832" t="str">
        <f>IF($B120="","",IFERROR(_xlfn.XLOOKUP($D120,Dashboard!$A$101:$A$350,Dashboard!$C$101:$C$350),""))</f>
        <v/>
      </c>
      <c r="BO120" s="832" t="str">
        <f t="shared" si="24"/>
        <v/>
      </c>
      <c r="BP120" s="832" t="str" cm="1">
        <f t="array" ref="BP120">IF(OR($B120="",$R120="",NOT(ISNUMBER($R120))),"",IF(AND($BV120="AL",$G120=1),"",_xlfn.LET(_xlpm.codes,IF($BV120="AL",Std_Al3_Code,IF($G120=1,Std_Cu1_Code,Std_Cu3_Code)),_xlpm.amps,IFERROR(--SUBSTITUTE(_xlpm.codes&amp;"","N",""),""),_xlpm.a,MIN(IF(ISNUMBER(_xlpm.amps),IF(_xlpm.amps&gt;=$R120,_xlpm.amps,""),"")),_xlpm.k,IF(_xlpm.a=0,$R120,_xlpm.a),IF($BO120="Y",TEXT(_xlpm.k,"0")&amp;"N",_xlpm.k))))</f>
        <v/>
      </c>
      <c r="BQ120" s="832" t="str" cm="1">
        <f t="array" ref="BQ120">IF($BP120="","",IFERROR(IF($BV120="AL",_xlfn.XLOOKUP($BP120,Std_Al3_Code,INDEX(Std_Al3_Table,0,3)),IF($G120=1,_xlfn.XLOOKUP($BP120,Std_Cu1_Code,INDEX(Std_Cu1_Table,0,3)),_xlfn.XLOOKUP($BP120,Std_Cu3_Code,INDEX(Std_Cu3_Table,0,3)))),""))</f>
        <v/>
      </c>
      <c r="BR120" s="832" t="str" cm="1">
        <f t="array" ref="BR120">IF($BP120="","",IFERROR(IF($BV120="AL",_xlfn.XLOOKUP($BP120,Std_Al3_Code,INDEX(Std_Al3_Table,0,4)),IF($G120=1,_xlfn.XLOOKUP($BP120,Std_Cu1_Code,INDEX(Std_Cu1_Table,0,4)),_xlfn.XLOOKUP($BP120,Std_Cu3_Code,INDEX(Std_Cu3_Table,0,4)))),""))</f>
        <v/>
      </c>
      <c r="BS120" s="832" t="str" cm="1">
        <f t="array" ref="BS120">IF($BP120="","",IFERROR(IF($BV120="AL",_xlfn.XLOOKUP($BP120,Std_Al3_Code,INDEX(Std_Al3_Table,0,5)),IF($G120=1,_xlfn.XLOOKUP($BP120,Std_Cu1_Code,INDEX(Std_Cu1_Table,0,5)),_xlfn.XLOOKUP($BP120,Std_Cu3_Code,INDEX(Std_Cu3_Table,0,5)))),""))</f>
        <v/>
      </c>
      <c r="BT120" s="832" t="str">
        <f t="shared" si="25"/>
        <v/>
      </c>
      <c r="BU120" s="832" t="str" cm="1">
        <f t="array" ref="BU120">IF($BP120="","",IFERROR(IF($BV120="AL",_xlfn.XLOOKUP($BP120,Std_Al3_Code,INDEX(Std_Al3_Table,0,2)),IF($G120=1,_xlfn.XLOOKUP($BP120,Std_Cu1_Code,INDEX(Std_Cu1_Table,0,2)),_xlfn.XLOOKUP($BP120,Std_Cu3_Code,INDEX(Std_Cu3_Table,0,2)))),""))</f>
        <v/>
      </c>
      <c r="BV120" s="829" t="str">
        <f t="shared" si="26"/>
        <v/>
      </c>
      <c r="BW120" s="829" t="str">
        <f t="shared" si="32"/>
        <v/>
      </c>
      <c r="BX120" s="829" t="str" cm="1">
        <f t="array" ref="BX120">IF(OR($BP120="",$H120="",$I120="",$F120="",$BW120=""),"",IFERROR(_xlfn.LET(_xlpm.codes,IF($BV120="AL",Std_Al3_Code,IF($G120=1,Std_Cu1_Code,Std_Cu3_Code)),_xlpm.tbl,IF($BV120="AL",Std_Al3_Table,IF($G120=1,Std_Cu1_Table,Std_Cu3_Table)),_xlpm.i,MATCH($BP120,_xlpm.codes,0),_xlpm.idx,_xlfn.SEQUENCE(ROWS(_xlpm.codes)),_xlpm.cnd,INDEX(_xlpm.tbl,0,4),_xlpm.sts,INDEX(_xlpm.tbl,0,2),_xlpm.sz,IFERROR(_xlfn.TEXTBEFORE(_xlfn.TEXTAFTER(_xlpm.cnd,"#"),","),IFERROR(_xlfn.TEXTAFTER(_xlpm.cnd,"#"),"")),_xlpm.cm,IFERROR(_xlfn.XLOOKUP(TRIM(_xlpm.sz),Ampacity_Size,Ampacity_CM),0),_xlpm.mult,IF($G120=3,SQRT3,2),_xlpm.kk,IF($BV120="AL",K_Al,K_Cu),_xlpm.vd,IF(_xlpm.cm*IF(ISNUMBER(_xlpm.sts),_xlpm.sts,0)=0,9,_xlpm.mult*_xlpm.kk*$I120*$H120/(_xlpm.cm*_xlpm.sts)/$F120),_xlpm.hasN,--(RIGHT(_xlpm.codes&amp;"",1)="N"),_xlpm.wantN,--(RIGHT($BP120&amp;"",1)="N"),_xlpm.ok,(_xlpm.idx&gt;=_xlpm.i)*(_xlpm.vd&lt;=Cfg_VDFeeder)*(_xlpm.cm&gt;0)*ISNUMBER(_xlpm.sts)*(_xlpm.hasN=_xlpm.wantN),_xlpm.m,MIN(IF(_xlpm.ok=1,_xlpm.idx)),INDEX(_xlpm.codes,IF(_xlpm.m=0,_xlpm.i,_xlpm.m))),""))</f>
        <v/>
      </c>
      <c r="BY120" s="829" t="str" cm="1">
        <f t="array" ref="BY120">IF($BP120="","",IF($BX120="",$BU120,IFERROR(IF($BV120="AL",_xlfn.XLOOKUP($BX120,Std_Al3_Code,INDEX(Std_Al3_Table,0,2)),IF($G120=1,_xlfn.XLOOKUP($BX120,Std_Cu1_Code,INDEX(Std_Cu1_Table,0,2)),_xlfn.XLOOKUP($BX120,Std_Cu3_Code,INDEX(Std_Cu3_Table,0,2)))),"")))</f>
        <v/>
      </c>
      <c r="BZ120" s="829" t="str" cm="1">
        <f t="array" ref="BZ120">IF($BP120="","",IF($BX120="",$BR120,IFERROR(IF($BV120="AL",_xlfn.XLOOKUP($BX120,Std_Al3_Code,INDEX(Std_Al3_Table,0,4)),IF($G120=1,_xlfn.XLOOKUP($BX120,Std_Cu1_Code,INDEX(Std_Cu1_Table,0,4)),_xlfn.XLOOKUP($BX120,Std_Cu3_Code,INDEX(Std_Cu3_Table,0,4)))),"")))</f>
        <v/>
      </c>
      <c r="CA120" s="829" t="str" cm="1">
        <f t="array" ref="CA120">IF($BP120="","",IF($BX120="",$BQ120,IFERROR(IF($BV120="AL",_xlfn.XLOOKUP($BX120,Std_Al3_Code,INDEX(Std_Al3_Table,0,3)),IF($G120=1,_xlfn.XLOOKUP($BX120,Std_Cu1_Code,INDEX(Std_Cu1_Table,0,3)),_xlfn.XLOOKUP($BX120,Std_Cu3_Code,INDEX(Std_Cu3_Table,0,3)))),"")))</f>
        <v/>
      </c>
      <c r="CB120" s="829" t="str" cm="1">
        <f t="array" ref="CB120">IF($BP120="","",IF($BX120="",$BS120,IFERROR(IF($BV120="AL",_xlfn.XLOOKUP($BX120,Std_Al3_Code,INDEX(Std_Al3_Table,0,5)),IF($G120=1,_xlfn.XLOOKUP($BX120,Std_Cu1_Code,INDEX(Std_Cu1_Table,0,5)),_xlfn.XLOOKUP($BX120,Std_Cu3_Code,INDEX(Std_Cu3_Table,0,5)))),"")))</f>
        <v/>
      </c>
      <c r="CC120" s="829" t="str">
        <f t="shared" si="33"/>
        <v/>
      </c>
      <c r="CD120" s="829" t="str">
        <f t="shared" si="34"/>
        <v/>
      </c>
      <c r="CE120" s="829" t="str">
        <f t="shared" si="35"/>
        <v/>
      </c>
      <c r="CF120" s="829" t="str">
        <f t="shared" si="36"/>
        <v/>
      </c>
      <c r="CG120" s="829" t="str">
        <f t="shared" si="37"/>
        <v/>
      </c>
      <c r="CH120" s="829" t="str">
        <f t="shared" si="38"/>
        <v/>
      </c>
      <c r="CI120" s="829" t="str">
        <f t="shared" si="39"/>
        <v/>
      </c>
      <c r="CJ120" s="829" t="str" cm="1">
        <f t="array" ref="CJ120">IF($B120="","",_xlfn.LET(_xlpm.to,$D120&amp;"",_xlpm.em,IFERROR(INDEX(_xlfn.ANCHORARRAY($BE$4),ROW()-4,6),"")="EMERG",_xlpm.pri,AND(NOT(_xlpm.em),LEFT(_xlpm.to,2)="T-",ISNUMBER(MATCH(MID(_xlpm.to,3,99),Equip_List,0)),ISNA(MATCH(_xlpm.to,Equip_List,0))),IF(_xlpm.pri,MID(_xlpm.to,3,99),_xlpm.to)))</f>
        <v/>
      </c>
      <c r="CK120" s="829" t="str" cm="1">
        <f t="array" ref="CK120">IF($CJ120="","",IF(IFERROR(INDEX(_xlfn.ANCHORARRAY($BE$4),ROW()-4,6),"")="EMERG","E",IF($CJ120&lt;&gt;$D120&amp;"","P","N")))</f>
        <v/>
      </c>
    </row>
    <row r="121" spans="1:89" ht="15" customHeight="1" x14ac:dyDescent="0.35">
      <c r="A121" s="821" t="str">
        <f t="shared" si="27"/>
        <v/>
      </c>
      <c r="B121" s="821" t="str" cm="1">
        <f t="array" ref="B121">IFERROR(IF(INDEX(_xlfn.ANCHORARRAY($BE$4),ROW()-4,2)="","","F-"&amp;INDEX(_xlfn.ANCHORARRAY($BE$4),ROW()-4,2)&amp;IF(IFERROR(INDEX(_xlfn.ANCHORARRAY($BE$4),ROW()-4,6),"")="EMERG","-E","")),"")</f>
        <v/>
      </c>
      <c r="C121" s="821" t="str" cm="1">
        <f t="array" ref="C121">IFERROR(IF($B121="","",INDEX(_xlfn.ANCHORARRAY($BE$4),ROW()-4,1)),"")</f>
        <v/>
      </c>
      <c r="D121" s="821" t="str" cm="1">
        <f t="array" ref="D121">IFERROR(IF($B121="","",INDEX(_xlfn.ANCHORARRAY($BE$4),ROW()-4,2)),"")</f>
        <v/>
      </c>
      <c r="E121" s="806" t="str" cm="1">
        <f t="array" ref="E121">IFERROR(IF($B121="","",INDEX(_xlfn.ANCHORARRAY($BE$4),ROW()-4,3)),"")</f>
        <v/>
      </c>
      <c r="F121" s="822" t="str" cm="1">
        <f t="array" ref="F121">IFERROR(IF($B121="","",INDEX(_xlfn.ANCHORARRAY($BE$4),ROW()-4,4)),"")</f>
        <v/>
      </c>
      <c r="G121" s="823" t="str" cm="1">
        <f t="array" ref="G121">IFERROR(IF($B121="","",INDEX(_xlfn.ANCHORARRAY($BE$4),ROW()-4,5)),"")</f>
        <v/>
      </c>
      <c r="H121" s="824" t="str" cm="1">
        <f t="array" ref="H121">IF($CJ121="","",_xlfn.LET(_xlpm.v,_xlfn.XLOOKUP($CJ121,Equip_List,IF($CK121="E",Equip_EmLen,IF($CK121="P",Equip_XfPriLen,Equip_FdrLen)),""),IF(_xlpm.v="","",_xlpm.v)))</f>
        <v/>
      </c>
      <c r="I121" s="806" t="str">
        <f t="shared" si="20"/>
        <v/>
      </c>
      <c r="J121" s="820"/>
      <c r="K121" s="806" t="str">
        <f>_xlfn.LET(_xlpm.k,IF($I121="","",IF(COUNTIF(UPS!$B$57:$B$64,$C121&amp;"")&gt;0,1.25*MAX($I121,N(_xlfn.XLOOKUP($C121&amp;"",UPS!$B$57:$B$64,UPS!$M$57:$M$64,0))),IF(COUNTIF(UPS!$B$57:$B$64,$D121&amp;"")&gt;0,1.25*MAX($I121,N(_xlfn.XLOOKUP($D121&amp;"",UPS!$B$57:$B$64,UPS!$Q$57:$Q$64,0))),$I121*IF(OR(UPPER($J121)="Y",LEFT($C121,2)="T-",LEFT($D121,2)="T-"),1.25,1)))),IF(_xlpm.k="","",MAX(_xlpm.k,N(IFERROR(_xlfn.XLOOKUP($D121&amp;"",Dashboard!$A$101:$A$350,Dashboard!$O$101:$O$350,0),0)))))</f>
        <v/>
      </c>
      <c r="L121" s="825" t="str">
        <f>IF($CJ121="","",_xlfn.LET(_xlpm.v,UPPER(TRIM(_xlfn.XLOOKUP($CJ121,Equip_List,Equip_FdrMat,"")&amp;"")),IF(_xlpm.v="",UPPER(TRIM(Cfg_FeederMat&amp;"")),_xlpm.v)))</f>
        <v/>
      </c>
      <c r="M121" s="825" t="str">
        <f>IF($CJ121="","",_xlfn.LET(_xlpm.v,TRIM(_xlfn.XLOOKUP($CJ121,Equip_List,Equip_FdrRace,"")&amp;""),IF(_xlpm.v="",Cfg_Conduit&amp;"",_xlpm.v)))</f>
        <v/>
      </c>
      <c r="N121" s="825" t="str">
        <f>IF($CJ121="","",IF(UPPER(TRIM(_xlfn.XLOOKUP($CJ121,Equip_List,Equip_FdrExist,"")&amp;""))="Y","Y",""))</f>
        <v/>
      </c>
      <c r="O121" s="823" t="str">
        <f t="shared" si="28"/>
        <v/>
      </c>
      <c r="P121" s="821" t="str">
        <f t="shared" si="29"/>
        <v/>
      </c>
      <c r="Q121" s="821" t="str">
        <f t="shared" si="30"/>
        <v/>
      </c>
      <c r="R121" s="822" t="str" cm="1">
        <f t="array" ref="R121">IF(K121="","",INDEX(OCPD_List,MATCH(TRUE,OCPD_List&gt;=K121,0)))</f>
        <v/>
      </c>
      <c r="S121" s="821" t="str">
        <f t="shared" si="31"/>
        <v/>
      </c>
      <c r="T121" s="826" t="str">
        <f t="shared" si="21"/>
        <v/>
      </c>
      <c r="U121" s="826" t="str">
        <f t="shared" si="22"/>
        <v/>
      </c>
      <c r="V121" s="827" t="str">
        <f t="shared" si="23"/>
        <v/>
      </c>
      <c r="W121" s="828"/>
      <c r="X121" s="819"/>
      <c r="Y121" s="820"/>
      <c r="Z121" s="820"/>
      <c r="AA121" s="820"/>
      <c r="BN121" s="832" t="str">
        <f>IF($B121="","",IFERROR(_xlfn.XLOOKUP($D121,Dashboard!$A$101:$A$350,Dashboard!$C$101:$C$350),""))</f>
        <v/>
      </c>
      <c r="BO121" s="832" t="str">
        <f t="shared" si="24"/>
        <v/>
      </c>
      <c r="BP121" s="832" t="str" cm="1">
        <f t="array" ref="BP121">IF(OR($B121="",$R121="",NOT(ISNUMBER($R121))),"",IF(AND($BV121="AL",$G121=1),"",_xlfn.LET(_xlpm.codes,IF($BV121="AL",Std_Al3_Code,IF($G121=1,Std_Cu1_Code,Std_Cu3_Code)),_xlpm.amps,IFERROR(--SUBSTITUTE(_xlpm.codes&amp;"","N",""),""),_xlpm.a,MIN(IF(ISNUMBER(_xlpm.amps),IF(_xlpm.amps&gt;=$R121,_xlpm.amps,""),"")),_xlpm.k,IF(_xlpm.a=0,$R121,_xlpm.a),IF($BO121="Y",TEXT(_xlpm.k,"0")&amp;"N",_xlpm.k))))</f>
        <v/>
      </c>
      <c r="BQ121" s="832" t="str" cm="1">
        <f t="array" ref="BQ121">IF($BP121="","",IFERROR(IF($BV121="AL",_xlfn.XLOOKUP($BP121,Std_Al3_Code,INDEX(Std_Al3_Table,0,3)),IF($G121=1,_xlfn.XLOOKUP($BP121,Std_Cu1_Code,INDEX(Std_Cu1_Table,0,3)),_xlfn.XLOOKUP($BP121,Std_Cu3_Code,INDEX(Std_Cu3_Table,0,3)))),""))</f>
        <v/>
      </c>
      <c r="BR121" s="832" t="str" cm="1">
        <f t="array" ref="BR121">IF($BP121="","",IFERROR(IF($BV121="AL",_xlfn.XLOOKUP($BP121,Std_Al3_Code,INDEX(Std_Al3_Table,0,4)),IF($G121=1,_xlfn.XLOOKUP($BP121,Std_Cu1_Code,INDEX(Std_Cu1_Table,0,4)),_xlfn.XLOOKUP($BP121,Std_Cu3_Code,INDEX(Std_Cu3_Table,0,4)))),""))</f>
        <v/>
      </c>
      <c r="BS121" s="832" t="str" cm="1">
        <f t="array" ref="BS121">IF($BP121="","",IFERROR(IF($BV121="AL",_xlfn.XLOOKUP($BP121,Std_Al3_Code,INDEX(Std_Al3_Table,0,5)),IF($G121=1,_xlfn.XLOOKUP($BP121,Std_Cu1_Code,INDEX(Std_Cu1_Table,0,5)),_xlfn.XLOOKUP($BP121,Std_Cu3_Code,INDEX(Std_Cu3_Table,0,5)))),""))</f>
        <v/>
      </c>
      <c r="BT121" s="832" t="str">
        <f t="shared" si="25"/>
        <v/>
      </c>
      <c r="BU121" s="832" t="str" cm="1">
        <f t="array" ref="BU121">IF($BP121="","",IFERROR(IF($BV121="AL",_xlfn.XLOOKUP($BP121,Std_Al3_Code,INDEX(Std_Al3_Table,0,2)),IF($G121=1,_xlfn.XLOOKUP($BP121,Std_Cu1_Code,INDEX(Std_Cu1_Table,0,2)),_xlfn.XLOOKUP($BP121,Std_Cu3_Code,INDEX(Std_Cu3_Table,0,2)))),""))</f>
        <v/>
      </c>
      <c r="BV121" s="829" t="str">
        <f t="shared" si="26"/>
        <v/>
      </c>
      <c r="BW121" s="829" t="str">
        <f t="shared" si="32"/>
        <v/>
      </c>
      <c r="BX121" s="829" t="str" cm="1">
        <f t="array" ref="BX121">IF(OR($BP121="",$H121="",$I121="",$F121="",$BW121=""),"",IFERROR(_xlfn.LET(_xlpm.codes,IF($BV121="AL",Std_Al3_Code,IF($G121=1,Std_Cu1_Code,Std_Cu3_Code)),_xlpm.tbl,IF($BV121="AL",Std_Al3_Table,IF($G121=1,Std_Cu1_Table,Std_Cu3_Table)),_xlpm.i,MATCH($BP121,_xlpm.codes,0),_xlpm.idx,_xlfn.SEQUENCE(ROWS(_xlpm.codes)),_xlpm.cnd,INDEX(_xlpm.tbl,0,4),_xlpm.sts,INDEX(_xlpm.tbl,0,2),_xlpm.sz,IFERROR(_xlfn.TEXTBEFORE(_xlfn.TEXTAFTER(_xlpm.cnd,"#"),","),IFERROR(_xlfn.TEXTAFTER(_xlpm.cnd,"#"),"")),_xlpm.cm,IFERROR(_xlfn.XLOOKUP(TRIM(_xlpm.sz),Ampacity_Size,Ampacity_CM),0),_xlpm.mult,IF($G121=3,SQRT3,2),_xlpm.kk,IF($BV121="AL",K_Al,K_Cu),_xlpm.vd,IF(_xlpm.cm*IF(ISNUMBER(_xlpm.sts),_xlpm.sts,0)=0,9,_xlpm.mult*_xlpm.kk*$I121*$H121/(_xlpm.cm*_xlpm.sts)/$F121),_xlpm.hasN,--(RIGHT(_xlpm.codes&amp;"",1)="N"),_xlpm.wantN,--(RIGHT($BP121&amp;"",1)="N"),_xlpm.ok,(_xlpm.idx&gt;=_xlpm.i)*(_xlpm.vd&lt;=Cfg_VDFeeder)*(_xlpm.cm&gt;0)*ISNUMBER(_xlpm.sts)*(_xlpm.hasN=_xlpm.wantN),_xlpm.m,MIN(IF(_xlpm.ok=1,_xlpm.idx)),INDEX(_xlpm.codes,IF(_xlpm.m=0,_xlpm.i,_xlpm.m))),""))</f>
        <v/>
      </c>
      <c r="BY121" s="829" t="str" cm="1">
        <f t="array" ref="BY121">IF($BP121="","",IF($BX121="",$BU121,IFERROR(IF($BV121="AL",_xlfn.XLOOKUP($BX121,Std_Al3_Code,INDEX(Std_Al3_Table,0,2)),IF($G121=1,_xlfn.XLOOKUP($BX121,Std_Cu1_Code,INDEX(Std_Cu1_Table,0,2)),_xlfn.XLOOKUP($BX121,Std_Cu3_Code,INDEX(Std_Cu3_Table,0,2)))),"")))</f>
        <v/>
      </c>
      <c r="BZ121" s="829" t="str" cm="1">
        <f t="array" ref="BZ121">IF($BP121="","",IF($BX121="",$BR121,IFERROR(IF($BV121="AL",_xlfn.XLOOKUP($BX121,Std_Al3_Code,INDEX(Std_Al3_Table,0,4)),IF($G121=1,_xlfn.XLOOKUP($BX121,Std_Cu1_Code,INDEX(Std_Cu1_Table,0,4)),_xlfn.XLOOKUP($BX121,Std_Cu3_Code,INDEX(Std_Cu3_Table,0,4)))),"")))</f>
        <v/>
      </c>
      <c r="CA121" s="829" t="str" cm="1">
        <f t="array" ref="CA121">IF($BP121="","",IF($BX121="",$BQ121,IFERROR(IF($BV121="AL",_xlfn.XLOOKUP($BX121,Std_Al3_Code,INDEX(Std_Al3_Table,0,3)),IF($G121=1,_xlfn.XLOOKUP($BX121,Std_Cu1_Code,INDEX(Std_Cu1_Table,0,3)),_xlfn.XLOOKUP($BX121,Std_Cu3_Code,INDEX(Std_Cu3_Table,0,3)))),"")))</f>
        <v/>
      </c>
      <c r="CB121" s="829" t="str" cm="1">
        <f t="array" ref="CB121">IF($BP121="","",IF($BX121="",$BS121,IFERROR(IF($BV121="AL",_xlfn.XLOOKUP($BX121,Std_Al3_Code,INDEX(Std_Al3_Table,0,5)),IF($G121=1,_xlfn.XLOOKUP($BX121,Std_Cu1_Code,INDEX(Std_Cu1_Table,0,5)),_xlfn.XLOOKUP($BX121,Std_Cu3_Code,INDEX(Std_Cu3_Table,0,5)))),"")))</f>
        <v/>
      </c>
      <c r="CC121" s="829" t="str">
        <f t="shared" si="33"/>
        <v/>
      </c>
      <c r="CD121" s="829" t="str">
        <f t="shared" si="34"/>
        <v/>
      </c>
      <c r="CE121" s="829" t="str">
        <f t="shared" si="35"/>
        <v/>
      </c>
      <c r="CF121" s="829" t="str">
        <f t="shared" si="36"/>
        <v/>
      </c>
      <c r="CG121" s="829" t="str">
        <f t="shared" si="37"/>
        <v/>
      </c>
      <c r="CH121" s="829" t="str">
        <f t="shared" si="38"/>
        <v/>
      </c>
      <c r="CI121" s="829" t="str">
        <f t="shared" si="39"/>
        <v/>
      </c>
      <c r="CJ121" s="829" t="str" cm="1">
        <f t="array" ref="CJ121">IF($B121="","",_xlfn.LET(_xlpm.to,$D121&amp;"",_xlpm.em,IFERROR(INDEX(_xlfn.ANCHORARRAY($BE$4),ROW()-4,6),"")="EMERG",_xlpm.pri,AND(NOT(_xlpm.em),LEFT(_xlpm.to,2)="T-",ISNUMBER(MATCH(MID(_xlpm.to,3,99),Equip_List,0)),ISNA(MATCH(_xlpm.to,Equip_List,0))),IF(_xlpm.pri,MID(_xlpm.to,3,99),_xlpm.to)))</f>
        <v/>
      </c>
      <c r="CK121" s="829" t="str" cm="1">
        <f t="array" ref="CK121">IF($CJ121="","",IF(IFERROR(INDEX(_xlfn.ANCHORARRAY($BE$4),ROW()-4,6),"")="EMERG","E",IF($CJ121&lt;&gt;$D121&amp;"","P","N")))</f>
        <v/>
      </c>
    </row>
    <row r="122" spans="1:89" ht="15" customHeight="1" x14ac:dyDescent="0.35">
      <c r="A122" s="821" t="str">
        <f t="shared" si="27"/>
        <v/>
      </c>
      <c r="B122" s="821" t="str" cm="1">
        <f t="array" ref="B122">IFERROR(IF(INDEX(_xlfn.ANCHORARRAY($BE$4),ROW()-4,2)="","","F-"&amp;INDEX(_xlfn.ANCHORARRAY($BE$4),ROW()-4,2)&amp;IF(IFERROR(INDEX(_xlfn.ANCHORARRAY($BE$4),ROW()-4,6),"")="EMERG","-E","")),"")</f>
        <v/>
      </c>
      <c r="C122" s="821" t="str" cm="1">
        <f t="array" ref="C122">IFERROR(IF($B122="","",INDEX(_xlfn.ANCHORARRAY($BE$4),ROW()-4,1)),"")</f>
        <v/>
      </c>
      <c r="D122" s="821" t="str" cm="1">
        <f t="array" ref="D122">IFERROR(IF($B122="","",INDEX(_xlfn.ANCHORARRAY($BE$4),ROW()-4,2)),"")</f>
        <v/>
      </c>
      <c r="E122" s="806" t="str" cm="1">
        <f t="array" ref="E122">IFERROR(IF($B122="","",INDEX(_xlfn.ANCHORARRAY($BE$4),ROW()-4,3)),"")</f>
        <v/>
      </c>
      <c r="F122" s="822" t="str" cm="1">
        <f t="array" ref="F122">IFERROR(IF($B122="","",INDEX(_xlfn.ANCHORARRAY($BE$4),ROW()-4,4)),"")</f>
        <v/>
      </c>
      <c r="G122" s="823" t="str" cm="1">
        <f t="array" ref="G122">IFERROR(IF($B122="","",INDEX(_xlfn.ANCHORARRAY($BE$4),ROW()-4,5)),"")</f>
        <v/>
      </c>
      <c r="H122" s="824" t="str" cm="1">
        <f t="array" ref="H122">IF($CJ122="","",_xlfn.LET(_xlpm.v,_xlfn.XLOOKUP($CJ122,Equip_List,IF($CK122="E",Equip_EmLen,IF($CK122="P",Equip_XfPriLen,Equip_FdrLen)),""),IF(_xlpm.v="","",_xlpm.v)))</f>
        <v/>
      </c>
      <c r="I122" s="806" t="str">
        <f t="shared" si="20"/>
        <v/>
      </c>
      <c r="J122" s="820"/>
      <c r="K122" s="806" t="str">
        <f>_xlfn.LET(_xlpm.k,IF($I122="","",IF(COUNTIF(UPS!$B$57:$B$64,$C122&amp;"")&gt;0,1.25*MAX($I122,N(_xlfn.XLOOKUP($C122&amp;"",UPS!$B$57:$B$64,UPS!$M$57:$M$64,0))),IF(COUNTIF(UPS!$B$57:$B$64,$D122&amp;"")&gt;0,1.25*MAX($I122,N(_xlfn.XLOOKUP($D122&amp;"",UPS!$B$57:$B$64,UPS!$Q$57:$Q$64,0))),$I122*IF(OR(UPPER($J122)="Y",LEFT($C122,2)="T-",LEFT($D122,2)="T-"),1.25,1)))),IF(_xlpm.k="","",MAX(_xlpm.k,N(IFERROR(_xlfn.XLOOKUP($D122&amp;"",Dashboard!$A$101:$A$350,Dashboard!$O$101:$O$350,0),0)))))</f>
        <v/>
      </c>
      <c r="L122" s="825" t="str">
        <f>IF($CJ122="","",_xlfn.LET(_xlpm.v,UPPER(TRIM(_xlfn.XLOOKUP($CJ122,Equip_List,Equip_FdrMat,"")&amp;"")),IF(_xlpm.v="",UPPER(TRIM(Cfg_FeederMat&amp;"")),_xlpm.v)))</f>
        <v/>
      </c>
      <c r="M122" s="825" t="str">
        <f>IF($CJ122="","",_xlfn.LET(_xlpm.v,TRIM(_xlfn.XLOOKUP($CJ122,Equip_List,Equip_FdrRace,"")&amp;""),IF(_xlpm.v="",Cfg_Conduit&amp;"",_xlpm.v)))</f>
        <v/>
      </c>
      <c r="N122" s="825" t="str">
        <f>IF($CJ122="","",IF(UPPER(TRIM(_xlfn.XLOOKUP($CJ122,Equip_List,Equip_FdrExist,"")&amp;""))="Y","Y",""))</f>
        <v/>
      </c>
      <c r="O122" s="823" t="str">
        <f t="shared" si="28"/>
        <v/>
      </c>
      <c r="P122" s="821" t="str">
        <f t="shared" si="29"/>
        <v/>
      </c>
      <c r="Q122" s="821" t="str">
        <f t="shared" si="30"/>
        <v/>
      </c>
      <c r="R122" s="822" t="str" cm="1">
        <f t="array" ref="R122">IF(K122="","",INDEX(OCPD_List,MATCH(TRUE,OCPD_List&gt;=K122,0)))</f>
        <v/>
      </c>
      <c r="S122" s="821" t="str">
        <f t="shared" si="31"/>
        <v/>
      </c>
      <c r="T122" s="826" t="str">
        <f t="shared" si="21"/>
        <v/>
      </c>
      <c r="U122" s="826" t="str">
        <f t="shared" si="22"/>
        <v/>
      </c>
      <c r="V122" s="827" t="str">
        <f t="shared" si="23"/>
        <v/>
      </c>
      <c r="W122" s="828"/>
      <c r="X122" s="819"/>
      <c r="Y122" s="820"/>
      <c r="Z122" s="820"/>
      <c r="AA122" s="820"/>
      <c r="BN122" s="832" t="str">
        <f>IF($B122="","",IFERROR(_xlfn.XLOOKUP($D122,Dashboard!$A$101:$A$350,Dashboard!$C$101:$C$350),""))</f>
        <v/>
      </c>
      <c r="BO122" s="832" t="str">
        <f t="shared" si="24"/>
        <v/>
      </c>
      <c r="BP122" s="832" t="str" cm="1">
        <f t="array" ref="BP122">IF(OR($B122="",$R122="",NOT(ISNUMBER($R122))),"",IF(AND($BV122="AL",$G122=1),"",_xlfn.LET(_xlpm.codes,IF($BV122="AL",Std_Al3_Code,IF($G122=1,Std_Cu1_Code,Std_Cu3_Code)),_xlpm.amps,IFERROR(--SUBSTITUTE(_xlpm.codes&amp;"","N",""),""),_xlpm.a,MIN(IF(ISNUMBER(_xlpm.amps),IF(_xlpm.amps&gt;=$R122,_xlpm.amps,""),"")),_xlpm.k,IF(_xlpm.a=0,$R122,_xlpm.a),IF($BO122="Y",TEXT(_xlpm.k,"0")&amp;"N",_xlpm.k))))</f>
        <v/>
      </c>
      <c r="BQ122" s="832" t="str" cm="1">
        <f t="array" ref="BQ122">IF($BP122="","",IFERROR(IF($BV122="AL",_xlfn.XLOOKUP($BP122,Std_Al3_Code,INDEX(Std_Al3_Table,0,3)),IF($G122=1,_xlfn.XLOOKUP($BP122,Std_Cu1_Code,INDEX(Std_Cu1_Table,0,3)),_xlfn.XLOOKUP($BP122,Std_Cu3_Code,INDEX(Std_Cu3_Table,0,3)))),""))</f>
        <v/>
      </c>
      <c r="BR122" s="832" t="str" cm="1">
        <f t="array" ref="BR122">IF($BP122="","",IFERROR(IF($BV122="AL",_xlfn.XLOOKUP($BP122,Std_Al3_Code,INDEX(Std_Al3_Table,0,4)),IF($G122=1,_xlfn.XLOOKUP($BP122,Std_Cu1_Code,INDEX(Std_Cu1_Table,0,4)),_xlfn.XLOOKUP($BP122,Std_Cu3_Code,INDEX(Std_Cu3_Table,0,4)))),""))</f>
        <v/>
      </c>
      <c r="BS122" s="832" t="str" cm="1">
        <f t="array" ref="BS122">IF($BP122="","",IFERROR(IF($BV122="AL",_xlfn.XLOOKUP($BP122,Std_Al3_Code,INDEX(Std_Al3_Table,0,5)),IF($G122=1,_xlfn.XLOOKUP($BP122,Std_Cu1_Code,INDEX(Std_Cu1_Table,0,5)),_xlfn.XLOOKUP($BP122,Std_Cu3_Code,INDEX(Std_Cu3_Table,0,5)))),""))</f>
        <v/>
      </c>
      <c r="BT122" s="832" t="str">
        <f t="shared" si="25"/>
        <v/>
      </c>
      <c r="BU122" s="832" t="str" cm="1">
        <f t="array" ref="BU122">IF($BP122="","",IFERROR(IF($BV122="AL",_xlfn.XLOOKUP($BP122,Std_Al3_Code,INDEX(Std_Al3_Table,0,2)),IF($G122=1,_xlfn.XLOOKUP($BP122,Std_Cu1_Code,INDEX(Std_Cu1_Table,0,2)),_xlfn.XLOOKUP($BP122,Std_Cu3_Code,INDEX(Std_Cu3_Table,0,2)))),""))</f>
        <v/>
      </c>
      <c r="BV122" s="829" t="str">
        <f t="shared" si="26"/>
        <v/>
      </c>
      <c r="BW122" s="829" t="str">
        <f t="shared" si="32"/>
        <v/>
      </c>
      <c r="BX122" s="829" t="str" cm="1">
        <f t="array" ref="BX122">IF(OR($BP122="",$H122="",$I122="",$F122="",$BW122=""),"",IFERROR(_xlfn.LET(_xlpm.codes,IF($BV122="AL",Std_Al3_Code,IF($G122=1,Std_Cu1_Code,Std_Cu3_Code)),_xlpm.tbl,IF($BV122="AL",Std_Al3_Table,IF($G122=1,Std_Cu1_Table,Std_Cu3_Table)),_xlpm.i,MATCH($BP122,_xlpm.codes,0),_xlpm.idx,_xlfn.SEQUENCE(ROWS(_xlpm.codes)),_xlpm.cnd,INDEX(_xlpm.tbl,0,4),_xlpm.sts,INDEX(_xlpm.tbl,0,2),_xlpm.sz,IFERROR(_xlfn.TEXTBEFORE(_xlfn.TEXTAFTER(_xlpm.cnd,"#"),","),IFERROR(_xlfn.TEXTAFTER(_xlpm.cnd,"#"),"")),_xlpm.cm,IFERROR(_xlfn.XLOOKUP(TRIM(_xlpm.sz),Ampacity_Size,Ampacity_CM),0),_xlpm.mult,IF($G122=3,SQRT3,2),_xlpm.kk,IF($BV122="AL",K_Al,K_Cu),_xlpm.vd,IF(_xlpm.cm*IF(ISNUMBER(_xlpm.sts),_xlpm.sts,0)=0,9,_xlpm.mult*_xlpm.kk*$I122*$H122/(_xlpm.cm*_xlpm.sts)/$F122),_xlpm.hasN,--(RIGHT(_xlpm.codes&amp;"",1)="N"),_xlpm.wantN,--(RIGHT($BP122&amp;"",1)="N"),_xlpm.ok,(_xlpm.idx&gt;=_xlpm.i)*(_xlpm.vd&lt;=Cfg_VDFeeder)*(_xlpm.cm&gt;0)*ISNUMBER(_xlpm.sts)*(_xlpm.hasN=_xlpm.wantN),_xlpm.m,MIN(IF(_xlpm.ok=1,_xlpm.idx)),INDEX(_xlpm.codes,IF(_xlpm.m=0,_xlpm.i,_xlpm.m))),""))</f>
        <v/>
      </c>
      <c r="BY122" s="829" t="str" cm="1">
        <f t="array" ref="BY122">IF($BP122="","",IF($BX122="",$BU122,IFERROR(IF($BV122="AL",_xlfn.XLOOKUP($BX122,Std_Al3_Code,INDEX(Std_Al3_Table,0,2)),IF($G122=1,_xlfn.XLOOKUP($BX122,Std_Cu1_Code,INDEX(Std_Cu1_Table,0,2)),_xlfn.XLOOKUP($BX122,Std_Cu3_Code,INDEX(Std_Cu3_Table,0,2)))),"")))</f>
        <v/>
      </c>
      <c r="BZ122" s="829" t="str" cm="1">
        <f t="array" ref="BZ122">IF($BP122="","",IF($BX122="",$BR122,IFERROR(IF($BV122="AL",_xlfn.XLOOKUP($BX122,Std_Al3_Code,INDEX(Std_Al3_Table,0,4)),IF($G122=1,_xlfn.XLOOKUP($BX122,Std_Cu1_Code,INDEX(Std_Cu1_Table,0,4)),_xlfn.XLOOKUP($BX122,Std_Cu3_Code,INDEX(Std_Cu3_Table,0,4)))),"")))</f>
        <v/>
      </c>
      <c r="CA122" s="829" t="str" cm="1">
        <f t="array" ref="CA122">IF($BP122="","",IF($BX122="",$BQ122,IFERROR(IF($BV122="AL",_xlfn.XLOOKUP($BX122,Std_Al3_Code,INDEX(Std_Al3_Table,0,3)),IF($G122=1,_xlfn.XLOOKUP($BX122,Std_Cu1_Code,INDEX(Std_Cu1_Table,0,3)),_xlfn.XLOOKUP($BX122,Std_Cu3_Code,INDEX(Std_Cu3_Table,0,3)))),"")))</f>
        <v/>
      </c>
      <c r="CB122" s="829" t="str" cm="1">
        <f t="array" ref="CB122">IF($BP122="","",IF($BX122="",$BS122,IFERROR(IF($BV122="AL",_xlfn.XLOOKUP($BX122,Std_Al3_Code,INDEX(Std_Al3_Table,0,5)),IF($G122=1,_xlfn.XLOOKUP($BX122,Std_Cu1_Code,INDEX(Std_Cu1_Table,0,5)),_xlfn.XLOOKUP($BX122,Std_Cu3_Code,INDEX(Std_Cu3_Table,0,5)))),"")))</f>
        <v/>
      </c>
      <c r="CC122" s="829" t="str">
        <f t="shared" si="33"/>
        <v/>
      </c>
      <c r="CD122" s="829" t="str">
        <f t="shared" si="34"/>
        <v/>
      </c>
      <c r="CE122" s="829" t="str">
        <f t="shared" si="35"/>
        <v/>
      </c>
      <c r="CF122" s="829" t="str">
        <f t="shared" si="36"/>
        <v/>
      </c>
      <c r="CG122" s="829" t="str">
        <f t="shared" si="37"/>
        <v/>
      </c>
      <c r="CH122" s="829" t="str">
        <f t="shared" si="38"/>
        <v/>
      </c>
      <c r="CI122" s="829" t="str">
        <f t="shared" si="39"/>
        <v/>
      </c>
      <c r="CJ122" s="829" t="str" cm="1">
        <f t="array" ref="CJ122">IF($B122="","",_xlfn.LET(_xlpm.to,$D122&amp;"",_xlpm.em,IFERROR(INDEX(_xlfn.ANCHORARRAY($BE$4),ROW()-4,6),"")="EMERG",_xlpm.pri,AND(NOT(_xlpm.em),LEFT(_xlpm.to,2)="T-",ISNUMBER(MATCH(MID(_xlpm.to,3,99),Equip_List,0)),ISNA(MATCH(_xlpm.to,Equip_List,0))),IF(_xlpm.pri,MID(_xlpm.to,3,99),_xlpm.to)))</f>
        <v/>
      </c>
      <c r="CK122" s="829" t="str" cm="1">
        <f t="array" ref="CK122">IF($CJ122="","",IF(IFERROR(INDEX(_xlfn.ANCHORARRAY($BE$4),ROW()-4,6),"")="EMERG","E",IF($CJ122&lt;&gt;$D122&amp;"","P","N")))</f>
        <v/>
      </c>
    </row>
    <row r="123" spans="1:89" ht="15" customHeight="1" x14ac:dyDescent="0.35">
      <c r="A123" s="821" t="str">
        <f t="shared" si="27"/>
        <v/>
      </c>
      <c r="B123" s="821" t="str" cm="1">
        <f t="array" ref="B123">IFERROR(IF(INDEX(_xlfn.ANCHORARRAY($BE$4),ROW()-4,2)="","","F-"&amp;INDEX(_xlfn.ANCHORARRAY($BE$4),ROW()-4,2)&amp;IF(IFERROR(INDEX(_xlfn.ANCHORARRAY($BE$4),ROW()-4,6),"")="EMERG","-E","")),"")</f>
        <v/>
      </c>
      <c r="C123" s="821" t="str" cm="1">
        <f t="array" ref="C123">IFERROR(IF($B123="","",INDEX(_xlfn.ANCHORARRAY($BE$4),ROW()-4,1)),"")</f>
        <v/>
      </c>
      <c r="D123" s="821" t="str" cm="1">
        <f t="array" ref="D123">IFERROR(IF($B123="","",INDEX(_xlfn.ANCHORARRAY($BE$4),ROW()-4,2)),"")</f>
        <v/>
      </c>
      <c r="E123" s="806" t="str" cm="1">
        <f t="array" ref="E123">IFERROR(IF($B123="","",INDEX(_xlfn.ANCHORARRAY($BE$4),ROW()-4,3)),"")</f>
        <v/>
      </c>
      <c r="F123" s="822" t="str" cm="1">
        <f t="array" ref="F123">IFERROR(IF($B123="","",INDEX(_xlfn.ANCHORARRAY($BE$4),ROW()-4,4)),"")</f>
        <v/>
      </c>
      <c r="G123" s="823" t="str" cm="1">
        <f t="array" ref="G123">IFERROR(IF($B123="","",INDEX(_xlfn.ANCHORARRAY($BE$4),ROW()-4,5)),"")</f>
        <v/>
      </c>
      <c r="H123" s="824" t="str" cm="1">
        <f t="array" ref="H123">IF($CJ123="","",_xlfn.LET(_xlpm.v,_xlfn.XLOOKUP($CJ123,Equip_List,IF($CK123="E",Equip_EmLen,IF($CK123="P",Equip_XfPriLen,Equip_FdrLen)),""),IF(_xlpm.v="","",_xlpm.v)))</f>
        <v/>
      </c>
      <c r="I123" s="806" t="str">
        <f t="shared" si="20"/>
        <v/>
      </c>
      <c r="J123" s="820"/>
      <c r="K123" s="806" t="str">
        <f>_xlfn.LET(_xlpm.k,IF($I123="","",IF(COUNTIF(UPS!$B$57:$B$64,$C123&amp;"")&gt;0,1.25*MAX($I123,N(_xlfn.XLOOKUP($C123&amp;"",UPS!$B$57:$B$64,UPS!$M$57:$M$64,0))),IF(COUNTIF(UPS!$B$57:$B$64,$D123&amp;"")&gt;0,1.25*MAX($I123,N(_xlfn.XLOOKUP($D123&amp;"",UPS!$B$57:$B$64,UPS!$Q$57:$Q$64,0))),$I123*IF(OR(UPPER($J123)="Y",LEFT($C123,2)="T-",LEFT($D123,2)="T-"),1.25,1)))),IF(_xlpm.k="","",MAX(_xlpm.k,N(IFERROR(_xlfn.XLOOKUP($D123&amp;"",Dashboard!$A$101:$A$350,Dashboard!$O$101:$O$350,0),0)))))</f>
        <v/>
      </c>
      <c r="L123" s="825" t="str">
        <f>IF($CJ123="","",_xlfn.LET(_xlpm.v,UPPER(TRIM(_xlfn.XLOOKUP($CJ123,Equip_List,Equip_FdrMat,"")&amp;"")),IF(_xlpm.v="",UPPER(TRIM(Cfg_FeederMat&amp;"")),_xlpm.v)))</f>
        <v/>
      </c>
      <c r="M123" s="825" t="str">
        <f>IF($CJ123="","",_xlfn.LET(_xlpm.v,TRIM(_xlfn.XLOOKUP($CJ123,Equip_List,Equip_FdrRace,"")&amp;""),IF(_xlpm.v="",Cfg_Conduit&amp;"",_xlpm.v)))</f>
        <v/>
      </c>
      <c r="N123" s="825" t="str">
        <f>IF($CJ123="","",IF(UPPER(TRIM(_xlfn.XLOOKUP($CJ123,Equip_List,Equip_FdrExist,"")&amp;""))="Y","Y",""))</f>
        <v/>
      </c>
      <c r="O123" s="823" t="str">
        <f t="shared" si="28"/>
        <v/>
      </c>
      <c r="P123" s="821" t="str">
        <f t="shared" si="29"/>
        <v/>
      </c>
      <c r="Q123" s="821" t="str">
        <f t="shared" si="30"/>
        <v/>
      </c>
      <c r="R123" s="822" t="str" cm="1">
        <f t="array" ref="R123">IF(K123="","",INDEX(OCPD_List,MATCH(TRUE,OCPD_List&gt;=K123,0)))</f>
        <v/>
      </c>
      <c r="S123" s="821" t="str">
        <f t="shared" si="31"/>
        <v/>
      </c>
      <c r="T123" s="826" t="str">
        <f t="shared" si="21"/>
        <v/>
      </c>
      <c r="U123" s="826" t="str">
        <f t="shared" si="22"/>
        <v/>
      </c>
      <c r="V123" s="827" t="str">
        <f t="shared" si="23"/>
        <v/>
      </c>
      <c r="W123" s="828"/>
      <c r="X123" s="819"/>
      <c r="Y123" s="820"/>
      <c r="Z123" s="820"/>
      <c r="AA123" s="820"/>
      <c r="BN123" s="832" t="str">
        <f>IF($B123="","",IFERROR(_xlfn.XLOOKUP($D123,Dashboard!$A$101:$A$350,Dashboard!$C$101:$C$350),""))</f>
        <v/>
      </c>
      <c r="BO123" s="832" t="str">
        <f t="shared" si="24"/>
        <v/>
      </c>
      <c r="BP123" s="832" t="str" cm="1">
        <f t="array" ref="BP123">IF(OR($B123="",$R123="",NOT(ISNUMBER($R123))),"",IF(AND($BV123="AL",$G123=1),"",_xlfn.LET(_xlpm.codes,IF($BV123="AL",Std_Al3_Code,IF($G123=1,Std_Cu1_Code,Std_Cu3_Code)),_xlpm.amps,IFERROR(--SUBSTITUTE(_xlpm.codes&amp;"","N",""),""),_xlpm.a,MIN(IF(ISNUMBER(_xlpm.amps),IF(_xlpm.amps&gt;=$R123,_xlpm.amps,""),"")),_xlpm.k,IF(_xlpm.a=0,$R123,_xlpm.a),IF($BO123="Y",TEXT(_xlpm.k,"0")&amp;"N",_xlpm.k))))</f>
        <v/>
      </c>
      <c r="BQ123" s="832" t="str" cm="1">
        <f t="array" ref="BQ123">IF($BP123="","",IFERROR(IF($BV123="AL",_xlfn.XLOOKUP($BP123,Std_Al3_Code,INDEX(Std_Al3_Table,0,3)),IF($G123=1,_xlfn.XLOOKUP($BP123,Std_Cu1_Code,INDEX(Std_Cu1_Table,0,3)),_xlfn.XLOOKUP($BP123,Std_Cu3_Code,INDEX(Std_Cu3_Table,0,3)))),""))</f>
        <v/>
      </c>
      <c r="BR123" s="832" t="str" cm="1">
        <f t="array" ref="BR123">IF($BP123="","",IFERROR(IF($BV123="AL",_xlfn.XLOOKUP($BP123,Std_Al3_Code,INDEX(Std_Al3_Table,0,4)),IF($G123=1,_xlfn.XLOOKUP($BP123,Std_Cu1_Code,INDEX(Std_Cu1_Table,0,4)),_xlfn.XLOOKUP($BP123,Std_Cu3_Code,INDEX(Std_Cu3_Table,0,4)))),""))</f>
        <v/>
      </c>
      <c r="BS123" s="832" t="str" cm="1">
        <f t="array" ref="BS123">IF($BP123="","",IFERROR(IF($BV123="AL",_xlfn.XLOOKUP($BP123,Std_Al3_Code,INDEX(Std_Al3_Table,0,5)),IF($G123=1,_xlfn.XLOOKUP($BP123,Std_Cu1_Code,INDEX(Std_Cu1_Table,0,5)),_xlfn.XLOOKUP($BP123,Std_Cu3_Code,INDEX(Std_Cu3_Table,0,5)))),""))</f>
        <v/>
      </c>
      <c r="BT123" s="832" t="str">
        <f t="shared" si="25"/>
        <v/>
      </c>
      <c r="BU123" s="832" t="str" cm="1">
        <f t="array" ref="BU123">IF($BP123="","",IFERROR(IF($BV123="AL",_xlfn.XLOOKUP($BP123,Std_Al3_Code,INDEX(Std_Al3_Table,0,2)),IF($G123=1,_xlfn.XLOOKUP($BP123,Std_Cu1_Code,INDEX(Std_Cu1_Table,0,2)),_xlfn.XLOOKUP($BP123,Std_Cu3_Code,INDEX(Std_Cu3_Table,0,2)))),""))</f>
        <v/>
      </c>
      <c r="BV123" s="829" t="str">
        <f t="shared" si="26"/>
        <v/>
      </c>
      <c r="BW123" s="829" t="str">
        <f t="shared" si="32"/>
        <v/>
      </c>
      <c r="BX123" s="829" t="str" cm="1">
        <f t="array" ref="BX123">IF(OR($BP123="",$H123="",$I123="",$F123="",$BW123=""),"",IFERROR(_xlfn.LET(_xlpm.codes,IF($BV123="AL",Std_Al3_Code,IF($G123=1,Std_Cu1_Code,Std_Cu3_Code)),_xlpm.tbl,IF($BV123="AL",Std_Al3_Table,IF($G123=1,Std_Cu1_Table,Std_Cu3_Table)),_xlpm.i,MATCH($BP123,_xlpm.codes,0),_xlpm.idx,_xlfn.SEQUENCE(ROWS(_xlpm.codes)),_xlpm.cnd,INDEX(_xlpm.tbl,0,4),_xlpm.sts,INDEX(_xlpm.tbl,0,2),_xlpm.sz,IFERROR(_xlfn.TEXTBEFORE(_xlfn.TEXTAFTER(_xlpm.cnd,"#"),","),IFERROR(_xlfn.TEXTAFTER(_xlpm.cnd,"#"),"")),_xlpm.cm,IFERROR(_xlfn.XLOOKUP(TRIM(_xlpm.sz),Ampacity_Size,Ampacity_CM),0),_xlpm.mult,IF($G123=3,SQRT3,2),_xlpm.kk,IF($BV123="AL",K_Al,K_Cu),_xlpm.vd,IF(_xlpm.cm*IF(ISNUMBER(_xlpm.sts),_xlpm.sts,0)=0,9,_xlpm.mult*_xlpm.kk*$I123*$H123/(_xlpm.cm*_xlpm.sts)/$F123),_xlpm.hasN,--(RIGHT(_xlpm.codes&amp;"",1)="N"),_xlpm.wantN,--(RIGHT($BP123&amp;"",1)="N"),_xlpm.ok,(_xlpm.idx&gt;=_xlpm.i)*(_xlpm.vd&lt;=Cfg_VDFeeder)*(_xlpm.cm&gt;0)*ISNUMBER(_xlpm.sts)*(_xlpm.hasN=_xlpm.wantN),_xlpm.m,MIN(IF(_xlpm.ok=1,_xlpm.idx)),INDEX(_xlpm.codes,IF(_xlpm.m=0,_xlpm.i,_xlpm.m))),""))</f>
        <v/>
      </c>
      <c r="BY123" s="829" t="str" cm="1">
        <f t="array" ref="BY123">IF($BP123="","",IF($BX123="",$BU123,IFERROR(IF($BV123="AL",_xlfn.XLOOKUP($BX123,Std_Al3_Code,INDEX(Std_Al3_Table,0,2)),IF($G123=1,_xlfn.XLOOKUP($BX123,Std_Cu1_Code,INDEX(Std_Cu1_Table,0,2)),_xlfn.XLOOKUP($BX123,Std_Cu3_Code,INDEX(Std_Cu3_Table,0,2)))),"")))</f>
        <v/>
      </c>
      <c r="BZ123" s="829" t="str" cm="1">
        <f t="array" ref="BZ123">IF($BP123="","",IF($BX123="",$BR123,IFERROR(IF($BV123="AL",_xlfn.XLOOKUP($BX123,Std_Al3_Code,INDEX(Std_Al3_Table,0,4)),IF($G123=1,_xlfn.XLOOKUP($BX123,Std_Cu1_Code,INDEX(Std_Cu1_Table,0,4)),_xlfn.XLOOKUP($BX123,Std_Cu3_Code,INDEX(Std_Cu3_Table,0,4)))),"")))</f>
        <v/>
      </c>
      <c r="CA123" s="829" t="str" cm="1">
        <f t="array" ref="CA123">IF($BP123="","",IF($BX123="",$BQ123,IFERROR(IF($BV123="AL",_xlfn.XLOOKUP($BX123,Std_Al3_Code,INDEX(Std_Al3_Table,0,3)),IF($G123=1,_xlfn.XLOOKUP($BX123,Std_Cu1_Code,INDEX(Std_Cu1_Table,0,3)),_xlfn.XLOOKUP($BX123,Std_Cu3_Code,INDEX(Std_Cu3_Table,0,3)))),"")))</f>
        <v/>
      </c>
      <c r="CB123" s="829" t="str" cm="1">
        <f t="array" ref="CB123">IF($BP123="","",IF($BX123="",$BS123,IFERROR(IF($BV123="AL",_xlfn.XLOOKUP($BX123,Std_Al3_Code,INDEX(Std_Al3_Table,0,5)),IF($G123=1,_xlfn.XLOOKUP($BX123,Std_Cu1_Code,INDEX(Std_Cu1_Table,0,5)),_xlfn.XLOOKUP($BX123,Std_Cu3_Code,INDEX(Std_Cu3_Table,0,5)))),"")))</f>
        <v/>
      </c>
      <c r="CC123" s="829" t="str">
        <f t="shared" si="33"/>
        <v/>
      </c>
      <c r="CD123" s="829" t="str">
        <f t="shared" si="34"/>
        <v/>
      </c>
      <c r="CE123" s="829" t="str">
        <f t="shared" si="35"/>
        <v/>
      </c>
      <c r="CF123" s="829" t="str">
        <f t="shared" si="36"/>
        <v/>
      </c>
      <c r="CG123" s="829" t="str">
        <f t="shared" si="37"/>
        <v/>
      </c>
      <c r="CH123" s="829" t="str">
        <f t="shared" si="38"/>
        <v/>
      </c>
      <c r="CI123" s="829" t="str">
        <f t="shared" si="39"/>
        <v/>
      </c>
      <c r="CJ123" s="829" t="str" cm="1">
        <f t="array" ref="CJ123">IF($B123="","",_xlfn.LET(_xlpm.to,$D123&amp;"",_xlpm.em,IFERROR(INDEX(_xlfn.ANCHORARRAY($BE$4),ROW()-4,6),"")="EMERG",_xlpm.pri,AND(NOT(_xlpm.em),LEFT(_xlpm.to,2)="T-",ISNUMBER(MATCH(MID(_xlpm.to,3,99),Equip_List,0)),ISNA(MATCH(_xlpm.to,Equip_List,0))),IF(_xlpm.pri,MID(_xlpm.to,3,99),_xlpm.to)))</f>
        <v/>
      </c>
      <c r="CK123" s="829" t="str" cm="1">
        <f t="array" ref="CK123">IF($CJ123="","",IF(IFERROR(INDEX(_xlfn.ANCHORARRAY($BE$4),ROW()-4,6),"")="EMERG","E",IF($CJ123&lt;&gt;$D123&amp;"","P","N")))</f>
        <v/>
      </c>
    </row>
    <row r="124" spans="1:89" ht="15" customHeight="1" x14ac:dyDescent="0.35">
      <c r="A124" s="821" t="str">
        <f t="shared" si="27"/>
        <v/>
      </c>
      <c r="B124" s="821" t="str" cm="1">
        <f t="array" ref="B124">IFERROR(IF(INDEX(_xlfn.ANCHORARRAY($BE$4),ROW()-4,2)="","","F-"&amp;INDEX(_xlfn.ANCHORARRAY($BE$4),ROW()-4,2)&amp;IF(IFERROR(INDEX(_xlfn.ANCHORARRAY($BE$4),ROW()-4,6),"")="EMERG","-E","")),"")</f>
        <v/>
      </c>
      <c r="C124" s="821" t="str" cm="1">
        <f t="array" ref="C124">IFERROR(IF($B124="","",INDEX(_xlfn.ANCHORARRAY($BE$4),ROW()-4,1)),"")</f>
        <v/>
      </c>
      <c r="D124" s="821" t="str" cm="1">
        <f t="array" ref="D124">IFERROR(IF($B124="","",INDEX(_xlfn.ANCHORARRAY($BE$4),ROW()-4,2)),"")</f>
        <v/>
      </c>
      <c r="E124" s="806" t="str" cm="1">
        <f t="array" ref="E124">IFERROR(IF($B124="","",INDEX(_xlfn.ANCHORARRAY($BE$4),ROW()-4,3)),"")</f>
        <v/>
      </c>
      <c r="F124" s="822" t="str" cm="1">
        <f t="array" ref="F124">IFERROR(IF($B124="","",INDEX(_xlfn.ANCHORARRAY($BE$4),ROW()-4,4)),"")</f>
        <v/>
      </c>
      <c r="G124" s="823" t="str" cm="1">
        <f t="array" ref="G124">IFERROR(IF($B124="","",INDEX(_xlfn.ANCHORARRAY($BE$4),ROW()-4,5)),"")</f>
        <v/>
      </c>
      <c r="H124" s="824" t="str" cm="1">
        <f t="array" ref="H124">IF($CJ124="","",_xlfn.LET(_xlpm.v,_xlfn.XLOOKUP($CJ124,Equip_List,IF($CK124="E",Equip_EmLen,IF($CK124="P",Equip_XfPriLen,Equip_FdrLen)),""),IF(_xlpm.v="","",_xlpm.v)))</f>
        <v/>
      </c>
      <c r="I124" s="806" t="str">
        <f t="shared" si="20"/>
        <v/>
      </c>
      <c r="J124" s="820"/>
      <c r="K124" s="806" t="str">
        <f>_xlfn.LET(_xlpm.k,IF($I124="","",IF(COUNTIF(UPS!$B$57:$B$64,$C124&amp;"")&gt;0,1.25*MAX($I124,N(_xlfn.XLOOKUP($C124&amp;"",UPS!$B$57:$B$64,UPS!$M$57:$M$64,0))),IF(COUNTIF(UPS!$B$57:$B$64,$D124&amp;"")&gt;0,1.25*MAX($I124,N(_xlfn.XLOOKUP($D124&amp;"",UPS!$B$57:$B$64,UPS!$Q$57:$Q$64,0))),$I124*IF(OR(UPPER($J124)="Y",LEFT($C124,2)="T-",LEFT($D124,2)="T-"),1.25,1)))),IF(_xlpm.k="","",MAX(_xlpm.k,N(IFERROR(_xlfn.XLOOKUP($D124&amp;"",Dashboard!$A$101:$A$350,Dashboard!$O$101:$O$350,0),0)))))</f>
        <v/>
      </c>
      <c r="L124" s="825" t="str">
        <f>IF($CJ124="","",_xlfn.LET(_xlpm.v,UPPER(TRIM(_xlfn.XLOOKUP($CJ124,Equip_List,Equip_FdrMat,"")&amp;"")),IF(_xlpm.v="",UPPER(TRIM(Cfg_FeederMat&amp;"")),_xlpm.v)))</f>
        <v/>
      </c>
      <c r="M124" s="825" t="str">
        <f>IF($CJ124="","",_xlfn.LET(_xlpm.v,TRIM(_xlfn.XLOOKUP($CJ124,Equip_List,Equip_FdrRace,"")&amp;""),IF(_xlpm.v="",Cfg_Conduit&amp;"",_xlpm.v)))</f>
        <v/>
      </c>
      <c r="N124" s="825" t="str">
        <f>IF($CJ124="","",IF(UPPER(TRIM(_xlfn.XLOOKUP($CJ124,Equip_List,Equip_FdrExist,"")&amp;""))="Y","Y",""))</f>
        <v/>
      </c>
      <c r="O124" s="823" t="str">
        <f t="shared" si="28"/>
        <v/>
      </c>
      <c r="P124" s="821" t="str">
        <f t="shared" si="29"/>
        <v/>
      </c>
      <c r="Q124" s="821" t="str">
        <f t="shared" si="30"/>
        <v/>
      </c>
      <c r="R124" s="822" t="str" cm="1">
        <f t="array" ref="R124">IF(K124="","",INDEX(OCPD_List,MATCH(TRUE,OCPD_List&gt;=K124,0)))</f>
        <v/>
      </c>
      <c r="S124" s="821" t="str">
        <f t="shared" si="31"/>
        <v/>
      </c>
      <c r="T124" s="826" t="str">
        <f t="shared" si="21"/>
        <v/>
      </c>
      <c r="U124" s="826" t="str">
        <f t="shared" si="22"/>
        <v/>
      </c>
      <c r="V124" s="827" t="str">
        <f t="shared" si="23"/>
        <v/>
      </c>
      <c r="W124" s="828"/>
      <c r="X124" s="819"/>
      <c r="Y124" s="820"/>
      <c r="Z124" s="820"/>
      <c r="AA124" s="820"/>
      <c r="BN124" s="832" t="str">
        <f>IF($B124="","",IFERROR(_xlfn.XLOOKUP($D124,Dashboard!$A$101:$A$350,Dashboard!$C$101:$C$350),""))</f>
        <v/>
      </c>
      <c r="BO124" s="832" t="str">
        <f t="shared" si="24"/>
        <v/>
      </c>
      <c r="BP124" s="832" t="str" cm="1">
        <f t="array" ref="BP124">IF(OR($B124="",$R124="",NOT(ISNUMBER($R124))),"",IF(AND($BV124="AL",$G124=1),"",_xlfn.LET(_xlpm.codes,IF($BV124="AL",Std_Al3_Code,IF($G124=1,Std_Cu1_Code,Std_Cu3_Code)),_xlpm.amps,IFERROR(--SUBSTITUTE(_xlpm.codes&amp;"","N",""),""),_xlpm.a,MIN(IF(ISNUMBER(_xlpm.amps),IF(_xlpm.amps&gt;=$R124,_xlpm.amps,""),"")),_xlpm.k,IF(_xlpm.a=0,$R124,_xlpm.a),IF($BO124="Y",TEXT(_xlpm.k,"0")&amp;"N",_xlpm.k))))</f>
        <v/>
      </c>
      <c r="BQ124" s="832" t="str" cm="1">
        <f t="array" ref="BQ124">IF($BP124="","",IFERROR(IF($BV124="AL",_xlfn.XLOOKUP($BP124,Std_Al3_Code,INDEX(Std_Al3_Table,0,3)),IF($G124=1,_xlfn.XLOOKUP($BP124,Std_Cu1_Code,INDEX(Std_Cu1_Table,0,3)),_xlfn.XLOOKUP($BP124,Std_Cu3_Code,INDEX(Std_Cu3_Table,0,3)))),""))</f>
        <v/>
      </c>
      <c r="BR124" s="832" t="str" cm="1">
        <f t="array" ref="BR124">IF($BP124="","",IFERROR(IF($BV124="AL",_xlfn.XLOOKUP($BP124,Std_Al3_Code,INDEX(Std_Al3_Table,0,4)),IF($G124=1,_xlfn.XLOOKUP($BP124,Std_Cu1_Code,INDEX(Std_Cu1_Table,0,4)),_xlfn.XLOOKUP($BP124,Std_Cu3_Code,INDEX(Std_Cu3_Table,0,4)))),""))</f>
        <v/>
      </c>
      <c r="BS124" s="832" t="str" cm="1">
        <f t="array" ref="BS124">IF($BP124="","",IFERROR(IF($BV124="AL",_xlfn.XLOOKUP($BP124,Std_Al3_Code,INDEX(Std_Al3_Table,0,5)),IF($G124=1,_xlfn.XLOOKUP($BP124,Std_Cu1_Code,INDEX(Std_Cu1_Table,0,5)),_xlfn.XLOOKUP($BP124,Std_Cu3_Code,INDEX(Std_Cu3_Table,0,5)))),""))</f>
        <v/>
      </c>
      <c r="BT124" s="832" t="str">
        <f t="shared" si="25"/>
        <v/>
      </c>
      <c r="BU124" s="832" t="str" cm="1">
        <f t="array" ref="BU124">IF($BP124="","",IFERROR(IF($BV124="AL",_xlfn.XLOOKUP($BP124,Std_Al3_Code,INDEX(Std_Al3_Table,0,2)),IF($G124=1,_xlfn.XLOOKUP($BP124,Std_Cu1_Code,INDEX(Std_Cu1_Table,0,2)),_xlfn.XLOOKUP($BP124,Std_Cu3_Code,INDEX(Std_Cu3_Table,0,2)))),""))</f>
        <v/>
      </c>
      <c r="BV124" s="829" t="str">
        <f t="shared" si="26"/>
        <v/>
      </c>
      <c r="BW124" s="829" t="str">
        <f t="shared" si="32"/>
        <v/>
      </c>
      <c r="BX124" s="829" t="str" cm="1">
        <f t="array" ref="BX124">IF(OR($BP124="",$H124="",$I124="",$F124="",$BW124=""),"",IFERROR(_xlfn.LET(_xlpm.codes,IF($BV124="AL",Std_Al3_Code,IF($G124=1,Std_Cu1_Code,Std_Cu3_Code)),_xlpm.tbl,IF($BV124="AL",Std_Al3_Table,IF($G124=1,Std_Cu1_Table,Std_Cu3_Table)),_xlpm.i,MATCH($BP124,_xlpm.codes,0),_xlpm.idx,_xlfn.SEQUENCE(ROWS(_xlpm.codes)),_xlpm.cnd,INDEX(_xlpm.tbl,0,4),_xlpm.sts,INDEX(_xlpm.tbl,0,2),_xlpm.sz,IFERROR(_xlfn.TEXTBEFORE(_xlfn.TEXTAFTER(_xlpm.cnd,"#"),","),IFERROR(_xlfn.TEXTAFTER(_xlpm.cnd,"#"),"")),_xlpm.cm,IFERROR(_xlfn.XLOOKUP(TRIM(_xlpm.sz),Ampacity_Size,Ampacity_CM),0),_xlpm.mult,IF($G124=3,SQRT3,2),_xlpm.kk,IF($BV124="AL",K_Al,K_Cu),_xlpm.vd,IF(_xlpm.cm*IF(ISNUMBER(_xlpm.sts),_xlpm.sts,0)=0,9,_xlpm.mult*_xlpm.kk*$I124*$H124/(_xlpm.cm*_xlpm.sts)/$F124),_xlpm.hasN,--(RIGHT(_xlpm.codes&amp;"",1)="N"),_xlpm.wantN,--(RIGHT($BP124&amp;"",1)="N"),_xlpm.ok,(_xlpm.idx&gt;=_xlpm.i)*(_xlpm.vd&lt;=Cfg_VDFeeder)*(_xlpm.cm&gt;0)*ISNUMBER(_xlpm.sts)*(_xlpm.hasN=_xlpm.wantN),_xlpm.m,MIN(IF(_xlpm.ok=1,_xlpm.idx)),INDEX(_xlpm.codes,IF(_xlpm.m=0,_xlpm.i,_xlpm.m))),""))</f>
        <v/>
      </c>
      <c r="BY124" s="829" t="str" cm="1">
        <f t="array" ref="BY124">IF($BP124="","",IF($BX124="",$BU124,IFERROR(IF($BV124="AL",_xlfn.XLOOKUP($BX124,Std_Al3_Code,INDEX(Std_Al3_Table,0,2)),IF($G124=1,_xlfn.XLOOKUP($BX124,Std_Cu1_Code,INDEX(Std_Cu1_Table,0,2)),_xlfn.XLOOKUP($BX124,Std_Cu3_Code,INDEX(Std_Cu3_Table,0,2)))),"")))</f>
        <v/>
      </c>
      <c r="BZ124" s="829" t="str" cm="1">
        <f t="array" ref="BZ124">IF($BP124="","",IF($BX124="",$BR124,IFERROR(IF($BV124="AL",_xlfn.XLOOKUP($BX124,Std_Al3_Code,INDEX(Std_Al3_Table,0,4)),IF($G124=1,_xlfn.XLOOKUP($BX124,Std_Cu1_Code,INDEX(Std_Cu1_Table,0,4)),_xlfn.XLOOKUP($BX124,Std_Cu3_Code,INDEX(Std_Cu3_Table,0,4)))),"")))</f>
        <v/>
      </c>
      <c r="CA124" s="829" t="str" cm="1">
        <f t="array" ref="CA124">IF($BP124="","",IF($BX124="",$BQ124,IFERROR(IF($BV124="AL",_xlfn.XLOOKUP($BX124,Std_Al3_Code,INDEX(Std_Al3_Table,0,3)),IF($G124=1,_xlfn.XLOOKUP($BX124,Std_Cu1_Code,INDEX(Std_Cu1_Table,0,3)),_xlfn.XLOOKUP($BX124,Std_Cu3_Code,INDEX(Std_Cu3_Table,0,3)))),"")))</f>
        <v/>
      </c>
      <c r="CB124" s="829" t="str" cm="1">
        <f t="array" ref="CB124">IF($BP124="","",IF($BX124="",$BS124,IFERROR(IF($BV124="AL",_xlfn.XLOOKUP($BX124,Std_Al3_Code,INDEX(Std_Al3_Table,0,5)),IF($G124=1,_xlfn.XLOOKUP($BX124,Std_Cu1_Code,INDEX(Std_Cu1_Table,0,5)),_xlfn.XLOOKUP($BX124,Std_Cu3_Code,INDEX(Std_Cu3_Table,0,5)))),"")))</f>
        <v/>
      </c>
      <c r="CC124" s="829" t="str">
        <f t="shared" si="33"/>
        <v/>
      </c>
      <c r="CD124" s="829" t="str">
        <f t="shared" si="34"/>
        <v/>
      </c>
      <c r="CE124" s="829" t="str">
        <f t="shared" si="35"/>
        <v/>
      </c>
      <c r="CF124" s="829" t="str">
        <f t="shared" si="36"/>
        <v/>
      </c>
      <c r="CG124" s="829" t="str">
        <f t="shared" si="37"/>
        <v/>
      </c>
      <c r="CH124" s="829" t="str">
        <f t="shared" si="38"/>
        <v/>
      </c>
      <c r="CI124" s="829" t="str">
        <f t="shared" si="39"/>
        <v/>
      </c>
      <c r="CJ124" s="829" t="str" cm="1">
        <f t="array" ref="CJ124">IF($B124="","",_xlfn.LET(_xlpm.to,$D124&amp;"",_xlpm.em,IFERROR(INDEX(_xlfn.ANCHORARRAY($BE$4),ROW()-4,6),"")="EMERG",_xlpm.pri,AND(NOT(_xlpm.em),LEFT(_xlpm.to,2)="T-",ISNUMBER(MATCH(MID(_xlpm.to,3,99),Equip_List,0)),ISNA(MATCH(_xlpm.to,Equip_List,0))),IF(_xlpm.pri,MID(_xlpm.to,3,99),_xlpm.to)))</f>
        <v/>
      </c>
      <c r="CK124" s="829" t="str" cm="1">
        <f t="array" ref="CK124">IF($CJ124="","",IF(IFERROR(INDEX(_xlfn.ANCHORARRAY($BE$4),ROW()-4,6),"")="EMERG","E",IF($CJ124&lt;&gt;$D124&amp;"","P","N")))</f>
        <v/>
      </c>
    </row>
    <row r="125" spans="1:89" ht="15" customHeight="1" x14ac:dyDescent="0.35">
      <c r="A125" s="821" t="str">
        <f t="shared" si="27"/>
        <v/>
      </c>
      <c r="B125" s="821" t="str" cm="1">
        <f t="array" ref="B125">IFERROR(IF(INDEX(_xlfn.ANCHORARRAY($BE$4),ROW()-4,2)="","","F-"&amp;INDEX(_xlfn.ANCHORARRAY($BE$4),ROW()-4,2)&amp;IF(IFERROR(INDEX(_xlfn.ANCHORARRAY($BE$4),ROW()-4,6),"")="EMERG","-E","")),"")</f>
        <v/>
      </c>
      <c r="C125" s="821" t="str" cm="1">
        <f t="array" ref="C125">IFERROR(IF($B125="","",INDEX(_xlfn.ANCHORARRAY($BE$4),ROW()-4,1)),"")</f>
        <v/>
      </c>
      <c r="D125" s="821" t="str" cm="1">
        <f t="array" ref="D125">IFERROR(IF($B125="","",INDEX(_xlfn.ANCHORARRAY($BE$4),ROW()-4,2)),"")</f>
        <v/>
      </c>
      <c r="E125" s="806" t="str" cm="1">
        <f t="array" ref="E125">IFERROR(IF($B125="","",INDEX(_xlfn.ANCHORARRAY($BE$4),ROW()-4,3)),"")</f>
        <v/>
      </c>
      <c r="F125" s="822" t="str" cm="1">
        <f t="array" ref="F125">IFERROR(IF($B125="","",INDEX(_xlfn.ANCHORARRAY($BE$4),ROW()-4,4)),"")</f>
        <v/>
      </c>
      <c r="G125" s="823" t="str" cm="1">
        <f t="array" ref="G125">IFERROR(IF($B125="","",INDEX(_xlfn.ANCHORARRAY($BE$4),ROW()-4,5)),"")</f>
        <v/>
      </c>
      <c r="H125" s="824" t="str" cm="1">
        <f t="array" ref="H125">IF($CJ125="","",_xlfn.LET(_xlpm.v,_xlfn.XLOOKUP($CJ125,Equip_List,IF($CK125="E",Equip_EmLen,IF($CK125="P",Equip_XfPriLen,Equip_FdrLen)),""),IF(_xlpm.v="","",_xlpm.v)))</f>
        <v/>
      </c>
      <c r="I125" s="806" t="str">
        <f t="shared" si="20"/>
        <v/>
      </c>
      <c r="J125" s="820"/>
      <c r="K125" s="806" t="str">
        <f>_xlfn.LET(_xlpm.k,IF($I125="","",IF(COUNTIF(UPS!$B$57:$B$64,$C125&amp;"")&gt;0,1.25*MAX($I125,N(_xlfn.XLOOKUP($C125&amp;"",UPS!$B$57:$B$64,UPS!$M$57:$M$64,0))),IF(COUNTIF(UPS!$B$57:$B$64,$D125&amp;"")&gt;0,1.25*MAX($I125,N(_xlfn.XLOOKUP($D125&amp;"",UPS!$B$57:$B$64,UPS!$Q$57:$Q$64,0))),$I125*IF(OR(UPPER($J125)="Y",LEFT($C125,2)="T-",LEFT($D125,2)="T-"),1.25,1)))),IF(_xlpm.k="","",MAX(_xlpm.k,N(IFERROR(_xlfn.XLOOKUP($D125&amp;"",Dashboard!$A$101:$A$350,Dashboard!$O$101:$O$350,0),0)))))</f>
        <v/>
      </c>
      <c r="L125" s="825" t="str">
        <f>IF($CJ125="","",_xlfn.LET(_xlpm.v,UPPER(TRIM(_xlfn.XLOOKUP($CJ125,Equip_List,Equip_FdrMat,"")&amp;"")),IF(_xlpm.v="",UPPER(TRIM(Cfg_FeederMat&amp;"")),_xlpm.v)))</f>
        <v/>
      </c>
      <c r="M125" s="825" t="str">
        <f>IF($CJ125="","",_xlfn.LET(_xlpm.v,TRIM(_xlfn.XLOOKUP($CJ125,Equip_List,Equip_FdrRace,"")&amp;""),IF(_xlpm.v="",Cfg_Conduit&amp;"",_xlpm.v)))</f>
        <v/>
      </c>
      <c r="N125" s="825" t="str">
        <f>IF($CJ125="","",IF(UPPER(TRIM(_xlfn.XLOOKUP($CJ125,Equip_List,Equip_FdrExist,"")&amp;""))="Y","Y",""))</f>
        <v/>
      </c>
      <c r="O125" s="823" t="str">
        <f t="shared" si="28"/>
        <v/>
      </c>
      <c r="P125" s="821" t="str">
        <f t="shared" si="29"/>
        <v/>
      </c>
      <c r="Q125" s="821" t="str">
        <f t="shared" si="30"/>
        <v/>
      </c>
      <c r="R125" s="822" t="str" cm="1">
        <f t="array" ref="R125">IF(K125="","",INDEX(OCPD_List,MATCH(TRUE,OCPD_List&gt;=K125,0)))</f>
        <v/>
      </c>
      <c r="S125" s="821" t="str">
        <f t="shared" si="31"/>
        <v/>
      </c>
      <c r="T125" s="826" t="str">
        <f t="shared" si="21"/>
        <v/>
      </c>
      <c r="U125" s="826" t="str">
        <f t="shared" si="22"/>
        <v/>
      </c>
      <c r="V125" s="827" t="str">
        <f t="shared" si="23"/>
        <v/>
      </c>
      <c r="W125" s="828"/>
      <c r="X125" s="819"/>
      <c r="Y125" s="820"/>
      <c r="Z125" s="820"/>
      <c r="AA125" s="820"/>
      <c r="BN125" s="832" t="str">
        <f>IF($B125="","",IFERROR(_xlfn.XLOOKUP($D125,Dashboard!$A$101:$A$350,Dashboard!$C$101:$C$350),""))</f>
        <v/>
      </c>
      <c r="BO125" s="832" t="str">
        <f t="shared" si="24"/>
        <v/>
      </c>
      <c r="BP125" s="832" t="str" cm="1">
        <f t="array" ref="BP125">IF(OR($B125="",$R125="",NOT(ISNUMBER($R125))),"",IF(AND($BV125="AL",$G125=1),"",_xlfn.LET(_xlpm.codes,IF($BV125="AL",Std_Al3_Code,IF($G125=1,Std_Cu1_Code,Std_Cu3_Code)),_xlpm.amps,IFERROR(--SUBSTITUTE(_xlpm.codes&amp;"","N",""),""),_xlpm.a,MIN(IF(ISNUMBER(_xlpm.amps),IF(_xlpm.amps&gt;=$R125,_xlpm.amps,""),"")),_xlpm.k,IF(_xlpm.a=0,$R125,_xlpm.a),IF($BO125="Y",TEXT(_xlpm.k,"0")&amp;"N",_xlpm.k))))</f>
        <v/>
      </c>
      <c r="BQ125" s="832" t="str" cm="1">
        <f t="array" ref="BQ125">IF($BP125="","",IFERROR(IF($BV125="AL",_xlfn.XLOOKUP($BP125,Std_Al3_Code,INDEX(Std_Al3_Table,0,3)),IF($G125=1,_xlfn.XLOOKUP($BP125,Std_Cu1_Code,INDEX(Std_Cu1_Table,0,3)),_xlfn.XLOOKUP($BP125,Std_Cu3_Code,INDEX(Std_Cu3_Table,0,3)))),""))</f>
        <v/>
      </c>
      <c r="BR125" s="832" t="str" cm="1">
        <f t="array" ref="BR125">IF($BP125="","",IFERROR(IF($BV125="AL",_xlfn.XLOOKUP($BP125,Std_Al3_Code,INDEX(Std_Al3_Table,0,4)),IF($G125=1,_xlfn.XLOOKUP($BP125,Std_Cu1_Code,INDEX(Std_Cu1_Table,0,4)),_xlfn.XLOOKUP($BP125,Std_Cu3_Code,INDEX(Std_Cu3_Table,0,4)))),""))</f>
        <v/>
      </c>
      <c r="BS125" s="832" t="str" cm="1">
        <f t="array" ref="BS125">IF($BP125="","",IFERROR(IF($BV125="AL",_xlfn.XLOOKUP($BP125,Std_Al3_Code,INDEX(Std_Al3_Table,0,5)),IF($G125=1,_xlfn.XLOOKUP($BP125,Std_Cu1_Code,INDEX(Std_Cu1_Table,0,5)),_xlfn.XLOOKUP($BP125,Std_Cu3_Code,INDEX(Std_Cu3_Table,0,5)))),""))</f>
        <v/>
      </c>
      <c r="BT125" s="832" t="str">
        <f t="shared" si="25"/>
        <v/>
      </c>
      <c r="BU125" s="832" t="str" cm="1">
        <f t="array" ref="BU125">IF($BP125="","",IFERROR(IF($BV125="AL",_xlfn.XLOOKUP($BP125,Std_Al3_Code,INDEX(Std_Al3_Table,0,2)),IF($G125=1,_xlfn.XLOOKUP($BP125,Std_Cu1_Code,INDEX(Std_Cu1_Table,0,2)),_xlfn.XLOOKUP($BP125,Std_Cu3_Code,INDEX(Std_Cu3_Table,0,2)))),""))</f>
        <v/>
      </c>
      <c r="BV125" s="829" t="str">
        <f t="shared" si="26"/>
        <v/>
      </c>
      <c r="BW125" s="829" t="str">
        <f t="shared" si="32"/>
        <v/>
      </c>
      <c r="BX125" s="829" t="str" cm="1">
        <f t="array" ref="BX125">IF(OR($BP125="",$H125="",$I125="",$F125="",$BW125=""),"",IFERROR(_xlfn.LET(_xlpm.codes,IF($BV125="AL",Std_Al3_Code,IF($G125=1,Std_Cu1_Code,Std_Cu3_Code)),_xlpm.tbl,IF($BV125="AL",Std_Al3_Table,IF($G125=1,Std_Cu1_Table,Std_Cu3_Table)),_xlpm.i,MATCH($BP125,_xlpm.codes,0),_xlpm.idx,_xlfn.SEQUENCE(ROWS(_xlpm.codes)),_xlpm.cnd,INDEX(_xlpm.tbl,0,4),_xlpm.sts,INDEX(_xlpm.tbl,0,2),_xlpm.sz,IFERROR(_xlfn.TEXTBEFORE(_xlfn.TEXTAFTER(_xlpm.cnd,"#"),","),IFERROR(_xlfn.TEXTAFTER(_xlpm.cnd,"#"),"")),_xlpm.cm,IFERROR(_xlfn.XLOOKUP(TRIM(_xlpm.sz),Ampacity_Size,Ampacity_CM),0),_xlpm.mult,IF($G125=3,SQRT3,2),_xlpm.kk,IF($BV125="AL",K_Al,K_Cu),_xlpm.vd,IF(_xlpm.cm*IF(ISNUMBER(_xlpm.sts),_xlpm.sts,0)=0,9,_xlpm.mult*_xlpm.kk*$I125*$H125/(_xlpm.cm*_xlpm.sts)/$F125),_xlpm.hasN,--(RIGHT(_xlpm.codes&amp;"",1)="N"),_xlpm.wantN,--(RIGHT($BP125&amp;"",1)="N"),_xlpm.ok,(_xlpm.idx&gt;=_xlpm.i)*(_xlpm.vd&lt;=Cfg_VDFeeder)*(_xlpm.cm&gt;0)*ISNUMBER(_xlpm.sts)*(_xlpm.hasN=_xlpm.wantN),_xlpm.m,MIN(IF(_xlpm.ok=1,_xlpm.idx)),INDEX(_xlpm.codes,IF(_xlpm.m=0,_xlpm.i,_xlpm.m))),""))</f>
        <v/>
      </c>
      <c r="BY125" s="829" t="str" cm="1">
        <f t="array" ref="BY125">IF($BP125="","",IF($BX125="",$BU125,IFERROR(IF($BV125="AL",_xlfn.XLOOKUP($BX125,Std_Al3_Code,INDEX(Std_Al3_Table,0,2)),IF($G125=1,_xlfn.XLOOKUP($BX125,Std_Cu1_Code,INDEX(Std_Cu1_Table,0,2)),_xlfn.XLOOKUP($BX125,Std_Cu3_Code,INDEX(Std_Cu3_Table,0,2)))),"")))</f>
        <v/>
      </c>
      <c r="BZ125" s="829" t="str" cm="1">
        <f t="array" ref="BZ125">IF($BP125="","",IF($BX125="",$BR125,IFERROR(IF($BV125="AL",_xlfn.XLOOKUP($BX125,Std_Al3_Code,INDEX(Std_Al3_Table,0,4)),IF($G125=1,_xlfn.XLOOKUP($BX125,Std_Cu1_Code,INDEX(Std_Cu1_Table,0,4)),_xlfn.XLOOKUP($BX125,Std_Cu3_Code,INDEX(Std_Cu3_Table,0,4)))),"")))</f>
        <v/>
      </c>
      <c r="CA125" s="829" t="str" cm="1">
        <f t="array" ref="CA125">IF($BP125="","",IF($BX125="",$BQ125,IFERROR(IF($BV125="AL",_xlfn.XLOOKUP($BX125,Std_Al3_Code,INDEX(Std_Al3_Table,0,3)),IF($G125=1,_xlfn.XLOOKUP($BX125,Std_Cu1_Code,INDEX(Std_Cu1_Table,0,3)),_xlfn.XLOOKUP($BX125,Std_Cu3_Code,INDEX(Std_Cu3_Table,0,3)))),"")))</f>
        <v/>
      </c>
      <c r="CB125" s="829" t="str" cm="1">
        <f t="array" ref="CB125">IF($BP125="","",IF($BX125="",$BS125,IFERROR(IF($BV125="AL",_xlfn.XLOOKUP($BX125,Std_Al3_Code,INDEX(Std_Al3_Table,0,5)),IF($G125=1,_xlfn.XLOOKUP($BX125,Std_Cu1_Code,INDEX(Std_Cu1_Table,0,5)),_xlfn.XLOOKUP($BX125,Std_Cu3_Code,INDEX(Std_Cu3_Table,0,5)))),"")))</f>
        <v/>
      </c>
      <c r="CC125" s="829" t="str">
        <f t="shared" si="33"/>
        <v/>
      </c>
      <c r="CD125" s="829" t="str">
        <f t="shared" si="34"/>
        <v/>
      </c>
      <c r="CE125" s="829" t="str">
        <f t="shared" si="35"/>
        <v/>
      </c>
      <c r="CF125" s="829" t="str">
        <f t="shared" si="36"/>
        <v/>
      </c>
      <c r="CG125" s="829" t="str">
        <f t="shared" si="37"/>
        <v/>
      </c>
      <c r="CH125" s="829" t="str">
        <f t="shared" si="38"/>
        <v/>
      </c>
      <c r="CI125" s="829" t="str">
        <f t="shared" si="39"/>
        <v/>
      </c>
      <c r="CJ125" s="829" t="str" cm="1">
        <f t="array" ref="CJ125">IF($B125="","",_xlfn.LET(_xlpm.to,$D125&amp;"",_xlpm.em,IFERROR(INDEX(_xlfn.ANCHORARRAY($BE$4),ROW()-4,6),"")="EMERG",_xlpm.pri,AND(NOT(_xlpm.em),LEFT(_xlpm.to,2)="T-",ISNUMBER(MATCH(MID(_xlpm.to,3,99),Equip_List,0)),ISNA(MATCH(_xlpm.to,Equip_List,0))),IF(_xlpm.pri,MID(_xlpm.to,3,99),_xlpm.to)))</f>
        <v/>
      </c>
      <c r="CK125" s="829" t="str" cm="1">
        <f t="array" ref="CK125">IF($CJ125="","",IF(IFERROR(INDEX(_xlfn.ANCHORARRAY($BE$4),ROW()-4,6),"")="EMERG","E",IF($CJ125&lt;&gt;$D125&amp;"","P","N")))</f>
        <v/>
      </c>
    </row>
    <row r="126" spans="1:89" ht="15" customHeight="1" x14ac:dyDescent="0.35">
      <c r="A126" s="821" t="str">
        <f t="shared" si="27"/>
        <v/>
      </c>
      <c r="B126" s="821" t="str" cm="1">
        <f t="array" ref="B126">IFERROR(IF(INDEX(_xlfn.ANCHORARRAY($BE$4),ROW()-4,2)="","","F-"&amp;INDEX(_xlfn.ANCHORARRAY($BE$4),ROW()-4,2)&amp;IF(IFERROR(INDEX(_xlfn.ANCHORARRAY($BE$4),ROW()-4,6),"")="EMERG","-E","")),"")</f>
        <v/>
      </c>
      <c r="C126" s="821" t="str" cm="1">
        <f t="array" ref="C126">IFERROR(IF($B126="","",INDEX(_xlfn.ANCHORARRAY($BE$4),ROW()-4,1)),"")</f>
        <v/>
      </c>
      <c r="D126" s="821" t="str" cm="1">
        <f t="array" ref="D126">IFERROR(IF($B126="","",INDEX(_xlfn.ANCHORARRAY($BE$4),ROW()-4,2)),"")</f>
        <v/>
      </c>
      <c r="E126" s="806" t="str" cm="1">
        <f t="array" ref="E126">IFERROR(IF($B126="","",INDEX(_xlfn.ANCHORARRAY($BE$4),ROW()-4,3)),"")</f>
        <v/>
      </c>
      <c r="F126" s="822" t="str" cm="1">
        <f t="array" ref="F126">IFERROR(IF($B126="","",INDEX(_xlfn.ANCHORARRAY($BE$4),ROW()-4,4)),"")</f>
        <v/>
      </c>
      <c r="G126" s="823" t="str" cm="1">
        <f t="array" ref="G126">IFERROR(IF($B126="","",INDEX(_xlfn.ANCHORARRAY($BE$4),ROW()-4,5)),"")</f>
        <v/>
      </c>
      <c r="H126" s="824" t="str" cm="1">
        <f t="array" ref="H126">IF($CJ126="","",_xlfn.LET(_xlpm.v,_xlfn.XLOOKUP($CJ126,Equip_List,IF($CK126="E",Equip_EmLen,IF($CK126="P",Equip_XfPriLen,Equip_FdrLen)),""),IF(_xlpm.v="","",_xlpm.v)))</f>
        <v/>
      </c>
      <c r="I126" s="806" t="str">
        <f t="shared" si="20"/>
        <v/>
      </c>
      <c r="J126" s="820"/>
      <c r="K126" s="806" t="str">
        <f>_xlfn.LET(_xlpm.k,IF($I126="","",IF(COUNTIF(UPS!$B$57:$B$64,$C126&amp;"")&gt;0,1.25*MAX($I126,N(_xlfn.XLOOKUP($C126&amp;"",UPS!$B$57:$B$64,UPS!$M$57:$M$64,0))),IF(COUNTIF(UPS!$B$57:$B$64,$D126&amp;"")&gt;0,1.25*MAX($I126,N(_xlfn.XLOOKUP($D126&amp;"",UPS!$B$57:$B$64,UPS!$Q$57:$Q$64,0))),$I126*IF(OR(UPPER($J126)="Y",LEFT($C126,2)="T-",LEFT($D126,2)="T-"),1.25,1)))),IF(_xlpm.k="","",MAX(_xlpm.k,N(IFERROR(_xlfn.XLOOKUP($D126&amp;"",Dashboard!$A$101:$A$350,Dashboard!$O$101:$O$350,0),0)))))</f>
        <v/>
      </c>
      <c r="L126" s="825" t="str">
        <f>IF($CJ126="","",_xlfn.LET(_xlpm.v,UPPER(TRIM(_xlfn.XLOOKUP($CJ126,Equip_List,Equip_FdrMat,"")&amp;"")),IF(_xlpm.v="",UPPER(TRIM(Cfg_FeederMat&amp;"")),_xlpm.v)))</f>
        <v/>
      </c>
      <c r="M126" s="825" t="str">
        <f>IF($CJ126="","",_xlfn.LET(_xlpm.v,TRIM(_xlfn.XLOOKUP($CJ126,Equip_List,Equip_FdrRace,"")&amp;""),IF(_xlpm.v="",Cfg_Conduit&amp;"",_xlpm.v)))</f>
        <v/>
      </c>
      <c r="N126" s="825" t="str">
        <f>IF($CJ126="","",IF(UPPER(TRIM(_xlfn.XLOOKUP($CJ126,Equip_List,Equip_FdrExist,"")&amp;""))="Y","Y",""))</f>
        <v/>
      </c>
      <c r="O126" s="823" t="str">
        <f t="shared" si="28"/>
        <v/>
      </c>
      <c r="P126" s="821" t="str">
        <f t="shared" si="29"/>
        <v/>
      </c>
      <c r="Q126" s="821" t="str">
        <f t="shared" si="30"/>
        <v/>
      </c>
      <c r="R126" s="822" t="str" cm="1">
        <f t="array" ref="R126">IF(K126="","",INDEX(OCPD_List,MATCH(TRUE,OCPD_List&gt;=K126,0)))</f>
        <v/>
      </c>
      <c r="S126" s="821" t="str">
        <f t="shared" si="31"/>
        <v/>
      </c>
      <c r="T126" s="826" t="str">
        <f t="shared" si="21"/>
        <v/>
      </c>
      <c r="U126" s="826" t="str">
        <f t="shared" si="22"/>
        <v/>
      </c>
      <c r="V126" s="827" t="str">
        <f t="shared" si="23"/>
        <v/>
      </c>
      <c r="W126" s="828"/>
      <c r="X126" s="819"/>
      <c r="Y126" s="820"/>
      <c r="Z126" s="820"/>
      <c r="AA126" s="820"/>
      <c r="BN126" s="832" t="str">
        <f>IF($B126="","",IFERROR(_xlfn.XLOOKUP($D126,Dashboard!$A$101:$A$350,Dashboard!$C$101:$C$350),""))</f>
        <v/>
      </c>
      <c r="BO126" s="832" t="str">
        <f t="shared" si="24"/>
        <v/>
      </c>
      <c r="BP126" s="832" t="str" cm="1">
        <f t="array" ref="BP126">IF(OR($B126="",$R126="",NOT(ISNUMBER($R126))),"",IF(AND($BV126="AL",$G126=1),"",_xlfn.LET(_xlpm.codes,IF($BV126="AL",Std_Al3_Code,IF($G126=1,Std_Cu1_Code,Std_Cu3_Code)),_xlpm.amps,IFERROR(--SUBSTITUTE(_xlpm.codes&amp;"","N",""),""),_xlpm.a,MIN(IF(ISNUMBER(_xlpm.amps),IF(_xlpm.amps&gt;=$R126,_xlpm.amps,""),"")),_xlpm.k,IF(_xlpm.a=0,$R126,_xlpm.a),IF($BO126="Y",TEXT(_xlpm.k,"0")&amp;"N",_xlpm.k))))</f>
        <v/>
      </c>
      <c r="BQ126" s="832" t="str" cm="1">
        <f t="array" ref="BQ126">IF($BP126="","",IFERROR(IF($BV126="AL",_xlfn.XLOOKUP($BP126,Std_Al3_Code,INDEX(Std_Al3_Table,0,3)),IF($G126=1,_xlfn.XLOOKUP($BP126,Std_Cu1_Code,INDEX(Std_Cu1_Table,0,3)),_xlfn.XLOOKUP($BP126,Std_Cu3_Code,INDEX(Std_Cu3_Table,0,3)))),""))</f>
        <v/>
      </c>
      <c r="BR126" s="832" t="str" cm="1">
        <f t="array" ref="BR126">IF($BP126="","",IFERROR(IF($BV126="AL",_xlfn.XLOOKUP($BP126,Std_Al3_Code,INDEX(Std_Al3_Table,0,4)),IF($G126=1,_xlfn.XLOOKUP($BP126,Std_Cu1_Code,INDEX(Std_Cu1_Table,0,4)),_xlfn.XLOOKUP($BP126,Std_Cu3_Code,INDEX(Std_Cu3_Table,0,4)))),""))</f>
        <v/>
      </c>
      <c r="BS126" s="832" t="str" cm="1">
        <f t="array" ref="BS126">IF($BP126="","",IFERROR(IF($BV126="AL",_xlfn.XLOOKUP($BP126,Std_Al3_Code,INDEX(Std_Al3_Table,0,5)),IF($G126=1,_xlfn.XLOOKUP($BP126,Std_Cu1_Code,INDEX(Std_Cu1_Table,0,5)),_xlfn.XLOOKUP($BP126,Std_Cu3_Code,INDEX(Std_Cu3_Table,0,5)))),""))</f>
        <v/>
      </c>
      <c r="BT126" s="832" t="str">
        <f t="shared" si="25"/>
        <v/>
      </c>
      <c r="BU126" s="832" t="str" cm="1">
        <f t="array" ref="BU126">IF($BP126="","",IFERROR(IF($BV126="AL",_xlfn.XLOOKUP($BP126,Std_Al3_Code,INDEX(Std_Al3_Table,0,2)),IF($G126=1,_xlfn.XLOOKUP($BP126,Std_Cu1_Code,INDEX(Std_Cu1_Table,0,2)),_xlfn.XLOOKUP($BP126,Std_Cu3_Code,INDEX(Std_Cu3_Table,0,2)))),""))</f>
        <v/>
      </c>
      <c r="BV126" s="829" t="str">
        <f t="shared" si="26"/>
        <v/>
      </c>
      <c r="BW126" s="829" t="str">
        <f t="shared" si="32"/>
        <v/>
      </c>
      <c r="BX126" s="829" t="str" cm="1">
        <f t="array" ref="BX126">IF(OR($BP126="",$H126="",$I126="",$F126="",$BW126=""),"",IFERROR(_xlfn.LET(_xlpm.codes,IF($BV126="AL",Std_Al3_Code,IF($G126=1,Std_Cu1_Code,Std_Cu3_Code)),_xlpm.tbl,IF($BV126="AL",Std_Al3_Table,IF($G126=1,Std_Cu1_Table,Std_Cu3_Table)),_xlpm.i,MATCH($BP126,_xlpm.codes,0),_xlpm.idx,_xlfn.SEQUENCE(ROWS(_xlpm.codes)),_xlpm.cnd,INDEX(_xlpm.tbl,0,4),_xlpm.sts,INDEX(_xlpm.tbl,0,2),_xlpm.sz,IFERROR(_xlfn.TEXTBEFORE(_xlfn.TEXTAFTER(_xlpm.cnd,"#"),","),IFERROR(_xlfn.TEXTAFTER(_xlpm.cnd,"#"),"")),_xlpm.cm,IFERROR(_xlfn.XLOOKUP(TRIM(_xlpm.sz),Ampacity_Size,Ampacity_CM),0),_xlpm.mult,IF($G126=3,SQRT3,2),_xlpm.kk,IF($BV126="AL",K_Al,K_Cu),_xlpm.vd,IF(_xlpm.cm*IF(ISNUMBER(_xlpm.sts),_xlpm.sts,0)=0,9,_xlpm.mult*_xlpm.kk*$I126*$H126/(_xlpm.cm*_xlpm.sts)/$F126),_xlpm.hasN,--(RIGHT(_xlpm.codes&amp;"",1)="N"),_xlpm.wantN,--(RIGHT($BP126&amp;"",1)="N"),_xlpm.ok,(_xlpm.idx&gt;=_xlpm.i)*(_xlpm.vd&lt;=Cfg_VDFeeder)*(_xlpm.cm&gt;0)*ISNUMBER(_xlpm.sts)*(_xlpm.hasN=_xlpm.wantN),_xlpm.m,MIN(IF(_xlpm.ok=1,_xlpm.idx)),INDEX(_xlpm.codes,IF(_xlpm.m=0,_xlpm.i,_xlpm.m))),""))</f>
        <v/>
      </c>
      <c r="BY126" s="829" t="str" cm="1">
        <f t="array" ref="BY126">IF($BP126="","",IF($BX126="",$BU126,IFERROR(IF($BV126="AL",_xlfn.XLOOKUP($BX126,Std_Al3_Code,INDEX(Std_Al3_Table,0,2)),IF($G126=1,_xlfn.XLOOKUP($BX126,Std_Cu1_Code,INDEX(Std_Cu1_Table,0,2)),_xlfn.XLOOKUP($BX126,Std_Cu3_Code,INDEX(Std_Cu3_Table,0,2)))),"")))</f>
        <v/>
      </c>
      <c r="BZ126" s="829" t="str" cm="1">
        <f t="array" ref="BZ126">IF($BP126="","",IF($BX126="",$BR126,IFERROR(IF($BV126="AL",_xlfn.XLOOKUP($BX126,Std_Al3_Code,INDEX(Std_Al3_Table,0,4)),IF($G126=1,_xlfn.XLOOKUP($BX126,Std_Cu1_Code,INDEX(Std_Cu1_Table,0,4)),_xlfn.XLOOKUP($BX126,Std_Cu3_Code,INDEX(Std_Cu3_Table,0,4)))),"")))</f>
        <v/>
      </c>
      <c r="CA126" s="829" t="str" cm="1">
        <f t="array" ref="CA126">IF($BP126="","",IF($BX126="",$BQ126,IFERROR(IF($BV126="AL",_xlfn.XLOOKUP($BX126,Std_Al3_Code,INDEX(Std_Al3_Table,0,3)),IF($G126=1,_xlfn.XLOOKUP($BX126,Std_Cu1_Code,INDEX(Std_Cu1_Table,0,3)),_xlfn.XLOOKUP($BX126,Std_Cu3_Code,INDEX(Std_Cu3_Table,0,3)))),"")))</f>
        <v/>
      </c>
      <c r="CB126" s="829" t="str" cm="1">
        <f t="array" ref="CB126">IF($BP126="","",IF($BX126="",$BS126,IFERROR(IF($BV126="AL",_xlfn.XLOOKUP($BX126,Std_Al3_Code,INDEX(Std_Al3_Table,0,5)),IF($G126=1,_xlfn.XLOOKUP($BX126,Std_Cu1_Code,INDEX(Std_Cu1_Table,0,5)),_xlfn.XLOOKUP($BX126,Std_Cu3_Code,INDEX(Std_Cu3_Table,0,5)))),"")))</f>
        <v/>
      </c>
      <c r="CC126" s="829" t="str">
        <f t="shared" si="33"/>
        <v/>
      </c>
      <c r="CD126" s="829" t="str">
        <f t="shared" si="34"/>
        <v/>
      </c>
      <c r="CE126" s="829" t="str">
        <f t="shared" si="35"/>
        <v/>
      </c>
      <c r="CF126" s="829" t="str">
        <f t="shared" si="36"/>
        <v/>
      </c>
      <c r="CG126" s="829" t="str">
        <f t="shared" si="37"/>
        <v/>
      </c>
      <c r="CH126" s="829" t="str">
        <f t="shared" si="38"/>
        <v/>
      </c>
      <c r="CI126" s="829" t="str">
        <f t="shared" si="39"/>
        <v/>
      </c>
      <c r="CJ126" s="829" t="str" cm="1">
        <f t="array" ref="CJ126">IF($B126="","",_xlfn.LET(_xlpm.to,$D126&amp;"",_xlpm.em,IFERROR(INDEX(_xlfn.ANCHORARRAY($BE$4),ROW()-4,6),"")="EMERG",_xlpm.pri,AND(NOT(_xlpm.em),LEFT(_xlpm.to,2)="T-",ISNUMBER(MATCH(MID(_xlpm.to,3,99),Equip_List,0)),ISNA(MATCH(_xlpm.to,Equip_List,0))),IF(_xlpm.pri,MID(_xlpm.to,3,99),_xlpm.to)))</f>
        <v/>
      </c>
      <c r="CK126" s="829" t="str" cm="1">
        <f t="array" ref="CK126">IF($CJ126="","",IF(IFERROR(INDEX(_xlfn.ANCHORARRAY($BE$4),ROW()-4,6),"")="EMERG","E",IF($CJ126&lt;&gt;$D126&amp;"","P","N")))</f>
        <v/>
      </c>
    </row>
    <row r="127" spans="1:89" ht="15" customHeight="1" x14ac:dyDescent="0.35">
      <c r="A127" s="821" t="str">
        <f t="shared" si="27"/>
        <v/>
      </c>
      <c r="B127" s="821" t="str" cm="1">
        <f t="array" ref="B127">IFERROR(IF(INDEX(_xlfn.ANCHORARRAY($BE$4),ROW()-4,2)="","","F-"&amp;INDEX(_xlfn.ANCHORARRAY($BE$4),ROW()-4,2)&amp;IF(IFERROR(INDEX(_xlfn.ANCHORARRAY($BE$4),ROW()-4,6),"")="EMERG","-E","")),"")</f>
        <v/>
      </c>
      <c r="C127" s="821" t="str" cm="1">
        <f t="array" ref="C127">IFERROR(IF($B127="","",INDEX(_xlfn.ANCHORARRAY($BE$4),ROW()-4,1)),"")</f>
        <v/>
      </c>
      <c r="D127" s="821" t="str" cm="1">
        <f t="array" ref="D127">IFERROR(IF($B127="","",INDEX(_xlfn.ANCHORARRAY($BE$4),ROW()-4,2)),"")</f>
        <v/>
      </c>
      <c r="E127" s="806" t="str" cm="1">
        <f t="array" ref="E127">IFERROR(IF($B127="","",INDEX(_xlfn.ANCHORARRAY($BE$4),ROW()-4,3)),"")</f>
        <v/>
      </c>
      <c r="F127" s="822" t="str" cm="1">
        <f t="array" ref="F127">IFERROR(IF($B127="","",INDEX(_xlfn.ANCHORARRAY($BE$4),ROW()-4,4)),"")</f>
        <v/>
      </c>
      <c r="G127" s="823" t="str" cm="1">
        <f t="array" ref="G127">IFERROR(IF($B127="","",INDEX(_xlfn.ANCHORARRAY($BE$4),ROW()-4,5)),"")</f>
        <v/>
      </c>
      <c r="H127" s="824" t="str" cm="1">
        <f t="array" ref="H127">IF($CJ127="","",_xlfn.LET(_xlpm.v,_xlfn.XLOOKUP($CJ127,Equip_List,IF($CK127="E",Equip_EmLen,IF($CK127="P",Equip_XfPriLen,Equip_FdrLen)),""),IF(_xlpm.v="","",_xlpm.v)))</f>
        <v/>
      </c>
      <c r="I127" s="806" t="str">
        <f t="shared" si="20"/>
        <v/>
      </c>
      <c r="J127" s="820"/>
      <c r="K127" s="806" t="str">
        <f>_xlfn.LET(_xlpm.k,IF($I127="","",IF(COUNTIF(UPS!$B$57:$B$64,$C127&amp;"")&gt;0,1.25*MAX($I127,N(_xlfn.XLOOKUP($C127&amp;"",UPS!$B$57:$B$64,UPS!$M$57:$M$64,0))),IF(COUNTIF(UPS!$B$57:$B$64,$D127&amp;"")&gt;0,1.25*MAX($I127,N(_xlfn.XLOOKUP($D127&amp;"",UPS!$B$57:$B$64,UPS!$Q$57:$Q$64,0))),$I127*IF(OR(UPPER($J127)="Y",LEFT($C127,2)="T-",LEFT($D127,2)="T-"),1.25,1)))),IF(_xlpm.k="","",MAX(_xlpm.k,N(IFERROR(_xlfn.XLOOKUP($D127&amp;"",Dashboard!$A$101:$A$350,Dashboard!$O$101:$O$350,0),0)))))</f>
        <v/>
      </c>
      <c r="L127" s="825" t="str">
        <f>IF($CJ127="","",_xlfn.LET(_xlpm.v,UPPER(TRIM(_xlfn.XLOOKUP($CJ127,Equip_List,Equip_FdrMat,"")&amp;"")),IF(_xlpm.v="",UPPER(TRIM(Cfg_FeederMat&amp;"")),_xlpm.v)))</f>
        <v/>
      </c>
      <c r="M127" s="825" t="str">
        <f>IF($CJ127="","",_xlfn.LET(_xlpm.v,TRIM(_xlfn.XLOOKUP($CJ127,Equip_List,Equip_FdrRace,"")&amp;""),IF(_xlpm.v="",Cfg_Conduit&amp;"",_xlpm.v)))</f>
        <v/>
      </c>
      <c r="N127" s="825" t="str">
        <f>IF($CJ127="","",IF(UPPER(TRIM(_xlfn.XLOOKUP($CJ127,Equip_List,Equip_FdrExist,"")&amp;""))="Y","Y",""))</f>
        <v/>
      </c>
      <c r="O127" s="823" t="str">
        <f t="shared" si="28"/>
        <v/>
      </c>
      <c r="P127" s="821" t="str">
        <f t="shared" si="29"/>
        <v/>
      </c>
      <c r="Q127" s="821" t="str">
        <f t="shared" si="30"/>
        <v/>
      </c>
      <c r="R127" s="822" t="str" cm="1">
        <f t="array" ref="R127">IF(K127="","",INDEX(OCPD_List,MATCH(TRUE,OCPD_List&gt;=K127,0)))</f>
        <v/>
      </c>
      <c r="S127" s="821" t="str">
        <f t="shared" si="31"/>
        <v/>
      </c>
      <c r="T127" s="826" t="str">
        <f t="shared" si="21"/>
        <v/>
      </c>
      <c r="U127" s="826" t="str">
        <f t="shared" si="22"/>
        <v/>
      </c>
      <c r="V127" s="827" t="str">
        <f t="shared" si="23"/>
        <v/>
      </c>
      <c r="W127" s="828"/>
      <c r="X127" s="819"/>
      <c r="Y127" s="820"/>
      <c r="Z127" s="820"/>
      <c r="AA127" s="820"/>
      <c r="BN127" s="832" t="str">
        <f>IF($B127="","",IFERROR(_xlfn.XLOOKUP($D127,Dashboard!$A$101:$A$350,Dashboard!$C$101:$C$350),""))</f>
        <v/>
      </c>
      <c r="BO127" s="832" t="str">
        <f t="shared" si="24"/>
        <v/>
      </c>
      <c r="BP127" s="832" t="str" cm="1">
        <f t="array" ref="BP127">IF(OR($B127="",$R127="",NOT(ISNUMBER($R127))),"",IF(AND($BV127="AL",$G127=1),"",_xlfn.LET(_xlpm.codes,IF($BV127="AL",Std_Al3_Code,IF($G127=1,Std_Cu1_Code,Std_Cu3_Code)),_xlpm.amps,IFERROR(--SUBSTITUTE(_xlpm.codes&amp;"","N",""),""),_xlpm.a,MIN(IF(ISNUMBER(_xlpm.amps),IF(_xlpm.amps&gt;=$R127,_xlpm.amps,""),"")),_xlpm.k,IF(_xlpm.a=0,$R127,_xlpm.a),IF($BO127="Y",TEXT(_xlpm.k,"0")&amp;"N",_xlpm.k))))</f>
        <v/>
      </c>
      <c r="BQ127" s="832" t="str" cm="1">
        <f t="array" ref="BQ127">IF($BP127="","",IFERROR(IF($BV127="AL",_xlfn.XLOOKUP($BP127,Std_Al3_Code,INDEX(Std_Al3_Table,0,3)),IF($G127=1,_xlfn.XLOOKUP($BP127,Std_Cu1_Code,INDEX(Std_Cu1_Table,0,3)),_xlfn.XLOOKUP($BP127,Std_Cu3_Code,INDEX(Std_Cu3_Table,0,3)))),""))</f>
        <v/>
      </c>
      <c r="BR127" s="832" t="str" cm="1">
        <f t="array" ref="BR127">IF($BP127="","",IFERROR(IF($BV127="AL",_xlfn.XLOOKUP($BP127,Std_Al3_Code,INDEX(Std_Al3_Table,0,4)),IF($G127=1,_xlfn.XLOOKUP($BP127,Std_Cu1_Code,INDEX(Std_Cu1_Table,0,4)),_xlfn.XLOOKUP($BP127,Std_Cu3_Code,INDEX(Std_Cu3_Table,0,4)))),""))</f>
        <v/>
      </c>
      <c r="BS127" s="832" t="str" cm="1">
        <f t="array" ref="BS127">IF($BP127="","",IFERROR(IF($BV127="AL",_xlfn.XLOOKUP($BP127,Std_Al3_Code,INDEX(Std_Al3_Table,0,5)),IF($G127=1,_xlfn.XLOOKUP($BP127,Std_Cu1_Code,INDEX(Std_Cu1_Table,0,5)),_xlfn.XLOOKUP($BP127,Std_Cu3_Code,INDEX(Std_Cu3_Table,0,5)))),""))</f>
        <v/>
      </c>
      <c r="BT127" s="832" t="str">
        <f t="shared" si="25"/>
        <v/>
      </c>
      <c r="BU127" s="832" t="str" cm="1">
        <f t="array" ref="BU127">IF($BP127="","",IFERROR(IF($BV127="AL",_xlfn.XLOOKUP($BP127,Std_Al3_Code,INDEX(Std_Al3_Table,0,2)),IF($G127=1,_xlfn.XLOOKUP($BP127,Std_Cu1_Code,INDEX(Std_Cu1_Table,0,2)),_xlfn.XLOOKUP($BP127,Std_Cu3_Code,INDEX(Std_Cu3_Table,0,2)))),""))</f>
        <v/>
      </c>
      <c r="BV127" s="829" t="str">
        <f t="shared" si="26"/>
        <v/>
      </c>
      <c r="BW127" s="829" t="str">
        <f t="shared" si="32"/>
        <v/>
      </c>
      <c r="BX127" s="829" t="str" cm="1">
        <f t="array" ref="BX127">IF(OR($BP127="",$H127="",$I127="",$F127="",$BW127=""),"",IFERROR(_xlfn.LET(_xlpm.codes,IF($BV127="AL",Std_Al3_Code,IF($G127=1,Std_Cu1_Code,Std_Cu3_Code)),_xlpm.tbl,IF($BV127="AL",Std_Al3_Table,IF($G127=1,Std_Cu1_Table,Std_Cu3_Table)),_xlpm.i,MATCH($BP127,_xlpm.codes,0),_xlpm.idx,_xlfn.SEQUENCE(ROWS(_xlpm.codes)),_xlpm.cnd,INDEX(_xlpm.tbl,0,4),_xlpm.sts,INDEX(_xlpm.tbl,0,2),_xlpm.sz,IFERROR(_xlfn.TEXTBEFORE(_xlfn.TEXTAFTER(_xlpm.cnd,"#"),","),IFERROR(_xlfn.TEXTAFTER(_xlpm.cnd,"#"),"")),_xlpm.cm,IFERROR(_xlfn.XLOOKUP(TRIM(_xlpm.sz),Ampacity_Size,Ampacity_CM),0),_xlpm.mult,IF($G127=3,SQRT3,2),_xlpm.kk,IF($BV127="AL",K_Al,K_Cu),_xlpm.vd,IF(_xlpm.cm*IF(ISNUMBER(_xlpm.sts),_xlpm.sts,0)=0,9,_xlpm.mult*_xlpm.kk*$I127*$H127/(_xlpm.cm*_xlpm.sts)/$F127),_xlpm.hasN,--(RIGHT(_xlpm.codes&amp;"",1)="N"),_xlpm.wantN,--(RIGHT($BP127&amp;"",1)="N"),_xlpm.ok,(_xlpm.idx&gt;=_xlpm.i)*(_xlpm.vd&lt;=Cfg_VDFeeder)*(_xlpm.cm&gt;0)*ISNUMBER(_xlpm.sts)*(_xlpm.hasN=_xlpm.wantN),_xlpm.m,MIN(IF(_xlpm.ok=1,_xlpm.idx)),INDEX(_xlpm.codes,IF(_xlpm.m=0,_xlpm.i,_xlpm.m))),""))</f>
        <v/>
      </c>
      <c r="BY127" s="829" t="str" cm="1">
        <f t="array" ref="BY127">IF($BP127="","",IF($BX127="",$BU127,IFERROR(IF($BV127="AL",_xlfn.XLOOKUP($BX127,Std_Al3_Code,INDEX(Std_Al3_Table,0,2)),IF($G127=1,_xlfn.XLOOKUP($BX127,Std_Cu1_Code,INDEX(Std_Cu1_Table,0,2)),_xlfn.XLOOKUP($BX127,Std_Cu3_Code,INDEX(Std_Cu3_Table,0,2)))),"")))</f>
        <v/>
      </c>
      <c r="BZ127" s="829" t="str" cm="1">
        <f t="array" ref="BZ127">IF($BP127="","",IF($BX127="",$BR127,IFERROR(IF($BV127="AL",_xlfn.XLOOKUP($BX127,Std_Al3_Code,INDEX(Std_Al3_Table,0,4)),IF($G127=1,_xlfn.XLOOKUP($BX127,Std_Cu1_Code,INDEX(Std_Cu1_Table,0,4)),_xlfn.XLOOKUP($BX127,Std_Cu3_Code,INDEX(Std_Cu3_Table,0,4)))),"")))</f>
        <v/>
      </c>
      <c r="CA127" s="829" t="str" cm="1">
        <f t="array" ref="CA127">IF($BP127="","",IF($BX127="",$BQ127,IFERROR(IF($BV127="AL",_xlfn.XLOOKUP($BX127,Std_Al3_Code,INDEX(Std_Al3_Table,0,3)),IF($G127=1,_xlfn.XLOOKUP($BX127,Std_Cu1_Code,INDEX(Std_Cu1_Table,0,3)),_xlfn.XLOOKUP($BX127,Std_Cu3_Code,INDEX(Std_Cu3_Table,0,3)))),"")))</f>
        <v/>
      </c>
      <c r="CB127" s="829" t="str" cm="1">
        <f t="array" ref="CB127">IF($BP127="","",IF($BX127="",$BS127,IFERROR(IF($BV127="AL",_xlfn.XLOOKUP($BX127,Std_Al3_Code,INDEX(Std_Al3_Table,0,5)),IF($G127=1,_xlfn.XLOOKUP($BX127,Std_Cu1_Code,INDEX(Std_Cu1_Table,0,5)),_xlfn.XLOOKUP($BX127,Std_Cu3_Code,INDEX(Std_Cu3_Table,0,5)))),"")))</f>
        <v/>
      </c>
      <c r="CC127" s="829" t="str">
        <f t="shared" si="33"/>
        <v/>
      </c>
      <c r="CD127" s="829" t="str">
        <f t="shared" si="34"/>
        <v/>
      </c>
      <c r="CE127" s="829" t="str">
        <f t="shared" si="35"/>
        <v/>
      </c>
      <c r="CF127" s="829" t="str">
        <f t="shared" si="36"/>
        <v/>
      </c>
      <c r="CG127" s="829" t="str">
        <f t="shared" si="37"/>
        <v/>
      </c>
      <c r="CH127" s="829" t="str">
        <f t="shared" si="38"/>
        <v/>
      </c>
      <c r="CI127" s="829" t="str">
        <f t="shared" si="39"/>
        <v/>
      </c>
      <c r="CJ127" s="829" t="str" cm="1">
        <f t="array" ref="CJ127">IF($B127="","",_xlfn.LET(_xlpm.to,$D127&amp;"",_xlpm.em,IFERROR(INDEX(_xlfn.ANCHORARRAY($BE$4),ROW()-4,6),"")="EMERG",_xlpm.pri,AND(NOT(_xlpm.em),LEFT(_xlpm.to,2)="T-",ISNUMBER(MATCH(MID(_xlpm.to,3,99),Equip_List,0)),ISNA(MATCH(_xlpm.to,Equip_List,0))),IF(_xlpm.pri,MID(_xlpm.to,3,99),_xlpm.to)))</f>
        <v/>
      </c>
      <c r="CK127" s="829" t="str" cm="1">
        <f t="array" ref="CK127">IF($CJ127="","",IF(IFERROR(INDEX(_xlfn.ANCHORARRAY($BE$4),ROW()-4,6),"")="EMERG","E",IF($CJ127&lt;&gt;$D127&amp;"","P","N")))</f>
        <v/>
      </c>
    </row>
    <row r="128" spans="1:89" ht="15" customHeight="1" x14ac:dyDescent="0.35">
      <c r="A128" s="821" t="str">
        <f t="shared" si="27"/>
        <v/>
      </c>
      <c r="B128" s="821" t="str" cm="1">
        <f t="array" ref="B128">IFERROR(IF(INDEX(_xlfn.ANCHORARRAY($BE$4),ROW()-4,2)="","","F-"&amp;INDEX(_xlfn.ANCHORARRAY($BE$4),ROW()-4,2)&amp;IF(IFERROR(INDEX(_xlfn.ANCHORARRAY($BE$4),ROW()-4,6),"")="EMERG","-E","")),"")</f>
        <v/>
      </c>
      <c r="C128" s="821" t="str" cm="1">
        <f t="array" ref="C128">IFERROR(IF($B128="","",INDEX(_xlfn.ANCHORARRAY($BE$4),ROW()-4,1)),"")</f>
        <v/>
      </c>
      <c r="D128" s="821" t="str" cm="1">
        <f t="array" ref="D128">IFERROR(IF($B128="","",INDEX(_xlfn.ANCHORARRAY($BE$4),ROW()-4,2)),"")</f>
        <v/>
      </c>
      <c r="E128" s="806" t="str" cm="1">
        <f t="array" ref="E128">IFERROR(IF($B128="","",INDEX(_xlfn.ANCHORARRAY($BE$4),ROW()-4,3)),"")</f>
        <v/>
      </c>
      <c r="F128" s="822" t="str" cm="1">
        <f t="array" ref="F128">IFERROR(IF($B128="","",INDEX(_xlfn.ANCHORARRAY($BE$4),ROW()-4,4)),"")</f>
        <v/>
      </c>
      <c r="G128" s="823" t="str" cm="1">
        <f t="array" ref="G128">IFERROR(IF($B128="","",INDEX(_xlfn.ANCHORARRAY($BE$4),ROW()-4,5)),"")</f>
        <v/>
      </c>
      <c r="H128" s="824" t="str" cm="1">
        <f t="array" ref="H128">IF($CJ128="","",_xlfn.LET(_xlpm.v,_xlfn.XLOOKUP($CJ128,Equip_List,IF($CK128="E",Equip_EmLen,IF($CK128="P",Equip_XfPriLen,Equip_FdrLen)),""),IF(_xlpm.v="","",_xlpm.v)))</f>
        <v/>
      </c>
      <c r="I128" s="806" t="str">
        <f t="shared" si="20"/>
        <v/>
      </c>
      <c r="J128" s="820"/>
      <c r="K128" s="806" t="str">
        <f>_xlfn.LET(_xlpm.k,IF($I128="","",IF(COUNTIF(UPS!$B$57:$B$64,$C128&amp;"")&gt;0,1.25*MAX($I128,N(_xlfn.XLOOKUP($C128&amp;"",UPS!$B$57:$B$64,UPS!$M$57:$M$64,0))),IF(COUNTIF(UPS!$B$57:$B$64,$D128&amp;"")&gt;0,1.25*MAX($I128,N(_xlfn.XLOOKUP($D128&amp;"",UPS!$B$57:$B$64,UPS!$Q$57:$Q$64,0))),$I128*IF(OR(UPPER($J128)="Y",LEFT($C128,2)="T-",LEFT($D128,2)="T-"),1.25,1)))),IF(_xlpm.k="","",MAX(_xlpm.k,N(IFERROR(_xlfn.XLOOKUP($D128&amp;"",Dashboard!$A$101:$A$350,Dashboard!$O$101:$O$350,0),0)))))</f>
        <v/>
      </c>
      <c r="L128" s="825" t="str">
        <f>IF($CJ128="","",_xlfn.LET(_xlpm.v,UPPER(TRIM(_xlfn.XLOOKUP($CJ128,Equip_List,Equip_FdrMat,"")&amp;"")),IF(_xlpm.v="",UPPER(TRIM(Cfg_FeederMat&amp;"")),_xlpm.v)))</f>
        <v/>
      </c>
      <c r="M128" s="825" t="str">
        <f>IF($CJ128="","",_xlfn.LET(_xlpm.v,TRIM(_xlfn.XLOOKUP($CJ128,Equip_List,Equip_FdrRace,"")&amp;""),IF(_xlpm.v="",Cfg_Conduit&amp;"",_xlpm.v)))</f>
        <v/>
      </c>
      <c r="N128" s="825" t="str">
        <f>IF($CJ128="","",IF(UPPER(TRIM(_xlfn.XLOOKUP($CJ128,Equip_List,Equip_FdrExist,"")&amp;""))="Y","Y",""))</f>
        <v/>
      </c>
      <c r="O128" s="823" t="str">
        <f t="shared" si="28"/>
        <v/>
      </c>
      <c r="P128" s="821" t="str">
        <f t="shared" si="29"/>
        <v/>
      </c>
      <c r="Q128" s="821" t="str">
        <f t="shared" si="30"/>
        <v/>
      </c>
      <c r="R128" s="822" t="str" cm="1">
        <f t="array" ref="R128">IF(K128="","",INDEX(OCPD_List,MATCH(TRUE,OCPD_List&gt;=K128,0)))</f>
        <v/>
      </c>
      <c r="S128" s="821" t="str">
        <f t="shared" si="31"/>
        <v/>
      </c>
      <c r="T128" s="826" t="str">
        <f t="shared" si="21"/>
        <v/>
      </c>
      <c r="U128" s="826" t="str">
        <f t="shared" si="22"/>
        <v/>
      </c>
      <c r="V128" s="827" t="str">
        <f t="shared" si="23"/>
        <v/>
      </c>
      <c r="W128" s="828"/>
      <c r="X128" s="819"/>
      <c r="Y128" s="820"/>
      <c r="Z128" s="820"/>
      <c r="AA128" s="820"/>
      <c r="BN128" s="832" t="str">
        <f>IF($B128="","",IFERROR(_xlfn.XLOOKUP($D128,Dashboard!$A$101:$A$350,Dashboard!$C$101:$C$350),""))</f>
        <v/>
      </c>
      <c r="BO128" s="832" t="str">
        <f t="shared" si="24"/>
        <v/>
      </c>
      <c r="BP128" s="832" t="str" cm="1">
        <f t="array" ref="BP128">IF(OR($B128="",$R128="",NOT(ISNUMBER($R128))),"",IF(AND($BV128="AL",$G128=1),"",_xlfn.LET(_xlpm.codes,IF($BV128="AL",Std_Al3_Code,IF($G128=1,Std_Cu1_Code,Std_Cu3_Code)),_xlpm.amps,IFERROR(--SUBSTITUTE(_xlpm.codes&amp;"","N",""),""),_xlpm.a,MIN(IF(ISNUMBER(_xlpm.amps),IF(_xlpm.amps&gt;=$R128,_xlpm.amps,""),"")),_xlpm.k,IF(_xlpm.a=0,$R128,_xlpm.a),IF($BO128="Y",TEXT(_xlpm.k,"0")&amp;"N",_xlpm.k))))</f>
        <v/>
      </c>
      <c r="BQ128" s="832" t="str" cm="1">
        <f t="array" ref="BQ128">IF($BP128="","",IFERROR(IF($BV128="AL",_xlfn.XLOOKUP($BP128,Std_Al3_Code,INDEX(Std_Al3_Table,0,3)),IF($G128=1,_xlfn.XLOOKUP($BP128,Std_Cu1_Code,INDEX(Std_Cu1_Table,0,3)),_xlfn.XLOOKUP($BP128,Std_Cu3_Code,INDEX(Std_Cu3_Table,0,3)))),""))</f>
        <v/>
      </c>
      <c r="BR128" s="832" t="str" cm="1">
        <f t="array" ref="BR128">IF($BP128="","",IFERROR(IF($BV128="AL",_xlfn.XLOOKUP($BP128,Std_Al3_Code,INDEX(Std_Al3_Table,0,4)),IF($G128=1,_xlfn.XLOOKUP($BP128,Std_Cu1_Code,INDEX(Std_Cu1_Table,0,4)),_xlfn.XLOOKUP($BP128,Std_Cu3_Code,INDEX(Std_Cu3_Table,0,4)))),""))</f>
        <v/>
      </c>
      <c r="BS128" s="832" t="str" cm="1">
        <f t="array" ref="BS128">IF($BP128="","",IFERROR(IF($BV128="AL",_xlfn.XLOOKUP($BP128,Std_Al3_Code,INDEX(Std_Al3_Table,0,5)),IF($G128=1,_xlfn.XLOOKUP($BP128,Std_Cu1_Code,INDEX(Std_Cu1_Table,0,5)),_xlfn.XLOOKUP($BP128,Std_Cu3_Code,INDEX(Std_Cu3_Table,0,5)))),""))</f>
        <v/>
      </c>
      <c r="BT128" s="832" t="str">
        <f t="shared" si="25"/>
        <v/>
      </c>
      <c r="BU128" s="832" t="str" cm="1">
        <f t="array" ref="BU128">IF($BP128="","",IFERROR(IF($BV128="AL",_xlfn.XLOOKUP($BP128,Std_Al3_Code,INDEX(Std_Al3_Table,0,2)),IF($G128=1,_xlfn.XLOOKUP($BP128,Std_Cu1_Code,INDEX(Std_Cu1_Table,0,2)),_xlfn.XLOOKUP($BP128,Std_Cu3_Code,INDEX(Std_Cu3_Table,0,2)))),""))</f>
        <v/>
      </c>
      <c r="BV128" s="829" t="str">
        <f t="shared" si="26"/>
        <v/>
      </c>
      <c r="BW128" s="829" t="str">
        <f t="shared" si="32"/>
        <v/>
      </c>
      <c r="BX128" s="829" t="str" cm="1">
        <f t="array" ref="BX128">IF(OR($BP128="",$H128="",$I128="",$F128="",$BW128=""),"",IFERROR(_xlfn.LET(_xlpm.codes,IF($BV128="AL",Std_Al3_Code,IF($G128=1,Std_Cu1_Code,Std_Cu3_Code)),_xlpm.tbl,IF($BV128="AL",Std_Al3_Table,IF($G128=1,Std_Cu1_Table,Std_Cu3_Table)),_xlpm.i,MATCH($BP128,_xlpm.codes,0),_xlpm.idx,_xlfn.SEQUENCE(ROWS(_xlpm.codes)),_xlpm.cnd,INDEX(_xlpm.tbl,0,4),_xlpm.sts,INDEX(_xlpm.tbl,0,2),_xlpm.sz,IFERROR(_xlfn.TEXTBEFORE(_xlfn.TEXTAFTER(_xlpm.cnd,"#"),","),IFERROR(_xlfn.TEXTAFTER(_xlpm.cnd,"#"),"")),_xlpm.cm,IFERROR(_xlfn.XLOOKUP(TRIM(_xlpm.sz),Ampacity_Size,Ampacity_CM),0),_xlpm.mult,IF($G128=3,SQRT3,2),_xlpm.kk,IF($BV128="AL",K_Al,K_Cu),_xlpm.vd,IF(_xlpm.cm*IF(ISNUMBER(_xlpm.sts),_xlpm.sts,0)=0,9,_xlpm.mult*_xlpm.kk*$I128*$H128/(_xlpm.cm*_xlpm.sts)/$F128),_xlpm.hasN,--(RIGHT(_xlpm.codes&amp;"",1)="N"),_xlpm.wantN,--(RIGHT($BP128&amp;"",1)="N"),_xlpm.ok,(_xlpm.idx&gt;=_xlpm.i)*(_xlpm.vd&lt;=Cfg_VDFeeder)*(_xlpm.cm&gt;0)*ISNUMBER(_xlpm.sts)*(_xlpm.hasN=_xlpm.wantN),_xlpm.m,MIN(IF(_xlpm.ok=1,_xlpm.idx)),INDEX(_xlpm.codes,IF(_xlpm.m=0,_xlpm.i,_xlpm.m))),""))</f>
        <v/>
      </c>
      <c r="BY128" s="829" t="str" cm="1">
        <f t="array" ref="BY128">IF($BP128="","",IF($BX128="",$BU128,IFERROR(IF($BV128="AL",_xlfn.XLOOKUP($BX128,Std_Al3_Code,INDEX(Std_Al3_Table,0,2)),IF($G128=1,_xlfn.XLOOKUP($BX128,Std_Cu1_Code,INDEX(Std_Cu1_Table,0,2)),_xlfn.XLOOKUP($BX128,Std_Cu3_Code,INDEX(Std_Cu3_Table,0,2)))),"")))</f>
        <v/>
      </c>
      <c r="BZ128" s="829" t="str" cm="1">
        <f t="array" ref="BZ128">IF($BP128="","",IF($BX128="",$BR128,IFERROR(IF($BV128="AL",_xlfn.XLOOKUP($BX128,Std_Al3_Code,INDEX(Std_Al3_Table,0,4)),IF($G128=1,_xlfn.XLOOKUP($BX128,Std_Cu1_Code,INDEX(Std_Cu1_Table,0,4)),_xlfn.XLOOKUP($BX128,Std_Cu3_Code,INDEX(Std_Cu3_Table,0,4)))),"")))</f>
        <v/>
      </c>
      <c r="CA128" s="829" t="str" cm="1">
        <f t="array" ref="CA128">IF($BP128="","",IF($BX128="",$BQ128,IFERROR(IF($BV128="AL",_xlfn.XLOOKUP($BX128,Std_Al3_Code,INDEX(Std_Al3_Table,0,3)),IF($G128=1,_xlfn.XLOOKUP($BX128,Std_Cu1_Code,INDEX(Std_Cu1_Table,0,3)),_xlfn.XLOOKUP($BX128,Std_Cu3_Code,INDEX(Std_Cu3_Table,0,3)))),"")))</f>
        <v/>
      </c>
      <c r="CB128" s="829" t="str" cm="1">
        <f t="array" ref="CB128">IF($BP128="","",IF($BX128="",$BS128,IFERROR(IF($BV128="AL",_xlfn.XLOOKUP($BX128,Std_Al3_Code,INDEX(Std_Al3_Table,0,5)),IF($G128=1,_xlfn.XLOOKUP($BX128,Std_Cu1_Code,INDEX(Std_Cu1_Table,0,5)),_xlfn.XLOOKUP($BX128,Std_Cu3_Code,INDEX(Std_Cu3_Table,0,5)))),"")))</f>
        <v/>
      </c>
      <c r="CC128" s="829" t="str">
        <f t="shared" si="33"/>
        <v/>
      </c>
      <c r="CD128" s="829" t="str">
        <f t="shared" si="34"/>
        <v/>
      </c>
      <c r="CE128" s="829" t="str">
        <f t="shared" si="35"/>
        <v/>
      </c>
      <c r="CF128" s="829" t="str">
        <f t="shared" si="36"/>
        <v/>
      </c>
      <c r="CG128" s="829" t="str">
        <f t="shared" si="37"/>
        <v/>
      </c>
      <c r="CH128" s="829" t="str">
        <f t="shared" si="38"/>
        <v/>
      </c>
      <c r="CI128" s="829" t="str">
        <f t="shared" si="39"/>
        <v/>
      </c>
      <c r="CJ128" s="829" t="str" cm="1">
        <f t="array" ref="CJ128">IF($B128="","",_xlfn.LET(_xlpm.to,$D128&amp;"",_xlpm.em,IFERROR(INDEX(_xlfn.ANCHORARRAY($BE$4),ROW()-4,6),"")="EMERG",_xlpm.pri,AND(NOT(_xlpm.em),LEFT(_xlpm.to,2)="T-",ISNUMBER(MATCH(MID(_xlpm.to,3,99),Equip_List,0)),ISNA(MATCH(_xlpm.to,Equip_List,0))),IF(_xlpm.pri,MID(_xlpm.to,3,99),_xlpm.to)))</f>
        <v/>
      </c>
      <c r="CK128" s="829" t="str" cm="1">
        <f t="array" ref="CK128">IF($CJ128="","",IF(IFERROR(INDEX(_xlfn.ANCHORARRAY($BE$4),ROW()-4,6),"")="EMERG","E",IF($CJ128&lt;&gt;$D128&amp;"","P","N")))</f>
        <v/>
      </c>
    </row>
    <row r="129" spans="1:89" ht="15" customHeight="1" x14ac:dyDescent="0.35">
      <c r="A129" s="821" t="str">
        <f t="shared" si="27"/>
        <v/>
      </c>
      <c r="B129" s="821" t="str" cm="1">
        <f t="array" ref="B129">IFERROR(IF(INDEX(_xlfn.ANCHORARRAY($BE$4),ROW()-4,2)="","","F-"&amp;INDEX(_xlfn.ANCHORARRAY($BE$4),ROW()-4,2)&amp;IF(IFERROR(INDEX(_xlfn.ANCHORARRAY($BE$4),ROW()-4,6),"")="EMERG","-E","")),"")</f>
        <v/>
      </c>
      <c r="C129" s="821" t="str" cm="1">
        <f t="array" ref="C129">IFERROR(IF($B129="","",INDEX(_xlfn.ANCHORARRAY($BE$4),ROW()-4,1)),"")</f>
        <v/>
      </c>
      <c r="D129" s="821" t="str" cm="1">
        <f t="array" ref="D129">IFERROR(IF($B129="","",INDEX(_xlfn.ANCHORARRAY($BE$4),ROW()-4,2)),"")</f>
        <v/>
      </c>
      <c r="E129" s="806" t="str" cm="1">
        <f t="array" ref="E129">IFERROR(IF($B129="","",INDEX(_xlfn.ANCHORARRAY($BE$4),ROW()-4,3)),"")</f>
        <v/>
      </c>
      <c r="F129" s="822" t="str" cm="1">
        <f t="array" ref="F129">IFERROR(IF($B129="","",INDEX(_xlfn.ANCHORARRAY($BE$4),ROW()-4,4)),"")</f>
        <v/>
      </c>
      <c r="G129" s="823" t="str" cm="1">
        <f t="array" ref="G129">IFERROR(IF($B129="","",INDEX(_xlfn.ANCHORARRAY($BE$4),ROW()-4,5)),"")</f>
        <v/>
      </c>
      <c r="H129" s="824" t="str" cm="1">
        <f t="array" ref="H129">IF($CJ129="","",_xlfn.LET(_xlpm.v,_xlfn.XLOOKUP($CJ129,Equip_List,IF($CK129="E",Equip_EmLen,IF($CK129="P",Equip_XfPriLen,Equip_FdrLen)),""),IF(_xlpm.v="","",_xlpm.v)))</f>
        <v/>
      </c>
      <c r="I129" s="806" t="str">
        <f t="shared" si="20"/>
        <v/>
      </c>
      <c r="J129" s="820"/>
      <c r="K129" s="806" t="str">
        <f>_xlfn.LET(_xlpm.k,IF($I129="","",IF(COUNTIF(UPS!$B$57:$B$64,$C129&amp;"")&gt;0,1.25*MAX($I129,N(_xlfn.XLOOKUP($C129&amp;"",UPS!$B$57:$B$64,UPS!$M$57:$M$64,0))),IF(COUNTIF(UPS!$B$57:$B$64,$D129&amp;"")&gt;0,1.25*MAX($I129,N(_xlfn.XLOOKUP($D129&amp;"",UPS!$B$57:$B$64,UPS!$Q$57:$Q$64,0))),$I129*IF(OR(UPPER($J129)="Y",LEFT($C129,2)="T-",LEFT($D129,2)="T-"),1.25,1)))),IF(_xlpm.k="","",MAX(_xlpm.k,N(IFERROR(_xlfn.XLOOKUP($D129&amp;"",Dashboard!$A$101:$A$350,Dashboard!$O$101:$O$350,0),0)))))</f>
        <v/>
      </c>
      <c r="L129" s="825" t="str">
        <f>IF($CJ129="","",_xlfn.LET(_xlpm.v,UPPER(TRIM(_xlfn.XLOOKUP($CJ129,Equip_List,Equip_FdrMat,"")&amp;"")),IF(_xlpm.v="",UPPER(TRIM(Cfg_FeederMat&amp;"")),_xlpm.v)))</f>
        <v/>
      </c>
      <c r="M129" s="825" t="str">
        <f>IF($CJ129="","",_xlfn.LET(_xlpm.v,TRIM(_xlfn.XLOOKUP($CJ129,Equip_List,Equip_FdrRace,"")&amp;""),IF(_xlpm.v="",Cfg_Conduit&amp;"",_xlpm.v)))</f>
        <v/>
      </c>
      <c r="N129" s="825" t="str">
        <f>IF($CJ129="","",IF(UPPER(TRIM(_xlfn.XLOOKUP($CJ129,Equip_List,Equip_FdrExist,"")&amp;""))="Y","Y",""))</f>
        <v/>
      </c>
      <c r="O129" s="823" t="str">
        <f t="shared" si="28"/>
        <v/>
      </c>
      <c r="P129" s="821" t="str">
        <f t="shared" si="29"/>
        <v/>
      </c>
      <c r="Q129" s="821" t="str">
        <f t="shared" si="30"/>
        <v/>
      </c>
      <c r="R129" s="822" t="str" cm="1">
        <f t="array" ref="R129">IF(K129="","",INDEX(OCPD_List,MATCH(TRUE,OCPD_List&gt;=K129,0)))</f>
        <v/>
      </c>
      <c r="S129" s="821" t="str">
        <f t="shared" si="31"/>
        <v/>
      </c>
      <c r="T129" s="826" t="str">
        <f t="shared" si="21"/>
        <v/>
      </c>
      <c r="U129" s="826" t="str">
        <f t="shared" si="22"/>
        <v/>
      </c>
      <c r="V129" s="827" t="str">
        <f t="shared" si="23"/>
        <v/>
      </c>
      <c r="W129" s="828"/>
      <c r="X129" s="819"/>
      <c r="Y129" s="820"/>
      <c r="Z129" s="820"/>
      <c r="AA129" s="820"/>
      <c r="BN129" s="832" t="str">
        <f>IF($B129="","",IFERROR(_xlfn.XLOOKUP($D129,Dashboard!$A$101:$A$350,Dashboard!$C$101:$C$350),""))</f>
        <v/>
      </c>
      <c r="BO129" s="832" t="str">
        <f t="shared" si="24"/>
        <v/>
      </c>
      <c r="BP129" s="832" t="str" cm="1">
        <f t="array" ref="BP129">IF(OR($B129="",$R129="",NOT(ISNUMBER($R129))),"",IF(AND($BV129="AL",$G129=1),"",_xlfn.LET(_xlpm.codes,IF($BV129="AL",Std_Al3_Code,IF($G129=1,Std_Cu1_Code,Std_Cu3_Code)),_xlpm.amps,IFERROR(--SUBSTITUTE(_xlpm.codes&amp;"","N",""),""),_xlpm.a,MIN(IF(ISNUMBER(_xlpm.amps),IF(_xlpm.amps&gt;=$R129,_xlpm.amps,""),"")),_xlpm.k,IF(_xlpm.a=0,$R129,_xlpm.a),IF($BO129="Y",TEXT(_xlpm.k,"0")&amp;"N",_xlpm.k))))</f>
        <v/>
      </c>
      <c r="BQ129" s="832" t="str" cm="1">
        <f t="array" ref="BQ129">IF($BP129="","",IFERROR(IF($BV129="AL",_xlfn.XLOOKUP($BP129,Std_Al3_Code,INDEX(Std_Al3_Table,0,3)),IF($G129=1,_xlfn.XLOOKUP($BP129,Std_Cu1_Code,INDEX(Std_Cu1_Table,0,3)),_xlfn.XLOOKUP($BP129,Std_Cu3_Code,INDEX(Std_Cu3_Table,0,3)))),""))</f>
        <v/>
      </c>
      <c r="BR129" s="832" t="str" cm="1">
        <f t="array" ref="BR129">IF($BP129="","",IFERROR(IF($BV129="AL",_xlfn.XLOOKUP($BP129,Std_Al3_Code,INDEX(Std_Al3_Table,0,4)),IF($G129=1,_xlfn.XLOOKUP($BP129,Std_Cu1_Code,INDEX(Std_Cu1_Table,0,4)),_xlfn.XLOOKUP($BP129,Std_Cu3_Code,INDEX(Std_Cu3_Table,0,4)))),""))</f>
        <v/>
      </c>
      <c r="BS129" s="832" t="str" cm="1">
        <f t="array" ref="BS129">IF($BP129="","",IFERROR(IF($BV129="AL",_xlfn.XLOOKUP($BP129,Std_Al3_Code,INDEX(Std_Al3_Table,0,5)),IF($G129=1,_xlfn.XLOOKUP($BP129,Std_Cu1_Code,INDEX(Std_Cu1_Table,0,5)),_xlfn.XLOOKUP($BP129,Std_Cu3_Code,INDEX(Std_Cu3_Table,0,5)))),""))</f>
        <v/>
      </c>
      <c r="BT129" s="832" t="str">
        <f t="shared" si="25"/>
        <v/>
      </c>
      <c r="BU129" s="832" t="str" cm="1">
        <f t="array" ref="BU129">IF($BP129="","",IFERROR(IF($BV129="AL",_xlfn.XLOOKUP($BP129,Std_Al3_Code,INDEX(Std_Al3_Table,0,2)),IF($G129=1,_xlfn.XLOOKUP($BP129,Std_Cu1_Code,INDEX(Std_Cu1_Table,0,2)),_xlfn.XLOOKUP($BP129,Std_Cu3_Code,INDEX(Std_Cu3_Table,0,2)))),""))</f>
        <v/>
      </c>
      <c r="BV129" s="829" t="str">
        <f t="shared" si="26"/>
        <v/>
      </c>
      <c r="BW129" s="829" t="str">
        <f t="shared" si="32"/>
        <v/>
      </c>
      <c r="BX129" s="829" t="str" cm="1">
        <f t="array" ref="BX129">IF(OR($BP129="",$H129="",$I129="",$F129="",$BW129=""),"",IFERROR(_xlfn.LET(_xlpm.codes,IF($BV129="AL",Std_Al3_Code,IF($G129=1,Std_Cu1_Code,Std_Cu3_Code)),_xlpm.tbl,IF($BV129="AL",Std_Al3_Table,IF($G129=1,Std_Cu1_Table,Std_Cu3_Table)),_xlpm.i,MATCH($BP129,_xlpm.codes,0),_xlpm.idx,_xlfn.SEQUENCE(ROWS(_xlpm.codes)),_xlpm.cnd,INDEX(_xlpm.tbl,0,4),_xlpm.sts,INDEX(_xlpm.tbl,0,2),_xlpm.sz,IFERROR(_xlfn.TEXTBEFORE(_xlfn.TEXTAFTER(_xlpm.cnd,"#"),","),IFERROR(_xlfn.TEXTAFTER(_xlpm.cnd,"#"),"")),_xlpm.cm,IFERROR(_xlfn.XLOOKUP(TRIM(_xlpm.sz),Ampacity_Size,Ampacity_CM),0),_xlpm.mult,IF($G129=3,SQRT3,2),_xlpm.kk,IF($BV129="AL",K_Al,K_Cu),_xlpm.vd,IF(_xlpm.cm*IF(ISNUMBER(_xlpm.sts),_xlpm.sts,0)=0,9,_xlpm.mult*_xlpm.kk*$I129*$H129/(_xlpm.cm*_xlpm.sts)/$F129),_xlpm.hasN,--(RIGHT(_xlpm.codes&amp;"",1)="N"),_xlpm.wantN,--(RIGHT($BP129&amp;"",1)="N"),_xlpm.ok,(_xlpm.idx&gt;=_xlpm.i)*(_xlpm.vd&lt;=Cfg_VDFeeder)*(_xlpm.cm&gt;0)*ISNUMBER(_xlpm.sts)*(_xlpm.hasN=_xlpm.wantN),_xlpm.m,MIN(IF(_xlpm.ok=1,_xlpm.idx)),INDEX(_xlpm.codes,IF(_xlpm.m=0,_xlpm.i,_xlpm.m))),""))</f>
        <v/>
      </c>
      <c r="BY129" s="829" t="str" cm="1">
        <f t="array" ref="BY129">IF($BP129="","",IF($BX129="",$BU129,IFERROR(IF($BV129="AL",_xlfn.XLOOKUP($BX129,Std_Al3_Code,INDEX(Std_Al3_Table,0,2)),IF($G129=1,_xlfn.XLOOKUP($BX129,Std_Cu1_Code,INDEX(Std_Cu1_Table,0,2)),_xlfn.XLOOKUP($BX129,Std_Cu3_Code,INDEX(Std_Cu3_Table,0,2)))),"")))</f>
        <v/>
      </c>
      <c r="BZ129" s="829" t="str" cm="1">
        <f t="array" ref="BZ129">IF($BP129="","",IF($BX129="",$BR129,IFERROR(IF($BV129="AL",_xlfn.XLOOKUP($BX129,Std_Al3_Code,INDEX(Std_Al3_Table,0,4)),IF($G129=1,_xlfn.XLOOKUP($BX129,Std_Cu1_Code,INDEX(Std_Cu1_Table,0,4)),_xlfn.XLOOKUP($BX129,Std_Cu3_Code,INDEX(Std_Cu3_Table,0,4)))),"")))</f>
        <v/>
      </c>
      <c r="CA129" s="829" t="str" cm="1">
        <f t="array" ref="CA129">IF($BP129="","",IF($BX129="",$BQ129,IFERROR(IF($BV129="AL",_xlfn.XLOOKUP($BX129,Std_Al3_Code,INDEX(Std_Al3_Table,0,3)),IF($G129=1,_xlfn.XLOOKUP($BX129,Std_Cu1_Code,INDEX(Std_Cu1_Table,0,3)),_xlfn.XLOOKUP($BX129,Std_Cu3_Code,INDEX(Std_Cu3_Table,0,3)))),"")))</f>
        <v/>
      </c>
      <c r="CB129" s="829" t="str" cm="1">
        <f t="array" ref="CB129">IF($BP129="","",IF($BX129="",$BS129,IFERROR(IF($BV129="AL",_xlfn.XLOOKUP($BX129,Std_Al3_Code,INDEX(Std_Al3_Table,0,5)),IF($G129=1,_xlfn.XLOOKUP($BX129,Std_Cu1_Code,INDEX(Std_Cu1_Table,0,5)),_xlfn.XLOOKUP($BX129,Std_Cu3_Code,INDEX(Std_Cu3_Table,0,5)))),"")))</f>
        <v/>
      </c>
      <c r="CC129" s="829" t="str">
        <f t="shared" si="33"/>
        <v/>
      </c>
      <c r="CD129" s="829" t="str">
        <f t="shared" si="34"/>
        <v/>
      </c>
      <c r="CE129" s="829" t="str">
        <f t="shared" si="35"/>
        <v/>
      </c>
      <c r="CF129" s="829" t="str">
        <f t="shared" si="36"/>
        <v/>
      </c>
      <c r="CG129" s="829" t="str">
        <f t="shared" si="37"/>
        <v/>
      </c>
      <c r="CH129" s="829" t="str">
        <f t="shared" si="38"/>
        <v/>
      </c>
      <c r="CI129" s="829" t="str">
        <f t="shared" si="39"/>
        <v/>
      </c>
      <c r="CJ129" s="829" t="str" cm="1">
        <f t="array" ref="CJ129">IF($B129="","",_xlfn.LET(_xlpm.to,$D129&amp;"",_xlpm.em,IFERROR(INDEX(_xlfn.ANCHORARRAY($BE$4),ROW()-4,6),"")="EMERG",_xlpm.pri,AND(NOT(_xlpm.em),LEFT(_xlpm.to,2)="T-",ISNUMBER(MATCH(MID(_xlpm.to,3,99),Equip_List,0)),ISNA(MATCH(_xlpm.to,Equip_List,0))),IF(_xlpm.pri,MID(_xlpm.to,3,99),_xlpm.to)))</f>
        <v/>
      </c>
      <c r="CK129" s="829" t="str" cm="1">
        <f t="array" ref="CK129">IF($CJ129="","",IF(IFERROR(INDEX(_xlfn.ANCHORARRAY($BE$4),ROW()-4,6),"")="EMERG","E",IF($CJ129&lt;&gt;$D129&amp;"","P","N")))</f>
        <v/>
      </c>
    </row>
    <row r="130" spans="1:89" ht="15" customHeight="1" x14ac:dyDescent="0.35">
      <c r="A130" s="821" t="str">
        <f t="shared" si="27"/>
        <v/>
      </c>
      <c r="B130" s="821" t="str" cm="1">
        <f t="array" ref="B130">IFERROR(IF(INDEX(_xlfn.ANCHORARRAY($BE$4),ROW()-4,2)="","","F-"&amp;INDEX(_xlfn.ANCHORARRAY($BE$4),ROW()-4,2)&amp;IF(IFERROR(INDEX(_xlfn.ANCHORARRAY($BE$4),ROW()-4,6),"")="EMERG","-E","")),"")</f>
        <v/>
      </c>
      <c r="C130" s="821" t="str" cm="1">
        <f t="array" ref="C130">IFERROR(IF($B130="","",INDEX(_xlfn.ANCHORARRAY($BE$4),ROW()-4,1)),"")</f>
        <v/>
      </c>
      <c r="D130" s="821" t="str" cm="1">
        <f t="array" ref="D130">IFERROR(IF($B130="","",INDEX(_xlfn.ANCHORARRAY($BE$4),ROW()-4,2)),"")</f>
        <v/>
      </c>
      <c r="E130" s="806" t="str" cm="1">
        <f t="array" ref="E130">IFERROR(IF($B130="","",INDEX(_xlfn.ANCHORARRAY($BE$4),ROW()-4,3)),"")</f>
        <v/>
      </c>
      <c r="F130" s="822" t="str" cm="1">
        <f t="array" ref="F130">IFERROR(IF($B130="","",INDEX(_xlfn.ANCHORARRAY($BE$4),ROW()-4,4)),"")</f>
        <v/>
      </c>
      <c r="G130" s="823" t="str" cm="1">
        <f t="array" ref="G130">IFERROR(IF($B130="","",INDEX(_xlfn.ANCHORARRAY($BE$4),ROW()-4,5)),"")</f>
        <v/>
      </c>
      <c r="H130" s="824" t="str" cm="1">
        <f t="array" ref="H130">IF($CJ130="","",_xlfn.LET(_xlpm.v,_xlfn.XLOOKUP($CJ130,Equip_List,IF($CK130="E",Equip_EmLen,IF($CK130="P",Equip_XfPriLen,Equip_FdrLen)),""),IF(_xlpm.v="","",_xlpm.v)))</f>
        <v/>
      </c>
      <c r="I130" s="806" t="str">
        <f t="shared" si="20"/>
        <v/>
      </c>
      <c r="J130" s="820"/>
      <c r="K130" s="806" t="str">
        <f>_xlfn.LET(_xlpm.k,IF($I130="","",IF(COUNTIF(UPS!$B$57:$B$64,$C130&amp;"")&gt;0,1.25*MAX($I130,N(_xlfn.XLOOKUP($C130&amp;"",UPS!$B$57:$B$64,UPS!$M$57:$M$64,0))),IF(COUNTIF(UPS!$B$57:$B$64,$D130&amp;"")&gt;0,1.25*MAX($I130,N(_xlfn.XLOOKUP($D130&amp;"",UPS!$B$57:$B$64,UPS!$Q$57:$Q$64,0))),$I130*IF(OR(UPPER($J130)="Y",LEFT($C130,2)="T-",LEFT($D130,2)="T-"),1.25,1)))),IF(_xlpm.k="","",MAX(_xlpm.k,N(IFERROR(_xlfn.XLOOKUP($D130&amp;"",Dashboard!$A$101:$A$350,Dashboard!$O$101:$O$350,0),0)))))</f>
        <v/>
      </c>
      <c r="L130" s="825" t="str">
        <f>IF($CJ130="","",_xlfn.LET(_xlpm.v,UPPER(TRIM(_xlfn.XLOOKUP($CJ130,Equip_List,Equip_FdrMat,"")&amp;"")),IF(_xlpm.v="",UPPER(TRIM(Cfg_FeederMat&amp;"")),_xlpm.v)))</f>
        <v/>
      </c>
      <c r="M130" s="825" t="str">
        <f>IF($CJ130="","",_xlfn.LET(_xlpm.v,TRIM(_xlfn.XLOOKUP($CJ130,Equip_List,Equip_FdrRace,"")&amp;""),IF(_xlpm.v="",Cfg_Conduit&amp;"",_xlpm.v)))</f>
        <v/>
      </c>
      <c r="N130" s="825" t="str">
        <f>IF($CJ130="","",IF(UPPER(TRIM(_xlfn.XLOOKUP($CJ130,Equip_List,Equip_FdrExist,"")&amp;""))="Y","Y",""))</f>
        <v/>
      </c>
      <c r="O130" s="823" t="str">
        <f t="shared" si="28"/>
        <v/>
      </c>
      <c r="P130" s="821" t="str">
        <f t="shared" si="29"/>
        <v/>
      </c>
      <c r="Q130" s="821" t="str">
        <f t="shared" si="30"/>
        <v/>
      </c>
      <c r="R130" s="822" t="str" cm="1">
        <f t="array" ref="R130">IF(K130="","",INDEX(OCPD_List,MATCH(TRUE,OCPD_List&gt;=K130,0)))</f>
        <v/>
      </c>
      <c r="S130" s="821" t="str">
        <f t="shared" si="31"/>
        <v/>
      </c>
      <c r="T130" s="826" t="str">
        <f t="shared" si="21"/>
        <v/>
      </c>
      <c r="U130" s="826" t="str">
        <f t="shared" si="22"/>
        <v/>
      </c>
      <c r="V130" s="827" t="str">
        <f t="shared" si="23"/>
        <v/>
      </c>
      <c r="W130" s="828"/>
      <c r="X130" s="819"/>
      <c r="Y130" s="820"/>
      <c r="Z130" s="820"/>
      <c r="AA130" s="820"/>
      <c r="BN130" s="832" t="str">
        <f>IF($B130="","",IFERROR(_xlfn.XLOOKUP($D130,Dashboard!$A$101:$A$350,Dashboard!$C$101:$C$350),""))</f>
        <v/>
      </c>
      <c r="BO130" s="832" t="str">
        <f t="shared" si="24"/>
        <v/>
      </c>
      <c r="BP130" s="832" t="str" cm="1">
        <f t="array" ref="BP130">IF(OR($B130="",$R130="",NOT(ISNUMBER($R130))),"",IF(AND($BV130="AL",$G130=1),"",_xlfn.LET(_xlpm.codes,IF($BV130="AL",Std_Al3_Code,IF($G130=1,Std_Cu1_Code,Std_Cu3_Code)),_xlpm.amps,IFERROR(--SUBSTITUTE(_xlpm.codes&amp;"","N",""),""),_xlpm.a,MIN(IF(ISNUMBER(_xlpm.amps),IF(_xlpm.amps&gt;=$R130,_xlpm.amps,""),"")),_xlpm.k,IF(_xlpm.a=0,$R130,_xlpm.a),IF($BO130="Y",TEXT(_xlpm.k,"0")&amp;"N",_xlpm.k))))</f>
        <v/>
      </c>
      <c r="BQ130" s="832" t="str" cm="1">
        <f t="array" ref="BQ130">IF($BP130="","",IFERROR(IF($BV130="AL",_xlfn.XLOOKUP($BP130,Std_Al3_Code,INDEX(Std_Al3_Table,0,3)),IF($G130=1,_xlfn.XLOOKUP($BP130,Std_Cu1_Code,INDEX(Std_Cu1_Table,0,3)),_xlfn.XLOOKUP($BP130,Std_Cu3_Code,INDEX(Std_Cu3_Table,0,3)))),""))</f>
        <v/>
      </c>
      <c r="BR130" s="832" t="str" cm="1">
        <f t="array" ref="BR130">IF($BP130="","",IFERROR(IF($BV130="AL",_xlfn.XLOOKUP($BP130,Std_Al3_Code,INDEX(Std_Al3_Table,0,4)),IF($G130=1,_xlfn.XLOOKUP($BP130,Std_Cu1_Code,INDEX(Std_Cu1_Table,0,4)),_xlfn.XLOOKUP($BP130,Std_Cu3_Code,INDEX(Std_Cu3_Table,0,4)))),""))</f>
        <v/>
      </c>
      <c r="BS130" s="832" t="str" cm="1">
        <f t="array" ref="BS130">IF($BP130="","",IFERROR(IF($BV130="AL",_xlfn.XLOOKUP($BP130,Std_Al3_Code,INDEX(Std_Al3_Table,0,5)),IF($G130=1,_xlfn.XLOOKUP($BP130,Std_Cu1_Code,INDEX(Std_Cu1_Table,0,5)),_xlfn.XLOOKUP($BP130,Std_Cu3_Code,INDEX(Std_Cu3_Table,0,5)))),""))</f>
        <v/>
      </c>
      <c r="BT130" s="832" t="str">
        <f t="shared" si="25"/>
        <v/>
      </c>
      <c r="BU130" s="832" t="str" cm="1">
        <f t="array" ref="BU130">IF($BP130="","",IFERROR(IF($BV130="AL",_xlfn.XLOOKUP($BP130,Std_Al3_Code,INDEX(Std_Al3_Table,0,2)),IF($G130=1,_xlfn.XLOOKUP($BP130,Std_Cu1_Code,INDEX(Std_Cu1_Table,0,2)),_xlfn.XLOOKUP($BP130,Std_Cu3_Code,INDEX(Std_Cu3_Table,0,2)))),""))</f>
        <v/>
      </c>
      <c r="BV130" s="829" t="str">
        <f t="shared" si="26"/>
        <v/>
      </c>
      <c r="BW130" s="829" t="str">
        <f t="shared" si="32"/>
        <v/>
      </c>
      <c r="BX130" s="829" t="str" cm="1">
        <f t="array" ref="BX130">IF(OR($BP130="",$H130="",$I130="",$F130="",$BW130=""),"",IFERROR(_xlfn.LET(_xlpm.codes,IF($BV130="AL",Std_Al3_Code,IF($G130=1,Std_Cu1_Code,Std_Cu3_Code)),_xlpm.tbl,IF($BV130="AL",Std_Al3_Table,IF($G130=1,Std_Cu1_Table,Std_Cu3_Table)),_xlpm.i,MATCH($BP130,_xlpm.codes,0),_xlpm.idx,_xlfn.SEQUENCE(ROWS(_xlpm.codes)),_xlpm.cnd,INDEX(_xlpm.tbl,0,4),_xlpm.sts,INDEX(_xlpm.tbl,0,2),_xlpm.sz,IFERROR(_xlfn.TEXTBEFORE(_xlfn.TEXTAFTER(_xlpm.cnd,"#"),","),IFERROR(_xlfn.TEXTAFTER(_xlpm.cnd,"#"),"")),_xlpm.cm,IFERROR(_xlfn.XLOOKUP(TRIM(_xlpm.sz),Ampacity_Size,Ampacity_CM),0),_xlpm.mult,IF($G130=3,SQRT3,2),_xlpm.kk,IF($BV130="AL",K_Al,K_Cu),_xlpm.vd,IF(_xlpm.cm*IF(ISNUMBER(_xlpm.sts),_xlpm.sts,0)=0,9,_xlpm.mult*_xlpm.kk*$I130*$H130/(_xlpm.cm*_xlpm.sts)/$F130),_xlpm.hasN,--(RIGHT(_xlpm.codes&amp;"",1)="N"),_xlpm.wantN,--(RIGHT($BP130&amp;"",1)="N"),_xlpm.ok,(_xlpm.idx&gt;=_xlpm.i)*(_xlpm.vd&lt;=Cfg_VDFeeder)*(_xlpm.cm&gt;0)*ISNUMBER(_xlpm.sts)*(_xlpm.hasN=_xlpm.wantN),_xlpm.m,MIN(IF(_xlpm.ok=1,_xlpm.idx)),INDEX(_xlpm.codes,IF(_xlpm.m=0,_xlpm.i,_xlpm.m))),""))</f>
        <v/>
      </c>
      <c r="BY130" s="829" t="str" cm="1">
        <f t="array" ref="BY130">IF($BP130="","",IF($BX130="",$BU130,IFERROR(IF($BV130="AL",_xlfn.XLOOKUP($BX130,Std_Al3_Code,INDEX(Std_Al3_Table,0,2)),IF($G130=1,_xlfn.XLOOKUP($BX130,Std_Cu1_Code,INDEX(Std_Cu1_Table,0,2)),_xlfn.XLOOKUP($BX130,Std_Cu3_Code,INDEX(Std_Cu3_Table,0,2)))),"")))</f>
        <v/>
      </c>
      <c r="BZ130" s="829" t="str" cm="1">
        <f t="array" ref="BZ130">IF($BP130="","",IF($BX130="",$BR130,IFERROR(IF($BV130="AL",_xlfn.XLOOKUP($BX130,Std_Al3_Code,INDEX(Std_Al3_Table,0,4)),IF($G130=1,_xlfn.XLOOKUP($BX130,Std_Cu1_Code,INDEX(Std_Cu1_Table,0,4)),_xlfn.XLOOKUP($BX130,Std_Cu3_Code,INDEX(Std_Cu3_Table,0,4)))),"")))</f>
        <v/>
      </c>
      <c r="CA130" s="829" t="str" cm="1">
        <f t="array" ref="CA130">IF($BP130="","",IF($BX130="",$BQ130,IFERROR(IF($BV130="AL",_xlfn.XLOOKUP($BX130,Std_Al3_Code,INDEX(Std_Al3_Table,0,3)),IF($G130=1,_xlfn.XLOOKUP($BX130,Std_Cu1_Code,INDEX(Std_Cu1_Table,0,3)),_xlfn.XLOOKUP($BX130,Std_Cu3_Code,INDEX(Std_Cu3_Table,0,3)))),"")))</f>
        <v/>
      </c>
      <c r="CB130" s="829" t="str" cm="1">
        <f t="array" ref="CB130">IF($BP130="","",IF($BX130="",$BS130,IFERROR(IF($BV130="AL",_xlfn.XLOOKUP($BX130,Std_Al3_Code,INDEX(Std_Al3_Table,0,5)),IF($G130=1,_xlfn.XLOOKUP($BX130,Std_Cu1_Code,INDEX(Std_Cu1_Table,0,5)),_xlfn.XLOOKUP($BX130,Std_Cu3_Code,INDEX(Std_Cu3_Table,0,5)))),"")))</f>
        <v/>
      </c>
      <c r="CC130" s="829" t="str">
        <f t="shared" si="33"/>
        <v/>
      </c>
      <c r="CD130" s="829" t="str">
        <f t="shared" si="34"/>
        <v/>
      </c>
      <c r="CE130" s="829" t="str">
        <f t="shared" si="35"/>
        <v/>
      </c>
      <c r="CF130" s="829" t="str">
        <f t="shared" si="36"/>
        <v/>
      </c>
      <c r="CG130" s="829" t="str">
        <f t="shared" si="37"/>
        <v/>
      </c>
      <c r="CH130" s="829" t="str">
        <f t="shared" si="38"/>
        <v/>
      </c>
      <c r="CI130" s="829" t="str">
        <f t="shared" si="39"/>
        <v/>
      </c>
      <c r="CJ130" s="829" t="str" cm="1">
        <f t="array" ref="CJ130">IF($B130="","",_xlfn.LET(_xlpm.to,$D130&amp;"",_xlpm.em,IFERROR(INDEX(_xlfn.ANCHORARRAY($BE$4),ROW()-4,6),"")="EMERG",_xlpm.pri,AND(NOT(_xlpm.em),LEFT(_xlpm.to,2)="T-",ISNUMBER(MATCH(MID(_xlpm.to,3,99),Equip_List,0)),ISNA(MATCH(_xlpm.to,Equip_List,0))),IF(_xlpm.pri,MID(_xlpm.to,3,99),_xlpm.to)))</f>
        <v/>
      </c>
      <c r="CK130" s="829" t="str" cm="1">
        <f t="array" ref="CK130">IF($CJ130="","",IF(IFERROR(INDEX(_xlfn.ANCHORARRAY($BE$4),ROW()-4,6),"")="EMERG","E",IF($CJ130&lt;&gt;$D130&amp;"","P","N")))</f>
        <v/>
      </c>
    </row>
    <row r="131" spans="1:89" ht="15" customHeight="1" x14ac:dyDescent="0.35">
      <c r="A131" s="821" t="str">
        <f t="shared" si="27"/>
        <v/>
      </c>
      <c r="B131" s="821" t="str" cm="1">
        <f t="array" ref="B131">IFERROR(IF(INDEX(_xlfn.ANCHORARRAY($BE$4),ROW()-4,2)="","","F-"&amp;INDEX(_xlfn.ANCHORARRAY($BE$4),ROW()-4,2)&amp;IF(IFERROR(INDEX(_xlfn.ANCHORARRAY($BE$4),ROW()-4,6),"")="EMERG","-E","")),"")</f>
        <v/>
      </c>
      <c r="C131" s="821" t="str" cm="1">
        <f t="array" ref="C131">IFERROR(IF($B131="","",INDEX(_xlfn.ANCHORARRAY($BE$4),ROW()-4,1)),"")</f>
        <v/>
      </c>
      <c r="D131" s="821" t="str" cm="1">
        <f t="array" ref="D131">IFERROR(IF($B131="","",INDEX(_xlfn.ANCHORARRAY($BE$4),ROW()-4,2)),"")</f>
        <v/>
      </c>
      <c r="E131" s="806" t="str" cm="1">
        <f t="array" ref="E131">IFERROR(IF($B131="","",INDEX(_xlfn.ANCHORARRAY($BE$4),ROW()-4,3)),"")</f>
        <v/>
      </c>
      <c r="F131" s="822" t="str" cm="1">
        <f t="array" ref="F131">IFERROR(IF($B131="","",INDEX(_xlfn.ANCHORARRAY($BE$4),ROW()-4,4)),"")</f>
        <v/>
      </c>
      <c r="G131" s="823" t="str" cm="1">
        <f t="array" ref="G131">IFERROR(IF($B131="","",INDEX(_xlfn.ANCHORARRAY($BE$4),ROW()-4,5)),"")</f>
        <v/>
      </c>
      <c r="H131" s="824" t="str" cm="1">
        <f t="array" ref="H131">IF($CJ131="","",_xlfn.LET(_xlpm.v,_xlfn.XLOOKUP($CJ131,Equip_List,IF($CK131="E",Equip_EmLen,IF($CK131="P",Equip_XfPriLen,Equip_FdrLen)),""),IF(_xlpm.v="","",_xlpm.v)))</f>
        <v/>
      </c>
      <c r="I131" s="806" t="str">
        <f t="shared" si="20"/>
        <v/>
      </c>
      <c r="J131" s="820"/>
      <c r="K131" s="806" t="str">
        <f>_xlfn.LET(_xlpm.k,IF($I131="","",IF(COUNTIF(UPS!$B$57:$B$64,$C131&amp;"")&gt;0,1.25*MAX($I131,N(_xlfn.XLOOKUP($C131&amp;"",UPS!$B$57:$B$64,UPS!$M$57:$M$64,0))),IF(COUNTIF(UPS!$B$57:$B$64,$D131&amp;"")&gt;0,1.25*MAX($I131,N(_xlfn.XLOOKUP($D131&amp;"",UPS!$B$57:$B$64,UPS!$Q$57:$Q$64,0))),$I131*IF(OR(UPPER($J131)="Y",LEFT($C131,2)="T-",LEFT($D131,2)="T-"),1.25,1)))),IF(_xlpm.k="","",MAX(_xlpm.k,N(IFERROR(_xlfn.XLOOKUP($D131&amp;"",Dashboard!$A$101:$A$350,Dashboard!$O$101:$O$350,0),0)))))</f>
        <v/>
      </c>
      <c r="L131" s="825" t="str">
        <f>IF($CJ131="","",_xlfn.LET(_xlpm.v,UPPER(TRIM(_xlfn.XLOOKUP($CJ131,Equip_List,Equip_FdrMat,"")&amp;"")),IF(_xlpm.v="",UPPER(TRIM(Cfg_FeederMat&amp;"")),_xlpm.v)))</f>
        <v/>
      </c>
      <c r="M131" s="825" t="str">
        <f>IF($CJ131="","",_xlfn.LET(_xlpm.v,TRIM(_xlfn.XLOOKUP($CJ131,Equip_List,Equip_FdrRace,"")&amp;""),IF(_xlpm.v="",Cfg_Conduit&amp;"",_xlpm.v)))</f>
        <v/>
      </c>
      <c r="N131" s="825" t="str">
        <f>IF($CJ131="","",IF(UPPER(TRIM(_xlfn.XLOOKUP($CJ131,Equip_List,Equip_FdrExist,"")&amp;""))="Y","Y",""))</f>
        <v/>
      </c>
      <c r="O131" s="823" t="str">
        <f t="shared" si="28"/>
        <v/>
      </c>
      <c r="P131" s="821" t="str">
        <f t="shared" si="29"/>
        <v/>
      </c>
      <c r="Q131" s="821" t="str">
        <f t="shared" si="30"/>
        <v/>
      </c>
      <c r="R131" s="822" t="str" cm="1">
        <f t="array" ref="R131">IF(K131="","",INDEX(OCPD_List,MATCH(TRUE,OCPD_List&gt;=K131,0)))</f>
        <v/>
      </c>
      <c r="S131" s="821" t="str">
        <f t="shared" si="31"/>
        <v/>
      </c>
      <c r="T131" s="826" t="str">
        <f t="shared" si="21"/>
        <v/>
      </c>
      <c r="U131" s="826" t="str">
        <f t="shared" si="22"/>
        <v/>
      </c>
      <c r="V131" s="827" t="str">
        <f t="shared" si="23"/>
        <v/>
      </c>
      <c r="W131" s="828"/>
      <c r="X131" s="819"/>
      <c r="Y131" s="820"/>
      <c r="Z131" s="820"/>
      <c r="AA131" s="820"/>
      <c r="BN131" s="832" t="str">
        <f>IF($B131="","",IFERROR(_xlfn.XLOOKUP($D131,Dashboard!$A$101:$A$350,Dashboard!$C$101:$C$350),""))</f>
        <v/>
      </c>
      <c r="BO131" s="832" t="str">
        <f t="shared" si="24"/>
        <v/>
      </c>
      <c r="BP131" s="832" t="str" cm="1">
        <f t="array" ref="BP131">IF(OR($B131="",$R131="",NOT(ISNUMBER($R131))),"",IF(AND($BV131="AL",$G131=1),"",_xlfn.LET(_xlpm.codes,IF($BV131="AL",Std_Al3_Code,IF($G131=1,Std_Cu1_Code,Std_Cu3_Code)),_xlpm.amps,IFERROR(--SUBSTITUTE(_xlpm.codes&amp;"","N",""),""),_xlpm.a,MIN(IF(ISNUMBER(_xlpm.amps),IF(_xlpm.amps&gt;=$R131,_xlpm.amps,""),"")),_xlpm.k,IF(_xlpm.a=0,$R131,_xlpm.a),IF($BO131="Y",TEXT(_xlpm.k,"0")&amp;"N",_xlpm.k))))</f>
        <v/>
      </c>
      <c r="BQ131" s="832" t="str" cm="1">
        <f t="array" ref="BQ131">IF($BP131="","",IFERROR(IF($BV131="AL",_xlfn.XLOOKUP($BP131,Std_Al3_Code,INDEX(Std_Al3_Table,0,3)),IF($G131=1,_xlfn.XLOOKUP($BP131,Std_Cu1_Code,INDEX(Std_Cu1_Table,0,3)),_xlfn.XLOOKUP($BP131,Std_Cu3_Code,INDEX(Std_Cu3_Table,0,3)))),""))</f>
        <v/>
      </c>
      <c r="BR131" s="832" t="str" cm="1">
        <f t="array" ref="BR131">IF($BP131="","",IFERROR(IF($BV131="AL",_xlfn.XLOOKUP($BP131,Std_Al3_Code,INDEX(Std_Al3_Table,0,4)),IF($G131=1,_xlfn.XLOOKUP($BP131,Std_Cu1_Code,INDEX(Std_Cu1_Table,0,4)),_xlfn.XLOOKUP($BP131,Std_Cu3_Code,INDEX(Std_Cu3_Table,0,4)))),""))</f>
        <v/>
      </c>
      <c r="BS131" s="832" t="str" cm="1">
        <f t="array" ref="BS131">IF($BP131="","",IFERROR(IF($BV131="AL",_xlfn.XLOOKUP($BP131,Std_Al3_Code,INDEX(Std_Al3_Table,0,5)),IF($G131=1,_xlfn.XLOOKUP($BP131,Std_Cu1_Code,INDEX(Std_Cu1_Table,0,5)),_xlfn.XLOOKUP($BP131,Std_Cu3_Code,INDEX(Std_Cu3_Table,0,5)))),""))</f>
        <v/>
      </c>
      <c r="BT131" s="832" t="str">
        <f t="shared" si="25"/>
        <v/>
      </c>
      <c r="BU131" s="832" t="str" cm="1">
        <f t="array" ref="BU131">IF($BP131="","",IFERROR(IF($BV131="AL",_xlfn.XLOOKUP($BP131,Std_Al3_Code,INDEX(Std_Al3_Table,0,2)),IF($G131=1,_xlfn.XLOOKUP($BP131,Std_Cu1_Code,INDEX(Std_Cu1_Table,0,2)),_xlfn.XLOOKUP($BP131,Std_Cu3_Code,INDEX(Std_Cu3_Table,0,2)))),""))</f>
        <v/>
      </c>
      <c r="BV131" s="829" t="str">
        <f t="shared" si="26"/>
        <v/>
      </c>
      <c r="BW131" s="829" t="str">
        <f t="shared" si="32"/>
        <v/>
      </c>
      <c r="BX131" s="829" t="str" cm="1">
        <f t="array" ref="BX131">IF(OR($BP131="",$H131="",$I131="",$F131="",$BW131=""),"",IFERROR(_xlfn.LET(_xlpm.codes,IF($BV131="AL",Std_Al3_Code,IF($G131=1,Std_Cu1_Code,Std_Cu3_Code)),_xlpm.tbl,IF($BV131="AL",Std_Al3_Table,IF($G131=1,Std_Cu1_Table,Std_Cu3_Table)),_xlpm.i,MATCH($BP131,_xlpm.codes,0),_xlpm.idx,_xlfn.SEQUENCE(ROWS(_xlpm.codes)),_xlpm.cnd,INDEX(_xlpm.tbl,0,4),_xlpm.sts,INDEX(_xlpm.tbl,0,2),_xlpm.sz,IFERROR(_xlfn.TEXTBEFORE(_xlfn.TEXTAFTER(_xlpm.cnd,"#"),","),IFERROR(_xlfn.TEXTAFTER(_xlpm.cnd,"#"),"")),_xlpm.cm,IFERROR(_xlfn.XLOOKUP(TRIM(_xlpm.sz),Ampacity_Size,Ampacity_CM),0),_xlpm.mult,IF($G131=3,SQRT3,2),_xlpm.kk,IF($BV131="AL",K_Al,K_Cu),_xlpm.vd,IF(_xlpm.cm*IF(ISNUMBER(_xlpm.sts),_xlpm.sts,0)=0,9,_xlpm.mult*_xlpm.kk*$I131*$H131/(_xlpm.cm*_xlpm.sts)/$F131),_xlpm.hasN,--(RIGHT(_xlpm.codes&amp;"",1)="N"),_xlpm.wantN,--(RIGHT($BP131&amp;"",1)="N"),_xlpm.ok,(_xlpm.idx&gt;=_xlpm.i)*(_xlpm.vd&lt;=Cfg_VDFeeder)*(_xlpm.cm&gt;0)*ISNUMBER(_xlpm.sts)*(_xlpm.hasN=_xlpm.wantN),_xlpm.m,MIN(IF(_xlpm.ok=1,_xlpm.idx)),INDEX(_xlpm.codes,IF(_xlpm.m=0,_xlpm.i,_xlpm.m))),""))</f>
        <v/>
      </c>
      <c r="BY131" s="829" t="str" cm="1">
        <f t="array" ref="BY131">IF($BP131="","",IF($BX131="",$BU131,IFERROR(IF($BV131="AL",_xlfn.XLOOKUP($BX131,Std_Al3_Code,INDEX(Std_Al3_Table,0,2)),IF($G131=1,_xlfn.XLOOKUP($BX131,Std_Cu1_Code,INDEX(Std_Cu1_Table,0,2)),_xlfn.XLOOKUP($BX131,Std_Cu3_Code,INDEX(Std_Cu3_Table,0,2)))),"")))</f>
        <v/>
      </c>
      <c r="BZ131" s="829" t="str" cm="1">
        <f t="array" ref="BZ131">IF($BP131="","",IF($BX131="",$BR131,IFERROR(IF($BV131="AL",_xlfn.XLOOKUP($BX131,Std_Al3_Code,INDEX(Std_Al3_Table,0,4)),IF($G131=1,_xlfn.XLOOKUP($BX131,Std_Cu1_Code,INDEX(Std_Cu1_Table,0,4)),_xlfn.XLOOKUP($BX131,Std_Cu3_Code,INDEX(Std_Cu3_Table,0,4)))),"")))</f>
        <v/>
      </c>
      <c r="CA131" s="829" t="str" cm="1">
        <f t="array" ref="CA131">IF($BP131="","",IF($BX131="",$BQ131,IFERROR(IF($BV131="AL",_xlfn.XLOOKUP($BX131,Std_Al3_Code,INDEX(Std_Al3_Table,0,3)),IF($G131=1,_xlfn.XLOOKUP($BX131,Std_Cu1_Code,INDEX(Std_Cu1_Table,0,3)),_xlfn.XLOOKUP($BX131,Std_Cu3_Code,INDEX(Std_Cu3_Table,0,3)))),"")))</f>
        <v/>
      </c>
      <c r="CB131" s="829" t="str" cm="1">
        <f t="array" ref="CB131">IF($BP131="","",IF($BX131="",$BS131,IFERROR(IF($BV131="AL",_xlfn.XLOOKUP($BX131,Std_Al3_Code,INDEX(Std_Al3_Table,0,5)),IF($G131=1,_xlfn.XLOOKUP($BX131,Std_Cu1_Code,INDEX(Std_Cu1_Table,0,5)),_xlfn.XLOOKUP($BX131,Std_Cu3_Code,INDEX(Std_Cu3_Table,0,5)))),"")))</f>
        <v/>
      </c>
      <c r="CC131" s="829" t="str">
        <f t="shared" si="33"/>
        <v/>
      </c>
      <c r="CD131" s="829" t="str">
        <f t="shared" si="34"/>
        <v/>
      </c>
      <c r="CE131" s="829" t="str">
        <f t="shared" si="35"/>
        <v/>
      </c>
      <c r="CF131" s="829" t="str">
        <f t="shared" si="36"/>
        <v/>
      </c>
      <c r="CG131" s="829" t="str">
        <f t="shared" si="37"/>
        <v/>
      </c>
      <c r="CH131" s="829" t="str">
        <f t="shared" si="38"/>
        <v/>
      </c>
      <c r="CI131" s="829" t="str">
        <f t="shared" si="39"/>
        <v/>
      </c>
      <c r="CJ131" s="829" t="str" cm="1">
        <f t="array" ref="CJ131">IF($B131="","",_xlfn.LET(_xlpm.to,$D131&amp;"",_xlpm.em,IFERROR(INDEX(_xlfn.ANCHORARRAY($BE$4),ROW()-4,6),"")="EMERG",_xlpm.pri,AND(NOT(_xlpm.em),LEFT(_xlpm.to,2)="T-",ISNUMBER(MATCH(MID(_xlpm.to,3,99),Equip_List,0)),ISNA(MATCH(_xlpm.to,Equip_List,0))),IF(_xlpm.pri,MID(_xlpm.to,3,99),_xlpm.to)))</f>
        <v/>
      </c>
      <c r="CK131" s="829" t="str" cm="1">
        <f t="array" ref="CK131">IF($CJ131="","",IF(IFERROR(INDEX(_xlfn.ANCHORARRAY($BE$4),ROW()-4,6),"")="EMERG","E",IF($CJ131&lt;&gt;$D131&amp;"","P","N")))</f>
        <v/>
      </c>
    </row>
    <row r="132" spans="1:89" ht="15" customHeight="1" x14ac:dyDescent="0.35">
      <c r="A132" s="821" t="str">
        <f t="shared" si="27"/>
        <v/>
      </c>
      <c r="B132" s="821" t="str" cm="1">
        <f t="array" ref="B132">IFERROR(IF(INDEX(_xlfn.ANCHORARRAY($BE$4),ROW()-4,2)="","","F-"&amp;INDEX(_xlfn.ANCHORARRAY($BE$4),ROW()-4,2)&amp;IF(IFERROR(INDEX(_xlfn.ANCHORARRAY($BE$4),ROW()-4,6),"")="EMERG","-E","")),"")</f>
        <v/>
      </c>
      <c r="C132" s="821" t="str" cm="1">
        <f t="array" ref="C132">IFERROR(IF($B132="","",INDEX(_xlfn.ANCHORARRAY($BE$4),ROW()-4,1)),"")</f>
        <v/>
      </c>
      <c r="D132" s="821" t="str" cm="1">
        <f t="array" ref="D132">IFERROR(IF($B132="","",INDEX(_xlfn.ANCHORARRAY($BE$4),ROW()-4,2)),"")</f>
        <v/>
      </c>
      <c r="E132" s="806" t="str" cm="1">
        <f t="array" ref="E132">IFERROR(IF($B132="","",INDEX(_xlfn.ANCHORARRAY($BE$4),ROW()-4,3)),"")</f>
        <v/>
      </c>
      <c r="F132" s="822" t="str" cm="1">
        <f t="array" ref="F132">IFERROR(IF($B132="","",INDEX(_xlfn.ANCHORARRAY($BE$4),ROW()-4,4)),"")</f>
        <v/>
      </c>
      <c r="G132" s="823" t="str" cm="1">
        <f t="array" ref="G132">IFERROR(IF($B132="","",INDEX(_xlfn.ANCHORARRAY($BE$4),ROW()-4,5)),"")</f>
        <v/>
      </c>
      <c r="H132" s="824" t="str" cm="1">
        <f t="array" ref="H132">IF($CJ132="","",_xlfn.LET(_xlpm.v,_xlfn.XLOOKUP($CJ132,Equip_List,IF($CK132="E",Equip_EmLen,IF($CK132="P",Equip_XfPriLen,Equip_FdrLen)),""),IF(_xlpm.v="","",_xlpm.v)))</f>
        <v/>
      </c>
      <c r="I132" s="806" t="str">
        <f t="shared" si="20"/>
        <v/>
      </c>
      <c r="J132" s="820"/>
      <c r="K132" s="806" t="str">
        <f>_xlfn.LET(_xlpm.k,IF($I132="","",IF(COUNTIF(UPS!$B$57:$B$64,$C132&amp;"")&gt;0,1.25*MAX($I132,N(_xlfn.XLOOKUP($C132&amp;"",UPS!$B$57:$B$64,UPS!$M$57:$M$64,0))),IF(COUNTIF(UPS!$B$57:$B$64,$D132&amp;"")&gt;0,1.25*MAX($I132,N(_xlfn.XLOOKUP($D132&amp;"",UPS!$B$57:$B$64,UPS!$Q$57:$Q$64,0))),$I132*IF(OR(UPPER($J132)="Y",LEFT($C132,2)="T-",LEFT($D132,2)="T-"),1.25,1)))),IF(_xlpm.k="","",MAX(_xlpm.k,N(IFERROR(_xlfn.XLOOKUP($D132&amp;"",Dashboard!$A$101:$A$350,Dashboard!$O$101:$O$350,0),0)))))</f>
        <v/>
      </c>
      <c r="L132" s="825" t="str">
        <f>IF($CJ132="","",_xlfn.LET(_xlpm.v,UPPER(TRIM(_xlfn.XLOOKUP($CJ132,Equip_List,Equip_FdrMat,"")&amp;"")),IF(_xlpm.v="",UPPER(TRIM(Cfg_FeederMat&amp;"")),_xlpm.v)))</f>
        <v/>
      </c>
      <c r="M132" s="825" t="str">
        <f>IF($CJ132="","",_xlfn.LET(_xlpm.v,TRIM(_xlfn.XLOOKUP($CJ132,Equip_List,Equip_FdrRace,"")&amp;""),IF(_xlpm.v="",Cfg_Conduit&amp;"",_xlpm.v)))</f>
        <v/>
      </c>
      <c r="N132" s="825" t="str">
        <f>IF($CJ132="","",IF(UPPER(TRIM(_xlfn.XLOOKUP($CJ132,Equip_List,Equip_FdrExist,"")&amp;""))="Y","Y",""))</f>
        <v/>
      </c>
      <c r="O132" s="823" t="str">
        <f t="shared" si="28"/>
        <v/>
      </c>
      <c r="P132" s="821" t="str">
        <f t="shared" si="29"/>
        <v/>
      </c>
      <c r="Q132" s="821" t="str">
        <f t="shared" si="30"/>
        <v/>
      </c>
      <c r="R132" s="822" t="str" cm="1">
        <f t="array" ref="R132">IF(K132="","",INDEX(OCPD_List,MATCH(TRUE,OCPD_List&gt;=K132,0)))</f>
        <v/>
      </c>
      <c r="S132" s="821" t="str">
        <f t="shared" si="31"/>
        <v/>
      </c>
      <c r="T132" s="826" t="str">
        <f t="shared" si="21"/>
        <v/>
      </c>
      <c r="U132" s="826" t="str">
        <f t="shared" si="22"/>
        <v/>
      </c>
      <c r="V132" s="827" t="str">
        <f t="shared" si="23"/>
        <v/>
      </c>
      <c r="W132" s="828"/>
      <c r="X132" s="819"/>
      <c r="Y132" s="820"/>
      <c r="Z132" s="820"/>
      <c r="AA132" s="820"/>
      <c r="BN132" s="832" t="str">
        <f>IF($B132="","",IFERROR(_xlfn.XLOOKUP($D132,Dashboard!$A$101:$A$350,Dashboard!$C$101:$C$350),""))</f>
        <v/>
      </c>
      <c r="BO132" s="832" t="str">
        <f t="shared" si="24"/>
        <v/>
      </c>
      <c r="BP132" s="832" t="str" cm="1">
        <f t="array" ref="BP132">IF(OR($B132="",$R132="",NOT(ISNUMBER($R132))),"",IF(AND($BV132="AL",$G132=1),"",_xlfn.LET(_xlpm.codes,IF($BV132="AL",Std_Al3_Code,IF($G132=1,Std_Cu1_Code,Std_Cu3_Code)),_xlpm.amps,IFERROR(--SUBSTITUTE(_xlpm.codes&amp;"","N",""),""),_xlpm.a,MIN(IF(ISNUMBER(_xlpm.amps),IF(_xlpm.amps&gt;=$R132,_xlpm.amps,""),"")),_xlpm.k,IF(_xlpm.a=0,$R132,_xlpm.a),IF($BO132="Y",TEXT(_xlpm.k,"0")&amp;"N",_xlpm.k))))</f>
        <v/>
      </c>
      <c r="BQ132" s="832" t="str" cm="1">
        <f t="array" ref="BQ132">IF($BP132="","",IFERROR(IF($BV132="AL",_xlfn.XLOOKUP($BP132,Std_Al3_Code,INDEX(Std_Al3_Table,0,3)),IF($G132=1,_xlfn.XLOOKUP($BP132,Std_Cu1_Code,INDEX(Std_Cu1_Table,0,3)),_xlfn.XLOOKUP($BP132,Std_Cu3_Code,INDEX(Std_Cu3_Table,0,3)))),""))</f>
        <v/>
      </c>
      <c r="BR132" s="832" t="str" cm="1">
        <f t="array" ref="BR132">IF($BP132="","",IFERROR(IF($BV132="AL",_xlfn.XLOOKUP($BP132,Std_Al3_Code,INDEX(Std_Al3_Table,0,4)),IF($G132=1,_xlfn.XLOOKUP($BP132,Std_Cu1_Code,INDEX(Std_Cu1_Table,0,4)),_xlfn.XLOOKUP($BP132,Std_Cu3_Code,INDEX(Std_Cu3_Table,0,4)))),""))</f>
        <v/>
      </c>
      <c r="BS132" s="832" t="str" cm="1">
        <f t="array" ref="BS132">IF($BP132="","",IFERROR(IF($BV132="AL",_xlfn.XLOOKUP($BP132,Std_Al3_Code,INDEX(Std_Al3_Table,0,5)),IF($G132=1,_xlfn.XLOOKUP($BP132,Std_Cu1_Code,INDEX(Std_Cu1_Table,0,5)),_xlfn.XLOOKUP($BP132,Std_Cu3_Code,INDEX(Std_Cu3_Table,0,5)))),""))</f>
        <v/>
      </c>
      <c r="BT132" s="832" t="str">
        <f t="shared" si="25"/>
        <v/>
      </c>
      <c r="BU132" s="832" t="str" cm="1">
        <f t="array" ref="BU132">IF($BP132="","",IFERROR(IF($BV132="AL",_xlfn.XLOOKUP($BP132,Std_Al3_Code,INDEX(Std_Al3_Table,0,2)),IF($G132=1,_xlfn.XLOOKUP($BP132,Std_Cu1_Code,INDEX(Std_Cu1_Table,0,2)),_xlfn.XLOOKUP($BP132,Std_Cu3_Code,INDEX(Std_Cu3_Table,0,2)))),""))</f>
        <v/>
      </c>
      <c r="BV132" s="829" t="str">
        <f t="shared" si="26"/>
        <v/>
      </c>
      <c r="BW132" s="829" t="str">
        <f t="shared" si="32"/>
        <v/>
      </c>
      <c r="BX132" s="829" t="str" cm="1">
        <f t="array" ref="BX132">IF(OR($BP132="",$H132="",$I132="",$F132="",$BW132=""),"",IFERROR(_xlfn.LET(_xlpm.codes,IF($BV132="AL",Std_Al3_Code,IF($G132=1,Std_Cu1_Code,Std_Cu3_Code)),_xlpm.tbl,IF($BV132="AL",Std_Al3_Table,IF($G132=1,Std_Cu1_Table,Std_Cu3_Table)),_xlpm.i,MATCH($BP132,_xlpm.codes,0),_xlpm.idx,_xlfn.SEQUENCE(ROWS(_xlpm.codes)),_xlpm.cnd,INDEX(_xlpm.tbl,0,4),_xlpm.sts,INDEX(_xlpm.tbl,0,2),_xlpm.sz,IFERROR(_xlfn.TEXTBEFORE(_xlfn.TEXTAFTER(_xlpm.cnd,"#"),","),IFERROR(_xlfn.TEXTAFTER(_xlpm.cnd,"#"),"")),_xlpm.cm,IFERROR(_xlfn.XLOOKUP(TRIM(_xlpm.sz),Ampacity_Size,Ampacity_CM),0),_xlpm.mult,IF($G132=3,SQRT3,2),_xlpm.kk,IF($BV132="AL",K_Al,K_Cu),_xlpm.vd,IF(_xlpm.cm*IF(ISNUMBER(_xlpm.sts),_xlpm.sts,0)=0,9,_xlpm.mult*_xlpm.kk*$I132*$H132/(_xlpm.cm*_xlpm.sts)/$F132),_xlpm.hasN,--(RIGHT(_xlpm.codes&amp;"",1)="N"),_xlpm.wantN,--(RIGHT($BP132&amp;"",1)="N"),_xlpm.ok,(_xlpm.idx&gt;=_xlpm.i)*(_xlpm.vd&lt;=Cfg_VDFeeder)*(_xlpm.cm&gt;0)*ISNUMBER(_xlpm.sts)*(_xlpm.hasN=_xlpm.wantN),_xlpm.m,MIN(IF(_xlpm.ok=1,_xlpm.idx)),INDEX(_xlpm.codes,IF(_xlpm.m=0,_xlpm.i,_xlpm.m))),""))</f>
        <v/>
      </c>
      <c r="BY132" s="829" t="str" cm="1">
        <f t="array" ref="BY132">IF($BP132="","",IF($BX132="",$BU132,IFERROR(IF($BV132="AL",_xlfn.XLOOKUP($BX132,Std_Al3_Code,INDEX(Std_Al3_Table,0,2)),IF($G132=1,_xlfn.XLOOKUP($BX132,Std_Cu1_Code,INDEX(Std_Cu1_Table,0,2)),_xlfn.XLOOKUP($BX132,Std_Cu3_Code,INDEX(Std_Cu3_Table,0,2)))),"")))</f>
        <v/>
      </c>
      <c r="BZ132" s="829" t="str" cm="1">
        <f t="array" ref="BZ132">IF($BP132="","",IF($BX132="",$BR132,IFERROR(IF($BV132="AL",_xlfn.XLOOKUP($BX132,Std_Al3_Code,INDEX(Std_Al3_Table,0,4)),IF($G132=1,_xlfn.XLOOKUP($BX132,Std_Cu1_Code,INDEX(Std_Cu1_Table,0,4)),_xlfn.XLOOKUP($BX132,Std_Cu3_Code,INDEX(Std_Cu3_Table,0,4)))),"")))</f>
        <v/>
      </c>
      <c r="CA132" s="829" t="str" cm="1">
        <f t="array" ref="CA132">IF($BP132="","",IF($BX132="",$BQ132,IFERROR(IF($BV132="AL",_xlfn.XLOOKUP($BX132,Std_Al3_Code,INDEX(Std_Al3_Table,0,3)),IF($G132=1,_xlfn.XLOOKUP($BX132,Std_Cu1_Code,INDEX(Std_Cu1_Table,0,3)),_xlfn.XLOOKUP($BX132,Std_Cu3_Code,INDEX(Std_Cu3_Table,0,3)))),"")))</f>
        <v/>
      </c>
      <c r="CB132" s="829" t="str" cm="1">
        <f t="array" ref="CB132">IF($BP132="","",IF($BX132="",$BS132,IFERROR(IF($BV132="AL",_xlfn.XLOOKUP($BX132,Std_Al3_Code,INDEX(Std_Al3_Table,0,5)),IF($G132=1,_xlfn.XLOOKUP($BX132,Std_Cu1_Code,INDEX(Std_Cu1_Table,0,5)),_xlfn.XLOOKUP($BX132,Std_Cu3_Code,INDEX(Std_Cu3_Table,0,5)))),"")))</f>
        <v/>
      </c>
      <c r="CC132" s="829" t="str">
        <f t="shared" si="33"/>
        <v/>
      </c>
      <c r="CD132" s="829" t="str">
        <f t="shared" si="34"/>
        <v/>
      </c>
      <c r="CE132" s="829" t="str">
        <f t="shared" si="35"/>
        <v/>
      </c>
      <c r="CF132" s="829" t="str">
        <f t="shared" si="36"/>
        <v/>
      </c>
      <c r="CG132" s="829" t="str">
        <f t="shared" si="37"/>
        <v/>
      </c>
      <c r="CH132" s="829" t="str">
        <f t="shared" si="38"/>
        <v/>
      </c>
      <c r="CI132" s="829" t="str">
        <f t="shared" si="39"/>
        <v/>
      </c>
      <c r="CJ132" s="829" t="str" cm="1">
        <f t="array" ref="CJ132">IF($B132="","",_xlfn.LET(_xlpm.to,$D132&amp;"",_xlpm.em,IFERROR(INDEX(_xlfn.ANCHORARRAY($BE$4),ROW()-4,6),"")="EMERG",_xlpm.pri,AND(NOT(_xlpm.em),LEFT(_xlpm.to,2)="T-",ISNUMBER(MATCH(MID(_xlpm.to,3,99),Equip_List,0)),ISNA(MATCH(_xlpm.to,Equip_List,0))),IF(_xlpm.pri,MID(_xlpm.to,3,99),_xlpm.to)))</f>
        <v/>
      </c>
      <c r="CK132" s="829" t="str" cm="1">
        <f t="array" ref="CK132">IF($CJ132="","",IF(IFERROR(INDEX(_xlfn.ANCHORARRAY($BE$4),ROW()-4,6),"")="EMERG","E",IF($CJ132&lt;&gt;$D132&amp;"","P","N")))</f>
        <v/>
      </c>
    </row>
    <row r="133" spans="1:89" ht="15" customHeight="1" x14ac:dyDescent="0.35">
      <c r="A133" s="821" t="str">
        <f t="shared" si="27"/>
        <v/>
      </c>
      <c r="B133" s="821" t="str" cm="1">
        <f t="array" ref="B133">IFERROR(IF(INDEX(_xlfn.ANCHORARRAY($BE$4),ROW()-4,2)="","","F-"&amp;INDEX(_xlfn.ANCHORARRAY($BE$4),ROW()-4,2)&amp;IF(IFERROR(INDEX(_xlfn.ANCHORARRAY($BE$4),ROW()-4,6),"")="EMERG","-E","")),"")</f>
        <v/>
      </c>
      <c r="C133" s="821" t="str" cm="1">
        <f t="array" ref="C133">IFERROR(IF($B133="","",INDEX(_xlfn.ANCHORARRAY($BE$4),ROW()-4,1)),"")</f>
        <v/>
      </c>
      <c r="D133" s="821" t="str" cm="1">
        <f t="array" ref="D133">IFERROR(IF($B133="","",INDEX(_xlfn.ANCHORARRAY($BE$4),ROW()-4,2)),"")</f>
        <v/>
      </c>
      <c r="E133" s="806" t="str" cm="1">
        <f t="array" ref="E133">IFERROR(IF($B133="","",INDEX(_xlfn.ANCHORARRAY($BE$4),ROW()-4,3)),"")</f>
        <v/>
      </c>
      <c r="F133" s="822" t="str" cm="1">
        <f t="array" ref="F133">IFERROR(IF($B133="","",INDEX(_xlfn.ANCHORARRAY($BE$4),ROW()-4,4)),"")</f>
        <v/>
      </c>
      <c r="G133" s="823" t="str" cm="1">
        <f t="array" ref="G133">IFERROR(IF($B133="","",INDEX(_xlfn.ANCHORARRAY($BE$4),ROW()-4,5)),"")</f>
        <v/>
      </c>
      <c r="H133" s="824" t="str" cm="1">
        <f t="array" ref="H133">IF($CJ133="","",_xlfn.LET(_xlpm.v,_xlfn.XLOOKUP($CJ133,Equip_List,IF($CK133="E",Equip_EmLen,IF($CK133="P",Equip_XfPriLen,Equip_FdrLen)),""),IF(_xlpm.v="","",_xlpm.v)))</f>
        <v/>
      </c>
      <c r="I133" s="806" t="str">
        <f t="shared" ref="I133:I196" si="40">IF(OR(E133="",F133=""),"",E133*1000/(F133*IF(G133=3,SQRT3,1)))</f>
        <v/>
      </c>
      <c r="J133" s="820"/>
      <c r="K133" s="806" t="str">
        <f>_xlfn.LET(_xlpm.k,IF($I133="","",IF(COUNTIF(UPS!$B$57:$B$64,$C133&amp;"")&gt;0,1.25*MAX($I133,N(_xlfn.XLOOKUP($C133&amp;"",UPS!$B$57:$B$64,UPS!$M$57:$M$64,0))),IF(COUNTIF(UPS!$B$57:$B$64,$D133&amp;"")&gt;0,1.25*MAX($I133,N(_xlfn.XLOOKUP($D133&amp;"",UPS!$B$57:$B$64,UPS!$Q$57:$Q$64,0))),$I133*IF(OR(UPPER($J133)="Y",LEFT($C133,2)="T-",LEFT($D133,2)="T-"),1.25,1)))),IF(_xlpm.k="","",MAX(_xlpm.k,N(IFERROR(_xlfn.XLOOKUP($D133&amp;"",Dashboard!$A$101:$A$350,Dashboard!$O$101:$O$350,0),0)))))</f>
        <v/>
      </c>
      <c r="L133" s="825" t="str">
        <f>IF($CJ133="","",_xlfn.LET(_xlpm.v,UPPER(TRIM(_xlfn.XLOOKUP($CJ133,Equip_List,Equip_FdrMat,"")&amp;"")),IF(_xlpm.v="",UPPER(TRIM(Cfg_FeederMat&amp;"")),_xlpm.v)))</f>
        <v/>
      </c>
      <c r="M133" s="825" t="str">
        <f>IF($CJ133="","",_xlfn.LET(_xlpm.v,TRIM(_xlfn.XLOOKUP($CJ133,Equip_List,Equip_FdrRace,"")&amp;""),IF(_xlpm.v="",Cfg_Conduit&amp;"",_xlpm.v)))</f>
        <v/>
      </c>
      <c r="N133" s="825" t="str">
        <f>IF($CJ133="","",IF(UPPER(TRIM(_xlfn.XLOOKUP($CJ133,Equip_List,Equip_FdrExist,"")&amp;""))="Y","Y",""))</f>
        <v/>
      </c>
      <c r="O133" s="823" t="str">
        <f t="shared" si="28"/>
        <v/>
      </c>
      <c r="P133" s="821" t="str">
        <f t="shared" si="29"/>
        <v/>
      </c>
      <c r="Q133" s="821" t="str">
        <f t="shared" si="30"/>
        <v/>
      </c>
      <c r="R133" s="822" t="str" cm="1">
        <f t="array" ref="R133">IF(K133="","",INDEX(OCPD_List,MATCH(TRUE,OCPD_List&gt;=K133,0)))</f>
        <v/>
      </c>
      <c r="S133" s="821" t="str">
        <f t="shared" si="31"/>
        <v/>
      </c>
      <c r="T133" s="826" t="str">
        <f t="shared" ref="T133:T196" si="41">IF(UPPER($N133&amp;"")="Y","",IFERROR(IF(OR($I133="",$H133="",$BW133="",$F133="",$BU133=""),"",(IF($G133=3,SQRT3,2))*IF($BV133="AL",K_Al,K_Cu)*$I133*$H133/(_xlfn.XLOOKUP($BW133,Ampacity_Size,Ampacity_CM)*$BU133)/$F133),""))</f>
        <v/>
      </c>
      <c r="U133" s="826" t="str">
        <f t="shared" ref="U133:U196" si="42">IFERROR(IF(OR($I133="",$H133="",$CH133="",$F133="",NOT(ISNUMBER($CD133))),"",(IF($G133=3,SQRT3,2))*IF($BV133="AL",K_Al,K_Cu)*$I133*$H133/(_xlfn.XLOOKUP($CH133,Ampacity_Size,Ampacity_CM)*$CD133)/$F133),"")</f>
        <v/>
      </c>
      <c r="V133" s="827" t="str">
        <f t="shared" ref="V133:V196" si="43">IF($B133="","",IF(UPPER($N133&amp;"")="Y","EXIST — existing feeder to remain; verify capacity for the new load",IF(AND($BV133="AL",$G133=1),IF($CI133&lt;&gt;"",$CI133,"⚠ no aluminium single-phase standard schedule — set Material to Cu on this row, or record what is installed in the Override columns"),IF($BP133="","",IF($BQ133="","⚠ OCPD "&amp;TEXT($R133,"0")&amp;"A is not in the "&amp;IF($BV133="AL","aluminium","copper")&amp;" standard schedule",IF($CI133&lt;&gt;"",$CI133,IF($BT133&lt;&gt;"",$BT133,IF($H133="","⚠ Enter length to check voltage drop",IF(NOT(ISNUMBER($U133)),"⚠ Voltage drop cannot be calculated",IF($U133&gt;Cfg_VDFeeder,"⚠ VD "&amp;TEXT($U133,"0.0%")&amp;" exceeds "&amp;TEXT(Cfg_VDFeeder,"0%")&amp;" — shorten run or add sets",IF($BX133&lt;&gt;$BP133,"↑ Conductors upsized to code "&amp;$BX133&amp;" for VD","OK")))))))))))</f>
        <v/>
      </c>
      <c r="W133" s="828"/>
      <c r="X133" s="819"/>
      <c r="Y133" s="820"/>
      <c r="Z133" s="820"/>
      <c r="AA133" s="820"/>
      <c r="BN133" s="832" t="str">
        <f>IF($B133="","",IFERROR(_xlfn.XLOOKUP($D133,Dashboard!$A$101:$A$350,Dashboard!$C$101:$C$350),""))</f>
        <v/>
      </c>
      <c r="BO133" s="832" t="str">
        <f t="shared" ref="BO133:BO196" si="44">IF($B133="","",IF(OR(ISNUMBER(SEARCH("4W",$BN133)),ISNUMBER(SEARCH("3W",$BN133))),"Y","N"))</f>
        <v/>
      </c>
      <c r="BP133" s="832" t="str" cm="1">
        <f t="array" ref="BP133">IF(OR($B133="",$R133="",NOT(ISNUMBER($R133))),"",IF(AND($BV133="AL",$G133=1),"",_xlfn.LET(_xlpm.codes,IF($BV133="AL",Std_Al3_Code,IF($G133=1,Std_Cu1_Code,Std_Cu3_Code)),_xlpm.amps,IFERROR(--SUBSTITUTE(_xlpm.codes&amp;"","N",""),""),_xlpm.a,MIN(IF(ISNUMBER(_xlpm.amps),IF(_xlpm.amps&gt;=$R133,_xlpm.amps,""),"")),_xlpm.k,IF(_xlpm.a=0,$R133,_xlpm.a),IF($BO133="Y",TEXT(_xlpm.k,"0")&amp;"N",_xlpm.k))))</f>
        <v/>
      </c>
      <c r="BQ133" s="832" t="str" cm="1">
        <f t="array" ref="BQ133">IF($BP133="","",IFERROR(IF($BV133="AL",_xlfn.XLOOKUP($BP133,Std_Al3_Code,INDEX(Std_Al3_Table,0,3)),IF($G133=1,_xlfn.XLOOKUP($BP133,Std_Cu1_Code,INDEX(Std_Cu1_Table,0,3)),_xlfn.XLOOKUP($BP133,Std_Cu3_Code,INDEX(Std_Cu3_Table,0,3)))),""))</f>
        <v/>
      </c>
      <c r="BR133" s="832" t="str" cm="1">
        <f t="array" ref="BR133">IF($BP133="","",IFERROR(IF($BV133="AL",_xlfn.XLOOKUP($BP133,Std_Al3_Code,INDEX(Std_Al3_Table,0,4)),IF($G133=1,_xlfn.XLOOKUP($BP133,Std_Cu1_Code,INDEX(Std_Cu1_Table,0,4)),_xlfn.XLOOKUP($BP133,Std_Cu3_Code,INDEX(Std_Cu3_Table,0,4)))),""))</f>
        <v/>
      </c>
      <c r="BS133" s="832" t="str" cm="1">
        <f t="array" ref="BS133">IF($BP133="","",IFERROR(IF($BV133="AL",_xlfn.XLOOKUP($BP133,Std_Al3_Code,INDEX(Std_Al3_Table,0,5)),IF($G133=1,_xlfn.XLOOKUP($BP133,Std_Cu1_Code,INDEX(Std_Cu1_Table,0,5)),_xlfn.XLOOKUP($BP133,Std_Cu3_Code,INDEX(Std_Cu3_Table,0,5)))),""))</f>
        <v/>
      </c>
      <c r="BT133" s="832" t="str">
        <f t="shared" ref="BT133:BT196" si="45">IF(AND($CH133&lt;&gt;"",ISNA(MATCH(TRIM($CH133),Ampacity_Size,0))),"⚠ conductor above 750 kcmil (max) — use parallel sets (Ovr Sets)",IF(OR($B133="",$CC133="",$R133="",$BY133=""),"",IFERROR(_xlfn.LET(_xlpm.amp,INDEX(IF($BV133="AL",Ampacity_Al,Ampacity_Cu),MATCH($CC133,Ampacity_Size,0))*$BY133,IF(_xlpm.amp&lt;$R133,"⚠ standard conductor ampacity "&amp;TEXT(_xlpm.amp,"0")&amp;"A is below OCPD "&amp;TEXT($R133,"0")&amp;"A","")),"")))</f>
        <v/>
      </c>
      <c r="BU133" s="832" t="str" cm="1">
        <f t="array" ref="BU133">IF($BP133="","",IFERROR(IF($BV133="AL",_xlfn.XLOOKUP($BP133,Std_Al3_Code,INDEX(Std_Al3_Table,0,2)),IF($G133=1,_xlfn.XLOOKUP($BP133,Std_Cu1_Code,INDEX(Std_Cu1_Table,0,2)),_xlfn.XLOOKUP($BP133,Std_Cu3_Code,INDEX(Std_Cu3_Table,0,2)))),""))</f>
        <v/>
      </c>
      <c r="BV133" s="829" t="str">
        <f t="shared" ref="BV133:BV196" si="46">IF($B133="","",IF(UPPER(TRIM($L133&amp;""))="AL","AL",IF(UPPER(TRIM($L133&amp;""))="CU","CU",IF(UPPER(TRIM(Cfg_FeederMat&amp;""))="AL","AL","CU"))))</f>
        <v/>
      </c>
      <c r="BW133" s="829" t="str">
        <f t="shared" si="32"/>
        <v/>
      </c>
      <c r="BX133" s="829" t="str" cm="1">
        <f t="array" ref="BX133">IF(OR($BP133="",$H133="",$I133="",$F133="",$BW133=""),"",IFERROR(_xlfn.LET(_xlpm.codes,IF($BV133="AL",Std_Al3_Code,IF($G133=1,Std_Cu1_Code,Std_Cu3_Code)),_xlpm.tbl,IF($BV133="AL",Std_Al3_Table,IF($G133=1,Std_Cu1_Table,Std_Cu3_Table)),_xlpm.i,MATCH($BP133,_xlpm.codes,0),_xlpm.idx,_xlfn.SEQUENCE(ROWS(_xlpm.codes)),_xlpm.cnd,INDEX(_xlpm.tbl,0,4),_xlpm.sts,INDEX(_xlpm.tbl,0,2),_xlpm.sz,IFERROR(_xlfn.TEXTBEFORE(_xlfn.TEXTAFTER(_xlpm.cnd,"#"),","),IFERROR(_xlfn.TEXTAFTER(_xlpm.cnd,"#"),"")),_xlpm.cm,IFERROR(_xlfn.XLOOKUP(TRIM(_xlpm.sz),Ampacity_Size,Ampacity_CM),0),_xlpm.mult,IF($G133=3,SQRT3,2),_xlpm.kk,IF($BV133="AL",K_Al,K_Cu),_xlpm.vd,IF(_xlpm.cm*IF(ISNUMBER(_xlpm.sts),_xlpm.sts,0)=0,9,_xlpm.mult*_xlpm.kk*$I133*$H133/(_xlpm.cm*_xlpm.sts)/$F133),_xlpm.hasN,--(RIGHT(_xlpm.codes&amp;"",1)="N"),_xlpm.wantN,--(RIGHT($BP133&amp;"",1)="N"),_xlpm.ok,(_xlpm.idx&gt;=_xlpm.i)*(_xlpm.vd&lt;=Cfg_VDFeeder)*(_xlpm.cm&gt;0)*ISNUMBER(_xlpm.sts)*(_xlpm.hasN=_xlpm.wantN),_xlpm.m,MIN(IF(_xlpm.ok=1,_xlpm.idx)),INDEX(_xlpm.codes,IF(_xlpm.m=0,_xlpm.i,_xlpm.m))),""))</f>
        <v/>
      </c>
      <c r="BY133" s="829" t="str" cm="1">
        <f t="array" ref="BY133">IF($BP133="","",IF($BX133="",$BU133,IFERROR(IF($BV133="AL",_xlfn.XLOOKUP($BX133,Std_Al3_Code,INDEX(Std_Al3_Table,0,2)),IF($G133=1,_xlfn.XLOOKUP($BX133,Std_Cu1_Code,INDEX(Std_Cu1_Table,0,2)),_xlfn.XLOOKUP($BX133,Std_Cu3_Code,INDEX(Std_Cu3_Table,0,2)))),"")))</f>
        <v/>
      </c>
      <c r="BZ133" s="829" t="str" cm="1">
        <f t="array" ref="BZ133">IF($BP133="","",IF($BX133="",$BR133,IFERROR(IF($BV133="AL",_xlfn.XLOOKUP($BX133,Std_Al3_Code,INDEX(Std_Al3_Table,0,4)),IF($G133=1,_xlfn.XLOOKUP($BX133,Std_Cu1_Code,INDEX(Std_Cu1_Table,0,4)),_xlfn.XLOOKUP($BX133,Std_Cu3_Code,INDEX(Std_Cu3_Table,0,4)))),"")))</f>
        <v/>
      </c>
      <c r="CA133" s="829" t="str" cm="1">
        <f t="array" ref="CA133">IF($BP133="","",IF($BX133="",$BQ133,IFERROR(IF($BV133="AL",_xlfn.XLOOKUP($BX133,Std_Al3_Code,INDEX(Std_Al3_Table,0,3)),IF($G133=1,_xlfn.XLOOKUP($BX133,Std_Cu1_Code,INDEX(Std_Cu1_Table,0,3)),_xlfn.XLOOKUP($BX133,Std_Cu3_Code,INDEX(Std_Cu3_Table,0,3)))),"")))</f>
        <v/>
      </c>
      <c r="CB133" s="829" t="str" cm="1">
        <f t="array" ref="CB133">IF($BP133="","",IF($BX133="",$BS133,IFERROR(IF($BV133="AL",_xlfn.XLOOKUP($BX133,Std_Al3_Code,INDEX(Std_Al3_Table,0,5)),IF($G133=1,_xlfn.XLOOKUP($BX133,Std_Cu1_Code,INDEX(Std_Cu1_Table,0,5)),_xlfn.XLOOKUP($BX133,Std_Cu3_Code,INDEX(Std_Cu3_Table,0,5)))),"")))</f>
        <v/>
      </c>
      <c r="CC133" s="829" t="str">
        <f t="shared" si="33"/>
        <v/>
      </c>
      <c r="CD133" s="829" t="str">
        <f t="shared" si="34"/>
        <v/>
      </c>
      <c r="CE133" s="829" t="str">
        <f t="shared" si="35"/>
        <v/>
      </c>
      <c r="CF133" s="829" t="str">
        <f t="shared" si="36"/>
        <v/>
      </c>
      <c r="CG133" s="829" t="str">
        <f t="shared" si="37"/>
        <v/>
      </c>
      <c r="CH133" s="829" t="str">
        <f t="shared" si="38"/>
        <v/>
      </c>
      <c r="CI133" s="829" t="str">
        <f t="shared" si="39"/>
        <v/>
      </c>
      <c r="CJ133" s="829" t="str" cm="1">
        <f t="array" ref="CJ133">IF($B133="","",_xlfn.LET(_xlpm.to,$D133&amp;"",_xlpm.em,IFERROR(INDEX(_xlfn.ANCHORARRAY($BE$4),ROW()-4,6),"")="EMERG",_xlpm.pri,AND(NOT(_xlpm.em),LEFT(_xlpm.to,2)="T-",ISNUMBER(MATCH(MID(_xlpm.to,3,99),Equip_List,0)),ISNA(MATCH(_xlpm.to,Equip_List,0))),IF(_xlpm.pri,MID(_xlpm.to,3,99),_xlpm.to)))</f>
        <v/>
      </c>
      <c r="CK133" s="829" t="str" cm="1">
        <f t="array" ref="CK133">IF($CJ133="","",IF(IFERROR(INDEX(_xlfn.ANCHORARRAY($BE$4),ROW()-4,6),"")="EMERG","E",IF($CJ133&lt;&gt;$D133&amp;"","P","N")))</f>
        <v/>
      </c>
    </row>
    <row r="134" spans="1:89" ht="15" customHeight="1" x14ac:dyDescent="0.35">
      <c r="A134" s="821" t="str">
        <f t="shared" ref="A134:A197" si="47">IF($B134="","",IF(UPPER($N134&amp;"")="Y","EXIST",IF($BP134="","",$BP134)))</f>
        <v/>
      </c>
      <c r="B134" s="821" t="str" cm="1">
        <f t="array" ref="B134">IFERROR(IF(INDEX(_xlfn.ANCHORARRAY($BE$4),ROW()-4,2)="","","F-"&amp;INDEX(_xlfn.ANCHORARRAY($BE$4),ROW()-4,2)&amp;IF(IFERROR(INDEX(_xlfn.ANCHORARRAY($BE$4),ROW()-4,6),"")="EMERG","-E","")),"")</f>
        <v/>
      </c>
      <c r="C134" s="821" t="str" cm="1">
        <f t="array" ref="C134">IFERROR(IF($B134="","",INDEX(_xlfn.ANCHORARRAY($BE$4),ROW()-4,1)),"")</f>
        <v/>
      </c>
      <c r="D134" s="821" t="str" cm="1">
        <f t="array" ref="D134">IFERROR(IF($B134="","",INDEX(_xlfn.ANCHORARRAY($BE$4),ROW()-4,2)),"")</f>
        <v/>
      </c>
      <c r="E134" s="806" t="str" cm="1">
        <f t="array" ref="E134">IFERROR(IF($B134="","",INDEX(_xlfn.ANCHORARRAY($BE$4),ROW()-4,3)),"")</f>
        <v/>
      </c>
      <c r="F134" s="822" t="str" cm="1">
        <f t="array" ref="F134">IFERROR(IF($B134="","",INDEX(_xlfn.ANCHORARRAY($BE$4),ROW()-4,4)),"")</f>
        <v/>
      </c>
      <c r="G134" s="823" t="str" cm="1">
        <f t="array" ref="G134">IFERROR(IF($B134="","",INDEX(_xlfn.ANCHORARRAY($BE$4),ROW()-4,5)),"")</f>
        <v/>
      </c>
      <c r="H134" s="824" t="str" cm="1">
        <f t="array" ref="H134">IF($CJ134="","",_xlfn.LET(_xlpm.v,_xlfn.XLOOKUP($CJ134,Equip_List,IF($CK134="E",Equip_EmLen,IF($CK134="P",Equip_XfPriLen,Equip_FdrLen)),""),IF(_xlpm.v="","",_xlpm.v)))</f>
        <v/>
      </c>
      <c r="I134" s="806" t="str">
        <f t="shared" si="40"/>
        <v/>
      </c>
      <c r="J134" s="820"/>
      <c r="K134" s="806" t="str">
        <f>_xlfn.LET(_xlpm.k,IF($I134="","",IF(COUNTIF(UPS!$B$57:$B$64,$C134&amp;"")&gt;0,1.25*MAX($I134,N(_xlfn.XLOOKUP($C134&amp;"",UPS!$B$57:$B$64,UPS!$M$57:$M$64,0))),IF(COUNTIF(UPS!$B$57:$B$64,$D134&amp;"")&gt;0,1.25*MAX($I134,N(_xlfn.XLOOKUP($D134&amp;"",UPS!$B$57:$B$64,UPS!$Q$57:$Q$64,0))),$I134*IF(OR(UPPER($J134)="Y",LEFT($C134,2)="T-",LEFT($D134,2)="T-"),1.25,1)))),IF(_xlpm.k="","",MAX(_xlpm.k,N(IFERROR(_xlfn.XLOOKUP($D134&amp;"",Dashboard!$A$101:$A$350,Dashboard!$O$101:$O$350,0),0)))))</f>
        <v/>
      </c>
      <c r="L134" s="825" t="str">
        <f>IF($CJ134="","",_xlfn.LET(_xlpm.v,UPPER(TRIM(_xlfn.XLOOKUP($CJ134,Equip_List,Equip_FdrMat,"")&amp;"")),IF(_xlpm.v="",UPPER(TRIM(Cfg_FeederMat&amp;"")),_xlpm.v)))</f>
        <v/>
      </c>
      <c r="M134" s="825" t="str">
        <f>IF($CJ134="","",_xlfn.LET(_xlpm.v,TRIM(_xlfn.XLOOKUP($CJ134,Equip_List,Equip_FdrRace,"")&amp;""),IF(_xlpm.v="",Cfg_Conduit&amp;"",_xlpm.v)))</f>
        <v/>
      </c>
      <c r="N134" s="825" t="str">
        <f>IF($CJ134="","",IF(UPPER(TRIM(_xlfn.XLOOKUP($CJ134,Equip_List,Equip_FdrExist,"")&amp;""))="Y","Y",""))</f>
        <v/>
      </c>
      <c r="O134" s="823" t="str">
        <f t="shared" ref="O134:O197" si="48">IF($CD134="","",$CD134)</f>
        <v/>
      </c>
      <c r="P134" s="821" t="str">
        <f t="shared" ref="P134:P197" si="49">IF($CE134="","",$CE134)</f>
        <v/>
      </c>
      <c r="Q134" s="821" t="str">
        <f t="shared" ref="Q134:Q197" si="50">IF($CF134="","",$CF134)</f>
        <v/>
      </c>
      <c r="R134" s="822" t="str" cm="1">
        <f t="array" ref="R134">IF(K134="","",INDEX(OCPD_List,MATCH(TRUE,OCPD_List&gt;=K134,0)))</f>
        <v/>
      </c>
      <c r="S134" s="821" t="str">
        <f t="shared" ref="S134:S197" si="51">IF($CG134="","",$CG134)</f>
        <v/>
      </c>
      <c r="T134" s="826" t="str">
        <f t="shared" si="41"/>
        <v/>
      </c>
      <c r="U134" s="826" t="str">
        <f t="shared" si="42"/>
        <v/>
      </c>
      <c r="V134" s="827" t="str">
        <f t="shared" si="43"/>
        <v/>
      </c>
      <c r="W134" s="828"/>
      <c r="X134" s="819"/>
      <c r="Y134" s="820"/>
      <c r="Z134" s="820"/>
      <c r="AA134" s="820"/>
      <c r="BN134" s="832" t="str">
        <f>IF($B134="","",IFERROR(_xlfn.XLOOKUP($D134,Dashboard!$A$101:$A$350,Dashboard!$C$101:$C$350),""))</f>
        <v/>
      </c>
      <c r="BO134" s="832" t="str">
        <f t="shared" si="44"/>
        <v/>
      </c>
      <c r="BP134" s="832" t="str" cm="1">
        <f t="array" ref="BP134">IF(OR($B134="",$R134="",NOT(ISNUMBER($R134))),"",IF(AND($BV134="AL",$G134=1),"",_xlfn.LET(_xlpm.codes,IF($BV134="AL",Std_Al3_Code,IF($G134=1,Std_Cu1_Code,Std_Cu3_Code)),_xlpm.amps,IFERROR(--SUBSTITUTE(_xlpm.codes&amp;"","N",""),""),_xlpm.a,MIN(IF(ISNUMBER(_xlpm.amps),IF(_xlpm.amps&gt;=$R134,_xlpm.amps,""),"")),_xlpm.k,IF(_xlpm.a=0,$R134,_xlpm.a),IF($BO134="Y",TEXT(_xlpm.k,"0")&amp;"N",_xlpm.k))))</f>
        <v/>
      </c>
      <c r="BQ134" s="832" t="str" cm="1">
        <f t="array" ref="BQ134">IF($BP134="","",IFERROR(IF($BV134="AL",_xlfn.XLOOKUP($BP134,Std_Al3_Code,INDEX(Std_Al3_Table,0,3)),IF($G134=1,_xlfn.XLOOKUP($BP134,Std_Cu1_Code,INDEX(Std_Cu1_Table,0,3)),_xlfn.XLOOKUP($BP134,Std_Cu3_Code,INDEX(Std_Cu3_Table,0,3)))),""))</f>
        <v/>
      </c>
      <c r="BR134" s="832" t="str" cm="1">
        <f t="array" ref="BR134">IF($BP134="","",IFERROR(IF($BV134="AL",_xlfn.XLOOKUP($BP134,Std_Al3_Code,INDEX(Std_Al3_Table,0,4)),IF($G134=1,_xlfn.XLOOKUP($BP134,Std_Cu1_Code,INDEX(Std_Cu1_Table,0,4)),_xlfn.XLOOKUP($BP134,Std_Cu3_Code,INDEX(Std_Cu3_Table,0,4)))),""))</f>
        <v/>
      </c>
      <c r="BS134" s="832" t="str" cm="1">
        <f t="array" ref="BS134">IF($BP134="","",IFERROR(IF($BV134="AL",_xlfn.XLOOKUP($BP134,Std_Al3_Code,INDEX(Std_Al3_Table,0,5)),IF($G134=1,_xlfn.XLOOKUP($BP134,Std_Cu1_Code,INDEX(Std_Cu1_Table,0,5)),_xlfn.XLOOKUP($BP134,Std_Cu3_Code,INDEX(Std_Cu3_Table,0,5)))),""))</f>
        <v/>
      </c>
      <c r="BT134" s="832" t="str">
        <f t="shared" si="45"/>
        <v/>
      </c>
      <c r="BU134" s="832" t="str" cm="1">
        <f t="array" ref="BU134">IF($BP134="","",IFERROR(IF($BV134="AL",_xlfn.XLOOKUP($BP134,Std_Al3_Code,INDEX(Std_Al3_Table,0,2)),IF($G134=1,_xlfn.XLOOKUP($BP134,Std_Cu1_Code,INDEX(Std_Cu1_Table,0,2)),_xlfn.XLOOKUP($BP134,Std_Cu3_Code,INDEX(Std_Cu3_Table,0,2)))),""))</f>
        <v/>
      </c>
      <c r="BV134" s="829" t="str">
        <f t="shared" si="46"/>
        <v/>
      </c>
      <c r="BW134" s="829" t="str">
        <f t="shared" ref="BW134:BW197" si="52">IF($BR134="","",IFERROR(_xlfn.LET(_xlpm.a,_xlfn.TEXTAFTER($BR134,"#"),_xlpm.b,IFERROR(_xlfn.TEXTBEFORE(_xlpm.a,","),_xlpm.a),TRIM(_xlpm.b)),""))</f>
        <v/>
      </c>
      <c r="BX134" s="829" t="str" cm="1">
        <f t="array" ref="BX134">IF(OR($BP134="",$H134="",$I134="",$F134="",$BW134=""),"",IFERROR(_xlfn.LET(_xlpm.codes,IF($BV134="AL",Std_Al3_Code,IF($G134=1,Std_Cu1_Code,Std_Cu3_Code)),_xlpm.tbl,IF($BV134="AL",Std_Al3_Table,IF($G134=1,Std_Cu1_Table,Std_Cu3_Table)),_xlpm.i,MATCH($BP134,_xlpm.codes,0),_xlpm.idx,_xlfn.SEQUENCE(ROWS(_xlpm.codes)),_xlpm.cnd,INDEX(_xlpm.tbl,0,4),_xlpm.sts,INDEX(_xlpm.tbl,0,2),_xlpm.sz,IFERROR(_xlfn.TEXTBEFORE(_xlfn.TEXTAFTER(_xlpm.cnd,"#"),","),IFERROR(_xlfn.TEXTAFTER(_xlpm.cnd,"#"),"")),_xlpm.cm,IFERROR(_xlfn.XLOOKUP(TRIM(_xlpm.sz),Ampacity_Size,Ampacity_CM),0),_xlpm.mult,IF($G134=3,SQRT3,2),_xlpm.kk,IF($BV134="AL",K_Al,K_Cu),_xlpm.vd,IF(_xlpm.cm*IF(ISNUMBER(_xlpm.sts),_xlpm.sts,0)=0,9,_xlpm.mult*_xlpm.kk*$I134*$H134/(_xlpm.cm*_xlpm.sts)/$F134),_xlpm.hasN,--(RIGHT(_xlpm.codes&amp;"",1)="N"),_xlpm.wantN,--(RIGHT($BP134&amp;"",1)="N"),_xlpm.ok,(_xlpm.idx&gt;=_xlpm.i)*(_xlpm.vd&lt;=Cfg_VDFeeder)*(_xlpm.cm&gt;0)*ISNUMBER(_xlpm.sts)*(_xlpm.hasN=_xlpm.wantN),_xlpm.m,MIN(IF(_xlpm.ok=1,_xlpm.idx)),INDEX(_xlpm.codes,IF(_xlpm.m=0,_xlpm.i,_xlpm.m))),""))</f>
        <v/>
      </c>
      <c r="BY134" s="829" t="str" cm="1">
        <f t="array" ref="BY134">IF($BP134="","",IF($BX134="",$BU134,IFERROR(IF($BV134="AL",_xlfn.XLOOKUP($BX134,Std_Al3_Code,INDEX(Std_Al3_Table,0,2)),IF($G134=1,_xlfn.XLOOKUP($BX134,Std_Cu1_Code,INDEX(Std_Cu1_Table,0,2)),_xlfn.XLOOKUP($BX134,Std_Cu3_Code,INDEX(Std_Cu3_Table,0,2)))),"")))</f>
        <v/>
      </c>
      <c r="BZ134" s="829" t="str" cm="1">
        <f t="array" ref="BZ134">IF($BP134="","",IF($BX134="",$BR134,IFERROR(IF($BV134="AL",_xlfn.XLOOKUP($BX134,Std_Al3_Code,INDEX(Std_Al3_Table,0,4)),IF($G134=1,_xlfn.XLOOKUP($BX134,Std_Cu1_Code,INDEX(Std_Cu1_Table,0,4)),_xlfn.XLOOKUP($BX134,Std_Cu3_Code,INDEX(Std_Cu3_Table,0,4)))),"")))</f>
        <v/>
      </c>
      <c r="CA134" s="829" t="str" cm="1">
        <f t="array" ref="CA134">IF($BP134="","",IF($BX134="",$BQ134,IFERROR(IF($BV134="AL",_xlfn.XLOOKUP($BX134,Std_Al3_Code,INDEX(Std_Al3_Table,0,3)),IF($G134=1,_xlfn.XLOOKUP($BX134,Std_Cu1_Code,INDEX(Std_Cu1_Table,0,3)),_xlfn.XLOOKUP($BX134,Std_Cu3_Code,INDEX(Std_Cu3_Table,0,3)))),"")))</f>
        <v/>
      </c>
      <c r="CB134" s="829" t="str" cm="1">
        <f t="array" ref="CB134">IF($BP134="","",IF($BX134="",$BS134,IFERROR(IF($BV134="AL",_xlfn.XLOOKUP($BX134,Std_Al3_Code,INDEX(Std_Al3_Table,0,5)),IF($G134=1,_xlfn.XLOOKUP($BX134,Std_Cu1_Code,INDEX(Std_Cu1_Table,0,5)),_xlfn.XLOOKUP($BX134,Std_Cu3_Code,INDEX(Std_Cu3_Table,0,5)))),"")))</f>
        <v/>
      </c>
      <c r="CC134" s="829" t="str">
        <f t="shared" ref="CC134:CC197" si="53">IF($BZ134="","",IFERROR(_xlfn.LET(_xlpm.a,_xlfn.TEXTAFTER($BZ134,"#"),_xlpm.b,IFERROR(_xlfn.TEXTBEFORE(_xlpm.a,","),_xlpm.a),TRIM(_xlpm.b)),""))</f>
        <v/>
      </c>
      <c r="CD134" s="829" t="str">
        <f t="shared" ref="CD134:CD197" si="54">IF($B134="","",IF(UPPER($N134&amp;"")="Y",IF($X134="","—",$X134),IF($X134&lt;&gt;"",$X134,$BY134)))</f>
        <v/>
      </c>
      <c r="CE134" s="829" t="str">
        <f t="shared" ref="CE134:CE197" si="55">IF($B134="","",IF(UPPER($N134&amp;"")="Y",IF($Y134="","EXISTING",$Y134),IF($Y134&lt;&gt;"",$Y134,$BZ134)))</f>
        <v/>
      </c>
      <c r="CF134" s="829" t="str">
        <f t="shared" ref="CF134:CF197" si="56">IF($B134="","",IF(UPPER($N134&amp;"")="Y",IF($Z134="","—",$Z134),IF($Z134&lt;&gt;"",$Z134,$CA134)))</f>
        <v/>
      </c>
      <c r="CG134" s="829" t="str">
        <f t="shared" ref="CG134:CG197" si="57">IF($B134="","",IF(UPPER($N134&amp;"")="Y",IF($AA134="","—",$AA134),IF($AA134&lt;&gt;"",$AA134,$CB134)))</f>
        <v/>
      </c>
      <c r="CH134" s="829" t="str">
        <f t="shared" ref="CH134:CH197" si="58">IF($CE134="","",IFERROR(_xlfn.LET(_xlpm.a,_xlfn.TEXTAFTER($CE134,"#"),_xlpm.b,IFERROR(_xlfn.TEXTBEFORE(_xlpm.a,","),_xlpm.a),TRIM(_xlpm.b)),""))</f>
        <v/>
      </c>
      <c r="CI134" s="829" t="str">
        <f t="shared" ref="CI134:CI197" si="59">IF($B134="","",IF(COUNTA($X134:$AA134)=0,"","✎ Manual override — "&amp;_xlfn.TEXTJOIN(", ",TRUE,IF($X134&lt;&gt;"","sets",""),IF($Y134&lt;&gt;"","conductor",""),IF($Z134&lt;&gt;"","conduit",""),IF($AA134&lt;&gt;"","ground",""))))</f>
        <v/>
      </c>
      <c r="CJ134" s="829" t="str" cm="1">
        <f t="array" ref="CJ134">IF($B134="","",_xlfn.LET(_xlpm.to,$D134&amp;"",_xlpm.em,IFERROR(INDEX(_xlfn.ANCHORARRAY($BE$4),ROW()-4,6),"")="EMERG",_xlpm.pri,AND(NOT(_xlpm.em),LEFT(_xlpm.to,2)="T-",ISNUMBER(MATCH(MID(_xlpm.to,3,99),Equip_List,0)),ISNA(MATCH(_xlpm.to,Equip_List,0))),IF(_xlpm.pri,MID(_xlpm.to,3,99),_xlpm.to)))</f>
        <v/>
      </c>
      <c r="CK134" s="829" t="str" cm="1">
        <f t="array" ref="CK134">IF($CJ134="","",IF(IFERROR(INDEX(_xlfn.ANCHORARRAY($BE$4),ROW()-4,6),"")="EMERG","E",IF($CJ134&lt;&gt;$D134&amp;"","P","N")))</f>
        <v/>
      </c>
    </row>
    <row r="135" spans="1:89" ht="15" customHeight="1" x14ac:dyDescent="0.35">
      <c r="A135" s="821" t="str">
        <f t="shared" si="47"/>
        <v/>
      </c>
      <c r="B135" s="821" t="str" cm="1">
        <f t="array" ref="B135">IFERROR(IF(INDEX(_xlfn.ANCHORARRAY($BE$4),ROW()-4,2)="","","F-"&amp;INDEX(_xlfn.ANCHORARRAY($BE$4),ROW()-4,2)&amp;IF(IFERROR(INDEX(_xlfn.ANCHORARRAY($BE$4),ROW()-4,6),"")="EMERG","-E","")),"")</f>
        <v/>
      </c>
      <c r="C135" s="821" t="str" cm="1">
        <f t="array" ref="C135">IFERROR(IF($B135="","",INDEX(_xlfn.ANCHORARRAY($BE$4),ROW()-4,1)),"")</f>
        <v/>
      </c>
      <c r="D135" s="821" t="str" cm="1">
        <f t="array" ref="D135">IFERROR(IF($B135="","",INDEX(_xlfn.ANCHORARRAY($BE$4),ROW()-4,2)),"")</f>
        <v/>
      </c>
      <c r="E135" s="806" t="str" cm="1">
        <f t="array" ref="E135">IFERROR(IF($B135="","",INDEX(_xlfn.ANCHORARRAY($BE$4),ROW()-4,3)),"")</f>
        <v/>
      </c>
      <c r="F135" s="822" t="str" cm="1">
        <f t="array" ref="F135">IFERROR(IF($B135="","",INDEX(_xlfn.ANCHORARRAY($BE$4),ROW()-4,4)),"")</f>
        <v/>
      </c>
      <c r="G135" s="823" t="str" cm="1">
        <f t="array" ref="G135">IFERROR(IF($B135="","",INDEX(_xlfn.ANCHORARRAY($BE$4),ROW()-4,5)),"")</f>
        <v/>
      </c>
      <c r="H135" s="824" t="str" cm="1">
        <f t="array" ref="H135">IF($CJ135="","",_xlfn.LET(_xlpm.v,_xlfn.XLOOKUP($CJ135,Equip_List,IF($CK135="E",Equip_EmLen,IF($CK135="P",Equip_XfPriLen,Equip_FdrLen)),""),IF(_xlpm.v="","",_xlpm.v)))</f>
        <v/>
      </c>
      <c r="I135" s="806" t="str">
        <f t="shared" si="40"/>
        <v/>
      </c>
      <c r="J135" s="820"/>
      <c r="K135" s="806" t="str">
        <f>_xlfn.LET(_xlpm.k,IF($I135="","",IF(COUNTIF(UPS!$B$57:$B$64,$C135&amp;"")&gt;0,1.25*MAX($I135,N(_xlfn.XLOOKUP($C135&amp;"",UPS!$B$57:$B$64,UPS!$M$57:$M$64,0))),IF(COUNTIF(UPS!$B$57:$B$64,$D135&amp;"")&gt;0,1.25*MAX($I135,N(_xlfn.XLOOKUP($D135&amp;"",UPS!$B$57:$B$64,UPS!$Q$57:$Q$64,0))),$I135*IF(OR(UPPER($J135)="Y",LEFT($C135,2)="T-",LEFT($D135,2)="T-"),1.25,1)))),IF(_xlpm.k="","",MAX(_xlpm.k,N(IFERROR(_xlfn.XLOOKUP($D135&amp;"",Dashboard!$A$101:$A$350,Dashboard!$O$101:$O$350,0),0)))))</f>
        <v/>
      </c>
      <c r="L135" s="825" t="str">
        <f>IF($CJ135="","",_xlfn.LET(_xlpm.v,UPPER(TRIM(_xlfn.XLOOKUP($CJ135,Equip_List,Equip_FdrMat,"")&amp;"")),IF(_xlpm.v="",UPPER(TRIM(Cfg_FeederMat&amp;"")),_xlpm.v)))</f>
        <v/>
      </c>
      <c r="M135" s="825" t="str">
        <f>IF($CJ135="","",_xlfn.LET(_xlpm.v,TRIM(_xlfn.XLOOKUP($CJ135,Equip_List,Equip_FdrRace,"")&amp;""),IF(_xlpm.v="",Cfg_Conduit&amp;"",_xlpm.v)))</f>
        <v/>
      </c>
      <c r="N135" s="825" t="str">
        <f>IF($CJ135="","",IF(UPPER(TRIM(_xlfn.XLOOKUP($CJ135,Equip_List,Equip_FdrExist,"")&amp;""))="Y","Y",""))</f>
        <v/>
      </c>
      <c r="O135" s="823" t="str">
        <f t="shared" si="48"/>
        <v/>
      </c>
      <c r="P135" s="821" t="str">
        <f t="shared" si="49"/>
        <v/>
      </c>
      <c r="Q135" s="821" t="str">
        <f t="shared" si="50"/>
        <v/>
      </c>
      <c r="R135" s="822" t="str" cm="1">
        <f t="array" ref="R135">IF(K135="","",INDEX(OCPD_List,MATCH(TRUE,OCPD_List&gt;=K135,0)))</f>
        <v/>
      </c>
      <c r="S135" s="821" t="str">
        <f t="shared" si="51"/>
        <v/>
      </c>
      <c r="T135" s="826" t="str">
        <f t="shared" si="41"/>
        <v/>
      </c>
      <c r="U135" s="826" t="str">
        <f t="shared" si="42"/>
        <v/>
      </c>
      <c r="V135" s="827" t="str">
        <f t="shared" si="43"/>
        <v/>
      </c>
      <c r="W135" s="828"/>
      <c r="X135" s="819"/>
      <c r="Y135" s="820"/>
      <c r="Z135" s="820"/>
      <c r="AA135" s="820"/>
      <c r="BN135" s="832" t="str">
        <f>IF($B135="","",IFERROR(_xlfn.XLOOKUP($D135,Dashboard!$A$101:$A$350,Dashboard!$C$101:$C$350),""))</f>
        <v/>
      </c>
      <c r="BO135" s="832" t="str">
        <f t="shared" si="44"/>
        <v/>
      </c>
      <c r="BP135" s="832" t="str" cm="1">
        <f t="array" ref="BP135">IF(OR($B135="",$R135="",NOT(ISNUMBER($R135))),"",IF(AND($BV135="AL",$G135=1),"",_xlfn.LET(_xlpm.codes,IF($BV135="AL",Std_Al3_Code,IF($G135=1,Std_Cu1_Code,Std_Cu3_Code)),_xlpm.amps,IFERROR(--SUBSTITUTE(_xlpm.codes&amp;"","N",""),""),_xlpm.a,MIN(IF(ISNUMBER(_xlpm.amps),IF(_xlpm.amps&gt;=$R135,_xlpm.amps,""),"")),_xlpm.k,IF(_xlpm.a=0,$R135,_xlpm.a),IF($BO135="Y",TEXT(_xlpm.k,"0")&amp;"N",_xlpm.k))))</f>
        <v/>
      </c>
      <c r="BQ135" s="832" t="str" cm="1">
        <f t="array" ref="BQ135">IF($BP135="","",IFERROR(IF($BV135="AL",_xlfn.XLOOKUP($BP135,Std_Al3_Code,INDEX(Std_Al3_Table,0,3)),IF($G135=1,_xlfn.XLOOKUP($BP135,Std_Cu1_Code,INDEX(Std_Cu1_Table,0,3)),_xlfn.XLOOKUP($BP135,Std_Cu3_Code,INDEX(Std_Cu3_Table,0,3)))),""))</f>
        <v/>
      </c>
      <c r="BR135" s="832" t="str" cm="1">
        <f t="array" ref="BR135">IF($BP135="","",IFERROR(IF($BV135="AL",_xlfn.XLOOKUP($BP135,Std_Al3_Code,INDEX(Std_Al3_Table,0,4)),IF($G135=1,_xlfn.XLOOKUP($BP135,Std_Cu1_Code,INDEX(Std_Cu1_Table,0,4)),_xlfn.XLOOKUP($BP135,Std_Cu3_Code,INDEX(Std_Cu3_Table,0,4)))),""))</f>
        <v/>
      </c>
      <c r="BS135" s="832" t="str" cm="1">
        <f t="array" ref="BS135">IF($BP135="","",IFERROR(IF($BV135="AL",_xlfn.XLOOKUP($BP135,Std_Al3_Code,INDEX(Std_Al3_Table,0,5)),IF($G135=1,_xlfn.XLOOKUP($BP135,Std_Cu1_Code,INDEX(Std_Cu1_Table,0,5)),_xlfn.XLOOKUP($BP135,Std_Cu3_Code,INDEX(Std_Cu3_Table,0,5)))),""))</f>
        <v/>
      </c>
      <c r="BT135" s="832" t="str">
        <f t="shared" si="45"/>
        <v/>
      </c>
      <c r="BU135" s="832" t="str" cm="1">
        <f t="array" ref="BU135">IF($BP135="","",IFERROR(IF($BV135="AL",_xlfn.XLOOKUP($BP135,Std_Al3_Code,INDEX(Std_Al3_Table,0,2)),IF($G135=1,_xlfn.XLOOKUP($BP135,Std_Cu1_Code,INDEX(Std_Cu1_Table,0,2)),_xlfn.XLOOKUP($BP135,Std_Cu3_Code,INDEX(Std_Cu3_Table,0,2)))),""))</f>
        <v/>
      </c>
      <c r="BV135" s="829" t="str">
        <f t="shared" si="46"/>
        <v/>
      </c>
      <c r="BW135" s="829" t="str">
        <f t="shared" si="52"/>
        <v/>
      </c>
      <c r="BX135" s="829" t="str" cm="1">
        <f t="array" ref="BX135">IF(OR($BP135="",$H135="",$I135="",$F135="",$BW135=""),"",IFERROR(_xlfn.LET(_xlpm.codes,IF($BV135="AL",Std_Al3_Code,IF($G135=1,Std_Cu1_Code,Std_Cu3_Code)),_xlpm.tbl,IF($BV135="AL",Std_Al3_Table,IF($G135=1,Std_Cu1_Table,Std_Cu3_Table)),_xlpm.i,MATCH($BP135,_xlpm.codes,0),_xlpm.idx,_xlfn.SEQUENCE(ROWS(_xlpm.codes)),_xlpm.cnd,INDEX(_xlpm.tbl,0,4),_xlpm.sts,INDEX(_xlpm.tbl,0,2),_xlpm.sz,IFERROR(_xlfn.TEXTBEFORE(_xlfn.TEXTAFTER(_xlpm.cnd,"#"),","),IFERROR(_xlfn.TEXTAFTER(_xlpm.cnd,"#"),"")),_xlpm.cm,IFERROR(_xlfn.XLOOKUP(TRIM(_xlpm.sz),Ampacity_Size,Ampacity_CM),0),_xlpm.mult,IF($G135=3,SQRT3,2),_xlpm.kk,IF($BV135="AL",K_Al,K_Cu),_xlpm.vd,IF(_xlpm.cm*IF(ISNUMBER(_xlpm.sts),_xlpm.sts,0)=0,9,_xlpm.mult*_xlpm.kk*$I135*$H135/(_xlpm.cm*_xlpm.sts)/$F135),_xlpm.hasN,--(RIGHT(_xlpm.codes&amp;"",1)="N"),_xlpm.wantN,--(RIGHT($BP135&amp;"",1)="N"),_xlpm.ok,(_xlpm.idx&gt;=_xlpm.i)*(_xlpm.vd&lt;=Cfg_VDFeeder)*(_xlpm.cm&gt;0)*ISNUMBER(_xlpm.sts)*(_xlpm.hasN=_xlpm.wantN),_xlpm.m,MIN(IF(_xlpm.ok=1,_xlpm.idx)),INDEX(_xlpm.codes,IF(_xlpm.m=0,_xlpm.i,_xlpm.m))),""))</f>
        <v/>
      </c>
      <c r="BY135" s="829" t="str" cm="1">
        <f t="array" ref="BY135">IF($BP135="","",IF($BX135="",$BU135,IFERROR(IF($BV135="AL",_xlfn.XLOOKUP($BX135,Std_Al3_Code,INDEX(Std_Al3_Table,0,2)),IF($G135=1,_xlfn.XLOOKUP($BX135,Std_Cu1_Code,INDEX(Std_Cu1_Table,0,2)),_xlfn.XLOOKUP($BX135,Std_Cu3_Code,INDEX(Std_Cu3_Table,0,2)))),"")))</f>
        <v/>
      </c>
      <c r="BZ135" s="829" t="str" cm="1">
        <f t="array" ref="BZ135">IF($BP135="","",IF($BX135="",$BR135,IFERROR(IF($BV135="AL",_xlfn.XLOOKUP($BX135,Std_Al3_Code,INDEX(Std_Al3_Table,0,4)),IF($G135=1,_xlfn.XLOOKUP($BX135,Std_Cu1_Code,INDEX(Std_Cu1_Table,0,4)),_xlfn.XLOOKUP($BX135,Std_Cu3_Code,INDEX(Std_Cu3_Table,0,4)))),"")))</f>
        <v/>
      </c>
      <c r="CA135" s="829" t="str" cm="1">
        <f t="array" ref="CA135">IF($BP135="","",IF($BX135="",$BQ135,IFERROR(IF($BV135="AL",_xlfn.XLOOKUP($BX135,Std_Al3_Code,INDEX(Std_Al3_Table,0,3)),IF($G135=1,_xlfn.XLOOKUP($BX135,Std_Cu1_Code,INDEX(Std_Cu1_Table,0,3)),_xlfn.XLOOKUP($BX135,Std_Cu3_Code,INDEX(Std_Cu3_Table,0,3)))),"")))</f>
        <v/>
      </c>
      <c r="CB135" s="829" t="str" cm="1">
        <f t="array" ref="CB135">IF($BP135="","",IF($BX135="",$BS135,IFERROR(IF($BV135="AL",_xlfn.XLOOKUP($BX135,Std_Al3_Code,INDEX(Std_Al3_Table,0,5)),IF($G135=1,_xlfn.XLOOKUP($BX135,Std_Cu1_Code,INDEX(Std_Cu1_Table,0,5)),_xlfn.XLOOKUP($BX135,Std_Cu3_Code,INDEX(Std_Cu3_Table,0,5)))),"")))</f>
        <v/>
      </c>
      <c r="CC135" s="829" t="str">
        <f t="shared" si="53"/>
        <v/>
      </c>
      <c r="CD135" s="829" t="str">
        <f t="shared" si="54"/>
        <v/>
      </c>
      <c r="CE135" s="829" t="str">
        <f t="shared" si="55"/>
        <v/>
      </c>
      <c r="CF135" s="829" t="str">
        <f t="shared" si="56"/>
        <v/>
      </c>
      <c r="CG135" s="829" t="str">
        <f t="shared" si="57"/>
        <v/>
      </c>
      <c r="CH135" s="829" t="str">
        <f t="shared" si="58"/>
        <v/>
      </c>
      <c r="CI135" s="829" t="str">
        <f t="shared" si="59"/>
        <v/>
      </c>
      <c r="CJ135" s="829" t="str" cm="1">
        <f t="array" ref="CJ135">IF($B135="","",_xlfn.LET(_xlpm.to,$D135&amp;"",_xlpm.em,IFERROR(INDEX(_xlfn.ANCHORARRAY($BE$4),ROW()-4,6),"")="EMERG",_xlpm.pri,AND(NOT(_xlpm.em),LEFT(_xlpm.to,2)="T-",ISNUMBER(MATCH(MID(_xlpm.to,3,99),Equip_List,0)),ISNA(MATCH(_xlpm.to,Equip_List,0))),IF(_xlpm.pri,MID(_xlpm.to,3,99),_xlpm.to)))</f>
        <v/>
      </c>
      <c r="CK135" s="829" t="str" cm="1">
        <f t="array" ref="CK135">IF($CJ135="","",IF(IFERROR(INDEX(_xlfn.ANCHORARRAY($BE$4),ROW()-4,6),"")="EMERG","E",IF($CJ135&lt;&gt;$D135&amp;"","P","N")))</f>
        <v/>
      </c>
    </row>
    <row r="136" spans="1:89" ht="15" customHeight="1" x14ac:dyDescent="0.35">
      <c r="A136" s="821" t="str">
        <f t="shared" si="47"/>
        <v/>
      </c>
      <c r="B136" s="821" t="str" cm="1">
        <f t="array" ref="B136">IFERROR(IF(INDEX(_xlfn.ANCHORARRAY($BE$4),ROW()-4,2)="","","F-"&amp;INDEX(_xlfn.ANCHORARRAY($BE$4),ROW()-4,2)&amp;IF(IFERROR(INDEX(_xlfn.ANCHORARRAY($BE$4),ROW()-4,6),"")="EMERG","-E","")),"")</f>
        <v/>
      </c>
      <c r="C136" s="821" t="str" cm="1">
        <f t="array" ref="C136">IFERROR(IF($B136="","",INDEX(_xlfn.ANCHORARRAY($BE$4),ROW()-4,1)),"")</f>
        <v/>
      </c>
      <c r="D136" s="821" t="str" cm="1">
        <f t="array" ref="D136">IFERROR(IF($B136="","",INDEX(_xlfn.ANCHORARRAY($BE$4),ROW()-4,2)),"")</f>
        <v/>
      </c>
      <c r="E136" s="806" t="str" cm="1">
        <f t="array" ref="E136">IFERROR(IF($B136="","",INDEX(_xlfn.ANCHORARRAY($BE$4),ROW()-4,3)),"")</f>
        <v/>
      </c>
      <c r="F136" s="822" t="str" cm="1">
        <f t="array" ref="F136">IFERROR(IF($B136="","",INDEX(_xlfn.ANCHORARRAY($BE$4),ROW()-4,4)),"")</f>
        <v/>
      </c>
      <c r="G136" s="823" t="str" cm="1">
        <f t="array" ref="G136">IFERROR(IF($B136="","",INDEX(_xlfn.ANCHORARRAY($BE$4),ROW()-4,5)),"")</f>
        <v/>
      </c>
      <c r="H136" s="824" t="str" cm="1">
        <f t="array" ref="H136">IF($CJ136="","",_xlfn.LET(_xlpm.v,_xlfn.XLOOKUP($CJ136,Equip_List,IF($CK136="E",Equip_EmLen,IF($CK136="P",Equip_XfPriLen,Equip_FdrLen)),""),IF(_xlpm.v="","",_xlpm.v)))</f>
        <v/>
      </c>
      <c r="I136" s="806" t="str">
        <f t="shared" si="40"/>
        <v/>
      </c>
      <c r="J136" s="820"/>
      <c r="K136" s="806" t="str">
        <f>_xlfn.LET(_xlpm.k,IF($I136="","",IF(COUNTIF(UPS!$B$57:$B$64,$C136&amp;"")&gt;0,1.25*MAX($I136,N(_xlfn.XLOOKUP($C136&amp;"",UPS!$B$57:$B$64,UPS!$M$57:$M$64,0))),IF(COUNTIF(UPS!$B$57:$B$64,$D136&amp;"")&gt;0,1.25*MAX($I136,N(_xlfn.XLOOKUP($D136&amp;"",UPS!$B$57:$B$64,UPS!$Q$57:$Q$64,0))),$I136*IF(OR(UPPER($J136)="Y",LEFT($C136,2)="T-",LEFT($D136,2)="T-"),1.25,1)))),IF(_xlpm.k="","",MAX(_xlpm.k,N(IFERROR(_xlfn.XLOOKUP($D136&amp;"",Dashboard!$A$101:$A$350,Dashboard!$O$101:$O$350,0),0)))))</f>
        <v/>
      </c>
      <c r="L136" s="825" t="str">
        <f>IF($CJ136="","",_xlfn.LET(_xlpm.v,UPPER(TRIM(_xlfn.XLOOKUP($CJ136,Equip_List,Equip_FdrMat,"")&amp;"")),IF(_xlpm.v="",UPPER(TRIM(Cfg_FeederMat&amp;"")),_xlpm.v)))</f>
        <v/>
      </c>
      <c r="M136" s="825" t="str">
        <f>IF($CJ136="","",_xlfn.LET(_xlpm.v,TRIM(_xlfn.XLOOKUP($CJ136,Equip_List,Equip_FdrRace,"")&amp;""),IF(_xlpm.v="",Cfg_Conduit&amp;"",_xlpm.v)))</f>
        <v/>
      </c>
      <c r="N136" s="825" t="str">
        <f>IF($CJ136="","",IF(UPPER(TRIM(_xlfn.XLOOKUP($CJ136,Equip_List,Equip_FdrExist,"")&amp;""))="Y","Y",""))</f>
        <v/>
      </c>
      <c r="O136" s="823" t="str">
        <f t="shared" si="48"/>
        <v/>
      </c>
      <c r="P136" s="821" t="str">
        <f t="shared" si="49"/>
        <v/>
      </c>
      <c r="Q136" s="821" t="str">
        <f t="shared" si="50"/>
        <v/>
      </c>
      <c r="R136" s="822" t="str" cm="1">
        <f t="array" ref="R136">IF(K136="","",INDEX(OCPD_List,MATCH(TRUE,OCPD_List&gt;=K136,0)))</f>
        <v/>
      </c>
      <c r="S136" s="821" t="str">
        <f t="shared" si="51"/>
        <v/>
      </c>
      <c r="T136" s="826" t="str">
        <f t="shared" si="41"/>
        <v/>
      </c>
      <c r="U136" s="826" t="str">
        <f t="shared" si="42"/>
        <v/>
      </c>
      <c r="V136" s="827" t="str">
        <f t="shared" si="43"/>
        <v/>
      </c>
      <c r="W136" s="828"/>
      <c r="X136" s="819"/>
      <c r="Y136" s="820"/>
      <c r="Z136" s="820"/>
      <c r="AA136" s="820"/>
      <c r="BN136" s="832" t="str">
        <f>IF($B136="","",IFERROR(_xlfn.XLOOKUP($D136,Dashboard!$A$101:$A$350,Dashboard!$C$101:$C$350),""))</f>
        <v/>
      </c>
      <c r="BO136" s="832" t="str">
        <f t="shared" si="44"/>
        <v/>
      </c>
      <c r="BP136" s="832" t="str" cm="1">
        <f t="array" ref="BP136">IF(OR($B136="",$R136="",NOT(ISNUMBER($R136))),"",IF(AND($BV136="AL",$G136=1),"",_xlfn.LET(_xlpm.codes,IF($BV136="AL",Std_Al3_Code,IF($G136=1,Std_Cu1_Code,Std_Cu3_Code)),_xlpm.amps,IFERROR(--SUBSTITUTE(_xlpm.codes&amp;"","N",""),""),_xlpm.a,MIN(IF(ISNUMBER(_xlpm.amps),IF(_xlpm.amps&gt;=$R136,_xlpm.amps,""),"")),_xlpm.k,IF(_xlpm.a=0,$R136,_xlpm.a),IF($BO136="Y",TEXT(_xlpm.k,"0")&amp;"N",_xlpm.k))))</f>
        <v/>
      </c>
      <c r="BQ136" s="832" t="str" cm="1">
        <f t="array" ref="BQ136">IF($BP136="","",IFERROR(IF($BV136="AL",_xlfn.XLOOKUP($BP136,Std_Al3_Code,INDEX(Std_Al3_Table,0,3)),IF($G136=1,_xlfn.XLOOKUP($BP136,Std_Cu1_Code,INDEX(Std_Cu1_Table,0,3)),_xlfn.XLOOKUP($BP136,Std_Cu3_Code,INDEX(Std_Cu3_Table,0,3)))),""))</f>
        <v/>
      </c>
      <c r="BR136" s="832" t="str" cm="1">
        <f t="array" ref="BR136">IF($BP136="","",IFERROR(IF($BV136="AL",_xlfn.XLOOKUP($BP136,Std_Al3_Code,INDEX(Std_Al3_Table,0,4)),IF($G136=1,_xlfn.XLOOKUP($BP136,Std_Cu1_Code,INDEX(Std_Cu1_Table,0,4)),_xlfn.XLOOKUP($BP136,Std_Cu3_Code,INDEX(Std_Cu3_Table,0,4)))),""))</f>
        <v/>
      </c>
      <c r="BS136" s="832" t="str" cm="1">
        <f t="array" ref="BS136">IF($BP136="","",IFERROR(IF($BV136="AL",_xlfn.XLOOKUP($BP136,Std_Al3_Code,INDEX(Std_Al3_Table,0,5)),IF($G136=1,_xlfn.XLOOKUP($BP136,Std_Cu1_Code,INDEX(Std_Cu1_Table,0,5)),_xlfn.XLOOKUP($BP136,Std_Cu3_Code,INDEX(Std_Cu3_Table,0,5)))),""))</f>
        <v/>
      </c>
      <c r="BT136" s="832" t="str">
        <f t="shared" si="45"/>
        <v/>
      </c>
      <c r="BU136" s="832" t="str" cm="1">
        <f t="array" ref="BU136">IF($BP136="","",IFERROR(IF($BV136="AL",_xlfn.XLOOKUP($BP136,Std_Al3_Code,INDEX(Std_Al3_Table,0,2)),IF($G136=1,_xlfn.XLOOKUP($BP136,Std_Cu1_Code,INDEX(Std_Cu1_Table,0,2)),_xlfn.XLOOKUP($BP136,Std_Cu3_Code,INDEX(Std_Cu3_Table,0,2)))),""))</f>
        <v/>
      </c>
      <c r="BV136" s="829" t="str">
        <f t="shared" si="46"/>
        <v/>
      </c>
      <c r="BW136" s="829" t="str">
        <f t="shared" si="52"/>
        <v/>
      </c>
      <c r="BX136" s="829" t="str" cm="1">
        <f t="array" ref="BX136">IF(OR($BP136="",$H136="",$I136="",$F136="",$BW136=""),"",IFERROR(_xlfn.LET(_xlpm.codes,IF($BV136="AL",Std_Al3_Code,IF($G136=1,Std_Cu1_Code,Std_Cu3_Code)),_xlpm.tbl,IF($BV136="AL",Std_Al3_Table,IF($G136=1,Std_Cu1_Table,Std_Cu3_Table)),_xlpm.i,MATCH($BP136,_xlpm.codes,0),_xlpm.idx,_xlfn.SEQUENCE(ROWS(_xlpm.codes)),_xlpm.cnd,INDEX(_xlpm.tbl,0,4),_xlpm.sts,INDEX(_xlpm.tbl,0,2),_xlpm.sz,IFERROR(_xlfn.TEXTBEFORE(_xlfn.TEXTAFTER(_xlpm.cnd,"#"),","),IFERROR(_xlfn.TEXTAFTER(_xlpm.cnd,"#"),"")),_xlpm.cm,IFERROR(_xlfn.XLOOKUP(TRIM(_xlpm.sz),Ampacity_Size,Ampacity_CM),0),_xlpm.mult,IF($G136=3,SQRT3,2),_xlpm.kk,IF($BV136="AL",K_Al,K_Cu),_xlpm.vd,IF(_xlpm.cm*IF(ISNUMBER(_xlpm.sts),_xlpm.sts,0)=0,9,_xlpm.mult*_xlpm.kk*$I136*$H136/(_xlpm.cm*_xlpm.sts)/$F136),_xlpm.hasN,--(RIGHT(_xlpm.codes&amp;"",1)="N"),_xlpm.wantN,--(RIGHT($BP136&amp;"",1)="N"),_xlpm.ok,(_xlpm.idx&gt;=_xlpm.i)*(_xlpm.vd&lt;=Cfg_VDFeeder)*(_xlpm.cm&gt;0)*ISNUMBER(_xlpm.sts)*(_xlpm.hasN=_xlpm.wantN),_xlpm.m,MIN(IF(_xlpm.ok=1,_xlpm.idx)),INDEX(_xlpm.codes,IF(_xlpm.m=0,_xlpm.i,_xlpm.m))),""))</f>
        <v/>
      </c>
      <c r="BY136" s="829" t="str" cm="1">
        <f t="array" ref="BY136">IF($BP136="","",IF($BX136="",$BU136,IFERROR(IF($BV136="AL",_xlfn.XLOOKUP($BX136,Std_Al3_Code,INDEX(Std_Al3_Table,0,2)),IF($G136=1,_xlfn.XLOOKUP($BX136,Std_Cu1_Code,INDEX(Std_Cu1_Table,0,2)),_xlfn.XLOOKUP($BX136,Std_Cu3_Code,INDEX(Std_Cu3_Table,0,2)))),"")))</f>
        <v/>
      </c>
      <c r="BZ136" s="829" t="str" cm="1">
        <f t="array" ref="BZ136">IF($BP136="","",IF($BX136="",$BR136,IFERROR(IF($BV136="AL",_xlfn.XLOOKUP($BX136,Std_Al3_Code,INDEX(Std_Al3_Table,0,4)),IF($G136=1,_xlfn.XLOOKUP($BX136,Std_Cu1_Code,INDEX(Std_Cu1_Table,0,4)),_xlfn.XLOOKUP($BX136,Std_Cu3_Code,INDEX(Std_Cu3_Table,0,4)))),"")))</f>
        <v/>
      </c>
      <c r="CA136" s="829" t="str" cm="1">
        <f t="array" ref="CA136">IF($BP136="","",IF($BX136="",$BQ136,IFERROR(IF($BV136="AL",_xlfn.XLOOKUP($BX136,Std_Al3_Code,INDEX(Std_Al3_Table,0,3)),IF($G136=1,_xlfn.XLOOKUP($BX136,Std_Cu1_Code,INDEX(Std_Cu1_Table,0,3)),_xlfn.XLOOKUP($BX136,Std_Cu3_Code,INDEX(Std_Cu3_Table,0,3)))),"")))</f>
        <v/>
      </c>
      <c r="CB136" s="829" t="str" cm="1">
        <f t="array" ref="CB136">IF($BP136="","",IF($BX136="",$BS136,IFERROR(IF($BV136="AL",_xlfn.XLOOKUP($BX136,Std_Al3_Code,INDEX(Std_Al3_Table,0,5)),IF($G136=1,_xlfn.XLOOKUP($BX136,Std_Cu1_Code,INDEX(Std_Cu1_Table,0,5)),_xlfn.XLOOKUP($BX136,Std_Cu3_Code,INDEX(Std_Cu3_Table,0,5)))),"")))</f>
        <v/>
      </c>
      <c r="CC136" s="829" t="str">
        <f t="shared" si="53"/>
        <v/>
      </c>
      <c r="CD136" s="829" t="str">
        <f t="shared" si="54"/>
        <v/>
      </c>
      <c r="CE136" s="829" t="str">
        <f t="shared" si="55"/>
        <v/>
      </c>
      <c r="CF136" s="829" t="str">
        <f t="shared" si="56"/>
        <v/>
      </c>
      <c r="CG136" s="829" t="str">
        <f t="shared" si="57"/>
        <v/>
      </c>
      <c r="CH136" s="829" t="str">
        <f t="shared" si="58"/>
        <v/>
      </c>
      <c r="CI136" s="829" t="str">
        <f t="shared" si="59"/>
        <v/>
      </c>
      <c r="CJ136" s="829" t="str" cm="1">
        <f t="array" ref="CJ136">IF($B136="","",_xlfn.LET(_xlpm.to,$D136&amp;"",_xlpm.em,IFERROR(INDEX(_xlfn.ANCHORARRAY($BE$4),ROW()-4,6),"")="EMERG",_xlpm.pri,AND(NOT(_xlpm.em),LEFT(_xlpm.to,2)="T-",ISNUMBER(MATCH(MID(_xlpm.to,3,99),Equip_List,0)),ISNA(MATCH(_xlpm.to,Equip_List,0))),IF(_xlpm.pri,MID(_xlpm.to,3,99),_xlpm.to)))</f>
        <v/>
      </c>
      <c r="CK136" s="829" t="str" cm="1">
        <f t="array" ref="CK136">IF($CJ136="","",IF(IFERROR(INDEX(_xlfn.ANCHORARRAY($BE$4),ROW()-4,6),"")="EMERG","E",IF($CJ136&lt;&gt;$D136&amp;"","P","N")))</f>
        <v/>
      </c>
    </row>
    <row r="137" spans="1:89" ht="15" customHeight="1" x14ac:dyDescent="0.35">
      <c r="A137" s="821" t="str">
        <f t="shared" si="47"/>
        <v/>
      </c>
      <c r="B137" s="821" t="str" cm="1">
        <f t="array" ref="B137">IFERROR(IF(INDEX(_xlfn.ANCHORARRAY($BE$4),ROW()-4,2)="","","F-"&amp;INDEX(_xlfn.ANCHORARRAY($BE$4),ROW()-4,2)&amp;IF(IFERROR(INDEX(_xlfn.ANCHORARRAY($BE$4),ROW()-4,6),"")="EMERG","-E","")),"")</f>
        <v/>
      </c>
      <c r="C137" s="821" t="str" cm="1">
        <f t="array" ref="C137">IFERROR(IF($B137="","",INDEX(_xlfn.ANCHORARRAY($BE$4),ROW()-4,1)),"")</f>
        <v/>
      </c>
      <c r="D137" s="821" t="str" cm="1">
        <f t="array" ref="D137">IFERROR(IF($B137="","",INDEX(_xlfn.ANCHORARRAY($BE$4),ROW()-4,2)),"")</f>
        <v/>
      </c>
      <c r="E137" s="806" t="str" cm="1">
        <f t="array" ref="E137">IFERROR(IF($B137="","",INDEX(_xlfn.ANCHORARRAY($BE$4),ROW()-4,3)),"")</f>
        <v/>
      </c>
      <c r="F137" s="822" t="str" cm="1">
        <f t="array" ref="F137">IFERROR(IF($B137="","",INDEX(_xlfn.ANCHORARRAY($BE$4),ROW()-4,4)),"")</f>
        <v/>
      </c>
      <c r="G137" s="823" t="str" cm="1">
        <f t="array" ref="G137">IFERROR(IF($B137="","",INDEX(_xlfn.ANCHORARRAY($BE$4),ROW()-4,5)),"")</f>
        <v/>
      </c>
      <c r="H137" s="824" t="str" cm="1">
        <f t="array" ref="H137">IF($CJ137="","",_xlfn.LET(_xlpm.v,_xlfn.XLOOKUP($CJ137,Equip_List,IF($CK137="E",Equip_EmLen,IF($CK137="P",Equip_XfPriLen,Equip_FdrLen)),""),IF(_xlpm.v="","",_xlpm.v)))</f>
        <v/>
      </c>
      <c r="I137" s="806" t="str">
        <f t="shared" si="40"/>
        <v/>
      </c>
      <c r="J137" s="820"/>
      <c r="K137" s="806" t="str">
        <f>_xlfn.LET(_xlpm.k,IF($I137="","",IF(COUNTIF(UPS!$B$57:$B$64,$C137&amp;"")&gt;0,1.25*MAX($I137,N(_xlfn.XLOOKUP($C137&amp;"",UPS!$B$57:$B$64,UPS!$M$57:$M$64,0))),IF(COUNTIF(UPS!$B$57:$B$64,$D137&amp;"")&gt;0,1.25*MAX($I137,N(_xlfn.XLOOKUP($D137&amp;"",UPS!$B$57:$B$64,UPS!$Q$57:$Q$64,0))),$I137*IF(OR(UPPER($J137)="Y",LEFT($C137,2)="T-",LEFT($D137,2)="T-"),1.25,1)))),IF(_xlpm.k="","",MAX(_xlpm.k,N(IFERROR(_xlfn.XLOOKUP($D137&amp;"",Dashboard!$A$101:$A$350,Dashboard!$O$101:$O$350,0),0)))))</f>
        <v/>
      </c>
      <c r="L137" s="825" t="str">
        <f>IF($CJ137="","",_xlfn.LET(_xlpm.v,UPPER(TRIM(_xlfn.XLOOKUP($CJ137,Equip_List,Equip_FdrMat,"")&amp;"")),IF(_xlpm.v="",UPPER(TRIM(Cfg_FeederMat&amp;"")),_xlpm.v)))</f>
        <v/>
      </c>
      <c r="M137" s="825" t="str">
        <f>IF($CJ137="","",_xlfn.LET(_xlpm.v,TRIM(_xlfn.XLOOKUP($CJ137,Equip_List,Equip_FdrRace,"")&amp;""),IF(_xlpm.v="",Cfg_Conduit&amp;"",_xlpm.v)))</f>
        <v/>
      </c>
      <c r="N137" s="825" t="str">
        <f>IF($CJ137="","",IF(UPPER(TRIM(_xlfn.XLOOKUP($CJ137,Equip_List,Equip_FdrExist,"")&amp;""))="Y","Y",""))</f>
        <v/>
      </c>
      <c r="O137" s="823" t="str">
        <f t="shared" si="48"/>
        <v/>
      </c>
      <c r="P137" s="821" t="str">
        <f t="shared" si="49"/>
        <v/>
      </c>
      <c r="Q137" s="821" t="str">
        <f t="shared" si="50"/>
        <v/>
      </c>
      <c r="R137" s="822" t="str" cm="1">
        <f t="array" ref="R137">IF(K137="","",INDEX(OCPD_List,MATCH(TRUE,OCPD_List&gt;=K137,0)))</f>
        <v/>
      </c>
      <c r="S137" s="821" t="str">
        <f t="shared" si="51"/>
        <v/>
      </c>
      <c r="T137" s="826" t="str">
        <f t="shared" si="41"/>
        <v/>
      </c>
      <c r="U137" s="826" t="str">
        <f t="shared" si="42"/>
        <v/>
      </c>
      <c r="V137" s="827" t="str">
        <f t="shared" si="43"/>
        <v/>
      </c>
      <c r="W137" s="828"/>
      <c r="X137" s="819"/>
      <c r="Y137" s="820"/>
      <c r="Z137" s="820"/>
      <c r="AA137" s="820"/>
      <c r="BN137" s="832" t="str">
        <f>IF($B137="","",IFERROR(_xlfn.XLOOKUP($D137,Dashboard!$A$101:$A$350,Dashboard!$C$101:$C$350),""))</f>
        <v/>
      </c>
      <c r="BO137" s="832" t="str">
        <f t="shared" si="44"/>
        <v/>
      </c>
      <c r="BP137" s="832" t="str" cm="1">
        <f t="array" ref="BP137">IF(OR($B137="",$R137="",NOT(ISNUMBER($R137))),"",IF(AND($BV137="AL",$G137=1),"",_xlfn.LET(_xlpm.codes,IF($BV137="AL",Std_Al3_Code,IF($G137=1,Std_Cu1_Code,Std_Cu3_Code)),_xlpm.amps,IFERROR(--SUBSTITUTE(_xlpm.codes&amp;"","N",""),""),_xlpm.a,MIN(IF(ISNUMBER(_xlpm.amps),IF(_xlpm.amps&gt;=$R137,_xlpm.amps,""),"")),_xlpm.k,IF(_xlpm.a=0,$R137,_xlpm.a),IF($BO137="Y",TEXT(_xlpm.k,"0")&amp;"N",_xlpm.k))))</f>
        <v/>
      </c>
      <c r="BQ137" s="832" t="str" cm="1">
        <f t="array" ref="BQ137">IF($BP137="","",IFERROR(IF($BV137="AL",_xlfn.XLOOKUP($BP137,Std_Al3_Code,INDEX(Std_Al3_Table,0,3)),IF($G137=1,_xlfn.XLOOKUP($BP137,Std_Cu1_Code,INDEX(Std_Cu1_Table,0,3)),_xlfn.XLOOKUP($BP137,Std_Cu3_Code,INDEX(Std_Cu3_Table,0,3)))),""))</f>
        <v/>
      </c>
      <c r="BR137" s="832" t="str" cm="1">
        <f t="array" ref="BR137">IF($BP137="","",IFERROR(IF($BV137="AL",_xlfn.XLOOKUP($BP137,Std_Al3_Code,INDEX(Std_Al3_Table,0,4)),IF($G137=1,_xlfn.XLOOKUP($BP137,Std_Cu1_Code,INDEX(Std_Cu1_Table,0,4)),_xlfn.XLOOKUP($BP137,Std_Cu3_Code,INDEX(Std_Cu3_Table,0,4)))),""))</f>
        <v/>
      </c>
      <c r="BS137" s="832" t="str" cm="1">
        <f t="array" ref="BS137">IF($BP137="","",IFERROR(IF($BV137="AL",_xlfn.XLOOKUP($BP137,Std_Al3_Code,INDEX(Std_Al3_Table,0,5)),IF($G137=1,_xlfn.XLOOKUP($BP137,Std_Cu1_Code,INDEX(Std_Cu1_Table,0,5)),_xlfn.XLOOKUP($BP137,Std_Cu3_Code,INDEX(Std_Cu3_Table,0,5)))),""))</f>
        <v/>
      </c>
      <c r="BT137" s="832" t="str">
        <f t="shared" si="45"/>
        <v/>
      </c>
      <c r="BU137" s="832" t="str" cm="1">
        <f t="array" ref="BU137">IF($BP137="","",IFERROR(IF($BV137="AL",_xlfn.XLOOKUP($BP137,Std_Al3_Code,INDEX(Std_Al3_Table,0,2)),IF($G137=1,_xlfn.XLOOKUP($BP137,Std_Cu1_Code,INDEX(Std_Cu1_Table,0,2)),_xlfn.XLOOKUP($BP137,Std_Cu3_Code,INDEX(Std_Cu3_Table,0,2)))),""))</f>
        <v/>
      </c>
      <c r="BV137" s="829" t="str">
        <f t="shared" si="46"/>
        <v/>
      </c>
      <c r="BW137" s="829" t="str">
        <f t="shared" si="52"/>
        <v/>
      </c>
      <c r="BX137" s="829" t="str" cm="1">
        <f t="array" ref="BX137">IF(OR($BP137="",$H137="",$I137="",$F137="",$BW137=""),"",IFERROR(_xlfn.LET(_xlpm.codes,IF($BV137="AL",Std_Al3_Code,IF($G137=1,Std_Cu1_Code,Std_Cu3_Code)),_xlpm.tbl,IF($BV137="AL",Std_Al3_Table,IF($G137=1,Std_Cu1_Table,Std_Cu3_Table)),_xlpm.i,MATCH($BP137,_xlpm.codes,0),_xlpm.idx,_xlfn.SEQUENCE(ROWS(_xlpm.codes)),_xlpm.cnd,INDEX(_xlpm.tbl,0,4),_xlpm.sts,INDEX(_xlpm.tbl,0,2),_xlpm.sz,IFERROR(_xlfn.TEXTBEFORE(_xlfn.TEXTAFTER(_xlpm.cnd,"#"),","),IFERROR(_xlfn.TEXTAFTER(_xlpm.cnd,"#"),"")),_xlpm.cm,IFERROR(_xlfn.XLOOKUP(TRIM(_xlpm.sz),Ampacity_Size,Ampacity_CM),0),_xlpm.mult,IF($G137=3,SQRT3,2),_xlpm.kk,IF($BV137="AL",K_Al,K_Cu),_xlpm.vd,IF(_xlpm.cm*IF(ISNUMBER(_xlpm.sts),_xlpm.sts,0)=0,9,_xlpm.mult*_xlpm.kk*$I137*$H137/(_xlpm.cm*_xlpm.sts)/$F137),_xlpm.hasN,--(RIGHT(_xlpm.codes&amp;"",1)="N"),_xlpm.wantN,--(RIGHT($BP137&amp;"",1)="N"),_xlpm.ok,(_xlpm.idx&gt;=_xlpm.i)*(_xlpm.vd&lt;=Cfg_VDFeeder)*(_xlpm.cm&gt;0)*ISNUMBER(_xlpm.sts)*(_xlpm.hasN=_xlpm.wantN),_xlpm.m,MIN(IF(_xlpm.ok=1,_xlpm.idx)),INDEX(_xlpm.codes,IF(_xlpm.m=0,_xlpm.i,_xlpm.m))),""))</f>
        <v/>
      </c>
      <c r="BY137" s="829" t="str" cm="1">
        <f t="array" ref="BY137">IF($BP137="","",IF($BX137="",$BU137,IFERROR(IF($BV137="AL",_xlfn.XLOOKUP($BX137,Std_Al3_Code,INDEX(Std_Al3_Table,0,2)),IF($G137=1,_xlfn.XLOOKUP($BX137,Std_Cu1_Code,INDEX(Std_Cu1_Table,0,2)),_xlfn.XLOOKUP($BX137,Std_Cu3_Code,INDEX(Std_Cu3_Table,0,2)))),"")))</f>
        <v/>
      </c>
      <c r="BZ137" s="829" t="str" cm="1">
        <f t="array" ref="BZ137">IF($BP137="","",IF($BX137="",$BR137,IFERROR(IF($BV137="AL",_xlfn.XLOOKUP($BX137,Std_Al3_Code,INDEX(Std_Al3_Table,0,4)),IF($G137=1,_xlfn.XLOOKUP($BX137,Std_Cu1_Code,INDEX(Std_Cu1_Table,0,4)),_xlfn.XLOOKUP($BX137,Std_Cu3_Code,INDEX(Std_Cu3_Table,0,4)))),"")))</f>
        <v/>
      </c>
      <c r="CA137" s="829" t="str" cm="1">
        <f t="array" ref="CA137">IF($BP137="","",IF($BX137="",$BQ137,IFERROR(IF($BV137="AL",_xlfn.XLOOKUP($BX137,Std_Al3_Code,INDEX(Std_Al3_Table,0,3)),IF($G137=1,_xlfn.XLOOKUP($BX137,Std_Cu1_Code,INDEX(Std_Cu1_Table,0,3)),_xlfn.XLOOKUP($BX137,Std_Cu3_Code,INDEX(Std_Cu3_Table,0,3)))),"")))</f>
        <v/>
      </c>
      <c r="CB137" s="829" t="str" cm="1">
        <f t="array" ref="CB137">IF($BP137="","",IF($BX137="",$BS137,IFERROR(IF($BV137="AL",_xlfn.XLOOKUP($BX137,Std_Al3_Code,INDEX(Std_Al3_Table,0,5)),IF($G137=1,_xlfn.XLOOKUP($BX137,Std_Cu1_Code,INDEX(Std_Cu1_Table,0,5)),_xlfn.XLOOKUP($BX137,Std_Cu3_Code,INDEX(Std_Cu3_Table,0,5)))),"")))</f>
        <v/>
      </c>
      <c r="CC137" s="829" t="str">
        <f t="shared" si="53"/>
        <v/>
      </c>
      <c r="CD137" s="829" t="str">
        <f t="shared" si="54"/>
        <v/>
      </c>
      <c r="CE137" s="829" t="str">
        <f t="shared" si="55"/>
        <v/>
      </c>
      <c r="CF137" s="829" t="str">
        <f t="shared" si="56"/>
        <v/>
      </c>
      <c r="CG137" s="829" t="str">
        <f t="shared" si="57"/>
        <v/>
      </c>
      <c r="CH137" s="829" t="str">
        <f t="shared" si="58"/>
        <v/>
      </c>
      <c r="CI137" s="829" t="str">
        <f t="shared" si="59"/>
        <v/>
      </c>
      <c r="CJ137" s="829" t="str" cm="1">
        <f t="array" ref="CJ137">IF($B137="","",_xlfn.LET(_xlpm.to,$D137&amp;"",_xlpm.em,IFERROR(INDEX(_xlfn.ANCHORARRAY($BE$4),ROW()-4,6),"")="EMERG",_xlpm.pri,AND(NOT(_xlpm.em),LEFT(_xlpm.to,2)="T-",ISNUMBER(MATCH(MID(_xlpm.to,3,99),Equip_List,0)),ISNA(MATCH(_xlpm.to,Equip_List,0))),IF(_xlpm.pri,MID(_xlpm.to,3,99),_xlpm.to)))</f>
        <v/>
      </c>
      <c r="CK137" s="829" t="str" cm="1">
        <f t="array" ref="CK137">IF($CJ137="","",IF(IFERROR(INDEX(_xlfn.ANCHORARRAY($BE$4),ROW()-4,6),"")="EMERG","E",IF($CJ137&lt;&gt;$D137&amp;"","P","N")))</f>
        <v/>
      </c>
    </row>
    <row r="138" spans="1:89" ht="15" customHeight="1" x14ac:dyDescent="0.35">
      <c r="A138" s="821" t="str">
        <f t="shared" si="47"/>
        <v/>
      </c>
      <c r="B138" s="821" t="str" cm="1">
        <f t="array" ref="B138">IFERROR(IF(INDEX(_xlfn.ANCHORARRAY($BE$4),ROW()-4,2)="","","F-"&amp;INDEX(_xlfn.ANCHORARRAY($BE$4),ROW()-4,2)&amp;IF(IFERROR(INDEX(_xlfn.ANCHORARRAY($BE$4),ROW()-4,6),"")="EMERG","-E","")),"")</f>
        <v/>
      </c>
      <c r="C138" s="821" t="str" cm="1">
        <f t="array" ref="C138">IFERROR(IF($B138="","",INDEX(_xlfn.ANCHORARRAY($BE$4),ROW()-4,1)),"")</f>
        <v/>
      </c>
      <c r="D138" s="821" t="str" cm="1">
        <f t="array" ref="D138">IFERROR(IF($B138="","",INDEX(_xlfn.ANCHORARRAY($BE$4),ROW()-4,2)),"")</f>
        <v/>
      </c>
      <c r="E138" s="806" t="str" cm="1">
        <f t="array" ref="E138">IFERROR(IF($B138="","",INDEX(_xlfn.ANCHORARRAY($BE$4),ROW()-4,3)),"")</f>
        <v/>
      </c>
      <c r="F138" s="822" t="str" cm="1">
        <f t="array" ref="F138">IFERROR(IF($B138="","",INDEX(_xlfn.ANCHORARRAY($BE$4),ROW()-4,4)),"")</f>
        <v/>
      </c>
      <c r="G138" s="823" t="str" cm="1">
        <f t="array" ref="G138">IFERROR(IF($B138="","",INDEX(_xlfn.ANCHORARRAY($BE$4),ROW()-4,5)),"")</f>
        <v/>
      </c>
      <c r="H138" s="824" t="str" cm="1">
        <f t="array" ref="H138">IF($CJ138="","",_xlfn.LET(_xlpm.v,_xlfn.XLOOKUP($CJ138,Equip_List,IF($CK138="E",Equip_EmLen,IF($CK138="P",Equip_XfPriLen,Equip_FdrLen)),""),IF(_xlpm.v="","",_xlpm.v)))</f>
        <v/>
      </c>
      <c r="I138" s="806" t="str">
        <f t="shared" si="40"/>
        <v/>
      </c>
      <c r="J138" s="820"/>
      <c r="K138" s="806" t="str">
        <f>_xlfn.LET(_xlpm.k,IF($I138="","",IF(COUNTIF(UPS!$B$57:$B$64,$C138&amp;"")&gt;0,1.25*MAX($I138,N(_xlfn.XLOOKUP($C138&amp;"",UPS!$B$57:$B$64,UPS!$M$57:$M$64,0))),IF(COUNTIF(UPS!$B$57:$B$64,$D138&amp;"")&gt;0,1.25*MAX($I138,N(_xlfn.XLOOKUP($D138&amp;"",UPS!$B$57:$B$64,UPS!$Q$57:$Q$64,0))),$I138*IF(OR(UPPER($J138)="Y",LEFT($C138,2)="T-",LEFT($D138,2)="T-"),1.25,1)))),IF(_xlpm.k="","",MAX(_xlpm.k,N(IFERROR(_xlfn.XLOOKUP($D138&amp;"",Dashboard!$A$101:$A$350,Dashboard!$O$101:$O$350,0),0)))))</f>
        <v/>
      </c>
      <c r="L138" s="825" t="str">
        <f>IF($CJ138="","",_xlfn.LET(_xlpm.v,UPPER(TRIM(_xlfn.XLOOKUP($CJ138,Equip_List,Equip_FdrMat,"")&amp;"")),IF(_xlpm.v="",UPPER(TRIM(Cfg_FeederMat&amp;"")),_xlpm.v)))</f>
        <v/>
      </c>
      <c r="M138" s="825" t="str">
        <f>IF($CJ138="","",_xlfn.LET(_xlpm.v,TRIM(_xlfn.XLOOKUP($CJ138,Equip_List,Equip_FdrRace,"")&amp;""),IF(_xlpm.v="",Cfg_Conduit&amp;"",_xlpm.v)))</f>
        <v/>
      </c>
      <c r="N138" s="825" t="str">
        <f>IF($CJ138="","",IF(UPPER(TRIM(_xlfn.XLOOKUP($CJ138,Equip_List,Equip_FdrExist,"")&amp;""))="Y","Y",""))</f>
        <v/>
      </c>
      <c r="O138" s="823" t="str">
        <f t="shared" si="48"/>
        <v/>
      </c>
      <c r="P138" s="821" t="str">
        <f t="shared" si="49"/>
        <v/>
      </c>
      <c r="Q138" s="821" t="str">
        <f t="shared" si="50"/>
        <v/>
      </c>
      <c r="R138" s="822" t="str" cm="1">
        <f t="array" ref="R138">IF(K138="","",INDEX(OCPD_List,MATCH(TRUE,OCPD_List&gt;=K138,0)))</f>
        <v/>
      </c>
      <c r="S138" s="821" t="str">
        <f t="shared" si="51"/>
        <v/>
      </c>
      <c r="T138" s="826" t="str">
        <f t="shared" si="41"/>
        <v/>
      </c>
      <c r="U138" s="826" t="str">
        <f t="shared" si="42"/>
        <v/>
      </c>
      <c r="V138" s="827" t="str">
        <f t="shared" si="43"/>
        <v/>
      </c>
      <c r="W138" s="828"/>
      <c r="X138" s="819"/>
      <c r="Y138" s="820"/>
      <c r="Z138" s="820"/>
      <c r="AA138" s="820"/>
      <c r="BN138" s="832" t="str">
        <f>IF($B138="","",IFERROR(_xlfn.XLOOKUP($D138,Dashboard!$A$101:$A$350,Dashboard!$C$101:$C$350),""))</f>
        <v/>
      </c>
      <c r="BO138" s="832" t="str">
        <f t="shared" si="44"/>
        <v/>
      </c>
      <c r="BP138" s="832" t="str" cm="1">
        <f t="array" ref="BP138">IF(OR($B138="",$R138="",NOT(ISNUMBER($R138))),"",IF(AND($BV138="AL",$G138=1),"",_xlfn.LET(_xlpm.codes,IF($BV138="AL",Std_Al3_Code,IF($G138=1,Std_Cu1_Code,Std_Cu3_Code)),_xlpm.amps,IFERROR(--SUBSTITUTE(_xlpm.codes&amp;"","N",""),""),_xlpm.a,MIN(IF(ISNUMBER(_xlpm.amps),IF(_xlpm.amps&gt;=$R138,_xlpm.amps,""),"")),_xlpm.k,IF(_xlpm.a=0,$R138,_xlpm.a),IF($BO138="Y",TEXT(_xlpm.k,"0")&amp;"N",_xlpm.k))))</f>
        <v/>
      </c>
      <c r="BQ138" s="832" t="str" cm="1">
        <f t="array" ref="BQ138">IF($BP138="","",IFERROR(IF($BV138="AL",_xlfn.XLOOKUP($BP138,Std_Al3_Code,INDEX(Std_Al3_Table,0,3)),IF($G138=1,_xlfn.XLOOKUP($BP138,Std_Cu1_Code,INDEX(Std_Cu1_Table,0,3)),_xlfn.XLOOKUP($BP138,Std_Cu3_Code,INDEX(Std_Cu3_Table,0,3)))),""))</f>
        <v/>
      </c>
      <c r="BR138" s="832" t="str" cm="1">
        <f t="array" ref="BR138">IF($BP138="","",IFERROR(IF($BV138="AL",_xlfn.XLOOKUP($BP138,Std_Al3_Code,INDEX(Std_Al3_Table,0,4)),IF($G138=1,_xlfn.XLOOKUP($BP138,Std_Cu1_Code,INDEX(Std_Cu1_Table,0,4)),_xlfn.XLOOKUP($BP138,Std_Cu3_Code,INDEX(Std_Cu3_Table,0,4)))),""))</f>
        <v/>
      </c>
      <c r="BS138" s="832" t="str" cm="1">
        <f t="array" ref="BS138">IF($BP138="","",IFERROR(IF($BV138="AL",_xlfn.XLOOKUP($BP138,Std_Al3_Code,INDEX(Std_Al3_Table,0,5)),IF($G138=1,_xlfn.XLOOKUP($BP138,Std_Cu1_Code,INDEX(Std_Cu1_Table,0,5)),_xlfn.XLOOKUP($BP138,Std_Cu3_Code,INDEX(Std_Cu3_Table,0,5)))),""))</f>
        <v/>
      </c>
      <c r="BT138" s="832" t="str">
        <f t="shared" si="45"/>
        <v/>
      </c>
      <c r="BU138" s="832" t="str" cm="1">
        <f t="array" ref="BU138">IF($BP138="","",IFERROR(IF($BV138="AL",_xlfn.XLOOKUP($BP138,Std_Al3_Code,INDEX(Std_Al3_Table,0,2)),IF($G138=1,_xlfn.XLOOKUP($BP138,Std_Cu1_Code,INDEX(Std_Cu1_Table,0,2)),_xlfn.XLOOKUP($BP138,Std_Cu3_Code,INDEX(Std_Cu3_Table,0,2)))),""))</f>
        <v/>
      </c>
      <c r="BV138" s="829" t="str">
        <f t="shared" si="46"/>
        <v/>
      </c>
      <c r="BW138" s="829" t="str">
        <f t="shared" si="52"/>
        <v/>
      </c>
      <c r="BX138" s="829" t="str" cm="1">
        <f t="array" ref="BX138">IF(OR($BP138="",$H138="",$I138="",$F138="",$BW138=""),"",IFERROR(_xlfn.LET(_xlpm.codes,IF($BV138="AL",Std_Al3_Code,IF($G138=1,Std_Cu1_Code,Std_Cu3_Code)),_xlpm.tbl,IF($BV138="AL",Std_Al3_Table,IF($G138=1,Std_Cu1_Table,Std_Cu3_Table)),_xlpm.i,MATCH($BP138,_xlpm.codes,0),_xlpm.idx,_xlfn.SEQUENCE(ROWS(_xlpm.codes)),_xlpm.cnd,INDEX(_xlpm.tbl,0,4),_xlpm.sts,INDEX(_xlpm.tbl,0,2),_xlpm.sz,IFERROR(_xlfn.TEXTBEFORE(_xlfn.TEXTAFTER(_xlpm.cnd,"#"),","),IFERROR(_xlfn.TEXTAFTER(_xlpm.cnd,"#"),"")),_xlpm.cm,IFERROR(_xlfn.XLOOKUP(TRIM(_xlpm.sz),Ampacity_Size,Ampacity_CM),0),_xlpm.mult,IF($G138=3,SQRT3,2),_xlpm.kk,IF($BV138="AL",K_Al,K_Cu),_xlpm.vd,IF(_xlpm.cm*IF(ISNUMBER(_xlpm.sts),_xlpm.sts,0)=0,9,_xlpm.mult*_xlpm.kk*$I138*$H138/(_xlpm.cm*_xlpm.sts)/$F138),_xlpm.hasN,--(RIGHT(_xlpm.codes&amp;"",1)="N"),_xlpm.wantN,--(RIGHT($BP138&amp;"",1)="N"),_xlpm.ok,(_xlpm.idx&gt;=_xlpm.i)*(_xlpm.vd&lt;=Cfg_VDFeeder)*(_xlpm.cm&gt;0)*ISNUMBER(_xlpm.sts)*(_xlpm.hasN=_xlpm.wantN),_xlpm.m,MIN(IF(_xlpm.ok=1,_xlpm.idx)),INDEX(_xlpm.codes,IF(_xlpm.m=0,_xlpm.i,_xlpm.m))),""))</f>
        <v/>
      </c>
      <c r="BY138" s="829" t="str" cm="1">
        <f t="array" ref="BY138">IF($BP138="","",IF($BX138="",$BU138,IFERROR(IF($BV138="AL",_xlfn.XLOOKUP($BX138,Std_Al3_Code,INDEX(Std_Al3_Table,0,2)),IF($G138=1,_xlfn.XLOOKUP($BX138,Std_Cu1_Code,INDEX(Std_Cu1_Table,0,2)),_xlfn.XLOOKUP($BX138,Std_Cu3_Code,INDEX(Std_Cu3_Table,0,2)))),"")))</f>
        <v/>
      </c>
      <c r="BZ138" s="829" t="str" cm="1">
        <f t="array" ref="BZ138">IF($BP138="","",IF($BX138="",$BR138,IFERROR(IF($BV138="AL",_xlfn.XLOOKUP($BX138,Std_Al3_Code,INDEX(Std_Al3_Table,0,4)),IF($G138=1,_xlfn.XLOOKUP($BX138,Std_Cu1_Code,INDEX(Std_Cu1_Table,0,4)),_xlfn.XLOOKUP($BX138,Std_Cu3_Code,INDEX(Std_Cu3_Table,0,4)))),"")))</f>
        <v/>
      </c>
      <c r="CA138" s="829" t="str" cm="1">
        <f t="array" ref="CA138">IF($BP138="","",IF($BX138="",$BQ138,IFERROR(IF($BV138="AL",_xlfn.XLOOKUP($BX138,Std_Al3_Code,INDEX(Std_Al3_Table,0,3)),IF($G138=1,_xlfn.XLOOKUP($BX138,Std_Cu1_Code,INDEX(Std_Cu1_Table,0,3)),_xlfn.XLOOKUP($BX138,Std_Cu3_Code,INDEX(Std_Cu3_Table,0,3)))),"")))</f>
        <v/>
      </c>
      <c r="CB138" s="829" t="str" cm="1">
        <f t="array" ref="CB138">IF($BP138="","",IF($BX138="",$BS138,IFERROR(IF($BV138="AL",_xlfn.XLOOKUP($BX138,Std_Al3_Code,INDEX(Std_Al3_Table,0,5)),IF($G138=1,_xlfn.XLOOKUP($BX138,Std_Cu1_Code,INDEX(Std_Cu1_Table,0,5)),_xlfn.XLOOKUP($BX138,Std_Cu3_Code,INDEX(Std_Cu3_Table,0,5)))),"")))</f>
        <v/>
      </c>
      <c r="CC138" s="829" t="str">
        <f t="shared" si="53"/>
        <v/>
      </c>
      <c r="CD138" s="829" t="str">
        <f t="shared" si="54"/>
        <v/>
      </c>
      <c r="CE138" s="829" t="str">
        <f t="shared" si="55"/>
        <v/>
      </c>
      <c r="CF138" s="829" t="str">
        <f t="shared" si="56"/>
        <v/>
      </c>
      <c r="CG138" s="829" t="str">
        <f t="shared" si="57"/>
        <v/>
      </c>
      <c r="CH138" s="829" t="str">
        <f t="shared" si="58"/>
        <v/>
      </c>
      <c r="CI138" s="829" t="str">
        <f t="shared" si="59"/>
        <v/>
      </c>
      <c r="CJ138" s="829" t="str" cm="1">
        <f t="array" ref="CJ138">IF($B138="","",_xlfn.LET(_xlpm.to,$D138&amp;"",_xlpm.em,IFERROR(INDEX(_xlfn.ANCHORARRAY($BE$4),ROW()-4,6),"")="EMERG",_xlpm.pri,AND(NOT(_xlpm.em),LEFT(_xlpm.to,2)="T-",ISNUMBER(MATCH(MID(_xlpm.to,3,99),Equip_List,0)),ISNA(MATCH(_xlpm.to,Equip_List,0))),IF(_xlpm.pri,MID(_xlpm.to,3,99),_xlpm.to)))</f>
        <v/>
      </c>
      <c r="CK138" s="829" t="str" cm="1">
        <f t="array" ref="CK138">IF($CJ138="","",IF(IFERROR(INDEX(_xlfn.ANCHORARRAY($BE$4),ROW()-4,6),"")="EMERG","E",IF($CJ138&lt;&gt;$D138&amp;"","P","N")))</f>
        <v/>
      </c>
    </row>
    <row r="139" spans="1:89" ht="15" customHeight="1" x14ac:dyDescent="0.35">
      <c r="A139" s="821" t="str">
        <f t="shared" si="47"/>
        <v/>
      </c>
      <c r="B139" s="821" t="str" cm="1">
        <f t="array" ref="B139">IFERROR(IF(INDEX(_xlfn.ANCHORARRAY($BE$4),ROW()-4,2)="","","F-"&amp;INDEX(_xlfn.ANCHORARRAY($BE$4),ROW()-4,2)&amp;IF(IFERROR(INDEX(_xlfn.ANCHORARRAY($BE$4),ROW()-4,6),"")="EMERG","-E","")),"")</f>
        <v/>
      </c>
      <c r="C139" s="821" t="str" cm="1">
        <f t="array" ref="C139">IFERROR(IF($B139="","",INDEX(_xlfn.ANCHORARRAY($BE$4),ROW()-4,1)),"")</f>
        <v/>
      </c>
      <c r="D139" s="821" t="str" cm="1">
        <f t="array" ref="D139">IFERROR(IF($B139="","",INDEX(_xlfn.ANCHORARRAY($BE$4),ROW()-4,2)),"")</f>
        <v/>
      </c>
      <c r="E139" s="806" t="str" cm="1">
        <f t="array" ref="E139">IFERROR(IF($B139="","",INDEX(_xlfn.ANCHORARRAY($BE$4),ROW()-4,3)),"")</f>
        <v/>
      </c>
      <c r="F139" s="822" t="str" cm="1">
        <f t="array" ref="F139">IFERROR(IF($B139="","",INDEX(_xlfn.ANCHORARRAY($BE$4),ROW()-4,4)),"")</f>
        <v/>
      </c>
      <c r="G139" s="823" t="str" cm="1">
        <f t="array" ref="G139">IFERROR(IF($B139="","",INDEX(_xlfn.ANCHORARRAY($BE$4),ROW()-4,5)),"")</f>
        <v/>
      </c>
      <c r="H139" s="824" t="str" cm="1">
        <f t="array" ref="H139">IF($CJ139="","",_xlfn.LET(_xlpm.v,_xlfn.XLOOKUP($CJ139,Equip_List,IF($CK139="E",Equip_EmLen,IF($CK139="P",Equip_XfPriLen,Equip_FdrLen)),""),IF(_xlpm.v="","",_xlpm.v)))</f>
        <v/>
      </c>
      <c r="I139" s="806" t="str">
        <f t="shared" si="40"/>
        <v/>
      </c>
      <c r="J139" s="820"/>
      <c r="K139" s="806" t="str">
        <f>_xlfn.LET(_xlpm.k,IF($I139="","",IF(COUNTIF(UPS!$B$57:$B$64,$C139&amp;"")&gt;0,1.25*MAX($I139,N(_xlfn.XLOOKUP($C139&amp;"",UPS!$B$57:$B$64,UPS!$M$57:$M$64,0))),IF(COUNTIF(UPS!$B$57:$B$64,$D139&amp;"")&gt;0,1.25*MAX($I139,N(_xlfn.XLOOKUP($D139&amp;"",UPS!$B$57:$B$64,UPS!$Q$57:$Q$64,0))),$I139*IF(OR(UPPER($J139)="Y",LEFT($C139,2)="T-",LEFT($D139,2)="T-"),1.25,1)))),IF(_xlpm.k="","",MAX(_xlpm.k,N(IFERROR(_xlfn.XLOOKUP($D139&amp;"",Dashboard!$A$101:$A$350,Dashboard!$O$101:$O$350,0),0)))))</f>
        <v/>
      </c>
      <c r="L139" s="825" t="str">
        <f>IF($CJ139="","",_xlfn.LET(_xlpm.v,UPPER(TRIM(_xlfn.XLOOKUP($CJ139,Equip_List,Equip_FdrMat,"")&amp;"")),IF(_xlpm.v="",UPPER(TRIM(Cfg_FeederMat&amp;"")),_xlpm.v)))</f>
        <v/>
      </c>
      <c r="M139" s="825" t="str">
        <f>IF($CJ139="","",_xlfn.LET(_xlpm.v,TRIM(_xlfn.XLOOKUP($CJ139,Equip_List,Equip_FdrRace,"")&amp;""),IF(_xlpm.v="",Cfg_Conduit&amp;"",_xlpm.v)))</f>
        <v/>
      </c>
      <c r="N139" s="825" t="str">
        <f>IF($CJ139="","",IF(UPPER(TRIM(_xlfn.XLOOKUP($CJ139,Equip_List,Equip_FdrExist,"")&amp;""))="Y","Y",""))</f>
        <v/>
      </c>
      <c r="O139" s="823" t="str">
        <f t="shared" si="48"/>
        <v/>
      </c>
      <c r="P139" s="821" t="str">
        <f t="shared" si="49"/>
        <v/>
      </c>
      <c r="Q139" s="821" t="str">
        <f t="shared" si="50"/>
        <v/>
      </c>
      <c r="R139" s="822" t="str" cm="1">
        <f t="array" ref="R139">IF(K139="","",INDEX(OCPD_List,MATCH(TRUE,OCPD_List&gt;=K139,0)))</f>
        <v/>
      </c>
      <c r="S139" s="821" t="str">
        <f t="shared" si="51"/>
        <v/>
      </c>
      <c r="T139" s="826" t="str">
        <f t="shared" si="41"/>
        <v/>
      </c>
      <c r="U139" s="826" t="str">
        <f t="shared" si="42"/>
        <v/>
      </c>
      <c r="V139" s="827" t="str">
        <f t="shared" si="43"/>
        <v/>
      </c>
      <c r="W139" s="828"/>
      <c r="X139" s="819"/>
      <c r="Y139" s="820"/>
      <c r="Z139" s="820"/>
      <c r="AA139" s="820"/>
      <c r="BN139" s="832" t="str">
        <f>IF($B139="","",IFERROR(_xlfn.XLOOKUP($D139,Dashboard!$A$101:$A$350,Dashboard!$C$101:$C$350),""))</f>
        <v/>
      </c>
      <c r="BO139" s="832" t="str">
        <f t="shared" si="44"/>
        <v/>
      </c>
      <c r="BP139" s="832" t="str" cm="1">
        <f t="array" ref="BP139">IF(OR($B139="",$R139="",NOT(ISNUMBER($R139))),"",IF(AND($BV139="AL",$G139=1),"",_xlfn.LET(_xlpm.codes,IF($BV139="AL",Std_Al3_Code,IF($G139=1,Std_Cu1_Code,Std_Cu3_Code)),_xlpm.amps,IFERROR(--SUBSTITUTE(_xlpm.codes&amp;"","N",""),""),_xlpm.a,MIN(IF(ISNUMBER(_xlpm.amps),IF(_xlpm.amps&gt;=$R139,_xlpm.amps,""),"")),_xlpm.k,IF(_xlpm.a=0,$R139,_xlpm.a),IF($BO139="Y",TEXT(_xlpm.k,"0")&amp;"N",_xlpm.k))))</f>
        <v/>
      </c>
      <c r="BQ139" s="832" t="str" cm="1">
        <f t="array" ref="BQ139">IF($BP139="","",IFERROR(IF($BV139="AL",_xlfn.XLOOKUP($BP139,Std_Al3_Code,INDEX(Std_Al3_Table,0,3)),IF($G139=1,_xlfn.XLOOKUP($BP139,Std_Cu1_Code,INDEX(Std_Cu1_Table,0,3)),_xlfn.XLOOKUP($BP139,Std_Cu3_Code,INDEX(Std_Cu3_Table,0,3)))),""))</f>
        <v/>
      </c>
      <c r="BR139" s="832" t="str" cm="1">
        <f t="array" ref="BR139">IF($BP139="","",IFERROR(IF($BV139="AL",_xlfn.XLOOKUP($BP139,Std_Al3_Code,INDEX(Std_Al3_Table,0,4)),IF($G139=1,_xlfn.XLOOKUP($BP139,Std_Cu1_Code,INDEX(Std_Cu1_Table,0,4)),_xlfn.XLOOKUP($BP139,Std_Cu3_Code,INDEX(Std_Cu3_Table,0,4)))),""))</f>
        <v/>
      </c>
      <c r="BS139" s="832" t="str" cm="1">
        <f t="array" ref="BS139">IF($BP139="","",IFERROR(IF($BV139="AL",_xlfn.XLOOKUP($BP139,Std_Al3_Code,INDEX(Std_Al3_Table,0,5)),IF($G139=1,_xlfn.XLOOKUP($BP139,Std_Cu1_Code,INDEX(Std_Cu1_Table,0,5)),_xlfn.XLOOKUP($BP139,Std_Cu3_Code,INDEX(Std_Cu3_Table,0,5)))),""))</f>
        <v/>
      </c>
      <c r="BT139" s="832" t="str">
        <f t="shared" si="45"/>
        <v/>
      </c>
      <c r="BU139" s="832" t="str" cm="1">
        <f t="array" ref="BU139">IF($BP139="","",IFERROR(IF($BV139="AL",_xlfn.XLOOKUP($BP139,Std_Al3_Code,INDEX(Std_Al3_Table,0,2)),IF($G139=1,_xlfn.XLOOKUP($BP139,Std_Cu1_Code,INDEX(Std_Cu1_Table,0,2)),_xlfn.XLOOKUP($BP139,Std_Cu3_Code,INDEX(Std_Cu3_Table,0,2)))),""))</f>
        <v/>
      </c>
      <c r="BV139" s="829" t="str">
        <f t="shared" si="46"/>
        <v/>
      </c>
      <c r="BW139" s="829" t="str">
        <f t="shared" si="52"/>
        <v/>
      </c>
      <c r="BX139" s="829" t="str" cm="1">
        <f t="array" ref="BX139">IF(OR($BP139="",$H139="",$I139="",$F139="",$BW139=""),"",IFERROR(_xlfn.LET(_xlpm.codes,IF($BV139="AL",Std_Al3_Code,IF($G139=1,Std_Cu1_Code,Std_Cu3_Code)),_xlpm.tbl,IF($BV139="AL",Std_Al3_Table,IF($G139=1,Std_Cu1_Table,Std_Cu3_Table)),_xlpm.i,MATCH($BP139,_xlpm.codes,0),_xlpm.idx,_xlfn.SEQUENCE(ROWS(_xlpm.codes)),_xlpm.cnd,INDEX(_xlpm.tbl,0,4),_xlpm.sts,INDEX(_xlpm.tbl,0,2),_xlpm.sz,IFERROR(_xlfn.TEXTBEFORE(_xlfn.TEXTAFTER(_xlpm.cnd,"#"),","),IFERROR(_xlfn.TEXTAFTER(_xlpm.cnd,"#"),"")),_xlpm.cm,IFERROR(_xlfn.XLOOKUP(TRIM(_xlpm.sz),Ampacity_Size,Ampacity_CM),0),_xlpm.mult,IF($G139=3,SQRT3,2),_xlpm.kk,IF($BV139="AL",K_Al,K_Cu),_xlpm.vd,IF(_xlpm.cm*IF(ISNUMBER(_xlpm.sts),_xlpm.sts,0)=0,9,_xlpm.mult*_xlpm.kk*$I139*$H139/(_xlpm.cm*_xlpm.sts)/$F139),_xlpm.hasN,--(RIGHT(_xlpm.codes&amp;"",1)="N"),_xlpm.wantN,--(RIGHT($BP139&amp;"",1)="N"),_xlpm.ok,(_xlpm.idx&gt;=_xlpm.i)*(_xlpm.vd&lt;=Cfg_VDFeeder)*(_xlpm.cm&gt;0)*ISNUMBER(_xlpm.sts)*(_xlpm.hasN=_xlpm.wantN),_xlpm.m,MIN(IF(_xlpm.ok=1,_xlpm.idx)),INDEX(_xlpm.codes,IF(_xlpm.m=0,_xlpm.i,_xlpm.m))),""))</f>
        <v/>
      </c>
      <c r="BY139" s="829" t="str" cm="1">
        <f t="array" ref="BY139">IF($BP139="","",IF($BX139="",$BU139,IFERROR(IF($BV139="AL",_xlfn.XLOOKUP($BX139,Std_Al3_Code,INDEX(Std_Al3_Table,0,2)),IF($G139=1,_xlfn.XLOOKUP($BX139,Std_Cu1_Code,INDEX(Std_Cu1_Table,0,2)),_xlfn.XLOOKUP($BX139,Std_Cu3_Code,INDEX(Std_Cu3_Table,0,2)))),"")))</f>
        <v/>
      </c>
      <c r="BZ139" s="829" t="str" cm="1">
        <f t="array" ref="BZ139">IF($BP139="","",IF($BX139="",$BR139,IFERROR(IF($BV139="AL",_xlfn.XLOOKUP($BX139,Std_Al3_Code,INDEX(Std_Al3_Table,0,4)),IF($G139=1,_xlfn.XLOOKUP($BX139,Std_Cu1_Code,INDEX(Std_Cu1_Table,0,4)),_xlfn.XLOOKUP($BX139,Std_Cu3_Code,INDEX(Std_Cu3_Table,0,4)))),"")))</f>
        <v/>
      </c>
      <c r="CA139" s="829" t="str" cm="1">
        <f t="array" ref="CA139">IF($BP139="","",IF($BX139="",$BQ139,IFERROR(IF($BV139="AL",_xlfn.XLOOKUP($BX139,Std_Al3_Code,INDEX(Std_Al3_Table,0,3)),IF($G139=1,_xlfn.XLOOKUP($BX139,Std_Cu1_Code,INDEX(Std_Cu1_Table,0,3)),_xlfn.XLOOKUP($BX139,Std_Cu3_Code,INDEX(Std_Cu3_Table,0,3)))),"")))</f>
        <v/>
      </c>
      <c r="CB139" s="829" t="str" cm="1">
        <f t="array" ref="CB139">IF($BP139="","",IF($BX139="",$BS139,IFERROR(IF($BV139="AL",_xlfn.XLOOKUP($BX139,Std_Al3_Code,INDEX(Std_Al3_Table,0,5)),IF($G139=1,_xlfn.XLOOKUP($BX139,Std_Cu1_Code,INDEX(Std_Cu1_Table,0,5)),_xlfn.XLOOKUP($BX139,Std_Cu3_Code,INDEX(Std_Cu3_Table,0,5)))),"")))</f>
        <v/>
      </c>
      <c r="CC139" s="829" t="str">
        <f t="shared" si="53"/>
        <v/>
      </c>
      <c r="CD139" s="829" t="str">
        <f t="shared" si="54"/>
        <v/>
      </c>
      <c r="CE139" s="829" t="str">
        <f t="shared" si="55"/>
        <v/>
      </c>
      <c r="CF139" s="829" t="str">
        <f t="shared" si="56"/>
        <v/>
      </c>
      <c r="CG139" s="829" t="str">
        <f t="shared" si="57"/>
        <v/>
      </c>
      <c r="CH139" s="829" t="str">
        <f t="shared" si="58"/>
        <v/>
      </c>
      <c r="CI139" s="829" t="str">
        <f t="shared" si="59"/>
        <v/>
      </c>
      <c r="CJ139" s="829" t="str" cm="1">
        <f t="array" ref="CJ139">IF($B139="","",_xlfn.LET(_xlpm.to,$D139&amp;"",_xlpm.em,IFERROR(INDEX(_xlfn.ANCHORARRAY($BE$4),ROW()-4,6),"")="EMERG",_xlpm.pri,AND(NOT(_xlpm.em),LEFT(_xlpm.to,2)="T-",ISNUMBER(MATCH(MID(_xlpm.to,3,99),Equip_List,0)),ISNA(MATCH(_xlpm.to,Equip_List,0))),IF(_xlpm.pri,MID(_xlpm.to,3,99),_xlpm.to)))</f>
        <v/>
      </c>
      <c r="CK139" s="829" t="str" cm="1">
        <f t="array" ref="CK139">IF($CJ139="","",IF(IFERROR(INDEX(_xlfn.ANCHORARRAY($BE$4),ROW()-4,6),"")="EMERG","E",IF($CJ139&lt;&gt;$D139&amp;"","P","N")))</f>
        <v/>
      </c>
    </row>
    <row r="140" spans="1:89" ht="15" customHeight="1" x14ac:dyDescent="0.35">
      <c r="A140" s="821" t="str">
        <f t="shared" si="47"/>
        <v/>
      </c>
      <c r="B140" s="821" t="str" cm="1">
        <f t="array" ref="B140">IFERROR(IF(INDEX(_xlfn.ANCHORARRAY($BE$4),ROW()-4,2)="","","F-"&amp;INDEX(_xlfn.ANCHORARRAY($BE$4),ROW()-4,2)&amp;IF(IFERROR(INDEX(_xlfn.ANCHORARRAY($BE$4),ROW()-4,6),"")="EMERG","-E","")),"")</f>
        <v/>
      </c>
      <c r="C140" s="821" t="str" cm="1">
        <f t="array" ref="C140">IFERROR(IF($B140="","",INDEX(_xlfn.ANCHORARRAY($BE$4),ROW()-4,1)),"")</f>
        <v/>
      </c>
      <c r="D140" s="821" t="str" cm="1">
        <f t="array" ref="D140">IFERROR(IF($B140="","",INDEX(_xlfn.ANCHORARRAY($BE$4),ROW()-4,2)),"")</f>
        <v/>
      </c>
      <c r="E140" s="806" t="str" cm="1">
        <f t="array" ref="E140">IFERROR(IF($B140="","",INDEX(_xlfn.ANCHORARRAY($BE$4),ROW()-4,3)),"")</f>
        <v/>
      </c>
      <c r="F140" s="822" t="str" cm="1">
        <f t="array" ref="F140">IFERROR(IF($B140="","",INDEX(_xlfn.ANCHORARRAY($BE$4),ROW()-4,4)),"")</f>
        <v/>
      </c>
      <c r="G140" s="823" t="str" cm="1">
        <f t="array" ref="G140">IFERROR(IF($B140="","",INDEX(_xlfn.ANCHORARRAY($BE$4),ROW()-4,5)),"")</f>
        <v/>
      </c>
      <c r="H140" s="824" t="str" cm="1">
        <f t="array" ref="H140">IF($CJ140="","",_xlfn.LET(_xlpm.v,_xlfn.XLOOKUP($CJ140,Equip_List,IF($CK140="E",Equip_EmLen,IF($CK140="P",Equip_XfPriLen,Equip_FdrLen)),""),IF(_xlpm.v="","",_xlpm.v)))</f>
        <v/>
      </c>
      <c r="I140" s="806" t="str">
        <f t="shared" si="40"/>
        <v/>
      </c>
      <c r="J140" s="820"/>
      <c r="K140" s="806" t="str">
        <f>_xlfn.LET(_xlpm.k,IF($I140="","",IF(COUNTIF(UPS!$B$57:$B$64,$C140&amp;"")&gt;0,1.25*MAX($I140,N(_xlfn.XLOOKUP($C140&amp;"",UPS!$B$57:$B$64,UPS!$M$57:$M$64,0))),IF(COUNTIF(UPS!$B$57:$B$64,$D140&amp;"")&gt;0,1.25*MAX($I140,N(_xlfn.XLOOKUP($D140&amp;"",UPS!$B$57:$B$64,UPS!$Q$57:$Q$64,0))),$I140*IF(OR(UPPER($J140)="Y",LEFT($C140,2)="T-",LEFT($D140,2)="T-"),1.25,1)))),IF(_xlpm.k="","",MAX(_xlpm.k,N(IFERROR(_xlfn.XLOOKUP($D140&amp;"",Dashboard!$A$101:$A$350,Dashboard!$O$101:$O$350,0),0)))))</f>
        <v/>
      </c>
      <c r="L140" s="825" t="str">
        <f>IF($CJ140="","",_xlfn.LET(_xlpm.v,UPPER(TRIM(_xlfn.XLOOKUP($CJ140,Equip_List,Equip_FdrMat,"")&amp;"")),IF(_xlpm.v="",UPPER(TRIM(Cfg_FeederMat&amp;"")),_xlpm.v)))</f>
        <v/>
      </c>
      <c r="M140" s="825" t="str">
        <f>IF($CJ140="","",_xlfn.LET(_xlpm.v,TRIM(_xlfn.XLOOKUP($CJ140,Equip_List,Equip_FdrRace,"")&amp;""),IF(_xlpm.v="",Cfg_Conduit&amp;"",_xlpm.v)))</f>
        <v/>
      </c>
      <c r="N140" s="825" t="str">
        <f>IF($CJ140="","",IF(UPPER(TRIM(_xlfn.XLOOKUP($CJ140,Equip_List,Equip_FdrExist,"")&amp;""))="Y","Y",""))</f>
        <v/>
      </c>
      <c r="O140" s="823" t="str">
        <f t="shared" si="48"/>
        <v/>
      </c>
      <c r="P140" s="821" t="str">
        <f t="shared" si="49"/>
        <v/>
      </c>
      <c r="Q140" s="821" t="str">
        <f t="shared" si="50"/>
        <v/>
      </c>
      <c r="R140" s="822" t="str" cm="1">
        <f t="array" ref="R140">IF(K140="","",INDEX(OCPD_List,MATCH(TRUE,OCPD_List&gt;=K140,0)))</f>
        <v/>
      </c>
      <c r="S140" s="821" t="str">
        <f t="shared" si="51"/>
        <v/>
      </c>
      <c r="T140" s="826" t="str">
        <f t="shared" si="41"/>
        <v/>
      </c>
      <c r="U140" s="826" t="str">
        <f t="shared" si="42"/>
        <v/>
      </c>
      <c r="V140" s="827" t="str">
        <f t="shared" si="43"/>
        <v/>
      </c>
      <c r="W140" s="828"/>
      <c r="X140" s="819"/>
      <c r="Y140" s="820"/>
      <c r="Z140" s="820"/>
      <c r="AA140" s="820"/>
      <c r="BN140" s="832" t="str">
        <f>IF($B140="","",IFERROR(_xlfn.XLOOKUP($D140,Dashboard!$A$101:$A$350,Dashboard!$C$101:$C$350),""))</f>
        <v/>
      </c>
      <c r="BO140" s="832" t="str">
        <f t="shared" si="44"/>
        <v/>
      </c>
      <c r="BP140" s="832" t="str" cm="1">
        <f t="array" ref="BP140">IF(OR($B140="",$R140="",NOT(ISNUMBER($R140))),"",IF(AND($BV140="AL",$G140=1),"",_xlfn.LET(_xlpm.codes,IF($BV140="AL",Std_Al3_Code,IF($G140=1,Std_Cu1_Code,Std_Cu3_Code)),_xlpm.amps,IFERROR(--SUBSTITUTE(_xlpm.codes&amp;"","N",""),""),_xlpm.a,MIN(IF(ISNUMBER(_xlpm.amps),IF(_xlpm.amps&gt;=$R140,_xlpm.amps,""),"")),_xlpm.k,IF(_xlpm.a=0,$R140,_xlpm.a),IF($BO140="Y",TEXT(_xlpm.k,"0")&amp;"N",_xlpm.k))))</f>
        <v/>
      </c>
      <c r="BQ140" s="832" t="str" cm="1">
        <f t="array" ref="BQ140">IF($BP140="","",IFERROR(IF($BV140="AL",_xlfn.XLOOKUP($BP140,Std_Al3_Code,INDEX(Std_Al3_Table,0,3)),IF($G140=1,_xlfn.XLOOKUP($BP140,Std_Cu1_Code,INDEX(Std_Cu1_Table,0,3)),_xlfn.XLOOKUP($BP140,Std_Cu3_Code,INDEX(Std_Cu3_Table,0,3)))),""))</f>
        <v/>
      </c>
      <c r="BR140" s="832" t="str" cm="1">
        <f t="array" ref="BR140">IF($BP140="","",IFERROR(IF($BV140="AL",_xlfn.XLOOKUP($BP140,Std_Al3_Code,INDEX(Std_Al3_Table,0,4)),IF($G140=1,_xlfn.XLOOKUP($BP140,Std_Cu1_Code,INDEX(Std_Cu1_Table,0,4)),_xlfn.XLOOKUP($BP140,Std_Cu3_Code,INDEX(Std_Cu3_Table,0,4)))),""))</f>
        <v/>
      </c>
      <c r="BS140" s="832" t="str" cm="1">
        <f t="array" ref="BS140">IF($BP140="","",IFERROR(IF($BV140="AL",_xlfn.XLOOKUP($BP140,Std_Al3_Code,INDEX(Std_Al3_Table,0,5)),IF($G140=1,_xlfn.XLOOKUP($BP140,Std_Cu1_Code,INDEX(Std_Cu1_Table,0,5)),_xlfn.XLOOKUP($BP140,Std_Cu3_Code,INDEX(Std_Cu3_Table,0,5)))),""))</f>
        <v/>
      </c>
      <c r="BT140" s="832" t="str">
        <f t="shared" si="45"/>
        <v/>
      </c>
      <c r="BU140" s="832" t="str" cm="1">
        <f t="array" ref="BU140">IF($BP140="","",IFERROR(IF($BV140="AL",_xlfn.XLOOKUP($BP140,Std_Al3_Code,INDEX(Std_Al3_Table,0,2)),IF($G140=1,_xlfn.XLOOKUP($BP140,Std_Cu1_Code,INDEX(Std_Cu1_Table,0,2)),_xlfn.XLOOKUP($BP140,Std_Cu3_Code,INDEX(Std_Cu3_Table,0,2)))),""))</f>
        <v/>
      </c>
      <c r="BV140" s="829" t="str">
        <f t="shared" si="46"/>
        <v/>
      </c>
      <c r="BW140" s="829" t="str">
        <f t="shared" si="52"/>
        <v/>
      </c>
      <c r="BX140" s="829" t="str" cm="1">
        <f t="array" ref="BX140">IF(OR($BP140="",$H140="",$I140="",$F140="",$BW140=""),"",IFERROR(_xlfn.LET(_xlpm.codes,IF($BV140="AL",Std_Al3_Code,IF($G140=1,Std_Cu1_Code,Std_Cu3_Code)),_xlpm.tbl,IF($BV140="AL",Std_Al3_Table,IF($G140=1,Std_Cu1_Table,Std_Cu3_Table)),_xlpm.i,MATCH($BP140,_xlpm.codes,0),_xlpm.idx,_xlfn.SEQUENCE(ROWS(_xlpm.codes)),_xlpm.cnd,INDEX(_xlpm.tbl,0,4),_xlpm.sts,INDEX(_xlpm.tbl,0,2),_xlpm.sz,IFERROR(_xlfn.TEXTBEFORE(_xlfn.TEXTAFTER(_xlpm.cnd,"#"),","),IFERROR(_xlfn.TEXTAFTER(_xlpm.cnd,"#"),"")),_xlpm.cm,IFERROR(_xlfn.XLOOKUP(TRIM(_xlpm.sz),Ampacity_Size,Ampacity_CM),0),_xlpm.mult,IF($G140=3,SQRT3,2),_xlpm.kk,IF($BV140="AL",K_Al,K_Cu),_xlpm.vd,IF(_xlpm.cm*IF(ISNUMBER(_xlpm.sts),_xlpm.sts,0)=0,9,_xlpm.mult*_xlpm.kk*$I140*$H140/(_xlpm.cm*_xlpm.sts)/$F140),_xlpm.hasN,--(RIGHT(_xlpm.codes&amp;"",1)="N"),_xlpm.wantN,--(RIGHT($BP140&amp;"",1)="N"),_xlpm.ok,(_xlpm.idx&gt;=_xlpm.i)*(_xlpm.vd&lt;=Cfg_VDFeeder)*(_xlpm.cm&gt;0)*ISNUMBER(_xlpm.sts)*(_xlpm.hasN=_xlpm.wantN),_xlpm.m,MIN(IF(_xlpm.ok=1,_xlpm.idx)),INDEX(_xlpm.codes,IF(_xlpm.m=0,_xlpm.i,_xlpm.m))),""))</f>
        <v/>
      </c>
      <c r="BY140" s="829" t="str" cm="1">
        <f t="array" ref="BY140">IF($BP140="","",IF($BX140="",$BU140,IFERROR(IF($BV140="AL",_xlfn.XLOOKUP($BX140,Std_Al3_Code,INDEX(Std_Al3_Table,0,2)),IF($G140=1,_xlfn.XLOOKUP($BX140,Std_Cu1_Code,INDEX(Std_Cu1_Table,0,2)),_xlfn.XLOOKUP($BX140,Std_Cu3_Code,INDEX(Std_Cu3_Table,0,2)))),"")))</f>
        <v/>
      </c>
      <c r="BZ140" s="829" t="str" cm="1">
        <f t="array" ref="BZ140">IF($BP140="","",IF($BX140="",$BR140,IFERROR(IF($BV140="AL",_xlfn.XLOOKUP($BX140,Std_Al3_Code,INDEX(Std_Al3_Table,0,4)),IF($G140=1,_xlfn.XLOOKUP($BX140,Std_Cu1_Code,INDEX(Std_Cu1_Table,0,4)),_xlfn.XLOOKUP($BX140,Std_Cu3_Code,INDEX(Std_Cu3_Table,0,4)))),"")))</f>
        <v/>
      </c>
      <c r="CA140" s="829" t="str" cm="1">
        <f t="array" ref="CA140">IF($BP140="","",IF($BX140="",$BQ140,IFERROR(IF($BV140="AL",_xlfn.XLOOKUP($BX140,Std_Al3_Code,INDEX(Std_Al3_Table,0,3)),IF($G140=1,_xlfn.XLOOKUP($BX140,Std_Cu1_Code,INDEX(Std_Cu1_Table,0,3)),_xlfn.XLOOKUP($BX140,Std_Cu3_Code,INDEX(Std_Cu3_Table,0,3)))),"")))</f>
        <v/>
      </c>
      <c r="CB140" s="829" t="str" cm="1">
        <f t="array" ref="CB140">IF($BP140="","",IF($BX140="",$BS140,IFERROR(IF($BV140="AL",_xlfn.XLOOKUP($BX140,Std_Al3_Code,INDEX(Std_Al3_Table,0,5)),IF($G140=1,_xlfn.XLOOKUP($BX140,Std_Cu1_Code,INDEX(Std_Cu1_Table,0,5)),_xlfn.XLOOKUP($BX140,Std_Cu3_Code,INDEX(Std_Cu3_Table,0,5)))),"")))</f>
        <v/>
      </c>
      <c r="CC140" s="829" t="str">
        <f t="shared" si="53"/>
        <v/>
      </c>
      <c r="CD140" s="829" t="str">
        <f t="shared" si="54"/>
        <v/>
      </c>
      <c r="CE140" s="829" t="str">
        <f t="shared" si="55"/>
        <v/>
      </c>
      <c r="CF140" s="829" t="str">
        <f t="shared" si="56"/>
        <v/>
      </c>
      <c r="CG140" s="829" t="str">
        <f t="shared" si="57"/>
        <v/>
      </c>
      <c r="CH140" s="829" t="str">
        <f t="shared" si="58"/>
        <v/>
      </c>
      <c r="CI140" s="829" t="str">
        <f t="shared" si="59"/>
        <v/>
      </c>
      <c r="CJ140" s="829" t="str" cm="1">
        <f t="array" ref="CJ140">IF($B140="","",_xlfn.LET(_xlpm.to,$D140&amp;"",_xlpm.em,IFERROR(INDEX(_xlfn.ANCHORARRAY($BE$4),ROW()-4,6),"")="EMERG",_xlpm.pri,AND(NOT(_xlpm.em),LEFT(_xlpm.to,2)="T-",ISNUMBER(MATCH(MID(_xlpm.to,3,99),Equip_List,0)),ISNA(MATCH(_xlpm.to,Equip_List,0))),IF(_xlpm.pri,MID(_xlpm.to,3,99),_xlpm.to)))</f>
        <v/>
      </c>
      <c r="CK140" s="829" t="str" cm="1">
        <f t="array" ref="CK140">IF($CJ140="","",IF(IFERROR(INDEX(_xlfn.ANCHORARRAY($BE$4),ROW()-4,6),"")="EMERG","E",IF($CJ140&lt;&gt;$D140&amp;"","P","N")))</f>
        <v/>
      </c>
    </row>
    <row r="141" spans="1:89" ht="15" customHeight="1" x14ac:dyDescent="0.35">
      <c r="A141" s="821" t="str">
        <f t="shared" si="47"/>
        <v/>
      </c>
      <c r="B141" s="821" t="str" cm="1">
        <f t="array" ref="B141">IFERROR(IF(INDEX(_xlfn.ANCHORARRAY($BE$4),ROW()-4,2)="","","F-"&amp;INDEX(_xlfn.ANCHORARRAY($BE$4),ROW()-4,2)&amp;IF(IFERROR(INDEX(_xlfn.ANCHORARRAY($BE$4),ROW()-4,6),"")="EMERG","-E","")),"")</f>
        <v/>
      </c>
      <c r="C141" s="821" t="str" cm="1">
        <f t="array" ref="C141">IFERROR(IF($B141="","",INDEX(_xlfn.ANCHORARRAY($BE$4),ROW()-4,1)),"")</f>
        <v/>
      </c>
      <c r="D141" s="821" t="str" cm="1">
        <f t="array" ref="D141">IFERROR(IF($B141="","",INDEX(_xlfn.ANCHORARRAY($BE$4),ROW()-4,2)),"")</f>
        <v/>
      </c>
      <c r="E141" s="806" t="str" cm="1">
        <f t="array" ref="E141">IFERROR(IF($B141="","",INDEX(_xlfn.ANCHORARRAY($BE$4),ROW()-4,3)),"")</f>
        <v/>
      </c>
      <c r="F141" s="822" t="str" cm="1">
        <f t="array" ref="F141">IFERROR(IF($B141="","",INDEX(_xlfn.ANCHORARRAY($BE$4),ROW()-4,4)),"")</f>
        <v/>
      </c>
      <c r="G141" s="823" t="str" cm="1">
        <f t="array" ref="G141">IFERROR(IF($B141="","",INDEX(_xlfn.ANCHORARRAY($BE$4),ROW()-4,5)),"")</f>
        <v/>
      </c>
      <c r="H141" s="824" t="str" cm="1">
        <f t="array" ref="H141">IF($CJ141="","",_xlfn.LET(_xlpm.v,_xlfn.XLOOKUP($CJ141,Equip_List,IF($CK141="E",Equip_EmLen,IF($CK141="P",Equip_XfPriLen,Equip_FdrLen)),""),IF(_xlpm.v="","",_xlpm.v)))</f>
        <v/>
      </c>
      <c r="I141" s="806" t="str">
        <f t="shared" si="40"/>
        <v/>
      </c>
      <c r="J141" s="820"/>
      <c r="K141" s="806" t="str">
        <f>_xlfn.LET(_xlpm.k,IF($I141="","",IF(COUNTIF(UPS!$B$57:$B$64,$C141&amp;"")&gt;0,1.25*MAX($I141,N(_xlfn.XLOOKUP($C141&amp;"",UPS!$B$57:$B$64,UPS!$M$57:$M$64,0))),IF(COUNTIF(UPS!$B$57:$B$64,$D141&amp;"")&gt;0,1.25*MAX($I141,N(_xlfn.XLOOKUP($D141&amp;"",UPS!$B$57:$B$64,UPS!$Q$57:$Q$64,0))),$I141*IF(OR(UPPER($J141)="Y",LEFT($C141,2)="T-",LEFT($D141,2)="T-"),1.25,1)))),IF(_xlpm.k="","",MAX(_xlpm.k,N(IFERROR(_xlfn.XLOOKUP($D141&amp;"",Dashboard!$A$101:$A$350,Dashboard!$O$101:$O$350,0),0)))))</f>
        <v/>
      </c>
      <c r="L141" s="825" t="str">
        <f>IF($CJ141="","",_xlfn.LET(_xlpm.v,UPPER(TRIM(_xlfn.XLOOKUP($CJ141,Equip_List,Equip_FdrMat,"")&amp;"")),IF(_xlpm.v="",UPPER(TRIM(Cfg_FeederMat&amp;"")),_xlpm.v)))</f>
        <v/>
      </c>
      <c r="M141" s="825" t="str">
        <f>IF($CJ141="","",_xlfn.LET(_xlpm.v,TRIM(_xlfn.XLOOKUP($CJ141,Equip_List,Equip_FdrRace,"")&amp;""),IF(_xlpm.v="",Cfg_Conduit&amp;"",_xlpm.v)))</f>
        <v/>
      </c>
      <c r="N141" s="825" t="str">
        <f>IF($CJ141="","",IF(UPPER(TRIM(_xlfn.XLOOKUP($CJ141,Equip_List,Equip_FdrExist,"")&amp;""))="Y","Y",""))</f>
        <v/>
      </c>
      <c r="O141" s="823" t="str">
        <f t="shared" si="48"/>
        <v/>
      </c>
      <c r="P141" s="821" t="str">
        <f t="shared" si="49"/>
        <v/>
      </c>
      <c r="Q141" s="821" t="str">
        <f t="shared" si="50"/>
        <v/>
      </c>
      <c r="R141" s="822" t="str" cm="1">
        <f t="array" ref="R141">IF(K141="","",INDEX(OCPD_List,MATCH(TRUE,OCPD_List&gt;=K141,0)))</f>
        <v/>
      </c>
      <c r="S141" s="821" t="str">
        <f t="shared" si="51"/>
        <v/>
      </c>
      <c r="T141" s="826" t="str">
        <f t="shared" si="41"/>
        <v/>
      </c>
      <c r="U141" s="826" t="str">
        <f t="shared" si="42"/>
        <v/>
      </c>
      <c r="V141" s="827" t="str">
        <f t="shared" si="43"/>
        <v/>
      </c>
      <c r="W141" s="828"/>
      <c r="X141" s="819"/>
      <c r="Y141" s="820"/>
      <c r="Z141" s="820"/>
      <c r="AA141" s="820"/>
      <c r="BN141" s="832" t="str">
        <f>IF($B141="","",IFERROR(_xlfn.XLOOKUP($D141,Dashboard!$A$101:$A$350,Dashboard!$C$101:$C$350),""))</f>
        <v/>
      </c>
      <c r="BO141" s="832" t="str">
        <f t="shared" si="44"/>
        <v/>
      </c>
      <c r="BP141" s="832" t="str" cm="1">
        <f t="array" ref="BP141">IF(OR($B141="",$R141="",NOT(ISNUMBER($R141))),"",IF(AND($BV141="AL",$G141=1),"",_xlfn.LET(_xlpm.codes,IF($BV141="AL",Std_Al3_Code,IF($G141=1,Std_Cu1_Code,Std_Cu3_Code)),_xlpm.amps,IFERROR(--SUBSTITUTE(_xlpm.codes&amp;"","N",""),""),_xlpm.a,MIN(IF(ISNUMBER(_xlpm.amps),IF(_xlpm.amps&gt;=$R141,_xlpm.amps,""),"")),_xlpm.k,IF(_xlpm.a=0,$R141,_xlpm.a),IF($BO141="Y",TEXT(_xlpm.k,"0")&amp;"N",_xlpm.k))))</f>
        <v/>
      </c>
      <c r="BQ141" s="832" t="str" cm="1">
        <f t="array" ref="BQ141">IF($BP141="","",IFERROR(IF($BV141="AL",_xlfn.XLOOKUP($BP141,Std_Al3_Code,INDEX(Std_Al3_Table,0,3)),IF($G141=1,_xlfn.XLOOKUP($BP141,Std_Cu1_Code,INDEX(Std_Cu1_Table,0,3)),_xlfn.XLOOKUP($BP141,Std_Cu3_Code,INDEX(Std_Cu3_Table,0,3)))),""))</f>
        <v/>
      </c>
      <c r="BR141" s="832" t="str" cm="1">
        <f t="array" ref="BR141">IF($BP141="","",IFERROR(IF($BV141="AL",_xlfn.XLOOKUP($BP141,Std_Al3_Code,INDEX(Std_Al3_Table,0,4)),IF($G141=1,_xlfn.XLOOKUP($BP141,Std_Cu1_Code,INDEX(Std_Cu1_Table,0,4)),_xlfn.XLOOKUP($BP141,Std_Cu3_Code,INDEX(Std_Cu3_Table,0,4)))),""))</f>
        <v/>
      </c>
      <c r="BS141" s="832" t="str" cm="1">
        <f t="array" ref="BS141">IF($BP141="","",IFERROR(IF($BV141="AL",_xlfn.XLOOKUP($BP141,Std_Al3_Code,INDEX(Std_Al3_Table,0,5)),IF($G141=1,_xlfn.XLOOKUP($BP141,Std_Cu1_Code,INDEX(Std_Cu1_Table,0,5)),_xlfn.XLOOKUP($BP141,Std_Cu3_Code,INDEX(Std_Cu3_Table,0,5)))),""))</f>
        <v/>
      </c>
      <c r="BT141" s="832" t="str">
        <f t="shared" si="45"/>
        <v/>
      </c>
      <c r="BU141" s="832" t="str" cm="1">
        <f t="array" ref="BU141">IF($BP141="","",IFERROR(IF($BV141="AL",_xlfn.XLOOKUP($BP141,Std_Al3_Code,INDEX(Std_Al3_Table,0,2)),IF($G141=1,_xlfn.XLOOKUP($BP141,Std_Cu1_Code,INDEX(Std_Cu1_Table,0,2)),_xlfn.XLOOKUP($BP141,Std_Cu3_Code,INDEX(Std_Cu3_Table,0,2)))),""))</f>
        <v/>
      </c>
      <c r="BV141" s="829" t="str">
        <f t="shared" si="46"/>
        <v/>
      </c>
      <c r="BW141" s="829" t="str">
        <f t="shared" si="52"/>
        <v/>
      </c>
      <c r="BX141" s="829" t="str" cm="1">
        <f t="array" ref="BX141">IF(OR($BP141="",$H141="",$I141="",$F141="",$BW141=""),"",IFERROR(_xlfn.LET(_xlpm.codes,IF($BV141="AL",Std_Al3_Code,IF($G141=1,Std_Cu1_Code,Std_Cu3_Code)),_xlpm.tbl,IF($BV141="AL",Std_Al3_Table,IF($G141=1,Std_Cu1_Table,Std_Cu3_Table)),_xlpm.i,MATCH($BP141,_xlpm.codes,0),_xlpm.idx,_xlfn.SEQUENCE(ROWS(_xlpm.codes)),_xlpm.cnd,INDEX(_xlpm.tbl,0,4),_xlpm.sts,INDEX(_xlpm.tbl,0,2),_xlpm.sz,IFERROR(_xlfn.TEXTBEFORE(_xlfn.TEXTAFTER(_xlpm.cnd,"#"),","),IFERROR(_xlfn.TEXTAFTER(_xlpm.cnd,"#"),"")),_xlpm.cm,IFERROR(_xlfn.XLOOKUP(TRIM(_xlpm.sz),Ampacity_Size,Ampacity_CM),0),_xlpm.mult,IF($G141=3,SQRT3,2),_xlpm.kk,IF($BV141="AL",K_Al,K_Cu),_xlpm.vd,IF(_xlpm.cm*IF(ISNUMBER(_xlpm.sts),_xlpm.sts,0)=0,9,_xlpm.mult*_xlpm.kk*$I141*$H141/(_xlpm.cm*_xlpm.sts)/$F141),_xlpm.hasN,--(RIGHT(_xlpm.codes&amp;"",1)="N"),_xlpm.wantN,--(RIGHT($BP141&amp;"",1)="N"),_xlpm.ok,(_xlpm.idx&gt;=_xlpm.i)*(_xlpm.vd&lt;=Cfg_VDFeeder)*(_xlpm.cm&gt;0)*ISNUMBER(_xlpm.sts)*(_xlpm.hasN=_xlpm.wantN),_xlpm.m,MIN(IF(_xlpm.ok=1,_xlpm.idx)),INDEX(_xlpm.codes,IF(_xlpm.m=0,_xlpm.i,_xlpm.m))),""))</f>
        <v/>
      </c>
      <c r="BY141" s="829" t="str" cm="1">
        <f t="array" ref="BY141">IF($BP141="","",IF($BX141="",$BU141,IFERROR(IF($BV141="AL",_xlfn.XLOOKUP($BX141,Std_Al3_Code,INDEX(Std_Al3_Table,0,2)),IF($G141=1,_xlfn.XLOOKUP($BX141,Std_Cu1_Code,INDEX(Std_Cu1_Table,0,2)),_xlfn.XLOOKUP($BX141,Std_Cu3_Code,INDEX(Std_Cu3_Table,0,2)))),"")))</f>
        <v/>
      </c>
      <c r="BZ141" s="829" t="str" cm="1">
        <f t="array" ref="BZ141">IF($BP141="","",IF($BX141="",$BR141,IFERROR(IF($BV141="AL",_xlfn.XLOOKUP($BX141,Std_Al3_Code,INDEX(Std_Al3_Table,0,4)),IF($G141=1,_xlfn.XLOOKUP($BX141,Std_Cu1_Code,INDEX(Std_Cu1_Table,0,4)),_xlfn.XLOOKUP($BX141,Std_Cu3_Code,INDEX(Std_Cu3_Table,0,4)))),"")))</f>
        <v/>
      </c>
      <c r="CA141" s="829" t="str" cm="1">
        <f t="array" ref="CA141">IF($BP141="","",IF($BX141="",$BQ141,IFERROR(IF($BV141="AL",_xlfn.XLOOKUP($BX141,Std_Al3_Code,INDEX(Std_Al3_Table,0,3)),IF($G141=1,_xlfn.XLOOKUP($BX141,Std_Cu1_Code,INDEX(Std_Cu1_Table,0,3)),_xlfn.XLOOKUP($BX141,Std_Cu3_Code,INDEX(Std_Cu3_Table,0,3)))),"")))</f>
        <v/>
      </c>
      <c r="CB141" s="829" t="str" cm="1">
        <f t="array" ref="CB141">IF($BP141="","",IF($BX141="",$BS141,IFERROR(IF($BV141="AL",_xlfn.XLOOKUP($BX141,Std_Al3_Code,INDEX(Std_Al3_Table,0,5)),IF($G141=1,_xlfn.XLOOKUP($BX141,Std_Cu1_Code,INDEX(Std_Cu1_Table,0,5)),_xlfn.XLOOKUP($BX141,Std_Cu3_Code,INDEX(Std_Cu3_Table,0,5)))),"")))</f>
        <v/>
      </c>
      <c r="CC141" s="829" t="str">
        <f t="shared" si="53"/>
        <v/>
      </c>
      <c r="CD141" s="829" t="str">
        <f t="shared" si="54"/>
        <v/>
      </c>
      <c r="CE141" s="829" t="str">
        <f t="shared" si="55"/>
        <v/>
      </c>
      <c r="CF141" s="829" t="str">
        <f t="shared" si="56"/>
        <v/>
      </c>
      <c r="CG141" s="829" t="str">
        <f t="shared" si="57"/>
        <v/>
      </c>
      <c r="CH141" s="829" t="str">
        <f t="shared" si="58"/>
        <v/>
      </c>
      <c r="CI141" s="829" t="str">
        <f t="shared" si="59"/>
        <v/>
      </c>
      <c r="CJ141" s="829" t="str" cm="1">
        <f t="array" ref="CJ141">IF($B141="","",_xlfn.LET(_xlpm.to,$D141&amp;"",_xlpm.em,IFERROR(INDEX(_xlfn.ANCHORARRAY($BE$4),ROW()-4,6),"")="EMERG",_xlpm.pri,AND(NOT(_xlpm.em),LEFT(_xlpm.to,2)="T-",ISNUMBER(MATCH(MID(_xlpm.to,3,99),Equip_List,0)),ISNA(MATCH(_xlpm.to,Equip_List,0))),IF(_xlpm.pri,MID(_xlpm.to,3,99),_xlpm.to)))</f>
        <v/>
      </c>
      <c r="CK141" s="829" t="str" cm="1">
        <f t="array" ref="CK141">IF($CJ141="","",IF(IFERROR(INDEX(_xlfn.ANCHORARRAY($BE$4),ROW()-4,6),"")="EMERG","E",IF($CJ141&lt;&gt;$D141&amp;"","P","N")))</f>
        <v/>
      </c>
    </row>
    <row r="142" spans="1:89" ht="15" customHeight="1" x14ac:dyDescent="0.35">
      <c r="A142" s="821" t="str">
        <f t="shared" si="47"/>
        <v/>
      </c>
      <c r="B142" s="821" t="str" cm="1">
        <f t="array" ref="B142">IFERROR(IF(INDEX(_xlfn.ANCHORARRAY($BE$4),ROW()-4,2)="","","F-"&amp;INDEX(_xlfn.ANCHORARRAY($BE$4),ROW()-4,2)&amp;IF(IFERROR(INDEX(_xlfn.ANCHORARRAY($BE$4),ROW()-4,6),"")="EMERG","-E","")),"")</f>
        <v/>
      </c>
      <c r="C142" s="821" t="str" cm="1">
        <f t="array" ref="C142">IFERROR(IF($B142="","",INDEX(_xlfn.ANCHORARRAY($BE$4),ROW()-4,1)),"")</f>
        <v/>
      </c>
      <c r="D142" s="821" t="str" cm="1">
        <f t="array" ref="D142">IFERROR(IF($B142="","",INDEX(_xlfn.ANCHORARRAY($BE$4),ROW()-4,2)),"")</f>
        <v/>
      </c>
      <c r="E142" s="806" t="str" cm="1">
        <f t="array" ref="E142">IFERROR(IF($B142="","",INDEX(_xlfn.ANCHORARRAY($BE$4),ROW()-4,3)),"")</f>
        <v/>
      </c>
      <c r="F142" s="822" t="str" cm="1">
        <f t="array" ref="F142">IFERROR(IF($B142="","",INDEX(_xlfn.ANCHORARRAY($BE$4),ROW()-4,4)),"")</f>
        <v/>
      </c>
      <c r="G142" s="823" t="str" cm="1">
        <f t="array" ref="G142">IFERROR(IF($B142="","",INDEX(_xlfn.ANCHORARRAY($BE$4),ROW()-4,5)),"")</f>
        <v/>
      </c>
      <c r="H142" s="824" t="str" cm="1">
        <f t="array" ref="H142">IF($CJ142="","",_xlfn.LET(_xlpm.v,_xlfn.XLOOKUP($CJ142,Equip_List,IF($CK142="E",Equip_EmLen,IF($CK142="P",Equip_XfPriLen,Equip_FdrLen)),""),IF(_xlpm.v="","",_xlpm.v)))</f>
        <v/>
      </c>
      <c r="I142" s="806" t="str">
        <f t="shared" si="40"/>
        <v/>
      </c>
      <c r="J142" s="820"/>
      <c r="K142" s="806" t="str">
        <f>_xlfn.LET(_xlpm.k,IF($I142="","",IF(COUNTIF(UPS!$B$57:$B$64,$C142&amp;"")&gt;0,1.25*MAX($I142,N(_xlfn.XLOOKUP($C142&amp;"",UPS!$B$57:$B$64,UPS!$M$57:$M$64,0))),IF(COUNTIF(UPS!$B$57:$B$64,$D142&amp;"")&gt;0,1.25*MAX($I142,N(_xlfn.XLOOKUP($D142&amp;"",UPS!$B$57:$B$64,UPS!$Q$57:$Q$64,0))),$I142*IF(OR(UPPER($J142)="Y",LEFT($C142,2)="T-",LEFT($D142,2)="T-"),1.25,1)))),IF(_xlpm.k="","",MAX(_xlpm.k,N(IFERROR(_xlfn.XLOOKUP($D142&amp;"",Dashboard!$A$101:$A$350,Dashboard!$O$101:$O$350,0),0)))))</f>
        <v/>
      </c>
      <c r="L142" s="825" t="str">
        <f>IF($CJ142="","",_xlfn.LET(_xlpm.v,UPPER(TRIM(_xlfn.XLOOKUP($CJ142,Equip_List,Equip_FdrMat,"")&amp;"")),IF(_xlpm.v="",UPPER(TRIM(Cfg_FeederMat&amp;"")),_xlpm.v)))</f>
        <v/>
      </c>
      <c r="M142" s="825" t="str">
        <f>IF($CJ142="","",_xlfn.LET(_xlpm.v,TRIM(_xlfn.XLOOKUP($CJ142,Equip_List,Equip_FdrRace,"")&amp;""),IF(_xlpm.v="",Cfg_Conduit&amp;"",_xlpm.v)))</f>
        <v/>
      </c>
      <c r="N142" s="825" t="str">
        <f>IF($CJ142="","",IF(UPPER(TRIM(_xlfn.XLOOKUP($CJ142,Equip_List,Equip_FdrExist,"")&amp;""))="Y","Y",""))</f>
        <v/>
      </c>
      <c r="O142" s="823" t="str">
        <f t="shared" si="48"/>
        <v/>
      </c>
      <c r="P142" s="821" t="str">
        <f t="shared" si="49"/>
        <v/>
      </c>
      <c r="Q142" s="821" t="str">
        <f t="shared" si="50"/>
        <v/>
      </c>
      <c r="R142" s="822" t="str" cm="1">
        <f t="array" ref="R142">IF(K142="","",INDEX(OCPD_List,MATCH(TRUE,OCPD_List&gt;=K142,0)))</f>
        <v/>
      </c>
      <c r="S142" s="821" t="str">
        <f t="shared" si="51"/>
        <v/>
      </c>
      <c r="T142" s="826" t="str">
        <f t="shared" si="41"/>
        <v/>
      </c>
      <c r="U142" s="826" t="str">
        <f t="shared" si="42"/>
        <v/>
      </c>
      <c r="V142" s="827" t="str">
        <f t="shared" si="43"/>
        <v/>
      </c>
      <c r="W142" s="828"/>
      <c r="X142" s="819"/>
      <c r="Y142" s="820"/>
      <c r="Z142" s="820"/>
      <c r="AA142" s="820"/>
      <c r="BN142" s="832" t="str">
        <f>IF($B142="","",IFERROR(_xlfn.XLOOKUP($D142,Dashboard!$A$101:$A$350,Dashboard!$C$101:$C$350),""))</f>
        <v/>
      </c>
      <c r="BO142" s="832" t="str">
        <f t="shared" si="44"/>
        <v/>
      </c>
      <c r="BP142" s="832" t="str" cm="1">
        <f t="array" ref="BP142">IF(OR($B142="",$R142="",NOT(ISNUMBER($R142))),"",IF(AND($BV142="AL",$G142=1),"",_xlfn.LET(_xlpm.codes,IF($BV142="AL",Std_Al3_Code,IF($G142=1,Std_Cu1_Code,Std_Cu3_Code)),_xlpm.amps,IFERROR(--SUBSTITUTE(_xlpm.codes&amp;"","N",""),""),_xlpm.a,MIN(IF(ISNUMBER(_xlpm.amps),IF(_xlpm.amps&gt;=$R142,_xlpm.amps,""),"")),_xlpm.k,IF(_xlpm.a=0,$R142,_xlpm.a),IF($BO142="Y",TEXT(_xlpm.k,"0")&amp;"N",_xlpm.k))))</f>
        <v/>
      </c>
      <c r="BQ142" s="832" t="str" cm="1">
        <f t="array" ref="BQ142">IF($BP142="","",IFERROR(IF($BV142="AL",_xlfn.XLOOKUP($BP142,Std_Al3_Code,INDEX(Std_Al3_Table,0,3)),IF($G142=1,_xlfn.XLOOKUP($BP142,Std_Cu1_Code,INDEX(Std_Cu1_Table,0,3)),_xlfn.XLOOKUP($BP142,Std_Cu3_Code,INDEX(Std_Cu3_Table,0,3)))),""))</f>
        <v/>
      </c>
      <c r="BR142" s="832" t="str" cm="1">
        <f t="array" ref="BR142">IF($BP142="","",IFERROR(IF($BV142="AL",_xlfn.XLOOKUP($BP142,Std_Al3_Code,INDEX(Std_Al3_Table,0,4)),IF($G142=1,_xlfn.XLOOKUP($BP142,Std_Cu1_Code,INDEX(Std_Cu1_Table,0,4)),_xlfn.XLOOKUP($BP142,Std_Cu3_Code,INDEX(Std_Cu3_Table,0,4)))),""))</f>
        <v/>
      </c>
      <c r="BS142" s="832" t="str" cm="1">
        <f t="array" ref="BS142">IF($BP142="","",IFERROR(IF($BV142="AL",_xlfn.XLOOKUP($BP142,Std_Al3_Code,INDEX(Std_Al3_Table,0,5)),IF($G142=1,_xlfn.XLOOKUP($BP142,Std_Cu1_Code,INDEX(Std_Cu1_Table,0,5)),_xlfn.XLOOKUP($BP142,Std_Cu3_Code,INDEX(Std_Cu3_Table,0,5)))),""))</f>
        <v/>
      </c>
      <c r="BT142" s="832" t="str">
        <f t="shared" si="45"/>
        <v/>
      </c>
      <c r="BU142" s="832" t="str" cm="1">
        <f t="array" ref="BU142">IF($BP142="","",IFERROR(IF($BV142="AL",_xlfn.XLOOKUP($BP142,Std_Al3_Code,INDEX(Std_Al3_Table,0,2)),IF($G142=1,_xlfn.XLOOKUP($BP142,Std_Cu1_Code,INDEX(Std_Cu1_Table,0,2)),_xlfn.XLOOKUP($BP142,Std_Cu3_Code,INDEX(Std_Cu3_Table,0,2)))),""))</f>
        <v/>
      </c>
      <c r="BV142" s="829" t="str">
        <f t="shared" si="46"/>
        <v/>
      </c>
      <c r="BW142" s="829" t="str">
        <f t="shared" si="52"/>
        <v/>
      </c>
      <c r="BX142" s="829" t="str" cm="1">
        <f t="array" ref="BX142">IF(OR($BP142="",$H142="",$I142="",$F142="",$BW142=""),"",IFERROR(_xlfn.LET(_xlpm.codes,IF($BV142="AL",Std_Al3_Code,IF($G142=1,Std_Cu1_Code,Std_Cu3_Code)),_xlpm.tbl,IF($BV142="AL",Std_Al3_Table,IF($G142=1,Std_Cu1_Table,Std_Cu3_Table)),_xlpm.i,MATCH($BP142,_xlpm.codes,0),_xlpm.idx,_xlfn.SEQUENCE(ROWS(_xlpm.codes)),_xlpm.cnd,INDEX(_xlpm.tbl,0,4),_xlpm.sts,INDEX(_xlpm.tbl,0,2),_xlpm.sz,IFERROR(_xlfn.TEXTBEFORE(_xlfn.TEXTAFTER(_xlpm.cnd,"#"),","),IFERROR(_xlfn.TEXTAFTER(_xlpm.cnd,"#"),"")),_xlpm.cm,IFERROR(_xlfn.XLOOKUP(TRIM(_xlpm.sz),Ampacity_Size,Ampacity_CM),0),_xlpm.mult,IF($G142=3,SQRT3,2),_xlpm.kk,IF($BV142="AL",K_Al,K_Cu),_xlpm.vd,IF(_xlpm.cm*IF(ISNUMBER(_xlpm.sts),_xlpm.sts,0)=0,9,_xlpm.mult*_xlpm.kk*$I142*$H142/(_xlpm.cm*_xlpm.sts)/$F142),_xlpm.hasN,--(RIGHT(_xlpm.codes&amp;"",1)="N"),_xlpm.wantN,--(RIGHT($BP142&amp;"",1)="N"),_xlpm.ok,(_xlpm.idx&gt;=_xlpm.i)*(_xlpm.vd&lt;=Cfg_VDFeeder)*(_xlpm.cm&gt;0)*ISNUMBER(_xlpm.sts)*(_xlpm.hasN=_xlpm.wantN),_xlpm.m,MIN(IF(_xlpm.ok=1,_xlpm.idx)),INDEX(_xlpm.codes,IF(_xlpm.m=0,_xlpm.i,_xlpm.m))),""))</f>
        <v/>
      </c>
      <c r="BY142" s="829" t="str" cm="1">
        <f t="array" ref="BY142">IF($BP142="","",IF($BX142="",$BU142,IFERROR(IF($BV142="AL",_xlfn.XLOOKUP($BX142,Std_Al3_Code,INDEX(Std_Al3_Table,0,2)),IF($G142=1,_xlfn.XLOOKUP($BX142,Std_Cu1_Code,INDEX(Std_Cu1_Table,0,2)),_xlfn.XLOOKUP($BX142,Std_Cu3_Code,INDEX(Std_Cu3_Table,0,2)))),"")))</f>
        <v/>
      </c>
      <c r="BZ142" s="829" t="str" cm="1">
        <f t="array" ref="BZ142">IF($BP142="","",IF($BX142="",$BR142,IFERROR(IF($BV142="AL",_xlfn.XLOOKUP($BX142,Std_Al3_Code,INDEX(Std_Al3_Table,0,4)),IF($G142=1,_xlfn.XLOOKUP($BX142,Std_Cu1_Code,INDEX(Std_Cu1_Table,0,4)),_xlfn.XLOOKUP($BX142,Std_Cu3_Code,INDEX(Std_Cu3_Table,0,4)))),"")))</f>
        <v/>
      </c>
      <c r="CA142" s="829" t="str" cm="1">
        <f t="array" ref="CA142">IF($BP142="","",IF($BX142="",$BQ142,IFERROR(IF($BV142="AL",_xlfn.XLOOKUP($BX142,Std_Al3_Code,INDEX(Std_Al3_Table,0,3)),IF($G142=1,_xlfn.XLOOKUP($BX142,Std_Cu1_Code,INDEX(Std_Cu1_Table,0,3)),_xlfn.XLOOKUP($BX142,Std_Cu3_Code,INDEX(Std_Cu3_Table,0,3)))),"")))</f>
        <v/>
      </c>
      <c r="CB142" s="829" t="str" cm="1">
        <f t="array" ref="CB142">IF($BP142="","",IF($BX142="",$BS142,IFERROR(IF($BV142="AL",_xlfn.XLOOKUP($BX142,Std_Al3_Code,INDEX(Std_Al3_Table,0,5)),IF($G142=1,_xlfn.XLOOKUP($BX142,Std_Cu1_Code,INDEX(Std_Cu1_Table,0,5)),_xlfn.XLOOKUP($BX142,Std_Cu3_Code,INDEX(Std_Cu3_Table,0,5)))),"")))</f>
        <v/>
      </c>
      <c r="CC142" s="829" t="str">
        <f t="shared" si="53"/>
        <v/>
      </c>
      <c r="CD142" s="829" t="str">
        <f t="shared" si="54"/>
        <v/>
      </c>
      <c r="CE142" s="829" t="str">
        <f t="shared" si="55"/>
        <v/>
      </c>
      <c r="CF142" s="829" t="str">
        <f t="shared" si="56"/>
        <v/>
      </c>
      <c r="CG142" s="829" t="str">
        <f t="shared" si="57"/>
        <v/>
      </c>
      <c r="CH142" s="829" t="str">
        <f t="shared" si="58"/>
        <v/>
      </c>
      <c r="CI142" s="829" t="str">
        <f t="shared" si="59"/>
        <v/>
      </c>
      <c r="CJ142" s="829" t="str" cm="1">
        <f t="array" ref="CJ142">IF($B142="","",_xlfn.LET(_xlpm.to,$D142&amp;"",_xlpm.em,IFERROR(INDEX(_xlfn.ANCHORARRAY($BE$4),ROW()-4,6),"")="EMERG",_xlpm.pri,AND(NOT(_xlpm.em),LEFT(_xlpm.to,2)="T-",ISNUMBER(MATCH(MID(_xlpm.to,3,99),Equip_List,0)),ISNA(MATCH(_xlpm.to,Equip_List,0))),IF(_xlpm.pri,MID(_xlpm.to,3,99),_xlpm.to)))</f>
        <v/>
      </c>
      <c r="CK142" s="829" t="str" cm="1">
        <f t="array" ref="CK142">IF($CJ142="","",IF(IFERROR(INDEX(_xlfn.ANCHORARRAY($BE$4),ROW()-4,6),"")="EMERG","E",IF($CJ142&lt;&gt;$D142&amp;"","P","N")))</f>
        <v/>
      </c>
    </row>
    <row r="143" spans="1:89" ht="15" customHeight="1" x14ac:dyDescent="0.35">
      <c r="A143" s="821" t="str">
        <f t="shared" si="47"/>
        <v/>
      </c>
      <c r="B143" s="821" t="str" cm="1">
        <f t="array" ref="B143">IFERROR(IF(INDEX(_xlfn.ANCHORARRAY($BE$4),ROW()-4,2)="","","F-"&amp;INDEX(_xlfn.ANCHORARRAY($BE$4),ROW()-4,2)&amp;IF(IFERROR(INDEX(_xlfn.ANCHORARRAY($BE$4),ROW()-4,6),"")="EMERG","-E","")),"")</f>
        <v/>
      </c>
      <c r="C143" s="821" t="str" cm="1">
        <f t="array" ref="C143">IFERROR(IF($B143="","",INDEX(_xlfn.ANCHORARRAY($BE$4),ROW()-4,1)),"")</f>
        <v/>
      </c>
      <c r="D143" s="821" t="str" cm="1">
        <f t="array" ref="D143">IFERROR(IF($B143="","",INDEX(_xlfn.ANCHORARRAY($BE$4),ROW()-4,2)),"")</f>
        <v/>
      </c>
      <c r="E143" s="806" t="str" cm="1">
        <f t="array" ref="E143">IFERROR(IF($B143="","",INDEX(_xlfn.ANCHORARRAY($BE$4),ROW()-4,3)),"")</f>
        <v/>
      </c>
      <c r="F143" s="822" t="str" cm="1">
        <f t="array" ref="F143">IFERROR(IF($B143="","",INDEX(_xlfn.ANCHORARRAY($BE$4),ROW()-4,4)),"")</f>
        <v/>
      </c>
      <c r="G143" s="823" t="str" cm="1">
        <f t="array" ref="G143">IFERROR(IF($B143="","",INDEX(_xlfn.ANCHORARRAY($BE$4),ROW()-4,5)),"")</f>
        <v/>
      </c>
      <c r="H143" s="824" t="str" cm="1">
        <f t="array" ref="H143">IF($CJ143="","",_xlfn.LET(_xlpm.v,_xlfn.XLOOKUP($CJ143,Equip_List,IF($CK143="E",Equip_EmLen,IF($CK143="P",Equip_XfPriLen,Equip_FdrLen)),""),IF(_xlpm.v="","",_xlpm.v)))</f>
        <v/>
      </c>
      <c r="I143" s="806" t="str">
        <f t="shared" si="40"/>
        <v/>
      </c>
      <c r="J143" s="820"/>
      <c r="K143" s="806" t="str">
        <f>_xlfn.LET(_xlpm.k,IF($I143="","",IF(COUNTIF(UPS!$B$57:$B$64,$C143&amp;"")&gt;0,1.25*MAX($I143,N(_xlfn.XLOOKUP($C143&amp;"",UPS!$B$57:$B$64,UPS!$M$57:$M$64,0))),IF(COUNTIF(UPS!$B$57:$B$64,$D143&amp;"")&gt;0,1.25*MAX($I143,N(_xlfn.XLOOKUP($D143&amp;"",UPS!$B$57:$B$64,UPS!$Q$57:$Q$64,0))),$I143*IF(OR(UPPER($J143)="Y",LEFT($C143,2)="T-",LEFT($D143,2)="T-"),1.25,1)))),IF(_xlpm.k="","",MAX(_xlpm.k,N(IFERROR(_xlfn.XLOOKUP($D143&amp;"",Dashboard!$A$101:$A$350,Dashboard!$O$101:$O$350,0),0)))))</f>
        <v/>
      </c>
      <c r="L143" s="825" t="str">
        <f>IF($CJ143="","",_xlfn.LET(_xlpm.v,UPPER(TRIM(_xlfn.XLOOKUP($CJ143,Equip_List,Equip_FdrMat,"")&amp;"")),IF(_xlpm.v="",UPPER(TRIM(Cfg_FeederMat&amp;"")),_xlpm.v)))</f>
        <v/>
      </c>
      <c r="M143" s="825" t="str">
        <f>IF($CJ143="","",_xlfn.LET(_xlpm.v,TRIM(_xlfn.XLOOKUP($CJ143,Equip_List,Equip_FdrRace,"")&amp;""),IF(_xlpm.v="",Cfg_Conduit&amp;"",_xlpm.v)))</f>
        <v/>
      </c>
      <c r="N143" s="825" t="str">
        <f>IF($CJ143="","",IF(UPPER(TRIM(_xlfn.XLOOKUP($CJ143,Equip_List,Equip_FdrExist,"")&amp;""))="Y","Y",""))</f>
        <v/>
      </c>
      <c r="O143" s="823" t="str">
        <f t="shared" si="48"/>
        <v/>
      </c>
      <c r="P143" s="821" t="str">
        <f t="shared" si="49"/>
        <v/>
      </c>
      <c r="Q143" s="821" t="str">
        <f t="shared" si="50"/>
        <v/>
      </c>
      <c r="R143" s="822" t="str" cm="1">
        <f t="array" ref="R143">IF(K143="","",INDEX(OCPD_List,MATCH(TRUE,OCPD_List&gt;=K143,0)))</f>
        <v/>
      </c>
      <c r="S143" s="821" t="str">
        <f t="shared" si="51"/>
        <v/>
      </c>
      <c r="T143" s="826" t="str">
        <f t="shared" si="41"/>
        <v/>
      </c>
      <c r="U143" s="826" t="str">
        <f t="shared" si="42"/>
        <v/>
      </c>
      <c r="V143" s="827" t="str">
        <f t="shared" si="43"/>
        <v/>
      </c>
      <c r="W143" s="828"/>
      <c r="X143" s="819"/>
      <c r="Y143" s="820"/>
      <c r="Z143" s="820"/>
      <c r="AA143" s="820"/>
      <c r="BN143" s="832" t="str">
        <f>IF($B143="","",IFERROR(_xlfn.XLOOKUP($D143,Dashboard!$A$101:$A$350,Dashboard!$C$101:$C$350),""))</f>
        <v/>
      </c>
      <c r="BO143" s="832" t="str">
        <f t="shared" si="44"/>
        <v/>
      </c>
      <c r="BP143" s="832" t="str" cm="1">
        <f t="array" ref="BP143">IF(OR($B143="",$R143="",NOT(ISNUMBER($R143))),"",IF(AND($BV143="AL",$G143=1),"",_xlfn.LET(_xlpm.codes,IF($BV143="AL",Std_Al3_Code,IF($G143=1,Std_Cu1_Code,Std_Cu3_Code)),_xlpm.amps,IFERROR(--SUBSTITUTE(_xlpm.codes&amp;"","N",""),""),_xlpm.a,MIN(IF(ISNUMBER(_xlpm.amps),IF(_xlpm.amps&gt;=$R143,_xlpm.amps,""),"")),_xlpm.k,IF(_xlpm.a=0,$R143,_xlpm.a),IF($BO143="Y",TEXT(_xlpm.k,"0")&amp;"N",_xlpm.k))))</f>
        <v/>
      </c>
      <c r="BQ143" s="832" t="str" cm="1">
        <f t="array" ref="BQ143">IF($BP143="","",IFERROR(IF($BV143="AL",_xlfn.XLOOKUP($BP143,Std_Al3_Code,INDEX(Std_Al3_Table,0,3)),IF($G143=1,_xlfn.XLOOKUP($BP143,Std_Cu1_Code,INDEX(Std_Cu1_Table,0,3)),_xlfn.XLOOKUP($BP143,Std_Cu3_Code,INDEX(Std_Cu3_Table,0,3)))),""))</f>
        <v/>
      </c>
      <c r="BR143" s="832" t="str" cm="1">
        <f t="array" ref="BR143">IF($BP143="","",IFERROR(IF($BV143="AL",_xlfn.XLOOKUP($BP143,Std_Al3_Code,INDEX(Std_Al3_Table,0,4)),IF($G143=1,_xlfn.XLOOKUP($BP143,Std_Cu1_Code,INDEX(Std_Cu1_Table,0,4)),_xlfn.XLOOKUP($BP143,Std_Cu3_Code,INDEX(Std_Cu3_Table,0,4)))),""))</f>
        <v/>
      </c>
      <c r="BS143" s="832" t="str" cm="1">
        <f t="array" ref="BS143">IF($BP143="","",IFERROR(IF($BV143="AL",_xlfn.XLOOKUP($BP143,Std_Al3_Code,INDEX(Std_Al3_Table,0,5)),IF($G143=1,_xlfn.XLOOKUP($BP143,Std_Cu1_Code,INDEX(Std_Cu1_Table,0,5)),_xlfn.XLOOKUP($BP143,Std_Cu3_Code,INDEX(Std_Cu3_Table,0,5)))),""))</f>
        <v/>
      </c>
      <c r="BT143" s="832" t="str">
        <f t="shared" si="45"/>
        <v/>
      </c>
      <c r="BU143" s="832" t="str" cm="1">
        <f t="array" ref="BU143">IF($BP143="","",IFERROR(IF($BV143="AL",_xlfn.XLOOKUP($BP143,Std_Al3_Code,INDEX(Std_Al3_Table,0,2)),IF($G143=1,_xlfn.XLOOKUP($BP143,Std_Cu1_Code,INDEX(Std_Cu1_Table,0,2)),_xlfn.XLOOKUP($BP143,Std_Cu3_Code,INDEX(Std_Cu3_Table,0,2)))),""))</f>
        <v/>
      </c>
      <c r="BV143" s="829" t="str">
        <f t="shared" si="46"/>
        <v/>
      </c>
      <c r="BW143" s="829" t="str">
        <f t="shared" si="52"/>
        <v/>
      </c>
      <c r="BX143" s="829" t="str" cm="1">
        <f t="array" ref="BX143">IF(OR($BP143="",$H143="",$I143="",$F143="",$BW143=""),"",IFERROR(_xlfn.LET(_xlpm.codes,IF($BV143="AL",Std_Al3_Code,IF($G143=1,Std_Cu1_Code,Std_Cu3_Code)),_xlpm.tbl,IF($BV143="AL",Std_Al3_Table,IF($G143=1,Std_Cu1_Table,Std_Cu3_Table)),_xlpm.i,MATCH($BP143,_xlpm.codes,0),_xlpm.idx,_xlfn.SEQUENCE(ROWS(_xlpm.codes)),_xlpm.cnd,INDEX(_xlpm.tbl,0,4),_xlpm.sts,INDEX(_xlpm.tbl,0,2),_xlpm.sz,IFERROR(_xlfn.TEXTBEFORE(_xlfn.TEXTAFTER(_xlpm.cnd,"#"),","),IFERROR(_xlfn.TEXTAFTER(_xlpm.cnd,"#"),"")),_xlpm.cm,IFERROR(_xlfn.XLOOKUP(TRIM(_xlpm.sz),Ampacity_Size,Ampacity_CM),0),_xlpm.mult,IF($G143=3,SQRT3,2),_xlpm.kk,IF($BV143="AL",K_Al,K_Cu),_xlpm.vd,IF(_xlpm.cm*IF(ISNUMBER(_xlpm.sts),_xlpm.sts,0)=0,9,_xlpm.mult*_xlpm.kk*$I143*$H143/(_xlpm.cm*_xlpm.sts)/$F143),_xlpm.hasN,--(RIGHT(_xlpm.codes&amp;"",1)="N"),_xlpm.wantN,--(RIGHT($BP143&amp;"",1)="N"),_xlpm.ok,(_xlpm.idx&gt;=_xlpm.i)*(_xlpm.vd&lt;=Cfg_VDFeeder)*(_xlpm.cm&gt;0)*ISNUMBER(_xlpm.sts)*(_xlpm.hasN=_xlpm.wantN),_xlpm.m,MIN(IF(_xlpm.ok=1,_xlpm.idx)),INDEX(_xlpm.codes,IF(_xlpm.m=0,_xlpm.i,_xlpm.m))),""))</f>
        <v/>
      </c>
      <c r="BY143" s="829" t="str" cm="1">
        <f t="array" ref="BY143">IF($BP143="","",IF($BX143="",$BU143,IFERROR(IF($BV143="AL",_xlfn.XLOOKUP($BX143,Std_Al3_Code,INDEX(Std_Al3_Table,0,2)),IF($G143=1,_xlfn.XLOOKUP($BX143,Std_Cu1_Code,INDEX(Std_Cu1_Table,0,2)),_xlfn.XLOOKUP($BX143,Std_Cu3_Code,INDEX(Std_Cu3_Table,0,2)))),"")))</f>
        <v/>
      </c>
      <c r="BZ143" s="829" t="str" cm="1">
        <f t="array" ref="BZ143">IF($BP143="","",IF($BX143="",$BR143,IFERROR(IF($BV143="AL",_xlfn.XLOOKUP($BX143,Std_Al3_Code,INDEX(Std_Al3_Table,0,4)),IF($G143=1,_xlfn.XLOOKUP($BX143,Std_Cu1_Code,INDEX(Std_Cu1_Table,0,4)),_xlfn.XLOOKUP($BX143,Std_Cu3_Code,INDEX(Std_Cu3_Table,0,4)))),"")))</f>
        <v/>
      </c>
      <c r="CA143" s="829" t="str" cm="1">
        <f t="array" ref="CA143">IF($BP143="","",IF($BX143="",$BQ143,IFERROR(IF($BV143="AL",_xlfn.XLOOKUP($BX143,Std_Al3_Code,INDEX(Std_Al3_Table,0,3)),IF($G143=1,_xlfn.XLOOKUP($BX143,Std_Cu1_Code,INDEX(Std_Cu1_Table,0,3)),_xlfn.XLOOKUP($BX143,Std_Cu3_Code,INDEX(Std_Cu3_Table,0,3)))),"")))</f>
        <v/>
      </c>
      <c r="CB143" s="829" t="str" cm="1">
        <f t="array" ref="CB143">IF($BP143="","",IF($BX143="",$BS143,IFERROR(IF($BV143="AL",_xlfn.XLOOKUP($BX143,Std_Al3_Code,INDEX(Std_Al3_Table,0,5)),IF($G143=1,_xlfn.XLOOKUP($BX143,Std_Cu1_Code,INDEX(Std_Cu1_Table,0,5)),_xlfn.XLOOKUP($BX143,Std_Cu3_Code,INDEX(Std_Cu3_Table,0,5)))),"")))</f>
        <v/>
      </c>
      <c r="CC143" s="829" t="str">
        <f t="shared" si="53"/>
        <v/>
      </c>
      <c r="CD143" s="829" t="str">
        <f t="shared" si="54"/>
        <v/>
      </c>
      <c r="CE143" s="829" t="str">
        <f t="shared" si="55"/>
        <v/>
      </c>
      <c r="CF143" s="829" t="str">
        <f t="shared" si="56"/>
        <v/>
      </c>
      <c r="CG143" s="829" t="str">
        <f t="shared" si="57"/>
        <v/>
      </c>
      <c r="CH143" s="829" t="str">
        <f t="shared" si="58"/>
        <v/>
      </c>
      <c r="CI143" s="829" t="str">
        <f t="shared" si="59"/>
        <v/>
      </c>
      <c r="CJ143" s="829" t="str" cm="1">
        <f t="array" ref="CJ143">IF($B143="","",_xlfn.LET(_xlpm.to,$D143&amp;"",_xlpm.em,IFERROR(INDEX(_xlfn.ANCHORARRAY($BE$4),ROW()-4,6),"")="EMERG",_xlpm.pri,AND(NOT(_xlpm.em),LEFT(_xlpm.to,2)="T-",ISNUMBER(MATCH(MID(_xlpm.to,3,99),Equip_List,0)),ISNA(MATCH(_xlpm.to,Equip_List,0))),IF(_xlpm.pri,MID(_xlpm.to,3,99),_xlpm.to)))</f>
        <v/>
      </c>
      <c r="CK143" s="829" t="str" cm="1">
        <f t="array" ref="CK143">IF($CJ143="","",IF(IFERROR(INDEX(_xlfn.ANCHORARRAY($BE$4),ROW()-4,6),"")="EMERG","E",IF($CJ143&lt;&gt;$D143&amp;"","P","N")))</f>
        <v/>
      </c>
    </row>
    <row r="144" spans="1:89" ht="15" customHeight="1" x14ac:dyDescent="0.35">
      <c r="A144" s="821" t="str">
        <f t="shared" si="47"/>
        <v/>
      </c>
      <c r="B144" s="821" t="str" cm="1">
        <f t="array" ref="B144">IFERROR(IF(INDEX(_xlfn.ANCHORARRAY($BE$4),ROW()-4,2)="","","F-"&amp;INDEX(_xlfn.ANCHORARRAY($BE$4),ROW()-4,2)&amp;IF(IFERROR(INDEX(_xlfn.ANCHORARRAY($BE$4),ROW()-4,6),"")="EMERG","-E","")),"")</f>
        <v/>
      </c>
      <c r="C144" s="821" t="str" cm="1">
        <f t="array" ref="C144">IFERROR(IF($B144="","",INDEX(_xlfn.ANCHORARRAY($BE$4),ROW()-4,1)),"")</f>
        <v/>
      </c>
      <c r="D144" s="821" t="str" cm="1">
        <f t="array" ref="D144">IFERROR(IF($B144="","",INDEX(_xlfn.ANCHORARRAY($BE$4),ROW()-4,2)),"")</f>
        <v/>
      </c>
      <c r="E144" s="806" t="str" cm="1">
        <f t="array" ref="E144">IFERROR(IF($B144="","",INDEX(_xlfn.ANCHORARRAY($BE$4),ROW()-4,3)),"")</f>
        <v/>
      </c>
      <c r="F144" s="822" t="str" cm="1">
        <f t="array" ref="F144">IFERROR(IF($B144="","",INDEX(_xlfn.ANCHORARRAY($BE$4),ROW()-4,4)),"")</f>
        <v/>
      </c>
      <c r="G144" s="823" t="str" cm="1">
        <f t="array" ref="G144">IFERROR(IF($B144="","",INDEX(_xlfn.ANCHORARRAY($BE$4),ROW()-4,5)),"")</f>
        <v/>
      </c>
      <c r="H144" s="824" t="str" cm="1">
        <f t="array" ref="H144">IF($CJ144="","",_xlfn.LET(_xlpm.v,_xlfn.XLOOKUP($CJ144,Equip_List,IF($CK144="E",Equip_EmLen,IF($CK144="P",Equip_XfPriLen,Equip_FdrLen)),""),IF(_xlpm.v="","",_xlpm.v)))</f>
        <v/>
      </c>
      <c r="I144" s="806" t="str">
        <f t="shared" si="40"/>
        <v/>
      </c>
      <c r="J144" s="820"/>
      <c r="K144" s="806" t="str">
        <f>_xlfn.LET(_xlpm.k,IF($I144="","",IF(COUNTIF(UPS!$B$57:$B$64,$C144&amp;"")&gt;0,1.25*MAX($I144,N(_xlfn.XLOOKUP($C144&amp;"",UPS!$B$57:$B$64,UPS!$M$57:$M$64,0))),IF(COUNTIF(UPS!$B$57:$B$64,$D144&amp;"")&gt;0,1.25*MAX($I144,N(_xlfn.XLOOKUP($D144&amp;"",UPS!$B$57:$B$64,UPS!$Q$57:$Q$64,0))),$I144*IF(OR(UPPER($J144)="Y",LEFT($C144,2)="T-",LEFT($D144,2)="T-"),1.25,1)))),IF(_xlpm.k="","",MAX(_xlpm.k,N(IFERROR(_xlfn.XLOOKUP($D144&amp;"",Dashboard!$A$101:$A$350,Dashboard!$O$101:$O$350,0),0)))))</f>
        <v/>
      </c>
      <c r="L144" s="825" t="str">
        <f>IF($CJ144="","",_xlfn.LET(_xlpm.v,UPPER(TRIM(_xlfn.XLOOKUP($CJ144,Equip_List,Equip_FdrMat,"")&amp;"")),IF(_xlpm.v="",UPPER(TRIM(Cfg_FeederMat&amp;"")),_xlpm.v)))</f>
        <v/>
      </c>
      <c r="M144" s="825" t="str">
        <f>IF($CJ144="","",_xlfn.LET(_xlpm.v,TRIM(_xlfn.XLOOKUP($CJ144,Equip_List,Equip_FdrRace,"")&amp;""),IF(_xlpm.v="",Cfg_Conduit&amp;"",_xlpm.v)))</f>
        <v/>
      </c>
      <c r="N144" s="825" t="str">
        <f>IF($CJ144="","",IF(UPPER(TRIM(_xlfn.XLOOKUP($CJ144,Equip_List,Equip_FdrExist,"")&amp;""))="Y","Y",""))</f>
        <v/>
      </c>
      <c r="O144" s="823" t="str">
        <f t="shared" si="48"/>
        <v/>
      </c>
      <c r="P144" s="821" t="str">
        <f t="shared" si="49"/>
        <v/>
      </c>
      <c r="Q144" s="821" t="str">
        <f t="shared" si="50"/>
        <v/>
      </c>
      <c r="R144" s="822" t="str" cm="1">
        <f t="array" ref="R144">IF(K144="","",INDEX(OCPD_List,MATCH(TRUE,OCPD_List&gt;=K144,0)))</f>
        <v/>
      </c>
      <c r="S144" s="821" t="str">
        <f t="shared" si="51"/>
        <v/>
      </c>
      <c r="T144" s="826" t="str">
        <f t="shared" si="41"/>
        <v/>
      </c>
      <c r="U144" s="826" t="str">
        <f t="shared" si="42"/>
        <v/>
      </c>
      <c r="V144" s="827" t="str">
        <f t="shared" si="43"/>
        <v/>
      </c>
      <c r="W144" s="828"/>
      <c r="X144" s="819"/>
      <c r="Y144" s="820"/>
      <c r="Z144" s="820"/>
      <c r="AA144" s="820"/>
      <c r="BN144" s="832" t="str">
        <f>IF($B144="","",IFERROR(_xlfn.XLOOKUP($D144,Dashboard!$A$101:$A$350,Dashboard!$C$101:$C$350),""))</f>
        <v/>
      </c>
      <c r="BO144" s="832" t="str">
        <f t="shared" si="44"/>
        <v/>
      </c>
      <c r="BP144" s="832" t="str" cm="1">
        <f t="array" ref="BP144">IF(OR($B144="",$R144="",NOT(ISNUMBER($R144))),"",IF(AND($BV144="AL",$G144=1),"",_xlfn.LET(_xlpm.codes,IF($BV144="AL",Std_Al3_Code,IF($G144=1,Std_Cu1_Code,Std_Cu3_Code)),_xlpm.amps,IFERROR(--SUBSTITUTE(_xlpm.codes&amp;"","N",""),""),_xlpm.a,MIN(IF(ISNUMBER(_xlpm.amps),IF(_xlpm.amps&gt;=$R144,_xlpm.amps,""),"")),_xlpm.k,IF(_xlpm.a=0,$R144,_xlpm.a),IF($BO144="Y",TEXT(_xlpm.k,"0")&amp;"N",_xlpm.k))))</f>
        <v/>
      </c>
      <c r="BQ144" s="832" t="str" cm="1">
        <f t="array" ref="BQ144">IF($BP144="","",IFERROR(IF($BV144="AL",_xlfn.XLOOKUP($BP144,Std_Al3_Code,INDEX(Std_Al3_Table,0,3)),IF($G144=1,_xlfn.XLOOKUP($BP144,Std_Cu1_Code,INDEX(Std_Cu1_Table,0,3)),_xlfn.XLOOKUP($BP144,Std_Cu3_Code,INDEX(Std_Cu3_Table,0,3)))),""))</f>
        <v/>
      </c>
      <c r="BR144" s="832" t="str" cm="1">
        <f t="array" ref="BR144">IF($BP144="","",IFERROR(IF($BV144="AL",_xlfn.XLOOKUP($BP144,Std_Al3_Code,INDEX(Std_Al3_Table,0,4)),IF($G144=1,_xlfn.XLOOKUP($BP144,Std_Cu1_Code,INDEX(Std_Cu1_Table,0,4)),_xlfn.XLOOKUP($BP144,Std_Cu3_Code,INDEX(Std_Cu3_Table,0,4)))),""))</f>
        <v/>
      </c>
      <c r="BS144" s="832" t="str" cm="1">
        <f t="array" ref="BS144">IF($BP144="","",IFERROR(IF($BV144="AL",_xlfn.XLOOKUP($BP144,Std_Al3_Code,INDEX(Std_Al3_Table,0,5)),IF($G144=1,_xlfn.XLOOKUP($BP144,Std_Cu1_Code,INDEX(Std_Cu1_Table,0,5)),_xlfn.XLOOKUP($BP144,Std_Cu3_Code,INDEX(Std_Cu3_Table,0,5)))),""))</f>
        <v/>
      </c>
      <c r="BT144" s="832" t="str">
        <f t="shared" si="45"/>
        <v/>
      </c>
      <c r="BU144" s="832" t="str" cm="1">
        <f t="array" ref="BU144">IF($BP144="","",IFERROR(IF($BV144="AL",_xlfn.XLOOKUP($BP144,Std_Al3_Code,INDEX(Std_Al3_Table,0,2)),IF($G144=1,_xlfn.XLOOKUP($BP144,Std_Cu1_Code,INDEX(Std_Cu1_Table,0,2)),_xlfn.XLOOKUP($BP144,Std_Cu3_Code,INDEX(Std_Cu3_Table,0,2)))),""))</f>
        <v/>
      </c>
      <c r="BV144" s="829" t="str">
        <f t="shared" si="46"/>
        <v/>
      </c>
      <c r="BW144" s="829" t="str">
        <f t="shared" si="52"/>
        <v/>
      </c>
      <c r="BX144" s="829" t="str" cm="1">
        <f t="array" ref="BX144">IF(OR($BP144="",$H144="",$I144="",$F144="",$BW144=""),"",IFERROR(_xlfn.LET(_xlpm.codes,IF($BV144="AL",Std_Al3_Code,IF($G144=1,Std_Cu1_Code,Std_Cu3_Code)),_xlpm.tbl,IF($BV144="AL",Std_Al3_Table,IF($G144=1,Std_Cu1_Table,Std_Cu3_Table)),_xlpm.i,MATCH($BP144,_xlpm.codes,0),_xlpm.idx,_xlfn.SEQUENCE(ROWS(_xlpm.codes)),_xlpm.cnd,INDEX(_xlpm.tbl,0,4),_xlpm.sts,INDEX(_xlpm.tbl,0,2),_xlpm.sz,IFERROR(_xlfn.TEXTBEFORE(_xlfn.TEXTAFTER(_xlpm.cnd,"#"),","),IFERROR(_xlfn.TEXTAFTER(_xlpm.cnd,"#"),"")),_xlpm.cm,IFERROR(_xlfn.XLOOKUP(TRIM(_xlpm.sz),Ampacity_Size,Ampacity_CM),0),_xlpm.mult,IF($G144=3,SQRT3,2),_xlpm.kk,IF($BV144="AL",K_Al,K_Cu),_xlpm.vd,IF(_xlpm.cm*IF(ISNUMBER(_xlpm.sts),_xlpm.sts,0)=0,9,_xlpm.mult*_xlpm.kk*$I144*$H144/(_xlpm.cm*_xlpm.sts)/$F144),_xlpm.hasN,--(RIGHT(_xlpm.codes&amp;"",1)="N"),_xlpm.wantN,--(RIGHT($BP144&amp;"",1)="N"),_xlpm.ok,(_xlpm.idx&gt;=_xlpm.i)*(_xlpm.vd&lt;=Cfg_VDFeeder)*(_xlpm.cm&gt;0)*ISNUMBER(_xlpm.sts)*(_xlpm.hasN=_xlpm.wantN),_xlpm.m,MIN(IF(_xlpm.ok=1,_xlpm.idx)),INDEX(_xlpm.codes,IF(_xlpm.m=0,_xlpm.i,_xlpm.m))),""))</f>
        <v/>
      </c>
      <c r="BY144" s="829" t="str" cm="1">
        <f t="array" ref="BY144">IF($BP144="","",IF($BX144="",$BU144,IFERROR(IF($BV144="AL",_xlfn.XLOOKUP($BX144,Std_Al3_Code,INDEX(Std_Al3_Table,0,2)),IF($G144=1,_xlfn.XLOOKUP($BX144,Std_Cu1_Code,INDEX(Std_Cu1_Table,0,2)),_xlfn.XLOOKUP($BX144,Std_Cu3_Code,INDEX(Std_Cu3_Table,0,2)))),"")))</f>
        <v/>
      </c>
      <c r="BZ144" s="829" t="str" cm="1">
        <f t="array" ref="BZ144">IF($BP144="","",IF($BX144="",$BR144,IFERROR(IF($BV144="AL",_xlfn.XLOOKUP($BX144,Std_Al3_Code,INDEX(Std_Al3_Table,0,4)),IF($G144=1,_xlfn.XLOOKUP($BX144,Std_Cu1_Code,INDEX(Std_Cu1_Table,0,4)),_xlfn.XLOOKUP($BX144,Std_Cu3_Code,INDEX(Std_Cu3_Table,0,4)))),"")))</f>
        <v/>
      </c>
      <c r="CA144" s="829" t="str" cm="1">
        <f t="array" ref="CA144">IF($BP144="","",IF($BX144="",$BQ144,IFERROR(IF($BV144="AL",_xlfn.XLOOKUP($BX144,Std_Al3_Code,INDEX(Std_Al3_Table,0,3)),IF($G144=1,_xlfn.XLOOKUP($BX144,Std_Cu1_Code,INDEX(Std_Cu1_Table,0,3)),_xlfn.XLOOKUP($BX144,Std_Cu3_Code,INDEX(Std_Cu3_Table,0,3)))),"")))</f>
        <v/>
      </c>
      <c r="CB144" s="829" t="str" cm="1">
        <f t="array" ref="CB144">IF($BP144="","",IF($BX144="",$BS144,IFERROR(IF($BV144="AL",_xlfn.XLOOKUP($BX144,Std_Al3_Code,INDEX(Std_Al3_Table,0,5)),IF($G144=1,_xlfn.XLOOKUP($BX144,Std_Cu1_Code,INDEX(Std_Cu1_Table,0,5)),_xlfn.XLOOKUP($BX144,Std_Cu3_Code,INDEX(Std_Cu3_Table,0,5)))),"")))</f>
        <v/>
      </c>
      <c r="CC144" s="829" t="str">
        <f t="shared" si="53"/>
        <v/>
      </c>
      <c r="CD144" s="829" t="str">
        <f t="shared" si="54"/>
        <v/>
      </c>
      <c r="CE144" s="829" t="str">
        <f t="shared" si="55"/>
        <v/>
      </c>
      <c r="CF144" s="829" t="str">
        <f t="shared" si="56"/>
        <v/>
      </c>
      <c r="CG144" s="829" t="str">
        <f t="shared" si="57"/>
        <v/>
      </c>
      <c r="CH144" s="829" t="str">
        <f t="shared" si="58"/>
        <v/>
      </c>
      <c r="CI144" s="829" t="str">
        <f t="shared" si="59"/>
        <v/>
      </c>
      <c r="CJ144" s="829" t="str" cm="1">
        <f t="array" ref="CJ144">IF($B144="","",_xlfn.LET(_xlpm.to,$D144&amp;"",_xlpm.em,IFERROR(INDEX(_xlfn.ANCHORARRAY($BE$4),ROW()-4,6),"")="EMERG",_xlpm.pri,AND(NOT(_xlpm.em),LEFT(_xlpm.to,2)="T-",ISNUMBER(MATCH(MID(_xlpm.to,3,99),Equip_List,0)),ISNA(MATCH(_xlpm.to,Equip_List,0))),IF(_xlpm.pri,MID(_xlpm.to,3,99),_xlpm.to)))</f>
        <v/>
      </c>
      <c r="CK144" s="829" t="str" cm="1">
        <f t="array" ref="CK144">IF($CJ144="","",IF(IFERROR(INDEX(_xlfn.ANCHORARRAY($BE$4),ROW()-4,6),"")="EMERG","E",IF($CJ144&lt;&gt;$D144&amp;"","P","N")))</f>
        <v/>
      </c>
    </row>
    <row r="145" spans="1:89" ht="15" customHeight="1" x14ac:dyDescent="0.35">
      <c r="A145" s="821" t="str">
        <f t="shared" si="47"/>
        <v/>
      </c>
      <c r="B145" s="821" t="str" cm="1">
        <f t="array" ref="B145">IFERROR(IF(INDEX(_xlfn.ANCHORARRAY($BE$4),ROW()-4,2)="","","F-"&amp;INDEX(_xlfn.ANCHORARRAY($BE$4),ROW()-4,2)&amp;IF(IFERROR(INDEX(_xlfn.ANCHORARRAY($BE$4),ROW()-4,6),"")="EMERG","-E","")),"")</f>
        <v/>
      </c>
      <c r="C145" s="821" t="str" cm="1">
        <f t="array" ref="C145">IFERROR(IF($B145="","",INDEX(_xlfn.ANCHORARRAY($BE$4),ROW()-4,1)),"")</f>
        <v/>
      </c>
      <c r="D145" s="821" t="str" cm="1">
        <f t="array" ref="D145">IFERROR(IF($B145="","",INDEX(_xlfn.ANCHORARRAY($BE$4),ROW()-4,2)),"")</f>
        <v/>
      </c>
      <c r="E145" s="806" t="str" cm="1">
        <f t="array" ref="E145">IFERROR(IF($B145="","",INDEX(_xlfn.ANCHORARRAY($BE$4),ROW()-4,3)),"")</f>
        <v/>
      </c>
      <c r="F145" s="822" t="str" cm="1">
        <f t="array" ref="F145">IFERROR(IF($B145="","",INDEX(_xlfn.ANCHORARRAY($BE$4),ROW()-4,4)),"")</f>
        <v/>
      </c>
      <c r="G145" s="823" t="str" cm="1">
        <f t="array" ref="G145">IFERROR(IF($B145="","",INDEX(_xlfn.ANCHORARRAY($BE$4),ROW()-4,5)),"")</f>
        <v/>
      </c>
      <c r="H145" s="824" t="str" cm="1">
        <f t="array" ref="H145">IF($CJ145="","",_xlfn.LET(_xlpm.v,_xlfn.XLOOKUP($CJ145,Equip_List,IF($CK145="E",Equip_EmLen,IF($CK145="P",Equip_XfPriLen,Equip_FdrLen)),""),IF(_xlpm.v="","",_xlpm.v)))</f>
        <v/>
      </c>
      <c r="I145" s="806" t="str">
        <f t="shared" si="40"/>
        <v/>
      </c>
      <c r="J145" s="820"/>
      <c r="K145" s="806" t="str">
        <f>_xlfn.LET(_xlpm.k,IF($I145="","",IF(COUNTIF(UPS!$B$57:$B$64,$C145&amp;"")&gt;0,1.25*MAX($I145,N(_xlfn.XLOOKUP($C145&amp;"",UPS!$B$57:$B$64,UPS!$M$57:$M$64,0))),IF(COUNTIF(UPS!$B$57:$B$64,$D145&amp;"")&gt;0,1.25*MAX($I145,N(_xlfn.XLOOKUP($D145&amp;"",UPS!$B$57:$B$64,UPS!$Q$57:$Q$64,0))),$I145*IF(OR(UPPER($J145)="Y",LEFT($C145,2)="T-",LEFT($D145,2)="T-"),1.25,1)))),IF(_xlpm.k="","",MAX(_xlpm.k,N(IFERROR(_xlfn.XLOOKUP($D145&amp;"",Dashboard!$A$101:$A$350,Dashboard!$O$101:$O$350,0),0)))))</f>
        <v/>
      </c>
      <c r="L145" s="825" t="str">
        <f>IF($CJ145="","",_xlfn.LET(_xlpm.v,UPPER(TRIM(_xlfn.XLOOKUP($CJ145,Equip_List,Equip_FdrMat,"")&amp;"")),IF(_xlpm.v="",UPPER(TRIM(Cfg_FeederMat&amp;"")),_xlpm.v)))</f>
        <v/>
      </c>
      <c r="M145" s="825" t="str">
        <f>IF($CJ145="","",_xlfn.LET(_xlpm.v,TRIM(_xlfn.XLOOKUP($CJ145,Equip_List,Equip_FdrRace,"")&amp;""),IF(_xlpm.v="",Cfg_Conduit&amp;"",_xlpm.v)))</f>
        <v/>
      </c>
      <c r="N145" s="825" t="str">
        <f>IF($CJ145="","",IF(UPPER(TRIM(_xlfn.XLOOKUP($CJ145,Equip_List,Equip_FdrExist,"")&amp;""))="Y","Y",""))</f>
        <v/>
      </c>
      <c r="O145" s="823" t="str">
        <f t="shared" si="48"/>
        <v/>
      </c>
      <c r="P145" s="821" t="str">
        <f t="shared" si="49"/>
        <v/>
      </c>
      <c r="Q145" s="821" t="str">
        <f t="shared" si="50"/>
        <v/>
      </c>
      <c r="R145" s="822" t="str" cm="1">
        <f t="array" ref="R145">IF(K145="","",INDEX(OCPD_List,MATCH(TRUE,OCPD_List&gt;=K145,0)))</f>
        <v/>
      </c>
      <c r="S145" s="821" t="str">
        <f t="shared" si="51"/>
        <v/>
      </c>
      <c r="T145" s="826" t="str">
        <f t="shared" si="41"/>
        <v/>
      </c>
      <c r="U145" s="826" t="str">
        <f t="shared" si="42"/>
        <v/>
      </c>
      <c r="V145" s="827" t="str">
        <f t="shared" si="43"/>
        <v/>
      </c>
      <c r="W145" s="828"/>
      <c r="X145" s="819"/>
      <c r="Y145" s="820"/>
      <c r="Z145" s="820"/>
      <c r="AA145" s="820"/>
      <c r="BN145" s="832" t="str">
        <f>IF($B145="","",IFERROR(_xlfn.XLOOKUP($D145,Dashboard!$A$101:$A$350,Dashboard!$C$101:$C$350),""))</f>
        <v/>
      </c>
      <c r="BO145" s="832" t="str">
        <f t="shared" si="44"/>
        <v/>
      </c>
      <c r="BP145" s="832" t="str" cm="1">
        <f t="array" ref="BP145">IF(OR($B145="",$R145="",NOT(ISNUMBER($R145))),"",IF(AND($BV145="AL",$G145=1),"",_xlfn.LET(_xlpm.codes,IF($BV145="AL",Std_Al3_Code,IF($G145=1,Std_Cu1_Code,Std_Cu3_Code)),_xlpm.amps,IFERROR(--SUBSTITUTE(_xlpm.codes&amp;"","N",""),""),_xlpm.a,MIN(IF(ISNUMBER(_xlpm.amps),IF(_xlpm.amps&gt;=$R145,_xlpm.amps,""),"")),_xlpm.k,IF(_xlpm.a=0,$R145,_xlpm.a),IF($BO145="Y",TEXT(_xlpm.k,"0")&amp;"N",_xlpm.k))))</f>
        <v/>
      </c>
      <c r="BQ145" s="832" t="str" cm="1">
        <f t="array" ref="BQ145">IF($BP145="","",IFERROR(IF($BV145="AL",_xlfn.XLOOKUP($BP145,Std_Al3_Code,INDEX(Std_Al3_Table,0,3)),IF($G145=1,_xlfn.XLOOKUP($BP145,Std_Cu1_Code,INDEX(Std_Cu1_Table,0,3)),_xlfn.XLOOKUP($BP145,Std_Cu3_Code,INDEX(Std_Cu3_Table,0,3)))),""))</f>
        <v/>
      </c>
      <c r="BR145" s="832" t="str" cm="1">
        <f t="array" ref="BR145">IF($BP145="","",IFERROR(IF($BV145="AL",_xlfn.XLOOKUP($BP145,Std_Al3_Code,INDEX(Std_Al3_Table,0,4)),IF($G145=1,_xlfn.XLOOKUP($BP145,Std_Cu1_Code,INDEX(Std_Cu1_Table,0,4)),_xlfn.XLOOKUP($BP145,Std_Cu3_Code,INDEX(Std_Cu3_Table,0,4)))),""))</f>
        <v/>
      </c>
      <c r="BS145" s="832" t="str" cm="1">
        <f t="array" ref="BS145">IF($BP145="","",IFERROR(IF($BV145="AL",_xlfn.XLOOKUP($BP145,Std_Al3_Code,INDEX(Std_Al3_Table,0,5)),IF($G145=1,_xlfn.XLOOKUP($BP145,Std_Cu1_Code,INDEX(Std_Cu1_Table,0,5)),_xlfn.XLOOKUP($BP145,Std_Cu3_Code,INDEX(Std_Cu3_Table,0,5)))),""))</f>
        <v/>
      </c>
      <c r="BT145" s="832" t="str">
        <f t="shared" si="45"/>
        <v/>
      </c>
      <c r="BU145" s="832" t="str" cm="1">
        <f t="array" ref="BU145">IF($BP145="","",IFERROR(IF($BV145="AL",_xlfn.XLOOKUP($BP145,Std_Al3_Code,INDEX(Std_Al3_Table,0,2)),IF($G145=1,_xlfn.XLOOKUP($BP145,Std_Cu1_Code,INDEX(Std_Cu1_Table,0,2)),_xlfn.XLOOKUP($BP145,Std_Cu3_Code,INDEX(Std_Cu3_Table,0,2)))),""))</f>
        <v/>
      </c>
      <c r="BV145" s="829" t="str">
        <f t="shared" si="46"/>
        <v/>
      </c>
      <c r="BW145" s="829" t="str">
        <f t="shared" si="52"/>
        <v/>
      </c>
      <c r="BX145" s="829" t="str" cm="1">
        <f t="array" ref="BX145">IF(OR($BP145="",$H145="",$I145="",$F145="",$BW145=""),"",IFERROR(_xlfn.LET(_xlpm.codes,IF($BV145="AL",Std_Al3_Code,IF($G145=1,Std_Cu1_Code,Std_Cu3_Code)),_xlpm.tbl,IF($BV145="AL",Std_Al3_Table,IF($G145=1,Std_Cu1_Table,Std_Cu3_Table)),_xlpm.i,MATCH($BP145,_xlpm.codes,0),_xlpm.idx,_xlfn.SEQUENCE(ROWS(_xlpm.codes)),_xlpm.cnd,INDEX(_xlpm.tbl,0,4),_xlpm.sts,INDEX(_xlpm.tbl,0,2),_xlpm.sz,IFERROR(_xlfn.TEXTBEFORE(_xlfn.TEXTAFTER(_xlpm.cnd,"#"),","),IFERROR(_xlfn.TEXTAFTER(_xlpm.cnd,"#"),"")),_xlpm.cm,IFERROR(_xlfn.XLOOKUP(TRIM(_xlpm.sz),Ampacity_Size,Ampacity_CM),0),_xlpm.mult,IF($G145=3,SQRT3,2),_xlpm.kk,IF($BV145="AL",K_Al,K_Cu),_xlpm.vd,IF(_xlpm.cm*IF(ISNUMBER(_xlpm.sts),_xlpm.sts,0)=0,9,_xlpm.mult*_xlpm.kk*$I145*$H145/(_xlpm.cm*_xlpm.sts)/$F145),_xlpm.hasN,--(RIGHT(_xlpm.codes&amp;"",1)="N"),_xlpm.wantN,--(RIGHT($BP145&amp;"",1)="N"),_xlpm.ok,(_xlpm.idx&gt;=_xlpm.i)*(_xlpm.vd&lt;=Cfg_VDFeeder)*(_xlpm.cm&gt;0)*ISNUMBER(_xlpm.sts)*(_xlpm.hasN=_xlpm.wantN),_xlpm.m,MIN(IF(_xlpm.ok=1,_xlpm.idx)),INDEX(_xlpm.codes,IF(_xlpm.m=0,_xlpm.i,_xlpm.m))),""))</f>
        <v/>
      </c>
      <c r="BY145" s="829" t="str" cm="1">
        <f t="array" ref="BY145">IF($BP145="","",IF($BX145="",$BU145,IFERROR(IF($BV145="AL",_xlfn.XLOOKUP($BX145,Std_Al3_Code,INDEX(Std_Al3_Table,0,2)),IF($G145=1,_xlfn.XLOOKUP($BX145,Std_Cu1_Code,INDEX(Std_Cu1_Table,0,2)),_xlfn.XLOOKUP($BX145,Std_Cu3_Code,INDEX(Std_Cu3_Table,0,2)))),"")))</f>
        <v/>
      </c>
      <c r="BZ145" s="829" t="str" cm="1">
        <f t="array" ref="BZ145">IF($BP145="","",IF($BX145="",$BR145,IFERROR(IF($BV145="AL",_xlfn.XLOOKUP($BX145,Std_Al3_Code,INDEX(Std_Al3_Table,0,4)),IF($G145=1,_xlfn.XLOOKUP($BX145,Std_Cu1_Code,INDEX(Std_Cu1_Table,0,4)),_xlfn.XLOOKUP($BX145,Std_Cu3_Code,INDEX(Std_Cu3_Table,0,4)))),"")))</f>
        <v/>
      </c>
      <c r="CA145" s="829" t="str" cm="1">
        <f t="array" ref="CA145">IF($BP145="","",IF($BX145="",$BQ145,IFERROR(IF($BV145="AL",_xlfn.XLOOKUP($BX145,Std_Al3_Code,INDEX(Std_Al3_Table,0,3)),IF($G145=1,_xlfn.XLOOKUP($BX145,Std_Cu1_Code,INDEX(Std_Cu1_Table,0,3)),_xlfn.XLOOKUP($BX145,Std_Cu3_Code,INDEX(Std_Cu3_Table,0,3)))),"")))</f>
        <v/>
      </c>
      <c r="CB145" s="829" t="str" cm="1">
        <f t="array" ref="CB145">IF($BP145="","",IF($BX145="",$BS145,IFERROR(IF($BV145="AL",_xlfn.XLOOKUP($BX145,Std_Al3_Code,INDEX(Std_Al3_Table,0,5)),IF($G145=1,_xlfn.XLOOKUP($BX145,Std_Cu1_Code,INDEX(Std_Cu1_Table,0,5)),_xlfn.XLOOKUP($BX145,Std_Cu3_Code,INDEX(Std_Cu3_Table,0,5)))),"")))</f>
        <v/>
      </c>
      <c r="CC145" s="829" t="str">
        <f t="shared" si="53"/>
        <v/>
      </c>
      <c r="CD145" s="829" t="str">
        <f t="shared" si="54"/>
        <v/>
      </c>
      <c r="CE145" s="829" t="str">
        <f t="shared" si="55"/>
        <v/>
      </c>
      <c r="CF145" s="829" t="str">
        <f t="shared" si="56"/>
        <v/>
      </c>
      <c r="CG145" s="829" t="str">
        <f t="shared" si="57"/>
        <v/>
      </c>
      <c r="CH145" s="829" t="str">
        <f t="shared" si="58"/>
        <v/>
      </c>
      <c r="CI145" s="829" t="str">
        <f t="shared" si="59"/>
        <v/>
      </c>
      <c r="CJ145" s="829" t="str" cm="1">
        <f t="array" ref="CJ145">IF($B145="","",_xlfn.LET(_xlpm.to,$D145&amp;"",_xlpm.em,IFERROR(INDEX(_xlfn.ANCHORARRAY($BE$4),ROW()-4,6),"")="EMERG",_xlpm.pri,AND(NOT(_xlpm.em),LEFT(_xlpm.to,2)="T-",ISNUMBER(MATCH(MID(_xlpm.to,3,99),Equip_List,0)),ISNA(MATCH(_xlpm.to,Equip_List,0))),IF(_xlpm.pri,MID(_xlpm.to,3,99),_xlpm.to)))</f>
        <v/>
      </c>
      <c r="CK145" s="829" t="str" cm="1">
        <f t="array" ref="CK145">IF($CJ145="","",IF(IFERROR(INDEX(_xlfn.ANCHORARRAY($BE$4),ROW()-4,6),"")="EMERG","E",IF($CJ145&lt;&gt;$D145&amp;"","P","N")))</f>
        <v/>
      </c>
    </row>
    <row r="146" spans="1:89" ht="15" customHeight="1" x14ac:dyDescent="0.35">
      <c r="A146" s="821" t="str">
        <f t="shared" si="47"/>
        <v/>
      </c>
      <c r="B146" s="821" t="str" cm="1">
        <f t="array" ref="B146">IFERROR(IF(INDEX(_xlfn.ANCHORARRAY($BE$4),ROW()-4,2)="","","F-"&amp;INDEX(_xlfn.ANCHORARRAY($BE$4),ROW()-4,2)&amp;IF(IFERROR(INDEX(_xlfn.ANCHORARRAY($BE$4),ROW()-4,6),"")="EMERG","-E","")),"")</f>
        <v/>
      </c>
      <c r="C146" s="821" t="str" cm="1">
        <f t="array" ref="C146">IFERROR(IF($B146="","",INDEX(_xlfn.ANCHORARRAY($BE$4),ROW()-4,1)),"")</f>
        <v/>
      </c>
      <c r="D146" s="821" t="str" cm="1">
        <f t="array" ref="D146">IFERROR(IF($B146="","",INDEX(_xlfn.ANCHORARRAY($BE$4),ROW()-4,2)),"")</f>
        <v/>
      </c>
      <c r="E146" s="806" t="str" cm="1">
        <f t="array" ref="E146">IFERROR(IF($B146="","",INDEX(_xlfn.ANCHORARRAY($BE$4),ROW()-4,3)),"")</f>
        <v/>
      </c>
      <c r="F146" s="822" t="str" cm="1">
        <f t="array" ref="F146">IFERROR(IF($B146="","",INDEX(_xlfn.ANCHORARRAY($BE$4),ROW()-4,4)),"")</f>
        <v/>
      </c>
      <c r="G146" s="823" t="str" cm="1">
        <f t="array" ref="G146">IFERROR(IF($B146="","",INDEX(_xlfn.ANCHORARRAY($BE$4),ROW()-4,5)),"")</f>
        <v/>
      </c>
      <c r="H146" s="824" t="str" cm="1">
        <f t="array" ref="H146">IF($CJ146="","",_xlfn.LET(_xlpm.v,_xlfn.XLOOKUP($CJ146,Equip_List,IF($CK146="E",Equip_EmLen,IF($CK146="P",Equip_XfPriLen,Equip_FdrLen)),""),IF(_xlpm.v="","",_xlpm.v)))</f>
        <v/>
      </c>
      <c r="I146" s="806" t="str">
        <f t="shared" si="40"/>
        <v/>
      </c>
      <c r="J146" s="820"/>
      <c r="K146" s="806" t="str">
        <f>_xlfn.LET(_xlpm.k,IF($I146="","",IF(COUNTIF(UPS!$B$57:$B$64,$C146&amp;"")&gt;0,1.25*MAX($I146,N(_xlfn.XLOOKUP($C146&amp;"",UPS!$B$57:$B$64,UPS!$M$57:$M$64,0))),IF(COUNTIF(UPS!$B$57:$B$64,$D146&amp;"")&gt;0,1.25*MAX($I146,N(_xlfn.XLOOKUP($D146&amp;"",UPS!$B$57:$B$64,UPS!$Q$57:$Q$64,0))),$I146*IF(OR(UPPER($J146)="Y",LEFT($C146,2)="T-",LEFT($D146,2)="T-"),1.25,1)))),IF(_xlpm.k="","",MAX(_xlpm.k,N(IFERROR(_xlfn.XLOOKUP($D146&amp;"",Dashboard!$A$101:$A$350,Dashboard!$O$101:$O$350,0),0)))))</f>
        <v/>
      </c>
      <c r="L146" s="825" t="str">
        <f>IF($CJ146="","",_xlfn.LET(_xlpm.v,UPPER(TRIM(_xlfn.XLOOKUP($CJ146,Equip_List,Equip_FdrMat,"")&amp;"")),IF(_xlpm.v="",UPPER(TRIM(Cfg_FeederMat&amp;"")),_xlpm.v)))</f>
        <v/>
      </c>
      <c r="M146" s="825" t="str">
        <f>IF($CJ146="","",_xlfn.LET(_xlpm.v,TRIM(_xlfn.XLOOKUP($CJ146,Equip_List,Equip_FdrRace,"")&amp;""),IF(_xlpm.v="",Cfg_Conduit&amp;"",_xlpm.v)))</f>
        <v/>
      </c>
      <c r="N146" s="825" t="str">
        <f>IF($CJ146="","",IF(UPPER(TRIM(_xlfn.XLOOKUP($CJ146,Equip_List,Equip_FdrExist,"")&amp;""))="Y","Y",""))</f>
        <v/>
      </c>
      <c r="O146" s="823" t="str">
        <f t="shared" si="48"/>
        <v/>
      </c>
      <c r="P146" s="821" t="str">
        <f t="shared" si="49"/>
        <v/>
      </c>
      <c r="Q146" s="821" t="str">
        <f t="shared" si="50"/>
        <v/>
      </c>
      <c r="R146" s="822" t="str" cm="1">
        <f t="array" ref="R146">IF(K146="","",INDEX(OCPD_List,MATCH(TRUE,OCPD_List&gt;=K146,0)))</f>
        <v/>
      </c>
      <c r="S146" s="821" t="str">
        <f t="shared" si="51"/>
        <v/>
      </c>
      <c r="T146" s="826" t="str">
        <f t="shared" si="41"/>
        <v/>
      </c>
      <c r="U146" s="826" t="str">
        <f t="shared" si="42"/>
        <v/>
      </c>
      <c r="V146" s="827" t="str">
        <f t="shared" si="43"/>
        <v/>
      </c>
      <c r="W146" s="828"/>
      <c r="X146" s="819"/>
      <c r="Y146" s="820"/>
      <c r="Z146" s="820"/>
      <c r="AA146" s="820"/>
      <c r="BN146" s="832" t="str">
        <f>IF($B146="","",IFERROR(_xlfn.XLOOKUP($D146,Dashboard!$A$101:$A$350,Dashboard!$C$101:$C$350),""))</f>
        <v/>
      </c>
      <c r="BO146" s="832" t="str">
        <f t="shared" si="44"/>
        <v/>
      </c>
      <c r="BP146" s="832" t="str" cm="1">
        <f t="array" ref="BP146">IF(OR($B146="",$R146="",NOT(ISNUMBER($R146))),"",IF(AND($BV146="AL",$G146=1),"",_xlfn.LET(_xlpm.codes,IF($BV146="AL",Std_Al3_Code,IF($G146=1,Std_Cu1_Code,Std_Cu3_Code)),_xlpm.amps,IFERROR(--SUBSTITUTE(_xlpm.codes&amp;"","N",""),""),_xlpm.a,MIN(IF(ISNUMBER(_xlpm.amps),IF(_xlpm.amps&gt;=$R146,_xlpm.amps,""),"")),_xlpm.k,IF(_xlpm.a=0,$R146,_xlpm.a),IF($BO146="Y",TEXT(_xlpm.k,"0")&amp;"N",_xlpm.k))))</f>
        <v/>
      </c>
      <c r="BQ146" s="832" t="str" cm="1">
        <f t="array" ref="BQ146">IF($BP146="","",IFERROR(IF($BV146="AL",_xlfn.XLOOKUP($BP146,Std_Al3_Code,INDEX(Std_Al3_Table,0,3)),IF($G146=1,_xlfn.XLOOKUP($BP146,Std_Cu1_Code,INDEX(Std_Cu1_Table,0,3)),_xlfn.XLOOKUP($BP146,Std_Cu3_Code,INDEX(Std_Cu3_Table,0,3)))),""))</f>
        <v/>
      </c>
      <c r="BR146" s="832" t="str" cm="1">
        <f t="array" ref="BR146">IF($BP146="","",IFERROR(IF($BV146="AL",_xlfn.XLOOKUP($BP146,Std_Al3_Code,INDEX(Std_Al3_Table,0,4)),IF($G146=1,_xlfn.XLOOKUP($BP146,Std_Cu1_Code,INDEX(Std_Cu1_Table,0,4)),_xlfn.XLOOKUP($BP146,Std_Cu3_Code,INDEX(Std_Cu3_Table,0,4)))),""))</f>
        <v/>
      </c>
      <c r="BS146" s="832" t="str" cm="1">
        <f t="array" ref="BS146">IF($BP146="","",IFERROR(IF($BV146="AL",_xlfn.XLOOKUP($BP146,Std_Al3_Code,INDEX(Std_Al3_Table,0,5)),IF($G146=1,_xlfn.XLOOKUP($BP146,Std_Cu1_Code,INDEX(Std_Cu1_Table,0,5)),_xlfn.XLOOKUP($BP146,Std_Cu3_Code,INDEX(Std_Cu3_Table,0,5)))),""))</f>
        <v/>
      </c>
      <c r="BT146" s="832" t="str">
        <f t="shared" si="45"/>
        <v/>
      </c>
      <c r="BU146" s="832" t="str" cm="1">
        <f t="array" ref="BU146">IF($BP146="","",IFERROR(IF($BV146="AL",_xlfn.XLOOKUP($BP146,Std_Al3_Code,INDEX(Std_Al3_Table,0,2)),IF($G146=1,_xlfn.XLOOKUP($BP146,Std_Cu1_Code,INDEX(Std_Cu1_Table,0,2)),_xlfn.XLOOKUP($BP146,Std_Cu3_Code,INDEX(Std_Cu3_Table,0,2)))),""))</f>
        <v/>
      </c>
      <c r="BV146" s="829" t="str">
        <f t="shared" si="46"/>
        <v/>
      </c>
      <c r="BW146" s="829" t="str">
        <f t="shared" si="52"/>
        <v/>
      </c>
      <c r="BX146" s="829" t="str" cm="1">
        <f t="array" ref="BX146">IF(OR($BP146="",$H146="",$I146="",$F146="",$BW146=""),"",IFERROR(_xlfn.LET(_xlpm.codes,IF($BV146="AL",Std_Al3_Code,IF($G146=1,Std_Cu1_Code,Std_Cu3_Code)),_xlpm.tbl,IF($BV146="AL",Std_Al3_Table,IF($G146=1,Std_Cu1_Table,Std_Cu3_Table)),_xlpm.i,MATCH($BP146,_xlpm.codes,0),_xlpm.idx,_xlfn.SEQUENCE(ROWS(_xlpm.codes)),_xlpm.cnd,INDEX(_xlpm.tbl,0,4),_xlpm.sts,INDEX(_xlpm.tbl,0,2),_xlpm.sz,IFERROR(_xlfn.TEXTBEFORE(_xlfn.TEXTAFTER(_xlpm.cnd,"#"),","),IFERROR(_xlfn.TEXTAFTER(_xlpm.cnd,"#"),"")),_xlpm.cm,IFERROR(_xlfn.XLOOKUP(TRIM(_xlpm.sz),Ampacity_Size,Ampacity_CM),0),_xlpm.mult,IF($G146=3,SQRT3,2),_xlpm.kk,IF($BV146="AL",K_Al,K_Cu),_xlpm.vd,IF(_xlpm.cm*IF(ISNUMBER(_xlpm.sts),_xlpm.sts,0)=0,9,_xlpm.mult*_xlpm.kk*$I146*$H146/(_xlpm.cm*_xlpm.sts)/$F146),_xlpm.hasN,--(RIGHT(_xlpm.codes&amp;"",1)="N"),_xlpm.wantN,--(RIGHT($BP146&amp;"",1)="N"),_xlpm.ok,(_xlpm.idx&gt;=_xlpm.i)*(_xlpm.vd&lt;=Cfg_VDFeeder)*(_xlpm.cm&gt;0)*ISNUMBER(_xlpm.sts)*(_xlpm.hasN=_xlpm.wantN),_xlpm.m,MIN(IF(_xlpm.ok=1,_xlpm.idx)),INDEX(_xlpm.codes,IF(_xlpm.m=0,_xlpm.i,_xlpm.m))),""))</f>
        <v/>
      </c>
      <c r="BY146" s="829" t="str" cm="1">
        <f t="array" ref="BY146">IF($BP146="","",IF($BX146="",$BU146,IFERROR(IF($BV146="AL",_xlfn.XLOOKUP($BX146,Std_Al3_Code,INDEX(Std_Al3_Table,0,2)),IF($G146=1,_xlfn.XLOOKUP($BX146,Std_Cu1_Code,INDEX(Std_Cu1_Table,0,2)),_xlfn.XLOOKUP($BX146,Std_Cu3_Code,INDEX(Std_Cu3_Table,0,2)))),"")))</f>
        <v/>
      </c>
      <c r="BZ146" s="829" t="str" cm="1">
        <f t="array" ref="BZ146">IF($BP146="","",IF($BX146="",$BR146,IFERROR(IF($BV146="AL",_xlfn.XLOOKUP($BX146,Std_Al3_Code,INDEX(Std_Al3_Table,0,4)),IF($G146=1,_xlfn.XLOOKUP($BX146,Std_Cu1_Code,INDEX(Std_Cu1_Table,0,4)),_xlfn.XLOOKUP($BX146,Std_Cu3_Code,INDEX(Std_Cu3_Table,0,4)))),"")))</f>
        <v/>
      </c>
      <c r="CA146" s="829" t="str" cm="1">
        <f t="array" ref="CA146">IF($BP146="","",IF($BX146="",$BQ146,IFERROR(IF($BV146="AL",_xlfn.XLOOKUP($BX146,Std_Al3_Code,INDEX(Std_Al3_Table,0,3)),IF($G146=1,_xlfn.XLOOKUP($BX146,Std_Cu1_Code,INDEX(Std_Cu1_Table,0,3)),_xlfn.XLOOKUP($BX146,Std_Cu3_Code,INDEX(Std_Cu3_Table,0,3)))),"")))</f>
        <v/>
      </c>
      <c r="CB146" s="829" t="str" cm="1">
        <f t="array" ref="CB146">IF($BP146="","",IF($BX146="",$BS146,IFERROR(IF($BV146="AL",_xlfn.XLOOKUP($BX146,Std_Al3_Code,INDEX(Std_Al3_Table,0,5)),IF($G146=1,_xlfn.XLOOKUP($BX146,Std_Cu1_Code,INDEX(Std_Cu1_Table,0,5)),_xlfn.XLOOKUP($BX146,Std_Cu3_Code,INDEX(Std_Cu3_Table,0,5)))),"")))</f>
        <v/>
      </c>
      <c r="CC146" s="829" t="str">
        <f t="shared" si="53"/>
        <v/>
      </c>
      <c r="CD146" s="829" t="str">
        <f t="shared" si="54"/>
        <v/>
      </c>
      <c r="CE146" s="829" t="str">
        <f t="shared" si="55"/>
        <v/>
      </c>
      <c r="CF146" s="829" t="str">
        <f t="shared" si="56"/>
        <v/>
      </c>
      <c r="CG146" s="829" t="str">
        <f t="shared" si="57"/>
        <v/>
      </c>
      <c r="CH146" s="829" t="str">
        <f t="shared" si="58"/>
        <v/>
      </c>
      <c r="CI146" s="829" t="str">
        <f t="shared" si="59"/>
        <v/>
      </c>
      <c r="CJ146" s="829" t="str" cm="1">
        <f t="array" ref="CJ146">IF($B146="","",_xlfn.LET(_xlpm.to,$D146&amp;"",_xlpm.em,IFERROR(INDEX(_xlfn.ANCHORARRAY($BE$4),ROW()-4,6),"")="EMERG",_xlpm.pri,AND(NOT(_xlpm.em),LEFT(_xlpm.to,2)="T-",ISNUMBER(MATCH(MID(_xlpm.to,3,99),Equip_List,0)),ISNA(MATCH(_xlpm.to,Equip_List,0))),IF(_xlpm.pri,MID(_xlpm.to,3,99),_xlpm.to)))</f>
        <v/>
      </c>
      <c r="CK146" s="829" t="str" cm="1">
        <f t="array" ref="CK146">IF($CJ146="","",IF(IFERROR(INDEX(_xlfn.ANCHORARRAY($BE$4),ROW()-4,6),"")="EMERG","E",IF($CJ146&lt;&gt;$D146&amp;"","P","N")))</f>
        <v/>
      </c>
    </row>
    <row r="147" spans="1:89" ht="15" customHeight="1" x14ac:dyDescent="0.35">
      <c r="A147" s="821" t="str">
        <f t="shared" si="47"/>
        <v/>
      </c>
      <c r="B147" s="821" t="str" cm="1">
        <f t="array" ref="B147">IFERROR(IF(INDEX(_xlfn.ANCHORARRAY($BE$4),ROW()-4,2)="","","F-"&amp;INDEX(_xlfn.ANCHORARRAY($BE$4),ROW()-4,2)&amp;IF(IFERROR(INDEX(_xlfn.ANCHORARRAY($BE$4),ROW()-4,6),"")="EMERG","-E","")),"")</f>
        <v/>
      </c>
      <c r="C147" s="821" t="str" cm="1">
        <f t="array" ref="C147">IFERROR(IF($B147="","",INDEX(_xlfn.ANCHORARRAY($BE$4),ROW()-4,1)),"")</f>
        <v/>
      </c>
      <c r="D147" s="821" t="str" cm="1">
        <f t="array" ref="D147">IFERROR(IF($B147="","",INDEX(_xlfn.ANCHORARRAY($BE$4),ROW()-4,2)),"")</f>
        <v/>
      </c>
      <c r="E147" s="806" t="str" cm="1">
        <f t="array" ref="E147">IFERROR(IF($B147="","",INDEX(_xlfn.ANCHORARRAY($BE$4),ROW()-4,3)),"")</f>
        <v/>
      </c>
      <c r="F147" s="822" t="str" cm="1">
        <f t="array" ref="F147">IFERROR(IF($B147="","",INDEX(_xlfn.ANCHORARRAY($BE$4),ROW()-4,4)),"")</f>
        <v/>
      </c>
      <c r="G147" s="823" t="str" cm="1">
        <f t="array" ref="G147">IFERROR(IF($B147="","",INDEX(_xlfn.ANCHORARRAY($BE$4),ROW()-4,5)),"")</f>
        <v/>
      </c>
      <c r="H147" s="824" t="str" cm="1">
        <f t="array" ref="H147">IF($CJ147="","",_xlfn.LET(_xlpm.v,_xlfn.XLOOKUP($CJ147,Equip_List,IF($CK147="E",Equip_EmLen,IF($CK147="P",Equip_XfPriLen,Equip_FdrLen)),""),IF(_xlpm.v="","",_xlpm.v)))</f>
        <v/>
      </c>
      <c r="I147" s="806" t="str">
        <f t="shared" si="40"/>
        <v/>
      </c>
      <c r="J147" s="820"/>
      <c r="K147" s="806" t="str">
        <f>_xlfn.LET(_xlpm.k,IF($I147="","",IF(COUNTIF(UPS!$B$57:$B$64,$C147&amp;"")&gt;0,1.25*MAX($I147,N(_xlfn.XLOOKUP($C147&amp;"",UPS!$B$57:$B$64,UPS!$M$57:$M$64,0))),IF(COUNTIF(UPS!$B$57:$B$64,$D147&amp;"")&gt;0,1.25*MAX($I147,N(_xlfn.XLOOKUP($D147&amp;"",UPS!$B$57:$B$64,UPS!$Q$57:$Q$64,0))),$I147*IF(OR(UPPER($J147)="Y",LEFT($C147,2)="T-",LEFT($D147,2)="T-"),1.25,1)))),IF(_xlpm.k="","",MAX(_xlpm.k,N(IFERROR(_xlfn.XLOOKUP($D147&amp;"",Dashboard!$A$101:$A$350,Dashboard!$O$101:$O$350,0),0)))))</f>
        <v/>
      </c>
      <c r="L147" s="825" t="str">
        <f>IF($CJ147="","",_xlfn.LET(_xlpm.v,UPPER(TRIM(_xlfn.XLOOKUP($CJ147,Equip_List,Equip_FdrMat,"")&amp;"")),IF(_xlpm.v="",UPPER(TRIM(Cfg_FeederMat&amp;"")),_xlpm.v)))</f>
        <v/>
      </c>
      <c r="M147" s="825" t="str">
        <f>IF($CJ147="","",_xlfn.LET(_xlpm.v,TRIM(_xlfn.XLOOKUP($CJ147,Equip_List,Equip_FdrRace,"")&amp;""),IF(_xlpm.v="",Cfg_Conduit&amp;"",_xlpm.v)))</f>
        <v/>
      </c>
      <c r="N147" s="825" t="str">
        <f>IF($CJ147="","",IF(UPPER(TRIM(_xlfn.XLOOKUP($CJ147,Equip_List,Equip_FdrExist,"")&amp;""))="Y","Y",""))</f>
        <v/>
      </c>
      <c r="O147" s="823" t="str">
        <f t="shared" si="48"/>
        <v/>
      </c>
      <c r="P147" s="821" t="str">
        <f t="shared" si="49"/>
        <v/>
      </c>
      <c r="Q147" s="821" t="str">
        <f t="shared" si="50"/>
        <v/>
      </c>
      <c r="R147" s="822" t="str" cm="1">
        <f t="array" ref="R147">IF(K147="","",INDEX(OCPD_List,MATCH(TRUE,OCPD_List&gt;=K147,0)))</f>
        <v/>
      </c>
      <c r="S147" s="821" t="str">
        <f t="shared" si="51"/>
        <v/>
      </c>
      <c r="T147" s="826" t="str">
        <f t="shared" si="41"/>
        <v/>
      </c>
      <c r="U147" s="826" t="str">
        <f t="shared" si="42"/>
        <v/>
      </c>
      <c r="V147" s="827" t="str">
        <f t="shared" si="43"/>
        <v/>
      </c>
      <c r="W147" s="828"/>
      <c r="X147" s="819"/>
      <c r="Y147" s="820"/>
      <c r="Z147" s="820"/>
      <c r="AA147" s="820"/>
      <c r="BN147" s="832" t="str">
        <f>IF($B147="","",IFERROR(_xlfn.XLOOKUP($D147,Dashboard!$A$101:$A$350,Dashboard!$C$101:$C$350),""))</f>
        <v/>
      </c>
      <c r="BO147" s="832" t="str">
        <f t="shared" si="44"/>
        <v/>
      </c>
      <c r="BP147" s="832" t="str" cm="1">
        <f t="array" ref="BP147">IF(OR($B147="",$R147="",NOT(ISNUMBER($R147))),"",IF(AND($BV147="AL",$G147=1),"",_xlfn.LET(_xlpm.codes,IF($BV147="AL",Std_Al3_Code,IF($G147=1,Std_Cu1_Code,Std_Cu3_Code)),_xlpm.amps,IFERROR(--SUBSTITUTE(_xlpm.codes&amp;"","N",""),""),_xlpm.a,MIN(IF(ISNUMBER(_xlpm.amps),IF(_xlpm.amps&gt;=$R147,_xlpm.amps,""),"")),_xlpm.k,IF(_xlpm.a=0,$R147,_xlpm.a),IF($BO147="Y",TEXT(_xlpm.k,"0")&amp;"N",_xlpm.k))))</f>
        <v/>
      </c>
      <c r="BQ147" s="832" t="str" cm="1">
        <f t="array" ref="BQ147">IF($BP147="","",IFERROR(IF($BV147="AL",_xlfn.XLOOKUP($BP147,Std_Al3_Code,INDEX(Std_Al3_Table,0,3)),IF($G147=1,_xlfn.XLOOKUP($BP147,Std_Cu1_Code,INDEX(Std_Cu1_Table,0,3)),_xlfn.XLOOKUP($BP147,Std_Cu3_Code,INDEX(Std_Cu3_Table,0,3)))),""))</f>
        <v/>
      </c>
      <c r="BR147" s="832" t="str" cm="1">
        <f t="array" ref="BR147">IF($BP147="","",IFERROR(IF($BV147="AL",_xlfn.XLOOKUP($BP147,Std_Al3_Code,INDEX(Std_Al3_Table,0,4)),IF($G147=1,_xlfn.XLOOKUP($BP147,Std_Cu1_Code,INDEX(Std_Cu1_Table,0,4)),_xlfn.XLOOKUP($BP147,Std_Cu3_Code,INDEX(Std_Cu3_Table,0,4)))),""))</f>
        <v/>
      </c>
      <c r="BS147" s="832" t="str" cm="1">
        <f t="array" ref="BS147">IF($BP147="","",IFERROR(IF($BV147="AL",_xlfn.XLOOKUP($BP147,Std_Al3_Code,INDEX(Std_Al3_Table,0,5)),IF($G147=1,_xlfn.XLOOKUP($BP147,Std_Cu1_Code,INDEX(Std_Cu1_Table,0,5)),_xlfn.XLOOKUP($BP147,Std_Cu3_Code,INDEX(Std_Cu3_Table,0,5)))),""))</f>
        <v/>
      </c>
      <c r="BT147" s="832" t="str">
        <f t="shared" si="45"/>
        <v/>
      </c>
      <c r="BU147" s="832" t="str" cm="1">
        <f t="array" ref="BU147">IF($BP147="","",IFERROR(IF($BV147="AL",_xlfn.XLOOKUP($BP147,Std_Al3_Code,INDEX(Std_Al3_Table,0,2)),IF($G147=1,_xlfn.XLOOKUP($BP147,Std_Cu1_Code,INDEX(Std_Cu1_Table,0,2)),_xlfn.XLOOKUP($BP147,Std_Cu3_Code,INDEX(Std_Cu3_Table,0,2)))),""))</f>
        <v/>
      </c>
      <c r="BV147" s="829" t="str">
        <f t="shared" si="46"/>
        <v/>
      </c>
      <c r="BW147" s="829" t="str">
        <f t="shared" si="52"/>
        <v/>
      </c>
      <c r="BX147" s="829" t="str" cm="1">
        <f t="array" ref="BX147">IF(OR($BP147="",$H147="",$I147="",$F147="",$BW147=""),"",IFERROR(_xlfn.LET(_xlpm.codes,IF($BV147="AL",Std_Al3_Code,IF($G147=1,Std_Cu1_Code,Std_Cu3_Code)),_xlpm.tbl,IF($BV147="AL",Std_Al3_Table,IF($G147=1,Std_Cu1_Table,Std_Cu3_Table)),_xlpm.i,MATCH($BP147,_xlpm.codes,0),_xlpm.idx,_xlfn.SEQUENCE(ROWS(_xlpm.codes)),_xlpm.cnd,INDEX(_xlpm.tbl,0,4),_xlpm.sts,INDEX(_xlpm.tbl,0,2),_xlpm.sz,IFERROR(_xlfn.TEXTBEFORE(_xlfn.TEXTAFTER(_xlpm.cnd,"#"),","),IFERROR(_xlfn.TEXTAFTER(_xlpm.cnd,"#"),"")),_xlpm.cm,IFERROR(_xlfn.XLOOKUP(TRIM(_xlpm.sz),Ampacity_Size,Ampacity_CM),0),_xlpm.mult,IF($G147=3,SQRT3,2),_xlpm.kk,IF($BV147="AL",K_Al,K_Cu),_xlpm.vd,IF(_xlpm.cm*IF(ISNUMBER(_xlpm.sts),_xlpm.sts,0)=0,9,_xlpm.mult*_xlpm.kk*$I147*$H147/(_xlpm.cm*_xlpm.sts)/$F147),_xlpm.hasN,--(RIGHT(_xlpm.codes&amp;"",1)="N"),_xlpm.wantN,--(RIGHT($BP147&amp;"",1)="N"),_xlpm.ok,(_xlpm.idx&gt;=_xlpm.i)*(_xlpm.vd&lt;=Cfg_VDFeeder)*(_xlpm.cm&gt;0)*ISNUMBER(_xlpm.sts)*(_xlpm.hasN=_xlpm.wantN),_xlpm.m,MIN(IF(_xlpm.ok=1,_xlpm.idx)),INDEX(_xlpm.codes,IF(_xlpm.m=0,_xlpm.i,_xlpm.m))),""))</f>
        <v/>
      </c>
      <c r="BY147" s="829" t="str" cm="1">
        <f t="array" ref="BY147">IF($BP147="","",IF($BX147="",$BU147,IFERROR(IF($BV147="AL",_xlfn.XLOOKUP($BX147,Std_Al3_Code,INDEX(Std_Al3_Table,0,2)),IF($G147=1,_xlfn.XLOOKUP($BX147,Std_Cu1_Code,INDEX(Std_Cu1_Table,0,2)),_xlfn.XLOOKUP($BX147,Std_Cu3_Code,INDEX(Std_Cu3_Table,0,2)))),"")))</f>
        <v/>
      </c>
      <c r="BZ147" s="829" t="str" cm="1">
        <f t="array" ref="BZ147">IF($BP147="","",IF($BX147="",$BR147,IFERROR(IF($BV147="AL",_xlfn.XLOOKUP($BX147,Std_Al3_Code,INDEX(Std_Al3_Table,0,4)),IF($G147=1,_xlfn.XLOOKUP($BX147,Std_Cu1_Code,INDEX(Std_Cu1_Table,0,4)),_xlfn.XLOOKUP($BX147,Std_Cu3_Code,INDEX(Std_Cu3_Table,0,4)))),"")))</f>
        <v/>
      </c>
      <c r="CA147" s="829" t="str" cm="1">
        <f t="array" ref="CA147">IF($BP147="","",IF($BX147="",$BQ147,IFERROR(IF($BV147="AL",_xlfn.XLOOKUP($BX147,Std_Al3_Code,INDEX(Std_Al3_Table,0,3)),IF($G147=1,_xlfn.XLOOKUP($BX147,Std_Cu1_Code,INDEX(Std_Cu1_Table,0,3)),_xlfn.XLOOKUP($BX147,Std_Cu3_Code,INDEX(Std_Cu3_Table,0,3)))),"")))</f>
        <v/>
      </c>
      <c r="CB147" s="829" t="str" cm="1">
        <f t="array" ref="CB147">IF($BP147="","",IF($BX147="",$BS147,IFERROR(IF($BV147="AL",_xlfn.XLOOKUP($BX147,Std_Al3_Code,INDEX(Std_Al3_Table,0,5)),IF($G147=1,_xlfn.XLOOKUP($BX147,Std_Cu1_Code,INDEX(Std_Cu1_Table,0,5)),_xlfn.XLOOKUP($BX147,Std_Cu3_Code,INDEX(Std_Cu3_Table,0,5)))),"")))</f>
        <v/>
      </c>
      <c r="CC147" s="829" t="str">
        <f t="shared" si="53"/>
        <v/>
      </c>
      <c r="CD147" s="829" t="str">
        <f t="shared" si="54"/>
        <v/>
      </c>
      <c r="CE147" s="829" t="str">
        <f t="shared" si="55"/>
        <v/>
      </c>
      <c r="CF147" s="829" t="str">
        <f t="shared" si="56"/>
        <v/>
      </c>
      <c r="CG147" s="829" t="str">
        <f t="shared" si="57"/>
        <v/>
      </c>
      <c r="CH147" s="829" t="str">
        <f t="shared" si="58"/>
        <v/>
      </c>
      <c r="CI147" s="829" t="str">
        <f t="shared" si="59"/>
        <v/>
      </c>
      <c r="CJ147" s="829" t="str" cm="1">
        <f t="array" ref="CJ147">IF($B147="","",_xlfn.LET(_xlpm.to,$D147&amp;"",_xlpm.em,IFERROR(INDEX(_xlfn.ANCHORARRAY($BE$4),ROW()-4,6),"")="EMERG",_xlpm.pri,AND(NOT(_xlpm.em),LEFT(_xlpm.to,2)="T-",ISNUMBER(MATCH(MID(_xlpm.to,3,99),Equip_List,0)),ISNA(MATCH(_xlpm.to,Equip_List,0))),IF(_xlpm.pri,MID(_xlpm.to,3,99),_xlpm.to)))</f>
        <v/>
      </c>
      <c r="CK147" s="829" t="str" cm="1">
        <f t="array" ref="CK147">IF($CJ147="","",IF(IFERROR(INDEX(_xlfn.ANCHORARRAY($BE$4),ROW()-4,6),"")="EMERG","E",IF($CJ147&lt;&gt;$D147&amp;"","P","N")))</f>
        <v/>
      </c>
    </row>
    <row r="148" spans="1:89" ht="15" customHeight="1" x14ac:dyDescent="0.35">
      <c r="A148" s="821" t="str">
        <f t="shared" si="47"/>
        <v/>
      </c>
      <c r="B148" s="821" t="str" cm="1">
        <f t="array" ref="B148">IFERROR(IF(INDEX(_xlfn.ANCHORARRAY($BE$4),ROW()-4,2)="","","F-"&amp;INDEX(_xlfn.ANCHORARRAY($BE$4),ROW()-4,2)&amp;IF(IFERROR(INDEX(_xlfn.ANCHORARRAY($BE$4),ROW()-4,6),"")="EMERG","-E","")),"")</f>
        <v/>
      </c>
      <c r="C148" s="821" t="str" cm="1">
        <f t="array" ref="C148">IFERROR(IF($B148="","",INDEX(_xlfn.ANCHORARRAY($BE$4),ROW()-4,1)),"")</f>
        <v/>
      </c>
      <c r="D148" s="821" t="str" cm="1">
        <f t="array" ref="D148">IFERROR(IF($B148="","",INDEX(_xlfn.ANCHORARRAY($BE$4),ROW()-4,2)),"")</f>
        <v/>
      </c>
      <c r="E148" s="806" t="str" cm="1">
        <f t="array" ref="E148">IFERROR(IF($B148="","",INDEX(_xlfn.ANCHORARRAY($BE$4),ROW()-4,3)),"")</f>
        <v/>
      </c>
      <c r="F148" s="822" t="str" cm="1">
        <f t="array" ref="F148">IFERROR(IF($B148="","",INDEX(_xlfn.ANCHORARRAY($BE$4),ROW()-4,4)),"")</f>
        <v/>
      </c>
      <c r="G148" s="823" t="str" cm="1">
        <f t="array" ref="G148">IFERROR(IF($B148="","",INDEX(_xlfn.ANCHORARRAY($BE$4),ROW()-4,5)),"")</f>
        <v/>
      </c>
      <c r="H148" s="824" t="str" cm="1">
        <f t="array" ref="H148">IF($CJ148="","",_xlfn.LET(_xlpm.v,_xlfn.XLOOKUP($CJ148,Equip_List,IF($CK148="E",Equip_EmLen,IF($CK148="P",Equip_XfPriLen,Equip_FdrLen)),""),IF(_xlpm.v="","",_xlpm.v)))</f>
        <v/>
      </c>
      <c r="I148" s="806" t="str">
        <f t="shared" si="40"/>
        <v/>
      </c>
      <c r="J148" s="820"/>
      <c r="K148" s="806" t="str">
        <f>_xlfn.LET(_xlpm.k,IF($I148="","",IF(COUNTIF(UPS!$B$57:$B$64,$C148&amp;"")&gt;0,1.25*MAX($I148,N(_xlfn.XLOOKUP($C148&amp;"",UPS!$B$57:$B$64,UPS!$M$57:$M$64,0))),IF(COUNTIF(UPS!$B$57:$B$64,$D148&amp;"")&gt;0,1.25*MAX($I148,N(_xlfn.XLOOKUP($D148&amp;"",UPS!$B$57:$B$64,UPS!$Q$57:$Q$64,0))),$I148*IF(OR(UPPER($J148)="Y",LEFT($C148,2)="T-",LEFT($D148,2)="T-"),1.25,1)))),IF(_xlpm.k="","",MAX(_xlpm.k,N(IFERROR(_xlfn.XLOOKUP($D148&amp;"",Dashboard!$A$101:$A$350,Dashboard!$O$101:$O$350,0),0)))))</f>
        <v/>
      </c>
      <c r="L148" s="825" t="str">
        <f>IF($CJ148="","",_xlfn.LET(_xlpm.v,UPPER(TRIM(_xlfn.XLOOKUP($CJ148,Equip_List,Equip_FdrMat,"")&amp;"")),IF(_xlpm.v="",UPPER(TRIM(Cfg_FeederMat&amp;"")),_xlpm.v)))</f>
        <v/>
      </c>
      <c r="M148" s="825" t="str">
        <f>IF($CJ148="","",_xlfn.LET(_xlpm.v,TRIM(_xlfn.XLOOKUP($CJ148,Equip_List,Equip_FdrRace,"")&amp;""),IF(_xlpm.v="",Cfg_Conduit&amp;"",_xlpm.v)))</f>
        <v/>
      </c>
      <c r="N148" s="825" t="str">
        <f>IF($CJ148="","",IF(UPPER(TRIM(_xlfn.XLOOKUP($CJ148,Equip_List,Equip_FdrExist,"")&amp;""))="Y","Y",""))</f>
        <v/>
      </c>
      <c r="O148" s="823" t="str">
        <f t="shared" si="48"/>
        <v/>
      </c>
      <c r="P148" s="821" t="str">
        <f t="shared" si="49"/>
        <v/>
      </c>
      <c r="Q148" s="821" t="str">
        <f t="shared" si="50"/>
        <v/>
      </c>
      <c r="R148" s="822" t="str" cm="1">
        <f t="array" ref="R148">IF(K148="","",INDEX(OCPD_List,MATCH(TRUE,OCPD_List&gt;=K148,0)))</f>
        <v/>
      </c>
      <c r="S148" s="821" t="str">
        <f t="shared" si="51"/>
        <v/>
      </c>
      <c r="T148" s="826" t="str">
        <f t="shared" si="41"/>
        <v/>
      </c>
      <c r="U148" s="826" t="str">
        <f t="shared" si="42"/>
        <v/>
      </c>
      <c r="V148" s="827" t="str">
        <f t="shared" si="43"/>
        <v/>
      </c>
      <c r="W148" s="828"/>
      <c r="X148" s="819"/>
      <c r="Y148" s="820"/>
      <c r="Z148" s="820"/>
      <c r="AA148" s="820"/>
      <c r="BN148" s="832" t="str">
        <f>IF($B148="","",IFERROR(_xlfn.XLOOKUP($D148,Dashboard!$A$101:$A$350,Dashboard!$C$101:$C$350),""))</f>
        <v/>
      </c>
      <c r="BO148" s="832" t="str">
        <f t="shared" si="44"/>
        <v/>
      </c>
      <c r="BP148" s="832" t="str" cm="1">
        <f t="array" ref="BP148">IF(OR($B148="",$R148="",NOT(ISNUMBER($R148))),"",IF(AND($BV148="AL",$G148=1),"",_xlfn.LET(_xlpm.codes,IF($BV148="AL",Std_Al3_Code,IF($G148=1,Std_Cu1_Code,Std_Cu3_Code)),_xlpm.amps,IFERROR(--SUBSTITUTE(_xlpm.codes&amp;"","N",""),""),_xlpm.a,MIN(IF(ISNUMBER(_xlpm.amps),IF(_xlpm.amps&gt;=$R148,_xlpm.amps,""),"")),_xlpm.k,IF(_xlpm.a=0,$R148,_xlpm.a),IF($BO148="Y",TEXT(_xlpm.k,"0")&amp;"N",_xlpm.k))))</f>
        <v/>
      </c>
      <c r="BQ148" s="832" t="str" cm="1">
        <f t="array" ref="BQ148">IF($BP148="","",IFERROR(IF($BV148="AL",_xlfn.XLOOKUP($BP148,Std_Al3_Code,INDEX(Std_Al3_Table,0,3)),IF($G148=1,_xlfn.XLOOKUP($BP148,Std_Cu1_Code,INDEX(Std_Cu1_Table,0,3)),_xlfn.XLOOKUP($BP148,Std_Cu3_Code,INDEX(Std_Cu3_Table,0,3)))),""))</f>
        <v/>
      </c>
      <c r="BR148" s="832" t="str" cm="1">
        <f t="array" ref="BR148">IF($BP148="","",IFERROR(IF($BV148="AL",_xlfn.XLOOKUP($BP148,Std_Al3_Code,INDEX(Std_Al3_Table,0,4)),IF($G148=1,_xlfn.XLOOKUP($BP148,Std_Cu1_Code,INDEX(Std_Cu1_Table,0,4)),_xlfn.XLOOKUP($BP148,Std_Cu3_Code,INDEX(Std_Cu3_Table,0,4)))),""))</f>
        <v/>
      </c>
      <c r="BS148" s="832" t="str" cm="1">
        <f t="array" ref="BS148">IF($BP148="","",IFERROR(IF($BV148="AL",_xlfn.XLOOKUP($BP148,Std_Al3_Code,INDEX(Std_Al3_Table,0,5)),IF($G148=1,_xlfn.XLOOKUP($BP148,Std_Cu1_Code,INDEX(Std_Cu1_Table,0,5)),_xlfn.XLOOKUP($BP148,Std_Cu3_Code,INDEX(Std_Cu3_Table,0,5)))),""))</f>
        <v/>
      </c>
      <c r="BT148" s="832" t="str">
        <f t="shared" si="45"/>
        <v/>
      </c>
      <c r="BU148" s="832" t="str" cm="1">
        <f t="array" ref="BU148">IF($BP148="","",IFERROR(IF($BV148="AL",_xlfn.XLOOKUP($BP148,Std_Al3_Code,INDEX(Std_Al3_Table,0,2)),IF($G148=1,_xlfn.XLOOKUP($BP148,Std_Cu1_Code,INDEX(Std_Cu1_Table,0,2)),_xlfn.XLOOKUP($BP148,Std_Cu3_Code,INDEX(Std_Cu3_Table,0,2)))),""))</f>
        <v/>
      </c>
      <c r="BV148" s="829" t="str">
        <f t="shared" si="46"/>
        <v/>
      </c>
      <c r="BW148" s="829" t="str">
        <f t="shared" si="52"/>
        <v/>
      </c>
      <c r="BX148" s="829" t="str" cm="1">
        <f t="array" ref="BX148">IF(OR($BP148="",$H148="",$I148="",$F148="",$BW148=""),"",IFERROR(_xlfn.LET(_xlpm.codes,IF($BV148="AL",Std_Al3_Code,IF($G148=1,Std_Cu1_Code,Std_Cu3_Code)),_xlpm.tbl,IF($BV148="AL",Std_Al3_Table,IF($G148=1,Std_Cu1_Table,Std_Cu3_Table)),_xlpm.i,MATCH($BP148,_xlpm.codes,0),_xlpm.idx,_xlfn.SEQUENCE(ROWS(_xlpm.codes)),_xlpm.cnd,INDEX(_xlpm.tbl,0,4),_xlpm.sts,INDEX(_xlpm.tbl,0,2),_xlpm.sz,IFERROR(_xlfn.TEXTBEFORE(_xlfn.TEXTAFTER(_xlpm.cnd,"#"),","),IFERROR(_xlfn.TEXTAFTER(_xlpm.cnd,"#"),"")),_xlpm.cm,IFERROR(_xlfn.XLOOKUP(TRIM(_xlpm.sz),Ampacity_Size,Ampacity_CM),0),_xlpm.mult,IF($G148=3,SQRT3,2),_xlpm.kk,IF($BV148="AL",K_Al,K_Cu),_xlpm.vd,IF(_xlpm.cm*IF(ISNUMBER(_xlpm.sts),_xlpm.sts,0)=0,9,_xlpm.mult*_xlpm.kk*$I148*$H148/(_xlpm.cm*_xlpm.sts)/$F148),_xlpm.hasN,--(RIGHT(_xlpm.codes&amp;"",1)="N"),_xlpm.wantN,--(RIGHT($BP148&amp;"",1)="N"),_xlpm.ok,(_xlpm.idx&gt;=_xlpm.i)*(_xlpm.vd&lt;=Cfg_VDFeeder)*(_xlpm.cm&gt;0)*ISNUMBER(_xlpm.sts)*(_xlpm.hasN=_xlpm.wantN),_xlpm.m,MIN(IF(_xlpm.ok=1,_xlpm.idx)),INDEX(_xlpm.codes,IF(_xlpm.m=0,_xlpm.i,_xlpm.m))),""))</f>
        <v/>
      </c>
      <c r="BY148" s="829" t="str" cm="1">
        <f t="array" ref="BY148">IF($BP148="","",IF($BX148="",$BU148,IFERROR(IF($BV148="AL",_xlfn.XLOOKUP($BX148,Std_Al3_Code,INDEX(Std_Al3_Table,0,2)),IF($G148=1,_xlfn.XLOOKUP($BX148,Std_Cu1_Code,INDEX(Std_Cu1_Table,0,2)),_xlfn.XLOOKUP($BX148,Std_Cu3_Code,INDEX(Std_Cu3_Table,0,2)))),"")))</f>
        <v/>
      </c>
      <c r="BZ148" s="829" t="str" cm="1">
        <f t="array" ref="BZ148">IF($BP148="","",IF($BX148="",$BR148,IFERROR(IF($BV148="AL",_xlfn.XLOOKUP($BX148,Std_Al3_Code,INDEX(Std_Al3_Table,0,4)),IF($G148=1,_xlfn.XLOOKUP($BX148,Std_Cu1_Code,INDEX(Std_Cu1_Table,0,4)),_xlfn.XLOOKUP($BX148,Std_Cu3_Code,INDEX(Std_Cu3_Table,0,4)))),"")))</f>
        <v/>
      </c>
      <c r="CA148" s="829" t="str" cm="1">
        <f t="array" ref="CA148">IF($BP148="","",IF($BX148="",$BQ148,IFERROR(IF($BV148="AL",_xlfn.XLOOKUP($BX148,Std_Al3_Code,INDEX(Std_Al3_Table,0,3)),IF($G148=1,_xlfn.XLOOKUP($BX148,Std_Cu1_Code,INDEX(Std_Cu1_Table,0,3)),_xlfn.XLOOKUP($BX148,Std_Cu3_Code,INDEX(Std_Cu3_Table,0,3)))),"")))</f>
        <v/>
      </c>
      <c r="CB148" s="829" t="str" cm="1">
        <f t="array" ref="CB148">IF($BP148="","",IF($BX148="",$BS148,IFERROR(IF($BV148="AL",_xlfn.XLOOKUP($BX148,Std_Al3_Code,INDEX(Std_Al3_Table,0,5)),IF($G148=1,_xlfn.XLOOKUP($BX148,Std_Cu1_Code,INDEX(Std_Cu1_Table,0,5)),_xlfn.XLOOKUP($BX148,Std_Cu3_Code,INDEX(Std_Cu3_Table,0,5)))),"")))</f>
        <v/>
      </c>
      <c r="CC148" s="829" t="str">
        <f t="shared" si="53"/>
        <v/>
      </c>
      <c r="CD148" s="829" t="str">
        <f t="shared" si="54"/>
        <v/>
      </c>
      <c r="CE148" s="829" t="str">
        <f t="shared" si="55"/>
        <v/>
      </c>
      <c r="CF148" s="829" t="str">
        <f t="shared" si="56"/>
        <v/>
      </c>
      <c r="CG148" s="829" t="str">
        <f t="shared" si="57"/>
        <v/>
      </c>
      <c r="CH148" s="829" t="str">
        <f t="shared" si="58"/>
        <v/>
      </c>
      <c r="CI148" s="829" t="str">
        <f t="shared" si="59"/>
        <v/>
      </c>
      <c r="CJ148" s="829" t="str" cm="1">
        <f t="array" ref="CJ148">IF($B148="","",_xlfn.LET(_xlpm.to,$D148&amp;"",_xlpm.em,IFERROR(INDEX(_xlfn.ANCHORARRAY($BE$4),ROW()-4,6),"")="EMERG",_xlpm.pri,AND(NOT(_xlpm.em),LEFT(_xlpm.to,2)="T-",ISNUMBER(MATCH(MID(_xlpm.to,3,99),Equip_List,0)),ISNA(MATCH(_xlpm.to,Equip_List,0))),IF(_xlpm.pri,MID(_xlpm.to,3,99),_xlpm.to)))</f>
        <v/>
      </c>
      <c r="CK148" s="829" t="str" cm="1">
        <f t="array" ref="CK148">IF($CJ148="","",IF(IFERROR(INDEX(_xlfn.ANCHORARRAY($BE$4),ROW()-4,6),"")="EMERG","E",IF($CJ148&lt;&gt;$D148&amp;"","P","N")))</f>
        <v/>
      </c>
    </row>
    <row r="149" spans="1:89" ht="15" customHeight="1" x14ac:dyDescent="0.35">
      <c r="A149" s="821" t="str">
        <f t="shared" si="47"/>
        <v/>
      </c>
      <c r="B149" s="821" t="str" cm="1">
        <f t="array" ref="B149">IFERROR(IF(INDEX(_xlfn.ANCHORARRAY($BE$4),ROW()-4,2)="","","F-"&amp;INDEX(_xlfn.ANCHORARRAY($BE$4),ROW()-4,2)&amp;IF(IFERROR(INDEX(_xlfn.ANCHORARRAY($BE$4),ROW()-4,6),"")="EMERG","-E","")),"")</f>
        <v/>
      </c>
      <c r="C149" s="821" t="str" cm="1">
        <f t="array" ref="C149">IFERROR(IF($B149="","",INDEX(_xlfn.ANCHORARRAY($BE$4),ROW()-4,1)),"")</f>
        <v/>
      </c>
      <c r="D149" s="821" t="str" cm="1">
        <f t="array" ref="D149">IFERROR(IF($B149="","",INDEX(_xlfn.ANCHORARRAY($BE$4),ROW()-4,2)),"")</f>
        <v/>
      </c>
      <c r="E149" s="806" t="str" cm="1">
        <f t="array" ref="E149">IFERROR(IF($B149="","",INDEX(_xlfn.ANCHORARRAY($BE$4),ROW()-4,3)),"")</f>
        <v/>
      </c>
      <c r="F149" s="822" t="str" cm="1">
        <f t="array" ref="F149">IFERROR(IF($B149="","",INDEX(_xlfn.ANCHORARRAY($BE$4),ROW()-4,4)),"")</f>
        <v/>
      </c>
      <c r="G149" s="823" t="str" cm="1">
        <f t="array" ref="G149">IFERROR(IF($B149="","",INDEX(_xlfn.ANCHORARRAY($BE$4),ROW()-4,5)),"")</f>
        <v/>
      </c>
      <c r="H149" s="824" t="str" cm="1">
        <f t="array" ref="H149">IF($CJ149="","",_xlfn.LET(_xlpm.v,_xlfn.XLOOKUP($CJ149,Equip_List,IF($CK149="E",Equip_EmLen,IF($CK149="P",Equip_XfPriLen,Equip_FdrLen)),""),IF(_xlpm.v="","",_xlpm.v)))</f>
        <v/>
      </c>
      <c r="I149" s="806" t="str">
        <f t="shared" si="40"/>
        <v/>
      </c>
      <c r="J149" s="820"/>
      <c r="K149" s="806" t="str">
        <f>_xlfn.LET(_xlpm.k,IF($I149="","",IF(COUNTIF(UPS!$B$57:$B$64,$C149&amp;"")&gt;0,1.25*MAX($I149,N(_xlfn.XLOOKUP($C149&amp;"",UPS!$B$57:$B$64,UPS!$M$57:$M$64,0))),IF(COUNTIF(UPS!$B$57:$B$64,$D149&amp;"")&gt;0,1.25*MAX($I149,N(_xlfn.XLOOKUP($D149&amp;"",UPS!$B$57:$B$64,UPS!$Q$57:$Q$64,0))),$I149*IF(OR(UPPER($J149)="Y",LEFT($C149,2)="T-",LEFT($D149,2)="T-"),1.25,1)))),IF(_xlpm.k="","",MAX(_xlpm.k,N(IFERROR(_xlfn.XLOOKUP($D149&amp;"",Dashboard!$A$101:$A$350,Dashboard!$O$101:$O$350,0),0)))))</f>
        <v/>
      </c>
      <c r="L149" s="825" t="str">
        <f>IF($CJ149="","",_xlfn.LET(_xlpm.v,UPPER(TRIM(_xlfn.XLOOKUP($CJ149,Equip_List,Equip_FdrMat,"")&amp;"")),IF(_xlpm.v="",UPPER(TRIM(Cfg_FeederMat&amp;"")),_xlpm.v)))</f>
        <v/>
      </c>
      <c r="M149" s="825" t="str">
        <f>IF($CJ149="","",_xlfn.LET(_xlpm.v,TRIM(_xlfn.XLOOKUP($CJ149,Equip_List,Equip_FdrRace,"")&amp;""),IF(_xlpm.v="",Cfg_Conduit&amp;"",_xlpm.v)))</f>
        <v/>
      </c>
      <c r="N149" s="825" t="str">
        <f>IF($CJ149="","",IF(UPPER(TRIM(_xlfn.XLOOKUP($CJ149,Equip_List,Equip_FdrExist,"")&amp;""))="Y","Y",""))</f>
        <v/>
      </c>
      <c r="O149" s="823" t="str">
        <f t="shared" si="48"/>
        <v/>
      </c>
      <c r="P149" s="821" t="str">
        <f t="shared" si="49"/>
        <v/>
      </c>
      <c r="Q149" s="821" t="str">
        <f t="shared" si="50"/>
        <v/>
      </c>
      <c r="R149" s="822" t="str" cm="1">
        <f t="array" ref="R149">IF(K149="","",INDEX(OCPD_List,MATCH(TRUE,OCPD_List&gt;=K149,0)))</f>
        <v/>
      </c>
      <c r="S149" s="821" t="str">
        <f t="shared" si="51"/>
        <v/>
      </c>
      <c r="T149" s="826" t="str">
        <f t="shared" si="41"/>
        <v/>
      </c>
      <c r="U149" s="826" t="str">
        <f t="shared" si="42"/>
        <v/>
      </c>
      <c r="V149" s="827" t="str">
        <f t="shared" si="43"/>
        <v/>
      </c>
      <c r="W149" s="828"/>
      <c r="X149" s="819"/>
      <c r="Y149" s="820"/>
      <c r="Z149" s="820"/>
      <c r="AA149" s="820"/>
      <c r="BN149" s="832" t="str">
        <f>IF($B149="","",IFERROR(_xlfn.XLOOKUP($D149,Dashboard!$A$101:$A$350,Dashboard!$C$101:$C$350),""))</f>
        <v/>
      </c>
      <c r="BO149" s="832" t="str">
        <f t="shared" si="44"/>
        <v/>
      </c>
      <c r="BP149" s="832" t="str" cm="1">
        <f t="array" ref="BP149">IF(OR($B149="",$R149="",NOT(ISNUMBER($R149))),"",IF(AND($BV149="AL",$G149=1),"",_xlfn.LET(_xlpm.codes,IF($BV149="AL",Std_Al3_Code,IF($G149=1,Std_Cu1_Code,Std_Cu3_Code)),_xlpm.amps,IFERROR(--SUBSTITUTE(_xlpm.codes&amp;"","N",""),""),_xlpm.a,MIN(IF(ISNUMBER(_xlpm.amps),IF(_xlpm.amps&gt;=$R149,_xlpm.amps,""),"")),_xlpm.k,IF(_xlpm.a=0,$R149,_xlpm.a),IF($BO149="Y",TEXT(_xlpm.k,"0")&amp;"N",_xlpm.k))))</f>
        <v/>
      </c>
      <c r="BQ149" s="832" t="str" cm="1">
        <f t="array" ref="BQ149">IF($BP149="","",IFERROR(IF($BV149="AL",_xlfn.XLOOKUP($BP149,Std_Al3_Code,INDEX(Std_Al3_Table,0,3)),IF($G149=1,_xlfn.XLOOKUP($BP149,Std_Cu1_Code,INDEX(Std_Cu1_Table,0,3)),_xlfn.XLOOKUP($BP149,Std_Cu3_Code,INDEX(Std_Cu3_Table,0,3)))),""))</f>
        <v/>
      </c>
      <c r="BR149" s="832" t="str" cm="1">
        <f t="array" ref="BR149">IF($BP149="","",IFERROR(IF($BV149="AL",_xlfn.XLOOKUP($BP149,Std_Al3_Code,INDEX(Std_Al3_Table,0,4)),IF($G149=1,_xlfn.XLOOKUP($BP149,Std_Cu1_Code,INDEX(Std_Cu1_Table,0,4)),_xlfn.XLOOKUP($BP149,Std_Cu3_Code,INDEX(Std_Cu3_Table,0,4)))),""))</f>
        <v/>
      </c>
      <c r="BS149" s="832" t="str" cm="1">
        <f t="array" ref="BS149">IF($BP149="","",IFERROR(IF($BV149="AL",_xlfn.XLOOKUP($BP149,Std_Al3_Code,INDEX(Std_Al3_Table,0,5)),IF($G149=1,_xlfn.XLOOKUP($BP149,Std_Cu1_Code,INDEX(Std_Cu1_Table,0,5)),_xlfn.XLOOKUP($BP149,Std_Cu3_Code,INDEX(Std_Cu3_Table,0,5)))),""))</f>
        <v/>
      </c>
      <c r="BT149" s="832" t="str">
        <f t="shared" si="45"/>
        <v/>
      </c>
      <c r="BU149" s="832" t="str" cm="1">
        <f t="array" ref="BU149">IF($BP149="","",IFERROR(IF($BV149="AL",_xlfn.XLOOKUP($BP149,Std_Al3_Code,INDEX(Std_Al3_Table,0,2)),IF($G149=1,_xlfn.XLOOKUP($BP149,Std_Cu1_Code,INDEX(Std_Cu1_Table,0,2)),_xlfn.XLOOKUP($BP149,Std_Cu3_Code,INDEX(Std_Cu3_Table,0,2)))),""))</f>
        <v/>
      </c>
      <c r="BV149" s="829" t="str">
        <f t="shared" si="46"/>
        <v/>
      </c>
      <c r="BW149" s="829" t="str">
        <f t="shared" si="52"/>
        <v/>
      </c>
      <c r="BX149" s="829" t="str" cm="1">
        <f t="array" ref="BX149">IF(OR($BP149="",$H149="",$I149="",$F149="",$BW149=""),"",IFERROR(_xlfn.LET(_xlpm.codes,IF($BV149="AL",Std_Al3_Code,IF($G149=1,Std_Cu1_Code,Std_Cu3_Code)),_xlpm.tbl,IF($BV149="AL",Std_Al3_Table,IF($G149=1,Std_Cu1_Table,Std_Cu3_Table)),_xlpm.i,MATCH($BP149,_xlpm.codes,0),_xlpm.idx,_xlfn.SEQUENCE(ROWS(_xlpm.codes)),_xlpm.cnd,INDEX(_xlpm.tbl,0,4),_xlpm.sts,INDEX(_xlpm.tbl,0,2),_xlpm.sz,IFERROR(_xlfn.TEXTBEFORE(_xlfn.TEXTAFTER(_xlpm.cnd,"#"),","),IFERROR(_xlfn.TEXTAFTER(_xlpm.cnd,"#"),"")),_xlpm.cm,IFERROR(_xlfn.XLOOKUP(TRIM(_xlpm.sz),Ampacity_Size,Ampacity_CM),0),_xlpm.mult,IF($G149=3,SQRT3,2),_xlpm.kk,IF($BV149="AL",K_Al,K_Cu),_xlpm.vd,IF(_xlpm.cm*IF(ISNUMBER(_xlpm.sts),_xlpm.sts,0)=0,9,_xlpm.mult*_xlpm.kk*$I149*$H149/(_xlpm.cm*_xlpm.sts)/$F149),_xlpm.hasN,--(RIGHT(_xlpm.codes&amp;"",1)="N"),_xlpm.wantN,--(RIGHT($BP149&amp;"",1)="N"),_xlpm.ok,(_xlpm.idx&gt;=_xlpm.i)*(_xlpm.vd&lt;=Cfg_VDFeeder)*(_xlpm.cm&gt;0)*ISNUMBER(_xlpm.sts)*(_xlpm.hasN=_xlpm.wantN),_xlpm.m,MIN(IF(_xlpm.ok=1,_xlpm.idx)),INDEX(_xlpm.codes,IF(_xlpm.m=0,_xlpm.i,_xlpm.m))),""))</f>
        <v/>
      </c>
      <c r="BY149" s="829" t="str" cm="1">
        <f t="array" ref="BY149">IF($BP149="","",IF($BX149="",$BU149,IFERROR(IF($BV149="AL",_xlfn.XLOOKUP($BX149,Std_Al3_Code,INDEX(Std_Al3_Table,0,2)),IF($G149=1,_xlfn.XLOOKUP($BX149,Std_Cu1_Code,INDEX(Std_Cu1_Table,0,2)),_xlfn.XLOOKUP($BX149,Std_Cu3_Code,INDEX(Std_Cu3_Table,0,2)))),"")))</f>
        <v/>
      </c>
      <c r="BZ149" s="829" t="str" cm="1">
        <f t="array" ref="BZ149">IF($BP149="","",IF($BX149="",$BR149,IFERROR(IF($BV149="AL",_xlfn.XLOOKUP($BX149,Std_Al3_Code,INDEX(Std_Al3_Table,0,4)),IF($G149=1,_xlfn.XLOOKUP($BX149,Std_Cu1_Code,INDEX(Std_Cu1_Table,0,4)),_xlfn.XLOOKUP($BX149,Std_Cu3_Code,INDEX(Std_Cu3_Table,0,4)))),"")))</f>
        <v/>
      </c>
      <c r="CA149" s="829" t="str" cm="1">
        <f t="array" ref="CA149">IF($BP149="","",IF($BX149="",$BQ149,IFERROR(IF($BV149="AL",_xlfn.XLOOKUP($BX149,Std_Al3_Code,INDEX(Std_Al3_Table,0,3)),IF($G149=1,_xlfn.XLOOKUP($BX149,Std_Cu1_Code,INDEX(Std_Cu1_Table,0,3)),_xlfn.XLOOKUP($BX149,Std_Cu3_Code,INDEX(Std_Cu3_Table,0,3)))),"")))</f>
        <v/>
      </c>
      <c r="CB149" s="829" t="str" cm="1">
        <f t="array" ref="CB149">IF($BP149="","",IF($BX149="",$BS149,IFERROR(IF($BV149="AL",_xlfn.XLOOKUP($BX149,Std_Al3_Code,INDEX(Std_Al3_Table,0,5)),IF($G149=1,_xlfn.XLOOKUP($BX149,Std_Cu1_Code,INDEX(Std_Cu1_Table,0,5)),_xlfn.XLOOKUP($BX149,Std_Cu3_Code,INDEX(Std_Cu3_Table,0,5)))),"")))</f>
        <v/>
      </c>
      <c r="CC149" s="829" t="str">
        <f t="shared" si="53"/>
        <v/>
      </c>
      <c r="CD149" s="829" t="str">
        <f t="shared" si="54"/>
        <v/>
      </c>
      <c r="CE149" s="829" t="str">
        <f t="shared" si="55"/>
        <v/>
      </c>
      <c r="CF149" s="829" t="str">
        <f t="shared" si="56"/>
        <v/>
      </c>
      <c r="CG149" s="829" t="str">
        <f t="shared" si="57"/>
        <v/>
      </c>
      <c r="CH149" s="829" t="str">
        <f t="shared" si="58"/>
        <v/>
      </c>
      <c r="CI149" s="829" t="str">
        <f t="shared" si="59"/>
        <v/>
      </c>
      <c r="CJ149" s="829" t="str" cm="1">
        <f t="array" ref="CJ149">IF($B149="","",_xlfn.LET(_xlpm.to,$D149&amp;"",_xlpm.em,IFERROR(INDEX(_xlfn.ANCHORARRAY($BE$4),ROW()-4,6),"")="EMERG",_xlpm.pri,AND(NOT(_xlpm.em),LEFT(_xlpm.to,2)="T-",ISNUMBER(MATCH(MID(_xlpm.to,3,99),Equip_List,0)),ISNA(MATCH(_xlpm.to,Equip_List,0))),IF(_xlpm.pri,MID(_xlpm.to,3,99),_xlpm.to)))</f>
        <v/>
      </c>
      <c r="CK149" s="829" t="str" cm="1">
        <f t="array" ref="CK149">IF($CJ149="","",IF(IFERROR(INDEX(_xlfn.ANCHORARRAY($BE$4),ROW()-4,6),"")="EMERG","E",IF($CJ149&lt;&gt;$D149&amp;"","P","N")))</f>
        <v/>
      </c>
    </row>
    <row r="150" spans="1:89" ht="15" customHeight="1" x14ac:dyDescent="0.35">
      <c r="A150" s="821" t="str">
        <f t="shared" si="47"/>
        <v/>
      </c>
      <c r="B150" s="821" t="str" cm="1">
        <f t="array" ref="B150">IFERROR(IF(INDEX(_xlfn.ANCHORARRAY($BE$4),ROW()-4,2)="","","F-"&amp;INDEX(_xlfn.ANCHORARRAY($BE$4),ROW()-4,2)&amp;IF(IFERROR(INDEX(_xlfn.ANCHORARRAY($BE$4),ROW()-4,6),"")="EMERG","-E","")),"")</f>
        <v/>
      </c>
      <c r="C150" s="821" t="str" cm="1">
        <f t="array" ref="C150">IFERROR(IF($B150="","",INDEX(_xlfn.ANCHORARRAY($BE$4),ROW()-4,1)),"")</f>
        <v/>
      </c>
      <c r="D150" s="821" t="str" cm="1">
        <f t="array" ref="D150">IFERROR(IF($B150="","",INDEX(_xlfn.ANCHORARRAY($BE$4),ROW()-4,2)),"")</f>
        <v/>
      </c>
      <c r="E150" s="806" t="str" cm="1">
        <f t="array" ref="E150">IFERROR(IF($B150="","",INDEX(_xlfn.ANCHORARRAY($BE$4),ROW()-4,3)),"")</f>
        <v/>
      </c>
      <c r="F150" s="822" t="str" cm="1">
        <f t="array" ref="F150">IFERROR(IF($B150="","",INDEX(_xlfn.ANCHORARRAY($BE$4),ROW()-4,4)),"")</f>
        <v/>
      </c>
      <c r="G150" s="823" t="str" cm="1">
        <f t="array" ref="G150">IFERROR(IF($B150="","",INDEX(_xlfn.ANCHORARRAY($BE$4),ROW()-4,5)),"")</f>
        <v/>
      </c>
      <c r="H150" s="824" t="str" cm="1">
        <f t="array" ref="H150">IF($CJ150="","",_xlfn.LET(_xlpm.v,_xlfn.XLOOKUP($CJ150,Equip_List,IF($CK150="E",Equip_EmLen,IF($CK150="P",Equip_XfPriLen,Equip_FdrLen)),""),IF(_xlpm.v="","",_xlpm.v)))</f>
        <v/>
      </c>
      <c r="I150" s="806" t="str">
        <f t="shared" si="40"/>
        <v/>
      </c>
      <c r="J150" s="820"/>
      <c r="K150" s="806" t="str">
        <f>_xlfn.LET(_xlpm.k,IF($I150="","",IF(COUNTIF(UPS!$B$57:$B$64,$C150&amp;"")&gt;0,1.25*MAX($I150,N(_xlfn.XLOOKUP($C150&amp;"",UPS!$B$57:$B$64,UPS!$M$57:$M$64,0))),IF(COUNTIF(UPS!$B$57:$B$64,$D150&amp;"")&gt;0,1.25*MAX($I150,N(_xlfn.XLOOKUP($D150&amp;"",UPS!$B$57:$B$64,UPS!$Q$57:$Q$64,0))),$I150*IF(OR(UPPER($J150)="Y",LEFT($C150,2)="T-",LEFT($D150,2)="T-"),1.25,1)))),IF(_xlpm.k="","",MAX(_xlpm.k,N(IFERROR(_xlfn.XLOOKUP($D150&amp;"",Dashboard!$A$101:$A$350,Dashboard!$O$101:$O$350,0),0)))))</f>
        <v/>
      </c>
      <c r="L150" s="825" t="str">
        <f>IF($CJ150="","",_xlfn.LET(_xlpm.v,UPPER(TRIM(_xlfn.XLOOKUP($CJ150,Equip_List,Equip_FdrMat,"")&amp;"")),IF(_xlpm.v="",UPPER(TRIM(Cfg_FeederMat&amp;"")),_xlpm.v)))</f>
        <v/>
      </c>
      <c r="M150" s="825" t="str">
        <f>IF($CJ150="","",_xlfn.LET(_xlpm.v,TRIM(_xlfn.XLOOKUP($CJ150,Equip_List,Equip_FdrRace,"")&amp;""),IF(_xlpm.v="",Cfg_Conduit&amp;"",_xlpm.v)))</f>
        <v/>
      </c>
      <c r="N150" s="825" t="str">
        <f>IF($CJ150="","",IF(UPPER(TRIM(_xlfn.XLOOKUP($CJ150,Equip_List,Equip_FdrExist,"")&amp;""))="Y","Y",""))</f>
        <v/>
      </c>
      <c r="O150" s="823" t="str">
        <f t="shared" si="48"/>
        <v/>
      </c>
      <c r="P150" s="821" t="str">
        <f t="shared" si="49"/>
        <v/>
      </c>
      <c r="Q150" s="821" t="str">
        <f t="shared" si="50"/>
        <v/>
      </c>
      <c r="R150" s="822" t="str" cm="1">
        <f t="array" ref="R150">IF(K150="","",INDEX(OCPD_List,MATCH(TRUE,OCPD_List&gt;=K150,0)))</f>
        <v/>
      </c>
      <c r="S150" s="821" t="str">
        <f t="shared" si="51"/>
        <v/>
      </c>
      <c r="T150" s="826" t="str">
        <f t="shared" si="41"/>
        <v/>
      </c>
      <c r="U150" s="826" t="str">
        <f t="shared" si="42"/>
        <v/>
      </c>
      <c r="V150" s="827" t="str">
        <f t="shared" si="43"/>
        <v/>
      </c>
      <c r="W150" s="828"/>
      <c r="X150" s="819"/>
      <c r="Y150" s="820"/>
      <c r="Z150" s="820"/>
      <c r="AA150" s="820"/>
      <c r="BN150" s="832" t="str">
        <f>IF($B150="","",IFERROR(_xlfn.XLOOKUP($D150,Dashboard!$A$101:$A$350,Dashboard!$C$101:$C$350),""))</f>
        <v/>
      </c>
      <c r="BO150" s="832" t="str">
        <f t="shared" si="44"/>
        <v/>
      </c>
      <c r="BP150" s="832" t="str" cm="1">
        <f t="array" ref="BP150">IF(OR($B150="",$R150="",NOT(ISNUMBER($R150))),"",IF(AND($BV150="AL",$G150=1),"",_xlfn.LET(_xlpm.codes,IF($BV150="AL",Std_Al3_Code,IF($G150=1,Std_Cu1_Code,Std_Cu3_Code)),_xlpm.amps,IFERROR(--SUBSTITUTE(_xlpm.codes&amp;"","N",""),""),_xlpm.a,MIN(IF(ISNUMBER(_xlpm.amps),IF(_xlpm.amps&gt;=$R150,_xlpm.amps,""),"")),_xlpm.k,IF(_xlpm.a=0,$R150,_xlpm.a),IF($BO150="Y",TEXT(_xlpm.k,"0")&amp;"N",_xlpm.k))))</f>
        <v/>
      </c>
      <c r="BQ150" s="832" t="str" cm="1">
        <f t="array" ref="BQ150">IF($BP150="","",IFERROR(IF($BV150="AL",_xlfn.XLOOKUP($BP150,Std_Al3_Code,INDEX(Std_Al3_Table,0,3)),IF($G150=1,_xlfn.XLOOKUP($BP150,Std_Cu1_Code,INDEX(Std_Cu1_Table,0,3)),_xlfn.XLOOKUP($BP150,Std_Cu3_Code,INDEX(Std_Cu3_Table,0,3)))),""))</f>
        <v/>
      </c>
      <c r="BR150" s="832" t="str" cm="1">
        <f t="array" ref="BR150">IF($BP150="","",IFERROR(IF($BV150="AL",_xlfn.XLOOKUP($BP150,Std_Al3_Code,INDEX(Std_Al3_Table,0,4)),IF($G150=1,_xlfn.XLOOKUP($BP150,Std_Cu1_Code,INDEX(Std_Cu1_Table,0,4)),_xlfn.XLOOKUP($BP150,Std_Cu3_Code,INDEX(Std_Cu3_Table,0,4)))),""))</f>
        <v/>
      </c>
      <c r="BS150" s="832" t="str" cm="1">
        <f t="array" ref="BS150">IF($BP150="","",IFERROR(IF($BV150="AL",_xlfn.XLOOKUP($BP150,Std_Al3_Code,INDEX(Std_Al3_Table,0,5)),IF($G150=1,_xlfn.XLOOKUP($BP150,Std_Cu1_Code,INDEX(Std_Cu1_Table,0,5)),_xlfn.XLOOKUP($BP150,Std_Cu3_Code,INDEX(Std_Cu3_Table,0,5)))),""))</f>
        <v/>
      </c>
      <c r="BT150" s="832" t="str">
        <f t="shared" si="45"/>
        <v/>
      </c>
      <c r="BU150" s="832" t="str" cm="1">
        <f t="array" ref="BU150">IF($BP150="","",IFERROR(IF($BV150="AL",_xlfn.XLOOKUP($BP150,Std_Al3_Code,INDEX(Std_Al3_Table,0,2)),IF($G150=1,_xlfn.XLOOKUP($BP150,Std_Cu1_Code,INDEX(Std_Cu1_Table,0,2)),_xlfn.XLOOKUP($BP150,Std_Cu3_Code,INDEX(Std_Cu3_Table,0,2)))),""))</f>
        <v/>
      </c>
      <c r="BV150" s="829" t="str">
        <f t="shared" si="46"/>
        <v/>
      </c>
      <c r="BW150" s="829" t="str">
        <f t="shared" si="52"/>
        <v/>
      </c>
      <c r="BX150" s="829" t="str" cm="1">
        <f t="array" ref="BX150">IF(OR($BP150="",$H150="",$I150="",$F150="",$BW150=""),"",IFERROR(_xlfn.LET(_xlpm.codes,IF($BV150="AL",Std_Al3_Code,IF($G150=1,Std_Cu1_Code,Std_Cu3_Code)),_xlpm.tbl,IF($BV150="AL",Std_Al3_Table,IF($G150=1,Std_Cu1_Table,Std_Cu3_Table)),_xlpm.i,MATCH($BP150,_xlpm.codes,0),_xlpm.idx,_xlfn.SEQUENCE(ROWS(_xlpm.codes)),_xlpm.cnd,INDEX(_xlpm.tbl,0,4),_xlpm.sts,INDEX(_xlpm.tbl,0,2),_xlpm.sz,IFERROR(_xlfn.TEXTBEFORE(_xlfn.TEXTAFTER(_xlpm.cnd,"#"),","),IFERROR(_xlfn.TEXTAFTER(_xlpm.cnd,"#"),"")),_xlpm.cm,IFERROR(_xlfn.XLOOKUP(TRIM(_xlpm.sz),Ampacity_Size,Ampacity_CM),0),_xlpm.mult,IF($G150=3,SQRT3,2),_xlpm.kk,IF($BV150="AL",K_Al,K_Cu),_xlpm.vd,IF(_xlpm.cm*IF(ISNUMBER(_xlpm.sts),_xlpm.sts,0)=0,9,_xlpm.mult*_xlpm.kk*$I150*$H150/(_xlpm.cm*_xlpm.sts)/$F150),_xlpm.hasN,--(RIGHT(_xlpm.codes&amp;"",1)="N"),_xlpm.wantN,--(RIGHT($BP150&amp;"",1)="N"),_xlpm.ok,(_xlpm.idx&gt;=_xlpm.i)*(_xlpm.vd&lt;=Cfg_VDFeeder)*(_xlpm.cm&gt;0)*ISNUMBER(_xlpm.sts)*(_xlpm.hasN=_xlpm.wantN),_xlpm.m,MIN(IF(_xlpm.ok=1,_xlpm.idx)),INDEX(_xlpm.codes,IF(_xlpm.m=0,_xlpm.i,_xlpm.m))),""))</f>
        <v/>
      </c>
      <c r="BY150" s="829" t="str" cm="1">
        <f t="array" ref="BY150">IF($BP150="","",IF($BX150="",$BU150,IFERROR(IF($BV150="AL",_xlfn.XLOOKUP($BX150,Std_Al3_Code,INDEX(Std_Al3_Table,0,2)),IF($G150=1,_xlfn.XLOOKUP($BX150,Std_Cu1_Code,INDEX(Std_Cu1_Table,0,2)),_xlfn.XLOOKUP($BX150,Std_Cu3_Code,INDEX(Std_Cu3_Table,0,2)))),"")))</f>
        <v/>
      </c>
      <c r="BZ150" s="829" t="str" cm="1">
        <f t="array" ref="BZ150">IF($BP150="","",IF($BX150="",$BR150,IFERROR(IF($BV150="AL",_xlfn.XLOOKUP($BX150,Std_Al3_Code,INDEX(Std_Al3_Table,0,4)),IF($G150=1,_xlfn.XLOOKUP($BX150,Std_Cu1_Code,INDEX(Std_Cu1_Table,0,4)),_xlfn.XLOOKUP($BX150,Std_Cu3_Code,INDEX(Std_Cu3_Table,0,4)))),"")))</f>
        <v/>
      </c>
      <c r="CA150" s="829" t="str" cm="1">
        <f t="array" ref="CA150">IF($BP150="","",IF($BX150="",$BQ150,IFERROR(IF($BV150="AL",_xlfn.XLOOKUP($BX150,Std_Al3_Code,INDEX(Std_Al3_Table,0,3)),IF($G150=1,_xlfn.XLOOKUP($BX150,Std_Cu1_Code,INDEX(Std_Cu1_Table,0,3)),_xlfn.XLOOKUP($BX150,Std_Cu3_Code,INDEX(Std_Cu3_Table,0,3)))),"")))</f>
        <v/>
      </c>
      <c r="CB150" s="829" t="str" cm="1">
        <f t="array" ref="CB150">IF($BP150="","",IF($BX150="",$BS150,IFERROR(IF($BV150="AL",_xlfn.XLOOKUP($BX150,Std_Al3_Code,INDEX(Std_Al3_Table,0,5)),IF($G150=1,_xlfn.XLOOKUP($BX150,Std_Cu1_Code,INDEX(Std_Cu1_Table,0,5)),_xlfn.XLOOKUP($BX150,Std_Cu3_Code,INDEX(Std_Cu3_Table,0,5)))),"")))</f>
        <v/>
      </c>
      <c r="CC150" s="829" t="str">
        <f t="shared" si="53"/>
        <v/>
      </c>
      <c r="CD150" s="829" t="str">
        <f t="shared" si="54"/>
        <v/>
      </c>
      <c r="CE150" s="829" t="str">
        <f t="shared" si="55"/>
        <v/>
      </c>
      <c r="CF150" s="829" t="str">
        <f t="shared" si="56"/>
        <v/>
      </c>
      <c r="CG150" s="829" t="str">
        <f t="shared" si="57"/>
        <v/>
      </c>
      <c r="CH150" s="829" t="str">
        <f t="shared" si="58"/>
        <v/>
      </c>
      <c r="CI150" s="829" t="str">
        <f t="shared" si="59"/>
        <v/>
      </c>
      <c r="CJ150" s="829" t="str" cm="1">
        <f t="array" ref="CJ150">IF($B150="","",_xlfn.LET(_xlpm.to,$D150&amp;"",_xlpm.em,IFERROR(INDEX(_xlfn.ANCHORARRAY($BE$4),ROW()-4,6),"")="EMERG",_xlpm.pri,AND(NOT(_xlpm.em),LEFT(_xlpm.to,2)="T-",ISNUMBER(MATCH(MID(_xlpm.to,3,99),Equip_List,0)),ISNA(MATCH(_xlpm.to,Equip_List,0))),IF(_xlpm.pri,MID(_xlpm.to,3,99),_xlpm.to)))</f>
        <v/>
      </c>
      <c r="CK150" s="829" t="str" cm="1">
        <f t="array" ref="CK150">IF($CJ150="","",IF(IFERROR(INDEX(_xlfn.ANCHORARRAY($BE$4),ROW()-4,6),"")="EMERG","E",IF($CJ150&lt;&gt;$D150&amp;"","P","N")))</f>
        <v/>
      </c>
    </row>
    <row r="151" spans="1:89" ht="15" customHeight="1" x14ac:dyDescent="0.35">
      <c r="A151" s="821" t="str">
        <f t="shared" si="47"/>
        <v/>
      </c>
      <c r="B151" s="821" t="str" cm="1">
        <f t="array" ref="B151">IFERROR(IF(INDEX(_xlfn.ANCHORARRAY($BE$4),ROW()-4,2)="","","F-"&amp;INDEX(_xlfn.ANCHORARRAY($BE$4),ROW()-4,2)&amp;IF(IFERROR(INDEX(_xlfn.ANCHORARRAY($BE$4),ROW()-4,6),"")="EMERG","-E","")),"")</f>
        <v/>
      </c>
      <c r="C151" s="821" t="str" cm="1">
        <f t="array" ref="C151">IFERROR(IF($B151="","",INDEX(_xlfn.ANCHORARRAY($BE$4),ROW()-4,1)),"")</f>
        <v/>
      </c>
      <c r="D151" s="821" t="str" cm="1">
        <f t="array" ref="D151">IFERROR(IF($B151="","",INDEX(_xlfn.ANCHORARRAY($BE$4),ROW()-4,2)),"")</f>
        <v/>
      </c>
      <c r="E151" s="806" t="str" cm="1">
        <f t="array" ref="E151">IFERROR(IF($B151="","",INDEX(_xlfn.ANCHORARRAY($BE$4),ROW()-4,3)),"")</f>
        <v/>
      </c>
      <c r="F151" s="822" t="str" cm="1">
        <f t="array" ref="F151">IFERROR(IF($B151="","",INDEX(_xlfn.ANCHORARRAY($BE$4),ROW()-4,4)),"")</f>
        <v/>
      </c>
      <c r="G151" s="823" t="str" cm="1">
        <f t="array" ref="G151">IFERROR(IF($B151="","",INDEX(_xlfn.ANCHORARRAY($BE$4),ROW()-4,5)),"")</f>
        <v/>
      </c>
      <c r="H151" s="824" t="str" cm="1">
        <f t="array" ref="H151">IF($CJ151="","",_xlfn.LET(_xlpm.v,_xlfn.XLOOKUP($CJ151,Equip_List,IF($CK151="E",Equip_EmLen,IF($CK151="P",Equip_XfPriLen,Equip_FdrLen)),""),IF(_xlpm.v="","",_xlpm.v)))</f>
        <v/>
      </c>
      <c r="I151" s="806" t="str">
        <f t="shared" si="40"/>
        <v/>
      </c>
      <c r="J151" s="820"/>
      <c r="K151" s="806" t="str">
        <f>_xlfn.LET(_xlpm.k,IF($I151="","",IF(COUNTIF(UPS!$B$57:$B$64,$C151&amp;"")&gt;0,1.25*MAX($I151,N(_xlfn.XLOOKUP($C151&amp;"",UPS!$B$57:$B$64,UPS!$M$57:$M$64,0))),IF(COUNTIF(UPS!$B$57:$B$64,$D151&amp;"")&gt;0,1.25*MAX($I151,N(_xlfn.XLOOKUP($D151&amp;"",UPS!$B$57:$B$64,UPS!$Q$57:$Q$64,0))),$I151*IF(OR(UPPER($J151)="Y",LEFT($C151,2)="T-",LEFT($D151,2)="T-"),1.25,1)))),IF(_xlpm.k="","",MAX(_xlpm.k,N(IFERROR(_xlfn.XLOOKUP($D151&amp;"",Dashboard!$A$101:$A$350,Dashboard!$O$101:$O$350,0),0)))))</f>
        <v/>
      </c>
      <c r="L151" s="825" t="str">
        <f>IF($CJ151="","",_xlfn.LET(_xlpm.v,UPPER(TRIM(_xlfn.XLOOKUP($CJ151,Equip_List,Equip_FdrMat,"")&amp;"")),IF(_xlpm.v="",UPPER(TRIM(Cfg_FeederMat&amp;"")),_xlpm.v)))</f>
        <v/>
      </c>
      <c r="M151" s="825" t="str">
        <f>IF($CJ151="","",_xlfn.LET(_xlpm.v,TRIM(_xlfn.XLOOKUP($CJ151,Equip_List,Equip_FdrRace,"")&amp;""),IF(_xlpm.v="",Cfg_Conduit&amp;"",_xlpm.v)))</f>
        <v/>
      </c>
      <c r="N151" s="825" t="str">
        <f>IF($CJ151="","",IF(UPPER(TRIM(_xlfn.XLOOKUP($CJ151,Equip_List,Equip_FdrExist,"")&amp;""))="Y","Y",""))</f>
        <v/>
      </c>
      <c r="O151" s="823" t="str">
        <f t="shared" si="48"/>
        <v/>
      </c>
      <c r="P151" s="821" t="str">
        <f t="shared" si="49"/>
        <v/>
      </c>
      <c r="Q151" s="821" t="str">
        <f t="shared" si="50"/>
        <v/>
      </c>
      <c r="R151" s="822" t="str" cm="1">
        <f t="array" ref="R151">IF(K151="","",INDEX(OCPD_List,MATCH(TRUE,OCPD_List&gt;=K151,0)))</f>
        <v/>
      </c>
      <c r="S151" s="821" t="str">
        <f t="shared" si="51"/>
        <v/>
      </c>
      <c r="T151" s="826" t="str">
        <f t="shared" si="41"/>
        <v/>
      </c>
      <c r="U151" s="826" t="str">
        <f t="shared" si="42"/>
        <v/>
      </c>
      <c r="V151" s="827" t="str">
        <f t="shared" si="43"/>
        <v/>
      </c>
      <c r="W151" s="828"/>
      <c r="X151" s="819"/>
      <c r="Y151" s="820"/>
      <c r="Z151" s="820"/>
      <c r="AA151" s="820"/>
      <c r="BN151" s="832" t="str">
        <f>IF($B151="","",IFERROR(_xlfn.XLOOKUP($D151,Dashboard!$A$101:$A$350,Dashboard!$C$101:$C$350),""))</f>
        <v/>
      </c>
      <c r="BO151" s="832" t="str">
        <f t="shared" si="44"/>
        <v/>
      </c>
      <c r="BP151" s="832" t="str" cm="1">
        <f t="array" ref="BP151">IF(OR($B151="",$R151="",NOT(ISNUMBER($R151))),"",IF(AND($BV151="AL",$G151=1),"",_xlfn.LET(_xlpm.codes,IF($BV151="AL",Std_Al3_Code,IF($G151=1,Std_Cu1_Code,Std_Cu3_Code)),_xlpm.amps,IFERROR(--SUBSTITUTE(_xlpm.codes&amp;"","N",""),""),_xlpm.a,MIN(IF(ISNUMBER(_xlpm.amps),IF(_xlpm.amps&gt;=$R151,_xlpm.amps,""),"")),_xlpm.k,IF(_xlpm.a=0,$R151,_xlpm.a),IF($BO151="Y",TEXT(_xlpm.k,"0")&amp;"N",_xlpm.k))))</f>
        <v/>
      </c>
      <c r="BQ151" s="832" t="str" cm="1">
        <f t="array" ref="BQ151">IF($BP151="","",IFERROR(IF($BV151="AL",_xlfn.XLOOKUP($BP151,Std_Al3_Code,INDEX(Std_Al3_Table,0,3)),IF($G151=1,_xlfn.XLOOKUP($BP151,Std_Cu1_Code,INDEX(Std_Cu1_Table,0,3)),_xlfn.XLOOKUP($BP151,Std_Cu3_Code,INDEX(Std_Cu3_Table,0,3)))),""))</f>
        <v/>
      </c>
      <c r="BR151" s="832" t="str" cm="1">
        <f t="array" ref="BR151">IF($BP151="","",IFERROR(IF($BV151="AL",_xlfn.XLOOKUP($BP151,Std_Al3_Code,INDEX(Std_Al3_Table,0,4)),IF($G151=1,_xlfn.XLOOKUP($BP151,Std_Cu1_Code,INDEX(Std_Cu1_Table,0,4)),_xlfn.XLOOKUP($BP151,Std_Cu3_Code,INDEX(Std_Cu3_Table,0,4)))),""))</f>
        <v/>
      </c>
      <c r="BS151" s="832" t="str" cm="1">
        <f t="array" ref="BS151">IF($BP151="","",IFERROR(IF($BV151="AL",_xlfn.XLOOKUP($BP151,Std_Al3_Code,INDEX(Std_Al3_Table,0,5)),IF($G151=1,_xlfn.XLOOKUP($BP151,Std_Cu1_Code,INDEX(Std_Cu1_Table,0,5)),_xlfn.XLOOKUP($BP151,Std_Cu3_Code,INDEX(Std_Cu3_Table,0,5)))),""))</f>
        <v/>
      </c>
      <c r="BT151" s="832" t="str">
        <f t="shared" si="45"/>
        <v/>
      </c>
      <c r="BU151" s="832" t="str" cm="1">
        <f t="array" ref="BU151">IF($BP151="","",IFERROR(IF($BV151="AL",_xlfn.XLOOKUP($BP151,Std_Al3_Code,INDEX(Std_Al3_Table,0,2)),IF($G151=1,_xlfn.XLOOKUP($BP151,Std_Cu1_Code,INDEX(Std_Cu1_Table,0,2)),_xlfn.XLOOKUP($BP151,Std_Cu3_Code,INDEX(Std_Cu3_Table,0,2)))),""))</f>
        <v/>
      </c>
      <c r="BV151" s="829" t="str">
        <f t="shared" si="46"/>
        <v/>
      </c>
      <c r="BW151" s="829" t="str">
        <f t="shared" si="52"/>
        <v/>
      </c>
      <c r="BX151" s="829" t="str" cm="1">
        <f t="array" ref="BX151">IF(OR($BP151="",$H151="",$I151="",$F151="",$BW151=""),"",IFERROR(_xlfn.LET(_xlpm.codes,IF($BV151="AL",Std_Al3_Code,IF($G151=1,Std_Cu1_Code,Std_Cu3_Code)),_xlpm.tbl,IF($BV151="AL",Std_Al3_Table,IF($G151=1,Std_Cu1_Table,Std_Cu3_Table)),_xlpm.i,MATCH($BP151,_xlpm.codes,0),_xlpm.idx,_xlfn.SEQUENCE(ROWS(_xlpm.codes)),_xlpm.cnd,INDEX(_xlpm.tbl,0,4),_xlpm.sts,INDEX(_xlpm.tbl,0,2),_xlpm.sz,IFERROR(_xlfn.TEXTBEFORE(_xlfn.TEXTAFTER(_xlpm.cnd,"#"),","),IFERROR(_xlfn.TEXTAFTER(_xlpm.cnd,"#"),"")),_xlpm.cm,IFERROR(_xlfn.XLOOKUP(TRIM(_xlpm.sz),Ampacity_Size,Ampacity_CM),0),_xlpm.mult,IF($G151=3,SQRT3,2),_xlpm.kk,IF($BV151="AL",K_Al,K_Cu),_xlpm.vd,IF(_xlpm.cm*IF(ISNUMBER(_xlpm.sts),_xlpm.sts,0)=0,9,_xlpm.mult*_xlpm.kk*$I151*$H151/(_xlpm.cm*_xlpm.sts)/$F151),_xlpm.hasN,--(RIGHT(_xlpm.codes&amp;"",1)="N"),_xlpm.wantN,--(RIGHT($BP151&amp;"",1)="N"),_xlpm.ok,(_xlpm.idx&gt;=_xlpm.i)*(_xlpm.vd&lt;=Cfg_VDFeeder)*(_xlpm.cm&gt;0)*ISNUMBER(_xlpm.sts)*(_xlpm.hasN=_xlpm.wantN),_xlpm.m,MIN(IF(_xlpm.ok=1,_xlpm.idx)),INDEX(_xlpm.codes,IF(_xlpm.m=0,_xlpm.i,_xlpm.m))),""))</f>
        <v/>
      </c>
      <c r="BY151" s="829" t="str" cm="1">
        <f t="array" ref="BY151">IF($BP151="","",IF($BX151="",$BU151,IFERROR(IF($BV151="AL",_xlfn.XLOOKUP($BX151,Std_Al3_Code,INDEX(Std_Al3_Table,0,2)),IF($G151=1,_xlfn.XLOOKUP($BX151,Std_Cu1_Code,INDEX(Std_Cu1_Table,0,2)),_xlfn.XLOOKUP($BX151,Std_Cu3_Code,INDEX(Std_Cu3_Table,0,2)))),"")))</f>
        <v/>
      </c>
      <c r="BZ151" s="829" t="str" cm="1">
        <f t="array" ref="BZ151">IF($BP151="","",IF($BX151="",$BR151,IFERROR(IF($BV151="AL",_xlfn.XLOOKUP($BX151,Std_Al3_Code,INDEX(Std_Al3_Table,0,4)),IF($G151=1,_xlfn.XLOOKUP($BX151,Std_Cu1_Code,INDEX(Std_Cu1_Table,0,4)),_xlfn.XLOOKUP($BX151,Std_Cu3_Code,INDEX(Std_Cu3_Table,0,4)))),"")))</f>
        <v/>
      </c>
      <c r="CA151" s="829" t="str" cm="1">
        <f t="array" ref="CA151">IF($BP151="","",IF($BX151="",$BQ151,IFERROR(IF($BV151="AL",_xlfn.XLOOKUP($BX151,Std_Al3_Code,INDEX(Std_Al3_Table,0,3)),IF($G151=1,_xlfn.XLOOKUP($BX151,Std_Cu1_Code,INDEX(Std_Cu1_Table,0,3)),_xlfn.XLOOKUP($BX151,Std_Cu3_Code,INDEX(Std_Cu3_Table,0,3)))),"")))</f>
        <v/>
      </c>
      <c r="CB151" s="829" t="str" cm="1">
        <f t="array" ref="CB151">IF($BP151="","",IF($BX151="",$BS151,IFERROR(IF($BV151="AL",_xlfn.XLOOKUP($BX151,Std_Al3_Code,INDEX(Std_Al3_Table,0,5)),IF($G151=1,_xlfn.XLOOKUP($BX151,Std_Cu1_Code,INDEX(Std_Cu1_Table,0,5)),_xlfn.XLOOKUP($BX151,Std_Cu3_Code,INDEX(Std_Cu3_Table,0,5)))),"")))</f>
        <v/>
      </c>
      <c r="CC151" s="829" t="str">
        <f t="shared" si="53"/>
        <v/>
      </c>
      <c r="CD151" s="829" t="str">
        <f t="shared" si="54"/>
        <v/>
      </c>
      <c r="CE151" s="829" t="str">
        <f t="shared" si="55"/>
        <v/>
      </c>
      <c r="CF151" s="829" t="str">
        <f t="shared" si="56"/>
        <v/>
      </c>
      <c r="CG151" s="829" t="str">
        <f t="shared" si="57"/>
        <v/>
      </c>
      <c r="CH151" s="829" t="str">
        <f t="shared" si="58"/>
        <v/>
      </c>
      <c r="CI151" s="829" t="str">
        <f t="shared" si="59"/>
        <v/>
      </c>
      <c r="CJ151" s="829" t="str" cm="1">
        <f t="array" ref="CJ151">IF($B151="","",_xlfn.LET(_xlpm.to,$D151&amp;"",_xlpm.em,IFERROR(INDEX(_xlfn.ANCHORARRAY($BE$4),ROW()-4,6),"")="EMERG",_xlpm.pri,AND(NOT(_xlpm.em),LEFT(_xlpm.to,2)="T-",ISNUMBER(MATCH(MID(_xlpm.to,3,99),Equip_List,0)),ISNA(MATCH(_xlpm.to,Equip_List,0))),IF(_xlpm.pri,MID(_xlpm.to,3,99),_xlpm.to)))</f>
        <v/>
      </c>
      <c r="CK151" s="829" t="str" cm="1">
        <f t="array" ref="CK151">IF($CJ151="","",IF(IFERROR(INDEX(_xlfn.ANCHORARRAY($BE$4),ROW()-4,6),"")="EMERG","E",IF($CJ151&lt;&gt;$D151&amp;"","P","N")))</f>
        <v/>
      </c>
    </row>
    <row r="152" spans="1:89" ht="15" customHeight="1" x14ac:dyDescent="0.35">
      <c r="A152" s="821" t="str">
        <f t="shared" si="47"/>
        <v/>
      </c>
      <c r="B152" s="821" t="str" cm="1">
        <f t="array" ref="B152">IFERROR(IF(INDEX(_xlfn.ANCHORARRAY($BE$4),ROW()-4,2)="","","F-"&amp;INDEX(_xlfn.ANCHORARRAY($BE$4),ROW()-4,2)&amp;IF(IFERROR(INDEX(_xlfn.ANCHORARRAY($BE$4),ROW()-4,6),"")="EMERG","-E","")),"")</f>
        <v/>
      </c>
      <c r="C152" s="821" t="str" cm="1">
        <f t="array" ref="C152">IFERROR(IF($B152="","",INDEX(_xlfn.ANCHORARRAY($BE$4),ROW()-4,1)),"")</f>
        <v/>
      </c>
      <c r="D152" s="821" t="str" cm="1">
        <f t="array" ref="D152">IFERROR(IF($B152="","",INDEX(_xlfn.ANCHORARRAY($BE$4),ROW()-4,2)),"")</f>
        <v/>
      </c>
      <c r="E152" s="806" t="str" cm="1">
        <f t="array" ref="E152">IFERROR(IF($B152="","",INDEX(_xlfn.ANCHORARRAY($BE$4),ROW()-4,3)),"")</f>
        <v/>
      </c>
      <c r="F152" s="822" t="str" cm="1">
        <f t="array" ref="F152">IFERROR(IF($B152="","",INDEX(_xlfn.ANCHORARRAY($BE$4),ROW()-4,4)),"")</f>
        <v/>
      </c>
      <c r="G152" s="823" t="str" cm="1">
        <f t="array" ref="G152">IFERROR(IF($B152="","",INDEX(_xlfn.ANCHORARRAY($BE$4),ROW()-4,5)),"")</f>
        <v/>
      </c>
      <c r="H152" s="824" t="str" cm="1">
        <f t="array" ref="H152">IF($CJ152="","",_xlfn.LET(_xlpm.v,_xlfn.XLOOKUP($CJ152,Equip_List,IF($CK152="E",Equip_EmLen,IF($CK152="P",Equip_XfPriLen,Equip_FdrLen)),""),IF(_xlpm.v="","",_xlpm.v)))</f>
        <v/>
      </c>
      <c r="I152" s="806" t="str">
        <f t="shared" si="40"/>
        <v/>
      </c>
      <c r="J152" s="820"/>
      <c r="K152" s="806" t="str">
        <f>_xlfn.LET(_xlpm.k,IF($I152="","",IF(COUNTIF(UPS!$B$57:$B$64,$C152&amp;"")&gt;0,1.25*MAX($I152,N(_xlfn.XLOOKUP($C152&amp;"",UPS!$B$57:$B$64,UPS!$M$57:$M$64,0))),IF(COUNTIF(UPS!$B$57:$B$64,$D152&amp;"")&gt;0,1.25*MAX($I152,N(_xlfn.XLOOKUP($D152&amp;"",UPS!$B$57:$B$64,UPS!$Q$57:$Q$64,0))),$I152*IF(OR(UPPER($J152)="Y",LEFT($C152,2)="T-",LEFT($D152,2)="T-"),1.25,1)))),IF(_xlpm.k="","",MAX(_xlpm.k,N(IFERROR(_xlfn.XLOOKUP($D152&amp;"",Dashboard!$A$101:$A$350,Dashboard!$O$101:$O$350,0),0)))))</f>
        <v/>
      </c>
      <c r="L152" s="825" t="str">
        <f>IF($CJ152="","",_xlfn.LET(_xlpm.v,UPPER(TRIM(_xlfn.XLOOKUP($CJ152,Equip_List,Equip_FdrMat,"")&amp;"")),IF(_xlpm.v="",UPPER(TRIM(Cfg_FeederMat&amp;"")),_xlpm.v)))</f>
        <v/>
      </c>
      <c r="M152" s="825" t="str">
        <f>IF($CJ152="","",_xlfn.LET(_xlpm.v,TRIM(_xlfn.XLOOKUP($CJ152,Equip_List,Equip_FdrRace,"")&amp;""),IF(_xlpm.v="",Cfg_Conduit&amp;"",_xlpm.v)))</f>
        <v/>
      </c>
      <c r="N152" s="825" t="str">
        <f>IF($CJ152="","",IF(UPPER(TRIM(_xlfn.XLOOKUP($CJ152,Equip_List,Equip_FdrExist,"")&amp;""))="Y","Y",""))</f>
        <v/>
      </c>
      <c r="O152" s="823" t="str">
        <f t="shared" si="48"/>
        <v/>
      </c>
      <c r="P152" s="821" t="str">
        <f t="shared" si="49"/>
        <v/>
      </c>
      <c r="Q152" s="821" t="str">
        <f t="shared" si="50"/>
        <v/>
      </c>
      <c r="R152" s="822" t="str" cm="1">
        <f t="array" ref="R152">IF(K152="","",INDEX(OCPD_List,MATCH(TRUE,OCPD_List&gt;=K152,0)))</f>
        <v/>
      </c>
      <c r="S152" s="821" t="str">
        <f t="shared" si="51"/>
        <v/>
      </c>
      <c r="T152" s="826" t="str">
        <f t="shared" si="41"/>
        <v/>
      </c>
      <c r="U152" s="826" t="str">
        <f t="shared" si="42"/>
        <v/>
      </c>
      <c r="V152" s="827" t="str">
        <f t="shared" si="43"/>
        <v/>
      </c>
      <c r="W152" s="828"/>
      <c r="X152" s="819"/>
      <c r="Y152" s="820"/>
      <c r="Z152" s="820"/>
      <c r="AA152" s="820"/>
      <c r="BN152" s="832" t="str">
        <f>IF($B152="","",IFERROR(_xlfn.XLOOKUP($D152,Dashboard!$A$101:$A$350,Dashboard!$C$101:$C$350),""))</f>
        <v/>
      </c>
      <c r="BO152" s="832" t="str">
        <f t="shared" si="44"/>
        <v/>
      </c>
      <c r="BP152" s="832" t="str" cm="1">
        <f t="array" ref="BP152">IF(OR($B152="",$R152="",NOT(ISNUMBER($R152))),"",IF(AND($BV152="AL",$G152=1),"",_xlfn.LET(_xlpm.codes,IF($BV152="AL",Std_Al3_Code,IF($G152=1,Std_Cu1_Code,Std_Cu3_Code)),_xlpm.amps,IFERROR(--SUBSTITUTE(_xlpm.codes&amp;"","N",""),""),_xlpm.a,MIN(IF(ISNUMBER(_xlpm.amps),IF(_xlpm.amps&gt;=$R152,_xlpm.amps,""),"")),_xlpm.k,IF(_xlpm.a=0,$R152,_xlpm.a),IF($BO152="Y",TEXT(_xlpm.k,"0")&amp;"N",_xlpm.k))))</f>
        <v/>
      </c>
      <c r="BQ152" s="832" t="str" cm="1">
        <f t="array" ref="BQ152">IF($BP152="","",IFERROR(IF($BV152="AL",_xlfn.XLOOKUP($BP152,Std_Al3_Code,INDEX(Std_Al3_Table,0,3)),IF($G152=1,_xlfn.XLOOKUP($BP152,Std_Cu1_Code,INDEX(Std_Cu1_Table,0,3)),_xlfn.XLOOKUP($BP152,Std_Cu3_Code,INDEX(Std_Cu3_Table,0,3)))),""))</f>
        <v/>
      </c>
      <c r="BR152" s="832" t="str" cm="1">
        <f t="array" ref="BR152">IF($BP152="","",IFERROR(IF($BV152="AL",_xlfn.XLOOKUP($BP152,Std_Al3_Code,INDEX(Std_Al3_Table,0,4)),IF($G152=1,_xlfn.XLOOKUP($BP152,Std_Cu1_Code,INDEX(Std_Cu1_Table,0,4)),_xlfn.XLOOKUP($BP152,Std_Cu3_Code,INDEX(Std_Cu3_Table,0,4)))),""))</f>
        <v/>
      </c>
      <c r="BS152" s="832" t="str" cm="1">
        <f t="array" ref="BS152">IF($BP152="","",IFERROR(IF($BV152="AL",_xlfn.XLOOKUP($BP152,Std_Al3_Code,INDEX(Std_Al3_Table,0,5)),IF($G152=1,_xlfn.XLOOKUP($BP152,Std_Cu1_Code,INDEX(Std_Cu1_Table,0,5)),_xlfn.XLOOKUP($BP152,Std_Cu3_Code,INDEX(Std_Cu3_Table,0,5)))),""))</f>
        <v/>
      </c>
      <c r="BT152" s="832" t="str">
        <f t="shared" si="45"/>
        <v/>
      </c>
      <c r="BU152" s="832" t="str" cm="1">
        <f t="array" ref="BU152">IF($BP152="","",IFERROR(IF($BV152="AL",_xlfn.XLOOKUP($BP152,Std_Al3_Code,INDEX(Std_Al3_Table,0,2)),IF($G152=1,_xlfn.XLOOKUP($BP152,Std_Cu1_Code,INDEX(Std_Cu1_Table,0,2)),_xlfn.XLOOKUP($BP152,Std_Cu3_Code,INDEX(Std_Cu3_Table,0,2)))),""))</f>
        <v/>
      </c>
      <c r="BV152" s="829" t="str">
        <f t="shared" si="46"/>
        <v/>
      </c>
      <c r="BW152" s="829" t="str">
        <f t="shared" si="52"/>
        <v/>
      </c>
      <c r="BX152" s="829" t="str" cm="1">
        <f t="array" ref="BX152">IF(OR($BP152="",$H152="",$I152="",$F152="",$BW152=""),"",IFERROR(_xlfn.LET(_xlpm.codes,IF($BV152="AL",Std_Al3_Code,IF($G152=1,Std_Cu1_Code,Std_Cu3_Code)),_xlpm.tbl,IF($BV152="AL",Std_Al3_Table,IF($G152=1,Std_Cu1_Table,Std_Cu3_Table)),_xlpm.i,MATCH($BP152,_xlpm.codes,0),_xlpm.idx,_xlfn.SEQUENCE(ROWS(_xlpm.codes)),_xlpm.cnd,INDEX(_xlpm.tbl,0,4),_xlpm.sts,INDEX(_xlpm.tbl,0,2),_xlpm.sz,IFERROR(_xlfn.TEXTBEFORE(_xlfn.TEXTAFTER(_xlpm.cnd,"#"),","),IFERROR(_xlfn.TEXTAFTER(_xlpm.cnd,"#"),"")),_xlpm.cm,IFERROR(_xlfn.XLOOKUP(TRIM(_xlpm.sz),Ampacity_Size,Ampacity_CM),0),_xlpm.mult,IF($G152=3,SQRT3,2),_xlpm.kk,IF($BV152="AL",K_Al,K_Cu),_xlpm.vd,IF(_xlpm.cm*IF(ISNUMBER(_xlpm.sts),_xlpm.sts,0)=0,9,_xlpm.mult*_xlpm.kk*$I152*$H152/(_xlpm.cm*_xlpm.sts)/$F152),_xlpm.hasN,--(RIGHT(_xlpm.codes&amp;"",1)="N"),_xlpm.wantN,--(RIGHT($BP152&amp;"",1)="N"),_xlpm.ok,(_xlpm.idx&gt;=_xlpm.i)*(_xlpm.vd&lt;=Cfg_VDFeeder)*(_xlpm.cm&gt;0)*ISNUMBER(_xlpm.sts)*(_xlpm.hasN=_xlpm.wantN),_xlpm.m,MIN(IF(_xlpm.ok=1,_xlpm.idx)),INDEX(_xlpm.codes,IF(_xlpm.m=0,_xlpm.i,_xlpm.m))),""))</f>
        <v/>
      </c>
      <c r="BY152" s="829" t="str" cm="1">
        <f t="array" ref="BY152">IF($BP152="","",IF($BX152="",$BU152,IFERROR(IF($BV152="AL",_xlfn.XLOOKUP($BX152,Std_Al3_Code,INDEX(Std_Al3_Table,0,2)),IF($G152=1,_xlfn.XLOOKUP($BX152,Std_Cu1_Code,INDEX(Std_Cu1_Table,0,2)),_xlfn.XLOOKUP($BX152,Std_Cu3_Code,INDEX(Std_Cu3_Table,0,2)))),"")))</f>
        <v/>
      </c>
      <c r="BZ152" s="829" t="str" cm="1">
        <f t="array" ref="BZ152">IF($BP152="","",IF($BX152="",$BR152,IFERROR(IF($BV152="AL",_xlfn.XLOOKUP($BX152,Std_Al3_Code,INDEX(Std_Al3_Table,0,4)),IF($G152=1,_xlfn.XLOOKUP($BX152,Std_Cu1_Code,INDEX(Std_Cu1_Table,0,4)),_xlfn.XLOOKUP($BX152,Std_Cu3_Code,INDEX(Std_Cu3_Table,0,4)))),"")))</f>
        <v/>
      </c>
      <c r="CA152" s="829" t="str" cm="1">
        <f t="array" ref="CA152">IF($BP152="","",IF($BX152="",$BQ152,IFERROR(IF($BV152="AL",_xlfn.XLOOKUP($BX152,Std_Al3_Code,INDEX(Std_Al3_Table,0,3)),IF($G152=1,_xlfn.XLOOKUP($BX152,Std_Cu1_Code,INDEX(Std_Cu1_Table,0,3)),_xlfn.XLOOKUP($BX152,Std_Cu3_Code,INDEX(Std_Cu3_Table,0,3)))),"")))</f>
        <v/>
      </c>
      <c r="CB152" s="829" t="str" cm="1">
        <f t="array" ref="CB152">IF($BP152="","",IF($BX152="",$BS152,IFERROR(IF($BV152="AL",_xlfn.XLOOKUP($BX152,Std_Al3_Code,INDEX(Std_Al3_Table,0,5)),IF($G152=1,_xlfn.XLOOKUP($BX152,Std_Cu1_Code,INDEX(Std_Cu1_Table,0,5)),_xlfn.XLOOKUP($BX152,Std_Cu3_Code,INDEX(Std_Cu3_Table,0,5)))),"")))</f>
        <v/>
      </c>
      <c r="CC152" s="829" t="str">
        <f t="shared" si="53"/>
        <v/>
      </c>
      <c r="CD152" s="829" t="str">
        <f t="shared" si="54"/>
        <v/>
      </c>
      <c r="CE152" s="829" t="str">
        <f t="shared" si="55"/>
        <v/>
      </c>
      <c r="CF152" s="829" t="str">
        <f t="shared" si="56"/>
        <v/>
      </c>
      <c r="CG152" s="829" t="str">
        <f t="shared" si="57"/>
        <v/>
      </c>
      <c r="CH152" s="829" t="str">
        <f t="shared" si="58"/>
        <v/>
      </c>
      <c r="CI152" s="829" t="str">
        <f t="shared" si="59"/>
        <v/>
      </c>
      <c r="CJ152" s="829" t="str" cm="1">
        <f t="array" ref="CJ152">IF($B152="","",_xlfn.LET(_xlpm.to,$D152&amp;"",_xlpm.em,IFERROR(INDEX(_xlfn.ANCHORARRAY($BE$4),ROW()-4,6),"")="EMERG",_xlpm.pri,AND(NOT(_xlpm.em),LEFT(_xlpm.to,2)="T-",ISNUMBER(MATCH(MID(_xlpm.to,3,99),Equip_List,0)),ISNA(MATCH(_xlpm.to,Equip_List,0))),IF(_xlpm.pri,MID(_xlpm.to,3,99),_xlpm.to)))</f>
        <v/>
      </c>
      <c r="CK152" s="829" t="str" cm="1">
        <f t="array" ref="CK152">IF($CJ152="","",IF(IFERROR(INDEX(_xlfn.ANCHORARRAY($BE$4),ROW()-4,6),"")="EMERG","E",IF($CJ152&lt;&gt;$D152&amp;"","P","N")))</f>
        <v/>
      </c>
    </row>
    <row r="153" spans="1:89" ht="15" customHeight="1" x14ac:dyDescent="0.35">
      <c r="A153" s="821" t="str">
        <f t="shared" si="47"/>
        <v/>
      </c>
      <c r="B153" s="821" t="str" cm="1">
        <f t="array" ref="B153">IFERROR(IF(INDEX(_xlfn.ANCHORARRAY($BE$4),ROW()-4,2)="","","F-"&amp;INDEX(_xlfn.ANCHORARRAY($BE$4),ROW()-4,2)&amp;IF(IFERROR(INDEX(_xlfn.ANCHORARRAY($BE$4),ROW()-4,6),"")="EMERG","-E","")),"")</f>
        <v/>
      </c>
      <c r="C153" s="821" t="str" cm="1">
        <f t="array" ref="C153">IFERROR(IF($B153="","",INDEX(_xlfn.ANCHORARRAY($BE$4),ROW()-4,1)),"")</f>
        <v/>
      </c>
      <c r="D153" s="821" t="str" cm="1">
        <f t="array" ref="D153">IFERROR(IF($B153="","",INDEX(_xlfn.ANCHORARRAY($BE$4),ROW()-4,2)),"")</f>
        <v/>
      </c>
      <c r="E153" s="806" t="str" cm="1">
        <f t="array" ref="E153">IFERROR(IF($B153="","",INDEX(_xlfn.ANCHORARRAY($BE$4),ROW()-4,3)),"")</f>
        <v/>
      </c>
      <c r="F153" s="822" t="str" cm="1">
        <f t="array" ref="F153">IFERROR(IF($B153="","",INDEX(_xlfn.ANCHORARRAY($BE$4),ROW()-4,4)),"")</f>
        <v/>
      </c>
      <c r="G153" s="823" t="str" cm="1">
        <f t="array" ref="G153">IFERROR(IF($B153="","",INDEX(_xlfn.ANCHORARRAY($BE$4),ROW()-4,5)),"")</f>
        <v/>
      </c>
      <c r="H153" s="824" t="str" cm="1">
        <f t="array" ref="H153">IF($CJ153="","",_xlfn.LET(_xlpm.v,_xlfn.XLOOKUP($CJ153,Equip_List,IF($CK153="E",Equip_EmLen,IF($CK153="P",Equip_XfPriLen,Equip_FdrLen)),""),IF(_xlpm.v="","",_xlpm.v)))</f>
        <v/>
      </c>
      <c r="I153" s="806" t="str">
        <f t="shared" si="40"/>
        <v/>
      </c>
      <c r="J153" s="820"/>
      <c r="K153" s="806" t="str">
        <f>_xlfn.LET(_xlpm.k,IF($I153="","",IF(COUNTIF(UPS!$B$57:$B$64,$C153&amp;"")&gt;0,1.25*MAX($I153,N(_xlfn.XLOOKUP($C153&amp;"",UPS!$B$57:$B$64,UPS!$M$57:$M$64,0))),IF(COUNTIF(UPS!$B$57:$B$64,$D153&amp;"")&gt;0,1.25*MAX($I153,N(_xlfn.XLOOKUP($D153&amp;"",UPS!$B$57:$B$64,UPS!$Q$57:$Q$64,0))),$I153*IF(OR(UPPER($J153)="Y",LEFT($C153,2)="T-",LEFT($D153,2)="T-"),1.25,1)))),IF(_xlpm.k="","",MAX(_xlpm.k,N(IFERROR(_xlfn.XLOOKUP($D153&amp;"",Dashboard!$A$101:$A$350,Dashboard!$O$101:$O$350,0),0)))))</f>
        <v/>
      </c>
      <c r="L153" s="825" t="str">
        <f>IF($CJ153="","",_xlfn.LET(_xlpm.v,UPPER(TRIM(_xlfn.XLOOKUP($CJ153,Equip_List,Equip_FdrMat,"")&amp;"")),IF(_xlpm.v="",UPPER(TRIM(Cfg_FeederMat&amp;"")),_xlpm.v)))</f>
        <v/>
      </c>
      <c r="M153" s="825" t="str">
        <f>IF($CJ153="","",_xlfn.LET(_xlpm.v,TRIM(_xlfn.XLOOKUP($CJ153,Equip_List,Equip_FdrRace,"")&amp;""),IF(_xlpm.v="",Cfg_Conduit&amp;"",_xlpm.v)))</f>
        <v/>
      </c>
      <c r="N153" s="825" t="str">
        <f>IF($CJ153="","",IF(UPPER(TRIM(_xlfn.XLOOKUP($CJ153,Equip_List,Equip_FdrExist,"")&amp;""))="Y","Y",""))</f>
        <v/>
      </c>
      <c r="O153" s="823" t="str">
        <f t="shared" si="48"/>
        <v/>
      </c>
      <c r="P153" s="821" t="str">
        <f t="shared" si="49"/>
        <v/>
      </c>
      <c r="Q153" s="821" t="str">
        <f t="shared" si="50"/>
        <v/>
      </c>
      <c r="R153" s="822" t="str" cm="1">
        <f t="array" ref="R153">IF(K153="","",INDEX(OCPD_List,MATCH(TRUE,OCPD_List&gt;=K153,0)))</f>
        <v/>
      </c>
      <c r="S153" s="821" t="str">
        <f t="shared" si="51"/>
        <v/>
      </c>
      <c r="T153" s="826" t="str">
        <f t="shared" si="41"/>
        <v/>
      </c>
      <c r="U153" s="826" t="str">
        <f t="shared" si="42"/>
        <v/>
      </c>
      <c r="V153" s="827" t="str">
        <f t="shared" si="43"/>
        <v/>
      </c>
      <c r="W153" s="828"/>
      <c r="X153" s="819"/>
      <c r="Y153" s="820"/>
      <c r="Z153" s="820"/>
      <c r="AA153" s="820"/>
      <c r="BN153" s="832" t="str">
        <f>IF($B153="","",IFERROR(_xlfn.XLOOKUP($D153,Dashboard!$A$101:$A$350,Dashboard!$C$101:$C$350),""))</f>
        <v/>
      </c>
      <c r="BO153" s="832" t="str">
        <f t="shared" si="44"/>
        <v/>
      </c>
      <c r="BP153" s="832" t="str" cm="1">
        <f t="array" ref="BP153">IF(OR($B153="",$R153="",NOT(ISNUMBER($R153))),"",IF(AND($BV153="AL",$G153=1),"",_xlfn.LET(_xlpm.codes,IF($BV153="AL",Std_Al3_Code,IF($G153=1,Std_Cu1_Code,Std_Cu3_Code)),_xlpm.amps,IFERROR(--SUBSTITUTE(_xlpm.codes&amp;"","N",""),""),_xlpm.a,MIN(IF(ISNUMBER(_xlpm.amps),IF(_xlpm.amps&gt;=$R153,_xlpm.amps,""),"")),_xlpm.k,IF(_xlpm.a=0,$R153,_xlpm.a),IF($BO153="Y",TEXT(_xlpm.k,"0")&amp;"N",_xlpm.k))))</f>
        <v/>
      </c>
      <c r="BQ153" s="832" t="str" cm="1">
        <f t="array" ref="BQ153">IF($BP153="","",IFERROR(IF($BV153="AL",_xlfn.XLOOKUP($BP153,Std_Al3_Code,INDEX(Std_Al3_Table,0,3)),IF($G153=1,_xlfn.XLOOKUP($BP153,Std_Cu1_Code,INDEX(Std_Cu1_Table,0,3)),_xlfn.XLOOKUP($BP153,Std_Cu3_Code,INDEX(Std_Cu3_Table,0,3)))),""))</f>
        <v/>
      </c>
      <c r="BR153" s="832" t="str" cm="1">
        <f t="array" ref="BR153">IF($BP153="","",IFERROR(IF($BV153="AL",_xlfn.XLOOKUP($BP153,Std_Al3_Code,INDEX(Std_Al3_Table,0,4)),IF($G153=1,_xlfn.XLOOKUP($BP153,Std_Cu1_Code,INDEX(Std_Cu1_Table,0,4)),_xlfn.XLOOKUP($BP153,Std_Cu3_Code,INDEX(Std_Cu3_Table,0,4)))),""))</f>
        <v/>
      </c>
      <c r="BS153" s="832" t="str" cm="1">
        <f t="array" ref="BS153">IF($BP153="","",IFERROR(IF($BV153="AL",_xlfn.XLOOKUP($BP153,Std_Al3_Code,INDEX(Std_Al3_Table,0,5)),IF($G153=1,_xlfn.XLOOKUP($BP153,Std_Cu1_Code,INDEX(Std_Cu1_Table,0,5)),_xlfn.XLOOKUP($BP153,Std_Cu3_Code,INDEX(Std_Cu3_Table,0,5)))),""))</f>
        <v/>
      </c>
      <c r="BT153" s="832" t="str">
        <f t="shared" si="45"/>
        <v/>
      </c>
      <c r="BU153" s="832" t="str" cm="1">
        <f t="array" ref="BU153">IF($BP153="","",IFERROR(IF($BV153="AL",_xlfn.XLOOKUP($BP153,Std_Al3_Code,INDEX(Std_Al3_Table,0,2)),IF($G153=1,_xlfn.XLOOKUP($BP153,Std_Cu1_Code,INDEX(Std_Cu1_Table,0,2)),_xlfn.XLOOKUP($BP153,Std_Cu3_Code,INDEX(Std_Cu3_Table,0,2)))),""))</f>
        <v/>
      </c>
      <c r="BV153" s="829" t="str">
        <f t="shared" si="46"/>
        <v/>
      </c>
      <c r="BW153" s="829" t="str">
        <f t="shared" si="52"/>
        <v/>
      </c>
      <c r="BX153" s="829" t="str" cm="1">
        <f t="array" ref="BX153">IF(OR($BP153="",$H153="",$I153="",$F153="",$BW153=""),"",IFERROR(_xlfn.LET(_xlpm.codes,IF($BV153="AL",Std_Al3_Code,IF($G153=1,Std_Cu1_Code,Std_Cu3_Code)),_xlpm.tbl,IF($BV153="AL",Std_Al3_Table,IF($G153=1,Std_Cu1_Table,Std_Cu3_Table)),_xlpm.i,MATCH($BP153,_xlpm.codes,0),_xlpm.idx,_xlfn.SEQUENCE(ROWS(_xlpm.codes)),_xlpm.cnd,INDEX(_xlpm.tbl,0,4),_xlpm.sts,INDEX(_xlpm.tbl,0,2),_xlpm.sz,IFERROR(_xlfn.TEXTBEFORE(_xlfn.TEXTAFTER(_xlpm.cnd,"#"),","),IFERROR(_xlfn.TEXTAFTER(_xlpm.cnd,"#"),"")),_xlpm.cm,IFERROR(_xlfn.XLOOKUP(TRIM(_xlpm.sz),Ampacity_Size,Ampacity_CM),0),_xlpm.mult,IF($G153=3,SQRT3,2),_xlpm.kk,IF($BV153="AL",K_Al,K_Cu),_xlpm.vd,IF(_xlpm.cm*IF(ISNUMBER(_xlpm.sts),_xlpm.sts,0)=0,9,_xlpm.mult*_xlpm.kk*$I153*$H153/(_xlpm.cm*_xlpm.sts)/$F153),_xlpm.hasN,--(RIGHT(_xlpm.codes&amp;"",1)="N"),_xlpm.wantN,--(RIGHT($BP153&amp;"",1)="N"),_xlpm.ok,(_xlpm.idx&gt;=_xlpm.i)*(_xlpm.vd&lt;=Cfg_VDFeeder)*(_xlpm.cm&gt;0)*ISNUMBER(_xlpm.sts)*(_xlpm.hasN=_xlpm.wantN),_xlpm.m,MIN(IF(_xlpm.ok=1,_xlpm.idx)),INDEX(_xlpm.codes,IF(_xlpm.m=0,_xlpm.i,_xlpm.m))),""))</f>
        <v/>
      </c>
      <c r="BY153" s="829" t="str" cm="1">
        <f t="array" ref="BY153">IF($BP153="","",IF($BX153="",$BU153,IFERROR(IF($BV153="AL",_xlfn.XLOOKUP($BX153,Std_Al3_Code,INDEX(Std_Al3_Table,0,2)),IF($G153=1,_xlfn.XLOOKUP($BX153,Std_Cu1_Code,INDEX(Std_Cu1_Table,0,2)),_xlfn.XLOOKUP($BX153,Std_Cu3_Code,INDEX(Std_Cu3_Table,0,2)))),"")))</f>
        <v/>
      </c>
      <c r="BZ153" s="829" t="str" cm="1">
        <f t="array" ref="BZ153">IF($BP153="","",IF($BX153="",$BR153,IFERROR(IF($BV153="AL",_xlfn.XLOOKUP($BX153,Std_Al3_Code,INDEX(Std_Al3_Table,0,4)),IF($G153=1,_xlfn.XLOOKUP($BX153,Std_Cu1_Code,INDEX(Std_Cu1_Table,0,4)),_xlfn.XLOOKUP($BX153,Std_Cu3_Code,INDEX(Std_Cu3_Table,0,4)))),"")))</f>
        <v/>
      </c>
      <c r="CA153" s="829" t="str" cm="1">
        <f t="array" ref="CA153">IF($BP153="","",IF($BX153="",$BQ153,IFERROR(IF($BV153="AL",_xlfn.XLOOKUP($BX153,Std_Al3_Code,INDEX(Std_Al3_Table,0,3)),IF($G153=1,_xlfn.XLOOKUP($BX153,Std_Cu1_Code,INDEX(Std_Cu1_Table,0,3)),_xlfn.XLOOKUP($BX153,Std_Cu3_Code,INDEX(Std_Cu3_Table,0,3)))),"")))</f>
        <v/>
      </c>
      <c r="CB153" s="829" t="str" cm="1">
        <f t="array" ref="CB153">IF($BP153="","",IF($BX153="",$BS153,IFERROR(IF($BV153="AL",_xlfn.XLOOKUP($BX153,Std_Al3_Code,INDEX(Std_Al3_Table,0,5)),IF($G153=1,_xlfn.XLOOKUP($BX153,Std_Cu1_Code,INDEX(Std_Cu1_Table,0,5)),_xlfn.XLOOKUP($BX153,Std_Cu3_Code,INDEX(Std_Cu3_Table,0,5)))),"")))</f>
        <v/>
      </c>
      <c r="CC153" s="829" t="str">
        <f t="shared" si="53"/>
        <v/>
      </c>
      <c r="CD153" s="829" t="str">
        <f t="shared" si="54"/>
        <v/>
      </c>
      <c r="CE153" s="829" t="str">
        <f t="shared" si="55"/>
        <v/>
      </c>
      <c r="CF153" s="829" t="str">
        <f t="shared" si="56"/>
        <v/>
      </c>
      <c r="CG153" s="829" t="str">
        <f t="shared" si="57"/>
        <v/>
      </c>
      <c r="CH153" s="829" t="str">
        <f t="shared" si="58"/>
        <v/>
      </c>
      <c r="CI153" s="829" t="str">
        <f t="shared" si="59"/>
        <v/>
      </c>
      <c r="CJ153" s="829" t="str" cm="1">
        <f t="array" ref="CJ153">IF($B153="","",_xlfn.LET(_xlpm.to,$D153&amp;"",_xlpm.em,IFERROR(INDEX(_xlfn.ANCHORARRAY($BE$4),ROW()-4,6),"")="EMERG",_xlpm.pri,AND(NOT(_xlpm.em),LEFT(_xlpm.to,2)="T-",ISNUMBER(MATCH(MID(_xlpm.to,3,99),Equip_List,0)),ISNA(MATCH(_xlpm.to,Equip_List,0))),IF(_xlpm.pri,MID(_xlpm.to,3,99),_xlpm.to)))</f>
        <v/>
      </c>
      <c r="CK153" s="829" t="str" cm="1">
        <f t="array" ref="CK153">IF($CJ153="","",IF(IFERROR(INDEX(_xlfn.ANCHORARRAY($BE$4),ROW()-4,6),"")="EMERG","E",IF($CJ153&lt;&gt;$D153&amp;"","P","N")))</f>
        <v/>
      </c>
    </row>
    <row r="154" spans="1:89" ht="15" customHeight="1" x14ac:dyDescent="0.35">
      <c r="A154" s="821" t="str">
        <f t="shared" si="47"/>
        <v/>
      </c>
      <c r="B154" s="821" t="str" cm="1">
        <f t="array" ref="B154">IFERROR(IF(INDEX(_xlfn.ANCHORARRAY($BE$4),ROW()-4,2)="","","F-"&amp;INDEX(_xlfn.ANCHORARRAY($BE$4),ROW()-4,2)&amp;IF(IFERROR(INDEX(_xlfn.ANCHORARRAY($BE$4),ROW()-4,6),"")="EMERG","-E","")),"")</f>
        <v/>
      </c>
      <c r="C154" s="821" t="str" cm="1">
        <f t="array" ref="C154">IFERROR(IF($B154="","",INDEX(_xlfn.ANCHORARRAY($BE$4),ROW()-4,1)),"")</f>
        <v/>
      </c>
      <c r="D154" s="821" t="str" cm="1">
        <f t="array" ref="D154">IFERROR(IF($B154="","",INDEX(_xlfn.ANCHORARRAY($BE$4),ROW()-4,2)),"")</f>
        <v/>
      </c>
      <c r="E154" s="806" t="str" cm="1">
        <f t="array" ref="E154">IFERROR(IF($B154="","",INDEX(_xlfn.ANCHORARRAY($BE$4),ROW()-4,3)),"")</f>
        <v/>
      </c>
      <c r="F154" s="822" t="str" cm="1">
        <f t="array" ref="F154">IFERROR(IF($B154="","",INDEX(_xlfn.ANCHORARRAY($BE$4),ROW()-4,4)),"")</f>
        <v/>
      </c>
      <c r="G154" s="823" t="str" cm="1">
        <f t="array" ref="G154">IFERROR(IF($B154="","",INDEX(_xlfn.ANCHORARRAY($BE$4),ROW()-4,5)),"")</f>
        <v/>
      </c>
      <c r="H154" s="824" t="str" cm="1">
        <f t="array" ref="H154">IF($CJ154="","",_xlfn.LET(_xlpm.v,_xlfn.XLOOKUP($CJ154,Equip_List,IF($CK154="E",Equip_EmLen,IF($CK154="P",Equip_XfPriLen,Equip_FdrLen)),""),IF(_xlpm.v="","",_xlpm.v)))</f>
        <v/>
      </c>
      <c r="I154" s="806" t="str">
        <f t="shared" si="40"/>
        <v/>
      </c>
      <c r="J154" s="820"/>
      <c r="K154" s="806" t="str">
        <f>_xlfn.LET(_xlpm.k,IF($I154="","",IF(COUNTIF(UPS!$B$57:$B$64,$C154&amp;"")&gt;0,1.25*MAX($I154,N(_xlfn.XLOOKUP($C154&amp;"",UPS!$B$57:$B$64,UPS!$M$57:$M$64,0))),IF(COUNTIF(UPS!$B$57:$B$64,$D154&amp;"")&gt;0,1.25*MAX($I154,N(_xlfn.XLOOKUP($D154&amp;"",UPS!$B$57:$B$64,UPS!$Q$57:$Q$64,0))),$I154*IF(OR(UPPER($J154)="Y",LEFT($C154,2)="T-",LEFT($D154,2)="T-"),1.25,1)))),IF(_xlpm.k="","",MAX(_xlpm.k,N(IFERROR(_xlfn.XLOOKUP($D154&amp;"",Dashboard!$A$101:$A$350,Dashboard!$O$101:$O$350,0),0)))))</f>
        <v/>
      </c>
      <c r="L154" s="825" t="str">
        <f>IF($CJ154="","",_xlfn.LET(_xlpm.v,UPPER(TRIM(_xlfn.XLOOKUP($CJ154,Equip_List,Equip_FdrMat,"")&amp;"")),IF(_xlpm.v="",UPPER(TRIM(Cfg_FeederMat&amp;"")),_xlpm.v)))</f>
        <v/>
      </c>
      <c r="M154" s="825" t="str">
        <f>IF($CJ154="","",_xlfn.LET(_xlpm.v,TRIM(_xlfn.XLOOKUP($CJ154,Equip_List,Equip_FdrRace,"")&amp;""),IF(_xlpm.v="",Cfg_Conduit&amp;"",_xlpm.v)))</f>
        <v/>
      </c>
      <c r="N154" s="825" t="str">
        <f>IF($CJ154="","",IF(UPPER(TRIM(_xlfn.XLOOKUP($CJ154,Equip_List,Equip_FdrExist,"")&amp;""))="Y","Y",""))</f>
        <v/>
      </c>
      <c r="O154" s="823" t="str">
        <f t="shared" si="48"/>
        <v/>
      </c>
      <c r="P154" s="821" t="str">
        <f t="shared" si="49"/>
        <v/>
      </c>
      <c r="Q154" s="821" t="str">
        <f t="shared" si="50"/>
        <v/>
      </c>
      <c r="R154" s="822" t="str" cm="1">
        <f t="array" ref="R154">IF(K154="","",INDEX(OCPD_List,MATCH(TRUE,OCPD_List&gt;=K154,0)))</f>
        <v/>
      </c>
      <c r="S154" s="821" t="str">
        <f t="shared" si="51"/>
        <v/>
      </c>
      <c r="T154" s="826" t="str">
        <f t="shared" si="41"/>
        <v/>
      </c>
      <c r="U154" s="826" t="str">
        <f t="shared" si="42"/>
        <v/>
      </c>
      <c r="V154" s="827" t="str">
        <f t="shared" si="43"/>
        <v/>
      </c>
      <c r="W154" s="828"/>
      <c r="X154" s="819"/>
      <c r="Y154" s="820"/>
      <c r="Z154" s="820"/>
      <c r="AA154" s="820"/>
      <c r="BN154" s="832" t="str">
        <f>IF($B154="","",IFERROR(_xlfn.XLOOKUP($D154,Dashboard!$A$101:$A$350,Dashboard!$C$101:$C$350),""))</f>
        <v/>
      </c>
      <c r="BO154" s="832" t="str">
        <f t="shared" si="44"/>
        <v/>
      </c>
      <c r="BP154" s="832" t="str" cm="1">
        <f t="array" ref="BP154">IF(OR($B154="",$R154="",NOT(ISNUMBER($R154))),"",IF(AND($BV154="AL",$G154=1),"",_xlfn.LET(_xlpm.codes,IF($BV154="AL",Std_Al3_Code,IF($G154=1,Std_Cu1_Code,Std_Cu3_Code)),_xlpm.amps,IFERROR(--SUBSTITUTE(_xlpm.codes&amp;"","N",""),""),_xlpm.a,MIN(IF(ISNUMBER(_xlpm.amps),IF(_xlpm.amps&gt;=$R154,_xlpm.amps,""),"")),_xlpm.k,IF(_xlpm.a=0,$R154,_xlpm.a),IF($BO154="Y",TEXT(_xlpm.k,"0")&amp;"N",_xlpm.k))))</f>
        <v/>
      </c>
      <c r="BQ154" s="832" t="str" cm="1">
        <f t="array" ref="BQ154">IF($BP154="","",IFERROR(IF($BV154="AL",_xlfn.XLOOKUP($BP154,Std_Al3_Code,INDEX(Std_Al3_Table,0,3)),IF($G154=1,_xlfn.XLOOKUP($BP154,Std_Cu1_Code,INDEX(Std_Cu1_Table,0,3)),_xlfn.XLOOKUP($BP154,Std_Cu3_Code,INDEX(Std_Cu3_Table,0,3)))),""))</f>
        <v/>
      </c>
      <c r="BR154" s="832" t="str" cm="1">
        <f t="array" ref="BR154">IF($BP154="","",IFERROR(IF($BV154="AL",_xlfn.XLOOKUP($BP154,Std_Al3_Code,INDEX(Std_Al3_Table,0,4)),IF($G154=1,_xlfn.XLOOKUP($BP154,Std_Cu1_Code,INDEX(Std_Cu1_Table,0,4)),_xlfn.XLOOKUP($BP154,Std_Cu3_Code,INDEX(Std_Cu3_Table,0,4)))),""))</f>
        <v/>
      </c>
      <c r="BS154" s="832" t="str" cm="1">
        <f t="array" ref="BS154">IF($BP154="","",IFERROR(IF($BV154="AL",_xlfn.XLOOKUP($BP154,Std_Al3_Code,INDEX(Std_Al3_Table,0,5)),IF($G154=1,_xlfn.XLOOKUP($BP154,Std_Cu1_Code,INDEX(Std_Cu1_Table,0,5)),_xlfn.XLOOKUP($BP154,Std_Cu3_Code,INDEX(Std_Cu3_Table,0,5)))),""))</f>
        <v/>
      </c>
      <c r="BT154" s="832" t="str">
        <f t="shared" si="45"/>
        <v/>
      </c>
      <c r="BU154" s="832" t="str" cm="1">
        <f t="array" ref="BU154">IF($BP154="","",IFERROR(IF($BV154="AL",_xlfn.XLOOKUP($BP154,Std_Al3_Code,INDEX(Std_Al3_Table,0,2)),IF($G154=1,_xlfn.XLOOKUP($BP154,Std_Cu1_Code,INDEX(Std_Cu1_Table,0,2)),_xlfn.XLOOKUP($BP154,Std_Cu3_Code,INDEX(Std_Cu3_Table,0,2)))),""))</f>
        <v/>
      </c>
      <c r="BV154" s="829" t="str">
        <f t="shared" si="46"/>
        <v/>
      </c>
      <c r="BW154" s="829" t="str">
        <f t="shared" si="52"/>
        <v/>
      </c>
      <c r="BX154" s="829" t="str" cm="1">
        <f t="array" ref="BX154">IF(OR($BP154="",$H154="",$I154="",$F154="",$BW154=""),"",IFERROR(_xlfn.LET(_xlpm.codes,IF($BV154="AL",Std_Al3_Code,IF($G154=1,Std_Cu1_Code,Std_Cu3_Code)),_xlpm.tbl,IF($BV154="AL",Std_Al3_Table,IF($G154=1,Std_Cu1_Table,Std_Cu3_Table)),_xlpm.i,MATCH($BP154,_xlpm.codes,0),_xlpm.idx,_xlfn.SEQUENCE(ROWS(_xlpm.codes)),_xlpm.cnd,INDEX(_xlpm.tbl,0,4),_xlpm.sts,INDEX(_xlpm.tbl,0,2),_xlpm.sz,IFERROR(_xlfn.TEXTBEFORE(_xlfn.TEXTAFTER(_xlpm.cnd,"#"),","),IFERROR(_xlfn.TEXTAFTER(_xlpm.cnd,"#"),"")),_xlpm.cm,IFERROR(_xlfn.XLOOKUP(TRIM(_xlpm.sz),Ampacity_Size,Ampacity_CM),0),_xlpm.mult,IF($G154=3,SQRT3,2),_xlpm.kk,IF($BV154="AL",K_Al,K_Cu),_xlpm.vd,IF(_xlpm.cm*IF(ISNUMBER(_xlpm.sts),_xlpm.sts,0)=0,9,_xlpm.mult*_xlpm.kk*$I154*$H154/(_xlpm.cm*_xlpm.sts)/$F154),_xlpm.hasN,--(RIGHT(_xlpm.codes&amp;"",1)="N"),_xlpm.wantN,--(RIGHT($BP154&amp;"",1)="N"),_xlpm.ok,(_xlpm.idx&gt;=_xlpm.i)*(_xlpm.vd&lt;=Cfg_VDFeeder)*(_xlpm.cm&gt;0)*ISNUMBER(_xlpm.sts)*(_xlpm.hasN=_xlpm.wantN),_xlpm.m,MIN(IF(_xlpm.ok=1,_xlpm.idx)),INDEX(_xlpm.codes,IF(_xlpm.m=0,_xlpm.i,_xlpm.m))),""))</f>
        <v/>
      </c>
      <c r="BY154" s="829" t="str" cm="1">
        <f t="array" ref="BY154">IF($BP154="","",IF($BX154="",$BU154,IFERROR(IF($BV154="AL",_xlfn.XLOOKUP($BX154,Std_Al3_Code,INDEX(Std_Al3_Table,0,2)),IF($G154=1,_xlfn.XLOOKUP($BX154,Std_Cu1_Code,INDEX(Std_Cu1_Table,0,2)),_xlfn.XLOOKUP($BX154,Std_Cu3_Code,INDEX(Std_Cu3_Table,0,2)))),"")))</f>
        <v/>
      </c>
      <c r="BZ154" s="829" t="str" cm="1">
        <f t="array" ref="BZ154">IF($BP154="","",IF($BX154="",$BR154,IFERROR(IF($BV154="AL",_xlfn.XLOOKUP($BX154,Std_Al3_Code,INDEX(Std_Al3_Table,0,4)),IF($G154=1,_xlfn.XLOOKUP($BX154,Std_Cu1_Code,INDEX(Std_Cu1_Table,0,4)),_xlfn.XLOOKUP($BX154,Std_Cu3_Code,INDEX(Std_Cu3_Table,0,4)))),"")))</f>
        <v/>
      </c>
      <c r="CA154" s="829" t="str" cm="1">
        <f t="array" ref="CA154">IF($BP154="","",IF($BX154="",$BQ154,IFERROR(IF($BV154="AL",_xlfn.XLOOKUP($BX154,Std_Al3_Code,INDEX(Std_Al3_Table,0,3)),IF($G154=1,_xlfn.XLOOKUP($BX154,Std_Cu1_Code,INDEX(Std_Cu1_Table,0,3)),_xlfn.XLOOKUP($BX154,Std_Cu3_Code,INDEX(Std_Cu3_Table,0,3)))),"")))</f>
        <v/>
      </c>
      <c r="CB154" s="829" t="str" cm="1">
        <f t="array" ref="CB154">IF($BP154="","",IF($BX154="",$BS154,IFERROR(IF($BV154="AL",_xlfn.XLOOKUP($BX154,Std_Al3_Code,INDEX(Std_Al3_Table,0,5)),IF($G154=1,_xlfn.XLOOKUP($BX154,Std_Cu1_Code,INDEX(Std_Cu1_Table,0,5)),_xlfn.XLOOKUP($BX154,Std_Cu3_Code,INDEX(Std_Cu3_Table,0,5)))),"")))</f>
        <v/>
      </c>
      <c r="CC154" s="829" t="str">
        <f t="shared" si="53"/>
        <v/>
      </c>
      <c r="CD154" s="829" t="str">
        <f t="shared" si="54"/>
        <v/>
      </c>
      <c r="CE154" s="829" t="str">
        <f t="shared" si="55"/>
        <v/>
      </c>
      <c r="CF154" s="829" t="str">
        <f t="shared" si="56"/>
        <v/>
      </c>
      <c r="CG154" s="829" t="str">
        <f t="shared" si="57"/>
        <v/>
      </c>
      <c r="CH154" s="829" t="str">
        <f t="shared" si="58"/>
        <v/>
      </c>
      <c r="CI154" s="829" t="str">
        <f t="shared" si="59"/>
        <v/>
      </c>
      <c r="CJ154" s="829" t="str" cm="1">
        <f t="array" ref="CJ154">IF($B154="","",_xlfn.LET(_xlpm.to,$D154&amp;"",_xlpm.em,IFERROR(INDEX(_xlfn.ANCHORARRAY($BE$4),ROW()-4,6),"")="EMERG",_xlpm.pri,AND(NOT(_xlpm.em),LEFT(_xlpm.to,2)="T-",ISNUMBER(MATCH(MID(_xlpm.to,3,99),Equip_List,0)),ISNA(MATCH(_xlpm.to,Equip_List,0))),IF(_xlpm.pri,MID(_xlpm.to,3,99),_xlpm.to)))</f>
        <v/>
      </c>
      <c r="CK154" s="829" t="str" cm="1">
        <f t="array" ref="CK154">IF($CJ154="","",IF(IFERROR(INDEX(_xlfn.ANCHORARRAY($BE$4),ROW()-4,6),"")="EMERG","E",IF($CJ154&lt;&gt;$D154&amp;"","P","N")))</f>
        <v/>
      </c>
    </row>
    <row r="155" spans="1:89" ht="15" customHeight="1" x14ac:dyDescent="0.35">
      <c r="A155" s="821" t="str">
        <f t="shared" si="47"/>
        <v/>
      </c>
      <c r="B155" s="821" t="str" cm="1">
        <f t="array" ref="B155">IFERROR(IF(INDEX(_xlfn.ANCHORARRAY($BE$4),ROW()-4,2)="","","F-"&amp;INDEX(_xlfn.ANCHORARRAY($BE$4),ROW()-4,2)&amp;IF(IFERROR(INDEX(_xlfn.ANCHORARRAY($BE$4),ROW()-4,6),"")="EMERG","-E","")),"")</f>
        <v/>
      </c>
      <c r="C155" s="821" t="str" cm="1">
        <f t="array" ref="C155">IFERROR(IF($B155="","",INDEX(_xlfn.ANCHORARRAY($BE$4),ROW()-4,1)),"")</f>
        <v/>
      </c>
      <c r="D155" s="821" t="str" cm="1">
        <f t="array" ref="D155">IFERROR(IF($B155="","",INDEX(_xlfn.ANCHORARRAY($BE$4),ROW()-4,2)),"")</f>
        <v/>
      </c>
      <c r="E155" s="806" t="str" cm="1">
        <f t="array" ref="E155">IFERROR(IF($B155="","",INDEX(_xlfn.ANCHORARRAY($BE$4),ROW()-4,3)),"")</f>
        <v/>
      </c>
      <c r="F155" s="822" t="str" cm="1">
        <f t="array" ref="F155">IFERROR(IF($B155="","",INDEX(_xlfn.ANCHORARRAY($BE$4),ROW()-4,4)),"")</f>
        <v/>
      </c>
      <c r="G155" s="823" t="str" cm="1">
        <f t="array" ref="G155">IFERROR(IF($B155="","",INDEX(_xlfn.ANCHORARRAY($BE$4),ROW()-4,5)),"")</f>
        <v/>
      </c>
      <c r="H155" s="824" t="str" cm="1">
        <f t="array" ref="H155">IF($CJ155="","",_xlfn.LET(_xlpm.v,_xlfn.XLOOKUP($CJ155,Equip_List,IF($CK155="E",Equip_EmLen,IF($CK155="P",Equip_XfPriLen,Equip_FdrLen)),""),IF(_xlpm.v="","",_xlpm.v)))</f>
        <v/>
      </c>
      <c r="I155" s="806" t="str">
        <f t="shared" si="40"/>
        <v/>
      </c>
      <c r="J155" s="820"/>
      <c r="K155" s="806" t="str">
        <f>_xlfn.LET(_xlpm.k,IF($I155="","",IF(COUNTIF(UPS!$B$57:$B$64,$C155&amp;"")&gt;0,1.25*MAX($I155,N(_xlfn.XLOOKUP($C155&amp;"",UPS!$B$57:$B$64,UPS!$M$57:$M$64,0))),IF(COUNTIF(UPS!$B$57:$B$64,$D155&amp;"")&gt;0,1.25*MAX($I155,N(_xlfn.XLOOKUP($D155&amp;"",UPS!$B$57:$B$64,UPS!$Q$57:$Q$64,0))),$I155*IF(OR(UPPER($J155)="Y",LEFT($C155,2)="T-",LEFT($D155,2)="T-"),1.25,1)))),IF(_xlpm.k="","",MAX(_xlpm.k,N(IFERROR(_xlfn.XLOOKUP($D155&amp;"",Dashboard!$A$101:$A$350,Dashboard!$O$101:$O$350,0),0)))))</f>
        <v/>
      </c>
      <c r="L155" s="825" t="str">
        <f>IF($CJ155="","",_xlfn.LET(_xlpm.v,UPPER(TRIM(_xlfn.XLOOKUP($CJ155,Equip_List,Equip_FdrMat,"")&amp;"")),IF(_xlpm.v="",UPPER(TRIM(Cfg_FeederMat&amp;"")),_xlpm.v)))</f>
        <v/>
      </c>
      <c r="M155" s="825" t="str">
        <f>IF($CJ155="","",_xlfn.LET(_xlpm.v,TRIM(_xlfn.XLOOKUP($CJ155,Equip_List,Equip_FdrRace,"")&amp;""),IF(_xlpm.v="",Cfg_Conduit&amp;"",_xlpm.v)))</f>
        <v/>
      </c>
      <c r="N155" s="825" t="str">
        <f>IF($CJ155="","",IF(UPPER(TRIM(_xlfn.XLOOKUP($CJ155,Equip_List,Equip_FdrExist,"")&amp;""))="Y","Y",""))</f>
        <v/>
      </c>
      <c r="O155" s="823" t="str">
        <f t="shared" si="48"/>
        <v/>
      </c>
      <c r="P155" s="821" t="str">
        <f t="shared" si="49"/>
        <v/>
      </c>
      <c r="Q155" s="821" t="str">
        <f t="shared" si="50"/>
        <v/>
      </c>
      <c r="R155" s="822" t="str" cm="1">
        <f t="array" ref="R155">IF(K155="","",INDEX(OCPD_List,MATCH(TRUE,OCPD_List&gt;=K155,0)))</f>
        <v/>
      </c>
      <c r="S155" s="821" t="str">
        <f t="shared" si="51"/>
        <v/>
      </c>
      <c r="T155" s="826" t="str">
        <f t="shared" si="41"/>
        <v/>
      </c>
      <c r="U155" s="826" t="str">
        <f t="shared" si="42"/>
        <v/>
      </c>
      <c r="V155" s="827" t="str">
        <f t="shared" si="43"/>
        <v/>
      </c>
      <c r="W155" s="828"/>
      <c r="X155" s="819"/>
      <c r="Y155" s="820"/>
      <c r="Z155" s="820"/>
      <c r="AA155" s="820"/>
      <c r="BN155" s="832" t="str">
        <f>IF($B155="","",IFERROR(_xlfn.XLOOKUP($D155,Dashboard!$A$101:$A$350,Dashboard!$C$101:$C$350),""))</f>
        <v/>
      </c>
      <c r="BO155" s="832" t="str">
        <f t="shared" si="44"/>
        <v/>
      </c>
      <c r="BP155" s="832" t="str" cm="1">
        <f t="array" ref="BP155">IF(OR($B155="",$R155="",NOT(ISNUMBER($R155))),"",IF(AND($BV155="AL",$G155=1),"",_xlfn.LET(_xlpm.codes,IF($BV155="AL",Std_Al3_Code,IF($G155=1,Std_Cu1_Code,Std_Cu3_Code)),_xlpm.amps,IFERROR(--SUBSTITUTE(_xlpm.codes&amp;"","N",""),""),_xlpm.a,MIN(IF(ISNUMBER(_xlpm.amps),IF(_xlpm.amps&gt;=$R155,_xlpm.amps,""),"")),_xlpm.k,IF(_xlpm.a=0,$R155,_xlpm.a),IF($BO155="Y",TEXT(_xlpm.k,"0")&amp;"N",_xlpm.k))))</f>
        <v/>
      </c>
      <c r="BQ155" s="832" t="str" cm="1">
        <f t="array" ref="BQ155">IF($BP155="","",IFERROR(IF($BV155="AL",_xlfn.XLOOKUP($BP155,Std_Al3_Code,INDEX(Std_Al3_Table,0,3)),IF($G155=1,_xlfn.XLOOKUP($BP155,Std_Cu1_Code,INDEX(Std_Cu1_Table,0,3)),_xlfn.XLOOKUP($BP155,Std_Cu3_Code,INDEX(Std_Cu3_Table,0,3)))),""))</f>
        <v/>
      </c>
      <c r="BR155" s="832" t="str" cm="1">
        <f t="array" ref="BR155">IF($BP155="","",IFERROR(IF($BV155="AL",_xlfn.XLOOKUP($BP155,Std_Al3_Code,INDEX(Std_Al3_Table,0,4)),IF($G155=1,_xlfn.XLOOKUP($BP155,Std_Cu1_Code,INDEX(Std_Cu1_Table,0,4)),_xlfn.XLOOKUP($BP155,Std_Cu3_Code,INDEX(Std_Cu3_Table,0,4)))),""))</f>
        <v/>
      </c>
      <c r="BS155" s="832" t="str" cm="1">
        <f t="array" ref="BS155">IF($BP155="","",IFERROR(IF($BV155="AL",_xlfn.XLOOKUP($BP155,Std_Al3_Code,INDEX(Std_Al3_Table,0,5)),IF($G155=1,_xlfn.XLOOKUP($BP155,Std_Cu1_Code,INDEX(Std_Cu1_Table,0,5)),_xlfn.XLOOKUP($BP155,Std_Cu3_Code,INDEX(Std_Cu3_Table,0,5)))),""))</f>
        <v/>
      </c>
      <c r="BT155" s="832" t="str">
        <f t="shared" si="45"/>
        <v/>
      </c>
      <c r="BU155" s="832" t="str" cm="1">
        <f t="array" ref="BU155">IF($BP155="","",IFERROR(IF($BV155="AL",_xlfn.XLOOKUP($BP155,Std_Al3_Code,INDEX(Std_Al3_Table,0,2)),IF($G155=1,_xlfn.XLOOKUP($BP155,Std_Cu1_Code,INDEX(Std_Cu1_Table,0,2)),_xlfn.XLOOKUP($BP155,Std_Cu3_Code,INDEX(Std_Cu3_Table,0,2)))),""))</f>
        <v/>
      </c>
      <c r="BV155" s="829" t="str">
        <f t="shared" si="46"/>
        <v/>
      </c>
      <c r="BW155" s="829" t="str">
        <f t="shared" si="52"/>
        <v/>
      </c>
      <c r="BX155" s="829" t="str" cm="1">
        <f t="array" ref="BX155">IF(OR($BP155="",$H155="",$I155="",$F155="",$BW155=""),"",IFERROR(_xlfn.LET(_xlpm.codes,IF($BV155="AL",Std_Al3_Code,IF($G155=1,Std_Cu1_Code,Std_Cu3_Code)),_xlpm.tbl,IF($BV155="AL",Std_Al3_Table,IF($G155=1,Std_Cu1_Table,Std_Cu3_Table)),_xlpm.i,MATCH($BP155,_xlpm.codes,0),_xlpm.idx,_xlfn.SEQUENCE(ROWS(_xlpm.codes)),_xlpm.cnd,INDEX(_xlpm.tbl,0,4),_xlpm.sts,INDEX(_xlpm.tbl,0,2),_xlpm.sz,IFERROR(_xlfn.TEXTBEFORE(_xlfn.TEXTAFTER(_xlpm.cnd,"#"),","),IFERROR(_xlfn.TEXTAFTER(_xlpm.cnd,"#"),"")),_xlpm.cm,IFERROR(_xlfn.XLOOKUP(TRIM(_xlpm.sz),Ampacity_Size,Ampacity_CM),0),_xlpm.mult,IF($G155=3,SQRT3,2),_xlpm.kk,IF($BV155="AL",K_Al,K_Cu),_xlpm.vd,IF(_xlpm.cm*IF(ISNUMBER(_xlpm.sts),_xlpm.sts,0)=0,9,_xlpm.mult*_xlpm.kk*$I155*$H155/(_xlpm.cm*_xlpm.sts)/$F155),_xlpm.hasN,--(RIGHT(_xlpm.codes&amp;"",1)="N"),_xlpm.wantN,--(RIGHT($BP155&amp;"",1)="N"),_xlpm.ok,(_xlpm.idx&gt;=_xlpm.i)*(_xlpm.vd&lt;=Cfg_VDFeeder)*(_xlpm.cm&gt;0)*ISNUMBER(_xlpm.sts)*(_xlpm.hasN=_xlpm.wantN),_xlpm.m,MIN(IF(_xlpm.ok=1,_xlpm.idx)),INDEX(_xlpm.codes,IF(_xlpm.m=0,_xlpm.i,_xlpm.m))),""))</f>
        <v/>
      </c>
      <c r="BY155" s="829" t="str" cm="1">
        <f t="array" ref="BY155">IF($BP155="","",IF($BX155="",$BU155,IFERROR(IF($BV155="AL",_xlfn.XLOOKUP($BX155,Std_Al3_Code,INDEX(Std_Al3_Table,0,2)),IF($G155=1,_xlfn.XLOOKUP($BX155,Std_Cu1_Code,INDEX(Std_Cu1_Table,0,2)),_xlfn.XLOOKUP($BX155,Std_Cu3_Code,INDEX(Std_Cu3_Table,0,2)))),"")))</f>
        <v/>
      </c>
      <c r="BZ155" s="829" t="str" cm="1">
        <f t="array" ref="BZ155">IF($BP155="","",IF($BX155="",$BR155,IFERROR(IF($BV155="AL",_xlfn.XLOOKUP($BX155,Std_Al3_Code,INDEX(Std_Al3_Table,0,4)),IF($G155=1,_xlfn.XLOOKUP($BX155,Std_Cu1_Code,INDEX(Std_Cu1_Table,0,4)),_xlfn.XLOOKUP($BX155,Std_Cu3_Code,INDEX(Std_Cu3_Table,0,4)))),"")))</f>
        <v/>
      </c>
      <c r="CA155" s="829" t="str" cm="1">
        <f t="array" ref="CA155">IF($BP155="","",IF($BX155="",$BQ155,IFERROR(IF($BV155="AL",_xlfn.XLOOKUP($BX155,Std_Al3_Code,INDEX(Std_Al3_Table,0,3)),IF($G155=1,_xlfn.XLOOKUP($BX155,Std_Cu1_Code,INDEX(Std_Cu1_Table,0,3)),_xlfn.XLOOKUP($BX155,Std_Cu3_Code,INDEX(Std_Cu3_Table,0,3)))),"")))</f>
        <v/>
      </c>
      <c r="CB155" s="829" t="str" cm="1">
        <f t="array" ref="CB155">IF($BP155="","",IF($BX155="",$BS155,IFERROR(IF($BV155="AL",_xlfn.XLOOKUP($BX155,Std_Al3_Code,INDEX(Std_Al3_Table,0,5)),IF($G155=1,_xlfn.XLOOKUP($BX155,Std_Cu1_Code,INDEX(Std_Cu1_Table,0,5)),_xlfn.XLOOKUP($BX155,Std_Cu3_Code,INDEX(Std_Cu3_Table,0,5)))),"")))</f>
        <v/>
      </c>
      <c r="CC155" s="829" t="str">
        <f t="shared" si="53"/>
        <v/>
      </c>
      <c r="CD155" s="829" t="str">
        <f t="shared" si="54"/>
        <v/>
      </c>
      <c r="CE155" s="829" t="str">
        <f t="shared" si="55"/>
        <v/>
      </c>
      <c r="CF155" s="829" t="str">
        <f t="shared" si="56"/>
        <v/>
      </c>
      <c r="CG155" s="829" t="str">
        <f t="shared" si="57"/>
        <v/>
      </c>
      <c r="CH155" s="829" t="str">
        <f t="shared" si="58"/>
        <v/>
      </c>
      <c r="CI155" s="829" t="str">
        <f t="shared" si="59"/>
        <v/>
      </c>
      <c r="CJ155" s="829" t="str" cm="1">
        <f t="array" ref="CJ155">IF($B155="","",_xlfn.LET(_xlpm.to,$D155&amp;"",_xlpm.em,IFERROR(INDEX(_xlfn.ANCHORARRAY($BE$4),ROW()-4,6),"")="EMERG",_xlpm.pri,AND(NOT(_xlpm.em),LEFT(_xlpm.to,2)="T-",ISNUMBER(MATCH(MID(_xlpm.to,3,99),Equip_List,0)),ISNA(MATCH(_xlpm.to,Equip_List,0))),IF(_xlpm.pri,MID(_xlpm.to,3,99),_xlpm.to)))</f>
        <v/>
      </c>
      <c r="CK155" s="829" t="str" cm="1">
        <f t="array" ref="CK155">IF($CJ155="","",IF(IFERROR(INDEX(_xlfn.ANCHORARRAY($BE$4),ROW()-4,6),"")="EMERG","E",IF($CJ155&lt;&gt;$D155&amp;"","P","N")))</f>
        <v/>
      </c>
    </row>
    <row r="156" spans="1:89" ht="15" customHeight="1" x14ac:dyDescent="0.35">
      <c r="A156" s="821" t="str">
        <f t="shared" si="47"/>
        <v/>
      </c>
      <c r="B156" s="821" t="str" cm="1">
        <f t="array" ref="B156">IFERROR(IF(INDEX(_xlfn.ANCHORARRAY($BE$4),ROW()-4,2)="","","F-"&amp;INDEX(_xlfn.ANCHORARRAY($BE$4),ROW()-4,2)&amp;IF(IFERROR(INDEX(_xlfn.ANCHORARRAY($BE$4),ROW()-4,6),"")="EMERG","-E","")),"")</f>
        <v/>
      </c>
      <c r="C156" s="821" t="str" cm="1">
        <f t="array" ref="C156">IFERROR(IF($B156="","",INDEX(_xlfn.ANCHORARRAY($BE$4),ROW()-4,1)),"")</f>
        <v/>
      </c>
      <c r="D156" s="821" t="str" cm="1">
        <f t="array" ref="D156">IFERROR(IF($B156="","",INDEX(_xlfn.ANCHORARRAY($BE$4),ROW()-4,2)),"")</f>
        <v/>
      </c>
      <c r="E156" s="806" t="str" cm="1">
        <f t="array" ref="E156">IFERROR(IF($B156="","",INDEX(_xlfn.ANCHORARRAY($BE$4),ROW()-4,3)),"")</f>
        <v/>
      </c>
      <c r="F156" s="822" t="str" cm="1">
        <f t="array" ref="F156">IFERROR(IF($B156="","",INDEX(_xlfn.ANCHORARRAY($BE$4),ROW()-4,4)),"")</f>
        <v/>
      </c>
      <c r="G156" s="823" t="str" cm="1">
        <f t="array" ref="G156">IFERROR(IF($B156="","",INDEX(_xlfn.ANCHORARRAY($BE$4),ROW()-4,5)),"")</f>
        <v/>
      </c>
      <c r="H156" s="824" t="str" cm="1">
        <f t="array" ref="H156">IF($CJ156="","",_xlfn.LET(_xlpm.v,_xlfn.XLOOKUP($CJ156,Equip_List,IF($CK156="E",Equip_EmLen,IF($CK156="P",Equip_XfPriLen,Equip_FdrLen)),""),IF(_xlpm.v="","",_xlpm.v)))</f>
        <v/>
      </c>
      <c r="I156" s="806" t="str">
        <f t="shared" si="40"/>
        <v/>
      </c>
      <c r="J156" s="820"/>
      <c r="K156" s="806" t="str">
        <f>_xlfn.LET(_xlpm.k,IF($I156="","",IF(COUNTIF(UPS!$B$57:$B$64,$C156&amp;"")&gt;0,1.25*MAX($I156,N(_xlfn.XLOOKUP($C156&amp;"",UPS!$B$57:$B$64,UPS!$M$57:$M$64,0))),IF(COUNTIF(UPS!$B$57:$B$64,$D156&amp;"")&gt;0,1.25*MAX($I156,N(_xlfn.XLOOKUP($D156&amp;"",UPS!$B$57:$B$64,UPS!$Q$57:$Q$64,0))),$I156*IF(OR(UPPER($J156)="Y",LEFT($C156,2)="T-",LEFT($D156,2)="T-"),1.25,1)))),IF(_xlpm.k="","",MAX(_xlpm.k,N(IFERROR(_xlfn.XLOOKUP($D156&amp;"",Dashboard!$A$101:$A$350,Dashboard!$O$101:$O$350,0),0)))))</f>
        <v/>
      </c>
      <c r="L156" s="825" t="str">
        <f>IF($CJ156="","",_xlfn.LET(_xlpm.v,UPPER(TRIM(_xlfn.XLOOKUP($CJ156,Equip_List,Equip_FdrMat,"")&amp;"")),IF(_xlpm.v="",UPPER(TRIM(Cfg_FeederMat&amp;"")),_xlpm.v)))</f>
        <v/>
      </c>
      <c r="M156" s="825" t="str">
        <f>IF($CJ156="","",_xlfn.LET(_xlpm.v,TRIM(_xlfn.XLOOKUP($CJ156,Equip_List,Equip_FdrRace,"")&amp;""),IF(_xlpm.v="",Cfg_Conduit&amp;"",_xlpm.v)))</f>
        <v/>
      </c>
      <c r="N156" s="825" t="str">
        <f>IF($CJ156="","",IF(UPPER(TRIM(_xlfn.XLOOKUP($CJ156,Equip_List,Equip_FdrExist,"")&amp;""))="Y","Y",""))</f>
        <v/>
      </c>
      <c r="O156" s="823" t="str">
        <f t="shared" si="48"/>
        <v/>
      </c>
      <c r="P156" s="821" t="str">
        <f t="shared" si="49"/>
        <v/>
      </c>
      <c r="Q156" s="821" t="str">
        <f t="shared" si="50"/>
        <v/>
      </c>
      <c r="R156" s="822" t="str" cm="1">
        <f t="array" ref="R156">IF(K156="","",INDEX(OCPD_List,MATCH(TRUE,OCPD_List&gt;=K156,0)))</f>
        <v/>
      </c>
      <c r="S156" s="821" t="str">
        <f t="shared" si="51"/>
        <v/>
      </c>
      <c r="T156" s="826" t="str">
        <f t="shared" si="41"/>
        <v/>
      </c>
      <c r="U156" s="826" t="str">
        <f t="shared" si="42"/>
        <v/>
      </c>
      <c r="V156" s="827" t="str">
        <f t="shared" si="43"/>
        <v/>
      </c>
      <c r="W156" s="828"/>
      <c r="X156" s="819"/>
      <c r="Y156" s="820"/>
      <c r="Z156" s="820"/>
      <c r="AA156" s="820"/>
      <c r="BN156" s="832" t="str">
        <f>IF($B156="","",IFERROR(_xlfn.XLOOKUP($D156,Dashboard!$A$101:$A$350,Dashboard!$C$101:$C$350),""))</f>
        <v/>
      </c>
      <c r="BO156" s="832" t="str">
        <f t="shared" si="44"/>
        <v/>
      </c>
      <c r="BP156" s="832" t="str" cm="1">
        <f t="array" ref="BP156">IF(OR($B156="",$R156="",NOT(ISNUMBER($R156))),"",IF(AND($BV156="AL",$G156=1),"",_xlfn.LET(_xlpm.codes,IF($BV156="AL",Std_Al3_Code,IF($G156=1,Std_Cu1_Code,Std_Cu3_Code)),_xlpm.amps,IFERROR(--SUBSTITUTE(_xlpm.codes&amp;"","N",""),""),_xlpm.a,MIN(IF(ISNUMBER(_xlpm.amps),IF(_xlpm.amps&gt;=$R156,_xlpm.amps,""),"")),_xlpm.k,IF(_xlpm.a=0,$R156,_xlpm.a),IF($BO156="Y",TEXT(_xlpm.k,"0")&amp;"N",_xlpm.k))))</f>
        <v/>
      </c>
      <c r="BQ156" s="832" t="str" cm="1">
        <f t="array" ref="BQ156">IF($BP156="","",IFERROR(IF($BV156="AL",_xlfn.XLOOKUP($BP156,Std_Al3_Code,INDEX(Std_Al3_Table,0,3)),IF($G156=1,_xlfn.XLOOKUP($BP156,Std_Cu1_Code,INDEX(Std_Cu1_Table,0,3)),_xlfn.XLOOKUP($BP156,Std_Cu3_Code,INDEX(Std_Cu3_Table,0,3)))),""))</f>
        <v/>
      </c>
      <c r="BR156" s="832" t="str" cm="1">
        <f t="array" ref="BR156">IF($BP156="","",IFERROR(IF($BV156="AL",_xlfn.XLOOKUP($BP156,Std_Al3_Code,INDEX(Std_Al3_Table,0,4)),IF($G156=1,_xlfn.XLOOKUP($BP156,Std_Cu1_Code,INDEX(Std_Cu1_Table,0,4)),_xlfn.XLOOKUP($BP156,Std_Cu3_Code,INDEX(Std_Cu3_Table,0,4)))),""))</f>
        <v/>
      </c>
      <c r="BS156" s="832" t="str" cm="1">
        <f t="array" ref="BS156">IF($BP156="","",IFERROR(IF($BV156="AL",_xlfn.XLOOKUP($BP156,Std_Al3_Code,INDEX(Std_Al3_Table,0,5)),IF($G156=1,_xlfn.XLOOKUP($BP156,Std_Cu1_Code,INDEX(Std_Cu1_Table,0,5)),_xlfn.XLOOKUP($BP156,Std_Cu3_Code,INDEX(Std_Cu3_Table,0,5)))),""))</f>
        <v/>
      </c>
      <c r="BT156" s="832" t="str">
        <f t="shared" si="45"/>
        <v/>
      </c>
      <c r="BU156" s="832" t="str" cm="1">
        <f t="array" ref="BU156">IF($BP156="","",IFERROR(IF($BV156="AL",_xlfn.XLOOKUP($BP156,Std_Al3_Code,INDEX(Std_Al3_Table,0,2)),IF($G156=1,_xlfn.XLOOKUP($BP156,Std_Cu1_Code,INDEX(Std_Cu1_Table,0,2)),_xlfn.XLOOKUP($BP156,Std_Cu3_Code,INDEX(Std_Cu3_Table,0,2)))),""))</f>
        <v/>
      </c>
      <c r="BV156" s="829" t="str">
        <f t="shared" si="46"/>
        <v/>
      </c>
      <c r="BW156" s="829" t="str">
        <f t="shared" si="52"/>
        <v/>
      </c>
      <c r="BX156" s="829" t="str" cm="1">
        <f t="array" ref="BX156">IF(OR($BP156="",$H156="",$I156="",$F156="",$BW156=""),"",IFERROR(_xlfn.LET(_xlpm.codes,IF($BV156="AL",Std_Al3_Code,IF($G156=1,Std_Cu1_Code,Std_Cu3_Code)),_xlpm.tbl,IF($BV156="AL",Std_Al3_Table,IF($G156=1,Std_Cu1_Table,Std_Cu3_Table)),_xlpm.i,MATCH($BP156,_xlpm.codes,0),_xlpm.idx,_xlfn.SEQUENCE(ROWS(_xlpm.codes)),_xlpm.cnd,INDEX(_xlpm.tbl,0,4),_xlpm.sts,INDEX(_xlpm.tbl,0,2),_xlpm.sz,IFERROR(_xlfn.TEXTBEFORE(_xlfn.TEXTAFTER(_xlpm.cnd,"#"),","),IFERROR(_xlfn.TEXTAFTER(_xlpm.cnd,"#"),"")),_xlpm.cm,IFERROR(_xlfn.XLOOKUP(TRIM(_xlpm.sz),Ampacity_Size,Ampacity_CM),0),_xlpm.mult,IF($G156=3,SQRT3,2),_xlpm.kk,IF($BV156="AL",K_Al,K_Cu),_xlpm.vd,IF(_xlpm.cm*IF(ISNUMBER(_xlpm.sts),_xlpm.sts,0)=0,9,_xlpm.mult*_xlpm.kk*$I156*$H156/(_xlpm.cm*_xlpm.sts)/$F156),_xlpm.hasN,--(RIGHT(_xlpm.codes&amp;"",1)="N"),_xlpm.wantN,--(RIGHT($BP156&amp;"",1)="N"),_xlpm.ok,(_xlpm.idx&gt;=_xlpm.i)*(_xlpm.vd&lt;=Cfg_VDFeeder)*(_xlpm.cm&gt;0)*ISNUMBER(_xlpm.sts)*(_xlpm.hasN=_xlpm.wantN),_xlpm.m,MIN(IF(_xlpm.ok=1,_xlpm.idx)),INDEX(_xlpm.codes,IF(_xlpm.m=0,_xlpm.i,_xlpm.m))),""))</f>
        <v/>
      </c>
      <c r="BY156" s="829" t="str" cm="1">
        <f t="array" ref="BY156">IF($BP156="","",IF($BX156="",$BU156,IFERROR(IF($BV156="AL",_xlfn.XLOOKUP($BX156,Std_Al3_Code,INDEX(Std_Al3_Table,0,2)),IF($G156=1,_xlfn.XLOOKUP($BX156,Std_Cu1_Code,INDEX(Std_Cu1_Table,0,2)),_xlfn.XLOOKUP($BX156,Std_Cu3_Code,INDEX(Std_Cu3_Table,0,2)))),"")))</f>
        <v/>
      </c>
      <c r="BZ156" s="829" t="str" cm="1">
        <f t="array" ref="BZ156">IF($BP156="","",IF($BX156="",$BR156,IFERROR(IF($BV156="AL",_xlfn.XLOOKUP($BX156,Std_Al3_Code,INDEX(Std_Al3_Table,0,4)),IF($G156=1,_xlfn.XLOOKUP($BX156,Std_Cu1_Code,INDEX(Std_Cu1_Table,0,4)),_xlfn.XLOOKUP($BX156,Std_Cu3_Code,INDEX(Std_Cu3_Table,0,4)))),"")))</f>
        <v/>
      </c>
      <c r="CA156" s="829" t="str" cm="1">
        <f t="array" ref="CA156">IF($BP156="","",IF($BX156="",$BQ156,IFERROR(IF($BV156="AL",_xlfn.XLOOKUP($BX156,Std_Al3_Code,INDEX(Std_Al3_Table,0,3)),IF($G156=1,_xlfn.XLOOKUP($BX156,Std_Cu1_Code,INDEX(Std_Cu1_Table,0,3)),_xlfn.XLOOKUP($BX156,Std_Cu3_Code,INDEX(Std_Cu3_Table,0,3)))),"")))</f>
        <v/>
      </c>
      <c r="CB156" s="829" t="str" cm="1">
        <f t="array" ref="CB156">IF($BP156="","",IF($BX156="",$BS156,IFERROR(IF($BV156="AL",_xlfn.XLOOKUP($BX156,Std_Al3_Code,INDEX(Std_Al3_Table,0,5)),IF($G156=1,_xlfn.XLOOKUP($BX156,Std_Cu1_Code,INDEX(Std_Cu1_Table,0,5)),_xlfn.XLOOKUP($BX156,Std_Cu3_Code,INDEX(Std_Cu3_Table,0,5)))),"")))</f>
        <v/>
      </c>
      <c r="CC156" s="829" t="str">
        <f t="shared" si="53"/>
        <v/>
      </c>
      <c r="CD156" s="829" t="str">
        <f t="shared" si="54"/>
        <v/>
      </c>
      <c r="CE156" s="829" t="str">
        <f t="shared" si="55"/>
        <v/>
      </c>
      <c r="CF156" s="829" t="str">
        <f t="shared" si="56"/>
        <v/>
      </c>
      <c r="CG156" s="829" t="str">
        <f t="shared" si="57"/>
        <v/>
      </c>
      <c r="CH156" s="829" t="str">
        <f t="shared" si="58"/>
        <v/>
      </c>
      <c r="CI156" s="829" t="str">
        <f t="shared" si="59"/>
        <v/>
      </c>
      <c r="CJ156" s="829" t="str" cm="1">
        <f t="array" ref="CJ156">IF($B156="","",_xlfn.LET(_xlpm.to,$D156&amp;"",_xlpm.em,IFERROR(INDEX(_xlfn.ANCHORARRAY($BE$4),ROW()-4,6),"")="EMERG",_xlpm.pri,AND(NOT(_xlpm.em),LEFT(_xlpm.to,2)="T-",ISNUMBER(MATCH(MID(_xlpm.to,3,99),Equip_List,0)),ISNA(MATCH(_xlpm.to,Equip_List,0))),IF(_xlpm.pri,MID(_xlpm.to,3,99),_xlpm.to)))</f>
        <v/>
      </c>
      <c r="CK156" s="829" t="str" cm="1">
        <f t="array" ref="CK156">IF($CJ156="","",IF(IFERROR(INDEX(_xlfn.ANCHORARRAY($BE$4),ROW()-4,6),"")="EMERG","E",IF($CJ156&lt;&gt;$D156&amp;"","P","N")))</f>
        <v/>
      </c>
    </row>
    <row r="157" spans="1:89" ht="15" customHeight="1" x14ac:dyDescent="0.35">
      <c r="A157" s="821" t="str">
        <f t="shared" si="47"/>
        <v/>
      </c>
      <c r="B157" s="821" t="str" cm="1">
        <f t="array" ref="B157">IFERROR(IF(INDEX(_xlfn.ANCHORARRAY($BE$4),ROW()-4,2)="","","F-"&amp;INDEX(_xlfn.ANCHORARRAY($BE$4),ROW()-4,2)&amp;IF(IFERROR(INDEX(_xlfn.ANCHORARRAY($BE$4),ROW()-4,6),"")="EMERG","-E","")),"")</f>
        <v/>
      </c>
      <c r="C157" s="821" t="str" cm="1">
        <f t="array" ref="C157">IFERROR(IF($B157="","",INDEX(_xlfn.ANCHORARRAY($BE$4),ROW()-4,1)),"")</f>
        <v/>
      </c>
      <c r="D157" s="821" t="str" cm="1">
        <f t="array" ref="D157">IFERROR(IF($B157="","",INDEX(_xlfn.ANCHORARRAY($BE$4),ROW()-4,2)),"")</f>
        <v/>
      </c>
      <c r="E157" s="806" t="str" cm="1">
        <f t="array" ref="E157">IFERROR(IF($B157="","",INDEX(_xlfn.ANCHORARRAY($BE$4),ROW()-4,3)),"")</f>
        <v/>
      </c>
      <c r="F157" s="822" t="str" cm="1">
        <f t="array" ref="F157">IFERROR(IF($B157="","",INDEX(_xlfn.ANCHORARRAY($BE$4),ROW()-4,4)),"")</f>
        <v/>
      </c>
      <c r="G157" s="823" t="str" cm="1">
        <f t="array" ref="G157">IFERROR(IF($B157="","",INDEX(_xlfn.ANCHORARRAY($BE$4),ROW()-4,5)),"")</f>
        <v/>
      </c>
      <c r="H157" s="824" t="str" cm="1">
        <f t="array" ref="H157">IF($CJ157="","",_xlfn.LET(_xlpm.v,_xlfn.XLOOKUP($CJ157,Equip_List,IF($CK157="E",Equip_EmLen,IF($CK157="P",Equip_XfPriLen,Equip_FdrLen)),""),IF(_xlpm.v="","",_xlpm.v)))</f>
        <v/>
      </c>
      <c r="I157" s="806" t="str">
        <f t="shared" si="40"/>
        <v/>
      </c>
      <c r="J157" s="820"/>
      <c r="K157" s="806" t="str">
        <f>_xlfn.LET(_xlpm.k,IF($I157="","",IF(COUNTIF(UPS!$B$57:$B$64,$C157&amp;"")&gt;0,1.25*MAX($I157,N(_xlfn.XLOOKUP($C157&amp;"",UPS!$B$57:$B$64,UPS!$M$57:$M$64,0))),IF(COUNTIF(UPS!$B$57:$B$64,$D157&amp;"")&gt;0,1.25*MAX($I157,N(_xlfn.XLOOKUP($D157&amp;"",UPS!$B$57:$B$64,UPS!$Q$57:$Q$64,0))),$I157*IF(OR(UPPER($J157)="Y",LEFT($C157,2)="T-",LEFT($D157,2)="T-"),1.25,1)))),IF(_xlpm.k="","",MAX(_xlpm.k,N(IFERROR(_xlfn.XLOOKUP($D157&amp;"",Dashboard!$A$101:$A$350,Dashboard!$O$101:$O$350,0),0)))))</f>
        <v/>
      </c>
      <c r="L157" s="825" t="str">
        <f>IF($CJ157="","",_xlfn.LET(_xlpm.v,UPPER(TRIM(_xlfn.XLOOKUP($CJ157,Equip_List,Equip_FdrMat,"")&amp;"")),IF(_xlpm.v="",UPPER(TRIM(Cfg_FeederMat&amp;"")),_xlpm.v)))</f>
        <v/>
      </c>
      <c r="M157" s="825" t="str">
        <f>IF($CJ157="","",_xlfn.LET(_xlpm.v,TRIM(_xlfn.XLOOKUP($CJ157,Equip_List,Equip_FdrRace,"")&amp;""),IF(_xlpm.v="",Cfg_Conduit&amp;"",_xlpm.v)))</f>
        <v/>
      </c>
      <c r="N157" s="825" t="str">
        <f>IF($CJ157="","",IF(UPPER(TRIM(_xlfn.XLOOKUP($CJ157,Equip_List,Equip_FdrExist,"")&amp;""))="Y","Y",""))</f>
        <v/>
      </c>
      <c r="O157" s="823" t="str">
        <f t="shared" si="48"/>
        <v/>
      </c>
      <c r="P157" s="821" t="str">
        <f t="shared" si="49"/>
        <v/>
      </c>
      <c r="Q157" s="821" t="str">
        <f t="shared" si="50"/>
        <v/>
      </c>
      <c r="R157" s="822" t="str" cm="1">
        <f t="array" ref="R157">IF(K157="","",INDEX(OCPD_List,MATCH(TRUE,OCPD_List&gt;=K157,0)))</f>
        <v/>
      </c>
      <c r="S157" s="821" t="str">
        <f t="shared" si="51"/>
        <v/>
      </c>
      <c r="T157" s="826" t="str">
        <f t="shared" si="41"/>
        <v/>
      </c>
      <c r="U157" s="826" t="str">
        <f t="shared" si="42"/>
        <v/>
      </c>
      <c r="V157" s="827" t="str">
        <f t="shared" si="43"/>
        <v/>
      </c>
      <c r="W157" s="828"/>
      <c r="X157" s="819"/>
      <c r="Y157" s="820"/>
      <c r="Z157" s="820"/>
      <c r="AA157" s="820"/>
      <c r="BN157" s="832" t="str">
        <f>IF($B157="","",IFERROR(_xlfn.XLOOKUP($D157,Dashboard!$A$101:$A$350,Dashboard!$C$101:$C$350),""))</f>
        <v/>
      </c>
      <c r="BO157" s="832" t="str">
        <f t="shared" si="44"/>
        <v/>
      </c>
      <c r="BP157" s="832" t="str" cm="1">
        <f t="array" ref="BP157">IF(OR($B157="",$R157="",NOT(ISNUMBER($R157))),"",IF(AND($BV157="AL",$G157=1),"",_xlfn.LET(_xlpm.codes,IF($BV157="AL",Std_Al3_Code,IF($G157=1,Std_Cu1_Code,Std_Cu3_Code)),_xlpm.amps,IFERROR(--SUBSTITUTE(_xlpm.codes&amp;"","N",""),""),_xlpm.a,MIN(IF(ISNUMBER(_xlpm.amps),IF(_xlpm.amps&gt;=$R157,_xlpm.amps,""),"")),_xlpm.k,IF(_xlpm.a=0,$R157,_xlpm.a),IF($BO157="Y",TEXT(_xlpm.k,"0")&amp;"N",_xlpm.k))))</f>
        <v/>
      </c>
      <c r="BQ157" s="832" t="str" cm="1">
        <f t="array" ref="BQ157">IF($BP157="","",IFERROR(IF($BV157="AL",_xlfn.XLOOKUP($BP157,Std_Al3_Code,INDEX(Std_Al3_Table,0,3)),IF($G157=1,_xlfn.XLOOKUP($BP157,Std_Cu1_Code,INDEX(Std_Cu1_Table,0,3)),_xlfn.XLOOKUP($BP157,Std_Cu3_Code,INDEX(Std_Cu3_Table,0,3)))),""))</f>
        <v/>
      </c>
      <c r="BR157" s="832" t="str" cm="1">
        <f t="array" ref="BR157">IF($BP157="","",IFERROR(IF($BV157="AL",_xlfn.XLOOKUP($BP157,Std_Al3_Code,INDEX(Std_Al3_Table,0,4)),IF($G157=1,_xlfn.XLOOKUP($BP157,Std_Cu1_Code,INDEX(Std_Cu1_Table,0,4)),_xlfn.XLOOKUP($BP157,Std_Cu3_Code,INDEX(Std_Cu3_Table,0,4)))),""))</f>
        <v/>
      </c>
      <c r="BS157" s="832" t="str" cm="1">
        <f t="array" ref="BS157">IF($BP157="","",IFERROR(IF($BV157="AL",_xlfn.XLOOKUP($BP157,Std_Al3_Code,INDEX(Std_Al3_Table,0,5)),IF($G157=1,_xlfn.XLOOKUP($BP157,Std_Cu1_Code,INDEX(Std_Cu1_Table,0,5)),_xlfn.XLOOKUP($BP157,Std_Cu3_Code,INDEX(Std_Cu3_Table,0,5)))),""))</f>
        <v/>
      </c>
      <c r="BT157" s="832" t="str">
        <f t="shared" si="45"/>
        <v/>
      </c>
      <c r="BU157" s="832" t="str" cm="1">
        <f t="array" ref="BU157">IF($BP157="","",IFERROR(IF($BV157="AL",_xlfn.XLOOKUP($BP157,Std_Al3_Code,INDEX(Std_Al3_Table,0,2)),IF($G157=1,_xlfn.XLOOKUP($BP157,Std_Cu1_Code,INDEX(Std_Cu1_Table,0,2)),_xlfn.XLOOKUP($BP157,Std_Cu3_Code,INDEX(Std_Cu3_Table,0,2)))),""))</f>
        <v/>
      </c>
      <c r="BV157" s="829" t="str">
        <f t="shared" si="46"/>
        <v/>
      </c>
      <c r="BW157" s="829" t="str">
        <f t="shared" si="52"/>
        <v/>
      </c>
      <c r="BX157" s="829" t="str" cm="1">
        <f t="array" ref="BX157">IF(OR($BP157="",$H157="",$I157="",$F157="",$BW157=""),"",IFERROR(_xlfn.LET(_xlpm.codes,IF($BV157="AL",Std_Al3_Code,IF($G157=1,Std_Cu1_Code,Std_Cu3_Code)),_xlpm.tbl,IF($BV157="AL",Std_Al3_Table,IF($G157=1,Std_Cu1_Table,Std_Cu3_Table)),_xlpm.i,MATCH($BP157,_xlpm.codes,0),_xlpm.idx,_xlfn.SEQUENCE(ROWS(_xlpm.codes)),_xlpm.cnd,INDEX(_xlpm.tbl,0,4),_xlpm.sts,INDEX(_xlpm.tbl,0,2),_xlpm.sz,IFERROR(_xlfn.TEXTBEFORE(_xlfn.TEXTAFTER(_xlpm.cnd,"#"),","),IFERROR(_xlfn.TEXTAFTER(_xlpm.cnd,"#"),"")),_xlpm.cm,IFERROR(_xlfn.XLOOKUP(TRIM(_xlpm.sz),Ampacity_Size,Ampacity_CM),0),_xlpm.mult,IF($G157=3,SQRT3,2),_xlpm.kk,IF($BV157="AL",K_Al,K_Cu),_xlpm.vd,IF(_xlpm.cm*IF(ISNUMBER(_xlpm.sts),_xlpm.sts,0)=0,9,_xlpm.mult*_xlpm.kk*$I157*$H157/(_xlpm.cm*_xlpm.sts)/$F157),_xlpm.hasN,--(RIGHT(_xlpm.codes&amp;"",1)="N"),_xlpm.wantN,--(RIGHT($BP157&amp;"",1)="N"),_xlpm.ok,(_xlpm.idx&gt;=_xlpm.i)*(_xlpm.vd&lt;=Cfg_VDFeeder)*(_xlpm.cm&gt;0)*ISNUMBER(_xlpm.sts)*(_xlpm.hasN=_xlpm.wantN),_xlpm.m,MIN(IF(_xlpm.ok=1,_xlpm.idx)),INDEX(_xlpm.codes,IF(_xlpm.m=0,_xlpm.i,_xlpm.m))),""))</f>
        <v/>
      </c>
      <c r="BY157" s="829" t="str" cm="1">
        <f t="array" ref="BY157">IF($BP157="","",IF($BX157="",$BU157,IFERROR(IF($BV157="AL",_xlfn.XLOOKUP($BX157,Std_Al3_Code,INDEX(Std_Al3_Table,0,2)),IF($G157=1,_xlfn.XLOOKUP($BX157,Std_Cu1_Code,INDEX(Std_Cu1_Table,0,2)),_xlfn.XLOOKUP($BX157,Std_Cu3_Code,INDEX(Std_Cu3_Table,0,2)))),"")))</f>
        <v/>
      </c>
      <c r="BZ157" s="829" t="str" cm="1">
        <f t="array" ref="BZ157">IF($BP157="","",IF($BX157="",$BR157,IFERROR(IF($BV157="AL",_xlfn.XLOOKUP($BX157,Std_Al3_Code,INDEX(Std_Al3_Table,0,4)),IF($G157=1,_xlfn.XLOOKUP($BX157,Std_Cu1_Code,INDEX(Std_Cu1_Table,0,4)),_xlfn.XLOOKUP($BX157,Std_Cu3_Code,INDEX(Std_Cu3_Table,0,4)))),"")))</f>
        <v/>
      </c>
      <c r="CA157" s="829" t="str" cm="1">
        <f t="array" ref="CA157">IF($BP157="","",IF($BX157="",$BQ157,IFERROR(IF($BV157="AL",_xlfn.XLOOKUP($BX157,Std_Al3_Code,INDEX(Std_Al3_Table,0,3)),IF($G157=1,_xlfn.XLOOKUP($BX157,Std_Cu1_Code,INDEX(Std_Cu1_Table,0,3)),_xlfn.XLOOKUP($BX157,Std_Cu3_Code,INDEX(Std_Cu3_Table,0,3)))),"")))</f>
        <v/>
      </c>
      <c r="CB157" s="829" t="str" cm="1">
        <f t="array" ref="CB157">IF($BP157="","",IF($BX157="",$BS157,IFERROR(IF($BV157="AL",_xlfn.XLOOKUP($BX157,Std_Al3_Code,INDEX(Std_Al3_Table,0,5)),IF($G157=1,_xlfn.XLOOKUP($BX157,Std_Cu1_Code,INDEX(Std_Cu1_Table,0,5)),_xlfn.XLOOKUP($BX157,Std_Cu3_Code,INDEX(Std_Cu3_Table,0,5)))),"")))</f>
        <v/>
      </c>
      <c r="CC157" s="829" t="str">
        <f t="shared" si="53"/>
        <v/>
      </c>
      <c r="CD157" s="829" t="str">
        <f t="shared" si="54"/>
        <v/>
      </c>
      <c r="CE157" s="829" t="str">
        <f t="shared" si="55"/>
        <v/>
      </c>
      <c r="CF157" s="829" t="str">
        <f t="shared" si="56"/>
        <v/>
      </c>
      <c r="CG157" s="829" t="str">
        <f t="shared" si="57"/>
        <v/>
      </c>
      <c r="CH157" s="829" t="str">
        <f t="shared" si="58"/>
        <v/>
      </c>
      <c r="CI157" s="829" t="str">
        <f t="shared" si="59"/>
        <v/>
      </c>
      <c r="CJ157" s="829" t="str" cm="1">
        <f t="array" ref="CJ157">IF($B157="","",_xlfn.LET(_xlpm.to,$D157&amp;"",_xlpm.em,IFERROR(INDEX(_xlfn.ANCHORARRAY($BE$4),ROW()-4,6),"")="EMERG",_xlpm.pri,AND(NOT(_xlpm.em),LEFT(_xlpm.to,2)="T-",ISNUMBER(MATCH(MID(_xlpm.to,3,99),Equip_List,0)),ISNA(MATCH(_xlpm.to,Equip_List,0))),IF(_xlpm.pri,MID(_xlpm.to,3,99),_xlpm.to)))</f>
        <v/>
      </c>
      <c r="CK157" s="829" t="str" cm="1">
        <f t="array" ref="CK157">IF($CJ157="","",IF(IFERROR(INDEX(_xlfn.ANCHORARRAY($BE$4),ROW()-4,6),"")="EMERG","E",IF($CJ157&lt;&gt;$D157&amp;"","P","N")))</f>
        <v/>
      </c>
    </row>
    <row r="158" spans="1:89" ht="15" customHeight="1" x14ac:dyDescent="0.35">
      <c r="A158" s="821" t="str">
        <f t="shared" si="47"/>
        <v/>
      </c>
      <c r="B158" s="821" t="str" cm="1">
        <f t="array" ref="B158">IFERROR(IF(INDEX(_xlfn.ANCHORARRAY($BE$4),ROW()-4,2)="","","F-"&amp;INDEX(_xlfn.ANCHORARRAY($BE$4),ROW()-4,2)&amp;IF(IFERROR(INDEX(_xlfn.ANCHORARRAY($BE$4),ROW()-4,6),"")="EMERG","-E","")),"")</f>
        <v/>
      </c>
      <c r="C158" s="821" t="str" cm="1">
        <f t="array" ref="C158">IFERROR(IF($B158="","",INDEX(_xlfn.ANCHORARRAY($BE$4),ROW()-4,1)),"")</f>
        <v/>
      </c>
      <c r="D158" s="821" t="str" cm="1">
        <f t="array" ref="D158">IFERROR(IF($B158="","",INDEX(_xlfn.ANCHORARRAY($BE$4),ROW()-4,2)),"")</f>
        <v/>
      </c>
      <c r="E158" s="806" t="str" cm="1">
        <f t="array" ref="E158">IFERROR(IF($B158="","",INDEX(_xlfn.ANCHORARRAY($BE$4),ROW()-4,3)),"")</f>
        <v/>
      </c>
      <c r="F158" s="822" t="str" cm="1">
        <f t="array" ref="F158">IFERROR(IF($B158="","",INDEX(_xlfn.ANCHORARRAY($BE$4),ROW()-4,4)),"")</f>
        <v/>
      </c>
      <c r="G158" s="823" t="str" cm="1">
        <f t="array" ref="G158">IFERROR(IF($B158="","",INDEX(_xlfn.ANCHORARRAY($BE$4),ROW()-4,5)),"")</f>
        <v/>
      </c>
      <c r="H158" s="824" t="str" cm="1">
        <f t="array" ref="H158">IF($CJ158="","",_xlfn.LET(_xlpm.v,_xlfn.XLOOKUP($CJ158,Equip_List,IF($CK158="E",Equip_EmLen,IF($CK158="P",Equip_XfPriLen,Equip_FdrLen)),""),IF(_xlpm.v="","",_xlpm.v)))</f>
        <v/>
      </c>
      <c r="I158" s="806" t="str">
        <f t="shared" si="40"/>
        <v/>
      </c>
      <c r="J158" s="820"/>
      <c r="K158" s="806" t="str">
        <f>_xlfn.LET(_xlpm.k,IF($I158="","",IF(COUNTIF(UPS!$B$57:$B$64,$C158&amp;"")&gt;0,1.25*MAX($I158,N(_xlfn.XLOOKUP($C158&amp;"",UPS!$B$57:$B$64,UPS!$M$57:$M$64,0))),IF(COUNTIF(UPS!$B$57:$B$64,$D158&amp;"")&gt;0,1.25*MAX($I158,N(_xlfn.XLOOKUP($D158&amp;"",UPS!$B$57:$B$64,UPS!$Q$57:$Q$64,0))),$I158*IF(OR(UPPER($J158)="Y",LEFT($C158,2)="T-",LEFT($D158,2)="T-"),1.25,1)))),IF(_xlpm.k="","",MAX(_xlpm.k,N(IFERROR(_xlfn.XLOOKUP($D158&amp;"",Dashboard!$A$101:$A$350,Dashboard!$O$101:$O$350,0),0)))))</f>
        <v/>
      </c>
      <c r="L158" s="825" t="str">
        <f>IF($CJ158="","",_xlfn.LET(_xlpm.v,UPPER(TRIM(_xlfn.XLOOKUP($CJ158,Equip_List,Equip_FdrMat,"")&amp;"")),IF(_xlpm.v="",UPPER(TRIM(Cfg_FeederMat&amp;"")),_xlpm.v)))</f>
        <v/>
      </c>
      <c r="M158" s="825" t="str">
        <f>IF($CJ158="","",_xlfn.LET(_xlpm.v,TRIM(_xlfn.XLOOKUP($CJ158,Equip_List,Equip_FdrRace,"")&amp;""),IF(_xlpm.v="",Cfg_Conduit&amp;"",_xlpm.v)))</f>
        <v/>
      </c>
      <c r="N158" s="825" t="str">
        <f>IF($CJ158="","",IF(UPPER(TRIM(_xlfn.XLOOKUP($CJ158,Equip_List,Equip_FdrExist,"")&amp;""))="Y","Y",""))</f>
        <v/>
      </c>
      <c r="O158" s="823" t="str">
        <f t="shared" si="48"/>
        <v/>
      </c>
      <c r="P158" s="821" t="str">
        <f t="shared" si="49"/>
        <v/>
      </c>
      <c r="Q158" s="821" t="str">
        <f t="shared" si="50"/>
        <v/>
      </c>
      <c r="R158" s="822" t="str" cm="1">
        <f t="array" ref="R158">IF(K158="","",INDEX(OCPD_List,MATCH(TRUE,OCPD_List&gt;=K158,0)))</f>
        <v/>
      </c>
      <c r="S158" s="821" t="str">
        <f t="shared" si="51"/>
        <v/>
      </c>
      <c r="T158" s="826" t="str">
        <f t="shared" si="41"/>
        <v/>
      </c>
      <c r="U158" s="826" t="str">
        <f t="shared" si="42"/>
        <v/>
      </c>
      <c r="V158" s="827" t="str">
        <f t="shared" si="43"/>
        <v/>
      </c>
      <c r="W158" s="828"/>
      <c r="X158" s="819"/>
      <c r="Y158" s="820"/>
      <c r="Z158" s="820"/>
      <c r="AA158" s="820"/>
      <c r="BN158" s="832" t="str">
        <f>IF($B158="","",IFERROR(_xlfn.XLOOKUP($D158,Dashboard!$A$101:$A$350,Dashboard!$C$101:$C$350),""))</f>
        <v/>
      </c>
      <c r="BO158" s="832" t="str">
        <f t="shared" si="44"/>
        <v/>
      </c>
      <c r="BP158" s="832" t="str" cm="1">
        <f t="array" ref="BP158">IF(OR($B158="",$R158="",NOT(ISNUMBER($R158))),"",IF(AND($BV158="AL",$G158=1),"",_xlfn.LET(_xlpm.codes,IF($BV158="AL",Std_Al3_Code,IF($G158=1,Std_Cu1_Code,Std_Cu3_Code)),_xlpm.amps,IFERROR(--SUBSTITUTE(_xlpm.codes&amp;"","N",""),""),_xlpm.a,MIN(IF(ISNUMBER(_xlpm.amps),IF(_xlpm.amps&gt;=$R158,_xlpm.amps,""),"")),_xlpm.k,IF(_xlpm.a=0,$R158,_xlpm.a),IF($BO158="Y",TEXT(_xlpm.k,"0")&amp;"N",_xlpm.k))))</f>
        <v/>
      </c>
      <c r="BQ158" s="832" t="str" cm="1">
        <f t="array" ref="BQ158">IF($BP158="","",IFERROR(IF($BV158="AL",_xlfn.XLOOKUP($BP158,Std_Al3_Code,INDEX(Std_Al3_Table,0,3)),IF($G158=1,_xlfn.XLOOKUP($BP158,Std_Cu1_Code,INDEX(Std_Cu1_Table,0,3)),_xlfn.XLOOKUP($BP158,Std_Cu3_Code,INDEX(Std_Cu3_Table,0,3)))),""))</f>
        <v/>
      </c>
      <c r="BR158" s="832" t="str" cm="1">
        <f t="array" ref="BR158">IF($BP158="","",IFERROR(IF($BV158="AL",_xlfn.XLOOKUP($BP158,Std_Al3_Code,INDEX(Std_Al3_Table,0,4)),IF($G158=1,_xlfn.XLOOKUP($BP158,Std_Cu1_Code,INDEX(Std_Cu1_Table,0,4)),_xlfn.XLOOKUP($BP158,Std_Cu3_Code,INDEX(Std_Cu3_Table,0,4)))),""))</f>
        <v/>
      </c>
      <c r="BS158" s="832" t="str" cm="1">
        <f t="array" ref="BS158">IF($BP158="","",IFERROR(IF($BV158="AL",_xlfn.XLOOKUP($BP158,Std_Al3_Code,INDEX(Std_Al3_Table,0,5)),IF($G158=1,_xlfn.XLOOKUP($BP158,Std_Cu1_Code,INDEX(Std_Cu1_Table,0,5)),_xlfn.XLOOKUP($BP158,Std_Cu3_Code,INDEX(Std_Cu3_Table,0,5)))),""))</f>
        <v/>
      </c>
      <c r="BT158" s="832" t="str">
        <f t="shared" si="45"/>
        <v/>
      </c>
      <c r="BU158" s="832" t="str" cm="1">
        <f t="array" ref="BU158">IF($BP158="","",IFERROR(IF($BV158="AL",_xlfn.XLOOKUP($BP158,Std_Al3_Code,INDEX(Std_Al3_Table,0,2)),IF($G158=1,_xlfn.XLOOKUP($BP158,Std_Cu1_Code,INDEX(Std_Cu1_Table,0,2)),_xlfn.XLOOKUP($BP158,Std_Cu3_Code,INDEX(Std_Cu3_Table,0,2)))),""))</f>
        <v/>
      </c>
      <c r="BV158" s="829" t="str">
        <f t="shared" si="46"/>
        <v/>
      </c>
      <c r="BW158" s="829" t="str">
        <f t="shared" si="52"/>
        <v/>
      </c>
      <c r="BX158" s="829" t="str" cm="1">
        <f t="array" ref="BX158">IF(OR($BP158="",$H158="",$I158="",$F158="",$BW158=""),"",IFERROR(_xlfn.LET(_xlpm.codes,IF($BV158="AL",Std_Al3_Code,IF($G158=1,Std_Cu1_Code,Std_Cu3_Code)),_xlpm.tbl,IF($BV158="AL",Std_Al3_Table,IF($G158=1,Std_Cu1_Table,Std_Cu3_Table)),_xlpm.i,MATCH($BP158,_xlpm.codes,0),_xlpm.idx,_xlfn.SEQUENCE(ROWS(_xlpm.codes)),_xlpm.cnd,INDEX(_xlpm.tbl,0,4),_xlpm.sts,INDEX(_xlpm.tbl,0,2),_xlpm.sz,IFERROR(_xlfn.TEXTBEFORE(_xlfn.TEXTAFTER(_xlpm.cnd,"#"),","),IFERROR(_xlfn.TEXTAFTER(_xlpm.cnd,"#"),"")),_xlpm.cm,IFERROR(_xlfn.XLOOKUP(TRIM(_xlpm.sz),Ampacity_Size,Ampacity_CM),0),_xlpm.mult,IF($G158=3,SQRT3,2),_xlpm.kk,IF($BV158="AL",K_Al,K_Cu),_xlpm.vd,IF(_xlpm.cm*IF(ISNUMBER(_xlpm.sts),_xlpm.sts,0)=0,9,_xlpm.mult*_xlpm.kk*$I158*$H158/(_xlpm.cm*_xlpm.sts)/$F158),_xlpm.hasN,--(RIGHT(_xlpm.codes&amp;"",1)="N"),_xlpm.wantN,--(RIGHT($BP158&amp;"",1)="N"),_xlpm.ok,(_xlpm.idx&gt;=_xlpm.i)*(_xlpm.vd&lt;=Cfg_VDFeeder)*(_xlpm.cm&gt;0)*ISNUMBER(_xlpm.sts)*(_xlpm.hasN=_xlpm.wantN),_xlpm.m,MIN(IF(_xlpm.ok=1,_xlpm.idx)),INDEX(_xlpm.codes,IF(_xlpm.m=0,_xlpm.i,_xlpm.m))),""))</f>
        <v/>
      </c>
      <c r="BY158" s="829" t="str" cm="1">
        <f t="array" ref="BY158">IF($BP158="","",IF($BX158="",$BU158,IFERROR(IF($BV158="AL",_xlfn.XLOOKUP($BX158,Std_Al3_Code,INDEX(Std_Al3_Table,0,2)),IF($G158=1,_xlfn.XLOOKUP($BX158,Std_Cu1_Code,INDEX(Std_Cu1_Table,0,2)),_xlfn.XLOOKUP($BX158,Std_Cu3_Code,INDEX(Std_Cu3_Table,0,2)))),"")))</f>
        <v/>
      </c>
      <c r="BZ158" s="829" t="str" cm="1">
        <f t="array" ref="BZ158">IF($BP158="","",IF($BX158="",$BR158,IFERROR(IF($BV158="AL",_xlfn.XLOOKUP($BX158,Std_Al3_Code,INDEX(Std_Al3_Table,0,4)),IF($G158=1,_xlfn.XLOOKUP($BX158,Std_Cu1_Code,INDEX(Std_Cu1_Table,0,4)),_xlfn.XLOOKUP($BX158,Std_Cu3_Code,INDEX(Std_Cu3_Table,0,4)))),"")))</f>
        <v/>
      </c>
      <c r="CA158" s="829" t="str" cm="1">
        <f t="array" ref="CA158">IF($BP158="","",IF($BX158="",$BQ158,IFERROR(IF($BV158="AL",_xlfn.XLOOKUP($BX158,Std_Al3_Code,INDEX(Std_Al3_Table,0,3)),IF($G158=1,_xlfn.XLOOKUP($BX158,Std_Cu1_Code,INDEX(Std_Cu1_Table,0,3)),_xlfn.XLOOKUP($BX158,Std_Cu3_Code,INDEX(Std_Cu3_Table,0,3)))),"")))</f>
        <v/>
      </c>
      <c r="CB158" s="829" t="str" cm="1">
        <f t="array" ref="CB158">IF($BP158="","",IF($BX158="",$BS158,IFERROR(IF($BV158="AL",_xlfn.XLOOKUP($BX158,Std_Al3_Code,INDEX(Std_Al3_Table,0,5)),IF($G158=1,_xlfn.XLOOKUP($BX158,Std_Cu1_Code,INDEX(Std_Cu1_Table,0,5)),_xlfn.XLOOKUP($BX158,Std_Cu3_Code,INDEX(Std_Cu3_Table,0,5)))),"")))</f>
        <v/>
      </c>
      <c r="CC158" s="829" t="str">
        <f t="shared" si="53"/>
        <v/>
      </c>
      <c r="CD158" s="829" t="str">
        <f t="shared" si="54"/>
        <v/>
      </c>
      <c r="CE158" s="829" t="str">
        <f t="shared" si="55"/>
        <v/>
      </c>
      <c r="CF158" s="829" t="str">
        <f t="shared" si="56"/>
        <v/>
      </c>
      <c r="CG158" s="829" t="str">
        <f t="shared" si="57"/>
        <v/>
      </c>
      <c r="CH158" s="829" t="str">
        <f t="shared" si="58"/>
        <v/>
      </c>
      <c r="CI158" s="829" t="str">
        <f t="shared" si="59"/>
        <v/>
      </c>
      <c r="CJ158" s="829" t="str" cm="1">
        <f t="array" ref="CJ158">IF($B158="","",_xlfn.LET(_xlpm.to,$D158&amp;"",_xlpm.em,IFERROR(INDEX(_xlfn.ANCHORARRAY($BE$4),ROW()-4,6),"")="EMERG",_xlpm.pri,AND(NOT(_xlpm.em),LEFT(_xlpm.to,2)="T-",ISNUMBER(MATCH(MID(_xlpm.to,3,99),Equip_List,0)),ISNA(MATCH(_xlpm.to,Equip_List,0))),IF(_xlpm.pri,MID(_xlpm.to,3,99),_xlpm.to)))</f>
        <v/>
      </c>
      <c r="CK158" s="829" t="str" cm="1">
        <f t="array" ref="CK158">IF($CJ158="","",IF(IFERROR(INDEX(_xlfn.ANCHORARRAY($BE$4),ROW()-4,6),"")="EMERG","E",IF($CJ158&lt;&gt;$D158&amp;"","P","N")))</f>
        <v/>
      </c>
    </row>
    <row r="159" spans="1:89" ht="15" customHeight="1" x14ac:dyDescent="0.35">
      <c r="A159" s="821" t="str">
        <f t="shared" si="47"/>
        <v/>
      </c>
      <c r="B159" s="821" t="str" cm="1">
        <f t="array" ref="B159">IFERROR(IF(INDEX(_xlfn.ANCHORARRAY($BE$4),ROW()-4,2)="","","F-"&amp;INDEX(_xlfn.ANCHORARRAY($BE$4),ROW()-4,2)&amp;IF(IFERROR(INDEX(_xlfn.ANCHORARRAY($BE$4),ROW()-4,6),"")="EMERG","-E","")),"")</f>
        <v/>
      </c>
      <c r="C159" s="821" t="str" cm="1">
        <f t="array" ref="C159">IFERROR(IF($B159="","",INDEX(_xlfn.ANCHORARRAY($BE$4),ROW()-4,1)),"")</f>
        <v/>
      </c>
      <c r="D159" s="821" t="str" cm="1">
        <f t="array" ref="D159">IFERROR(IF($B159="","",INDEX(_xlfn.ANCHORARRAY($BE$4),ROW()-4,2)),"")</f>
        <v/>
      </c>
      <c r="E159" s="806" t="str" cm="1">
        <f t="array" ref="E159">IFERROR(IF($B159="","",INDEX(_xlfn.ANCHORARRAY($BE$4),ROW()-4,3)),"")</f>
        <v/>
      </c>
      <c r="F159" s="822" t="str" cm="1">
        <f t="array" ref="F159">IFERROR(IF($B159="","",INDEX(_xlfn.ANCHORARRAY($BE$4),ROW()-4,4)),"")</f>
        <v/>
      </c>
      <c r="G159" s="823" t="str" cm="1">
        <f t="array" ref="G159">IFERROR(IF($B159="","",INDEX(_xlfn.ANCHORARRAY($BE$4),ROW()-4,5)),"")</f>
        <v/>
      </c>
      <c r="H159" s="824" t="str" cm="1">
        <f t="array" ref="H159">IF($CJ159="","",_xlfn.LET(_xlpm.v,_xlfn.XLOOKUP($CJ159,Equip_List,IF($CK159="E",Equip_EmLen,IF($CK159="P",Equip_XfPriLen,Equip_FdrLen)),""),IF(_xlpm.v="","",_xlpm.v)))</f>
        <v/>
      </c>
      <c r="I159" s="806" t="str">
        <f t="shared" si="40"/>
        <v/>
      </c>
      <c r="J159" s="820"/>
      <c r="K159" s="806" t="str">
        <f>_xlfn.LET(_xlpm.k,IF($I159="","",IF(COUNTIF(UPS!$B$57:$B$64,$C159&amp;"")&gt;0,1.25*MAX($I159,N(_xlfn.XLOOKUP($C159&amp;"",UPS!$B$57:$B$64,UPS!$M$57:$M$64,0))),IF(COUNTIF(UPS!$B$57:$B$64,$D159&amp;"")&gt;0,1.25*MAX($I159,N(_xlfn.XLOOKUP($D159&amp;"",UPS!$B$57:$B$64,UPS!$Q$57:$Q$64,0))),$I159*IF(OR(UPPER($J159)="Y",LEFT($C159,2)="T-",LEFT($D159,2)="T-"),1.25,1)))),IF(_xlpm.k="","",MAX(_xlpm.k,N(IFERROR(_xlfn.XLOOKUP($D159&amp;"",Dashboard!$A$101:$A$350,Dashboard!$O$101:$O$350,0),0)))))</f>
        <v/>
      </c>
      <c r="L159" s="825" t="str">
        <f>IF($CJ159="","",_xlfn.LET(_xlpm.v,UPPER(TRIM(_xlfn.XLOOKUP($CJ159,Equip_List,Equip_FdrMat,"")&amp;"")),IF(_xlpm.v="",UPPER(TRIM(Cfg_FeederMat&amp;"")),_xlpm.v)))</f>
        <v/>
      </c>
      <c r="M159" s="825" t="str">
        <f>IF($CJ159="","",_xlfn.LET(_xlpm.v,TRIM(_xlfn.XLOOKUP($CJ159,Equip_List,Equip_FdrRace,"")&amp;""),IF(_xlpm.v="",Cfg_Conduit&amp;"",_xlpm.v)))</f>
        <v/>
      </c>
      <c r="N159" s="825" t="str">
        <f>IF($CJ159="","",IF(UPPER(TRIM(_xlfn.XLOOKUP($CJ159,Equip_List,Equip_FdrExist,"")&amp;""))="Y","Y",""))</f>
        <v/>
      </c>
      <c r="O159" s="823" t="str">
        <f t="shared" si="48"/>
        <v/>
      </c>
      <c r="P159" s="821" t="str">
        <f t="shared" si="49"/>
        <v/>
      </c>
      <c r="Q159" s="821" t="str">
        <f t="shared" si="50"/>
        <v/>
      </c>
      <c r="R159" s="822" t="str" cm="1">
        <f t="array" ref="R159">IF(K159="","",INDEX(OCPD_List,MATCH(TRUE,OCPD_List&gt;=K159,0)))</f>
        <v/>
      </c>
      <c r="S159" s="821" t="str">
        <f t="shared" si="51"/>
        <v/>
      </c>
      <c r="T159" s="826" t="str">
        <f t="shared" si="41"/>
        <v/>
      </c>
      <c r="U159" s="826" t="str">
        <f t="shared" si="42"/>
        <v/>
      </c>
      <c r="V159" s="827" t="str">
        <f t="shared" si="43"/>
        <v/>
      </c>
      <c r="W159" s="828"/>
      <c r="X159" s="819"/>
      <c r="Y159" s="820"/>
      <c r="Z159" s="820"/>
      <c r="AA159" s="820"/>
      <c r="BN159" s="832" t="str">
        <f>IF($B159="","",IFERROR(_xlfn.XLOOKUP($D159,Dashboard!$A$101:$A$350,Dashboard!$C$101:$C$350),""))</f>
        <v/>
      </c>
      <c r="BO159" s="832" t="str">
        <f t="shared" si="44"/>
        <v/>
      </c>
      <c r="BP159" s="832" t="str" cm="1">
        <f t="array" ref="BP159">IF(OR($B159="",$R159="",NOT(ISNUMBER($R159))),"",IF(AND($BV159="AL",$G159=1),"",_xlfn.LET(_xlpm.codes,IF($BV159="AL",Std_Al3_Code,IF($G159=1,Std_Cu1_Code,Std_Cu3_Code)),_xlpm.amps,IFERROR(--SUBSTITUTE(_xlpm.codes&amp;"","N",""),""),_xlpm.a,MIN(IF(ISNUMBER(_xlpm.amps),IF(_xlpm.amps&gt;=$R159,_xlpm.amps,""),"")),_xlpm.k,IF(_xlpm.a=0,$R159,_xlpm.a),IF($BO159="Y",TEXT(_xlpm.k,"0")&amp;"N",_xlpm.k))))</f>
        <v/>
      </c>
      <c r="BQ159" s="832" t="str" cm="1">
        <f t="array" ref="BQ159">IF($BP159="","",IFERROR(IF($BV159="AL",_xlfn.XLOOKUP($BP159,Std_Al3_Code,INDEX(Std_Al3_Table,0,3)),IF($G159=1,_xlfn.XLOOKUP($BP159,Std_Cu1_Code,INDEX(Std_Cu1_Table,0,3)),_xlfn.XLOOKUP($BP159,Std_Cu3_Code,INDEX(Std_Cu3_Table,0,3)))),""))</f>
        <v/>
      </c>
      <c r="BR159" s="832" t="str" cm="1">
        <f t="array" ref="BR159">IF($BP159="","",IFERROR(IF($BV159="AL",_xlfn.XLOOKUP($BP159,Std_Al3_Code,INDEX(Std_Al3_Table,0,4)),IF($G159=1,_xlfn.XLOOKUP($BP159,Std_Cu1_Code,INDEX(Std_Cu1_Table,0,4)),_xlfn.XLOOKUP($BP159,Std_Cu3_Code,INDEX(Std_Cu3_Table,0,4)))),""))</f>
        <v/>
      </c>
      <c r="BS159" s="832" t="str" cm="1">
        <f t="array" ref="BS159">IF($BP159="","",IFERROR(IF($BV159="AL",_xlfn.XLOOKUP($BP159,Std_Al3_Code,INDEX(Std_Al3_Table,0,5)),IF($G159=1,_xlfn.XLOOKUP($BP159,Std_Cu1_Code,INDEX(Std_Cu1_Table,0,5)),_xlfn.XLOOKUP($BP159,Std_Cu3_Code,INDEX(Std_Cu3_Table,0,5)))),""))</f>
        <v/>
      </c>
      <c r="BT159" s="832" t="str">
        <f t="shared" si="45"/>
        <v/>
      </c>
      <c r="BU159" s="832" t="str" cm="1">
        <f t="array" ref="BU159">IF($BP159="","",IFERROR(IF($BV159="AL",_xlfn.XLOOKUP($BP159,Std_Al3_Code,INDEX(Std_Al3_Table,0,2)),IF($G159=1,_xlfn.XLOOKUP($BP159,Std_Cu1_Code,INDEX(Std_Cu1_Table,0,2)),_xlfn.XLOOKUP($BP159,Std_Cu3_Code,INDEX(Std_Cu3_Table,0,2)))),""))</f>
        <v/>
      </c>
      <c r="BV159" s="829" t="str">
        <f t="shared" si="46"/>
        <v/>
      </c>
      <c r="BW159" s="829" t="str">
        <f t="shared" si="52"/>
        <v/>
      </c>
      <c r="BX159" s="829" t="str" cm="1">
        <f t="array" ref="BX159">IF(OR($BP159="",$H159="",$I159="",$F159="",$BW159=""),"",IFERROR(_xlfn.LET(_xlpm.codes,IF($BV159="AL",Std_Al3_Code,IF($G159=1,Std_Cu1_Code,Std_Cu3_Code)),_xlpm.tbl,IF($BV159="AL",Std_Al3_Table,IF($G159=1,Std_Cu1_Table,Std_Cu3_Table)),_xlpm.i,MATCH($BP159,_xlpm.codes,0),_xlpm.idx,_xlfn.SEQUENCE(ROWS(_xlpm.codes)),_xlpm.cnd,INDEX(_xlpm.tbl,0,4),_xlpm.sts,INDEX(_xlpm.tbl,0,2),_xlpm.sz,IFERROR(_xlfn.TEXTBEFORE(_xlfn.TEXTAFTER(_xlpm.cnd,"#"),","),IFERROR(_xlfn.TEXTAFTER(_xlpm.cnd,"#"),"")),_xlpm.cm,IFERROR(_xlfn.XLOOKUP(TRIM(_xlpm.sz),Ampacity_Size,Ampacity_CM),0),_xlpm.mult,IF($G159=3,SQRT3,2),_xlpm.kk,IF($BV159="AL",K_Al,K_Cu),_xlpm.vd,IF(_xlpm.cm*IF(ISNUMBER(_xlpm.sts),_xlpm.sts,0)=0,9,_xlpm.mult*_xlpm.kk*$I159*$H159/(_xlpm.cm*_xlpm.sts)/$F159),_xlpm.hasN,--(RIGHT(_xlpm.codes&amp;"",1)="N"),_xlpm.wantN,--(RIGHT($BP159&amp;"",1)="N"),_xlpm.ok,(_xlpm.idx&gt;=_xlpm.i)*(_xlpm.vd&lt;=Cfg_VDFeeder)*(_xlpm.cm&gt;0)*ISNUMBER(_xlpm.sts)*(_xlpm.hasN=_xlpm.wantN),_xlpm.m,MIN(IF(_xlpm.ok=1,_xlpm.idx)),INDEX(_xlpm.codes,IF(_xlpm.m=0,_xlpm.i,_xlpm.m))),""))</f>
        <v/>
      </c>
      <c r="BY159" s="829" t="str" cm="1">
        <f t="array" ref="BY159">IF($BP159="","",IF($BX159="",$BU159,IFERROR(IF($BV159="AL",_xlfn.XLOOKUP($BX159,Std_Al3_Code,INDEX(Std_Al3_Table,0,2)),IF($G159=1,_xlfn.XLOOKUP($BX159,Std_Cu1_Code,INDEX(Std_Cu1_Table,0,2)),_xlfn.XLOOKUP($BX159,Std_Cu3_Code,INDEX(Std_Cu3_Table,0,2)))),"")))</f>
        <v/>
      </c>
      <c r="BZ159" s="829" t="str" cm="1">
        <f t="array" ref="BZ159">IF($BP159="","",IF($BX159="",$BR159,IFERROR(IF($BV159="AL",_xlfn.XLOOKUP($BX159,Std_Al3_Code,INDEX(Std_Al3_Table,0,4)),IF($G159=1,_xlfn.XLOOKUP($BX159,Std_Cu1_Code,INDEX(Std_Cu1_Table,0,4)),_xlfn.XLOOKUP($BX159,Std_Cu3_Code,INDEX(Std_Cu3_Table,0,4)))),"")))</f>
        <v/>
      </c>
      <c r="CA159" s="829" t="str" cm="1">
        <f t="array" ref="CA159">IF($BP159="","",IF($BX159="",$BQ159,IFERROR(IF($BV159="AL",_xlfn.XLOOKUP($BX159,Std_Al3_Code,INDEX(Std_Al3_Table,0,3)),IF($G159=1,_xlfn.XLOOKUP($BX159,Std_Cu1_Code,INDEX(Std_Cu1_Table,0,3)),_xlfn.XLOOKUP($BX159,Std_Cu3_Code,INDEX(Std_Cu3_Table,0,3)))),"")))</f>
        <v/>
      </c>
      <c r="CB159" s="829" t="str" cm="1">
        <f t="array" ref="CB159">IF($BP159="","",IF($BX159="",$BS159,IFERROR(IF($BV159="AL",_xlfn.XLOOKUP($BX159,Std_Al3_Code,INDEX(Std_Al3_Table,0,5)),IF($G159=1,_xlfn.XLOOKUP($BX159,Std_Cu1_Code,INDEX(Std_Cu1_Table,0,5)),_xlfn.XLOOKUP($BX159,Std_Cu3_Code,INDEX(Std_Cu3_Table,0,5)))),"")))</f>
        <v/>
      </c>
      <c r="CC159" s="829" t="str">
        <f t="shared" si="53"/>
        <v/>
      </c>
      <c r="CD159" s="829" t="str">
        <f t="shared" si="54"/>
        <v/>
      </c>
      <c r="CE159" s="829" t="str">
        <f t="shared" si="55"/>
        <v/>
      </c>
      <c r="CF159" s="829" t="str">
        <f t="shared" si="56"/>
        <v/>
      </c>
      <c r="CG159" s="829" t="str">
        <f t="shared" si="57"/>
        <v/>
      </c>
      <c r="CH159" s="829" t="str">
        <f t="shared" si="58"/>
        <v/>
      </c>
      <c r="CI159" s="829" t="str">
        <f t="shared" si="59"/>
        <v/>
      </c>
      <c r="CJ159" s="829" t="str" cm="1">
        <f t="array" ref="CJ159">IF($B159="","",_xlfn.LET(_xlpm.to,$D159&amp;"",_xlpm.em,IFERROR(INDEX(_xlfn.ANCHORARRAY($BE$4),ROW()-4,6),"")="EMERG",_xlpm.pri,AND(NOT(_xlpm.em),LEFT(_xlpm.to,2)="T-",ISNUMBER(MATCH(MID(_xlpm.to,3,99),Equip_List,0)),ISNA(MATCH(_xlpm.to,Equip_List,0))),IF(_xlpm.pri,MID(_xlpm.to,3,99),_xlpm.to)))</f>
        <v/>
      </c>
      <c r="CK159" s="829" t="str" cm="1">
        <f t="array" ref="CK159">IF($CJ159="","",IF(IFERROR(INDEX(_xlfn.ANCHORARRAY($BE$4),ROW()-4,6),"")="EMERG","E",IF($CJ159&lt;&gt;$D159&amp;"","P","N")))</f>
        <v/>
      </c>
    </row>
    <row r="160" spans="1:89" ht="15" customHeight="1" x14ac:dyDescent="0.35">
      <c r="A160" s="821" t="str">
        <f t="shared" si="47"/>
        <v/>
      </c>
      <c r="B160" s="821" t="str" cm="1">
        <f t="array" ref="B160">IFERROR(IF(INDEX(_xlfn.ANCHORARRAY($BE$4),ROW()-4,2)="","","F-"&amp;INDEX(_xlfn.ANCHORARRAY($BE$4),ROW()-4,2)&amp;IF(IFERROR(INDEX(_xlfn.ANCHORARRAY($BE$4),ROW()-4,6),"")="EMERG","-E","")),"")</f>
        <v/>
      </c>
      <c r="C160" s="821" t="str" cm="1">
        <f t="array" ref="C160">IFERROR(IF($B160="","",INDEX(_xlfn.ANCHORARRAY($BE$4),ROW()-4,1)),"")</f>
        <v/>
      </c>
      <c r="D160" s="821" t="str" cm="1">
        <f t="array" ref="D160">IFERROR(IF($B160="","",INDEX(_xlfn.ANCHORARRAY($BE$4),ROW()-4,2)),"")</f>
        <v/>
      </c>
      <c r="E160" s="806" t="str" cm="1">
        <f t="array" ref="E160">IFERROR(IF($B160="","",INDEX(_xlfn.ANCHORARRAY($BE$4),ROW()-4,3)),"")</f>
        <v/>
      </c>
      <c r="F160" s="822" t="str" cm="1">
        <f t="array" ref="F160">IFERROR(IF($B160="","",INDEX(_xlfn.ANCHORARRAY($BE$4),ROW()-4,4)),"")</f>
        <v/>
      </c>
      <c r="G160" s="823" t="str" cm="1">
        <f t="array" ref="G160">IFERROR(IF($B160="","",INDEX(_xlfn.ANCHORARRAY($BE$4),ROW()-4,5)),"")</f>
        <v/>
      </c>
      <c r="H160" s="824" t="str" cm="1">
        <f t="array" ref="H160">IF($CJ160="","",_xlfn.LET(_xlpm.v,_xlfn.XLOOKUP($CJ160,Equip_List,IF($CK160="E",Equip_EmLen,IF($CK160="P",Equip_XfPriLen,Equip_FdrLen)),""),IF(_xlpm.v="","",_xlpm.v)))</f>
        <v/>
      </c>
      <c r="I160" s="806" t="str">
        <f t="shared" si="40"/>
        <v/>
      </c>
      <c r="J160" s="820"/>
      <c r="K160" s="806" t="str">
        <f>_xlfn.LET(_xlpm.k,IF($I160="","",IF(COUNTIF(UPS!$B$57:$B$64,$C160&amp;"")&gt;0,1.25*MAX($I160,N(_xlfn.XLOOKUP($C160&amp;"",UPS!$B$57:$B$64,UPS!$M$57:$M$64,0))),IF(COUNTIF(UPS!$B$57:$B$64,$D160&amp;"")&gt;0,1.25*MAX($I160,N(_xlfn.XLOOKUP($D160&amp;"",UPS!$B$57:$B$64,UPS!$Q$57:$Q$64,0))),$I160*IF(OR(UPPER($J160)="Y",LEFT($C160,2)="T-",LEFT($D160,2)="T-"),1.25,1)))),IF(_xlpm.k="","",MAX(_xlpm.k,N(IFERROR(_xlfn.XLOOKUP($D160&amp;"",Dashboard!$A$101:$A$350,Dashboard!$O$101:$O$350,0),0)))))</f>
        <v/>
      </c>
      <c r="L160" s="825" t="str">
        <f>IF($CJ160="","",_xlfn.LET(_xlpm.v,UPPER(TRIM(_xlfn.XLOOKUP($CJ160,Equip_List,Equip_FdrMat,"")&amp;"")),IF(_xlpm.v="",UPPER(TRIM(Cfg_FeederMat&amp;"")),_xlpm.v)))</f>
        <v/>
      </c>
      <c r="M160" s="825" t="str">
        <f>IF($CJ160="","",_xlfn.LET(_xlpm.v,TRIM(_xlfn.XLOOKUP($CJ160,Equip_List,Equip_FdrRace,"")&amp;""),IF(_xlpm.v="",Cfg_Conduit&amp;"",_xlpm.v)))</f>
        <v/>
      </c>
      <c r="N160" s="825" t="str">
        <f>IF($CJ160="","",IF(UPPER(TRIM(_xlfn.XLOOKUP($CJ160,Equip_List,Equip_FdrExist,"")&amp;""))="Y","Y",""))</f>
        <v/>
      </c>
      <c r="O160" s="823" t="str">
        <f t="shared" si="48"/>
        <v/>
      </c>
      <c r="P160" s="821" t="str">
        <f t="shared" si="49"/>
        <v/>
      </c>
      <c r="Q160" s="821" t="str">
        <f t="shared" si="50"/>
        <v/>
      </c>
      <c r="R160" s="822" t="str" cm="1">
        <f t="array" ref="R160">IF(K160="","",INDEX(OCPD_List,MATCH(TRUE,OCPD_List&gt;=K160,0)))</f>
        <v/>
      </c>
      <c r="S160" s="821" t="str">
        <f t="shared" si="51"/>
        <v/>
      </c>
      <c r="T160" s="826" t="str">
        <f t="shared" si="41"/>
        <v/>
      </c>
      <c r="U160" s="826" t="str">
        <f t="shared" si="42"/>
        <v/>
      </c>
      <c r="V160" s="827" t="str">
        <f t="shared" si="43"/>
        <v/>
      </c>
      <c r="W160" s="828"/>
      <c r="X160" s="819"/>
      <c r="Y160" s="820"/>
      <c r="Z160" s="820"/>
      <c r="AA160" s="820"/>
      <c r="BN160" s="832" t="str">
        <f>IF($B160="","",IFERROR(_xlfn.XLOOKUP($D160,Dashboard!$A$101:$A$350,Dashboard!$C$101:$C$350),""))</f>
        <v/>
      </c>
      <c r="BO160" s="832" t="str">
        <f t="shared" si="44"/>
        <v/>
      </c>
      <c r="BP160" s="832" t="str" cm="1">
        <f t="array" ref="BP160">IF(OR($B160="",$R160="",NOT(ISNUMBER($R160))),"",IF(AND($BV160="AL",$G160=1),"",_xlfn.LET(_xlpm.codes,IF($BV160="AL",Std_Al3_Code,IF($G160=1,Std_Cu1_Code,Std_Cu3_Code)),_xlpm.amps,IFERROR(--SUBSTITUTE(_xlpm.codes&amp;"","N",""),""),_xlpm.a,MIN(IF(ISNUMBER(_xlpm.amps),IF(_xlpm.amps&gt;=$R160,_xlpm.amps,""),"")),_xlpm.k,IF(_xlpm.a=0,$R160,_xlpm.a),IF($BO160="Y",TEXT(_xlpm.k,"0")&amp;"N",_xlpm.k))))</f>
        <v/>
      </c>
      <c r="BQ160" s="832" t="str" cm="1">
        <f t="array" ref="BQ160">IF($BP160="","",IFERROR(IF($BV160="AL",_xlfn.XLOOKUP($BP160,Std_Al3_Code,INDEX(Std_Al3_Table,0,3)),IF($G160=1,_xlfn.XLOOKUP($BP160,Std_Cu1_Code,INDEX(Std_Cu1_Table,0,3)),_xlfn.XLOOKUP($BP160,Std_Cu3_Code,INDEX(Std_Cu3_Table,0,3)))),""))</f>
        <v/>
      </c>
      <c r="BR160" s="832" t="str" cm="1">
        <f t="array" ref="BR160">IF($BP160="","",IFERROR(IF($BV160="AL",_xlfn.XLOOKUP($BP160,Std_Al3_Code,INDEX(Std_Al3_Table,0,4)),IF($G160=1,_xlfn.XLOOKUP($BP160,Std_Cu1_Code,INDEX(Std_Cu1_Table,0,4)),_xlfn.XLOOKUP($BP160,Std_Cu3_Code,INDEX(Std_Cu3_Table,0,4)))),""))</f>
        <v/>
      </c>
      <c r="BS160" s="832" t="str" cm="1">
        <f t="array" ref="BS160">IF($BP160="","",IFERROR(IF($BV160="AL",_xlfn.XLOOKUP($BP160,Std_Al3_Code,INDEX(Std_Al3_Table,0,5)),IF($G160=1,_xlfn.XLOOKUP($BP160,Std_Cu1_Code,INDEX(Std_Cu1_Table,0,5)),_xlfn.XLOOKUP($BP160,Std_Cu3_Code,INDEX(Std_Cu3_Table,0,5)))),""))</f>
        <v/>
      </c>
      <c r="BT160" s="832" t="str">
        <f t="shared" si="45"/>
        <v/>
      </c>
      <c r="BU160" s="832" t="str" cm="1">
        <f t="array" ref="BU160">IF($BP160="","",IFERROR(IF($BV160="AL",_xlfn.XLOOKUP($BP160,Std_Al3_Code,INDEX(Std_Al3_Table,0,2)),IF($G160=1,_xlfn.XLOOKUP($BP160,Std_Cu1_Code,INDEX(Std_Cu1_Table,0,2)),_xlfn.XLOOKUP($BP160,Std_Cu3_Code,INDEX(Std_Cu3_Table,0,2)))),""))</f>
        <v/>
      </c>
      <c r="BV160" s="829" t="str">
        <f t="shared" si="46"/>
        <v/>
      </c>
      <c r="BW160" s="829" t="str">
        <f t="shared" si="52"/>
        <v/>
      </c>
      <c r="BX160" s="829" t="str" cm="1">
        <f t="array" ref="BX160">IF(OR($BP160="",$H160="",$I160="",$F160="",$BW160=""),"",IFERROR(_xlfn.LET(_xlpm.codes,IF($BV160="AL",Std_Al3_Code,IF($G160=1,Std_Cu1_Code,Std_Cu3_Code)),_xlpm.tbl,IF($BV160="AL",Std_Al3_Table,IF($G160=1,Std_Cu1_Table,Std_Cu3_Table)),_xlpm.i,MATCH($BP160,_xlpm.codes,0),_xlpm.idx,_xlfn.SEQUENCE(ROWS(_xlpm.codes)),_xlpm.cnd,INDEX(_xlpm.tbl,0,4),_xlpm.sts,INDEX(_xlpm.tbl,0,2),_xlpm.sz,IFERROR(_xlfn.TEXTBEFORE(_xlfn.TEXTAFTER(_xlpm.cnd,"#"),","),IFERROR(_xlfn.TEXTAFTER(_xlpm.cnd,"#"),"")),_xlpm.cm,IFERROR(_xlfn.XLOOKUP(TRIM(_xlpm.sz),Ampacity_Size,Ampacity_CM),0),_xlpm.mult,IF($G160=3,SQRT3,2),_xlpm.kk,IF($BV160="AL",K_Al,K_Cu),_xlpm.vd,IF(_xlpm.cm*IF(ISNUMBER(_xlpm.sts),_xlpm.sts,0)=0,9,_xlpm.mult*_xlpm.kk*$I160*$H160/(_xlpm.cm*_xlpm.sts)/$F160),_xlpm.hasN,--(RIGHT(_xlpm.codes&amp;"",1)="N"),_xlpm.wantN,--(RIGHT($BP160&amp;"",1)="N"),_xlpm.ok,(_xlpm.idx&gt;=_xlpm.i)*(_xlpm.vd&lt;=Cfg_VDFeeder)*(_xlpm.cm&gt;0)*ISNUMBER(_xlpm.sts)*(_xlpm.hasN=_xlpm.wantN),_xlpm.m,MIN(IF(_xlpm.ok=1,_xlpm.idx)),INDEX(_xlpm.codes,IF(_xlpm.m=0,_xlpm.i,_xlpm.m))),""))</f>
        <v/>
      </c>
      <c r="BY160" s="829" t="str" cm="1">
        <f t="array" ref="BY160">IF($BP160="","",IF($BX160="",$BU160,IFERROR(IF($BV160="AL",_xlfn.XLOOKUP($BX160,Std_Al3_Code,INDEX(Std_Al3_Table,0,2)),IF($G160=1,_xlfn.XLOOKUP($BX160,Std_Cu1_Code,INDEX(Std_Cu1_Table,0,2)),_xlfn.XLOOKUP($BX160,Std_Cu3_Code,INDEX(Std_Cu3_Table,0,2)))),"")))</f>
        <v/>
      </c>
      <c r="BZ160" s="829" t="str" cm="1">
        <f t="array" ref="BZ160">IF($BP160="","",IF($BX160="",$BR160,IFERROR(IF($BV160="AL",_xlfn.XLOOKUP($BX160,Std_Al3_Code,INDEX(Std_Al3_Table,0,4)),IF($G160=1,_xlfn.XLOOKUP($BX160,Std_Cu1_Code,INDEX(Std_Cu1_Table,0,4)),_xlfn.XLOOKUP($BX160,Std_Cu3_Code,INDEX(Std_Cu3_Table,0,4)))),"")))</f>
        <v/>
      </c>
      <c r="CA160" s="829" t="str" cm="1">
        <f t="array" ref="CA160">IF($BP160="","",IF($BX160="",$BQ160,IFERROR(IF($BV160="AL",_xlfn.XLOOKUP($BX160,Std_Al3_Code,INDEX(Std_Al3_Table,0,3)),IF($G160=1,_xlfn.XLOOKUP($BX160,Std_Cu1_Code,INDEX(Std_Cu1_Table,0,3)),_xlfn.XLOOKUP($BX160,Std_Cu3_Code,INDEX(Std_Cu3_Table,0,3)))),"")))</f>
        <v/>
      </c>
      <c r="CB160" s="829" t="str" cm="1">
        <f t="array" ref="CB160">IF($BP160="","",IF($BX160="",$BS160,IFERROR(IF($BV160="AL",_xlfn.XLOOKUP($BX160,Std_Al3_Code,INDEX(Std_Al3_Table,0,5)),IF($G160=1,_xlfn.XLOOKUP($BX160,Std_Cu1_Code,INDEX(Std_Cu1_Table,0,5)),_xlfn.XLOOKUP($BX160,Std_Cu3_Code,INDEX(Std_Cu3_Table,0,5)))),"")))</f>
        <v/>
      </c>
      <c r="CC160" s="829" t="str">
        <f t="shared" si="53"/>
        <v/>
      </c>
      <c r="CD160" s="829" t="str">
        <f t="shared" si="54"/>
        <v/>
      </c>
      <c r="CE160" s="829" t="str">
        <f t="shared" si="55"/>
        <v/>
      </c>
      <c r="CF160" s="829" t="str">
        <f t="shared" si="56"/>
        <v/>
      </c>
      <c r="CG160" s="829" t="str">
        <f t="shared" si="57"/>
        <v/>
      </c>
      <c r="CH160" s="829" t="str">
        <f t="shared" si="58"/>
        <v/>
      </c>
      <c r="CI160" s="829" t="str">
        <f t="shared" si="59"/>
        <v/>
      </c>
      <c r="CJ160" s="829" t="str" cm="1">
        <f t="array" ref="CJ160">IF($B160="","",_xlfn.LET(_xlpm.to,$D160&amp;"",_xlpm.em,IFERROR(INDEX(_xlfn.ANCHORARRAY($BE$4),ROW()-4,6),"")="EMERG",_xlpm.pri,AND(NOT(_xlpm.em),LEFT(_xlpm.to,2)="T-",ISNUMBER(MATCH(MID(_xlpm.to,3,99),Equip_List,0)),ISNA(MATCH(_xlpm.to,Equip_List,0))),IF(_xlpm.pri,MID(_xlpm.to,3,99),_xlpm.to)))</f>
        <v/>
      </c>
      <c r="CK160" s="829" t="str" cm="1">
        <f t="array" ref="CK160">IF($CJ160="","",IF(IFERROR(INDEX(_xlfn.ANCHORARRAY($BE$4),ROW()-4,6),"")="EMERG","E",IF($CJ160&lt;&gt;$D160&amp;"","P","N")))</f>
        <v/>
      </c>
    </row>
    <row r="161" spans="1:89" ht="15" customHeight="1" x14ac:dyDescent="0.35">
      <c r="A161" s="821" t="str">
        <f t="shared" si="47"/>
        <v/>
      </c>
      <c r="B161" s="821" t="str" cm="1">
        <f t="array" ref="B161">IFERROR(IF(INDEX(_xlfn.ANCHORARRAY($BE$4),ROW()-4,2)="","","F-"&amp;INDEX(_xlfn.ANCHORARRAY($BE$4),ROW()-4,2)&amp;IF(IFERROR(INDEX(_xlfn.ANCHORARRAY($BE$4),ROW()-4,6),"")="EMERG","-E","")),"")</f>
        <v/>
      </c>
      <c r="C161" s="821" t="str" cm="1">
        <f t="array" ref="C161">IFERROR(IF($B161="","",INDEX(_xlfn.ANCHORARRAY($BE$4),ROW()-4,1)),"")</f>
        <v/>
      </c>
      <c r="D161" s="821" t="str" cm="1">
        <f t="array" ref="D161">IFERROR(IF($B161="","",INDEX(_xlfn.ANCHORARRAY($BE$4),ROW()-4,2)),"")</f>
        <v/>
      </c>
      <c r="E161" s="806" t="str" cm="1">
        <f t="array" ref="E161">IFERROR(IF($B161="","",INDEX(_xlfn.ANCHORARRAY($BE$4),ROW()-4,3)),"")</f>
        <v/>
      </c>
      <c r="F161" s="822" t="str" cm="1">
        <f t="array" ref="F161">IFERROR(IF($B161="","",INDEX(_xlfn.ANCHORARRAY($BE$4),ROW()-4,4)),"")</f>
        <v/>
      </c>
      <c r="G161" s="823" t="str" cm="1">
        <f t="array" ref="G161">IFERROR(IF($B161="","",INDEX(_xlfn.ANCHORARRAY($BE$4),ROW()-4,5)),"")</f>
        <v/>
      </c>
      <c r="H161" s="824" t="str" cm="1">
        <f t="array" ref="H161">IF($CJ161="","",_xlfn.LET(_xlpm.v,_xlfn.XLOOKUP($CJ161,Equip_List,IF($CK161="E",Equip_EmLen,IF($CK161="P",Equip_XfPriLen,Equip_FdrLen)),""),IF(_xlpm.v="","",_xlpm.v)))</f>
        <v/>
      </c>
      <c r="I161" s="806" t="str">
        <f t="shared" si="40"/>
        <v/>
      </c>
      <c r="J161" s="820"/>
      <c r="K161" s="806" t="str">
        <f>_xlfn.LET(_xlpm.k,IF($I161="","",IF(COUNTIF(UPS!$B$57:$B$64,$C161&amp;"")&gt;0,1.25*MAX($I161,N(_xlfn.XLOOKUP($C161&amp;"",UPS!$B$57:$B$64,UPS!$M$57:$M$64,0))),IF(COUNTIF(UPS!$B$57:$B$64,$D161&amp;"")&gt;0,1.25*MAX($I161,N(_xlfn.XLOOKUP($D161&amp;"",UPS!$B$57:$B$64,UPS!$Q$57:$Q$64,0))),$I161*IF(OR(UPPER($J161)="Y",LEFT($C161,2)="T-",LEFT($D161,2)="T-"),1.25,1)))),IF(_xlpm.k="","",MAX(_xlpm.k,N(IFERROR(_xlfn.XLOOKUP($D161&amp;"",Dashboard!$A$101:$A$350,Dashboard!$O$101:$O$350,0),0)))))</f>
        <v/>
      </c>
      <c r="L161" s="825" t="str">
        <f>IF($CJ161="","",_xlfn.LET(_xlpm.v,UPPER(TRIM(_xlfn.XLOOKUP($CJ161,Equip_List,Equip_FdrMat,"")&amp;"")),IF(_xlpm.v="",UPPER(TRIM(Cfg_FeederMat&amp;"")),_xlpm.v)))</f>
        <v/>
      </c>
      <c r="M161" s="825" t="str">
        <f>IF($CJ161="","",_xlfn.LET(_xlpm.v,TRIM(_xlfn.XLOOKUP($CJ161,Equip_List,Equip_FdrRace,"")&amp;""),IF(_xlpm.v="",Cfg_Conduit&amp;"",_xlpm.v)))</f>
        <v/>
      </c>
      <c r="N161" s="825" t="str">
        <f>IF($CJ161="","",IF(UPPER(TRIM(_xlfn.XLOOKUP($CJ161,Equip_List,Equip_FdrExist,"")&amp;""))="Y","Y",""))</f>
        <v/>
      </c>
      <c r="O161" s="823" t="str">
        <f t="shared" si="48"/>
        <v/>
      </c>
      <c r="P161" s="821" t="str">
        <f t="shared" si="49"/>
        <v/>
      </c>
      <c r="Q161" s="821" t="str">
        <f t="shared" si="50"/>
        <v/>
      </c>
      <c r="R161" s="822" t="str" cm="1">
        <f t="array" ref="R161">IF(K161="","",INDEX(OCPD_List,MATCH(TRUE,OCPD_List&gt;=K161,0)))</f>
        <v/>
      </c>
      <c r="S161" s="821" t="str">
        <f t="shared" si="51"/>
        <v/>
      </c>
      <c r="T161" s="826" t="str">
        <f t="shared" si="41"/>
        <v/>
      </c>
      <c r="U161" s="826" t="str">
        <f t="shared" si="42"/>
        <v/>
      </c>
      <c r="V161" s="827" t="str">
        <f t="shared" si="43"/>
        <v/>
      </c>
      <c r="W161" s="828"/>
      <c r="X161" s="819"/>
      <c r="Y161" s="820"/>
      <c r="Z161" s="820"/>
      <c r="AA161" s="820"/>
      <c r="BN161" s="832" t="str">
        <f>IF($B161="","",IFERROR(_xlfn.XLOOKUP($D161,Dashboard!$A$101:$A$350,Dashboard!$C$101:$C$350),""))</f>
        <v/>
      </c>
      <c r="BO161" s="832" t="str">
        <f t="shared" si="44"/>
        <v/>
      </c>
      <c r="BP161" s="832" t="str" cm="1">
        <f t="array" ref="BP161">IF(OR($B161="",$R161="",NOT(ISNUMBER($R161))),"",IF(AND($BV161="AL",$G161=1),"",_xlfn.LET(_xlpm.codes,IF($BV161="AL",Std_Al3_Code,IF($G161=1,Std_Cu1_Code,Std_Cu3_Code)),_xlpm.amps,IFERROR(--SUBSTITUTE(_xlpm.codes&amp;"","N",""),""),_xlpm.a,MIN(IF(ISNUMBER(_xlpm.amps),IF(_xlpm.amps&gt;=$R161,_xlpm.amps,""),"")),_xlpm.k,IF(_xlpm.a=0,$R161,_xlpm.a),IF($BO161="Y",TEXT(_xlpm.k,"0")&amp;"N",_xlpm.k))))</f>
        <v/>
      </c>
      <c r="BQ161" s="832" t="str" cm="1">
        <f t="array" ref="BQ161">IF($BP161="","",IFERROR(IF($BV161="AL",_xlfn.XLOOKUP($BP161,Std_Al3_Code,INDEX(Std_Al3_Table,0,3)),IF($G161=1,_xlfn.XLOOKUP($BP161,Std_Cu1_Code,INDEX(Std_Cu1_Table,0,3)),_xlfn.XLOOKUP($BP161,Std_Cu3_Code,INDEX(Std_Cu3_Table,0,3)))),""))</f>
        <v/>
      </c>
      <c r="BR161" s="832" t="str" cm="1">
        <f t="array" ref="BR161">IF($BP161="","",IFERROR(IF($BV161="AL",_xlfn.XLOOKUP($BP161,Std_Al3_Code,INDEX(Std_Al3_Table,0,4)),IF($G161=1,_xlfn.XLOOKUP($BP161,Std_Cu1_Code,INDEX(Std_Cu1_Table,0,4)),_xlfn.XLOOKUP($BP161,Std_Cu3_Code,INDEX(Std_Cu3_Table,0,4)))),""))</f>
        <v/>
      </c>
      <c r="BS161" s="832" t="str" cm="1">
        <f t="array" ref="BS161">IF($BP161="","",IFERROR(IF($BV161="AL",_xlfn.XLOOKUP($BP161,Std_Al3_Code,INDEX(Std_Al3_Table,0,5)),IF($G161=1,_xlfn.XLOOKUP($BP161,Std_Cu1_Code,INDEX(Std_Cu1_Table,0,5)),_xlfn.XLOOKUP($BP161,Std_Cu3_Code,INDEX(Std_Cu3_Table,0,5)))),""))</f>
        <v/>
      </c>
      <c r="BT161" s="832" t="str">
        <f t="shared" si="45"/>
        <v/>
      </c>
      <c r="BU161" s="832" t="str" cm="1">
        <f t="array" ref="BU161">IF($BP161="","",IFERROR(IF($BV161="AL",_xlfn.XLOOKUP($BP161,Std_Al3_Code,INDEX(Std_Al3_Table,0,2)),IF($G161=1,_xlfn.XLOOKUP($BP161,Std_Cu1_Code,INDEX(Std_Cu1_Table,0,2)),_xlfn.XLOOKUP($BP161,Std_Cu3_Code,INDEX(Std_Cu3_Table,0,2)))),""))</f>
        <v/>
      </c>
      <c r="BV161" s="829" t="str">
        <f t="shared" si="46"/>
        <v/>
      </c>
      <c r="BW161" s="829" t="str">
        <f t="shared" si="52"/>
        <v/>
      </c>
      <c r="BX161" s="829" t="str" cm="1">
        <f t="array" ref="BX161">IF(OR($BP161="",$H161="",$I161="",$F161="",$BW161=""),"",IFERROR(_xlfn.LET(_xlpm.codes,IF($BV161="AL",Std_Al3_Code,IF($G161=1,Std_Cu1_Code,Std_Cu3_Code)),_xlpm.tbl,IF($BV161="AL",Std_Al3_Table,IF($G161=1,Std_Cu1_Table,Std_Cu3_Table)),_xlpm.i,MATCH($BP161,_xlpm.codes,0),_xlpm.idx,_xlfn.SEQUENCE(ROWS(_xlpm.codes)),_xlpm.cnd,INDEX(_xlpm.tbl,0,4),_xlpm.sts,INDEX(_xlpm.tbl,0,2),_xlpm.sz,IFERROR(_xlfn.TEXTBEFORE(_xlfn.TEXTAFTER(_xlpm.cnd,"#"),","),IFERROR(_xlfn.TEXTAFTER(_xlpm.cnd,"#"),"")),_xlpm.cm,IFERROR(_xlfn.XLOOKUP(TRIM(_xlpm.sz),Ampacity_Size,Ampacity_CM),0),_xlpm.mult,IF($G161=3,SQRT3,2),_xlpm.kk,IF($BV161="AL",K_Al,K_Cu),_xlpm.vd,IF(_xlpm.cm*IF(ISNUMBER(_xlpm.sts),_xlpm.sts,0)=0,9,_xlpm.mult*_xlpm.kk*$I161*$H161/(_xlpm.cm*_xlpm.sts)/$F161),_xlpm.hasN,--(RIGHT(_xlpm.codes&amp;"",1)="N"),_xlpm.wantN,--(RIGHT($BP161&amp;"",1)="N"),_xlpm.ok,(_xlpm.idx&gt;=_xlpm.i)*(_xlpm.vd&lt;=Cfg_VDFeeder)*(_xlpm.cm&gt;0)*ISNUMBER(_xlpm.sts)*(_xlpm.hasN=_xlpm.wantN),_xlpm.m,MIN(IF(_xlpm.ok=1,_xlpm.idx)),INDEX(_xlpm.codes,IF(_xlpm.m=0,_xlpm.i,_xlpm.m))),""))</f>
        <v/>
      </c>
      <c r="BY161" s="829" t="str" cm="1">
        <f t="array" ref="BY161">IF($BP161="","",IF($BX161="",$BU161,IFERROR(IF($BV161="AL",_xlfn.XLOOKUP($BX161,Std_Al3_Code,INDEX(Std_Al3_Table,0,2)),IF($G161=1,_xlfn.XLOOKUP($BX161,Std_Cu1_Code,INDEX(Std_Cu1_Table,0,2)),_xlfn.XLOOKUP($BX161,Std_Cu3_Code,INDEX(Std_Cu3_Table,0,2)))),"")))</f>
        <v/>
      </c>
      <c r="BZ161" s="829" t="str" cm="1">
        <f t="array" ref="BZ161">IF($BP161="","",IF($BX161="",$BR161,IFERROR(IF($BV161="AL",_xlfn.XLOOKUP($BX161,Std_Al3_Code,INDEX(Std_Al3_Table,0,4)),IF($G161=1,_xlfn.XLOOKUP($BX161,Std_Cu1_Code,INDEX(Std_Cu1_Table,0,4)),_xlfn.XLOOKUP($BX161,Std_Cu3_Code,INDEX(Std_Cu3_Table,0,4)))),"")))</f>
        <v/>
      </c>
      <c r="CA161" s="829" t="str" cm="1">
        <f t="array" ref="CA161">IF($BP161="","",IF($BX161="",$BQ161,IFERROR(IF($BV161="AL",_xlfn.XLOOKUP($BX161,Std_Al3_Code,INDEX(Std_Al3_Table,0,3)),IF($G161=1,_xlfn.XLOOKUP($BX161,Std_Cu1_Code,INDEX(Std_Cu1_Table,0,3)),_xlfn.XLOOKUP($BX161,Std_Cu3_Code,INDEX(Std_Cu3_Table,0,3)))),"")))</f>
        <v/>
      </c>
      <c r="CB161" s="829" t="str" cm="1">
        <f t="array" ref="CB161">IF($BP161="","",IF($BX161="",$BS161,IFERROR(IF($BV161="AL",_xlfn.XLOOKUP($BX161,Std_Al3_Code,INDEX(Std_Al3_Table,0,5)),IF($G161=1,_xlfn.XLOOKUP($BX161,Std_Cu1_Code,INDEX(Std_Cu1_Table,0,5)),_xlfn.XLOOKUP($BX161,Std_Cu3_Code,INDEX(Std_Cu3_Table,0,5)))),"")))</f>
        <v/>
      </c>
      <c r="CC161" s="829" t="str">
        <f t="shared" si="53"/>
        <v/>
      </c>
      <c r="CD161" s="829" t="str">
        <f t="shared" si="54"/>
        <v/>
      </c>
      <c r="CE161" s="829" t="str">
        <f t="shared" si="55"/>
        <v/>
      </c>
      <c r="CF161" s="829" t="str">
        <f t="shared" si="56"/>
        <v/>
      </c>
      <c r="CG161" s="829" t="str">
        <f t="shared" si="57"/>
        <v/>
      </c>
      <c r="CH161" s="829" t="str">
        <f t="shared" si="58"/>
        <v/>
      </c>
      <c r="CI161" s="829" t="str">
        <f t="shared" si="59"/>
        <v/>
      </c>
      <c r="CJ161" s="829" t="str" cm="1">
        <f t="array" ref="CJ161">IF($B161="","",_xlfn.LET(_xlpm.to,$D161&amp;"",_xlpm.em,IFERROR(INDEX(_xlfn.ANCHORARRAY($BE$4),ROW()-4,6),"")="EMERG",_xlpm.pri,AND(NOT(_xlpm.em),LEFT(_xlpm.to,2)="T-",ISNUMBER(MATCH(MID(_xlpm.to,3,99),Equip_List,0)),ISNA(MATCH(_xlpm.to,Equip_List,0))),IF(_xlpm.pri,MID(_xlpm.to,3,99),_xlpm.to)))</f>
        <v/>
      </c>
      <c r="CK161" s="829" t="str" cm="1">
        <f t="array" ref="CK161">IF($CJ161="","",IF(IFERROR(INDEX(_xlfn.ANCHORARRAY($BE$4),ROW()-4,6),"")="EMERG","E",IF($CJ161&lt;&gt;$D161&amp;"","P","N")))</f>
        <v/>
      </c>
    </row>
    <row r="162" spans="1:89" ht="15" customHeight="1" x14ac:dyDescent="0.35">
      <c r="A162" s="821" t="str">
        <f t="shared" si="47"/>
        <v/>
      </c>
      <c r="B162" s="821" t="str" cm="1">
        <f t="array" ref="B162">IFERROR(IF(INDEX(_xlfn.ANCHORARRAY($BE$4),ROW()-4,2)="","","F-"&amp;INDEX(_xlfn.ANCHORARRAY($BE$4),ROW()-4,2)&amp;IF(IFERROR(INDEX(_xlfn.ANCHORARRAY($BE$4),ROW()-4,6),"")="EMERG","-E","")),"")</f>
        <v/>
      </c>
      <c r="C162" s="821" t="str" cm="1">
        <f t="array" ref="C162">IFERROR(IF($B162="","",INDEX(_xlfn.ANCHORARRAY($BE$4),ROW()-4,1)),"")</f>
        <v/>
      </c>
      <c r="D162" s="821" t="str" cm="1">
        <f t="array" ref="D162">IFERROR(IF($B162="","",INDEX(_xlfn.ANCHORARRAY($BE$4),ROW()-4,2)),"")</f>
        <v/>
      </c>
      <c r="E162" s="806" t="str" cm="1">
        <f t="array" ref="E162">IFERROR(IF($B162="","",INDEX(_xlfn.ANCHORARRAY($BE$4),ROW()-4,3)),"")</f>
        <v/>
      </c>
      <c r="F162" s="822" t="str" cm="1">
        <f t="array" ref="F162">IFERROR(IF($B162="","",INDEX(_xlfn.ANCHORARRAY($BE$4),ROW()-4,4)),"")</f>
        <v/>
      </c>
      <c r="G162" s="823" t="str" cm="1">
        <f t="array" ref="G162">IFERROR(IF($B162="","",INDEX(_xlfn.ANCHORARRAY($BE$4),ROW()-4,5)),"")</f>
        <v/>
      </c>
      <c r="H162" s="824" t="str" cm="1">
        <f t="array" ref="H162">IF($CJ162="","",_xlfn.LET(_xlpm.v,_xlfn.XLOOKUP($CJ162,Equip_List,IF($CK162="E",Equip_EmLen,IF($CK162="P",Equip_XfPriLen,Equip_FdrLen)),""),IF(_xlpm.v="","",_xlpm.v)))</f>
        <v/>
      </c>
      <c r="I162" s="806" t="str">
        <f t="shared" si="40"/>
        <v/>
      </c>
      <c r="J162" s="820"/>
      <c r="K162" s="806" t="str">
        <f>_xlfn.LET(_xlpm.k,IF($I162="","",IF(COUNTIF(UPS!$B$57:$B$64,$C162&amp;"")&gt;0,1.25*MAX($I162,N(_xlfn.XLOOKUP($C162&amp;"",UPS!$B$57:$B$64,UPS!$M$57:$M$64,0))),IF(COUNTIF(UPS!$B$57:$B$64,$D162&amp;"")&gt;0,1.25*MAX($I162,N(_xlfn.XLOOKUP($D162&amp;"",UPS!$B$57:$B$64,UPS!$Q$57:$Q$64,0))),$I162*IF(OR(UPPER($J162)="Y",LEFT($C162,2)="T-",LEFT($D162,2)="T-"),1.25,1)))),IF(_xlpm.k="","",MAX(_xlpm.k,N(IFERROR(_xlfn.XLOOKUP($D162&amp;"",Dashboard!$A$101:$A$350,Dashboard!$O$101:$O$350,0),0)))))</f>
        <v/>
      </c>
      <c r="L162" s="825" t="str">
        <f>IF($CJ162="","",_xlfn.LET(_xlpm.v,UPPER(TRIM(_xlfn.XLOOKUP($CJ162,Equip_List,Equip_FdrMat,"")&amp;"")),IF(_xlpm.v="",UPPER(TRIM(Cfg_FeederMat&amp;"")),_xlpm.v)))</f>
        <v/>
      </c>
      <c r="M162" s="825" t="str">
        <f>IF($CJ162="","",_xlfn.LET(_xlpm.v,TRIM(_xlfn.XLOOKUP($CJ162,Equip_List,Equip_FdrRace,"")&amp;""),IF(_xlpm.v="",Cfg_Conduit&amp;"",_xlpm.v)))</f>
        <v/>
      </c>
      <c r="N162" s="825" t="str">
        <f>IF($CJ162="","",IF(UPPER(TRIM(_xlfn.XLOOKUP($CJ162,Equip_List,Equip_FdrExist,"")&amp;""))="Y","Y",""))</f>
        <v/>
      </c>
      <c r="O162" s="823" t="str">
        <f t="shared" si="48"/>
        <v/>
      </c>
      <c r="P162" s="821" t="str">
        <f t="shared" si="49"/>
        <v/>
      </c>
      <c r="Q162" s="821" t="str">
        <f t="shared" si="50"/>
        <v/>
      </c>
      <c r="R162" s="822" t="str" cm="1">
        <f t="array" ref="R162">IF(K162="","",INDEX(OCPD_List,MATCH(TRUE,OCPD_List&gt;=K162,0)))</f>
        <v/>
      </c>
      <c r="S162" s="821" t="str">
        <f t="shared" si="51"/>
        <v/>
      </c>
      <c r="T162" s="826" t="str">
        <f t="shared" si="41"/>
        <v/>
      </c>
      <c r="U162" s="826" t="str">
        <f t="shared" si="42"/>
        <v/>
      </c>
      <c r="V162" s="827" t="str">
        <f t="shared" si="43"/>
        <v/>
      </c>
      <c r="W162" s="828"/>
      <c r="X162" s="819"/>
      <c r="Y162" s="820"/>
      <c r="Z162" s="820"/>
      <c r="AA162" s="820"/>
      <c r="BN162" s="832" t="str">
        <f>IF($B162="","",IFERROR(_xlfn.XLOOKUP($D162,Dashboard!$A$101:$A$350,Dashboard!$C$101:$C$350),""))</f>
        <v/>
      </c>
      <c r="BO162" s="832" t="str">
        <f t="shared" si="44"/>
        <v/>
      </c>
      <c r="BP162" s="832" t="str" cm="1">
        <f t="array" ref="BP162">IF(OR($B162="",$R162="",NOT(ISNUMBER($R162))),"",IF(AND($BV162="AL",$G162=1),"",_xlfn.LET(_xlpm.codes,IF($BV162="AL",Std_Al3_Code,IF($G162=1,Std_Cu1_Code,Std_Cu3_Code)),_xlpm.amps,IFERROR(--SUBSTITUTE(_xlpm.codes&amp;"","N",""),""),_xlpm.a,MIN(IF(ISNUMBER(_xlpm.amps),IF(_xlpm.amps&gt;=$R162,_xlpm.amps,""),"")),_xlpm.k,IF(_xlpm.a=0,$R162,_xlpm.a),IF($BO162="Y",TEXT(_xlpm.k,"0")&amp;"N",_xlpm.k))))</f>
        <v/>
      </c>
      <c r="BQ162" s="832" t="str" cm="1">
        <f t="array" ref="BQ162">IF($BP162="","",IFERROR(IF($BV162="AL",_xlfn.XLOOKUP($BP162,Std_Al3_Code,INDEX(Std_Al3_Table,0,3)),IF($G162=1,_xlfn.XLOOKUP($BP162,Std_Cu1_Code,INDEX(Std_Cu1_Table,0,3)),_xlfn.XLOOKUP($BP162,Std_Cu3_Code,INDEX(Std_Cu3_Table,0,3)))),""))</f>
        <v/>
      </c>
      <c r="BR162" s="832" t="str" cm="1">
        <f t="array" ref="BR162">IF($BP162="","",IFERROR(IF($BV162="AL",_xlfn.XLOOKUP($BP162,Std_Al3_Code,INDEX(Std_Al3_Table,0,4)),IF($G162=1,_xlfn.XLOOKUP($BP162,Std_Cu1_Code,INDEX(Std_Cu1_Table,0,4)),_xlfn.XLOOKUP($BP162,Std_Cu3_Code,INDEX(Std_Cu3_Table,0,4)))),""))</f>
        <v/>
      </c>
      <c r="BS162" s="832" t="str" cm="1">
        <f t="array" ref="BS162">IF($BP162="","",IFERROR(IF($BV162="AL",_xlfn.XLOOKUP($BP162,Std_Al3_Code,INDEX(Std_Al3_Table,0,5)),IF($G162=1,_xlfn.XLOOKUP($BP162,Std_Cu1_Code,INDEX(Std_Cu1_Table,0,5)),_xlfn.XLOOKUP($BP162,Std_Cu3_Code,INDEX(Std_Cu3_Table,0,5)))),""))</f>
        <v/>
      </c>
      <c r="BT162" s="832" t="str">
        <f t="shared" si="45"/>
        <v/>
      </c>
      <c r="BU162" s="832" t="str" cm="1">
        <f t="array" ref="BU162">IF($BP162="","",IFERROR(IF($BV162="AL",_xlfn.XLOOKUP($BP162,Std_Al3_Code,INDEX(Std_Al3_Table,0,2)),IF($G162=1,_xlfn.XLOOKUP($BP162,Std_Cu1_Code,INDEX(Std_Cu1_Table,0,2)),_xlfn.XLOOKUP($BP162,Std_Cu3_Code,INDEX(Std_Cu3_Table,0,2)))),""))</f>
        <v/>
      </c>
      <c r="BV162" s="829" t="str">
        <f t="shared" si="46"/>
        <v/>
      </c>
      <c r="BW162" s="829" t="str">
        <f t="shared" si="52"/>
        <v/>
      </c>
      <c r="BX162" s="829" t="str" cm="1">
        <f t="array" ref="BX162">IF(OR($BP162="",$H162="",$I162="",$F162="",$BW162=""),"",IFERROR(_xlfn.LET(_xlpm.codes,IF($BV162="AL",Std_Al3_Code,IF($G162=1,Std_Cu1_Code,Std_Cu3_Code)),_xlpm.tbl,IF($BV162="AL",Std_Al3_Table,IF($G162=1,Std_Cu1_Table,Std_Cu3_Table)),_xlpm.i,MATCH($BP162,_xlpm.codes,0),_xlpm.idx,_xlfn.SEQUENCE(ROWS(_xlpm.codes)),_xlpm.cnd,INDEX(_xlpm.tbl,0,4),_xlpm.sts,INDEX(_xlpm.tbl,0,2),_xlpm.sz,IFERROR(_xlfn.TEXTBEFORE(_xlfn.TEXTAFTER(_xlpm.cnd,"#"),","),IFERROR(_xlfn.TEXTAFTER(_xlpm.cnd,"#"),"")),_xlpm.cm,IFERROR(_xlfn.XLOOKUP(TRIM(_xlpm.sz),Ampacity_Size,Ampacity_CM),0),_xlpm.mult,IF($G162=3,SQRT3,2),_xlpm.kk,IF($BV162="AL",K_Al,K_Cu),_xlpm.vd,IF(_xlpm.cm*IF(ISNUMBER(_xlpm.sts),_xlpm.sts,0)=0,9,_xlpm.mult*_xlpm.kk*$I162*$H162/(_xlpm.cm*_xlpm.sts)/$F162),_xlpm.hasN,--(RIGHT(_xlpm.codes&amp;"",1)="N"),_xlpm.wantN,--(RIGHT($BP162&amp;"",1)="N"),_xlpm.ok,(_xlpm.idx&gt;=_xlpm.i)*(_xlpm.vd&lt;=Cfg_VDFeeder)*(_xlpm.cm&gt;0)*ISNUMBER(_xlpm.sts)*(_xlpm.hasN=_xlpm.wantN),_xlpm.m,MIN(IF(_xlpm.ok=1,_xlpm.idx)),INDEX(_xlpm.codes,IF(_xlpm.m=0,_xlpm.i,_xlpm.m))),""))</f>
        <v/>
      </c>
      <c r="BY162" s="829" t="str" cm="1">
        <f t="array" ref="BY162">IF($BP162="","",IF($BX162="",$BU162,IFERROR(IF($BV162="AL",_xlfn.XLOOKUP($BX162,Std_Al3_Code,INDEX(Std_Al3_Table,0,2)),IF($G162=1,_xlfn.XLOOKUP($BX162,Std_Cu1_Code,INDEX(Std_Cu1_Table,0,2)),_xlfn.XLOOKUP($BX162,Std_Cu3_Code,INDEX(Std_Cu3_Table,0,2)))),"")))</f>
        <v/>
      </c>
      <c r="BZ162" s="829" t="str" cm="1">
        <f t="array" ref="BZ162">IF($BP162="","",IF($BX162="",$BR162,IFERROR(IF($BV162="AL",_xlfn.XLOOKUP($BX162,Std_Al3_Code,INDEX(Std_Al3_Table,0,4)),IF($G162=1,_xlfn.XLOOKUP($BX162,Std_Cu1_Code,INDEX(Std_Cu1_Table,0,4)),_xlfn.XLOOKUP($BX162,Std_Cu3_Code,INDEX(Std_Cu3_Table,0,4)))),"")))</f>
        <v/>
      </c>
      <c r="CA162" s="829" t="str" cm="1">
        <f t="array" ref="CA162">IF($BP162="","",IF($BX162="",$BQ162,IFERROR(IF($BV162="AL",_xlfn.XLOOKUP($BX162,Std_Al3_Code,INDEX(Std_Al3_Table,0,3)),IF($G162=1,_xlfn.XLOOKUP($BX162,Std_Cu1_Code,INDEX(Std_Cu1_Table,0,3)),_xlfn.XLOOKUP($BX162,Std_Cu3_Code,INDEX(Std_Cu3_Table,0,3)))),"")))</f>
        <v/>
      </c>
      <c r="CB162" s="829" t="str" cm="1">
        <f t="array" ref="CB162">IF($BP162="","",IF($BX162="",$BS162,IFERROR(IF($BV162="AL",_xlfn.XLOOKUP($BX162,Std_Al3_Code,INDEX(Std_Al3_Table,0,5)),IF($G162=1,_xlfn.XLOOKUP($BX162,Std_Cu1_Code,INDEX(Std_Cu1_Table,0,5)),_xlfn.XLOOKUP($BX162,Std_Cu3_Code,INDEX(Std_Cu3_Table,0,5)))),"")))</f>
        <v/>
      </c>
      <c r="CC162" s="829" t="str">
        <f t="shared" si="53"/>
        <v/>
      </c>
      <c r="CD162" s="829" t="str">
        <f t="shared" si="54"/>
        <v/>
      </c>
      <c r="CE162" s="829" t="str">
        <f t="shared" si="55"/>
        <v/>
      </c>
      <c r="CF162" s="829" t="str">
        <f t="shared" si="56"/>
        <v/>
      </c>
      <c r="CG162" s="829" t="str">
        <f t="shared" si="57"/>
        <v/>
      </c>
      <c r="CH162" s="829" t="str">
        <f t="shared" si="58"/>
        <v/>
      </c>
      <c r="CI162" s="829" t="str">
        <f t="shared" si="59"/>
        <v/>
      </c>
      <c r="CJ162" s="829" t="str" cm="1">
        <f t="array" ref="CJ162">IF($B162="","",_xlfn.LET(_xlpm.to,$D162&amp;"",_xlpm.em,IFERROR(INDEX(_xlfn.ANCHORARRAY($BE$4),ROW()-4,6),"")="EMERG",_xlpm.pri,AND(NOT(_xlpm.em),LEFT(_xlpm.to,2)="T-",ISNUMBER(MATCH(MID(_xlpm.to,3,99),Equip_List,0)),ISNA(MATCH(_xlpm.to,Equip_List,0))),IF(_xlpm.pri,MID(_xlpm.to,3,99),_xlpm.to)))</f>
        <v/>
      </c>
      <c r="CK162" s="829" t="str" cm="1">
        <f t="array" ref="CK162">IF($CJ162="","",IF(IFERROR(INDEX(_xlfn.ANCHORARRAY($BE$4),ROW()-4,6),"")="EMERG","E",IF($CJ162&lt;&gt;$D162&amp;"","P","N")))</f>
        <v/>
      </c>
    </row>
    <row r="163" spans="1:89" ht="15" customHeight="1" x14ac:dyDescent="0.35">
      <c r="A163" s="821" t="str">
        <f t="shared" si="47"/>
        <v/>
      </c>
      <c r="B163" s="821" t="str" cm="1">
        <f t="array" ref="B163">IFERROR(IF(INDEX(_xlfn.ANCHORARRAY($BE$4),ROW()-4,2)="","","F-"&amp;INDEX(_xlfn.ANCHORARRAY($BE$4),ROW()-4,2)&amp;IF(IFERROR(INDEX(_xlfn.ANCHORARRAY($BE$4),ROW()-4,6),"")="EMERG","-E","")),"")</f>
        <v/>
      </c>
      <c r="C163" s="821" t="str" cm="1">
        <f t="array" ref="C163">IFERROR(IF($B163="","",INDEX(_xlfn.ANCHORARRAY($BE$4),ROW()-4,1)),"")</f>
        <v/>
      </c>
      <c r="D163" s="821" t="str" cm="1">
        <f t="array" ref="D163">IFERROR(IF($B163="","",INDEX(_xlfn.ANCHORARRAY($BE$4),ROW()-4,2)),"")</f>
        <v/>
      </c>
      <c r="E163" s="806" t="str" cm="1">
        <f t="array" ref="E163">IFERROR(IF($B163="","",INDEX(_xlfn.ANCHORARRAY($BE$4),ROW()-4,3)),"")</f>
        <v/>
      </c>
      <c r="F163" s="822" t="str" cm="1">
        <f t="array" ref="F163">IFERROR(IF($B163="","",INDEX(_xlfn.ANCHORARRAY($BE$4),ROW()-4,4)),"")</f>
        <v/>
      </c>
      <c r="G163" s="823" t="str" cm="1">
        <f t="array" ref="G163">IFERROR(IF($B163="","",INDEX(_xlfn.ANCHORARRAY($BE$4),ROW()-4,5)),"")</f>
        <v/>
      </c>
      <c r="H163" s="824" t="str" cm="1">
        <f t="array" ref="H163">IF($CJ163="","",_xlfn.LET(_xlpm.v,_xlfn.XLOOKUP($CJ163,Equip_List,IF($CK163="E",Equip_EmLen,IF($CK163="P",Equip_XfPriLen,Equip_FdrLen)),""),IF(_xlpm.v="","",_xlpm.v)))</f>
        <v/>
      </c>
      <c r="I163" s="806" t="str">
        <f t="shared" si="40"/>
        <v/>
      </c>
      <c r="J163" s="820"/>
      <c r="K163" s="806" t="str">
        <f>_xlfn.LET(_xlpm.k,IF($I163="","",IF(COUNTIF(UPS!$B$57:$B$64,$C163&amp;"")&gt;0,1.25*MAX($I163,N(_xlfn.XLOOKUP($C163&amp;"",UPS!$B$57:$B$64,UPS!$M$57:$M$64,0))),IF(COUNTIF(UPS!$B$57:$B$64,$D163&amp;"")&gt;0,1.25*MAX($I163,N(_xlfn.XLOOKUP($D163&amp;"",UPS!$B$57:$B$64,UPS!$Q$57:$Q$64,0))),$I163*IF(OR(UPPER($J163)="Y",LEFT($C163,2)="T-",LEFT($D163,2)="T-"),1.25,1)))),IF(_xlpm.k="","",MAX(_xlpm.k,N(IFERROR(_xlfn.XLOOKUP($D163&amp;"",Dashboard!$A$101:$A$350,Dashboard!$O$101:$O$350,0),0)))))</f>
        <v/>
      </c>
      <c r="L163" s="825" t="str">
        <f>IF($CJ163="","",_xlfn.LET(_xlpm.v,UPPER(TRIM(_xlfn.XLOOKUP($CJ163,Equip_List,Equip_FdrMat,"")&amp;"")),IF(_xlpm.v="",UPPER(TRIM(Cfg_FeederMat&amp;"")),_xlpm.v)))</f>
        <v/>
      </c>
      <c r="M163" s="825" t="str">
        <f>IF($CJ163="","",_xlfn.LET(_xlpm.v,TRIM(_xlfn.XLOOKUP($CJ163,Equip_List,Equip_FdrRace,"")&amp;""),IF(_xlpm.v="",Cfg_Conduit&amp;"",_xlpm.v)))</f>
        <v/>
      </c>
      <c r="N163" s="825" t="str">
        <f>IF($CJ163="","",IF(UPPER(TRIM(_xlfn.XLOOKUP($CJ163,Equip_List,Equip_FdrExist,"")&amp;""))="Y","Y",""))</f>
        <v/>
      </c>
      <c r="O163" s="823" t="str">
        <f t="shared" si="48"/>
        <v/>
      </c>
      <c r="P163" s="821" t="str">
        <f t="shared" si="49"/>
        <v/>
      </c>
      <c r="Q163" s="821" t="str">
        <f t="shared" si="50"/>
        <v/>
      </c>
      <c r="R163" s="822" t="str" cm="1">
        <f t="array" ref="R163">IF(K163="","",INDEX(OCPD_List,MATCH(TRUE,OCPD_List&gt;=K163,0)))</f>
        <v/>
      </c>
      <c r="S163" s="821" t="str">
        <f t="shared" si="51"/>
        <v/>
      </c>
      <c r="T163" s="826" t="str">
        <f t="shared" si="41"/>
        <v/>
      </c>
      <c r="U163" s="826" t="str">
        <f t="shared" si="42"/>
        <v/>
      </c>
      <c r="V163" s="827" t="str">
        <f t="shared" si="43"/>
        <v/>
      </c>
      <c r="W163" s="828"/>
      <c r="X163" s="819"/>
      <c r="Y163" s="820"/>
      <c r="Z163" s="820"/>
      <c r="AA163" s="820"/>
      <c r="BN163" s="832" t="str">
        <f>IF($B163="","",IFERROR(_xlfn.XLOOKUP($D163,Dashboard!$A$101:$A$350,Dashboard!$C$101:$C$350),""))</f>
        <v/>
      </c>
      <c r="BO163" s="832" t="str">
        <f t="shared" si="44"/>
        <v/>
      </c>
      <c r="BP163" s="832" t="str" cm="1">
        <f t="array" ref="BP163">IF(OR($B163="",$R163="",NOT(ISNUMBER($R163))),"",IF(AND($BV163="AL",$G163=1),"",_xlfn.LET(_xlpm.codes,IF($BV163="AL",Std_Al3_Code,IF($G163=1,Std_Cu1_Code,Std_Cu3_Code)),_xlpm.amps,IFERROR(--SUBSTITUTE(_xlpm.codes&amp;"","N",""),""),_xlpm.a,MIN(IF(ISNUMBER(_xlpm.amps),IF(_xlpm.amps&gt;=$R163,_xlpm.amps,""),"")),_xlpm.k,IF(_xlpm.a=0,$R163,_xlpm.a),IF($BO163="Y",TEXT(_xlpm.k,"0")&amp;"N",_xlpm.k))))</f>
        <v/>
      </c>
      <c r="BQ163" s="832" t="str" cm="1">
        <f t="array" ref="BQ163">IF($BP163="","",IFERROR(IF($BV163="AL",_xlfn.XLOOKUP($BP163,Std_Al3_Code,INDEX(Std_Al3_Table,0,3)),IF($G163=1,_xlfn.XLOOKUP($BP163,Std_Cu1_Code,INDEX(Std_Cu1_Table,0,3)),_xlfn.XLOOKUP($BP163,Std_Cu3_Code,INDEX(Std_Cu3_Table,0,3)))),""))</f>
        <v/>
      </c>
      <c r="BR163" s="832" t="str" cm="1">
        <f t="array" ref="BR163">IF($BP163="","",IFERROR(IF($BV163="AL",_xlfn.XLOOKUP($BP163,Std_Al3_Code,INDEX(Std_Al3_Table,0,4)),IF($G163=1,_xlfn.XLOOKUP($BP163,Std_Cu1_Code,INDEX(Std_Cu1_Table,0,4)),_xlfn.XLOOKUP($BP163,Std_Cu3_Code,INDEX(Std_Cu3_Table,0,4)))),""))</f>
        <v/>
      </c>
      <c r="BS163" s="832" t="str" cm="1">
        <f t="array" ref="BS163">IF($BP163="","",IFERROR(IF($BV163="AL",_xlfn.XLOOKUP($BP163,Std_Al3_Code,INDEX(Std_Al3_Table,0,5)),IF($G163=1,_xlfn.XLOOKUP($BP163,Std_Cu1_Code,INDEX(Std_Cu1_Table,0,5)),_xlfn.XLOOKUP($BP163,Std_Cu3_Code,INDEX(Std_Cu3_Table,0,5)))),""))</f>
        <v/>
      </c>
      <c r="BT163" s="832" t="str">
        <f t="shared" si="45"/>
        <v/>
      </c>
      <c r="BU163" s="832" t="str" cm="1">
        <f t="array" ref="BU163">IF($BP163="","",IFERROR(IF($BV163="AL",_xlfn.XLOOKUP($BP163,Std_Al3_Code,INDEX(Std_Al3_Table,0,2)),IF($G163=1,_xlfn.XLOOKUP($BP163,Std_Cu1_Code,INDEX(Std_Cu1_Table,0,2)),_xlfn.XLOOKUP($BP163,Std_Cu3_Code,INDEX(Std_Cu3_Table,0,2)))),""))</f>
        <v/>
      </c>
      <c r="BV163" s="829" t="str">
        <f t="shared" si="46"/>
        <v/>
      </c>
      <c r="BW163" s="829" t="str">
        <f t="shared" si="52"/>
        <v/>
      </c>
      <c r="BX163" s="829" t="str" cm="1">
        <f t="array" ref="BX163">IF(OR($BP163="",$H163="",$I163="",$F163="",$BW163=""),"",IFERROR(_xlfn.LET(_xlpm.codes,IF($BV163="AL",Std_Al3_Code,IF($G163=1,Std_Cu1_Code,Std_Cu3_Code)),_xlpm.tbl,IF($BV163="AL",Std_Al3_Table,IF($G163=1,Std_Cu1_Table,Std_Cu3_Table)),_xlpm.i,MATCH($BP163,_xlpm.codes,0),_xlpm.idx,_xlfn.SEQUENCE(ROWS(_xlpm.codes)),_xlpm.cnd,INDEX(_xlpm.tbl,0,4),_xlpm.sts,INDEX(_xlpm.tbl,0,2),_xlpm.sz,IFERROR(_xlfn.TEXTBEFORE(_xlfn.TEXTAFTER(_xlpm.cnd,"#"),","),IFERROR(_xlfn.TEXTAFTER(_xlpm.cnd,"#"),"")),_xlpm.cm,IFERROR(_xlfn.XLOOKUP(TRIM(_xlpm.sz),Ampacity_Size,Ampacity_CM),0),_xlpm.mult,IF($G163=3,SQRT3,2),_xlpm.kk,IF($BV163="AL",K_Al,K_Cu),_xlpm.vd,IF(_xlpm.cm*IF(ISNUMBER(_xlpm.sts),_xlpm.sts,0)=0,9,_xlpm.mult*_xlpm.kk*$I163*$H163/(_xlpm.cm*_xlpm.sts)/$F163),_xlpm.hasN,--(RIGHT(_xlpm.codes&amp;"",1)="N"),_xlpm.wantN,--(RIGHT($BP163&amp;"",1)="N"),_xlpm.ok,(_xlpm.idx&gt;=_xlpm.i)*(_xlpm.vd&lt;=Cfg_VDFeeder)*(_xlpm.cm&gt;0)*ISNUMBER(_xlpm.sts)*(_xlpm.hasN=_xlpm.wantN),_xlpm.m,MIN(IF(_xlpm.ok=1,_xlpm.idx)),INDEX(_xlpm.codes,IF(_xlpm.m=0,_xlpm.i,_xlpm.m))),""))</f>
        <v/>
      </c>
      <c r="BY163" s="829" t="str" cm="1">
        <f t="array" ref="BY163">IF($BP163="","",IF($BX163="",$BU163,IFERROR(IF($BV163="AL",_xlfn.XLOOKUP($BX163,Std_Al3_Code,INDEX(Std_Al3_Table,0,2)),IF($G163=1,_xlfn.XLOOKUP($BX163,Std_Cu1_Code,INDEX(Std_Cu1_Table,0,2)),_xlfn.XLOOKUP($BX163,Std_Cu3_Code,INDEX(Std_Cu3_Table,0,2)))),"")))</f>
        <v/>
      </c>
      <c r="BZ163" s="829" t="str" cm="1">
        <f t="array" ref="BZ163">IF($BP163="","",IF($BX163="",$BR163,IFERROR(IF($BV163="AL",_xlfn.XLOOKUP($BX163,Std_Al3_Code,INDEX(Std_Al3_Table,0,4)),IF($G163=1,_xlfn.XLOOKUP($BX163,Std_Cu1_Code,INDEX(Std_Cu1_Table,0,4)),_xlfn.XLOOKUP($BX163,Std_Cu3_Code,INDEX(Std_Cu3_Table,0,4)))),"")))</f>
        <v/>
      </c>
      <c r="CA163" s="829" t="str" cm="1">
        <f t="array" ref="CA163">IF($BP163="","",IF($BX163="",$BQ163,IFERROR(IF($BV163="AL",_xlfn.XLOOKUP($BX163,Std_Al3_Code,INDEX(Std_Al3_Table,0,3)),IF($G163=1,_xlfn.XLOOKUP($BX163,Std_Cu1_Code,INDEX(Std_Cu1_Table,0,3)),_xlfn.XLOOKUP($BX163,Std_Cu3_Code,INDEX(Std_Cu3_Table,0,3)))),"")))</f>
        <v/>
      </c>
      <c r="CB163" s="829" t="str" cm="1">
        <f t="array" ref="CB163">IF($BP163="","",IF($BX163="",$BS163,IFERROR(IF($BV163="AL",_xlfn.XLOOKUP($BX163,Std_Al3_Code,INDEX(Std_Al3_Table,0,5)),IF($G163=1,_xlfn.XLOOKUP($BX163,Std_Cu1_Code,INDEX(Std_Cu1_Table,0,5)),_xlfn.XLOOKUP($BX163,Std_Cu3_Code,INDEX(Std_Cu3_Table,0,5)))),"")))</f>
        <v/>
      </c>
      <c r="CC163" s="829" t="str">
        <f t="shared" si="53"/>
        <v/>
      </c>
      <c r="CD163" s="829" t="str">
        <f t="shared" si="54"/>
        <v/>
      </c>
      <c r="CE163" s="829" t="str">
        <f t="shared" si="55"/>
        <v/>
      </c>
      <c r="CF163" s="829" t="str">
        <f t="shared" si="56"/>
        <v/>
      </c>
      <c r="CG163" s="829" t="str">
        <f t="shared" si="57"/>
        <v/>
      </c>
      <c r="CH163" s="829" t="str">
        <f t="shared" si="58"/>
        <v/>
      </c>
      <c r="CI163" s="829" t="str">
        <f t="shared" si="59"/>
        <v/>
      </c>
      <c r="CJ163" s="829" t="str" cm="1">
        <f t="array" ref="CJ163">IF($B163="","",_xlfn.LET(_xlpm.to,$D163&amp;"",_xlpm.em,IFERROR(INDEX(_xlfn.ANCHORARRAY($BE$4),ROW()-4,6),"")="EMERG",_xlpm.pri,AND(NOT(_xlpm.em),LEFT(_xlpm.to,2)="T-",ISNUMBER(MATCH(MID(_xlpm.to,3,99),Equip_List,0)),ISNA(MATCH(_xlpm.to,Equip_List,0))),IF(_xlpm.pri,MID(_xlpm.to,3,99),_xlpm.to)))</f>
        <v/>
      </c>
      <c r="CK163" s="829" t="str" cm="1">
        <f t="array" ref="CK163">IF($CJ163="","",IF(IFERROR(INDEX(_xlfn.ANCHORARRAY($BE$4),ROW()-4,6),"")="EMERG","E",IF($CJ163&lt;&gt;$D163&amp;"","P","N")))</f>
        <v/>
      </c>
    </row>
    <row r="164" spans="1:89" ht="15" customHeight="1" x14ac:dyDescent="0.35">
      <c r="A164" s="821" t="str">
        <f t="shared" si="47"/>
        <v/>
      </c>
      <c r="B164" s="821" t="str" cm="1">
        <f t="array" ref="B164">IFERROR(IF(INDEX(_xlfn.ANCHORARRAY($BE$4),ROW()-4,2)="","","F-"&amp;INDEX(_xlfn.ANCHORARRAY($BE$4),ROW()-4,2)&amp;IF(IFERROR(INDEX(_xlfn.ANCHORARRAY($BE$4),ROW()-4,6),"")="EMERG","-E","")),"")</f>
        <v/>
      </c>
      <c r="C164" s="821" t="str" cm="1">
        <f t="array" ref="C164">IFERROR(IF($B164="","",INDEX(_xlfn.ANCHORARRAY($BE$4),ROW()-4,1)),"")</f>
        <v/>
      </c>
      <c r="D164" s="821" t="str" cm="1">
        <f t="array" ref="D164">IFERROR(IF($B164="","",INDEX(_xlfn.ANCHORARRAY($BE$4),ROW()-4,2)),"")</f>
        <v/>
      </c>
      <c r="E164" s="806" t="str" cm="1">
        <f t="array" ref="E164">IFERROR(IF($B164="","",INDEX(_xlfn.ANCHORARRAY($BE$4),ROW()-4,3)),"")</f>
        <v/>
      </c>
      <c r="F164" s="822" t="str" cm="1">
        <f t="array" ref="F164">IFERROR(IF($B164="","",INDEX(_xlfn.ANCHORARRAY($BE$4),ROW()-4,4)),"")</f>
        <v/>
      </c>
      <c r="G164" s="823" t="str" cm="1">
        <f t="array" ref="G164">IFERROR(IF($B164="","",INDEX(_xlfn.ANCHORARRAY($BE$4),ROW()-4,5)),"")</f>
        <v/>
      </c>
      <c r="H164" s="824" t="str" cm="1">
        <f t="array" ref="H164">IF($CJ164="","",_xlfn.LET(_xlpm.v,_xlfn.XLOOKUP($CJ164,Equip_List,IF($CK164="E",Equip_EmLen,IF($CK164="P",Equip_XfPriLen,Equip_FdrLen)),""),IF(_xlpm.v="","",_xlpm.v)))</f>
        <v/>
      </c>
      <c r="I164" s="806" t="str">
        <f t="shared" si="40"/>
        <v/>
      </c>
      <c r="J164" s="820"/>
      <c r="K164" s="806" t="str">
        <f>_xlfn.LET(_xlpm.k,IF($I164="","",IF(COUNTIF(UPS!$B$57:$B$64,$C164&amp;"")&gt;0,1.25*MAX($I164,N(_xlfn.XLOOKUP($C164&amp;"",UPS!$B$57:$B$64,UPS!$M$57:$M$64,0))),IF(COUNTIF(UPS!$B$57:$B$64,$D164&amp;"")&gt;0,1.25*MAX($I164,N(_xlfn.XLOOKUP($D164&amp;"",UPS!$B$57:$B$64,UPS!$Q$57:$Q$64,0))),$I164*IF(OR(UPPER($J164)="Y",LEFT($C164,2)="T-",LEFT($D164,2)="T-"),1.25,1)))),IF(_xlpm.k="","",MAX(_xlpm.k,N(IFERROR(_xlfn.XLOOKUP($D164&amp;"",Dashboard!$A$101:$A$350,Dashboard!$O$101:$O$350,0),0)))))</f>
        <v/>
      </c>
      <c r="L164" s="825" t="str">
        <f>IF($CJ164="","",_xlfn.LET(_xlpm.v,UPPER(TRIM(_xlfn.XLOOKUP($CJ164,Equip_List,Equip_FdrMat,"")&amp;"")),IF(_xlpm.v="",UPPER(TRIM(Cfg_FeederMat&amp;"")),_xlpm.v)))</f>
        <v/>
      </c>
      <c r="M164" s="825" t="str">
        <f>IF($CJ164="","",_xlfn.LET(_xlpm.v,TRIM(_xlfn.XLOOKUP($CJ164,Equip_List,Equip_FdrRace,"")&amp;""),IF(_xlpm.v="",Cfg_Conduit&amp;"",_xlpm.v)))</f>
        <v/>
      </c>
      <c r="N164" s="825" t="str">
        <f>IF($CJ164="","",IF(UPPER(TRIM(_xlfn.XLOOKUP($CJ164,Equip_List,Equip_FdrExist,"")&amp;""))="Y","Y",""))</f>
        <v/>
      </c>
      <c r="O164" s="823" t="str">
        <f t="shared" si="48"/>
        <v/>
      </c>
      <c r="P164" s="821" t="str">
        <f t="shared" si="49"/>
        <v/>
      </c>
      <c r="Q164" s="821" t="str">
        <f t="shared" si="50"/>
        <v/>
      </c>
      <c r="R164" s="822" t="str" cm="1">
        <f t="array" ref="R164">IF(K164="","",INDEX(OCPD_List,MATCH(TRUE,OCPD_List&gt;=K164,0)))</f>
        <v/>
      </c>
      <c r="S164" s="821" t="str">
        <f t="shared" si="51"/>
        <v/>
      </c>
      <c r="T164" s="826" t="str">
        <f t="shared" si="41"/>
        <v/>
      </c>
      <c r="U164" s="826" t="str">
        <f t="shared" si="42"/>
        <v/>
      </c>
      <c r="V164" s="827" t="str">
        <f t="shared" si="43"/>
        <v/>
      </c>
      <c r="W164" s="828"/>
      <c r="X164" s="819"/>
      <c r="Y164" s="820"/>
      <c r="Z164" s="820"/>
      <c r="AA164" s="820"/>
      <c r="BN164" s="832" t="str">
        <f>IF($B164="","",IFERROR(_xlfn.XLOOKUP($D164,Dashboard!$A$101:$A$350,Dashboard!$C$101:$C$350),""))</f>
        <v/>
      </c>
      <c r="BO164" s="832" t="str">
        <f t="shared" si="44"/>
        <v/>
      </c>
      <c r="BP164" s="832" t="str" cm="1">
        <f t="array" ref="BP164">IF(OR($B164="",$R164="",NOT(ISNUMBER($R164))),"",IF(AND($BV164="AL",$G164=1),"",_xlfn.LET(_xlpm.codes,IF($BV164="AL",Std_Al3_Code,IF($G164=1,Std_Cu1_Code,Std_Cu3_Code)),_xlpm.amps,IFERROR(--SUBSTITUTE(_xlpm.codes&amp;"","N",""),""),_xlpm.a,MIN(IF(ISNUMBER(_xlpm.amps),IF(_xlpm.amps&gt;=$R164,_xlpm.amps,""),"")),_xlpm.k,IF(_xlpm.a=0,$R164,_xlpm.a),IF($BO164="Y",TEXT(_xlpm.k,"0")&amp;"N",_xlpm.k))))</f>
        <v/>
      </c>
      <c r="BQ164" s="832" t="str" cm="1">
        <f t="array" ref="BQ164">IF($BP164="","",IFERROR(IF($BV164="AL",_xlfn.XLOOKUP($BP164,Std_Al3_Code,INDEX(Std_Al3_Table,0,3)),IF($G164=1,_xlfn.XLOOKUP($BP164,Std_Cu1_Code,INDEX(Std_Cu1_Table,0,3)),_xlfn.XLOOKUP($BP164,Std_Cu3_Code,INDEX(Std_Cu3_Table,0,3)))),""))</f>
        <v/>
      </c>
      <c r="BR164" s="832" t="str" cm="1">
        <f t="array" ref="BR164">IF($BP164="","",IFERROR(IF($BV164="AL",_xlfn.XLOOKUP($BP164,Std_Al3_Code,INDEX(Std_Al3_Table,0,4)),IF($G164=1,_xlfn.XLOOKUP($BP164,Std_Cu1_Code,INDEX(Std_Cu1_Table,0,4)),_xlfn.XLOOKUP($BP164,Std_Cu3_Code,INDEX(Std_Cu3_Table,0,4)))),""))</f>
        <v/>
      </c>
      <c r="BS164" s="832" t="str" cm="1">
        <f t="array" ref="BS164">IF($BP164="","",IFERROR(IF($BV164="AL",_xlfn.XLOOKUP($BP164,Std_Al3_Code,INDEX(Std_Al3_Table,0,5)),IF($G164=1,_xlfn.XLOOKUP($BP164,Std_Cu1_Code,INDEX(Std_Cu1_Table,0,5)),_xlfn.XLOOKUP($BP164,Std_Cu3_Code,INDEX(Std_Cu3_Table,0,5)))),""))</f>
        <v/>
      </c>
      <c r="BT164" s="832" t="str">
        <f t="shared" si="45"/>
        <v/>
      </c>
      <c r="BU164" s="832" t="str" cm="1">
        <f t="array" ref="BU164">IF($BP164="","",IFERROR(IF($BV164="AL",_xlfn.XLOOKUP($BP164,Std_Al3_Code,INDEX(Std_Al3_Table,0,2)),IF($G164=1,_xlfn.XLOOKUP($BP164,Std_Cu1_Code,INDEX(Std_Cu1_Table,0,2)),_xlfn.XLOOKUP($BP164,Std_Cu3_Code,INDEX(Std_Cu3_Table,0,2)))),""))</f>
        <v/>
      </c>
      <c r="BV164" s="829" t="str">
        <f t="shared" si="46"/>
        <v/>
      </c>
      <c r="BW164" s="829" t="str">
        <f t="shared" si="52"/>
        <v/>
      </c>
      <c r="BX164" s="829" t="str" cm="1">
        <f t="array" ref="BX164">IF(OR($BP164="",$H164="",$I164="",$F164="",$BW164=""),"",IFERROR(_xlfn.LET(_xlpm.codes,IF($BV164="AL",Std_Al3_Code,IF($G164=1,Std_Cu1_Code,Std_Cu3_Code)),_xlpm.tbl,IF($BV164="AL",Std_Al3_Table,IF($G164=1,Std_Cu1_Table,Std_Cu3_Table)),_xlpm.i,MATCH($BP164,_xlpm.codes,0),_xlpm.idx,_xlfn.SEQUENCE(ROWS(_xlpm.codes)),_xlpm.cnd,INDEX(_xlpm.tbl,0,4),_xlpm.sts,INDEX(_xlpm.tbl,0,2),_xlpm.sz,IFERROR(_xlfn.TEXTBEFORE(_xlfn.TEXTAFTER(_xlpm.cnd,"#"),","),IFERROR(_xlfn.TEXTAFTER(_xlpm.cnd,"#"),"")),_xlpm.cm,IFERROR(_xlfn.XLOOKUP(TRIM(_xlpm.sz),Ampacity_Size,Ampacity_CM),0),_xlpm.mult,IF($G164=3,SQRT3,2),_xlpm.kk,IF($BV164="AL",K_Al,K_Cu),_xlpm.vd,IF(_xlpm.cm*IF(ISNUMBER(_xlpm.sts),_xlpm.sts,0)=0,9,_xlpm.mult*_xlpm.kk*$I164*$H164/(_xlpm.cm*_xlpm.sts)/$F164),_xlpm.hasN,--(RIGHT(_xlpm.codes&amp;"",1)="N"),_xlpm.wantN,--(RIGHT($BP164&amp;"",1)="N"),_xlpm.ok,(_xlpm.idx&gt;=_xlpm.i)*(_xlpm.vd&lt;=Cfg_VDFeeder)*(_xlpm.cm&gt;0)*ISNUMBER(_xlpm.sts)*(_xlpm.hasN=_xlpm.wantN),_xlpm.m,MIN(IF(_xlpm.ok=1,_xlpm.idx)),INDEX(_xlpm.codes,IF(_xlpm.m=0,_xlpm.i,_xlpm.m))),""))</f>
        <v/>
      </c>
      <c r="BY164" s="829" t="str" cm="1">
        <f t="array" ref="BY164">IF($BP164="","",IF($BX164="",$BU164,IFERROR(IF($BV164="AL",_xlfn.XLOOKUP($BX164,Std_Al3_Code,INDEX(Std_Al3_Table,0,2)),IF($G164=1,_xlfn.XLOOKUP($BX164,Std_Cu1_Code,INDEX(Std_Cu1_Table,0,2)),_xlfn.XLOOKUP($BX164,Std_Cu3_Code,INDEX(Std_Cu3_Table,0,2)))),"")))</f>
        <v/>
      </c>
      <c r="BZ164" s="829" t="str" cm="1">
        <f t="array" ref="BZ164">IF($BP164="","",IF($BX164="",$BR164,IFERROR(IF($BV164="AL",_xlfn.XLOOKUP($BX164,Std_Al3_Code,INDEX(Std_Al3_Table,0,4)),IF($G164=1,_xlfn.XLOOKUP($BX164,Std_Cu1_Code,INDEX(Std_Cu1_Table,0,4)),_xlfn.XLOOKUP($BX164,Std_Cu3_Code,INDEX(Std_Cu3_Table,0,4)))),"")))</f>
        <v/>
      </c>
      <c r="CA164" s="829" t="str" cm="1">
        <f t="array" ref="CA164">IF($BP164="","",IF($BX164="",$BQ164,IFERROR(IF($BV164="AL",_xlfn.XLOOKUP($BX164,Std_Al3_Code,INDEX(Std_Al3_Table,0,3)),IF($G164=1,_xlfn.XLOOKUP($BX164,Std_Cu1_Code,INDEX(Std_Cu1_Table,0,3)),_xlfn.XLOOKUP($BX164,Std_Cu3_Code,INDEX(Std_Cu3_Table,0,3)))),"")))</f>
        <v/>
      </c>
      <c r="CB164" s="829" t="str" cm="1">
        <f t="array" ref="CB164">IF($BP164="","",IF($BX164="",$BS164,IFERROR(IF($BV164="AL",_xlfn.XLOOKUP($BX164,Std_Al3_Code,INDEX(Std_Al3_Table,0,5)),IF($G164=1,_xlfn.XLOOKUP($BX164,Std_Cu1_Code,INDEX(Std_Cu1_Table,0,5)),_xlfn.XLOOKUP($BX164,Std_Cu3_Code,INDEX(Std_Cu3_Table,0,5)))),"")))</f>
        <v/>
      </c>
      <c r="CC164" s="829" t="str">
        <f t="shared" si="53"/>
        <v/>
      </c>
      <c r="CD164" s="829" t="str">
        <f t="shared" si="54"/>
        <v/>
      </c>
      <c r="CE164" s="829" t="str">
        <f t="shared" si="55"/>
        <v/>
      </c>
      <c r="CF164" s="829" t="str">
        <f t="shared" si="56"/>
        <v/>
      </c>
      <c r="CG164" s="829" t="str">
        <f t="shared" si="57"/>
        <v/>
      </c>
      <c r="CH164" s="829" t="str">
        <f t="shared" si="58"/>
        <v/>
      </c>
      <c r="CI164" s="829" t="str">
        <f t="shared" si="59"/>
        <v/>
      </c>
      <c r="CJ164" s="829" t="str" cm="1">
        <f t="array" ref="CJ164">IF($B164="","",_xlfn.LET(_xlpm.to,$D164&amp;"",_xlpm.em,IFERROR(INDEX(_xlfn.ANCHORARRAY($BE$4),ROW()-4,6),"")="EMERG",_xlpm.pri,AND(NOT(_xlpm.em),LEFT(_xlpm.to,2)="T-",ISNUMBER(MATCH(MID(_xlpm.to,3,99),Equip_List,0)),ISNA(MATCH(_xlpm.to,Equip_List,0))),IF(_xlpm.pri,MID(_xlpm.to,3,99),_xlpm.to)))</f>
        <v/>
      </c>
      <c r="CK164" s="829" t="str" cm="1">
        <f t="array" ref="CK164">IF($CJ164="","",IF(IFERROR(INDEX(_xlfn.ANCHORARRAY($BE$4),ROW()-4,6),"")="EMERG","E",IF($CJ164&lt;&gt;$D164&amp;"","P","N")))</f>
        <v/>
      </c>
    </row>
    <row r="165" spans="1:89" ht="15" customHeight="1" x14ac:dyDescent="0.35">
      <c r="A165" s="821" t="str">
        <f t="shared" si="47"/>
        <v/>
      </c>
      <c r="B165" s="821" t="str" cm="1">
        <f t="array" ref="B165">IFERROR(IF(INDEX(_xlfn.ANCHORARRAY($BE$4),ROW()-4,2)="","","F-"&amp;INDEX(_xlfn.ANCHORARRAY($BE$4),ROW()-4,2)&amp;IF(IFERROR(INDEX(_xlfn.ANCHORARRAY($BE$4),ROW()-4,6),"")="EMERG","-E","")),"")</f>
        <v/>
      </c>
      <c r="C165" s="821" t="str" cm="1">
        <f t="array" ref="C165">IFERROR(IF($B165="","",INDEX(_xlfn.ANCHORARRAY($BE$4),ROW()-4,1)),"")</f>
        <v/>
      </c>
      <c r="D165" s="821" t="str" cm="1">
        <f t="array" ref="D165">IFERROR(IF($B165="","",INDEX(_xlfn.ANCHORARRAY($BE$4),ROW()-4,2)),"")</f>
        <v/>
      </c>
      <c r="E165" s="806" t="str" cm="1">
        <f t="array" ref="E165">IFERROR(IF($B165="","",INDEX(_xlfn.ANCHORARRAY($BE$4),ROW()-4,3)),"")</f>
        <v/>
      </c>
      <c r="F165" s="822" t="str" cm="1">
        <f t="array" ref="F165">IFERROR(IF($B165="","",INDEX(_xlfn.ANCHORARRAY($BE$4),ROW()-4,4)),"")</f>
        <v/>
      </c>
      <c r="G165" s="823" t="str" cm="1">
        <f t="array" ref="G165">IFERROR(IF($B165="","",INDEX(_xlfn.ANCHORARRAY($BE$4),ROW()-4,5)),"")</f>
        <v/>
      </c>
      <c r="H165" s="824" t="str" cm="1">
        <f t="array" ref="H165">IF($CJ165="","",_xlfn.LET(_xlpm.v,_xlfn.XLOOKUP($CJ165,Equip_List,IF($CK165="E",Equip_EmLen,IF($CK165="P",Equip_XfPriLen,Equip_FdrLen)),""),IF(_xlpm.v="","",_xlpm.v)))</f>
        <v/>
      </c>
      <c r="I165" s="806" t="str">
        <f t="shared" si="40"/>
        <v/>
      </c>
      <c r="J165" s="820"/>
      <c r="K165" s="806" t="str">
        <f>_xlfn.LET(_xlpm.k,IF($I165="","",IF(COUNTIF(UPS!$B$57:$B$64,$C165&amp;"")&gt;0,1.25*MAX($I165,N(_xlfn.XLOOKUP($C165&amp;"",UPS!$B$57:$B$64,UPS!$M$57:$M$64,0))),IF(COUNTIF(UPS!$B$57:$B$64,$D165&amp;"")&gt;0,1.25*MAX($I165,N(_xlfn.XLOOKUP($D165&amp;"",UPS!$B$57:$B$64,UPS!$Q$57:$Q$64,0))),$I165*IF(OR(UPPER($J165)="Y",LEFT($C165,2)="T-",LEFT($D165,2)="T-"),1.25,1)))),IF(_xlpm.k="","",MAX(_xlpm.k,N(IFERROR(_xlfn.XLOOKUP($D165&amp;"",Dashboard!$A$101:$A$350,Dashboard!$O$101:$O$350,0),0)))))</f>
        <v/>
      </c>
      <c r="L165" s="825" t="str">
        <f>IF($CJ165="","",_xlfn.LET(_xlpm.v,UPPER(TRIM(_xlfn.XLOOKUP($CJ165,Equip_List,Equip_FdrMat,"")&amp;"")),IF(_xlpm.v="",UPPER(TRIM(Cfg_FeederMat&amp;"")),_xlpm.v)))</f>
        <v/>
      </c>
      <c r="M165" s="825" t="str">
        <f>IF($CJ165="","",_xlfn.LET(_xlpm.v,TRIM(_xlfn.XLOOKUP($CJ165,Equip_List,Equip_FdrRace,"")&amp;""),IF(_xlpm.v="",Cfg_Conduit&amp;"",_xlpm.v)))</f>
        <v/>
      </c>
      <c r="N165" s="825" t="str">
        <f>IF($CJ165="","",IF(UPPER(TRIM(_xlfn.XLOOKUP($CJ165,Equip_List,Equip_FdrExist,"")&amp;""))="Y","Y",""))</f>
        <v/>
      </c>
      <c r="O165" s="823" t="str">
        <f t="shared" si="48"/>
        <v/>
      </c>
      <c r="P165" s="821" t="str">
        <f t="shared" si="49"/>
        <v/>
      </c>
      <c r="Q165" s="821" t="str">
        <f t="shared" si="50"/>
        <v/>
      </c>
      <c r="R165" s="822" t="str" cm="1">
        <f t="array" ref="R165">IF(K165="","",INDEX(OCPD_List,MATCH(TRUE,OCPD_List&gt;=K165,0)))</f>
        <v/>
      </c>
      <c r="S165" s="821" t="str">
        <f t="shared" si="51"/>
        <v/>
      </c>
      <c r="T165" s="826" t="str">
        <f t="shared" si="41"/>
        <v/>
      </c>
      <c r="U165" s="826" t="str">
        <f t="shared" si="42"/>
        <v/>
      </c>
      <c r="V165" s="827" t="str">
        <f t="shared" si="43"/>
        <v/>
      </c>
      <c r="W165" s="828"/>
      <c r="X165" s="819"/>
      <c r="Y165" s="820"/>
      <c r="Z165" s="820"/>
      <c r="AA165" s="820"/>
      <c r="BN165" s="832" t="str">
        <f>IF($B165="","",IFERROR(_xlfn.XLOOKUP($D165,Dashboard!$A$101:$A$350,Dashboard!$C$101:$C$350),""))</f>
        <v/>
      </c>
      <c r="BO165" s="832" t="str">
        <f t="shared" si="44"/>
        <v/>
      </c>
      <c r="BP165" s="832" t="str" cm="1">
        <f t="array" ref="BP165">IF(OR($B165="",$R165="",NOT(ISNUMBER($R165))),"",IF(AND($BV165="AL",$G165=1),"",_xlfn.LET(_xlpm.codes,IF($BV165="AL",Std_Al3_Code,IF($G165=1,Std_Cu1_Code,Std_Cu3_Code)),_xlpm.amps,IFERROR(--SUBSTITUTE(_xlpm.codes&amp;"","N",""),""),_xlpm.a,MIN(IF(ISNUMBER(_xlpm.amps),IF(_xlpm.amps&gt;=$R165,_xlpm.amps,""),"")),_xlpm.k,IF(_xlpm.a=0,$R165,_xlpm.a),IF($BO165="Y",TEXT(_xlpm.k,"0")&amp;"N",_xlpm.k))))</f>
        <v/>
      </c>
      <c r="BQ165" s="832" t="str" cm="1">
        <f t="array" ref="BQ165">IF($BP165="","",IFERROR(IF($BV165="AL",_xlfn.XLOOKUP($BP165,Std_Al3_Code,INDEX(Std_Al3_Table,0,3)),IF($G165=1,_xlfn.XLOOKUP($BP165,Std_Cu1_Code,INDEX(Std_Cu1_Table,0,3)),_xlfn.XLOOKUP($BP165,Std_Cu3_Code,INDEX(Std_Cu3_Table,0,3)))),""))</f>
        <v/>
      </c>
      <c r="BR165" s="832" t="str" cm="1">
        <f t="array" ref="BR165">IF($BP165="","",IFERROR(IF($BV165="AL",_xlfn.XLOOKUP($BP165,Std_Al3_Code,INDEX(Std_Al3_Table,0,4)),IF($G165=1,_xlfn.XLOOKUP($BP165,Std_Cu1_Code,INDEX(Std_Cu1_Table,0,4)),_xlfn.XLOOKUP($BP165,Std_Cu3_Code,INDEX(Std_Cu3_Table,0,4)))),""))</f>
        <v/>
      </c>
      <c r="BS165" s="832" t="str" cm="1">
        <f t="array" ref="BS165">IF($BP165="","",IFERROR(IF($BV165="AL",_xlfn.XLOOKUP($BP165,Std_Al3_Code,INDEX(Std_Al3_Table,0,5)),IF($G165=1,_xlfn.XLOOKUP($BP165,Std_Cu1_Code,INDEX(Std_Cu1_Table,0,5)),_xlfn.XLOOKUP($BP165,Std_Cu3_Code,INDEX(Std_Cu3_Table,0,5)))),""))</f>
        <v/>
      </c>
      <c r="BT165" s="832" t="str">
        <f t="shared" si="45"/>
        <v/>
      </c>
      <c r="BU165" s="832" t="str" cm="1">
        <f t="array" ref="BU165">IF($BP165="","",IFERROR(IF($BV165="AL",_xlfn.XLOOKUP($BP165,Std_Al3_Code,INDEX(Std_Al3_Table,0,2)),IF($G165=1,_xlfn.XLOOKUP($BP165,Std_Cu1_Code,INDEX(Std_Cu1_Table,0,2)),_xlfn.XLOOKUP($BP165,Std_Cu3_Code,INDEX(Std_Cu3_Table,0,2)))),""))</f>
        <v/>
      </c>
      <c r="BV165" s="829" t="str">
        <f t="shared" si="46"/>
        <v/>
      </c>
      <c r="BW165" s="829" t="str">
        <f t="shared" si="52"/>
        <v/>
      </c>
      <c r="BX165" s="829" t="str" cm="1">
        <f t="array" ref="BX165">IF(OR($BP165="",$H165="",$I165="",$F165="",$BW165=""),"",IFERROR(_xlfn.LET(_xlpm.codes,IF($BV165="AL",Std_Al3_Code,IF($G165=1,Std_Cu1_Code,Std_Cu3_Code)),_xlpm.tbl,IF($BV165="AL",Std_Al3_Table,IF($G165=1,Std_Cu1_Table,Std_Cu3_Table)),_xlpm.i,MATCH($BP165,_xlpm.codes,0),_xlpm.idx,_xlfn.SEQUENCE(ROWS(_xlpm.codes)),_xlpm.cnd,INDEX(_xlpm.tbl,0,4),_xlpm.sts,INDEX(_xlpm.tbl,0,2),_xlpm.sz,IFERROR(_xlfn.TEXTBEFORE(_xlfn.TEXTAFTER(_xlpm.cnd,"#"),","),IFERROR(_xlfn.TEXTAFTER(_xlpm.cnd,"#"),"")),_xlpm.cm,IFERROR(_xlfn.XLOOKUP(TRIM(_xlpm.sz),Ampacity_Size,Ampacity_CM),0),_xlpm.mult,IF($G165=3,SQRT3,2),_xlpm.kk,IF($BV165="AL",K_Al,K_Cu),_xlpm.vd,IF(_xlpm.cm*IF(ISNUMBER(_xlpm.sts),_xlpm.sts,0)=0,9,_xlpm.mult*_xlpm.kk*$I165*$H165/(_xlpm.cm*_xlpm.sts)/$F165),_xlpm.hasN,--(RIGHT(_xlpm.codes&amp;"",1)="N"),_xlpm.wantN,--(RIGHT($BP165&amp;"",1)="N"),_xlpm.ok,(_xlpm.idx&gt;=_xlpm.i)*(_xlpm.vd&lt;=Cfg_VDFeeder)*(_xlpm.cm&gt;0)*ISNUMBER(_xlpm.sts)*(_xlpm.hasN=_xlpm.wantN),_xlpm.m,MIN(IF(_xlpm.ok=1,_xlpm.idx)),INDEX(_xlpm.codes,IF(_xlpm.m=0,_xlpm.i,_xlpm.m))),""))</f>
        <v/>
      </c>
      <c r="BY165" s="829" t="str" cm="1">
        <f t="array" ref="BY165">IF($BP165="","",IF($BX165="",$BU165,IFERROR(IF($BV165="AL",_xlfn.XLOOKUP($BX165,Std_Al3_Code,INDEX(Std_Al3_Table,0,2)),IF($G165=1,_xlfn.XLOOKUP($BX165,Std_Cu1_Code,INDEX(Std_Cu1_Table,0,2)),_xlfn.XLOOKUP($BX165,Std_Cu3_Code,INDEX(Std_Cu3_Table,0,2)))),"")))</f>
        <v/>
      </c>
      <c r="BZ165" s="829" t="str" cm="1">
        <f t="array" ref="BZ165">IF($BP165="","",IF($BX165="",$BR165,IFERROR(IF($BV165="AL",_xlfn.XLOOKUP($BX165,Std_Al3_Code,INDEX(Std_Al3_Table,0,4)),IF($G165=1,_xlfn.XLOOKUP($BX165,Std_Cu1_Code,INDEX(Std_Cu1_Table,0,4)),_xlfn.XLOOKUP($BX165,Std_Cu3_Code,INDEX(Std_Cu3_Table,0,4)))),"")))</f>
        <v/>
      </c>
      <c r="CA165" s="829" t="str" cm="1">
        <f t="array" ref="CA165">IF($BP165="","",IF($BX165="",$BQ165,IFERROR(IF($BV165="AL",_xlfn.XLOOKUP($BX165,Std_Al3_Code,INDEX(Std_Al3_Table,0,3)),IF($G165=1,_xlfn.XLOOKUP($BX165,Std_Cu1_Code,INDEX(Std_Cu1_Table,0,3)),_xlfn.XLOOKUP($BX165,Std_Cu3_Code,INDEX(Std_Cu3_Table,0,3)))),"")))</f>
        <v/>
      </c>
      <c r="CB165" s="829" t="str" cm="1">
        <f t="array" ref="CB165">IF($BP165="","",IF($BX165="",$BS165,IFERROR(IF($BV165="AL",_xlfn.XLOOKUP($BX165,Std_Al3_Code,INDEX(Std_Al3_Table,0,5)),IF($G165=1,_xlfn.XLOOKUP($BX165,Std_Cu1_Code,INDEX(Std_Cu1_Table,0,5)),_xlfn.XLOOKUP($BX165,Std_Cu3_Code,INDEX(Std_Cu3_Table,0,5)))),"")))</f>
        <v/>
      </c>
      <c r="CC165" s="829" t="str">
        <f t="shared" si="53"/>
        <v/>
      </c>
      <c r="CD165" s="829" t="str">
        <f t="shared" si="54"/>
        <v/>
      </c>
      <c r="CE165" s="829" t="str">
        <f t="shared" si="55"/>
        <v/>
      </c>
      <c r="CF165" s="829" t="str">
        <f t="shared" si="56"/>
        <v/>
      </c>
      <c r="CG165" s="829" t="str">
        <f t="shared" si="57"/>
        <v/>
      </c>
      <c r="CH165" s="829" t="str">
        <f t="shared" si="58"/>
        <v/>
      </c>
      <c r="CI165" s="829" t="str">
        <f t="shared" si="59"/>
        <v/>
      </c>
      <c r="CJ165" s="829" t="str" cm="1">
        <f t="array" ref="CJ165">IF($B165="","",_xlfn.LET(_xlpm.to,$D165&amp;"",_xlpm.em,IFERROR(INDEX(_xlfn.ANCHORARRAY($BE$4),ROW()-4,6),"")="EMERG",_xlpm.pri,AND(NOT(_xlpm.em),LEFT(_xlpm.to,2)="T-",ISNUMBER(MATCH(MID(_xlpm.to,3,99),Equip_List,0)),ISNA(MATCH(_xlpm.to,Equip_List,0))),IF(_xlpm.pri,MID(_xlpm.to,3,99),_xlpm.to)))</f>
        <v/>
      </c>
      <c r="CK165" s="829" t="str" cm="1">
        <f t="array" ref="CK165">IF($CJ165="","",IF(IFERROR(INDEX(_xlfn.ANCHORARRAY($BE$4),ROW()-4,6),"")="EMERG","E",IF($CJ165&lt;&gt;$D165&amp;"","P","N")))</f>
        <v/>
      </c>
    </row>
    <row r="166" spans="1:89" ht="15" customHeight="1" x14ac:dyDescent="0.35">
      <c r="A166" s="821" t="str">
        <f t="shared" si="47"/>
        <v/>
      </c>
      <c r="B166" s="821" t="str" cm="1">
        <f t="array" ref="B166">IFERROR(IF(INDEX(_xlfn.ANCHORARRAY($BE$4),ROW()-4,2)="","","F-"&amp;INDEX(_xlfn.ANCHORARRAY($BE$4),ROW()-4,2)&amp;IF(IFERROR(INDEX(_xlfn.ANCHORARRAY($BE$4),ROW()-4,6),"")="EMERG","-E","")),"")</f>
        <v/>
      </c>
      <c r="C166" s="821" t="str" cm="1">
        <f t="array" ref="C166">IFERROR(IF($B166="","",INDEX(_xlfn.ANCHORARRAY($BE$4),ROW()-4,1)),"")</f>
        <v/>
      </c>
      <c r="D166" s="821" t="str" cm="1">
        <f t="array" ref="D166">IFERROR(IF($B166="","",INDEX(_xlfn.ANCHORARRAY($BE$4),ROW()-4,2)),"")</f>
        <v/>
      </c>
      <c r="E166" s="806" t="str" cm="1">
        <f t="array" ref="E166">IFERROR(IF($B166="","",INDEX(_xlfn.ANCHORARRAY($BE$4),ROW()-4,3)),"")</f>
        <v/>
      </c>
      <c r="F166" s="822" t="str" cm="1">
        <f t="array" ref="F166">IFERROR(IF($B166="","",INDEX(_xlfn.ANCHORARRAY($BE$4),ROW()-4,4)),"")</f>
        <v/>
      </c>
      <c r="G166" s="823" t="str" cm="1">
        <f t="array" ref="G166">IFERROR(IF($B166="","",INDEX(_xlfn.ANCHORARRAY($BE$4),ROW()-4,5)),"")</f>
        <v/>
      </c>
      <c r="H166" s="824" t="str" cm="1">
        <f t="array" ref="H166">IF($CJ166="","",_xlfn.LET(_xlpm.v,_xlfn.XLOOKUP($CJ166,Equip_List,IF($CK166="E",Equip_EmLen,IF($CK166="P",Equip_XfPriLen,Equip_FdrLen)),""),IF(_xlpm.v="","",_xlpm.v)))</f>
        <v/>
      </c>
      <c r="I166" s="806" t="str">
        <f t="shared" si="40"/>
        <v/>
      </c>
      <c r="J166" s="820"/>
      <c r="K166" s="806" t="str">
        <f>_xlfn.LET(_xlpm.k,IF($I166="","",IF(COUNTIF(UPS!$B$57:$B$64,$C166&amp;"")&gt;0,1.25*MAX($I166,N(_xlfn.XLOOKUP($C166&amp;"",UPS!$B$57:$B$64,UPS!$M$57:$M$64,0))),IF(COUNTIF(UPS!$B$57:$B$64,$D166&amp;"")&gt;0,1.25*MAX($I166,N(_xlfn.XLOOKUP($D166&amp;"",UPS!$B$57:$B$64,UPS!$Q$57:$Q$64,0))),$I166*IF(OR(UPPER($J166)="Y",LEFT($C166,2)="T-",LEFT($D166,2)="T-"),1.25,1)))),IF(_xlpm.k="","",MAX(_xlpm.k,N(IFERROR(_xlfn.XLOOKUP($D166&amp;"",Dashboard!$A$101:$A$350,Dashboard!$O$101:$O$350,0),0)))))</f>
        <v/>
      </c>
      <c r="L166" s="825" t="str">
        <f>IF($CJ166="","",_xlfn.LET(_xlpm.v,UPPER(TRIM(_xlfn.XLOOKUP($CJ166,Equip_List,Equip_FdrMat,"")&amp;"")),IF(_xlpm.v="",UPPER(TRIM(Cfg_FeederMat&amp;"")),_xlpm.v)))</f>
        <v/>
      </c>
      <c r="M166" s="825" t="str">
        <f>IF($CJ166="","",_xlfn.LET(_xlpm.v,TRIM(_xlfn.XLOOKUP($CJ166,Equip_List,Equip_FdrRace,"")&amp;""),IF(_xlpm.v="",Cfg_Conduit&amp;"",_xlpm.v)))</f>
        <v/>
      </c>
      <c r="N166" s="825" t="str">
        <f>IF($CJ166="","",IF(UPPER(TRIM(_xlfn.XLOOKUP($CJ166,Equip_List,Equip_FdrExist,"")&amp;""))="Y","Y",""))</f>
        <v/>
      </c>
      <c r="O166" s="823" t="str">
        <f t="shared" si="48"/>
        <v/>
      </c>
      <c r="P166" s="821" t="str">
        <f t="shared" si="49"/>
        <v/>
      </c>
      <c r="Q166" s="821" t="str">
        <f t="shared" si="50"/>
        <v/>
      </c>
      <c r="R166" s="822" t="str" cm="1">
        <f t="array" ref="R166">IF(K166="","",INDEX(OCPD_List,MATCH(TRUE,OCPD_List&gt;=K166,0)))</f>
        <v/>
      </c>
      <c r="S166" s="821" t="str">
        <f t="shared" si="51"/>
        <v/>
      </c>
      <c r="T166" s="826" t="str">
        <f t="shared" si="41"/>
        <v/>
      </c>
      <c r="U166" s="826" t="str">
        <f t="shared" si="42"/>
        <v/>
      </c>
      <c r="V166" s="827" t="str">
        <f t="shared" si="43"/>
        <v/>
      </c>
      <c r="W166" s="828"/>
      <c r="X166" s="819"/>
      <c r="Y166" s="820"/>
      <c r="Z166" s="820"/>
      <c r="AA166" s="820"/>
      <c r="BN166" s="832" t="str">
        <f>IF($B166="","",IFERROR(_xlfn.XLOOKUP($D166,Dashboard!$A$101:$A$350,Dashboard!$C$101:$C$350),""))</f>
        <v/>
      </c>
      <c r="BO166" s="832" t="str">
        <f t="shared" si="44"/>
        <v/>
      </c>
      <c r="BP166" s="832" t="str" cm="1">
        <f t="array" ref="BP166">IF(OR($B166="",$R166="",NOT(ISNUMBER($R166))),"",IF(AND($BV166="AL",$G166=1),"",_xlfn.LET(_xlpm.codes,IF($BV166="AL",Std_Al3_Code,IF($G166=1,Std_Cu1_Code,Std_Cu3_Code)),_xlpm.amps,IFERROR(--SUBSTITUTE(_xlpm.codes&amp;"","N",""),""),_xlpm.a,MIN(IF(ISNUMBER(_xlpm.amps),IF(_xlpm.amps&gt;=$R166,_xlpm.amps,""),"")),_xlpm.k,IF(_xlpm.a=0,$R166,_xlpm.a),IF($BO166="Y",TEXT(_xlpm.k,"0")&amp;"N",_xlpm.k))))</f>
        <v/>
      </c>
      <c r="BQ166" s="832" t="str" cm="1">
        <f t="array" ref="BQ166">IF($BP166="","",IFERROR(IF($BV166="AL",_xlfn.XLOOKUP($BP166,Std_Al3_Code,INDEX(Std_Al3_Table,0,3)),IF($G166=1,_xlfn.XLOOKUP($BP166,Std_Cu1_Code,INDEX(Std_Cu1_Table,0,3)),_xlfn.XLOOKUP($BP166,Std_Cu3_Code,INDEX(Std_Cu3_Table,0,3)))),""))</f>
        <v/>
      </c>
      <c r="BR166" s="832" t="str" cm="1">
        <f t="array" ref="BR166">IF($BP166="","",IFERROR(IF($BV166="AL",_xlfn.XLOOKUP($BP166,Std_Al3_Code,INDEX(Std_Al3_Table,0,4)),IF($G166=1,_xlfn.XLOOKUP($BP166,Std_Cu1_Code,INDEX(Std_Cu1_Table,0,4)),_xlfn.XLOOKUP($BP166,Std_Cu3_Code,INDEX(Std_Cu3_Table,0,4)))),""))</f>
        <v/>
      </c>
      <c r="BS166" s="832" t="str" cm="1">
        <f t="array" ref="BS166">IF($BP166="","",IFERROR(IF($BV166="AL",_xlfn.XLOOKUP($BP166,Std_Al3_Code,INDEX(Std_Al3_Table,0,5)),IF($G166=1,_xlfn.XLOOKUP($BP166,Std_Cu1_Code,INDEX(Std_Cu1_Table,0,5)),_xlfn.XLOOKUP($BP166,Std_Cu3_Code,INDEX(Std_Cu3_Table,0,5)))),""))</f>
        <v/>
      </c>
      <c r="BT166" s="832" t="str">
        <f t="shared" si="45"/>
        <v/>
      </c>
      <c r="BU166" s="832" t="str" cm="1">
        <f t="array" ref="BU166">IF($BP166="","",IFERROR(IF($BV166="AL",_xlfn.XLOOKUP($BP166,Std_Al3_Code,INDEX(Std_Al3_Table,0,2)),IF($G166=1,_xlfn.XLOOKUP($BP166,Std_Cu1_Code,INDEX(Std_Cu1_Table,0,2)),_xlfn.XLOOKUP($BP166,Std_Cu3_Code,INDEX(Std_Cu3_Table,0,2)))),""))</f>
        <v/>
      </c>
      <c r="BV166" s="829" t="str">
        <f t="shared" si="46"/>
        <v/>
      </c>
      <c r="BW166" s="829" t="str">
        <f t="shared" si="52"/>
        <v/>
      </c>
      <c r="BX166" s="829" t="str" cm="1">
        <f t="array" ref="BX166">IF(OR($BP166="",$H166="",$I166="",$F166="",$BW166=""),"",IFERROR(_xlfn.LET(_xlpm.codes,IF($BV166="AL",Std_Al3_Code,IF($G166=1,Std_Cu1_Code,Std_Cu3_Code)),_xlpm.tbl,IF($BV166="AL",Std_Al3_Table,IF($G166=1,Std_Cu1_Table,Std_Cu3_Table)),_xlpm.i,MATCH($BP166,_xlpm.codes,0),_xlpm.idx,_xlfn.SEQUENCE(ROWS(_xlpm.codes)),_xlpm.cnd,INDEX(_xlpm.tbl,0,4),_xlpm.sts,INDEX(_xlpm.tbl,0,2),_xlpm.sz,IFERROR(_xlfn.TEXTBEFORE(_xlfn.TEXTAFTER(_xlpm.cnd,"#"),","),IFERROR(_xlfn.TEXTAFTER(_xlpm.cnd,"#"),"")),_xlpm.cm,IFERROR(_xlfn.XLOOKUP(TRIM(_xlpm.sz),Ampacity_Size,Ampacity_CM),0),_xlpm.mult,IF($G166=3,SQRT3,2),_xlpm.kk,IF($BV166="AL",K_Al,K_Cu),_xlpm.vd,IF(_xlpm.cm*IF(ISNUMBER(_xlpm.sts),_xlpm.sts,0)=0,9,_xlpm.mult*_xlpm.kk*$I166*$H166/(_xlpm.cm*_xlpm.sts)/$F166),_xlpm.hasN,--(RIGHT(_xlpm.codes&amp;"",1)="N"),_xlpm.wantN,--(RIGHT($BP166&amp;"",1)="N"),_xlpm.ok,(_xlpm.idx&gt;=_xlpm.i)*(_xlpm.vd&lt;=Cfg_VDFeeder)*(_xlpm.cm&gt;0)*ISNUMBER(_xlpm.sts)*(_xlpm.hasN=_xlpm.wantN),_xlpm.m,MIN(IF(_xlpm.ok=1,_xlpm.idx)),INDEX(_xlpm.codes,IF(_xlpm.m=0,_xlpm.i,_xlpm.m))),""))</f>
        <v/>
      </c>
      <c r="BY166" s="829" t="str" cm="1">
        <f t="array" ref="BY166">IF($BP166="","",IF($BX166="",$BU166,IFERROR(IF($BV166="AL",_xlfn.XLOOKUP($BX166,Std_Al3_Code,INDEX(Std_Al3_Table,0,2)),IF($G166=1,_xlfn.XLOOKUP($BX166,Std_Cu1_Code,INDEX(Std_Cu1_Table,0,2)),_xlfn.XLOOKUP($BX166,Std_Cu3_Code,INDEX(Std_Cu3_Table,0,2)))),"")))</f>
        <v/>
      </c>
      <c r="BZ166" s="829" t="str" cm="1">
        <f t="array" ref="BZ166">IF($BP166="","",IF($BX166="",$BR166,IFERROR(IF($BV166="AL",_xlfn.XLOOKUP($BX166,Std_Al3_Code,INDEX(Std_Al3_Table,0,4)),IF($G166=1,_xlfn.XLOOKUP($BX166,Std_Cu1_Code,INDEX(Std_Cu1_Table,0,4)),_xlfn.XLOOKUP($BX166,Std_Cu3_Code,INDEX(Std_Cu3_Table,0,4)))),"")))</f>
        <v/>
      </c>
      <c r="CA166" s="829" t="str" cm="1">
        <f t="array" ref="CA166">IF($BP166="","",IF($BX166="",$BQ166,IFERROR(IF($BV166="AL",_xlfn.XLOOKUP($BX166,Std_Al3_Code,INDEX(Std_Al3_Table,0,3)),IF($G166=1,_xlfn.XLOOKUP($BX166,Std_Cu1_Code,INDEX(Std_Cu1_Table,0,3)),_xlfn.XLOOKUP($BX166,Std_Cu3_Code,INDEX(Std_Cu3_Table,0,3)))),"")))</f>
        <v/>
      </c>
      <c r="CB166" s="829" t="str" cm="1">
        <f t="array" ref="CB166">IF($BP166="","",IF($BX166="",$BS166,IFERROR(IF($BV166="AL",_xlfn.XLOOKUP($BX166,Std_Al3_Code,INDEX(Std_Al3_Table,0,5)),IF($G166=1,_xlfn.XLOOKUP($BX166,Std_Cu1_Code,INDEX(Std_Cu1_Table,0,5)),_xlfn.XLOOKUP($BX166,Std_Cu3_Code,INDEX(Std_Cu3_Table,0,5)))),"")))</f>
        <v/>
      </c>
      <c r="CC166" s="829" t="str">
        <f t="shared" si="53"/>
        <v/>
      </c>
      <c r="CD166" s="829" t="str">
        <f t="shared" si="54"/>
        <v/>
      </c>
      <c r="CE166" s="829" t="str">
        <f t="shared" si="55"/>
        <v/>
      </c>
      <c r="CF166" s="829" t="str">
        <f t="shared" si="56"/>
        <v/>
      </c>
      <c r="CG166" s="829" t="str">
        <f t="shared" si="57"/>
        <v/>
      </c>
      <c r="CH166" s="829" t="str">
        <f t="shared" si="58"/>
        <v/>
      </c>
      <c r="CI166" s="829" t="str">
        <f t="shared" si="59"/>
        <v/>
      </c>
      <c r="CJ166" s="829" t="str" cm="1">
        <f t="array" ref="CJ166">IF($B166="","",_xlfn.LET(_xlpm.to,$D166&amp;"",_xlpm.em,IFERROR(INDEX(_xlfn.ANCHORARRAY($BE$4),ROW()-4,6),"")="EMERG",_xlpm.pri,AND(NOT(_xlpm.em),LEFT(_xlpm.to,2)="T-",ISNUMBER(MATCH(MID(_xlpm.to,3,99),Equip_List,0)),ISNA(MATCH(_xlpm.to,Equip_List,0))),IF(_xlpm.pri,MID(_xlpm.to,3,99),_xlpm.to)))</f>
        <v/>
      </c>
      <c r="CK166" s="829" t="str" cm="1">
        <f t="array" ref="CK166">IF($CJ166="","",IF(IFERROR(INDEX(_xlfn.ANCHORARRAY($BE$4),ROW()-4,6),"")="EMERG","E",IF($CJ166&lt;&gt;$D166&amp;"","P","N")))</f>
        <v/>
      </c>
    </row>
    <row r="167" spans="1:89" ht="15" customHeight="1" x14ac:dyDescent="0.35">
      <c r="A167" s="821" t="str">
        <f t="shared" si="47"/>
        <v/>
      </c>
      <c r="B167" s="821" t="str" cm="1">
        <f t="array" ref="B167">IFERROR(IF(INDEX(_xlfn.ANCHORARRAY($BE$4),ROW()-4,2)="","","F-"&amp;INDEX(_xlfn.ANCHORARRAY($BE$4),ROW()-4,2)&amp;IF(IFERROR(INDEX(_xlfn.ANCHORARRAY($BE$4),ROW()-4,6),"")="EMERG","-E","")),"")</f>
        <v/>
      </c>
      <c r="C167" s="821" t="str" cm="1">
        <f t="array" ref="C167">IFERROR(IF($B167="","",INDEX(_xlfn.ANCHORARRAY($BE$4),ROW()-4,1)),"")</f>
        <v/>
      </c>
      <c r="D167" s="821" t="str" cm="1">
        <f t="array" ref="D167">IFERROR(IF($B167="","",INDEX(_xlfn.ANCHORARRAY($BE$4),ROW()-4,2)),"")</f>
        <v/>
      </c>
      <c r="E167" s="806" t="str" cm="1">
        <f t="array" ref="E167">IFERROR(IF($B167="","",INDEX(_xlfn.ANCHORARRAY($BE$4),ROW()-4,3)),"")</f>
        <v/>
      </c>
      <c r="F167" s="822" t="str" cm="1">
        <f t="array" ref="F167">IFERROR(IF($B167="","",INDEX(_xlfn.ANCHORARRAY($BE$4),ROW()-4,4)),"")</f>
        <v/>
      </c>
      <c r="G167" s="823" t="str" cm="1">
        <f t="array" ref="G167">IFERROR(IF($B167="","",INDEX(_xlfn.ANCHORARRAY($BE$4),ROW()-4,5)),"")</f>
        <v/>
      </c>
      <c r="H167" s="824" t="str" cm="1">
        <f t="array" ref="H167">IF($CJ167="","",_xlfn.LET(_xlpm.v,_xlfn.XLOOKUP($CJ167,Equip_List,IF($CK167="E",Equip_EmLen,IF($CK167="P",Equip_XfPriLen,Equip_FdrLen)),""),IF(_xlpm.v="","",_xlpm.v)))</f>
        <v/>
      </c>
      <c r="I167" s="806" t="str">
        <f t="shared" si="40"/>
        <v/>
      </c>
      <c r="J167" s="820"/>
      <c r="K167" s="806" t="str">
        <f>_xlfn.LET(_xlpm.k,IF($I167="","",IF(COUNTIF(UPS!$B$57:$B$64,$C167&amp;"")&gt;0,1.25*MAX($I167,N(_xlfn.XLOOKUP($C167&amp;"",UPS!$B$57:$B$64,UPS!$M$57:$M$64,0))),IF(COUNTIF(UPS!$B$57:$B$64,$D167&amp;"")&gt;0,1.25*MAX($I167,N(_xlfn.XLOOKUP($D167&amp;"",UPS!$B$57:$B$64,UPS!$Q$57:$Q$64,0))),$I167*IF(OR(UPPER($J167)="Y",LEFT($C167,2)="T-",LEFT($D167,2)="T-"),1.25,1)))),IF(_xlpm.k="","",MAX(_xlpm.k,N(IFERROR(_xlfn.XLOOKUP($D167&amp;"",Dashboard!$A$101:$A$350,Dashboard!$O$101:$O$350,0),0)))))</f>
        <v/>
      </c>
      <c r="L167" s="825" t="str">
        <f>IF($CJ167="","",_xlfn.LET(_xlpm.v,UPPER(TRIM(_xlfn.XLOOKUP($CJ167,Equip_List,Equip_FdrMat,"")&amp;"")),IF(_xlpm.v="",UPPER(TRIM(Cfg_FeederMat&amp;"")),_xlpm.v)))</f>
        <v/>
      </c>
      <c r="M167" s="825" t="str">
        <f>IF($CJ167="","",_xlfn.LET(_xlpm.v,TRIM(_xlfn.XLOOKUP($CJ167,Equip_List,Equip_FdrRace,"")&amp;""),IF(_xlpm.v="",Cfg_Conduit&amp;"",_xlpm.v)))</f>
        <v/>
      </c>
      <c r="N167" s="825" t="str">
        <f>IF($CJ167="","",IF(UPPER(TRIM(_xlfn.XLOOKUP($CJ167,Equip_List,Equip_FdrExist,"")&amp;""))="Y","Y",""))</f>
        <v/>
      </c>
      <c r="O167" s="823" t="str">
        <f t="shared" si="48"/>
        <v/>
      </c>
      <c r="P167" s="821" t="str">
        <f t="shared" si="49"/>
        <v/>
      </c>
      <c r="Q167" s="821" t="str">
        <f t="shared" si="50"/>
        <v/>
      </c>
      <c r="R167" s="822" t="str" cm="1">
        <f t="array" ref="R167">IF(K167="","",INDEX(OCPD_List,MATCH(TRUE,OCPD_List&gt;=K167,0)))</f>
        <v/>
      </c>
      <c r="S167" s="821" t="str">
        <f t="shared" si="51"/>
        <v/>
      </c>
      <c r="T167" s="826" t="str">
        <f t="shared" si="41"/>
        <v/>
      </c>
      <c r="U167" s="826" t="str">
        <f t="shared" si="42"/>
        <v/>
      </c>
      <c r="V167" s="827" t="str">
        <f t="shared" si="43"/>
        <v/>
      </c>
      <c r="W167" s="828"/>
      <c r="X167" s="819"/>
      <c r="Y167" s="820"/>
      <c r="Z167" s="820"/>
      <c r="AA167" s="820"/>
      <c r="BN167" s="832" t="str">
        <f>IF($B167="","",IFERROR(_xlfn.XLOOKUP($D167,Dashboard!$A$101:$A$350,Dashboard!$C$101:$C$350),""))</f>
        <v/>
      </c>
      <c r="BO167" s="832" t="str">
        <f t="shared" si="44"/>
        <v/>
      </c>
      <c r="BP167" s="832" t="str" cm="1">
        <f t="array" ref="BP167">IF(OR($B167="",$R167="",NOT(ISNUMBER($R167))),"",IF(AND($BV167="AL",$G167=1),"",_xlfn.LET(_xlpm.codes,IF($BV167="AL",Std_Al3_Code,IF($G167=1,Std_Cu1_Code,Std_Cu3_Code)),_xlpm.amps,IFERROR(--SUBSTITUTE(_xlpm.codes&amp;"","N",""),""),_xlpm.a,MIN(IF(ISNUMBER(_xlpm.amps),IF(_xlpm.amps&gt;=$R167,_xlpm.amps,""),"")),_xlpm.k,IF(_xlpm.a=0,$R167,_xlpm.a),IF($BO167="Y",TEXT(_xlpm.k,"0")&amp;"N",_xlpm.k))))</f>
        <v/>
      </c>
      <c r="BQ167" s="832" t="str" cm="1">
        <f t="array" ref="BQ167">IF($BP167="","",IFERROR(IF($BV167="AL",_xlfn.XLOOKUP($BP167,Std_Al3_Code,INDEX(Std_Al3_Table,0,3)),IF($G167=1,_xlfn.XLOOKUP($BP167,Std_Cu1_Code,INDEX(Std_Cu1_Table,0,3)),_xlfn.XLOOKUP($BP167,Std_Cu3_Code,INDEX(Std_Cu3_Table,0,3)))),""))</f>
        <v/>
      </c>
      <c r="BR167" s="832" t="str" cm="1">
        <f t="array" ref="BR167">IF($BP167="","",IFERROR(IF($BV167="AL",_xlfn.XLOOKUP($BP167,Std_Al3_Code,INDEX(Std_Al3_Table,0,4)),IF($G167=1,_xlfn.XLOOKUP($BP167,Std_Cu1_Code,INDEX(Std_Cu1_Table,0,4)),_xlfn.XLOOKUP($BP167,Std_Cu3_Code,INDEX(Std_Cu3_Table,0,4)))),""))</f>
        <v/>
      </c>
      <c r="BS167" s="832" t="str" cm="1">
        <f t="array" ref="BS167">IF($BP167="","",IFERROR(IF($BV167="AL",_xlfn.XLOOKUP($BP167,Std_Al3_Code,INDEX(Std_Al3_Table,0,5)),IF($G167=1,_xlfn.XLOOKUP($BP167,Std_Cu1_Code,INDEX(Std_Cu1_Table,0,5)),_xlfn.XLOOKUP($BP167,Std_Cu3_Code,INDEX(Std_Cu3_Table,0,5)))),""))</f>
        <v/>
      </c>
      <c r="BT167" s="832" t="str">
        <f t="shared" si="45"/>
        <v/>
      </c>
      <c r="BU167" s="832" t="str" cm="1">
        <f t="array" ref="BU167">IF($BP167="","",IFERROR(IF($BV167="AL",_xlfn.XLOOKUP($BP167,Std_Al3_Code,INDEX(Std_Al3_Table,0,2)),IF($G167=1,_xlfn.XLOOKUP($BP167,Std_Cu1_Code,INDEX(Std_Cu1_Table,0,2)),_xlfn.XLOOKUP($BP167,Std_Cu3_Code,INDEX(Std_Cu3_Table,0,2)))),""))</f>
        <v/>
      </c>
      <c r="BV167" s="829" t="str">
        <f t="shared" si="46"/>
        <v/>
      </c>
      <c r="BW167" s="829" t="str">
        <f t="shared" si="52"/>
        <v/>
      </c>
      <c r="BX167" s="829" t="str" cm="1">
        <f t="array" ref="BX167">IF(OR($BP167="",$H167="",$I167="",$F167="",$BW167=""),"",IFERROR(_xlfn.LET(_xlpm.codes,IF($BV167="AL",Std_Al3_Code,IF($G167=1,Std_Cu1_Code,Std_Cu3_Code)),_xlpm.tbl,IF($BV167="AL",Std_Al3_Table,IF($G167=1,Std_Cu1_Table,Std_Cu3_Table)),_xlpm.i,MATCH($BP167,_xlpm.codes,0),_xlpm.idx,_xlfn.SEQUENCE(ROWS(_xlpm.codes)),_xlpm.cnd,INDEX(_xlpm.tbl,0,4),_xlpm.sts,INDEX(_xlpm.tbl,0,2),_xlpm.sz,IFERROR(_xlfn.TEXTBEFORE(_xlfn.TEXTAFTER(_xlpm.cnd,"#"),","),IFERROR(_xlfn.TEXTAFTER(_xlpm.cnd,"#"),"")),_xlpm.cm,IFERROR(_xlfn.XLOOKUP(TRIM(_xlpm.sz),Ampacity_Size,Ampacity_CM),0),_xlpm.mult,IF($G167=3,SQRT3,2),_xlpm.kk,IF($BV167="AL",K_Al,K_Cu),_xlpm.vd,IF(_xlpm.cm*IF(ISNUMBER(_xlpm.sts),_xlpm.sts,0)=0,9,_xlpm.mult*_xlpm.kk*$I167*$H167/(_xlpm.cm*_xlpm.sts)/$F167),_xlpm.hasN,--(RIGHT(_xlpm.codes&amp;"",1)="N"),_xlpm.wantN,--(RIGHT($BP167&amp;"",1)="N"),_xlpm.ok,(_xlpm.idx&gt;=_xlpm.i)*(_xlpm.vd&lt;=Cfg_VDFeeder)*(_xlpm.cm&gt;0)*ISNUMBER(_xlpm.sts)*(_xlpm.hasN=_xlpm.wantN),_xlpm.m,MIN(IF(_xlpm.ok=1,_xlpm.idx)),INDEX(_xlpm.codes,IF(_xlpm.m=0,_xlpm.i,_xlpm.m))),""))</f>
        <v/>
      </c>
      <c r="BY167" s="829" t="str" cm="1">
        <f t="array" ref="BY167">IF($BP167="","",IF($BX167="",$BU167,IFERROR(IF($BV167="AL",_xlfn.XLOOKUP($BX167,Std_Al3_Code,INDEX(Std_Al3_Table,0,2)),IF($G167=1,_xlfn.XLOOKUP($BX167,Std_Cu1_Code,INDEX(Std_Cu1_Table,0,2)),_xlfn.XLOOKUP($BX167,Std_Cu3_Code,INDEX(Std_Cu3_Table,0,2)))),"")))</f>
        <v/>
      </c>
      <c r="BZ167" s="829" t="str" cm="1">
        <f t="array" ref="BZ167">IF($BP167="","",IF($BX167="",$BR167,IFERROR(IF($BV167="AL",_xlfn.XLOOKUP($BX167,Std_Al3_Code,INDEX(Std_Al3_Table,0,4)),IF($G167=1,_xlfn.XLOOKUP($BX167,Std_Cu1_Code,INDEX(Std_Cu1_Table,0,4)),_xlfn.XLOOKUP($BX167,Std_Cu3_Code,INDEX(Std_Cu3_Table,0,4)))),"")))</f>
        <v/>
      </c>
      <c r="CA167" s="829" t="str" cm="1">
        <f t="array" ref="CA167">IF($BP167="","",IF($BX167="",$BQ167,IFERROR(IF($BV167="AL",_xlfn.XLOOKUP($BX167,Std_Al3_Code,INDEX(Std_Al3_Table,0,3)),IF($G167=1,_xlfn.XLOOKUP($BX167,Std_Cu1_Code,INDEX(Std_Cu1_Table,0,3)),_xlfn.XLOOKUP($BX167,Std_Cu3_Code,INDEX(Std_Cu3_Table,0,3)))),"")))</f>
        <v/>
      </c>
      <c r="CB167" s="829" t="str" cm="1">
        <f t="array" ref="CB167">IF($BP167="","",IF($BX167="",$BS167,IFERROR(IF($BV167="AL",_xlfn.XLOOKUP($BX167,Std_Al3_Code,INDEX(Std_Al3_Table,0,5)),IF($G167=1,_xlfn.XLOOKUP($BX167,Std_Cu1_Code,INDEX(Std_Cu1_Table,0,5)),_xlfn.XLOOKUP($BX167,Std_Cu3_Code,INDEX(Std_Cu3_Table,0,5)))),"")))</f>
        <v/>
      </c>
      <c r="CC167" s="829" t="str">
        <f t="shared" si="53"/>
        <v/>
      </c>
      <c r="CD167" s="829" t="str">
        <f t="shared" si="54"/>
        <v/>
      </c>
      <c r="CE167" s="829" t="str">
        <f t="shared" si="55"/>
        <v/>
      </c>
      <c r="CF167" s="829" t="str">
        <f t="shared" si="56"/>
        <v/>
      </c>
      <c r="CG167" s="829" t="str">
        <f t="shared" si="57"/>
        <v/>
      </c>
      <c r="CH167" s="829" t="str">
        <f t="shared" si="58"/>
        <v/>
      </c>
      <c r="CI167" s="829" t="str">
        <f t="shared" si="59"/>
        <v/>
      </c>
      <c r="CJ167" s="829" t="str" cm="1">
        <f t="array" ref="CJ167">IF($B167="","",_xlfn.LET(_xlpm.to,$D167&amp;"",_xlpm.em,IFERROR(INDEX(_xlfn.ANCHORARRAY($BE$4),ROW()-4,6),"")="EMERG",_xlpm.pri,AND(NOT(_xlpm.em),LEFT(_xlpm.to,2)="T-",ISNUMBER(MATCH(MID(_xlpm.to,3,99),Equip_List,0)),ISNA(MATCH(_xlpm.to,Equip_List,0))),IF(_xlpm.pri,MID(_xlpm.to,3,99),_xlpm.to)))</f>
        <v/>
      </c>
      <c r="CK167" s="829" t="str" cm="1">
        <f t="array" ref="CK167">IF($CJ167="","",IF(IFERROR(INDEX(_xlfn.ANCHORARRAY($BE$4),ROW()-4,6),"")="EMERG","E",IF($CJ167&lt;&gt;$D167&amp;"","P","N")))</f>
        <v/>
      </c>
    </row>
    <row r="168" spans="1:89" ht="15" customHeight="1" x14ac:dyDescent="0.35">
      <c r="A168" s="821" t="str">
        <f t="shared" si="47"/>
        <v/>
      </c>
      <c r="B168" s="821" t="str" cm="1">
        <f t="array" ref="B168">IFERROR(IF(INDEX(_xlfn.ANCHORARRAY($BE$4),ROW()-4,2)="","","F-"&amp;INDEX(_xlfn.ANCHORARRAY($BE$4),ROW()-4,2)&amp;IF(IFERROR(INDEX(_xlfn.ANCHORARRAY($BE$4),ROW()-4,6),"")="EMERG","-E","")),"")</f>
        <v/>
      </c>
      <c r="C168" s="821" t="str" cm="1">
        <f t="array" ref="C168">IFERROR(IF($B168="","",INDEX(_xlfn.ANCHORARRAY($BE$4),ROW()-4,1)),"")</f>
        <v/>
      </c>
      <c r="D168" s="821" t="str" cm="1">
        <f t="array" ref="D168">IFERROR(IF($B168="","",INDEX(_xlfn.ANCHORARRAY($BE$4),ROW()-4,2)),"")</f>
        <v/>
      </c>
      <c r="E168" s="806" t="str" cm="1">
        <f t="array" ref="E168">IFERROR(IF($B168="","",INDEX(_xlfn.ANCHORARRAY($BE$4),ROW()-4,3)),"")</f>
        <v/>
      </c>
      <c r="F168" s="822" t="str" cm="1">
        <f t="array" ref="F168">IFERROR(IF($B168="","",INDEX(_xlfn.ANCHORARRAY($BE$4),ROW()-4,4)),"")</f>
        <v/>
      </c>
      <c r="G168" s="823" t="str" cm="1">
        <f t="array" ref="G168">IFERROR(IF($B168="","",INDEX(_xlfn.ANCHORARRAY($BE$4),ROW()-4,5)),"")</f>
        <v/>
      </c>
      <c r="H168" s="824" t="str" cm="1">
        <f t="array" ref="H168">IF($CJ168="","",_xlfn.LET(_xlpm.v,_xlfn.XLOOKUP($CJ168,Equip_List,IF($CK168="E",Equip_EmLen,IF($CK168="P",Equip_XfPriLen,Equip_FdrLen)),""),IF(_xlpm.v="","",_xlpm.v)))</f>
        <v/>
      </c>
      <c r="I168" s="806" t="str">
        <f t="shared" si="40"/>
        <v/>
      </c>
      <c r="J168" s="820"/>
      <c r="K168" s="806" t="str">
        <f>_xlfn.LET(_xlpm.k,IF($I168="","",IF(COUNTIF(UPS!$B$57:$B$64,$C168&amp;"")&gt;0,1.25*MAX($I168,N(_xlfn.XLOOKUP($C168&amp;"",UPS!$B$57:$B$64,UPS!$M$57:$M$64,0))),IF(COUNTIF(UPS!$B$57:$B$64,$D168&amp;"")&gt;0,1.25*MAX($I168,N(_xlfn.XLOOKUP($D168&amp;"",UPS!$B$57:$B$64,UPS!$Q$57:$Q$64,0))),$I168*IF(OR(UPPER($J168)="Y",LEFT($C168,2)="T-",LEFT($D168,2)="T-"),1.25,1)))),IF(_xlpm.k="","",MAX(_xlpm.k,N(IFERROR(_xlfn.XLOOKUP($D168&amp;"",Dashboard!$A$101:$A$350,Dashboard!$O$101:$O$350,0),0)))))</f>
        <v/>
      </c>
      <c r="L168" s="825" t="str">
        <f>IF($CJ168="","",_xlfn.LET(_xlpm.v,UPPER(TRIM(_xlfn.XLOOKUP($CJ168,Equip_List,Equip_FdrMat,"")&amp;"")),IF(_xlpm.v="",UPPER(TRIM(Cfg_FeederMat&amp;"")),_xlpm.v)))</f>
        <v/>
      </c>
      <c r="M168" s="825" t="str">
        <f>IF($CJ168="","",_xlfn.LET(_xlpm.v,TRIM(_xlfn.XLOOKUP($CJ168,Equip_List,Equip_FdrRace,"")&amp;""),IF(_xlpm.v="",Cfg_Conduit&amp;"",_xlpm.v)))</f>
        <v/>
      </c>
      <c r="N168" s="825" t="str">
        <f>IF($CJ168="","",IF(UPPER(TRIM(_xlfn.XLOOKUP($CJ168,Equip_List,Equip_FdrExist,"")&amp;""))="Y","Y",""))</f>
        <v/>
      </c>
      <c r="O168" s="823" t="str">
        <f t="shared" si="48"/>
        <v/>
      </c>
      <c r="P168" s="821" t="str">
        <f t="shared" si="49"/>
        <v/>
      </c>
      <c r="Q168" s="821" t="str">
        <f t="shared" si="50"/>
        <v/>
      </c>
      <c r="R168" s="822" t="str" cm="1">
        <f t="array" ref="R168">IF(K168="","",INDEX(OCPD_List,MATCH(TRUE,OCPD_List&gt;=K168,0)))</f>
        <v/>
      </c>
      <c r="S168" s="821" t="str">
        <f t="shared" si="51"/>
        <v/>
      </c>
      <c r="T168" s="826" t="str">
        <f t="shared" si="41"/>
        <v/>
      </c>
      <c r="U168" s="826" t="str">
        <f t="shared" si="42"/>
        <v/>
      </c>
      <c r="V168" s="827" t="str">
        <f t="shared" si="43"/>
        <v/>
      </c>
      <c r="W168" s="828"/>
      <c r="X168" s="819"/>
      <c r="Y168" s="820"/>
      <c r="Z168" s="820"/>
      <c r="AA168" s="820"/>
      <c r="BN168" s="832" t="str">
        <f>IF($B168="","",IFERROR(_xlfn.XLOOKUP($D168,Dashboard!$A$101:$A$350,Dashboard!$C$101:$C$350),""))</f>
        <v/>
      </c>
      <c r="BO168" s="832" t="str">
        <f t="shared" si="44"/>
        <v/>
      </c>
      <c r="BP168" s="832" t="str" cm="1">
        <f t="array" ref="BP168">IF(OR($B168="",$R168="",NOT(ISNUMBER($R168))),"",IF(AND($BV168="AL",$G168=1),"",_xlfn.LET(_xlpm.codes,IF($BV168="AL",Std_Al3_Code,IF($G168=1,Std_Cu1_Code,Std_Cu3_Code)),_xlpm.amps,IFERROR(--SUBSTITUTE(_xlpm.codes&amp;"","N",""),""),_xlpm.a,MIN(IF(ISNUMBER(_xlpm.amps),IF(_xlpm.amps&gt;=$R168,_xlpm.amps,""),"")),_xlpm.k,IF(_xlpm.a=0,$R168,_xlpm.a),IF($BO168="Y",TEXT(_xlpm.k,"0")&amp;"N",_xlpm.k))))</f>
        <v/>
      </c>
      <c r="BQ168" s="832" t="str" cm="1">
        <f t="array" ref="BQ168">IF($BP168="","",IFERROR(IF($BV168="AL",_xlfn.XLOOKUP($BP168,Std_Al3_Code,INDEX(Std_Al3_Table,0,3)),IF($G168=1,_xlfn.XLOOKUP($BP168,Std_Cu1_Code,INDEX(Std_Cu1_Table,0,3)),_xlfn.XLOOKUP($BP168,Std_Cu3_Code,INDEX(Std_Cu3_Table,0,3)))),""))</f>
        <v/>
      </c>
      <c r="BR168" s="832" t="str" cm="1">
        <f t="array" ref="BR168">IF($BP168="","",IFERROR(IF($BV168="AL",_xlfn.XLOOKUP($BP168,Std_Al3_Code,INDEX(Std_Al3_Table,0,4)),IF($G168=1,_xlfn.XLOOKUP($BP168,Std_Cu1_Code,INDEX(Std_Cu1_Table,0,4)),_xlfn.XLOOKUP($BP168,Std_Cu3_Code,INDEX(Std_Cu3_Table,0,4)))),""))</f>
        <v/>
      </c>
      <c r="BS168" s="832" t="str" cm="1">
        <f t="array" ref="BS168">IF($BP168="","",IFERROR(IF($BV168="AL",_xlfn.XLOOKUP($BP168,Std_Al3_Code,INDEX(Std_Al3_Table,0,5)),IF($G168=1,_xlfn.XLOOKUP($BP168,Std_Cu1_Code,INDEX(Std_Cu1_Table,0,5)),_xlfn.XLOOKUP($BP168,Std_Cu3_Code,INDEX(Std_Cu3_Table,0,5)))),""))</f>
        <v/>
      </c>
      <c r="BT168" s="832" t="str">
        <f t="shared" si="45"/>
        <v/>
      </c>
      <c r="BU168" s="832" t="str" cm="1">
        <f t="array" ref="BU168">IF($BP168="","",IFERROR(IF($BV168="AL",_xlfn.XLOOKUP($BP168,Std_Al3_Code,INDEX(Std_Al3_Table,0,2)),IF($G168=1,_xlfn.XLOOKUP($BP168,Std_Cu1_Code,INDEX(Std_Cu1_Table,0,2)),_xlfn.XLOOKUP($BP168,Std_Cu3_Code,INDEX(Std_Cu3_Table,0,2)))),""))</f>
        <v/>
      </c>
      <c r="BV168" s="829" t="str">
        <f t="shared" si="46"/>
        <v/>
      </c>
      <c r="BW168" s="829" t="str">
        <f t="shared" si="52"/>
        <v/>
      </c>
      <c r="BX168" s="829" t="str" cm="1">
        <f t="array" ref="BX168">IF(OR($BP168="",$H168="",$I168="",$F168="",$BW168=""),"",IFERROR(_xlfn.LET(_xlpm.codes,IF($BV168="AL",Std_Al3_Code,IF($G168=1,Std_Cu1_Code,Std_Cu3_Code)),_xlpm.tbl,IF($BV168="AL",Std_Al3_Table,IF($G168=1,Std_Cu1_Table,Std_Cu3_Table)),_xlpm.i,MATCH($BP168,_xlpm.codes,0),_xlpm.idx,_xlfn.SEQUENCE(ROWS(_xlpm.codes)),_xlpm.cnd,INDEX(_xlpm.tbl,0,4),_xlpm.sts,INDEX(_xlpm.tbl,0,2),_xlpm.sz,IFERROR(_xlfn.TEXTBEFORE(_xlfn.TEXTAFTER(_xlpm.cnd,"#"),","),IFERROR(_xlfn.TEXTAFTER(_xlpm.cnd,"#"),"")),_xlpm.cm,IFERROR(_xlfn.XLOOKUP(TRIM(_xlpm.sz),Ampacity_Size,Ampacity_CM),0),_xlpm.mult,IF($G168=3,SQRT3,2),_xlpm.kk,IF($BV168="AL",K_Al,K_Cu),_xlpm.vd,IF(_xlpm.cm*IF(ISNUMBER(_xlpm.sts),_xlpm.sts,0)=0,9,_xlpm.mult*_xlpm.kk*$I168*$H168/(_xlpm.cm*_xlpm.sts)/$F168),_xlpm.hasN,--(RIGHT(_xlpm.codes&amp;"",1)="N"),_xlpm.wantN,--(RIGHT($BP168&amp;"",1)="N"),_xlpm.ok,(_xlpm.idx&gt;=_xlpm.i)*(_xlpm.vd&lt;=Cfg_VDFeeder)*(_xlpm.cm&gt;0)*ISNUMBER(_xlpm.sts)*(_xlpm.hasN=_xlpm.wantN),_xlpm.m,MIN(IF(_xlpm.ok=1,_xlpm.idx)),INDEX(_xlpm.codes,IF(_xlpm.m=0,_xlpm.i,_xlpm.m))),""))</f>
        <v/>
      </c>
      <c r="BY168" s="829" t="str" cm="1">
        <f t="array" ref="BY168">IF($BP168="","",IF($BX168="",$BU168,IFERROR(IF($BV168="AL",_xlfn.XLOOKUP($BX168,Std_Al3_Code,INDEX(Std_Al3_Table,0,2)),IF($G168=1,_xlfn.XLOOKUP($BX168,Std_Cu1_Code,INDEX(Std_Cu1_Table,0,2)),_xlfn.XLOOKUP($BX168,Std_Cu3_Code,INDEX(Std_Cu3_Table,0,2)))),"")))</f>
        <v/>
      </c>
      <c r="BZ168" s="829" t="str" cm="1">
        <f t="array" ref="BZ168">IF($BP168="","",IF($BX168="",$BR168,IFERROR(IF($BV168="AL",_xlfn.XLOOKUP($BX168,Std_Al3_Code,INDEX(Std_Al3_Table,0,4)),IF($G168=1,_xlfn.XLOOKUP($BX168,Std_Cu1_Code,INDEX(Std_Cu1_Table,0,4)),_xlfn.XLOOKUP($BX168,Std_Cu3_Code,INDEX(Std_Cu3_Table,0,4)))),"")))</f>
        <v/>
      </c>
      <c r="CA168" s="829" t="str" cm="1">
        <f t="array" ref="CA168">IF($BP168="","",IF($BX168="",$BQ168,IFERROR(IF($BV168="AL",_xlfn.XLOOKUP($BX168,Std_Al3_Code,INDEX(Std_Al3_Table,0,3)),IF($G168=1,_xlfn.XLOOKUP($BX168,Std_Cu1_Code,INDEX(Std_Cu1_Table,0,3)),_xlfn.XLOOKUP($BX168,Std_Cu3_Code,INDEX(Std_Cu3_Table,0,3)))),"")))</f>
        <v/>
      </c>
      <c r="CB168" s="829" t="str" cm="1">
        <f t="array" ref="CB168">IF($BP168="","",IF($BX168="",$BS168,IFERROR(IF($BV168="AL",_xlfn.XLOOKUP($BX168,Std_Al3_Code,INDEX(Std_Al3_Table,0,5)),IF($G168=1,_xlfn.XLOOKUP($BX168,Std_Cu1_Code,INDEX(Std_Cu1_Table,0,5)),_xlfn.XLOOKUP($BX168,Std_Cu3_Code,INDEX(Std_Cu3_Table,0,5)))),"")))</f>
        <v/>
      </c>
      <c r="CC168" s="829" t="str">
        <f t="shared" si="53"/>
        <v/>
      </c>
      <c r="CD168" s="829" t="str">
        <f t="shared" si="54"/>
        <v/>
      </c>
      <c r="CE168" s="829" t="str">
        <f t="shared" si="55"/>
        <v/>
      </c>
      <c r="CF168" s="829" t="str">
        <f t="shared" si="56"/>
        <v/>
      </c>
      <c r="CG168" s="829" t="str">
        <f t="shared" si="57"/>
        <v/>
      </c>
      <c r="CH168" s="829" t="str">
        <f t="shared" si="58"/>
        <v/>
      </c>
      <c r="CI168" s="829" t="str">
        <f t="shared" si="59"/>
        <v/>
      </c>
      <c r="CJ168" s="829" t="str" cm="1">
        <f t="array" ref="CJ168">IF($B168="","",_xlfn.LET(_xlpm.to,$D168&amp;"",_xlpm.em,IFERROR(INDEX(_xlfn.ANCHORARRAY($BE$4),ROW()-4,6),"")="EMERG",_xlpm.pri,AND(NOT(_xlpm.em),LEFT(_xlpm.to,2)="T-",ISNUMBER(MATCH(MID(_xlpm.to,3,99),Equip_List,0)),ISNA(MATCH(_xlpm.to,Equip_List,0))),IF(_xlpm.pri,MID(_xlpm.to,3,99),_xlpm.to)))</f>
        <v/>
      </c>
      <c r="CK168" s="829" t="str" cm="1">
        <f t="array" ref="CK168">IF($CJ168="","",IF(IFERROR(INDEX(_xlfn.ANCHORARRAY($BE$4),ROW()-4,6),"")="EMERG","E",IF($CJ168&lt;&gt;$D168&amp;"","P","N")))</f>
        <v/>
      </c>
    </row>
    <row r="169" spans="1:89" ht="15" customHeight="1" x14ac:dyDescent="0.35">
      <c r="A169" s="821" t="str">
        <f t="shared" si="47"/>
        <v/>
      </c>
      <c r="B169" s="821" t="str" cm="1">
        <f t="array" ref="B169">IFERROR(IF(INDEX(_xlfn.ANCHORARRAY($BE$4),ROW()-4,2)="","","F-"&amp;INDEX(_xlfn.ANCHORARRAY($BE$4),ROW()-4,2)&amp;IF(IFERROR(INDEX(_xlfn.ANCHORARRAY($BE$4),ROW()-4,6),"")="EMERG","-E","")),"")</f>
        <v/>
      </c>
      <c r="C169" s="821" t="str" cm="1">
        <f t="array" ref="C169">IFERROR(IF($B169="","",INDEX(_xlfn.ANCHORARRAY($BE$4),ROW()-4,1)),"")</f>
        <v/>
      </c>
      <c r="D169" s="821" t="str" cm="1">
        <f t="array" ref="D169">IFERROR(IF($B169="","",INDEX(_xlfn.ANCHORARRAY($BE$4),ROW()-4,2)),"")</f>
        <v/>
      </c>
      <c r="E169" s="806" t="str" cm="1">
        <f t="array" ref="E169">IFERROR(IF($B169="","",INDEX(_xlfn.ANCHORARRAY($BE$4),ROW()-4,3)),"")</f>
        <v/>
      </c>
      <c r="F169" s="822" t="str" cm="1">
        <f t="array" ref="F169">IFERROR(IF($B169="","",INDEX(_xlfn.ANCHORARRAY($BE$4),ROW()-4,4)),"")</f>
        <v/>
      </c>
      <c r="G169" s="823" t="str" cm="1">
        <f t="array" ref="G169">IFERROR(IF($B169="","",INDEX(_xlfn.ANCHORARRAY($BE$4),ROW()-4,5)),"")</f>
        <v/>
      </c>
      <c r="H169" s="824" t="str" cm="1">
        <f t="array" ref="H169">IF($CJ169="","",_xlfn.LET(_xlpm.v,_xlfn.XLOOKUP($CJ169,Equip_List,IF($CK169="E",Equip_EmLen,IF($CK169="P",Equip_XfPriLen,Equip_FdrLen)),""),IF(_xlpm.v="","",_xlpm.v)))</f>
        <v/>
      </c>
      <c r="I169" s="806" t="str">
        <f t="shared" si="40"/>
        <v/>
      </c>
      <c r="J169" s="820"/>
      <c r="K169" s="806" t="str">
        <f>_xlfn.LET(_xlpm.k,IF($I169="","",IF(COUNTIF(UPS!$B$57:$B$64,$C169&amp;"")&gt;0,1.25*MAX($I169,N(_xlfn.XLOOKUP($C169&amp;"",UPS!$B$57:$B$64,UPS!$M$57:$M$64,0))),IF(COUNTIF(UPS!$B$57:$B$64,$D169&amp;"")&gt;0,1.25*MAX($I169,N(_xlfn.XLOOKUP($D169&amp;"",UPS!$B$57:$B$64,UPS!$Q$57:$Q$64,0))),$I169*IF(OR(UPPER($J169)="Y",LEFT($C169,2)="T-",LEFT($D169,2)="T-"),1.25,1)))),IF(_xlpm.k="","",MAX(_xlpm.k,N(IFERROR(_xlfn.XLOOKUP($D169&amp;"",Dashboard!$A$101:$A$350,Dashboard!$O$101:$O$350,0),0)))))</f>
        <v/>
      </c>
      <c r="L169" s="825" t="str">
        <f>IF($CJ169="","",_xlfn.LET(_xlpm.v,UPPER(TRIM(_xlfn.XLOOKUP($CJ169,Equip_List,Equip_FdrMat,"")&amp;"")),IF(_xlpm.v="",UPPER(TRIM(Cfg_FeederMat&amp;"")),_xlpm.v)))</f>
        <v/>
      </c>
      <c r="M169" s="825" t="str">
        <f>IF($CJ169="","",_xlfn.LET(_xlpm.v,TRIM(_xlfn.XLOOKUP($CJ169,Equip_List,Equip_FdrRace,"")&amp;""),IF(_xlpm.v="",Cfg_Conduit&amp;"",_xlpm.v)))</f>
        <v/>
      </c>
      <c r="N169" s="825" t="str">
        <f>IF($CJ169="","",IF(UPPER(TRIM(_xlfn.XLOOKUP($CJ169,Equip_List,Equip_FdrExist,"")&amp;""))="Y","Y",""))</f>
        <v/>
      </c>
      <c r="O169" s="823" t="str">
        <f t="shared" si="48"/>
        <v/>
      </c>
      <c r="P169" s="821" t="str">
        <f t="shared" si="49"/>
        <v/>
      </c>
      <c r="Q169" s="821" t="str">
        <f t="shared" si="50"/>
        <v/>
      </c>
      <c r="R169" s="822" t="str" cm="1">
        <f t="array" ref="R169">IF(K169="","",INDEX(OCPD_List,MATCH(TRUE,OCPD_List&gt;=K169,0)))</f>
        <v/>
      </c>
      <c r="S169" s="821" t="str">
        <f t="shared" si="51"/>
        <v/>
      </c>
      <c r="T169" s="826" t="str">
        <f t="shared" si="41"/>
        <v/>
      </c>
      <c r="U169" s="826" t="str">
        <f t="shared" si="42"/>
        <v/>
      </c>
      <c r="V169" s="827" t="str">
        <f t="shared" si="43"/>
        <v/>
      </c>
      <c r="W169" s="828"/>
      <c r="X169" s="819"/>
      <c r="Y169" s="820"/>
      <c r="Z169" s="820"/>
      <c r="AA169" s="820"/>
      <c r="BN169" s="832" t="str">
        <f>IF($B169="","",IFERROR(_xlfn.XLOOKUP($D169,Dashboard!$A$101:$A$350,Dashboard!$C$101:$C$350),""))</f>
        <v/>
      </c>
      <c r="BO169" s="832" t="str">
        <f t="shared" si="44"/>
        <v/>
      </c>
      <c r="BP169" s="832" t="str" cm="1">
        <f t="array" ref="BP169">IF(OR($B169="",$R169="",NOT(ISNUMBER($R169))),"",IF(AND($BV169="AL",$G169=1),"",_xlfn.LET(_xlpm.codes,IF($BV169="AL",Std_Al3_Code,IF($G169=1,Std_Cu1_Code,Std_Cu3_Code)),_xlpm.amps,IFERROR(--SUBSTITUTE(_xlpm.codes&amp;"","N",""),""),_xlpm.a,MIN(IF(ISNUMBER(_xlpm.amps),IF(_xlpm.amps&gt;=$R169,_xlpm.amps,""),"")),_xlpm.k,IF(_xlpm.a=0,$R169,_xlpm.a),IF($BO169="Y",TEXT(_xlpm.k,"0")&amp;"N",_xlpm.k))))</f>
        <v/>
      </c>
      <c r="BQ169" s="832" t="str" cm="1">
        <f t="array" ref="BQ169">IF($BP169="","",IFERROR(IF($BV169="AL",_xlfn.XLOOKUP($BP169,Std_Al3_Code,INDEX(Std_Al3_Table,0,3)),IF($G169=1,_xlfn.XLOOKUP($BP169,Std_Cu1_Code,INDEX(Std_Cu1_Table,0,3)),_xlfn.XLOOKUP($BP169,Std_Cu3_Code,INDEX(Std_Cu3_Table,0,3)))),""))</f>
        <v/>
      </c>
      <c r="BR169" s="832" t="str" cm="1">
        <f t="array" ref="BR169">IF($BP169="","",IFERROR(IF($BV169="AL",_xlfn.XLOOKUP($BP169,Std_Al3_Code,INDEX(Std_Al3_Table,0,4)),IF($G169=1,_xlfn.XLOOKUP($BP169,Std_Cu1_Code,INDEX(Std_Cu1_Table,0,4)),_xlfn.XLOOKUP($BP169,Std_Cu3_Code,INDEX(Std_Cu3_Table,0,4)))),""))</f>
        <v/>
      </c>
      <c r="BS169" s="832" t="str" cm="1">
        <f t="array" ref="BS169">IF($BP169="","",IFERROR(IF($BV169="AL",_xlfn.XLOOKUP($BP169,Std_Al3_Code,INDEX(Std_Al3_Table,0,5)),IF($G169=1,_xlfn.XLOOKUP($BP169,Std_Cu1_Code,INDEX(Std_Cu1_Table,0,5)),_xlfn.XLOOKUP($BP169,Std_Cu3_Code,INDEX(Std_Cu3_Table,0,5)))),""))</f>
        <v/>
      </c>
      <c r="BT169" s="832" t="str">
        <f t="shared" si="45"/>
        <v/>
      </c>
      <c r="BU169" s="832" t="str" cm="1">
        <f t="array" ref="BU169">IF($BP169="","",IFERROR(IF($BV169="AL",_xlfn.XLOOKUP($BP169,Std_Al3_Code,INDEX(Std_Al3_Table,0,2)),IF($G169=1,_xlfn.XLOOKUP($BP169,Std_Cu1_Code,INDEX(Std_Cu1_Table,0,2)),_xlfn.XLOOKUP($BP169,Std_Cu3_Code,INDEX(Std_Cu3_Table,0,2)))),""))</f>
        <v/>
      </c>
      <c r="BV169" s="829" t="str">
        <f t="shared" si="46"/>
        <v/>
      </c>
      <c r="BW169" s="829" t="str">
        <f t="shared" si="52"/>
        <v/>
      </c>
      <c r="BX169" s="829" t="str" cm="1">
        <f t="array" ref="BX169">IF(OR($BP169="",$H169="",$I169="",$F169="",$BW169=""),"",IFERROR(_xlfn.LET(_xlpm.codes,IF($BV169="AL",Std_Al3_Code,IF($G169=1,Std_Cu1_Code,Std_Cu3_Code)),_xlpm.tbl,IF($BV169="AL",Std_Al3_Table,IF($G169=1,Std_Cu1_Table,Std_Cu3_Table)),_xlpm.i,MATCH($BP169,_xlpm.codes,0),_xlpm.idx,_xlfn.SEQUENCE(ROWS(_xlpm.codes)),_xlpm.cnd,INDEX(_xlpm.tbl,0,4),_xlpm.sts,INDEX(_xlpm.tbl,0,2),_xlpm.sz,IFERROR(_xlfn.TEXTBEFORE(_xlfn.TEXTAFTER(_xlpm.cnd,"#"),","),IFERROR(_xlfn.TEXTAFTER(_xlpm.cnd,"#"),"")),_xlpm.cm,IFERROR(_xlfn.XLOOKUP(TRIM(_xlpm.sz),Ampacity_Size,Ampacity_CM),0),_xlpm.mult,IF($G169=3,SQRT3,2),_xlpm.kk,IF($BV169="AL",K_Al,K_Cu),_xlpm.vd,IF(_xlpm.cm*IF(ISNUMBER(_xlpm.sts),_xlpm.sts,0)=0,9,_xlpm.mult*_xlpm.kk*$I169*$H169/(_xlpm.cm*_xlpm.sts)/$F169),_xlpm.hasN,--(RIGHT(_xlpm.codes&amp;"",1)="N"),_xlpm.wantN,--(RIGHT($BP169&amp;"",1)="N"),_xlpm.ok,(_xlpm.idx&gt;=_xlpm.i)*(_xlpm.vd&lt;=Cfg_VDFeeder)*(_xlpm.cm&gt;0)*ISNUMBER(_xlpm.sts)*(_xlpm.hasN=_xlpm.wantN),_xlpm.m,MIN(IF(_xlpm.ok=1,_xlpm.idx)),INDEX(_xlpm.codes,IF(_xlpm.m=0,_xlpm.i,_xlpm.m))),""))</f>
        <v/>
      </c>
      <c r="BY169" s="829" t="str" cm="1">
        <f t="array" ref="BY169">IF($BP169="","",IF($BX169="",$BU169,IFERROR(IF($BV169="AL",_xlfn.XLOOKUP($BX169,Std_Al3_Code,INDEX(Std_Al3_Table,0,2)),IF($G169=1,_xlfn.XLOOKUP($BX169,Std_Cu1_Code,INDEX(Std_Cu1_Table,0,2)),_xlfn.XLOOKUP($BX169,Std_Cu3_Code,INDEX(Std_Cu3_Table,0,2)))),"")))</f>
        <v/>
      </c>
      <c r="BZ169" s="829" t="str" cm="1">
        <f t="array" ref="BZ169">IF($BP169="","",IF($BX169="",$BR169,IFERROR(IF($BV169="AL",_xlfn.XLOOKUP($BX169,Std_Al3_Code,INDEX(Std_Al3_Table,0,4)),IF($G169=1,_xlfn.XLOOKUP($BX169,Std_Cu1_Code,INDEX(Std_Cu1_Table,0,4)),_xlfn.XLOOKUP($BX169,Std_Cu3_Code,INDEX(Std_Cu3_Table,0,4)))),"")))</f>
        <v/>
      </c>
      <c r="CA169" s="829" t="str" cm="1">
        <f t="array" ref="CA169">IF($BP169="","",IF($BX169="",$BQ169,IFERROR(IF($BV169="AL",_xlfn.XLOOKUP($BX169,Std_Al3_Code,INDEX(Std_Al3_Table,0,3)),IF($G169=1,_xlfn.XLOOKUP($BX169,Std_Cu1_Code,INDEX(Std_Cu1_Table,0,3)),_xlfn.XLOOKUP($BX169,Std_Cu3_Code,INDEX(Std_Cu3_Table,0,3)))),"")))</f>
        <v/>
      </c>
      <c r="CB169" s="829" t="str" cm="1">
        <f t="array" ref="CB169">IF($BP169="","",IF($BX169="",$BS169,IFERROR(IF($BV169="AL",_xlfn.XLOOKUP($BX169,Std_Al3_Code,INDEX(Std_Al3_Table,0,5)),IF($G169=1,_xlfn.XLOOKUP($BX169,Std_Cu1_Code,INDEX(Std_Cu1_Table,0,5)),_xlfn.XLOOKUP($BX169,Std_Cu3_Code,INDEX(Std_Cu3_Table,0,5)))),"")))</f>
        <v/>
      </c>
      <c r="CC169" s="829" t="str">
        <f t="shared" si="53"/>
        <v/>
      </c>
      <c r="CD169" s="829" t="str">
        <f t="shared" si="54"/>
        <v/>
      </c>
      <c r="CE169" s="829" t="str">
        <f t="shared" si="55"/>
        <v/>
      </c>
      <c r="CF169" s="829" t="str">
        <f t="shared" si="56"/>
        <v/>
      </c>
      <c r="CG169" s="829" t="str">
        <f t="shared" si="57"/>
        <v/>
      </c>
      <c r="CH169" s="829" t="str">
        <f t="shared" si="58"/>
        <v/>
      </c>
      <c r="CI169" s="829" t="str">
        <f t="shared" si="59"/>
        <v/>
      </c>
      <c r="CJ169" s="829" t="str" cm="1">
        <f t="array" ref="CJ169">IF($B169="","",_xlfn.LET(_xlpm.to,$D169&amp;"",_xlpm.em,IFERROR(INDEX(_xlfn.ANCHORARRAY($BE$4),ROW()-4,6),"")="EMERG",_xlpm.pri,AND(NOT(_xlpm.em),LEFT(_xlpm.to,2)="T-",ISNUMBER(MATCH(MID(_xlpm.to,3,99),Equip_List,0)),ISNA(MATCH(_xlpm.to,Equip_List,0))),IF(_xlpm.pri,MID(_xlpm.to,3,99),_xlpm.to)))</f>
        <v/>
      </c>
      <c r="CK169" s="829" t="str" cm="1">
        <f t="array" ref="CK169">IF($CJ169="","",IF(IFERROR(INDEX(_xlfn.ANCHORARRAY($BE$4),ROW()-4,6),"")="EMERG","E",IF($CJ169&lt;&gt;$D169&amp;"","P","N")))</f>
        <v/>
      </c>
    </row>
    <row r="170" spans="1:89" ht="15" customHeight="1" x14ac:dyDescent="0.35">
      <c r="A170" s="821" t="str">
        <f t="shared" si="47"/>
        <v/>
      </c>
      <c r="B170" s="821" t="str" cm="1">
        <f t="array" ref="B170">IFERROR(IF(INDEX(_xlfn.ANCHORARRAY($BE$4),ROW()-4,2)="","","F-"&amp;INDEX(_xlfn.ANCHORARRAY($BE$4),ROW()-4,2)&amp;IF(IFERROR(INDEX(_xlfn.ANCHORARRAY($BE$4),ROW()-4,6),"")="EMERG","-E","")),"")</f>
        <v/>
      </c>
      <c r="C170" s="821" t="str" cm="1">
        <f t="array" ref="C170">IFERROR(IF($B170="","",INDEX(_xlfn.ANCHORARRAY($BE$4),ROW()-4,1)),"")</f>
        <v/>
      </c>
      <c r="D170" s="821" t="str" cm="1">
        <f t="array" ref="D170">IFERROR(IF($B170="","",INDEX(_xlfn.ANCHORARRAY($BE$4),ROW()-4,2)),"")</f>
        <v/>
      </c>
      <c r="E170" s="806" t="str" cm="1">
        <f t="array" ref="E170">IFERROR(IF($B170="","",INDEX(_xlfn.ANCHORARRAY($BE$4),ROW()-4,3)),"")</f>
        <v/>
      </c>
      <c r="F170" s="822" t="str" cm="1">
        <f t="array" ref="F170">IFERROR(IF($B170="","",INDEX(_xlfn.ANCHORARRAY($BE$4),ROW()-4,4)),"")</f>
        <v/>
      </c>
      <c r="G170" s="823" t="str" cm="1">
        <f t="array" ref="G170">IFERROR(IF($B170="","",INDEX(_xlfn.ANCHORARRAY($BE$4),ROW()-4,5)),"")</f>
        <v/>
      </c>
      <c r="H170" s="824" t="str" cm="1">
        <f t="array" ref="H170">IF($CJ170="","",_xlfn.LET(_xlpm.v,_xlfn.XLOOKUP($CJ170,Equip_List,IF($CK170="E",Equip_EmLen,IF($CK170="P",Equip_XfPriLen,Equip_FdrLen)),""),IF(_xlpm.v="","",_xlpm.v)))</f>
        <v/>
      </c>
      <c r="I170" s="806" t="str">
        <f t="shared" si="40"/>
        <v/>
      </c>
      <c r="J170" s="820"/>
      <c r="K170" s="806" t="str">
        <f>_xlfn.LET(_xlpm.k,IF($I170="","",IF(COUNTIF(UPS!$B$57:$B$64,$C170&amp;"")&gt;0,1.25*MAX($I170,N(_xlfn.XLOOKUP($C170&amp;"",UPS!$B$57:$B$64,UPS!$M$57:$M$64,0))),IF(COUNTIF(UPS!$B$57:$B$64,$D170&amp;"")&gt;0,1.25*MAX($I170,N(_xlfn.XLOOKUP($D170&amp;"",UPS!$B$57:$B$64,UPS!$Q$57:$Q$64,0))),$I170*IF(OR(UPPER($J170)="Y",LEFT($C170,2)="T-",LEFT($D170,2)="T-"),1.25,1)))),IF(_xlpm.k="","",MAX(_xlpm.k,N(IFERROR(_xlfn.XLOOKUP($D170&amp;"",Dashboard!$A$101:$A$350,Dashboard!$O$101:$O$350,0),0)))))</f>
        <v/>
      </c>
      <c r="L170" s="825" t="str">
        <f>IF($CJ170="","",_xlfn.LET(_xlpm.v,UPPER(TRIM(_xlfn.XLOOKUP($CJ170,Equip_List,Equip_FdrMat,"")&amp;"")),IF(_xlpm.v="",UPPER(TRIM(Cfg_FeederMat&amp;"")),_xlpm.v)))</f>
        <v/>
      </c>
      <c r="M170" s="825" t="str">
        <f>IF($CJ170="","",_xlfn.LET(_xlpm.v,TRIM(_xlfn.XLOOKUP($CJ170,Equip_List,Equip_FdrRace,"")&amp;""),IF(_xlpm.v="",Cfg_Conduit&amp;"",_xlpm.v)))</f>
        <v/>
      </c>
      <c r="N170" s="825" t="str">
        <f>IF($CJ170="","",IF(UPPER(TRIM(_xlfn.XLOOKUP($CJ170,Equip_List,Equip_FdrExist,"")&amp;""))="Y","Y",""))</f>
        <v/>
      </c>
      <c r="O170" s="823" t="str">
        <f t="shared" si="48"/>
        <v/>
      </c>
      <c r="P170" s="821" t="str">
        <f t="shared" si="49"/>
        <v/>
      </c>
      <c r="Q170" s="821" t="str">
        <f t="shared" si="50"/>
        <v/>
      </c>
      <c r="R170" s="822" t="str" cm="1">
        <f t="array" ref="R170">IF(K170="","",INDEX(OCPD_List,MATCH(TRUE,OCPD_List&gt;=K170,0)))</f>
        <v/>
      </c>
      <c r="S170" s="821" t="str">
        <f t="shared" si="51"/>
        <v/>
      </c>
      <c r="T170" s="826" t="str">
        <f t="shared" si="41"/>
        <v/>
      </c>
      <c r="U170" s="826" t="str">
        <f t="shared" si="42"/>
        <v/>
      </c>
      <c r="V170" s="827" t="str">
        <f t="shared" si="43"/>
        <v/>
      </c>
      <c r="W170" s="828"/>
      <c r="X170" s="819"/>
      <c r="Y170" s="820"/>
      <c r="Z170" s="820"/>
      <c r="AA170" s="820"/>
      <c r="BN170" s="832" t="str">
        <f>IF($B170="","",IFERROR(_xlfn.XLOOKUP($D170,Dashboard!$A$101:$A$350,Dashboard!$C$101:$C$350),""))</f>
        <v/>
      </c>
      <c r="BO170" s="832" t="str">
        <f t="shared" si="44"/>
        <v/>
      </c>
      <c r="BP170" s="832" t="str" cm="1">
        <f t="array" ref="BP170">IF(OR($B170="",$R170="",NOT(ISNUMBER($R170))),"",IF(AND($BV170="AL",$G170=1),"",_xlfn.LET(_xlpm.codes,IF($BV170="AL",Std_Al3_Code,IF($G170=1,Std_Cu1_Code,Std_Cu3_Code)),_xlpm.amps,IFERROR(--SUBSTITUTE(_xlpm.codes&amp;"","N",""),""),_xlpm.a,MIN(IF(ISNUMBER(_xlpm.amps),IF(_xlpm.amps&gt;=$R170,_xlpm.amps,""),"")),_xlpm.k,IF(_xlpm.a=0,$R170,_xlpm.a),IF($BO170="Y",TEXT(_xlpm.k,"0")&amp;"N",_xlpm.k))))</f>
        <v/>
      </c>
      <c r="BQ170" s="832" t="str" cm="1">
        <f t="array" ref="BQ170">IF($BP170="","",IFERROR(IF($BV170="AL",_xlfn.XLOOKUP($BP170,Std_Al3_Code,INDEX(Std_Al3_Table,0,3)),IF($G170=1,_xlfn.XLOOKUP($BP170,Std_Cu1_Code,INDEX(Std_Cu1_Table,0,3)),_xlfn.XLOOKUP($BP170,Std_Cu3_Code,INDEX(Std_Cu3_Table,0,3)))),""))</f>
        <v/>
      </c>
      <c r="BR170" s="832" t="str" cm="1">
        <f t="array" ref="BR170">IF($BP170="","",IFERROR(IF($BV170="AL",_xlfn.XLOOKUP($BP170,Std_Al3_Code,INDEX(Std_Al3_Table,0,4)),IF($G170=1,_xlfn.XLOOKUP($BP170,Std_Cu1_Code,INDEX(Std_Cu1_Table,0,4)),_xlfn.XLOOKUP($BP170,Std_Cu3_Code,INDEX(Std_Cu3_Table,0,4)))),""))</f>
        <v/>
      </c>
      <c r="BS170" s="832" t="str" cm="1">
        <f t="array" ref="BS170">IF($BP170="","",IFERROR(IF($BV170="AL",_xlfn.XLOOKUP($BP170,Std_Al3_Code,INDEX(Std_Al3_Table,0,5)),IF($G170=1,_xlfn.XLOOKUP($BP170,Std_Cu1_Code,INDEX(Std_Cu1_Table,0,5)),_xlfn.XLOOKUP($BP170,Std_Cu3_Code,INDEX(Std_Cu3_Table,0,5)))),""))</f>
        <v/>
      </c>
      <c r="BT170" s="832" t="str">
        <f t="shared" si="45"/>
        <v/>
      </c>
      <c r="BU170" s="832" t="str" cm="1">
        <f t="array" ref="BU170">IF($BP170="","",IFERROR(IF($BV170="AL",_xlfn.XLOOKUP($BP170,Std_Al3_Code,INDEX(Std_Al3_Table,0,2)),IF($G170=1,_xlfn.XLOOKUP($BP170,Std_Cu1_Code,INDEX(Std_Cu1_Table,0,2)),_xlfn.XLOOKUP($BP170,Std_Cu3_Code,INDEX(Std_Cu3_Table,0,2)))),""))</f>
        <v/>
      </c>
      <c r="BV170" s="829" t="str">
        <f t="shared" si="46"/>
        <v/>
      </c>
      <c r="BW170" s="829" t="str">
        <f t="shared" si="52"/>
        <v/>
      </c>
      <c r="BX170" s="829" t="str" cm="1">
        <f t="array" ref="BX170">IF(OR($BP170="",$H170="",$I170="",$F170="",$BW170=""),"",IFERROR(_xlfn.LET(_xlpm.codes,IF($BV170="AL",Std_Al3_Code,IF($G170=1,Std_Cu1_Code,Std_Cu3_Code)),_xlpm.tbl,IF($BV170="AL",Std_Al3_Table,IF($G170=1,Std_Cu1_Table,Std_Cu3_Table)),_xlpm.i,MATCH($BP170,_xlpm.codes,0),_xlpm.idx,_xlfn.SEQUENCE(ROWS(_xlpm.codes)),_xlpm.cnd,INDEX(_xlpm.tbl,0,4),_xlpm.sts,INDEX(_xlpm.tbl,0,2),_xlpm.sz,IFERROR(_xlfn.TEXTBEFORE(_xlfn.TEXTAFTER(_xlpm.cnd,"#"),","),IFERROR(_xlfn.TEXTAFTER(_xlpm.cnd,"#"),"")),_xlpm.cm,IFERROR(_xlfn.XLOOKUP(TRIM(_xlpm.sz),Ampacity_Size,Ampacity_CM),0),_xlpm.mult,IF($G170=3,SQRT3,2),_xlpm.kk,IF($BV170="AL",K_Al,K_Cu),_xlpm.vd,IF(_xlpm.cm*IF(ISNUMBER(_xlpm.sts),_xlpm.sts,0)=0,9,_xlpm.mult*_xlpm.kk*$I170*$H170/(_xlpm.cm*_xlpm.sts)/$F170),_xlpm.hasN,--(RIGHT(_xlpm.codes&amp;"",1)="N"),_xlpm.wantN,--(RIGHT($BP170&amp;"",1)="N"),_xlpm.ok,(_xlpm.idx&gt;=_xlpm.i)*(_xlpm.vd&lt;=Cfg_VDFeeder)*(_xlpm.cm&gt;0)*ISNUMBER(_xlpm.sts)*(_xlpm.hasN=_xlpm.wantN),_xlpm.m,MIN(IF(_xlpm.ok=1,_xlpm.idx)),INDEX(_xlpm.codes,IF(_xlpm.m=0,_xlpm.i,_xlpm.m))),""))</f>
        <v/>
      </c>
      <c r="BY170" s="829" t="str" cm="1">
        <f t="array" ref="BY170">IF($BP170="","",IF($BX170="",$BU170,IFERROR(IF($BV170="AL",_xlfn.XLOOKUP($BX170,Std_Al3_Code,INDEX(Std_Al3_Table,0,2)),IF($G170=1,_xlfn.XLOOKUP($BX170,Std_Cu1_Code,INDEX(Std_Cu1_Table,0,2)),_xlfn.XLOOKUP($BX170,Std_Cu3_Code,INDEX(Std_Cu3_Table,0,2)))),"")))</f>
        <v/>
      </c>
      <c r="BZ170" s="829" t="str" cm="1">
        <f t="array" ref="BZ170">IF($BP170="","",IF($BX170="",$BR170,IFERROR(IF($BV170="AL",_xlfn.XLOOKUP($BX170,Std_Al3_Code,INDEX(Std_Al3_Table,0,4)),IF($G170=1,_xlfn.XLOOKUP($BX170,Std_Cu1_Code,INDEX(Std_Cu1_Table,0,4)),_xlfn.XLOOKUP($BX170,Std_Cu3_Code,INDEX(Std_Cu3_Table,0,4)))),"")))</f>
        <v/>
      </c>
      <c r="CA170" s="829" t="str" cm="1">
        <f t="array" ref="CA170">IF($BP170="","",IF($BX170="",$BQ170,IFERROR(IF($BV170="AL",_xlfn.XLOOKUP($BX170,Std_Al3_Code,INDEX(Std_Al3_Table,0,3)),IF($G170=1,_xlfn.XLOOKUP($BX170,Std_Cu1_Code,INDEX(Std_Cu1_Table,0,3)),_xlfn.XLOOKUP($BX170,Std_Cu3_Code,INDEX(Std_Cu3_Table,0,3)))),"")))</f>
        <v/>
      </c>
      <c r="CB170" s="829" t="str" cm="1">
        <f t="array" ref="CB170">IF($BP170="","",IF($BX170="",$BS170,IFERROR(IF($BV170="AL",_xlfn.XLOOKUP($BX170,Std_Al3_Code,INDEX(Std_Al3_Table,0,5)),IF($G170=1,_xlfn.XLOOKUP($BX170,Std_Cu1_Code,INDEX(Std_Cu1_Table,0,5)),_xlfn.XLOOKUP($BX170,Std_Cu3_Code,INDEX(Std_Cu3_Table,0,5)))),"")))</f>
        <v/>
      </c>
      <c r="CC170" s="829" t="str">
        <f t="shared" si="53"/>
        <v/>
      </c>
      <c r="CD170" s="829" t="str">
        <f t="shared" si="54"/>
        <v/>
      </c>
      <c r="CE170" s="829" t="str">
        <f t="shared" si="55"/>
        <v/>
      </c>
      <c r="CF170" s="829" t="str">
        <f t="shared" si="56"/>
        <v/>
      </c>
      <c r="CG170" s="829" t="str">
        <f t="shared" si="57"/>
        <v/>
      </c>
      <c r="CH170" s="829" t="str">
        <f t="shared" si="58"/>
        <v/>
      </c>
      <c r="CI170" s="829" t="str">
        <f t="shared" si="59"/>
        <v/>
      </c>
      <c r="CJ170" s="829" t="str" cm="1">
        <f t="array" ref="CJ170">IF($B170="","",_xlfn.LET(_xlpm.to,$D170&amp;"",_xlpm.em,IFERROR(INDEX(_xlfn.ANCHORARRAY($BE$4),ROW()-4,6),"")="EMERG",_xlpm.pri,AND(NOT(_xlpm.em),LEFT(_xlpm.to,2)="T-",ISNUMBER(MATCH(MID(_xlpm.to,3,99),Equip_List,0)),ISNA(MATCH(_xlpm.to,Equip_List,0))),IF(_xlpm.pri,MID(_xlpm.to,3,99),_xlpm.to)))</f>
        <v/>
      </c>
      <c r="CK170" s="829" t="str" cm="1">
        <f t="array" ref="CK170">IF($CJ170="","",IF(IFERROR(INDEX(_xlfn.ANCHORARRAY($BE$4),ROW()-4,6),"")="EMERG","E",IF($CJ170&lt;&gt;$D170&amp;"","P","N")))</f>
        <v/>
      </c>
    </row>
    <row r="171" spans="1:89" ht="15" customHeight="1" x14ac:dyDescent="0.35">
      <c r="A171" s="821" t="str">
        <f t="shared" si="47"/>
        <v/>
      </c>
      <c r="B171" s="821" t="str" cm="1">
        <f t="array" ref="B171">IFERROR(IF(INDEX(_xlfn.ANCHORARRAY($BE$4),ROW()-4,2)="","","F-"&amp;INDEX(_xlfn.ANCHORARRAY($BE$4),ROW()-4,2)&amp;IF(IFERROR(INDEX(_xlfn.ANCHORARRAY($BE$4),ROW()-4,6),"")="EMERG","-E","")),"")</f>
        <v/>
      </c>
      <c r="C171" s="821" t="str" cm="1">
        <f t="array" ref="C171">IFERROR(IF($B171="","",INDEX(_xlfn.ANCHORARRAY($BE$4),ROW()-4,1)),"")</f>
        <v/>
      </c>
      <c r="D171" s="821" t="str" cm="1">
        <f t="array" ref="D171">IFERROR(IF($B171="","",INDEX(_xlfn.ANCHORARRAY($BE$4),ROW()-4,2)),"")</f>
        <v/>
      </c>
      <c r="E171" s="806" t="str" cm="1">
        <f t="array" ref="E171">IFERROR(IF($B171="","",INDEX(_xlfn.ANCHORARRAY($BE$4),ROW()-4,3)),"")</f>
        <v/>
      </c>
      <c r="F171" s="822" t="str" cm="1">
        <f t="array" ref="F171">IFERROR(IF($B171="","",INDEX(_xlfn.ANCHORARRAY($BE$4),ROW()-4,4)),"")</f>
        <v/>
      </c>
      <c r="G171" s="823" t="str" cm="1">
        <f t="array" ref="G171">IFERROR(IF($B171="","",INDEX(_xlfn.ANCHORARRAY($BE$4),ROW()-4,5)),"")</f>
        <v/>
      </c>
      <c r="H171" s="824" t="str" cm="1">
        <f t="array" ref="H171">IF($CJ171="","",_xlfn.LET(_xlpm.v,_xlfn.XLOOKUP($CJ171,Equip_List,IF($CK171="E",Equip_EmLen,IF($CK171="P",Equip_XfPriLen,Equip_FdrLen)),""),IF(_xlpm.v="","",_xlpm.v)))</f>
        <v/>
      </c>
      <c r="I171" s="806" t="str">
        <f t="shared" si="40"/>
        <v/>
      </c>
      <c r="J171" s="820"/>
      <c r="K171" s="806" t="str">
        <f>_xlfn.LET(_xlpm.k,IF($I171="","",IF(COUNTIF(UPS!$B$57:$B$64,$C171&amp;"")&gt;0,1.25*MAX($I171,N(_xlfn.XLOOKUP($C171&amp;"",UPS!$B$57:$B$64,UPS!$M$57:$M$64,0))),IF(COUNTIF(UPS!$B$57:$B$64,$D171&amp;"")&gt;0,1.25*MAX($I171,N(_xlfn.XLOOKUP($D171&amp;"",UPS!$B$57:$B$64,UPS!$Q$57:$Q$64,0))),$I171*IF(OR(UPPER($J171)="Y",LEFT($C171,2)="T-",LEFT($D171,2)="T-"),1.25,1)))),IF(_xlpm.k="","",MAX(_xlpm.k,N(IFERROR(_xlfn.XLOOKUP($D171&amp;"",Dashboard!$A$101:$A$350,Dashboard!$O$101:$O$350,0),0)))))</f>
        <v/>
      </c>
      <c r="L171" s="825" t="str">
        <f>IF($CJ171="","",_xlfn.LET(_xlpm.v,UPPER(TRIM(_xlfn.XLOOKUP($CJ171,Equip_List,Equip_FdrMat,"")&amp;"")),IF(_xlpm.v="",UPPER(TRIM(Cfg_FeederMat&amp;"")),_xlpm.v)))</f>
        <v/>
      </c>
      <c r="M171" s="825" t="str">
        <f>IF($CJ171="","",_xlfn.LET(_xlpm.v,TRIM(_xlfn.XLOOKUP($CJ171,Equip_List,Equip_FdrRace,"")&amp;""),IF(_xlpm.v="",Cfg_Conduit&amp;"",_xlpm.v)))</f>
        <v/>
      </c>
      <c r="N171" s="825" t="str">
        <f>IF($CJ171="","",IF(UPPER(TRIM(_xlfn.XLOOKUP($CJ171,Equip_List,Equip_FdrExist,"")&amp;""))="Y","Y",""))</f>
        <v/>
      </c>
      <c r="O171" s="823" t="str">
        <f t="shared" si="48"/>
        <v/>
      </c>
      <c r="P171" s="821" t="str">
        <f t="shared" si="49"/>
        <v/>
      </c>
      <c r="Q171" s="821" t="str">
        <f t="shared" si="50"/>
        <v/>
      </c>
      <c r="R171" s="822" t="str" cm="1">
        <f t="array" ref="R171">IF(K171="","",INDEX(OCPD_List,MATCH(TRUE,OCPD_List&gt;=K171,0)))</f>
        <v/>
      </c>
      <c r="S171" s="821" t="str">
        <f t="shared" si="51"/>
        <v/>
      </c>
      <c r="T171" s="826" t="str">
        <f t="shared" si="41"/>
        <v/>
      </c>
      <c r="U171" s="826" t="str">
        <f t="shared" si="42"/>
        <v/>
      </c>
      <c r="V171" s="827" t="str">
        <f t="shared" si="43"/>
        <v/>
      </c>
      <c r="W171" s="828"/>
      <c r="X171" s="819"/>
      <c r="Y171" s="820"/>
      <c r="Z171" s="820"/>
      <c r="AA171" s="820"/>
      <c r="BN171" s="832" t="str">
        <f>IF($B171="","",IFERROR(_xlfn.XLOOKUP($D171,Dashboard!$A$101:$A$350,Dashboard!$C$101:$C$350),""))</f>
        <v/>
      </c>
      <c r="BO171" s="832" t="str">
        <f t="shared" si="44"/>
        <v/>
      </c>
      <c r="BP171" s="832" t="str" cm="1">
        <f t="array" ref="BP171">IF(OR($B171="",$R171="",NOT(ISNUMBER($R171))),"",IF(AND($BV171="AL",$G171=1),"",_xlfn.LET(_xlpm.codes,IF($BV171="AL",Std_Al3_Code,IF($G171=1,Std_Cu1_Code,Std_Cu3_Code)),_xlpm.amps,IFERROR(--SUBSTITUTE(_xlpm.codes&amp;"","N",""),""),_xlpm.a,MIN(IF(ISNUMBER(_xlpm.amps),IF(_xlpm.amps&gt;=$R171,_xlpm.amps,""),"")),_xlpm.k,IF(_xlpm.a=0,$R171,_xlpm.a),IF($BO171="Y",TEXT(_xlpm.k,"0")&amp;"N",_xlpm.k))))</f>
        <v/>
      </c>
      <c r="BQ171" s="832" t="str" cm="1">
        <f t="array" ref="BQ171">IF($BP171="","",IFERROR(IF($BV171="AL",_xlfn.XLOOKUP($BP171,Std_Al3_Code,INDEX(Std_Al3_Table,0,3)),IF($G171=1,_xlfn.XLOOKUP($BP171,Std_Cu1_Code,INDEX(Std_Cu1_Table,0,3)),_xlfn.XLOOKUP($BP171,Std_Cu3_Code,INDEX(Std_Cu3_Table,0,3)))),""))</f>
        <v/>
      </c>
      <c r="BR171" s="832" t="str" cm="1">
        <f t="array" ref="BR171">IF($BP171="","",IFERROR(IF($BV171="AL",_xlfn.XLOOKUP($BP171,Std_Al3_Code,INDEX(Std_Al3_Table,0,4)),IF($G171=1,_xlfn.XLOOKUP($BP171,Std_Cu1_Code,INDEX(Std_Cu1_Table,0,4)),_xlfn.XLOOKUP($BP171,Std_Cu3_Code,INDEX(Std_Cu3_Table,0,4)))),""))</f>
        <v/>
      </c>
      <c r="BS171" s="832" t="str" cm="1">
        <f t="array" ref="BS171">IF($BP171="","",IFERROR(IF($BV171="AL",_xlfn.XLOOKUP($BP171,Std_Al3_Code,INDEX(Std_Al3_Table,0,5)),IF($G171=1,_xlfn.XLOOKUP($BP171,Std_Cu1_Code,INDEX(Std_Cu1_Table,0,5)),_xlfn.XLOOKUP($BP171,Std_Cu3_Code,INDEX(Std_Cu3_Table,0,5)))),""))</f>
        <v/>
      </c>
      <c r="BT171" s="832" t="str">
        <f t="shared" si="45"/>
        <v/>
      </c>
      <c r="BU171" s="832" t="str" cm="1">
        <f t="array" ref="BU171">IF($BP171="","",IFERROR(IF($BV171="AL",_xlfn.XLOOKUP($BP171,Std_Al3_Code,INDEX(Std_Al3_Table,0,2)),IF($G171=1,_xlfn.XLOOKUP($BP171,Std_Cu1_Code,INDEX(Std_Cu1_Table,0,2)),_xlfn.XLOOKUP($BP171,Std_Cu3_Code,INDEX(Std_Cu3_Table,0,2)))),""))</f>
        <v/>
      </c>
      <c r="BV171" s="829" t="str">
        <f t="shared" si="46"/>
        <v/>
      </c>
      <c r="BW171" s="829" t="str">
        <f t="shared" si="52"/>
        <v/>
      </c>
      <c r="BX171" s="829" t="str" cm="1">
        <f t="array" ref="BX171">IF(OR($BP171="",$H171="",$I171="",$F171="",$BW171=""),"",IFERROR(_xlfn.LET(_xlpm.codes,IF($BV171="AL",Std_Al3_Code,IF($G171=1,Std_Cu1_Code,Std_Cu3_Code)),_xlpm.tbl,IF($BV171="AL",Std_Al3_Table,IF($G171=1,Std_Cu1_Table,Std_Cu3_Table)),_xlpm.i,MATCH($BP171,_xlpm.codes,0),_xlpm.idx,_xlfn.SEQUENCE(ROWS(_xlpm.codes)),_xlpm.cnd,INDEX(_xlpm.tbl,0,4),_xlpm.sts,INDEX(_xlpm.tbl,0,2),_xlpm.sz,IFERROR(_xlfn.TEXTBEFORE(_xlfn.TEXTAFTER(_xlpm.cnd,"#"),","),IFERROR(_xlfn.TEXTAFTER(_xlpm.cnd,"#"),"")),_xlpm.cm,IFERROR(_xlfn.XLOOKUP(TRIM(_xlpm.sz),Ampacity_Size,Ampacity_CM),0),_xlpm.mult,IF($G171=3,SQRT3,2),_xlpm.kk,IF($BV171="AL",K_Al,K_Cu),_xlpm.vd,IF(_xlpm.cm*IF(ISNUMBER(_xlpm.sts),_xlpm.sts,0)=0,9,_xlpm.mult*_xlpm.kk*$I171*$H171/(_xlpm.cm*_xlpm.sts)/$F171),_xlpm.hasN,--(RIGHT(_xlpm.codes&amp;"",1)="N"),_xlpm.wantN,--(RIGHT($BP171&amp;"",1)="N"),_xlpm.ok,(_xlpm.idx&gt;=_xlpm.i)*(_xlpm.vd&lt;=Cfg_VDFeeder)*(_xlpm.cm&gt;0)*ISNUMBER(_xlpm.sts)*(_xlpm.hasN=_xlpm.wantN),_xlpm.m,MIN(IF(_xlpm.ok=1,_xlpm.idx)),INDEX(_xlpm.codes,IF(_xlpm.m=0,_xlpm.i,_xlpm.m))),""))</f>
        <v/>
      </c>
      <c r="BY171" s="829" t="str" cm="1">
        <f t="array" ref="BY171">IF($BP171="","",IF($BX171="",$BU171,IFERROR(IF($BV171="AL",_xlfn.XLOOKUP($BX171,Std_Al3_Code,INDEX(Std_Al3_Table,0,2)),IF($G171=1,_xlfn.XLOOKUP($BX171,Std_Cu1_Code,INDEX(Std_Cu1_Table,0,2)),_xlfn.XLOOKUP($BX171,Std_Cu3_Code,INDEX(Std_Cu3_Table,0,2)))),"")))</f>
        <v/>
      </c>
      <c r="BZ171" s="829" t="str" cm="1">
        <f t="array" ref="BZ171">IF($BP171="","",IF($BX171="",$BR171,IFERROR(IF($BV171="AL",_xlfn.XLOOKUP($BX171,Std_Al3_Code,INDEX(Std_Al3_Table,0,4)),IF($G171=1,_xlfn.XLOOKUP($BX171,Std_Cu1_Code,INDEX(Std_Cu1_Table,0,4)),_xlfn.XLOOKUP($BX171,Std_Cu3_Code,INDEX(Std_Cu3_Table,0,4)))),"")))</f>
        <v/>
      </c>
      <c r="CA171" s="829" t="str" cm="1">
        <f t="array" ref="CA171">IF($BP171="","",IF($BX171="",$BQ171,IFERROR(IF($BV171="AL",_xlfn.XLOOKUP($BX171,Std_Al3_Code,INDEX(Std_Al3_Table,0,3)),IF($G171=1,_xlfn.XLOOKUP($BX171,Std_Cu1_Code,INDEX(Std_Cu1_Table,0,3)),_xlfn.XLOOKUP($BX171,Std_Cu3_Code,INDEX(Std_Cu3_Table,0,3)))),"")))</f>
        <v/>
      </c>
      <c r="CB171" s="829" t="str" cm="1">
        <f t="array" ref="CB171">IF($BP171="","",IF($BX171="",$BS171,IFERROR(IF($BV171="AL",_xlfn.XLOOKUP($BX171,Std_Al3_Code,INDEX(Std_Al3_Table,0,5)),IF($G171=1,_xlfn.XLOOKUP($BX171,Std_Cu1_Code,INDEX(Std_Cu1_Table,0,5)),_xlfn.XLOOKUP($BX171,Std_Cu3_Code,INDEX(Std_Cu3_Table,0,5)))),"")))</f>
        <v/>
      </c>
      <c r="CC171" s="829" t="str">
        <f t="shared" si="53"/>
        <v/>
      </c>
      <c r="CD171" s="829" t="str">
        <f t="shared" si="54"/>
        <v/>
      </c>
      <c r="CE171" s="829" t="str">
        <f t="shared" si="55"/>
        <v/>
      </c>
      <c r="CF171" s="829" t="str">
        <f t="shared" si="56"/>
        <v/>
      </c>
      <c r="CG171" s="829" t="str">
        <f t="shared" si="57"/>
        <v/>
      </c>
      <c r="CH171" s="829" t="str">
        <f t="shared" si="58"/>
        <v/>
      </c>
      <c r="CI171" s="829" t="str">
        <f t="shared" si="59"/>
        <v/>
      </c>
      <c r="CJ171" s="829" t="str" cm="1">
        <f t="array" ref="CJ171">IF($B171="","",_xlfn.LET(_xlpm.to,$D171&amp;"",_xlpm.em,IFERROR(INDEX(_xlfn.ANCHORARRAY($BE$4),ROW()-4,6),"")="EMERG",_xlpm.pri,AND(NOT(_xlpm.em),LEFT(_xlpm.to,2)="T-",ISNUMBER(MATCH(MID(_xlpm.to,3,99),Equip_List,0)),ISNA(MATCH(_xlpm.to,Equip_List,0))),IF(_xlpm.pri,MID(_xlpm.to,3,99),_xlpm.to)))</f>
        <v/>
      </c>
      <c r="CK171" s="829" t="str" cm="1">
        <f t="array" ref="CK171">IF($CJ171="","",IF(IFERROR(INDEX(_xlfn.ANCHORARRAY($BE$4),ROW()-4,6),"")="EMERG","E",IF($CJ171&lt;&gt;$D171&amp;"","P","N")))</f>
        <v/>
      </c>
    </row>
    <row r="172" spans="1:89" ht="15" customHeight="1" x14ac:dyDescent="0.35">
      <c r="A172" s="821" t="str">
        <f t="shared" si="47"/>
        <v/>
      </c>
      <c r="B172" s="821" t="str" cm="1">
        <f t="array" ref="B172">IFERROR(IF(INDEX(_xlfn.ANCHORARRAY($BE$4),ROW()-4,2)="","","F-"&amp;INDEX(_xlfn.ANCHORARRAY($BE$4),ROW()-4,2)&amp;IF(IFERROR(INDEX(_xlfn.ANCHORARRAY($BE$4),ROW()-4,6),"")="EMERG","-E","")),"")</f>
        <v/>
      </c>
      <c r="C172" s="821" t="str" cm="1">
        <f t="array" ref="C172">IFERROR(IF($B172="","",INDEX(_xlfn.ANCHORARRAY($BE$4),ROW()-4,1)),"")</f>
        <v/>
      </c>
      <c r="D172" s="821" t="str" cm="1">
        <f t="array" ref="D172">IFERROR(IF($B172="","",INDEX(_xlfn.ANCHORARRAY($BE$4),ROW()-4,2)),"")</f>
        <v/>
      </c>
      <c r="E172" s="806" t="str" cm="1">
        <f t="array" ref="E172">IFERROR(IF($B172="","",INDEX(_xlfn.ANCHORARRAY($BE$4),ROW()-4,3)),"")</f>
        <v/>
      </c>
      <c r="F172" s="822" t="str" cm="1">
        <f t="array" ref="F172">IFERROR(IF($B172="","",INDEX(_xlfn.ANCHORARRAY($BE$4),ROW()-4,4)),"")</f>
        <v/>
      </c>
      <c r="G172" s="823" t="str" cm="1">
        <f t="array" ref="G172">IFERROR(IF($B172="","",INDEX(_xlfn.ANCHORARRAY($BE$4),ROW()-4,5)),"")</f>
        <v/>
      </c>
      <c r="H172" s="824" t="str" cm="1">
        <f t="array" ref="H172">IF($CJ172="","",_xlfn.LET(_xlpm.v,_xlfn.XLOOKUP($CJ172,Equip_List,IF($CK172="E",Equip_EmLen,IF($CK172="P",Equip_XfPriLen,Equip_FdrLen)),""),IF(_xlpm.v="","",_xlpm.v)))</f>
        <v/>
      </c>
      <c r="I172" s="806" t="str">
        <f t="shared" si="40"/>
        <v/>
      </c>
      <c r="J172" s="820"/>
      <c r="K172" s="806" t="str">
        <f>_xlfn.LET(_xlpm.k,IF($I172="","",IF(COUNTIF(UPS!$B$57:$B$64,$C172&amp;"")&gt;0,1.25*MAX($I172,N(_xlfn.XLOOKUP($C172&amp;"",UPS!$B$57:$B$64,UPS!$M$57:$M$64,0))),IF(COUNTIF(UPS!$B$57:$B$64,$D172&amp;"")&gt;0,1.25*MAX($I172,N(_xlfn.XLOOKUP($D172&amp;"",UPS!$B$57:$B$64,UPS!$Q$57:$Q$64,0))),$I172*IF(OR(UPPER($J172)="Y",LEFT($C172,2)="T-",LEFT($D172,2)="T-"),1.25,1)))),IF(_xlpm.k="","",MAX(_xlpm.k,N(IFERROR(_xlfn.XLOOKUP($D172&amp;"",Dashboard!$A$101:$A$350,Dashboard!$O$101:$O$350,0),0)))))</f>
        <v/>
      </c>
      <c r="L172" s="825" t="str">
        <f>IF($CJ172="","",_xlfn.LET(_xlpm.v,UPPER(TRIM(_xlfn.XLOOKUP($CJ172,Equip_List,Equip_FdrMat,"")&amp;"")),IF(_xlpm.v="",UPPER(TRIM(Cfg_FeederMat&amp;"")),_xlpm.v)))</f>
        <v/>
      </c>
      <c r="M172" s="825" t="str">
        <f>IF($CJ172="","",_xlfn.LET(_xlpm.v,TRIM(_xlfn.XLOOKUP($CJ172,Equip_List,Equip_FdrRace,"")&amp;""),IF(_xlpm.v="",Cfg_Conduit&amp;"",_xlpm.v)))</f>
        <v/>
      </c>
      <c r="N172" s="825" t="str">
        <f>IF($CJ172="","",IF(UPPER(TRIM(_xlfn.XLOOKUP($CJ172,Equip_List,Equip_FdrExist,"")&amp;""))="Y","Y",""))</f>
        <v/>
      </c>
      <c r="O172" s="823" t="str">
        <f t="shared" si="48"/>
        <v/>
      </c>
      <c r="P172" s="821" t="str">
        <f t="shared" si="49"/>
        <v/>
      </c>
      <c r="Q172" s="821" t="str">
        <f t="shared" si="50"/>
        <v/>
      </c>
      <c r="R172" s="822" t="str" cm="1">
        <f t="array" ref="R172">IF(K172="","",INDEX(OCPD_List,MATCH(TRUE,OCPD_List&gt;=K172,0)))</f>
        <v/>
      </c>
      <c r="S172" s="821" t="str">
        <f t="shared" si="51"/>
        <v/>
      </c>
      <c r="T172" s="826" t="str">
        <f t="shared" si="41"/>
        <v/>
      </c>
      <c r="U172" s="826" t="str">
        <f t="shared" si="42"/>
        <v/>
      </c>
      <c r="V172" s="827" t="str">
        <f t="shared" si="43"/>
        <v/>
      </c>
      <c r="W172" s="828"/>
      <c r="X172" s="819"/>
      <c r="Y172" s="820"/>
      <c r="Z172" s="820"/>
      <c r="AA172" s="820"/>
      <c r="BN172" s="832" t="str">
        <f>IF($B172="","",IFERROR(_xlfn.XLOOKUP($D172,Dashboard!$A$101:$A$350,Dashboard!$C$101:$C$350),""))</f>
        <v/>
      </c>
      <c r="BO172" s="832" t="str">
        <f t="shared" si="44"/>
        <v/>
      </c>
      <c r="BP172" s="832" t="str" cm="1">
        <f t="array" ref="BP172">IF(OR($B172="",$R172="",NOT(ISNUMBER($R172))),"",IF(AND($BV172="AL",$G172=1),"",_xlfn.LET(_xlpm.codes,IF($BV172="AL",Std_Al3_Code,IF($G172=1,Std_Cu1_Code,Std_Cu3_Code)),_xlpm.amps,IFERROR(--SUBSTITUTE(_xlpm.codes&amp;"","N",""),""),_xlpm.a,MIN(IF(ISNUMBER(_xlpm.amps),IF(_xlpm.amps&gt;=$R172,_xlpm.amps,""),"")),_xlpm.k,IF(_xlpm.a=0,$R172,_xlpm.a),IF($BO172="Y",TEXT(_xlpm.k,"0")&amp;"N",_xlpm.k))))</f>
        <v/>
      </c>
      <c r="BQ172" s="832" t="str" cm="1">
        <f t="array" ref="BQ172">IF($BP172="","",IFERROR(IF($BV172="AL",_xlfn.XLOOKUP($BP172,Std_Al3_Code,INDEX(Std_Al3_Table,0,3)),IF($G172=1,_xlfn.XLOOKUP($BP172,Std_Cu1_Code,INDEX(Std_Cu1_Table,0,3)),_xlfn.XLOOKUP($BP172,Std_Cu3_Code,INDEX(Std_Cu3_Table,0,3)))),""))</f>
        <v/>
      </c>
      <c r="BR172" s="832" t="str" cm="1">
        <f t="array" ref="BR172">IF($BP172="","",IFERROR(IF($BV172="AL",_xlfn.XLOOKUP($BP172,Std_Al3_Code,INDEX(Std_Al3_Table,0,4)),IF($G172=1,_xlfn.XLOOKUP($BP172,Std_Cu1_Code,INDEX(Std_Cu1_Table,0,4)),_xlfn.XLOOKUP($BP172,Std_Cu3_Code,INDEX(Std_Cu3_Table,0,4)))),""))</f>
        <v/>
      </c>
      <c r="BS172" s="832" t="str" cm="1">
        <f t="array" ref="BS172">IF($BP172="","",IFERROR(IF($BV172="AL",_xlfn.XLOOKUP($BP172,Std_Al3_Code,INDEX(Std_Al3_Table,0,5)),IF($G172=1,_xlfn.XLOOKUP($BP172,Std_Cu1_Code,INDEX(Std_Cu1_Table,0,5)),_xlfn.XLOOKUP($BP172,Std_Cu3_Code,INDEX(Std_Cu3_Table,0,5)))),""))</f>
        <v/>
      </c>
      <c r="BT172" s="832" t="str">
        <f t="shared" si="45"/>
        <v/>
      </c>
      <c r="BU172" s="832" t="str" cm="1">
        <f t="array" ref="BU172">IF($BP172="","",IFERROR(IF($BV172="AL",_xlfn.XLOOKUP($BP172,Std_Al3_Code,INDEX(Std_Al3_Table,0,2)),IF($G172=1,_xlfn.XLOOKUP($BP172,Std_Cu1_Code,INDEX(Std_Cu1_Table,0,2)),_xlfn.XLOOKUP($BP172,Std_Cu3_Code,INDEX(Std_Cu3_Table,0,2)))),""))</f>
        <v/>
      </c>
      <c r="BV172" s="829" t="str">
        <f t="shared" si="46"/>
        <v/>
      </c>
      <c r="BW172" s="829" t="str">
        <f t="shared" si="52"/>
        <v/>
      </c>
      <c r="BX172" s="829" t="str" cm="1">
        <f t="array" ref="BX172">IF(OR($BP172="",$H172="",$I172="",$F172="",$BW172=""),"",IFERROR(_xlfn.LET(_xlpm.codes,IF($BV172="AL",Std_Al3_Code,IF($G172=1,Std_Cu1_Code,Std_Cu3_Code)),_xlpm.tbl,IF($BV172="AL",Std_Al3_Table,IF($G172=1,Std_Cu1_Table,Std_Cu3_Table)),_xlpm.i,MATCH($BP172,_xlpm.codes,0),_xlpm.idx,_xlfn.SEQUENCE(ROWS(_xlpm.codes)),_xlpm.cnd,INDEX(_xlpm.tbl,0,4),_xlpm.sts,INDEX(_xlpm.tbl,0,2),_xlpm.sz,IFERROR(_xlfn.TEXTBEFORE(_xlfn.TEXTAFTER(_xlpm.cnd,"#"),","),IFERROR(_xlfn.TEXTAFTER(_xlpm.cnd,"#"),"")),_xlpm.cm,IFERROR(_xlfn.XLOOKUP(TRIM(_xlpm.sz),Ampacity_Size,Ampacity_CM),0),_xlpm.mult,IF($G172=3,SQRT3,2),_xlpm.kk,IF($BV172="AL",K_Al,K_Cu),_xlpm.vd,IF(_xlpm.cm*IF(ISNUMBER(_xlpm.sts),_xlpm.sts,0)=0,9,_xlpm.mult*_xlpm.kk*$I172*$H172/(_xlpm.cm*_xlpm.sts)/$F172),_xlpm.hasN,--(RIGHT(_xlpm.codes&amp;"",1)="N"),_xlpm.wantN,--(RIGHT($BP172&amp;"",1)="N"),_xlpm.ok,(_xlpm.idx&gt;=_xlpm.i)*(_xlpm.vd&lt;=Cfg_VDFeeder)*(_xlpm.cm&gt;0)*ISNUMBER(_xlpm.sts)*(_xlpm.hasN=_xlpm.wantN),_xlpm.m,MIN(IF(_xlpm.ok=1,_xlpm.idx)),INDEX(_xlpm.codes,IF(_xlpm.m=0,_xlpm.i,_xlpm.m))),""))</f>
        <v/>
      </c>
      <c r="BY172" s="829" t="str" cm="1">
        <f t="array" ref="BY172">IF($BP172="","",IF($BX172="",$BU172,IFERROR(IF($BV172="AL",_xlfn.XLOOKUP($BX172,Std_Al3_Code,INDEX(Std_Al3_Table,0,2)),IF($G172=1,_xlfn.XLOOKUP($BX172,Std_Cu1_Code,INDEX(Std_Cu1_Table,0,2)),_xlfn.XLOOKUP($BX172,Std_Cu3_Code,INDEX(Std_Cu3_Table,0,2)))),"")))</f>
        <v/>
      </c>
      <c r="BZ172" s="829" t="str" cm="1">
        <f t="array" ref="BZ172">IF($BP172="","",IF($BX172="",$BR172,IFERROR(IF($BV172="AL",_xlfn.XLOOKUP($BX172,Std_Al3_Code,INDEX(Std_Al3_Table,0,4)),IF($G172=1,_xlfn.XLOOKUP($BX172,Std_Cu1_Code,INDEX(Std_Cu1_Table,0,4)),_xlfn.XLOOKUP($BX172,Std_Cu3_Code,INDEX(Std_Cu3_Table,0,4)))),"")))</f>
        <v/>
      </c>
      <c r="CA172" s="829" t="str" cm="1">
        <f t="array" ref="CA172">IF($BP172="","",IF($BX172="",$BQ172,IFERROR(IF($BV172="AL",_xlfn.XLOOKUP($BX172,Std_Al3_Code,INDEX(Std_Al3_Table,0,3)),IF($G172=1,_xlfn.XLOOKUP($BX172,Std_Cu1_Code,INDEX(Std_Cu1_Table,0,3)),_xlfn.XLOOKUP($BX172,Std_Cu3_Code,INDEX(Std_Cu3_Table,0,3)))),"")))</f>
        <v/>
      </c>
      <c r="CB172" s="829" t="str" cm="1">
        <f t="array" ref="CB172">IF($BP172="","",IF($BX172="",$BS172,IFERROR(IF($BV172="AL",_xlfn.XLOOKUP($BX172,Std_Al3_Code,INDEX(Std_Al3_Table,0,5)),IF($G172=1,_xlfn.XLOOKUP($BX172,Std_Cu1_Code,INDEX(Std_Cu1_Table,0,5)),_xlfn.XLOOKUP($BX172,Std_Cu3_Code,INDEX(Std_Cu3_Table,0,5)))),"")))</f>
        <v/>
      </c>
      <c r="CC172" s="829" t="str">
        <f t="shared" si="53"/>
        <v/>
      </c>
      <c r="CD172" s="829" t="str">
        <f t="shared" si="54"/>
        <v/>
      </c>
      <c r="CE172" s="829" t="str">
        <f t="shared" si="55"/>
        <v/>
      </c>
      <c r="CF172" s="829" t="str">
        <f t="shared" si="56"/>
        <v/>
      </c>
      <c r="CG172" s="829" t="str">
        <f t="shared" si="57"/>
        <v/>
      </c>
      <c r="CH172" s="829" t="str">
        <f t="shared" si="58"/>
        <v/>
      </c>
      <c r="CI172" s="829" t="str">
        <f t="shared" si="59"/>
        <v/>
      </c>
      <c r="CJ172" s="829" t="str" cm="1">
        <f t="array" ref="CJ172">IF($B172="","",_xlfn.LET(_xlpm.to,$D172&amp;"",_xlpm.em,IFERROR(INDEX(_xlfn.ANCHORARRAY($BE$4),ROW()-4,6),"")="EMERG",_xlpm.pri,AND(NOT(_xlpm.em),LEFT(_xlpm.to,2)="T-",ISNUMBER(MATCH(MID(_xlpm.to,3,99),Equip_List,0)),ISNA(MATCH(_xlpm.to,Equip_List,0))),IF(_xlpm.pri,MID(_xlpm.to,3,99),_xlpm.to)))</f>
        <v/>
      </c>
      <c r="CK172" s="829" t="str" cm="1">
        <f t="array" ref="CK172">IF($CJ172="","",IF(IFERROR(INDEX(_xlfn.ANCHORARRAY($BE$4),ROW()-4,6),"")="EMERG","E",IF($CJ172&lt;&gt;$D172&amp;"","P","N")))</f>
        <v/>
      </c>
    </row>
    <row r="173" spans="1:89" ht="15" customHeight="1" x14ac:dyDescent="0.35">
      <c r="A173" s="821" t="str">
        <f t="shared" si="47"/>
        <v/>
      </c>
      <c r="B173" s="821" t="str" cm="1">
        <f t="array" ref="B173">IFERROR(IF(INDEX(_xlfn.ANCHORARRAY($BE$4),ROW()-4,2)="","","F-"&amp;INDEX(_xlfn.ANCHORARRAY($BE$4),ROW()-4,2)&amp;IF(IFERROR(INDEX(_xlfn.ANCHORARRAY($BE$4),ROW()-4,6),"")="EMERG","-E","")),"")</f>
        <v/>
      </c>
      <c r="C173" s="821" t="str" cm="1">
        <f t="array" ref="C173">IFERROR(IF($B173="","",INDEX(_xlfn.ANCHORARRAY($BE$4),ROW()-4,1)),"")</f>
        <v/>
      </c>
      <c r="D173" s="821" t="str" cm="1">
        <f t="array" ref="D173">IFERROR(IF($B173="","",INDEX(_xlfn.ANCHORARRAY($BE$4),ROW()-4,2)),"")</f>
        <v/>
      </c>
      <c r="E173" s="806" t="str" cm="1">
        <f t="array" ref="E173">IFERROR(IF($B173="","",INDEX(_xlfn.ANCHORARRAY($BE$4),ROW()-4,3)),"")</f>
        <v/>
      </c>
      <c r="F173" s="822" t="str" cm="1">
        <f t="array" ref="F173">IFERROR(IF($B173="","",INDEX(_xlfn.ANCHORARRAY($BE$4),ROW()-4,4)),"")</f>
        <v/>
      </c>
      <c r="G173" s="823" t="str" cm="1">
        <f t="array" ref="G173">IFERROR(IF($B173="","",INDEX(_xlfn.ANCHORARRAY($BE$4),ROW()-4,5)),"")</f>
        <v/>
      </c>
      <c r="H173" s="824" t="str" cm="1">
        <f t="array" ref="H173">IF($CJ173="","",_xlfn.LET(_xlpm.v,_xlfn.XLOOKUP($CJ173,Equip_List,IF($CK173="E",Equip_EmLen,IF($CK173="P",Equip_XfPriLen,Equip_FdrLen)),""),IF(_xlpm.v="","",_xlpm.v)))</f>
        <v/>
      </c>
      <c r="I173" s="806" t="str">
        <f t="shared" si="40"/>
        <v/>
      </c>
      <c r="J173" s="820"/>
      <c r="K173" s="806" t="str">
        <f>_xlfn.LET(_xlpm.k,IF($I173="","",IF(COUNTIF(UPS!$B$57:$B$64,$C173&amp;"")&gt;0,1.25*MAX($I173,N(_xlfn.XLOOKUP($C173&amp;"",UPS!$B$57:$B$64,UPS!$M$57:$M$64,0))),IF(COUNTIF(UPS!$B$57:$B$64,$D173&amp;"")&gt;0,1.25*MAX($I173,N(_xlfn.XLOOKUP($D173&amp;"",UPS!$B$57:$B$64,UPS!$Q$57:$Q$64,0))),$I173*IF(OR(UPPER($J173)="Y",LEFT($C173,2)="T-",LEFT($D173,2)="T-"),1.25,1)))),IF(_xlpm.k="","",MAX(_xlpm.k,N(IFERROR(_xlfn.XLOOKUP($D173&amp;"",Dashboard!$A$101:$A$350,Dashboard!$O$101:$O$350,0),0)))))</f>
        <v/>
      </c>
      <c r="L173" s="825" t="str">
        <f>IF($CJ173="","",_xlfn.LET(_xlpm.v,UPPER(TRIM(_xlfn.XLOOKUP($CJ173,Equip_List,Equip_FdrMat,"")&amp;"")),IF(_xlpm.v="",UPPER(TRIM(Cfg_FeederMat&amp;"")),_xlpm.v)))</f>
        <v/>
      </c>
      <c r="M173" s="825" t="str">
        <f>IF($CJ173="","",_xlfn.LET(_xlpm.v,TRIM(_xlfn.XLOOKUP($CJ173,Equip_List,Equip_FdrRace,"")&amp;""),IF(_xlpm.v="",Cfg_Conduit&amp;"",_xlpm.v)))</f>
        <v/>
      </c>
      <c r="N173" s="825" t="str">
        <f>IF($CJ173="","",IF(UPPER(TRIM(_xlfn.XLOOKUP($CJ173,Equip_List,Equip_FdrExist,"")&amp;""))="Y","Y",""))</f>
        <v/>
      </c>
      <c r="O173" s="823" t="str">
        <f t="shared" si="48"/>
        <v/>
      </c>
      <c r="P173" s="821" t="str">
        <f t="shared" si="49"/>
        <v/>
      </c>
      <c r="Q173" s="821" t="str">
        <f t="shared" si="50"/>
        <v/>
      </c>
      <c r="R173" s="822" t="str" cm="1">
        <f t="array" ref="R173">IF(K173="","",INDEX(OCPD_List,MATCH(TRUE,OCPD_List&gt;=K173,0)))</f>
        <v/>
      </c>
      <c r="S173" s="821" t="str">
        <f t="shared" si="51"/>
        <v/>
      </c>
      <c r="T173" s="826" t="str">
        <f t="shared" si="41"/>
        <v/>
      </c>
      <c r="U173" s="826" t="str">
        <f t="shared" si="42"/>
        <v/>
      </c>
      <c r="V173" s="827" t="str">
        <f t="shared" si="43"/>
        <v/>
      </c>
      <c r="W173" s="828"/>
      <c r="X173" s="819"/>
      <c r="Y173" s="820"/>
      <c r="Z173" s="820"/>
      <c r="AA173" s="820"/>
      <c r="BN173" s="832" t="str">
        <f>IF($B173="","",IFERROR(_xlfn.XLOOKUP($D173,Dashboard!$A$101:$A$350,Dashboard!$C$101:$C$350),""))</f>
        <v/>
      </c>
      <c r="BO173" s="832" t="str">
        <f t="shared" si="44"/>
        <v/>
      </c>
      <c r="BP173" s="832" t="str" cm="1">
        <f t="array" ref="BP173">IF(OR($B173="",$R173="",NOT(ISNUMBER($R173))),"",IF(AND($BV173="AL",$G173=1),"",_xlfn.LET(_xlpm.codes,IF($BV173="AL",Std_Al3_Code,IF($G173=1,Std_Cu1_Code,Std_Cu3_Code)),_xlpm.amps,IFERROR(--SUBSTITUTE(_xlpm.codes&amp;"","N",""),""),_xlpm.a,MIN(IF(ISNUMBER(_xlpm.amps),IF(_xlpm.amps&gt;=$R173,_xlpm.amps,""),"")),_xlpm.k,IF(_xlpm.a=0,$R173,_xlpm.a),IF($BO173="Y",TEXT(_xlpm.k,"0")&amp;"N",_xlpm.k))))</f>
        <v/>
      </c>
      <c r="BQ173" s="832" t="str" cm="1">
        <f t="array" ref="BQ173">IF($BP173="","",IFERROR(IF($BV173="AL",_xlfn.XLOOKUP($BP173,Std_Al3_Code,INDEX(Std_Al3_Table,0,3)),IF($G173=1,_xlfn.XLOOKUP($BP173,Std_Cu1_Code,INDEX(Std_Cu1_Table,0,3)),_xlfn.XLOOKUP($BP173,Std_Cu3_Code,INDEX(Std_Cu3_Table,0,3)))),""))</f>
        <v/>
      </c>
      <c r="BR173" s="832" t="str" cm="1">
        <f t="array" ref="BR173">IF($BP173="","",IFERROR(IF($BV173="AL",_xlfn.XLOOKUP($BP173,Std_Al3_Code,INDEX(Std_Al3_Table,0,4)),IF($G173=1,_xlfn.XLOOKUP($BP173,Std_Cu1_Code,INDEX(Std_Cu1_Table,0,4)),_xlfn.XLOOKUP($BP173,Std_Cu3_Code,INDEX(Std_Cu3_Table,0,4)))),""))</f>
        <v/>
      </c>
      <c r="BS173" s="832" t="str" cm="1">
        <f t="array" ref="BS173">IF($BP173="","",IFERROR(IF($BV173="AL",_xlfn.XLOOKUP($BP173,Std_Al3_Code,INDEX(Std_Al3_Table,0,5)),IF($G173=1,_xlfn.XLOOKUP($BP173,Std_Cu1_Code,INDEX(Std_Cu1_Table,0,5)),_xlfn.XLOOKUP($BP173,Std_Cu3_Code,INDEX(Std_Cu3_Table,0,5)))),""))</f>
        <v/>
      </c>
      <c r="BT173" s="832" t="str">
        <f t="shared" si="45"/>
        <v/>
      </c>
      <c r="BU173" s="832" t="str" cm="1">
        <f t="array" ref="BU173">IF($BP173="","",IFERROR(IF($BV173="AL",_xlfn.XLOOKUP($BP173,Std_Al3_Code,INDEX(Std_Al3_Table,0,2)),IF($G173=1,_xlfn.XLOOKUP($BP173,Std_Cu1_Code,INDEX(Std_Cu1_Table,0,2)),_xlfn.XLOOKUP($BP173,Std_Cu3_Code,INDEX(Std_Cu3_Table,0,2)))),""))</f>
        <v/>
      </c>
      <c r="BV173" s="829" t="str">
        <f t="shared" si="46"/>
        <v/>
      </c>
      <c r="BW173" s="829" t="str">
        <f t="shared" si="52"/>
        <v/>
      </c>
      <c r="BX173" s="829" t="str" cm="1">
        <f t="array" ref="BX173">IF(OR($BP173="",$H173="",$I173="",$F173="",$BW173=""),"",IFERROR(_xlfn.LET(_xlpm.codes,IF($BV173="AL",Std_Al3_Code,IF($G173=1,Std_Cu1_Code,Std_Cu3_Code)),_xlpm.tbl,IF($BV173="AL",Std_Al3_Table,IF($G173=1,Std_Cu1_Table,Std_Cu3_Table)),_xlpm.i,MATCH($BP173,_xlpm.codes,0),_xlpm.idx,_xlfn.SEQUENCE(ROWS(_xlpm.codes)),_xlpm.cnd,INDEX(_xlpm.tbl,0,4),_xlpm.sts,INDEX(_xlpm.tbl,0,2),_xlpm.sz,IFERROR(_xlfn.TEXTBEFORE(_xlfn.TEXTAFTER(_xlpm.cnd,"#"),","),IFERROR(_xlfn.TEXTAFTER(_xlpm.cnd,"#"),"")),_xlpm.cm,IFERROR(_xlfn.XLOOKUP(TRIM(_xlpm.sz),Ampacity_Size,Ampacity_CM),0),_xlpm.mult,IF($G173=3,SQRT3,2),_xlpm.kk,IF($BV173="AL",K_Al,K_Cu),_xlpm.vd,IF(_xlpm.cm*IF(ISNUMBER(_xlpm.sts),_xlpm.sts,0)=0,9,_xlpm.mult*_xlpm.kk*$I173*$H173/(_xlpm.cm*_xlpm.sts)/$F173),_xlpm.hasN,--(RIGHT(_xlpm.codes&amp;"",1)="N"),_xlpm.wantN,--(RIGHT($BP173&amp;"",1)="N"),_xlpm.ok,(_xlpm.idx&gt;=_xlpm.i)*(_xlpm.vd&lt;=Cfg_VDFeeder)*(_xlpm.cm&gt;0)*ISNUMBER(_xlpm.sts)*(_xlpm.hasN=_xlpm.wantN),_xlpm.m,MIN(IF(_xlpm.ok=1,_xlpm.idx)),INDEX(_xlpm.codes,IF(_xlpm.m=0,_xlpm.i,_xlpm.m))),""))</f>
        <v/>
      </c>
      <c r="BY173" s="829" t="str" cm="1">
        <f t="array" ref="BY173">IF($BP173="","",IF($BX173="",$BU173,IFERROR(IF($BV173="AL",_xlfn.XLOOKUP($BX173,Std_Al3_Code,INDEX(Std_Al3_Table,0,2)),IF($G173=1,_xlfn.XLOOKUP($BX173,Std_Cu1_Code,INDEX(Std_Cu1_Table,0,2)),_xlfn.XLOOKUP($BX173,Std_Cu3_Code,INDEX(Std_Cu3_Table,0,2)))),"")))</f>
        <v/>
      </c>
      <c r="BZ173" s="829" t="str" cm="1">
        <f t="array" ref="BZ173">IF($BP173="","",IF($BX173="",$BR173,IFERROR(IF($BV173="AL",_xlfn.XLOOKUP($BX173,Std_Al3_Code,INDEX(Std_Al3_Table,0,4)),IF($G173=1,_xlfn.XLOOKUP($BX173,Std_Cu1_Code,INDEX(Std_Cu1_Table,0,4)),_xlfn.XLOOKUP($BX173,Std_Cu3_Code,INDEX(Std_Cu3_Table,0,4)))),"")))</f>
        <v/>
      </c>
      <c r="CA173" s="829" t="str" cm="1">
        <f t="array" ref="CA173">IF($BP173="","",IF($BX173="",$BQ173,IFERROR(IF($BV173="AL",_xlfn.XLOOKUP($BX173,Std_Al3_Code,INDEX(Std_Al3_Table,0,3)),IF($G173=1,_xlfn.XLOOKUP($BX173,Std_Cu1_Code,INDEX(Std_Cu1_Table,0,3)),_xlfn.XLOOKUP($BX173,Std_Cu3_Code,INDEX(Std_Cu3_Table,0,3)))),"")))</f>
        <v/>
      </c>
      <c r="CB173" s="829" t="str" cm="1">
        <f t="array" ref="CB173">IF($BP173="","",IF($BX173="",$BS173,IFERROR(IF($BV173="AL",_xlfn.XLOOKUP($BX173,Std_Al3_Code,INDEX(Std_Al3_Table,0,5)),IF($G173=1,_xlfn.XLOOKUP($BX173,Std_Cu1_Code,INDEX(Std_Cu1_Table,0,5)),_xlfn.XLOOKUP($BX173,Std_Cu3_Code,INDEX(Std_Cu3_Table,0,5)))),"")))</f>
        <v/>
      </c>
      <c r="CC173" s="829" t="str">
        <f t="shared" si="53"/>
        <v/>
      </c>
      <c r="CD173" s="829" t="str">
        <f t="shared" si="54"/>
        <v/>
      </c>
      <c r="CE173" s="829" t="str">
        <f t="shared" si="55"/>
        <v/>
      </c>
      <c r="CF173" s="829" t="str">
        <f t="shared" si="56"/>
        <v/>
      </c>
      <c r="CG173" s="829" t="str">
        <f t="shared" si="57"/>
        <v/>
      </c>
      <c r="CH173" s="829" t="str">
        <f t="shared" si="58"/>
        <v/>
      </c>
      <c r="CI173" s="829" t="str">
        <f t="shared" si="59"/>
        <v/>
      </c>
      <c r="CJ173" s="829" t="str" cm="1">
        <f t="array" ref="CJ173">IF($B173="","",_xlfn.LET(_xlpm.to,$D173&amp;"",_xlpm.em,IFERROR(INDEX(_xlfn.ANCHORARRAY($BE$4),ROW()-4,6),"")="EMERG",_xlpm.pri,AND(NOT(_xlpm.em),LEFT(_xlpm.to,2)="T-",ISNUMBER(MATCH(MID(_xlpm.to,3,99),Equip_List,0)),ISNA(MATCH(_xlpm.to,Equip_List,0))),IF(_xlpm.pri,MID(_xlpm.to,3,99),_xlpm.to)))</f>
        <v/>
      </c>
      <c r="CK173" s="829" t="str" cm="1">
        <f t="array" ref="CK173">IF($CJ173="","",IF(IFERROR(INDEX(_xlfn.ANCHORARRAY($BE$4),ROW()-4,6),"")="EMERG","E",IF($CJ173&lt;&gt;$D173&amp;"","P","N")))</f>
        <v/>
      </c>
    </row>
    <row r="174" spans="1:89" ht="15" customHeight="1" x14ac:dyDescent="0.35">
      <c r="A174" s="821" t="str">
        <f t="shared" si="47"/>
        <v/>
      </c>
      <c r="B174" s="821" t="str" cm="1">
        <f t="array" ref="B174">IFERROR(IF(INDEX(_xlfn.ANCHORARRAY($BE$4),ROW()-4,2)="","","F-"&amp;INDEX(_xlfn.ANCHORARRAY($BE$4),ROW()-4,2)&amp;IF(IFERROR(INDEX(_xlfn.ANCHORARRAY($BE$4),ROW()-4,6),"")="EMERG","-E","")),"")</f>
        <v/>
      </c>
      <c r="C174" s="821" t="str" cm="1">
        <f t="array" ref="C174">IFERROR(IF($B174="","",INDEX(_xlfn.ANCHORARRAY($BE$4),ROW()-4,1)),"")</f>
        <v/>
      </c>
      <c r="D174" s="821" t="str" cm="1">
        <f t="array" ref="D174">IFERROR(IF($B174="","",INDEX(_xlfn.ANCHORARRAY($BE$4),ROW()-4,2)),"")</f>
        <v/>
      </c>
      <c r="E174" s="806" t="str" cm="1">
        <f t="array" ref="E174">IFERROR(IF($B174="","",INDEX(_xlfn.ANCHORARRAY($BE$4),ROW()-4,3)),"")</f>
        <v/>
      </c>
      <c r="F174" s="822" t="str" cm="1">
        <f t="array" ref="F174">IFERROR(IF($B174="","",INDEX(_xlfn.ANCHORARRAY($BE$4),ROW()-4,4)),"")</f>
        <v/>
      </c>
      <c r="G174" s="823" t="str" cm="1">
        <f t="array" ref="G174">IFERROR(IF($B174="","",INDEX(_xlfn.ANCHORARRAY($BE$4),ROW()-4,5)),"")</f>
        <v/>
      </c>
      <c r="H174" s="824" t="str" cm="1">
        <f t="array" ref="H174">IF($CJ174="","",_xlfn.LET(_xlpm.v,_xlfn.XLOOKUP($CJ174,Equip_List,IF($CK174="E",Equip_EmLen,IF($CK174="P",Equip_XfPriLen,Equip_FdrLen)),""),IF(_xlpm.v="","",_xlpm.v)))</f>
        <v/>
      </c>
      <c r="I174" s="806" t="str">
        <f t="shared" si="40"/>
        <v/>
      </c>
      <c r="J174" s="820"/>
      <c r="K174" s="806" t="str">
        <f>_xlfn.LET(_xlpm.k,IF($I174="","",IF(COUNTIF(UPS!$B$57:$B$64,$C174&amp;"")&gt;0,1.25*MAX($I174,N(_xlfn.XLOOKUP($C174&amp;"",UPS!$B$57:$B$64,UPS!$M$57:$M$64,0))),IF(COUNTIF(UPS!$B$57:$B$64,$D174&amp;"")&gt;0,1.25*MAX($I174,N(_xlfn.XLOOKUP($D174&amp;"",UPS!$B$57:$B$64,UPS!$Q$57:$Q$64,0))),$I174*IF(OR(UPPER($J174)="Y",LEFT($C174,2)="T-",LEFT($D174,2)="T-"),1.25,1)))),IF(_xlpm.k="","",MAX(_xlpm.k,N(IFERROR(_xlfn.XLOOKUP($D174&amp;"",Dashboard!$A$101:$A$350,Dashboard!$O$101:$O$350,0),0)))))</f>
        <v/>
      </c>
      <c r="L174" s="825" t="str">
        <f>IF($CJ174="","",_xlfn.LET(_xlpm.v,UPPER(TRIM(_xlfn.XLOOKUP($CJ174,Equip_List,Equip_FdrMat,"")&amp;"")),IF(_xlpm.v="",UPPER(TRIM(Cfg_FeederMat&amp;"")),_xlpm.v)))</f>
        <v/>
      </c>
      <c r="M174" s="825" t="str">
        <f>IF($CJ174="","",_xlfn.LET(_xlpm.v,TRIM(_xlfn.XLOOKUP($CJ174,Equip_List,Equip_FdrRace,"")&amp;""),IF(_xlpm.v="",Cfg_Conduit&amp;"",_xlpm.v)))</f>
        <v/>
      </c>
      <c r="N174" s="825" t="str">
        <f>IF($CJ174="","",IF(UPPER(TRIM(_xlfn.XLOOKUP($CJ174,Equip_List,Equip_FdrExist,"")&amp;""))="Y","Y",""))</f>
        <v/>
      </c>
      <c r="O174" s="823" t="str">
        <f t="shared" si="48"/>
        <v/>
      </c>
      <c r="P174" s="821" t="str">
        <f t="shared" si="49"/>
        <v/>
      </c>
      <c r="Q174" s="821" t="str">
        <f t="shared" si="50"/>
        <v/>
      </c>
      <c r="R174" s="822" t="str" cm="1">
        <f t="array" ref="R174">IF(K174="","",INDEX(OCPD_List,MATCH(TRUE,OCPD_List&gt;=K174,0)))</f>
        <v/>
      </c>
      <c r="S174" s="821" t="str">
        <f t="shared" si="51"/>
        <v/>
      </c>
      <c r="T174" s="826" t="str">
        <f t="shared" si="41"/>
        <v/>
      </c>
      <c r="U174" s="826" t="str">
        <f t="shared" si="42"/>
        <v/>
      </c>
      <c r="V174" s="827" t="str">
        <f t="shared" si="43"/>
        <v/>
      </c>
      <c r="W174" s="828"/>
      <c r="X174" s="819"/>
      <c r="Y174" s="820"/>
      <c r="Z174" s="820"/>
      <c r="AA174" s="820"/>
      <c r="BN174" s="832" t="str">
        <f>IF($B174="","",IFERROR(_xlfn.XLOOKUP($D174,Dashboard!$A$101:$A$350,Dashboard!$C$101:$C$350),""))</f>
        <v/>
      </c>
      <c r="BO174" s="832" t="str">
        <f t="shared" si="44"/>
        <v/>
      </c>
      <c r="BP174" s="832" t="str" cm="1">
        <f t="array" ref="BP174">IF(OR($B174="",$R174="",NOT(ISNUMBER($R174))),"",IF(AND($BV174="AL",$G174=1),"",_xlfn.LET(_xlpm.codes,IF($BV174="AL",Std_Al3_Code,IF($G174=1,Std_Cu1_Code,Std_Cu3_Code)),_xlpm.amps,IFERROR(--SUBSTITUTE(_xlpm.codes&amp;"","N",""),""),_xlpm.a,MIN(IF(ISNUMBER(_xlpm.amps),IF(_xlpm.amps&gt;=$R174,_xlpm.amps,""),"")),_xlpm.k,IF(_xlpm.a=0,$R174,_xlpm.a),IF($BO174="Y",TEXT(_xlpm.k,"0")&amp;"N",_xlpm.k))))</f>
        <v/>
      </c>
      <c r="BQ174" s="832" t="str" cm="1">
        <f t="array" ref="BQ174">IF($BP174="","",IFERROR(IF($BV174="AL",_xlfn.XLOOKUP($BP174,Std_Al3_Code,INDEX(Std_Al3_Table,0,3)),IF($G174=1,_xlfn.XLOOKUP($BP174,Std_Cu1_Code,INDEX(Std_Cu1_Table,0,3)),_xlfn.XLOOKUP($BP174,Std_Cu3_Code,INDEX(Std_Cu3_Table,0,3)))),""))</f>
        <v/>
      </c>
      <c r="BR174" s="832" t="str" cm="1">
        <f t="array" ref="BR174">IF($BP174="","",IFERROR(IF($BV174="AL",_xlfn.XLOOKUP($BP174,Std_Al3_Code,INDEX(Std_Al3_Table,0,4)),IF($G174=1,_xlfn.XLOOKUP($BP174,Std_Cu1_Code,INDEX(Std_Cu1_Table,0,4)),_xlfn.XLOOKUP($BP174,Std_Cu3_Code,INDEX(Std_Cu3_Table,0,4)))),""))</f>
        <v/>
      </c>
      <c r="BS174" s="832" t="str" cm="1">
        <f t="array" ref="BS174">IF($BP174="","",IFERROR(IF($BV174="AL",_xlfn.XLOOKUP($BP174,Std_Al3_Code,INDEX(Std_Al3_Table,0,5)),IF($G174=1,_xlfn.XLOOKUP($BP174,Std_Cu1_Code,INDEX(Std_Cu1_Table,0,5)),_xlfn.XLOOKUP($BP174,Std_Cu3_Code,INDEX(Std_Cu3_Table,0,5)))),""))</f>
        <v/>
      </c>
      <c r="BT174" s="832" t="str">
        <f t="shared" si="45"/>
        <v/>
      </c>
      <c r="BU174" s="832" t="str" cm="1">
        <f t="array" ref="BU174">IF($BP174="","",IFERROR(IF($BV174="AL",_xlfn.XLOOKUP($BP174,Std_Al3_Code,INDEX(Std_Al3_Table,0,2)),IF($G174=1,_xlfn.XLOOKUP($BP174,Std_Cu1_Code,INDEX(Std_Cu1_Table,0,2)),_xlfn.XLOOKUP($BP174,Std_Cu3_Code,INDEX(Std_Cu3_Table,0,2)))),""))</f>
        <v/>
      </c>
      <c r="BV174" s="829" t="str">
        <f t="shared" si="46"/>
        <v/>
      </c>
      <c r="BW174" s="829" t="str">
        <f t="shared" si="52"/>
        <v/>
      </c>
      <c r="BX174" s="829" t="str" cm="1">
        <f t="array" ref="BX174">IF(OR($BP174="",$H174="",$I174="",$F174="",$BW174=""),"",IFERROR(_xlfn.LET(_xlpm.codes,IF($BV174="AL",Std_Al3_Code,IF($G174=1,Std_Cu1_Code,Std_Cu3_Code)),_xlpm.tbl,IF($BV174="AL",Std_Al3_Table,IF($G174=1,Std_Cu1_Table,Std_Cu3_Table)),_xlpm.i,MATCH($BP174,_xlpm.codes,0),_xlpm.idx,_xlfn.SEQUENCE(ROWS(_xlpm.codes)),_xlpm.cnd,INDEX(_xlpm.tbl,0,4),_xlpm.sts,INDEX(_xlpm.tbl,0,2),_xlpm.sz,IFERROR(_xlfn.TEXTBEFORE(_xlfn.TEXTAFTER(_xlpm.cnd,"#"),","),IFERROR(_xlfn.TEXTAFTER(_xlpm.cnd,"#"),"")),_xlpm.cm,IFERROR(_xlfn.XLOOKUP(TRIM(_xlpm.sz),Ampacity_Size,Ampacity_CM),0),_xlpm.mult,IF($G174=3,SQRT3,2),_xlpm.kk,IF($BV174="AL",K_Al,K_Cu),_xlpm.vd,IF(_xlpm.cm*IF(ISNUMBER(_xlpm.sts),_xlpm.sts,0)=0,9,_xlpm.mult*_xlpm.kk*$I174*$H174/(_xlpm.cm*_xlpm.sts)/$F174),_xlpm.hasN,--(RIGHT(_xlpm.codes&amp;"",1)="N"),_xlpm.wantN,--(RIGHT($BP174&amp;"",1)="N"),_xlpm.ok,(_xlpm.idx&gt;=_xlpm.i)*(_xlpm.vd&lt;=Cfg_VDFeeder)*(_xlpm.cm&gt;0)*ISNUMBER(_xlpm.sts)*(_xlpm.hasN=_xlpm.wantN),_xlpm.m,MIN(IF(_xlpm.ok=1,_xlpm.idx)),INDEX(_xlpm.codes,IF(_xlpm.m=0,_xlpm.i,_xlpm.m))),""))</f>
        <v/>
      </c>
      <c r="BY174" s="829" t="str" cm="1">
        <f t="array" ref="BY174">IF($BP174="","",IF($BX174="",$BU174,IFERROR(IF($BV174="AL",_xlfn.XLOOKUP($BX174,Std_Al3_Code,INDEX(Std_Al3_Table,0,2)),IF($G174=1,_xlfn.XLOOKUP($BX174,Std_Cu1_Code,INDEX(Std_Cu1_Table,0,2)),_xlfn.XLOOKUP($BX174,Std_Cu3_Code,INDEX(Std_Cu3_Table,0,2)))),"")))</f>
        <v/>
      </c>
      <c r="BZ174" s="829" t="str" cm="1">
        <f t="array" ref="BZ174">IF($BP174="","",IF($BX174="",$BR174,IFERROR(IF($BV174="AL",_xlfn.XLOOKUP($BX174,Std_Al3_Code,INDEX(Std_Al3_Table,0,4)),IF($G174=1,_xlfn.XLOOKUP($BX174,Std_Cu1_Code,INDEX(Std_Cu1_Table,0,4)),_xlfn.XLOOKUP($BX174,Std_Cu3_Code,INDEX(Std_Cu3_Table,0,4)))),"")))</f>
        <v/>
      </c>
      <c r="CA174" s="829" t="str" cm="1">
        <f t="array" ref="CA174">IF($BP174="","",IF($BX174="",$BQ174,IFERROR(IF($BV174="AL",_xlfn.XLOOKUP($BX174,Std_Al3_Code,INDEX(Std_Al3_Table,0,3)),IF($G174=1,_xlfn.XLOOKUP($BX174,Std_Cu1_Code,INDEX(Std_Cu1_Table,0,3)),_xlfn.XLOOKUP($BX174,Std_Cu3_Code,INDEX(Std_Cu3_Table,0,3)))),"")))</f>
        <v/>
      </c>
      <c r="CB174" s="829" t="str" cm="1">
        <f t="array" ref="CB174">IF($BP174="","",IF($BX174="",$BS174,IFERROR(IF($BV174="AL",_xlfn.XLOOKUP($BX174,Std_Al3_Code,INDEX(Std_Al3_Table,0,5)),IF($G174=1,_xlfn.XLOOKUP($BX174,Std_Cu1_Code,INDEX(Std_Cu1_Table,0,5)),_xlfn.XLOOKUP($BX174,Std_Cu3_Code,INDEX(Std_Cu3_Table,0,5)))),"")))</f>
        <v/>
      </c>
      <c r="CC174" s="829" t="str">
        <f t="shared" si="53"/>
        <v/>
      </c>
      <c r="CD174" s="829" t="str">
        <f t="shared" si="54"/>
        <v/>
      </c>
      <c r="CE174" s="829" t="str">
        <f t="shared" si="55"/>
        <v/>
      </c>
      <c r="CF174" s="829" t="str">
        <f t="shared" si="56"/>
        <v/>
      </c>
      <c r="CG174" s="829" t="str">
        <f t="shared" si="57"/>
        <v/>
      </c>
      <c r="CH174" s="829" t="str">
        <f t="shared" si="58"/>
        <v/>
      </c>
      <c r="CI174" s="829" t="str">
        <f t="shared" si="59"/>
        <v/>
      </c>
      <c r="CJ174" s="829" t="str" cm="1">
        <f t="array" ref="CJ174">IF($B174="","",_xlfn.LET(_xlpm.to,$D174&amp;"",_xlpm.em,IFERROR(INDEX(_xlfn.ANCHORARRAY($BE$4),ROW()-4,6),"")="EMERG",_xlpm.pri,AND(NOT(_xlpm.em),LEFT(_xlpm.to,2)="T-",ISNUMBER(MATCH(MID(_xlpm.to,3,99),Equip_List,0)),ISNA(MATCH(_xlpm.to,Equip_List,0))),IF(_xlpm.pri,MID(_xlpm.to,3,99),_xlpm.to)))</f>
        <v/>
      </c>
      <c r="CK174" s="829" t="str" cm="1">
        <f t="array" ref="CK174">IF($CJ174="","",IF(IFERROR(INDEX(_xlfn.ANCHORARRAY($BE$4),ROW()-4,6),"")="EMERG","E",IF($CJ174&lt;&gt;$D174&amp;"","P","N")))</f>
        <v/>
      </c>
    </row>
    <row r="175" spans="1:89" ht="15" customHeight="1" x14ac:dyDescent="0.35">
      <c r="A175" s="821" t="str">
        <f t="shared" si="47"/>
        <v/>
      </c>
      <c r="B175" s="821" t="str" cm="1">
        <f t="array" ref="B175">IFERROR(IF(INDEX(_xlfn.ANCHORARRAY($BE$4),ROW()-4,2)="","","F-"&amp;INDEX(_xlfn.ANCHORARRAY($BE$4),ROW()-4,2)&amp;IF(IFERROR(INDEX(_xlfn.ANCHORARRAY($BE$4),ROW()-4,6),"")="EMERG","-E","")),"")</f>
        <v/>
      </c>
      <c r="C175" s="821" t="str" cm="1">
        <f t="array" ref="C175">IFERROR(IF($B175="","",INDEX(_xlfn.ANCHORARRAY($BE$4),ROW()-4,1)),"")</f>
        <v/>
      </c>
      <c r="D175" s="821" t="str" cm="1">
        <f t="array" ref="D175">IFERROR(IF($B175="","",INDEX(_xlfn.ANCHORARRAY($BE$4),ROW()-4,2)),"")</f>
        <v/>
      </c>
      <c r="E175" s="806" t="str" cm="1">
        <f t="array" ref="E175">IFERROR(IF($B175="","",INDEX(_xlfn.ANCHORARRAY($BE$4),ROW()-4,3)),"")</f>
        <v/>
      </c>
      <c r="F175" s="822" t="str" cm="1">
        <f t="array" ref="F175">IFERROR(IF($B175="","",INDEX(_xlfn.ANCHORARRAY($BE$4),ROW()-4,4)),"")</f>
        <v/>
      </c>
      <c r="G175" s="823" t="str" cm="1">
        <f t="array" ref="G175">IFERROR(IF($B175="","",INDEX(_xlfn.ANCHORARRAY($BE$4),ROW()-4,5)),"")</f>
        <v/>
      </c>
      <c r="H175" s="824" t="str" cm="1">
        <f t="array" ref="H175">IF($CJ175="","",_xlfn.LET(_xlpm.v,_xlfn.XLOOKUP($CJ175,Equip_List,IF($CK175="E",Equip_EmLen,IF($CK175="P",Equip_XfPriLen,Equip_FdrLen)),""),IF(_xlpm.v="","",_xlpm.v)))</f>
        <v/>
      </c>
      <c r="I175" s="806" t="str">
        <f t="shared" si="40"/>
        <v/>
      </c>
      <c r="J175" s="820"/>
      <c r="K175" s="806" t="str">
        <f>_xlfn.LET(_xlpm.k,IF($I175="","",IF(COUNTIF(UPS!$B$57:$B$64,$C175&amp;"")&gt;0,1.25*MAX($I175,N(_xlfn.XLOOKUP($C175&amp;"",UPS!$B$57:$B$64,UPS!$M$57:$M$64,0))),IF(COUNTIF(UPS!$B$57:$B$64,$D175&amp;"")&gt;0,1.25*MAX($I175,N(_xlfn.XLOOKUP($D175&amp;"",UPS!$B$57:$B$64,UPS!$Q$57:$Q$64,0))),$I175*IF(OR(UPPER($J175)="Y",LEFT($C175,2)="T-",LEFT($D175,2)="T-"),1.25,1)))),IF(_xlpm.k="","",MAX(_xlpm.k,N(IFERROR(_xlfn.XLOOKUP($D175&amp;"",Dashboard!$A$101:$A$350,Dashboard!$O$101:$O$350,0),0)))))</f>
        <v/>
      </c>
      <c r="L175" s="825" t="str">
        <f>IF($CJ175="","",_xlfn.LET(_xlpm.v,UPPER(TRIM(_xlfn.XLOOKUP($CJ175,Equip_List,Equip_FdrMat,"")&amp;"")),IF(_xlpm.v="",UPPER(TRIM(Cfg_FeederMat&amp;"")),_xlpm.v)))</f>
        <v/>
      </c>
      <c r="M175" s="825" t="str">
        <f>IF($CJ175="","",_xlfn.LET(_xlpm.v,TRIM(_xlfn.XLOOKUP($CJ175,Equip_List,Equip_FdrRace,"")&amp;""),IF(_xlpm.v="",Cfg_Conduit&amp;"",_xlpm.v)))</f>
        <v/>
      </c>
      <c r="N175" s="825" t="str">
        <f>IF($CJ175="","",IF(UPPER(TRIM(_xlfn.XLOOKUP($CJ175,Equip_List,Equip_FdrExist,"")&amp;""))="Y","Y",""))</f>
        <v/>
      </c>
      <c r="O175" s="823" t="str">
        <f t="shared" si="48"/>
        <v/>
      </c>
      <c r="P175" s="821" t="str">
        <f t="shared" si="49"/>
        <v/>
      </c>
      <c r="Q175" s="821" t="str">
        <f t="shared" si="50"/>
        <v/>
      </c>
      <c r="R175" s="822" t="str" cm="1">
        <f t="array" ref="R175">IF(K175="","",INDEX(OCPD_List,MATCH(TRUE,OCPD_List&gt;=K175,0)))</f>
        <v/>
      </c>
      <c r="S175" s="821" t="str">
        <f t="shared" si="51"/>
        <v/>
      </c>
      <c r="T175" s="826" t="str">
        <f t="shared" si="41"/>
        <v/>
      </c>
      <c r="U175" s="826" t="str">
        <f t="shared" si="42"/>
        <v/>
      </c>
      <c r="V175" s="827" t="str">
        <f t="shared" si="43"/>
        <v/>
      </c>
      <c r="W175" s="828"/>
      <c r="X175" s="819"/>
      <c r="Y175" s="820"/>
      <c r="Z175" s="820"/>
      <c r="AA175" s="820"/>
      <c r="BN175" s="832" t="str">
        <f>IF($B175="","",IFERROR(_xlfn.XLOOKUP($D175,Dashboard!$A$101:$A$350,Dashboard!$C$101:$C$350),""))</f>
        <v/>
      </c>
      <c r="BO175" s="832" t="str">
        <f t="shared" si="44"/>
        <v/>
      </c>
      <c r="BP175" s="832" t="str" cm="1">
        <f t="array" ref="BP175">IF(OR($B175="",$R175="",NOT(ISNUMBER($R175))),"",IF(AND($BV175="AL",$G175=1),"",_xlfn.LET(_xlpm.codes,IF($BV175="AL",Std_Al3_Code,IF($G175=1,Std_Cu1_Code,Std_Cu3_Code)),_xlpm.amps,IFERROR(--SUBSTITUTE(_xlpm.codes&amp;"","N",""),""),_xlpm.a,MIN(IF(ISNUMBER(_xlpm.amps),IF(_xlpm.amps&gt;=$R175,_xlpm.amps,""),"")),_xlpm.k,IF(_xlpm.a=0,$R175,_xlpm.a),IF($BO175="Y",TEXT(_xlpm.k,"0")&amp;"N",_xlpm.k))))</f>
        <v/>
      </c>
      <c r="BQ175" s="832" t="str" cm="1">
        <f t="array" ref="BQ175">IF($BP175="","",IFERROR(IF($BV175="AL",_xlfn.XLOOKUP($BP175,Std_Al3_Code,INDEX(Std_Al3_Table,0,3)),IF($G175=1,_xlfn.XLOOKUP($BP175,Std_Cu1_Code,INDEX(Std_Cu1_Table,0,3)),_xlfn.XLOOKUP($BP175,Std_Cu3_Code,INDEX(Std_Cu3_Table,0,3)))),""))</f>
        <v/>
      </c>
      <c r="BR175" s="832" t="str" cm="1">
        <f t="array" ref="BR175">IF($BP175="","",IFERROR(IF($BV175="AL",_xlfn.XLOOKUP($BP175,Std_Al3_Code,INDEX(Std_Al3_Table,0,4)),IF($G175=1,_xlfn.XLOOKUP($BP175,Std_Cu1_Code,INDEX(Std_Cu1_Table,0,4)),_xlfn.XLOOKUP($BP175,Std_Cu3_Code,INDEX(Std_Cu3_Table,0,4)))),""))</f>
        <v/>
      </c>
      <c r="BS175" s="832" t="str" cm="1">
        <f t="array" ref="BS175">IF($BP175="","",IFERROR(IF($BV175="AL",_xlfn.XLOOKUP($BP175,Std_Al3_Code,INDEX(Std_Al3_Table,0,5)),IF($G175=1,_xlfn.XLOOKUP($BP175,Std_Cu1_Code,INDEX(Std_Cu1_Table,0,5)),_xlfn.XLOOKUP($BP175,Std_Cu3_Code,INDEX(Std_Cu3_Table,0,5)))),""))</f>
        <v/>
      </c>
      <c r="BT175" s="832" t="str">
        <f t="shared" si="45"/>
        <v/>
      </c>
      <c r="BU175" s="832" t="str" cm="1">
        <f t="array" ref="BU175">IF($BP175="","",IFERROR(IF($BV175="AL",_xlfn.XLOOKUP($BP175,Std_Al3_Code,INDEX(Std_Al3_Table,0,2)),IF($G175=1,_xlfn.XLOOKUP($BP175,Std_Cu1_Code,INDEX(Std_Cu1_Table,0,2)),_xlfn.XLOOKUP($BP175,Std_Cu3_Code,INDEX(Std_Cu3_Table,0,2)))),""))</f>
        <v/>
      </c>
      <c r="BV175" s="829" t="str">
        <f t="shared" si="46"/>
        <v/>
      </c>
      <c r="BW175" s="829" t="str">
        <f t="shared" si="52"/>
        <v/>
      </c>
      <c r="BX175" s="829" t="str" cm="1">
        <f t="array" ref="BX175">IF(OR($BP175="",$H175="",$I175="",$F175="",$BW175=""),"",IFERROR(_xlfn.LET(_xlpm.codes,IF($BV175="AL",Std_Al3_Code,IF($G175=1,Std_Cu1_Code,Std_Cu3_Code)),_xlpm.tbl,IF($BV175="AL",Std_Al3_Table,IF($G175=1,Std_Cu1_Table,Std_Cu3_Table)),_xlpm.i,MATCH($BP175,_xlpm.codes,0),_xlpm.idx,_xlfn.SEQUENCE(ROWS(_xlpm.codes)),_xlpm.cnd,INDEX(_xlpm.tbl,0,4),_xlpm.sts,INDEX(_xlpm.tbl,0,2),_xlpm.sz,IFERROR(_xlfn.TEXTBEFORE(_xlfn.TEXTAFTER(_xlpm.cnd,"#"),","),IFERROR(_xlfn.TEXTAFTER(_xlpm.cnd,"#"),"")),_xlpm.cm,IFERROR(_xlfn.XLOOKUP(TRIM(_xlpm.sz),Ampacity_Size,Ampacity_CM),0),_xlpm.mult,IF($G175=3,SQRT3,2),_xlpm.kk,IF($BV175="AL",K_Al,K_Cu),_xlpm.vd,IF(_xlpm.cm*IF(ISNUMBER(_xlpm.sts),_xlpm.sts,0)=0,9,_xlpm.mult*_xlpm.kk*$I175*$H175/(_xlpm.cm*_xlpm.sts)/$F175),_xlpm.hasN,--(RIGHT(_xlpm.codes&amp;"",1)="N"),_xlpm.wantN,--(RIGHT($BP175&amp;"",1)="N"),_xlpm.ok,(_xlpm.idx&gt;=_xlpm.i)*(_xlpm.vd&lt;=Cfg_VDFeeder)*(_xlpm.cm&gt;0)*ISNUMBER(_xlpm.sts)*(_xlpm.hasN=_xlpm.wantN),_xlpm.m,MIN(IF(_xlpm.ok=1,_xlpm.idx)),INDEX(_xlpm.codes,IF(_xlpm.m=0,_xlpm.i,_xlpm.m))),""))</f>
        <v/>
      </c>
      <c r="BY175" s="829" t="str" cm="1">
        <f t="array" ref="BY175">IF($BP175="","",IF($BX175="",$BU175,IFERROR(IF($BV175="AL",_xlfn.XLOOKUP($BX175,Std_Al3_Code,INDEX(Std_Al3_Table,0,2)),IF($G175=1,_xlfn.XLOOKUP($BX175,Std_Cu1_Code,INDEX(Std_Cu1_Table,0,2)),_xlfn.XLOOKUP($BX175,Std_Cu3_Code,INDEX(Std_Cu3_Table,0,2)))),"")))</f>
        <v/>
      </c>
      <c r="BZ175" s="829" t="str" cm="1">
        <f t="array" ref="BZ175">IF($BP175="","",IF($BX175="",$BR175,IFERROR(IF($BV175="AL",_xlfn.XLOOKUP($BX175,Std_Al3_Code,INDEX(Std_Al3_Table,0,4)),IF($G175=1,_xlfn.XLOOKUP($BX175,Std_Cu1_Code,INDEX(Std_Cu1_Table,0,4)),_xlfn.XLOOKUP($BX175,Std_Cu3_Code,INDEX(Std_Cu3_Table,0,4)))),"")))</f>
        <v/>
      </c>
      <c r="CA175" s="829" t="str" cm="1">
        <f t="array" ref="CA175">IF($BP175="","",IF($BX175="",$BQ175,IFERROR(IF($BV175="AL",_xlfn.XLOOKUP($BX175,Std_Al3_Code,INDEX(Std_Al3_Table,0,3)),IF($G175=1,_xlfn.XLOOKUP($BX175,Std_Cu1_Code,INDEX(Std_Cu1_Table,0,3)),_xlfn.XLOOKUP($BX175,Std_Cu3_Code,INDEX(Std_Cu3_Table,0,3)))),"")))</f>
        <v/>
      </c>
      <c r="CB175" s="829" t="str" cm="1">
        <f t="array" ref="CB175">IF($BP175="","",IF($BX175="",$BS175,IFERROR(IF($BV175="AL",_xlfn.XLOOKUP($BX175,Std_Al3_Code,INDEX(Std_Al3_Table,0,5)),IF($G175=1,_xlfn.XLOOKUP($BX175,Std_Cu1_Code,INDEX(Std_Cu1_Table,0,5)),_xlfn.XLOOKUP($BX175,Std_Cu3_Code,INDEX(Std_Cu3_Table,0,5)))),"")))</f>
        <v/>
      </c>
      <c r="CC175" s="829" t="str">
        <f t="shared" si="53"/>
        <v/>
      </c>
      <c r="CD175" s="829" t="str">
        <f t="shared" si="54"/>
        <v/>
      </c>
      <c r="CE175" s="829" t="str">
        <f t="shared" si="55"/>
        <v/>
      </c>
      <c r="CF175" s="829" t="str">
        <f t="shared" si="56"/>
        <v/>
      </c>
      <c r="CG175" s="829" t="str">
        <f t="shared" si="57"/>
        <v/>
      </c>
      <c r="CH175" s="829" t="str">
        <f t="shared" si="58"/>
        <v/>
      </c>
      <c r="CI175" s="829" t="str">
        <f t="shared" si="59"/>
        <v/>
      </c>
      <c r="CJ175" s="829" t="str" cm="1">
        <f t="array" ref="CJ175">IF($B175="","",_xlfn.LET(_xlpm.to,$D175&amp;"",_xlpm.em,IFERROR(INDEX(_xlfn.ANCHORARRAY($BE$4),ROW()-4,6),"")="EMERG",_xlpm.pri,AND(NOT(_xlpm.em),LEFT(_xlpm.to,2)="T-",ISNUMBER(MATCH(MID(_xlpm.to,3,99),Equip_List,0)),ISNA(MATCH(_xlpm.to,Equip_List,0))),IF(_xlpm.pri,MID(_xlpm.to,3,99),_xlpm.to)))</f>
        <v/>
      </c>
      <c r="CK175" s="829" t="str" cm="1">
        <f t="array" ref="CK175">IF($CJ175="","",IF(IFERROR(INDEX(_xlfn.ANCHORARRAY($BE$4),ROW()-4,6),"")="EMERG","E",IF($CJ175&lt;&gt;$D175&amp;"","P","N")))</f>
        <v/>
      </c>
    </row>
    <row r="176" spans="1:89" ht="15" customHeight="1" x14ac:dyDescent="0.35">
      <c r="A176" s="821" t="str">
        <f t="shared" si="47"/>
        <v/>
      </c>
      <c r="B176" s="821" t="str" cm="1">
        <f t="array" ref="B176">IFERROR(IF(INDEX(_xlfn.ANCHORARRAY($BE$4),ROW()-4,2)="","","F-"&amp;INDEX(_xlfn.ANCHORARRAY($BE$4),ROW()-4,2)&amp;IF(IFERROR(INDEX(_xlfn.ANCHORARRAY($BE$4),ROW()-4,6),"")="EMERG","-E","")),"")</f>
        <v/>
      </c>
      <c r="C176" s="821" t="str" cm="1">
        <f t="array" ref="C176">IFERROR(IF($B176="","",INDEX(_xlfn.ANCHORARRAY($BE$4),ROW()-4,1)),"")</f>
        <v/>
      </c>
      <c r="D176" s="821" t="str" cm="1">
        <f t="array" ref="D176">IFERROR(IF($B176="","",INDEX(_xlfn.ANCHORARRAY($BE$4),ROW()-4,2)),"")</f>
        <v/>
      </c>
      <c r="E176" s="806" t="str" cm="1">
        <f t="array" ref="E176">IFERROR(IF($B176="","",INDEX(_xlfn.ANCHORARRAY($BE$4),ROW()-4,3)),"")</f>
        <v/>
      </c>
      <c r="F176" s="822" t="str" cm="1">
        <f t="array" ref="F176">IFERROR(IF($B176="","",INDEX(_xlfn.ANCHORARRAY($BE$4),ROW()-4,4)),"")</f>
        <v/>
      </c>
      <c r="G176" s="823" t="str" cm="1">
        <f t="array" ref="G176">IFERROR(IF($B176="","",INDEX(_xlfn.ANCHORARRAY($BE$4),ROW()-4,5)),"")</f>
        <v/>
      </c>
      <c r="H176" s="824" t="str" cm="1">
        <f t="array" ref="H176">IF($CJ176="","",_xlfn.LET(_xlpm.v,_xlfn.XLOOKUP($CJ176,Equip_List,IF($CK176="E",Equip_EmLen,IF($CK176="P",Equip_XfPriLen,Equip_FdrLen)),""),IF(_xlpm.v="","",_xlpm.v)))</f>
        <v/>
      </c>
      <c r="I176" s="806" t="str">
        <f t="shared" si="40"/>
        <v/>
      </c>
      <c r="J176" s="820"/>
      <c r="K176" s="806" t="str">
        <f>_xlfn.LET(_xlpm.k,IF($I176="","",IF(COUNTIF(UPS!$B$57:$B$64,$C176&amp;"")&gt;0,1.25*MAX($I176,N(_xlfn.XLOOKUP($C176&amp;"",UPS!$B$57:$B$64,UPS!$M$57:$M$64,0))),IF(COUNTIF(UPS!$B$57:$B$64,$D176&amp;"")&gt;0,1.25*MAX($I176,N(_xlfn.XLOOKUP($D176&amp;"",UPS!$B$57:$B$64,UPS!$Q$57:$Q$64,0))),$I176*IF(OR(UPPER($J176)="Y",LEFT($C176,2)="T-",LEFT($D176,2)="T-"),1.25,1)))),IF(_xlpm.k="","",MAX(_xlpm.k,N(IFERROR(_xlfn.XLOOKUP($D176&amp;"",Dashboard!$A$101:$A$350,Dashboard!$O$101:$O$350,0),0)))))</f>
        <v/>
      </c>
      <c r="L176" s="825" t="str">
        <f>IF($CJ176="","",_xlfn.LET(_xlpm.v,UPPER(TRIM(_xlfn.XLOOKUP($CJ176,Equip_List,Equip_FdrMat,"")&amp;"")),IF(_xlpm.v="",UPPER(TRIM(Cfg_FeederMat&amp;"")),_xlpm.v)))</f>
        <v/>
      </c>
      <c r="M176" s="825" t="str">
        <f>IF($CJ176="","",_xlfn.LET(_xlpm.v,TRIM(_xlfn.XLOOKUP($CJ176,Equip_List,Equip_FdrRace,"")&amp;""),IF(_xlpm.v="",Cfg_Conduit&amp;"",_xlpm.v)))</f>
        <v/>
      </c>
      <c r="N176" s="825" t="str">
        <f>IF($CJ176="","",IF(UPPER(TRIM(_xlfn.XLOOKUP($CJ176,Equip_List,Equip_FdrExist,"")&amp;""))="Y","Y",""))</f>
        <v/>
      </c>
      <c r="O176" s="823" t="str">
        <f t="shared" si="48"/>
        <v/>
      </c>
      <c r="P176" s="821" t="str">
        <f t="shared" si="49"/>
        <v/>
      </c>
      <c r="Q176" s="821" t="str">
        <f t="shared" si="50"/>
        <v/>
      </c>
      <c r="R176" s="822" t="str" cm="1">
        <f t="array" ref="R176">IF(K176="","",INDEX(OCPD_List,MATCH(TRUE,OCPD_List&gt;=K176,0)))</f>
        <v/>
      </c>
      <c r="S176" s="821" t="str">
        <f t="shared" si="51"/>
        <v/>
      </c>
      <c r="T176" s="826" t="str">
        <f t="shared" si="41"/>
        <v/>
      </c>
      <c r="U176" s="826" t="str">
        <f t="shared" si="42"/>
        <v/>
      </c>
      <c r="V176" s="827" t="str">
        <f t="shared" si="43"/>
        <v/>
      </c>
      <c r="W176" s="828"/>
      <c r="X176" s="819"/>
      <c r="Y176" s="820"/>
      <c r="Z176" s="820"/>
      <c r="AA176" s="820"/>
      <c r="BN176" s="832" t="str">
        <f>IF($B176="","",IFERROR(_xlfn.XLOOKUP($D176,Dashboard!$A$101:$A$350,Dashboard!$C$101:$C$350),""))</f>
        <v/>
      </c>
      <c r="BO176" s="832" t="str">
        <f t="shared" si="44"/>
        <v/>
      </c>
      <c r="BP176" s="832" t="str" cm="1">
        <f t="array" ref="BP176">IF(OR($B176="",$R176="",NOT(ISNUMBER($R176))),"",IF(AND($BV176="AL",$G176=1),"",_xlfn.LET(_xlpm.codes,IF($BV176="AL",Std_Al3_Code,IF($G176=1,Std_Cu1_Code,Std_Cu3_Code)),_xlpm.amps,IFERROR(--SUBSTITUTE(_xlpm.codes&amp;"","N",""),""),_xlpm.a,MIN(IF(ISNUMBER(_xlpm.amps),IF(_xlpm.amps&gt;=$R176,_xlpm.amps,""),"")),_xlpm.k,IF(_xlpm.a=0,$R176,_xlpm.a),IF($BO176="Y",TEXT(_xlpm.k,"0")&amp;"N",_xlpm.k))))</f>
        <v/>
      </c>
      <c r="BQ176" s="832" t="str" cm="1">
        <f t="array" ref="BQ176">IF($BP176="","",IFERROR(IF($BV176="AL",_xlfn.XLOOKUP($BP176,Std_Al3_Code,INDEX(Std_Al3_Table,0,3)),IF($G176=1,_xlfn.XLOOKUP($BP176,Std_Cu1_Code,INDEX(Std_Cu1_Table,0,3)),_xlfn.XLOOKUP($BP176,Std_Cu3_Code,INDEX(Std_Cu3_Table,0,3)))),""))</f>
        <v/>
      </c>
      <c r="BR176" s="832" t="str" cm="1">
        <f t="array" ref="BR176">IF($BP176="","",IFERROR(IF($BV176="AL",_xlfn.XLOOKUP($BP176,Std_Al3_Code,INDEX(Std_Al3_Table,0,4)),IF($G176=1,_xlfn.XLOOKUP($BP176,Std_Cu1_Code,INDEX(Std_Cu1_Table,0,4)),_xlfn.XLOOKUP($BP176,Std_Cu3_Code,INDEX(Std_Cu3_Table,0,4)))),""))</f>
        <v/>
      </c>
      <c r="BS176" s="832" t="str" cm="1">
        <f t="array" ref="BS176">IF($BP176="","",IFERROR(IF($BV176="AL",_xlfn.XLOOKUP($BP176,Std_Al3_Code,INDEX(Std_Al3_Table,0,5)),IF($G176=1,_xlfn.XLOOKUP($BP176,Std_Cu1_Code,INDEX(Std_Cu1_Table,0,5)),_xlfn.XLOOKUP($BP176,Std_Cu3_Code,INDEX(Std_Cu3_Table,0,5)))),""))</f>
        <v/>
      </c>
      <c r="BT176" s="832" t="str">
        <f t="shared" si="45"/>
        <v/>
      </c>
      <c r="BU176" s="832" t="str" cm="1">
        <f t="array" ref="BU176">IF($BP176="","",IFERROR(IF($BV176="AL",_xlfn.XLOOKUP($BP176,Std_Al3_Code,INDEX(Std_Al3_Table,0,2)),IF($G176=1,_xlfn.XLOOKUP($BP176,Std_Cu1_Code,INDEX(Std_Cu1_Table,0,2)),_xlfn.XLOOKUP($BP176,Std_Cu3_Code,INDEX(Std_Cu3_Table,0,2)))),""))</f>
        <v/>
      </c>
      <c r="BV176" s="829" t="str">
        <f t="shared" si="46"/>
        <v/>
      </c>
      <c r="BW176" s="829" t="str">
        <f t="shared" si="52"/>
        <v/>
      </c>
      <c r="BX176" s="829" t="str" cm="1">
        <f t="array" ref="BX176">IF(OR($BP176="",$H176="",$I176="",$F176="",$BW176=""),"",IFERROR(_xlfn.LET(_xlpm.codes,IF($BV176="AL",Std_Al3_Code,IF($G176=1,Std_Cu1_Code,Std_Cu3_Code)),_xlpm.tbl,IF($BV176="AL",Std_Al3_Table,IF($G176=1,Std_Cu1_Table,Std_Cu3_Table)),_xlpm.i,MATCH($BP176,_xlpm.codes,0),_xlpm.idx,_xlfn.SEQUENCE(ROWS(_xlpm.codes)),_xlpm.cnd,INDEX(_xlpm.tbl,0,4),_xlpm.sts,INDEX(_xlpm.tbl,0,2),_xlpm.sz,IFERROR(_xlfn.TEXTBEFORE(_xlfn.TEXTAFTER(_xlpm.cnd,"#"),","),IFERROR(_xlfn.TEXTAFTER(_xlpm.cnd,"#"),"")),_xlpm.cm,IFERROR(_xlfn.XLOOKUP(TRIM(_xlpm.sz),Ampacity_Size,Ampacity_CM),0),_xlpm.mult,IF($G176=3,SQRT3,2),_xlpm.kk,IF($BV176="AL",K_Al,K_Cu),_xlpm.vd,IF(_xlpm.cm*IF(ISNUMBER(_xlpm.sts),_xlpm.sts,0)=0,9,_xlpm.mult*_xlpm.kk*$I176*$H176/(_xlpm.cm*_xlpm.sts)/$F176),_xlpm.hasN,--(RIGHT(_xlpm.codes&amp;"",1)="N"),_xlpm.wantN,--(RIGHT($BP176&amp;"",1)="N"),_xlpm.ok,(_xlpm.idx&gt;=_xlpm.i)*(_xlpm.vd&lt;=Cfg_VDFeeder)*(_xlpm.cm&gt;0)*ISNUMBER(_xlpm.sts)*(_xlpm.hasN=_xlpm.wantN),_xlpm.m,MIN(IF(_xlpm.ok=1,_xlpm.idx)),INDEX(_xlpm.codes,IF(_xlpm.m=0,_xlpm.i,_xlpm.m))),""))</f>
        <v/>
      </c>
      <c r="BY176" s="829" t="str" cm="1">
        <f t="array" ref="BY176">IF($BP176="","",IF($BX176="",$BU176,IFERROR(IF($BV176="AL",_xlfn.XLOOKUP($BX176,Std_Al3_Code,INDEX(Std_Al3_Table,0,2)),IF($G176=1,_xlfn.XLOOKUP($BX176,Std_Cu1_Code,INDEX(Std_Cu1_Table,0,2)),_xlfn.XLOOKUP($BX176,Std_Cu3_Code,INDEX(Std_Cu3_Table,0,2)))),"")))</f>
        <v/>
      </c>
      <c r="BZ176" s="829" t="str" cm="1">
        <f t="array" ref="BZ176">IF($BP176="","",IF($BX176="",$BR176,IFERROR(IF($BV176="AL",_xlfn.XLOOKUP($BX176,Std_Al3_Code,INDEX(Std_Al3_Table,0,4)),IF($G176=1,_xlfn.XLOOKUP($BX176,Std_Cu1_Code,INDEX(Std_Cu1_Table,0,4)),_xlfn.XLOOKUP($BX176,Std_Cu3_Code,INDEX(Std_Cu3_Table,0,4)))),"")))</f>
        <v/>
      </c>
      <c r="CA176" s="829" t="str" cm="1">
        <f t="array" ref="CA176">IF($BP176="","",IF($BX176="",$BQ176,IFERROR(IF($BV176="AL",_xlfn.XLOOKUP($BX176,Std_Al3_Code,INDEX(Std_Al3_Table,0,3)),IF($G176=1,_xlfn.XLOOKUP($BX176,Std_Cu1_Code,INDEX(Std_Cu1_Table,0,3)),_xlfn.XLOOKUP($BX176,Std_Cu3_Code,INDEX(Std_Cu3_Table,0,3)))),"")))</f>
        <v/>
      </c>
      <c r="CB176" s="829" t="str" cm="1">
        <f t="array" ref="CB176">IF($BP176="","",IF($BX176="",$BS176,IFERROR(IF($BV176="AL",_xlfn.XLOOKUP($BX176,Std_Al3_Code,INDEX(Std_Al3_Table,0,5)),IF($G176=1,_xlfn.XLOOKUP($BX176,Std_Cu1_Code,INDEX(Std_Cu1_Table,0,5)),_xlfn.XLOOKUP($BX176,Std_Cu3_Code,INDEX(Std_Cu3_Table,0,5)))),"")))</f>
        <v/>
      </c>
      <c r="CC176" s="829" t="str">
        <f t="shared" si="53"/>
        <v/>
      </c>
      <c r="CD176" s="829" t="str">
        <f t="shared" si="54"/>
        <v/>
      </c>
      <c r="CE176" s="829" t="str">
        <f t="shared" si="55"/>
        <v/>
      </c>
      <c r="CF176" s="829" t="str">
        <f t="shared" si="56"/>
        <v/>
      </c>
      <c r="CG176" s="829" t="str">
        <f t="shared" si="57"/>
        <v/>
      </c>
      <c r="CH176" s="829" t="str">
        <f t="shared" si="58"/>
        <v/>
      </c>
      <c r="CI176" s="829" t="str">
        <f t="shared" si="59"/>
        <v/>
      </c>
      <c r="CJ176" s="829" t="str" cm="1">
        <f t="array" ref="CJ176">IF($B176="","",_xlfn.LET(_xlpm.to,$D176&amp;"",_xlpm.em,IFERROR(INDEX(_xlfn.ANCHORARRAY($BE$4),ROW()-4,6),"")="EMERG",_xlpm.pri,AND(NOT(_xlpm.em),LEFT(_xlpm.to,2)="T-",ISNUMBER(MATCH(MID(_xlpm.to,3,99),Equip_List,0)),ISNA(MATCH(_xlpm.to,Equip_List,0))),IF(_xlpm.pri,MID(_xlpm.to,3,99),_xlpm.to)))</f>
        <v/>
      </c>
      <c r="CK176" s="829" t="str" cm="1">
        <f t="array" ref="CK176">IF($CJ176="","",IF(IFERROR(INDEX(_xlfn.ANCHORARRAY($BE$4),ROW()-4,6),"")="EMERG","E",IF($CJ176&lt;&gt;$D176&amp;"","P","N")))</f>
        <v/>
      </c>
    </row>
    <row r="177" spans="1:89" ht="15" customHeight="1" x14ac:dyDescent="0.35">
      <c r="A177" s="821" t="str">
        <f t="shared" si="47"/>
        <v/>
      </c>
      <c r="B177" s="821" t="str" cm="1">
        <f t="array" ref="B177">IFERROR(IF(INDEX(_xlfn.ANCHORARRAY($BE$4),ROW()-4,2)="","","F-"&amp;INDEX(_xlfn.ANCHORARRAY($BE$4),ROW()-4,2)&amp;IF(IFERROR(INDEX(_xlfn.ANCHORARRAY($BE$4),ROW()-4,6),"")="EMERG","-E","")),"")</f>
        <v/>
      </c>
      <c r="C177" s="821" t="str" cm="1">
        <f t="array" ref="C177">IFERROR(IF($B177="","",INDEX(_xlfn.ANCHORARRAY($BE$4),ROW()-4,1)),"")</f>
        <v/>
      </c>
      <c r="D177" s="821" t="str" cm="1">
        <f t="array" ref="D177">IFERROR(IF($B177="","",INDEX(_xlfn.ANCHORARRAY($BE$4),ROW()-4,2)),"")</f>
        <v/>
      </c>
      <c r="E177" s="806" t="str" cm="1">
        <f t="array" ref="E177">IFERROR(IF($B177="","",INDEX(_xlfn.ANCHORARRAY($BE$4),ROW()-4,3)),"")</f>
        <v/>
      </c>
      <c r="F177" s="822" t="str" cm="1">
        <f t="array" ref="F177">IFERROR(IF($B177="","",INDEX(_xlfn.ANCHORARRAY($BE$4),ROW()-4,4)),"")</f>
        <v/>
      </c>
      <c r="G177" s="823" t="str" cm="1">
        <f t="array" ref="G177">IFERROR(IF($B177="","",INDEX(_xlfn.ANCHORARRAY($BE$4),ROW()-4,5)),"")</f>
        <v/>
      </c>
      <c r="H177" s="824" t="str" cm="1">
        <f t="array" ref="H177">IF($CJ177="","",_xlfn.LET(_xlpm.v,_xlfn.XLOOKUP($CJ177,Equip_List,IF($CK177="E",Equip_EmLen,IF($CK177="P",Equip_XfPriLen,Equip_FdrLen)),""),IF(_xlpm.v="","",_xlpm.v)))</f>
        <v/>
      </c>
      <c r="I177" s="806" t="str">
        <f t="shared" si="40"/>
        <v/>
      </c>
      <c r="J177" s="820"/>
      <c r="K177" s="806" t="str">
        <f>_xlfn.LET(_xlpm.k,IF($I177="","",IF(COUNTIF(UPS!$B$57:$B$64,$C177&amp;"")&gt;0,1.25*MAX($I177,N(_xlfn.XLOOKUP($C177&amp;"",UPS!$B$57:$B$64,UPS!$M$57:$M$64,0))),IF(COUNTIF(UPS!$B$57:$B$64,$D177&amp;"")&gt;0,1.25*MAX($I177,N(_xlfn.XLOOKUP($D177&amp;"",UPS!$B$57:$B$64,UPS!$Q$57:$Q$64,0))),$I177*IF(OR(UPPER($J177)="Y",LEFT($C177,2)="T-",LEFT($D177,2)="T-"),1.25,1)))),IF(_xlpm.k="","",MAX(_xlpm.k,N(IFERROR(_xlfn.XLOOKUP($D177&amp;"",Dashboard!$A$101:$A$350,Dashboard!$O$101:$O$350,0),0)))))</f>
        <v/>
      </c>
      <c r="L177" s="825" t="str">
        <f>IF($CJ177="","",_xlfn.LET(_xlpm.v,UPPER(TRIM(_xlfn.XLOOKUP($CJ177,Equip_List,Equip_FdrMat,"")&amp;"")),IF(_xlpm.v="",UPPER(TRIM(Cfg_FeederMat&amp;"")),_xlpm.v)))</f>
        <v/>
      </c>
      <c r="M177" s="825" t="str">
        <f>IF($CJ177="","",_xlfn.LET(_xlpm.v,TRIM(_xlfn.XLOOKUP($CJ177,Equip_List,Equip_FdrRace,"")&amp;""),IF(_xlpm.v="",Cfg_Conduit&amp;"",_xlpm.v)))</f>
        <v/>
      </c>
      <c r="N177" s="825" t="str">
        <f>IF($CJ177="","",IF(UPPER(TRIM(_xlfn.XLOOKUP($CJ177,Equip_List,Equip_FdrExist,"")&amp;""))="Y","Y",""))</f>
        <v/>
      </c>
      <c r="O177" s="823" t="str">
        <f t="shared" si="48"/>
        <v/>
      </c>
      <c r="P177" s="821" t="str">
        <f t="shared" si="49"/>
        <v/>
      </c>
      <c r="Q177" s="821" t="str">
        <f t="shared" si="50"/>
        <v/>
      </c>
      <c r="R177" s="822" t="str" cm="1">
        <f t="array" ref="R177">IF(K177="","",INDEX(OCPD_List,MATCH(TRUE,OCPD_List&gt;=K177,0)))</f>
        <v/>
      </c>
      <c r="S177" s="821" t="str">
        <f t="shared" si="51"/>
        <v/>
      </c>
      <c r="T177" s="826" t="str">
        <f t="shared" si="41"/>
        <v/>
      </c>
      <c r="U177" s="826" t="str">
        <f t="shared" si="42"/>
        <v/>
      </c>
      <c r="V177" s="827" t="str">
        <f t="shared" si="43"/>
        <v/>
      </c>
      <c r="W177" s="828"/>
      <c r="X177" s="819"/>
      <c r="Y177" s="820"/>
      <c r="Z177" s="820"/>
      <c r="AA177" s="820"/>
      <c r="BN177" s="832" t="str">
        <f>IF($B177="","",IFERROR(_xlfn.XLOOKUP($D177,Dashboard!$A$101:$A$350,Dashboard!$C$101:$C$350),""))</f>
        <v/>
      </c>
      <c r="BO177" s="832" t="str">
        <f t="shared" si="44"/>
        <v/>
      </c>
      <c r="BP177" s="832" t="str" cm="1">
        <f t="array" ref="BP177">IF(OR($B177="",$R177="",NOT(ISNUMBER($R177))),"",IF(AND($BV177="AL",$G177=1),"",_xlfn.LET(_xlpm.codes,IF($BV177="AL",Std_Al3_Code,IF($G177=1,Std_Cu1_Code,Std_Cu3_Code)),_xlpm.amps,IFERROR(--SUBSTITUTE(_xlpm.codes&amp;"","N",""),""),_xlpm.a,MIN(IF(ISNUMBER(_xlpm.amps),IF(_xlpm.amps&gt;=$R177,_xlpm.amps,""),"")),_xlpm.k,IF(_xlpm.a=0,$R177,_xlpm.a),IF($BO177="Y",TEXT(_xlpm.k,"0")&amp;"N",_xlpm.k))))</f>
        <v/>
      </c>
      <c r="BQ177" s="832" t="str" cm="1">
        <f t="array" ref="BQ177">IF($BP177="","",IFERROR(IF($BV177="AL",_xlfn.XLOOKUP($BP177,Std_Al3_Code,INDEX(Std_Al3_Table,0,3)),IF($G177=1,_xlfn.XLOOKUP($BP177,Std_Cu1_Code,INDEX(Std_Cu1_Table,0,3)),_xlfn.XLOOKUP($BP177,Std_Cu3_Code,INDEX(Std_Cu3_Table,0,3)))),""))</f>
        <v/>
      </c>
      <c r="BR177" s="832" t="str" cm="1">
        <f t="array" ref="BR177">IF($BP177="","",IFERROR(IF($BV177="AL",_xlfn.XLOOKUP($BP177,Std_Al3_Code,INDEX(Std_Al3_Table,0,4)),IF($G177=1,_xlfn.XLOOKUP($BP177,Std_Cu1_Code,INDEX(Std_Cu1_Table,0,4)),_xlfn.XLOOKUP($BP177,Std_Cu3_Code,INDEX(Std_Cu3_Table,0,4)))),""))</f>
        <v/>
      </c>
      <c r="BS177" s="832" t="str" cm="1">
        <f t="array" ref="BS177">IF($BP177="","",IFERROR(IF($BV177="AL",_xlfn.XLOOKUP($BP177,Std_Al3_Code,INDEX(Std_Al3_Table,0,5)),IF($G177=1,_xlfn.XLOOKUP($BP177,Std_Cu1_Code,INDEX(Std_Cu1_Table,0,5)),_xlfn.XLOOKUP($BP177,Std_Cu3_Code,INDEX(Std_Cu3_Table,0,5)))),""))</f>
        <v/>
      </c>
      <c r="BT177" s="832" t="str">
        <f t="shared" si="45"/>
        <v/>
      </c>
      <c r="BU177" s="832" t="str" cm="1">
        <f t="array" ref="BU177">IF($BP177="","",IFERROR(IF($BV177="AL",_xlfn.XLOOKUP($BP177,Std_Al3_Code,INDEX(Std_Al3_Table,0,2)),IF($G177=1,_xlfn.XLOOKUP($BP177,Std_Cu1_Code,INDEX(Std_Cu1_Table,0,2)),_xlfn.XLOOKUP($BP177,Std_Cu3_Code,INDEX(Std_Cu3_Table,0,2)))),""))</f>
        <v/>
      </c>
      <c r="BV177" s="829" t="str">
        <f t="shared" si="46"/>
        <v/>
      </c>
      <c r="BW177" s="829" t="str">
        <f t="shared" si="52"/>
        <v/>
      </c>
      <c r="BX177" s="829" t="str" cm="1">
        <f t="array" ref="BX177">IF(OR($BP177="",$H177="",$I177="",$F177="",$BW177=""),"",IFERROR(_xlfn.LET(_xlpm.codes,IF($BV177="AL",Std_Al3_Code,IF($G177=1,Std_Cu1_Code,Std_Cu3_Code)),_xlpm.tbl,IF($BV177="AL",Std_Al3_Table,IF($G177=1,Std_Cu1_Table,Std_Cu3_Table)),_xlpm.i,MATCH($BP177,_xlpm.codes,0),_xlpm.idx,_xlfn.SEQUENCE(ROWS(_xlpm.codes)),_xlpm.cnd,INDEX(_xlpm.tbl,0,4),_xlpm.sts,INDEX(_xlpm.tbl,0,2),_xlpm.sz,IFERROR(_xlfn.TEXTBEFORE(_xlfn.TEXTAFTER(_xlpm.cnd,"#"),","),IFERROR(_xlfn.TEXTAFTER(_xlpm.cnd,"#"),"")),_xlpm.cm,IFERROR(_xlfn.XLOOKUP(TRIM(_xlpm.sz),Ampacity_Size,Ampacity_CM),0),_xlpm.mult,IF($G177=3,SQRT3,2),_xlpm.kk,IF($BV177="AL",K_Al,K_Cu),_xlpm.vd,IF(_xlpm.cm*IF(ISNUMBER(_xlpm.sts),_xlpm.sts,0)=0,9,_xlpm.mult*_xlpm.kk*$I177*$H177/(_xlpm.cm*_xlpm.sts)/$F177),_xlpm.hasN,--(RIGHT(_xlpm.codes&amp;"",1)="N"),_xlpm.wantN,--(RIGHT($BP177&amp;"",1)="N"),_xlpm.ok,(_xlpm.idx&gt;=_xlpm.i)*(_xlpm.vd&lt;=Cfg_VDFeeder)*(_xlpm.cm&gt;0)*ISNUMBER(_xlpm.sts)*(_xlpm.hasN=_xlpm.wantN),_xlpm.m,MIN(IF(_xlpm.ok=1,_xlpm.idx)),INDEX(_xlpm.codes,IF(_xlpm.m=0,_xlpm.i,_xlpm.m))),""))</f>
        <v/>
      </c>
      <c r="BY177" s="829" t="str" cm="1">
        <f t="array" ref="BY177">IF($BP177="","",IF($BX177="",$BU177,IFERROR(IF($BV177="AL",_xlfn.XLOOKUP($BX177,Std_Al3_Code,INDEX(Std_Al3_Table,0,2)),IF($G177=1,_xlfn.XLOOKUP($BX177,Std_Cu1_Code,INDEX(Std_Cu1_Table,0,2)),_xlfn.XLOOKUP($BX177,Std_Cu3_Code,INDEX(Std_Cu3_Table,0,2)))),"")))</f>
        <v/>
      </c>
      <c r="BZ177" s="829" t="str" cm="1">
        <f t="array" ref="BZ177">IF($BP177="","",IF($BX177="",$BR177,IFERROR(IF($BV177="AL",_xlfn.XLOOKUP($BX177,Std_Al3_Code,INDEX(Std_Al3_Table,0,4)),IF($G177=1,_xlfn.XLOOKUP($BX177,Std_Cu1_Code,INDEX(Std_Cu1_Table,0,4)),_xlfn.XLOOKUP($BX177,Std_Cu3_Code,INDEX(Std_Cu3_Table,0,4)))),"")))</f>
        <v/>
      </c>
      <c r="CA177" s="829" t="str" cm="1">
        <f t="array" ref="CA177">IF($BP177="","",IF($BX177="",$BQ177,IFERROR(IF($BV177="AL",_xlfn.XLOOKUP($BX177,Std_Al3_Code,INDEX(Std_Al3_Table,0,3)),IF($G177=1,_xlfn.XLOOKUP($BX177,Std_Cu1_Code,INDEX(Std_Cu1_Table,0,3)),_xlfn.XLOOKUP($BX177,Std_Cu3_Code,INDEX(Std_Cu3_Table,0,3)))),"")))</f>
        <v/>
      </c>
      <c r="CB177" s="829" t="str" cm="1">
        <f t="array" ref="CB177">IF($BP177="","",IF($BX177="",$BS177,IFERROR(IF($BV177="AL",_xlfn.XLOOKUP($BX177,Std_Al3_Code,INDEX(Std_Al3_Table,0,5)),IF($G177=1,_xlfn.XLOOKUP($BX177,Std_Cu1_Code,INDEX(Std_Cu1_Table,0,5)),_xlfn.XLOOKUP($BX177,Std_Cu3_Code,INDEX(Std_Cu3_Table,0,5)))),"")))</f>
        <v/>
      </c>
      <c r="CC177" s="829" t="str">
        <f t="shared" si="53"/>
        <v/>
      </c>
      <c r="CD177" s="829" t="str">
        <f t="shared" si="54"/>
        <v/>
      </c>
      <c r="CE177" s="829" t="str">
        <f t="shared" si="55"/>
        <v/>
      </c>
      <c r="CF177" s="829" t="str">
        <f t="shared" si="56"/>
        <v/>
      </c>
      <c r="CG177" s="829" t="str">
        <f t="shared" si="57"/>
        <v/>
      </c>
      <c r="CH177" s="829" t="str">
        <f t="shared" si="58"/>
        <v/>
      </c>
      <c r="CI177" s="829" t="str">
        <f t="shared" si="59"/>
        <v/>
      </c>
      <c r="CJ177" s="829" t="str" cm="1">
        <f t="array" ref="CJ177">IF($B177="","",_xlfn.LET(_xlpm.to,$D177&amp;"",_xlpm.em,IFERROR(INDEX(_xlfn.ANCHORARRAY($BE$4),ROW()-4,6),"")="EMERG",_xlpm.pri,AND(NOT(_xlpm.em),LEFT(_xlpm.to,2)="T-",ISNUMBER(MATCH(MID(_xlpm.to,3,99),Equip_List,0)),ISNA(MATCH(_xlpm.to,Equip_List,0))),IF(_xlpm.pri,MID(_xlpm.to,3,99),_xlpm.to)))</f>
        <v/>
      </c>
      <c r="CK177" s="829" t="str" cm="1">
        <f t="array" ref="CK177">IF($CJ177="","",IF(IFERROR(INDEX(_xlfn.ANCHORARRAY($BE$4),ROW()-4,6),"")="EMERG","E",IF($CJ177&lt;&gt;$D177&amp;"","P","N")))</f>
        <v/>
      </c>
    </row>
    <row r="178" spans="1:89" ht="15" customHeight="1" x14ac:dyDescent="0.35">
      <c r="A178" s="821" t="str">
        <f t="shared" si="47"/>
        <v/>
      </c>
      <c r="B178" s="821" t="str" cm="1">
        <f t="array" ref="B178">IFERROR(IF(INDEX(_xlfn.ANCHORARRAY($BE$4),ROW()-4,2)="","","F-"&amp;INDEX(_xlfn.ANCHORARRAY($BE$4),ROW()-4,2)&amp;IF(IFERROR(INDEX(_xlfn.ANCHORARRAY($BE$4),ROW()-4,6),"")="EMERG","-E","")),"")</f>
        <v/>
      </c>
      <c r="C178" s="821" t="str" cm="1">
        <f t="array" ref="C178">IFERROR(IF($B178="","",INDEX(_xlfn.ANCHORARRAY($BE$4),ROW()-4,1)),"")</f>
        <v/>
      </c>
      <c r="D178" s="821" t="str" cm="1">
        <f t="array" ref="D178">IFERROR(IF($B178="","",INDEX(_xlfn.ANCHORARRAY($BE$4),ROW()-4,2)),"")</f>
        <v/>
      </c>
      <c r="E178" s="806" t="str" cm="1">
        <f t="array" ref="E178">IFERROR(IF($B178="","",INDEX(_xlfn.ANCHORARRAY($BE$4),ROW()-4,3)),"")</f>
        <v/>
      </c>
      <c r="F178" s="822" t="str" cm="1">
        <f t="array" ref="F178">IFERROR(IF($B178="","",INDEX(_xlfn.ANCHORARRAY($BE$4),ROW()-4,4)),"")</f>
        <v/>
      </c>
      <c r="G178" s="823" t="str" cm="1">
        <f t="array" ref="G178">IFERROR(IF($B178="","",INDEX(_xlfn.ANCHORARRAY($BE$4),ROW()-4,5)),"")</f>
        <v/>
      </c>
      <c r="H178" s="824" t="str" cm="1">
        <f t="array" ref="H178">IF($CJ178="","",_xlfn.LET(_xlpm.v,_xlfn.XLOOKUP($CJ178,Equip_List,IF($CK178="E",Equip_EmLen,IF($CK178="P",Equip_XfPriLen,Equip_FdrLen)),""),IF(_xlpm.v="","",_xlpm.v)))</f>
        <v/>
      </c>
      <c r="I178" s="806" t="str">
        <f t="shared" si="40"/>
        <v/>
      </c>
      <c r="J178" s="820"/>
      <c r="K178" s="806" t="str">
        <f>_xlfn.LET(_xlpm.k,IF($I178="","",IF(COUNTIF(UPS!$B$57:$B$64,$C178&amp;"")&gt;0,1.25*MAX($I178,N(_xlfn.XLOOKUP($C178&amp;"",UPS!$B$57:$B$64,UPS!$M$57:$M$64,0))),IF(COUNTIF(UPS!$B$57:$B$64,$D178&amp;"")&gt;0,1.25*MAX($I178,N(_xlfn.XLOOKUP($D178&amp;"",UPS!$B$57:$B$64,UPS!$Q$57:$Q$64,0))),$I178*IF(OR(UPPER($J178)="Y",LEFT($C178,2)="T-",LEFT($D178,2)="T-"),1.25,1)))),IF(_xlpm.k="","",MAX(_xlpm.k,N(IFERROR(_xlfn.XLOOKUP($D178&amp;"",Dashboard!$A$101:$A$350,Dashboard!$O$101:$O$350,0),0)))))</f>
        <v/>
      </c>
      <c r="L178" s="825" t="str">
        <f>IF($CJ178="","",_xlfn.LET(_xlpm.v,UPPER(TRIM(_xlfn.XLOOKUP($CJ178,Equip_List,Equip_FdrMat,"")&amp;"")),IF(_xlpm.v="",UPPER(TRIM(Cfg_FeederMat&amp;"")),_xlpm.v)))</f>
        <v/>
      </c>
      <c r="M178" s="825" t="str">
        <f>IF($CJ178="","",_xlfn.LET(_xlpm.v,TRIM(_xlfn.XLOOKUP($CJ178,Equip_List,Equip_FdrRace,"")&amp;""),IF(_xlpm.v="",Cfg_Conduit&amp;"",_xlpm.v)))</f>
        <v/>
      </c>
      <c r="N178" s="825" t="str">
        <f>IF($CJ178="","",IF(UPPER(TRIM(_xlfn.XLOOKUP($CJ178,Equip_List,Equip_FdrExist,"")&amp;""))="Y","Y",""))</f>
        <v/>
      </c>
      <c r="O178" s="823" t="str">
        <f t="shared" si="48"/>
        <v/>
      </c>
      <c r="P178" s="821" t="str">
        <f t="shared" si="49"/>
        <v/>
      </c>
      <c r="Q178" s="821" t="str">
        <f t="shared" si="50"/>
        <v/>
      </c>
      <c r="R178" s="822" t="str" cm="1">
        <f t="array" ref="R178">IF(K178="","",INDEX(OCPD_List,MATCH(TRUE,OCPD_List&gt;=K178,0)))</f>
        <v/>
      </c>
      <c r="S178" s="821" t="str">
        <f t="shared" si="51"/>
        <v/>
      </c>
      <c r="T178" s="826" t="str">
        <f t="shared" si="41"/>
        <v/>
      </c>
      <c r="U178" s="826" t="str">
        <f t="shared" si="42"/>
        <v/>
      </c>
      <c r="V178" s="827" t="str">
        <f t="shared" si="43"/>
        <v/>
      </c>
      <c r="W178" s="828"/>
      <c r="X178" s="819"/>
      <c r="Y178" s="820"/>
      <c r="Z178" s="820"/>
      <c r="AA178" s="820"/>
      <c r="BN178" s="832" t="str">
        <f>IF($B178="","",IFERROR(_xlfn.XLOOKUP($D178,Dashboard!$A$101:$A$350,Dashboard!$C$101:$C$350),""))</f>
        <v/>
      </c>
      <c r="BO178" s="832" t="str">
        <f t="shared" si="44"/>
        <v/>
      </c>
      <c r="BP178" s="832" t="str" cm="1">
        <f t="array" ref="BP178">IF(OR($B178="",$R178="",NOT(ISNUMBER($R178))),"",IF(AND($BV178="AL",$G178=1),"",_xlfn.LET(_xlpm.codes,IF($BV178="AL",Std_Al3_Code,IF($G178=1,Std_Cu1_Code,Std_Cu3_Code)),_xlpm.amps,IFERROR(--SUBSTITUTE(_xlpm.codes&amp;"","N",""),""),_xlpm.a,MIN(IF(ISNUMBER(_xlpm.amps),IF(_xlpm.amps&gt;=$R178,_xlpm.amps,""),"")),_xlpm.k,IF(_xlpm.a=0,$R178,_xlpm.a),IF($BO178="Y",TEXT(_xlpm.k,"0")&amp;"N",_xlpm.k))))</f>
        <v/>
      </c>
      <c r="BQ178" s="832" t="str" cm="1">
        <f t="array" ref="BQ178">IF($BP178="","",IFERROR(IF($BV178="AL",_xlfn.XLOOKUP($BP178,Std_Al3_Code,INDEX(Std_Al3_Table,0,3)),IF($G178=1,_xlfn.XLOOKUP($BP178,Std_Cu1_Code,INDEX(Std_Cu1_Table,0,3)),_xlfn.XLOOKUP($BP178,Std_Cu3_Code,INDEX(Std_Cu3_Table,0,3)))),""))</f>
        <v/>
      </c>
      <c r="BR178" s="832" t="str" cm="1">
        <f t="array" ref="BR178">IF($BP178="","",IFERROR(IF($BV178="AL",_xlfn.XLOOKUP($BP178,Std_Al3_Code,INDEX(Std_Al3_Table,0,4)),IF($G178=1,_xlfn.XLOOKUP($BP178,Std_Cu1_Code,INDEX(Std_Cu1_Table,0,4)),_xlfn.XLOOKUP($BP178,Std_Cu3_Code,INDEX(Std_Cu3_Table,0,4)))),""))</f>
        <v/>
      </c>
      <c r="BS178" s="832" t="str" cm="1">
        <f t="array" ref="BS178">IF($BP178="","",IFERROR(IF($BV178="AL",_xlfn.XLOOKUP($BP178,Std_Al3_Code,INDEX(Std_Al3_Table,0,5)),IF($G178=1,_xlfn.XLOOKUP($BP178,Std_Cu1_Code,INDEX(Std_Cu1_Table,0,5)),_xlfn.XLOOKUP($BP178,Std_Cu3_Code,INDEX(Std_Cu3_Table,0,5)))),""))</f>
        <v/>
      </c>
      <c r="BT178" s="832" t="str">
        <f t="shared" si="45"/>
        <v/>
      </c>
      <c r="BU178" s="832" t="str" cm="1">
        <f t="array" ref="BU178">IF($BP178="","",IFERROR(IF($BV178="AL",_xlfn.XLOOKUP($BP178,Std_Al3_Code,INDEX(Std_Al3_Table,0,2)),IF($G178=1,_xlfn.XLOOKUP($BP178,Std_Cu1_Code,INDEX(Std_Cu1_Table,0,2)),_xlfn.XLOOKUP($BP178,Std_Cu3_Code,INDEX(Std_Cu3_Table,0,2)))),""))</f>
        <v/>
      </c>
      <c r="BV178" s="829" t="str">
        <f t="shared" si="46"/>
        <v/>
      </c>
      <c r="BW178" s="829" t="str">
        <f t="shared" si="52"/>
        <v/>
      </c>
      <c r="BX178" s="829" t="str" cm="1">
        <f t="array" ref="BX178">IF(OR($BP178="",$H178="",$I178="",$F178="",$BW178=""),"",IFERROR(_xlfn.LET(_xlpm.codes,IF($BV178="AL",Std_Al3_Code,IF($G178=1,Std_Cu1_Code,Std_Cu3_Code)),_xlpm.tbl,IF($BV178="AL",Std_Al3_Table,IF($G178=1,Std_Cu1_Table,Std_Cu3_Table)),_xlpm.i,MATCH($BP178,_xlpm.codes,0),_xlpm.idx,_xlfn.SEQUENCE(ROWS(_xlpm.codes)),_xlpm.cnd,INDEX(_xlpm.tbl,0,4),_xlpm.sts,INDEX(_xlpm.tbl,0,2),_xlpm.sz,IFERROR(_xlfn.TEXTBEFORE(_xlfn.TEXTAFTER(_xlpm.cnd,"#"),","),IFERROR(_xlfn.TEXTAFTER(_xlpm.cnd,"#"),"")),_xlpm.cm,IFERROR(_xlfn.XLOOKUP(TRIM(_xlpm.sz),Ampacity_Size,Ampacity_CM),0),_xlpm.mult,IF($G178=3,SQRT3,2),_xlpm.kk,IF($BV178="AL",K_Al,K_Cu),_xlpm.vd,IF(_xlpm.cm*IF(ISNUMBER(_xlpm.sts),_xlpm.sts,0)=0,9,_xlpm.mult*_xlpm.kk*$I178*$H178/(_xlpm.cm*_xlpm.sts)/$F178),_xlpm.hasN,--(RIGHT(_xlpm.codes&amp;"",1)="N"),_xlpm.wantN,--(RIGHT($BP178&amp;"",1)="N"),_xlpm.ok,(_xlpm.idx&gt;=_xlpm.i)*(_xlpm.vd&lt;=Cfg_VDFeeder)*(_xlpm.cm&gt;0)*ISNUMBER(_xlpm.sts)*(_xlpm.hasN=_xlpm.wantN),_xlpm.m,MIN(IF(_xlpm.ok=1,_xlpm.idx)),INDEX(_xlpm.codes,IF(_xlpm.m=0,_xlpm.i,_xlpm.m))),""))</f>
        <v/>
      </c>
      <c r="BY178" s="829" t="str" cm="1">
        <f t="array" ref="BY178">IF($BP178="","",IF($BX178="",$BU178,IFERROR(IF($BV178="AL",_xlfn.XLOOKUP($BX178,Std_Al3_Code,INDEX(Std_Al3_Table,0,2)),IF($G178=1,_xlfn.XLOOKUP($BX178,Std_Cu1_Code,INDEX(Std_Cu1_Table,0,2)),_xlfn.XLOOKUP($BX178,Std_Cu3_Code,INDEX(Std_Cu3_Table,0,2)))),"")))</f>
        <v/>
      </c>
      <c r="BZ178" s="829" t="str" cm="1">
        <f t="array" ref="BZ178">IF($BP178="","",IF($BX178="",$BR178,IFERROR(IF($BV178="AL",_xlfn.XLOOKUP($BX178,Std_Al3_Code,INDEX(Std_Al3_Table,0,4)),IF($G178=1,_xlfn.XLOOKUP($BX178,Std_Cu1_Code,INDEX(Std_Cu1_Table,0,4)),_xlfn.XLOOKUP($BX178,Std_Cu3_Code,INDEX(Std_Cu3_Table,0,4)))),"")))</f>
        <v/>
      </c>
      <c r="CA178" s="829" t="str" cm="1">
        <f t="array" ref="CA178">IF($BP178="","",IF($BX178="",$BQ178,IFERROR(IF($BV178="AL",_xlfn.XLOOKUP($BX178,Std_Al3_Code,INDEX(Std_Al3_Table,0,3)),IF($G178=1,_xlfn.XLOOKUP($BX178,Std_Cu1_Code,INDEX(Std_Cu1_Table,0,3)),_xlfn.XLOOKUP($BX178,Std_Cu3_Code,INDEX(Std_Cu3_Table,0,3)))),"")))</f>
        <v/>
      </c>
      <c r="CB178" s="829" t="str" cm="1">
        <f t="array" ref="CB178">IF($BP178="","",IF($BX178="",$BS178,IFERROR(IF($BV178="AL",_xlfn.XLOOKUP($BX178,Std_Al3_Code,INDEX(Std_Al3_Table,0,5)),IF($G178=1,_xlfn.XLOOKUP($BX178,Std_Cu1_Code,INDEX(Std_Cu1_Table,0,5)),_xlfn.XLOOKUP($BX178,Std_Cu3_Code,INDEX(Std_Cu3_Table,0,5)))),"")))</f>
        <v/>
      </c>
      <c r="CC178" s="829" t="str">
        <f t="shared" si="53"/>
        <v/>
      </c>
      <c r="CD178" s="829" t="str">
        <f t="shared" si="54"/>
        <v/>
      </c>
      <c r="CE178" s="829" t="str">
        <f t="shared" si="55"/>
        <v/>
      </c>
      <c r="CF178" s="829" t="str">
        <f t="shared" si="56"/>
        <v/>
      </c>
      <c r="CG178" s="829" t="str">
        <f t="shared" si="57"/>
        <v/>
      </c>
      <c r="CH178" s="829" t="str">
        <f t="shared" si="58"/>
        <v/>
      </c>
      <c r="CI178" s="829" t="str">
        <f t="shared" si="59"/>
        <v/>
      </c>
      <c r="CJ178" s="829" t="str" cm="1">
        <f t="array" ref="CJ178">IF($B178="","",_xlfn.LET(_xlpm.to,$D178&amp;"",_xlpm.em,IFERROR(INDEX(_xlfn.ANCHORARRAY($BE$4),ROW()-4,6),"")="EMERG",_xlpm.pri,AND(NOT(_xlpm.em),LEFT(_xlpm.to,2)="T-",ISNUMBER(MATCH(MID(_xlpm.to,3,99),Equip_List,0)),ISNA(MATCH(_xlpm.to,Equip_List,0))),IF(_xlpm.pri,MID(_xlpm.to,3,99),_xlpm.to)))</f>
        <v/>
      </c>
      <c r="CK178" s="829" t="str" cm="1">
        <f t="array" ref="CK178">IF($CJ178="","",IF(IFERROR(INDEX(_xlfn.ANCHORARRAY($BE$4),ROW()-4,6),"")="EMERG","E",IF($CJ178&lt;&gt;$D178&amp;"","P","N")))</f>
        <v/>
      </c>
    </row>
    <row r="179" spans="1:89" ht="15" customHeight="1" x14ac:dyDescent="0.35">
      <c r="A179" s="821" t="str">
        <f t="shared" si="47"/>
        <v/>
      </c>
      <c r="B179" s="821" t="str" cm="1">
        <f t="array" ref="B179">IFERROR(IF(INDEX(_xlfn.ANCHORARRAY($BE$4),ROW()-4,2)="","","F-"&amp;INDEX(_xlfn.ANCHORARRAY($BE$4),ROW()-4,2)&amp;IF(IFERROR(INDEX(_xlfn.ANCHORARRAY($BE$4),ROW()-4,6),"")="EMERG","-E","")),"")</f>
        <v/>
      </c>
      <c r="C179" s="821" t="str" cm="1">
        <f t="array" ref="C179">IFERROR(IF($B179="","",INDEX(_xlfn.ANCHORARRAY($BE$4),ROW()-4,1)),"")</f>
        <v/>
      </c>
      <c r="D179" s="821" t="str" cm="1">
        <f t="array" ref="D179">IFERROR(IF($B179="","",INDEX(_xlfn.ANCHORARRAY($BE$4),ROW()-4,2)),"")</f>
        <v/>
      </c>
      <c r="E179" s="806" t="str" cm="1">
        <f t="array" ref="E179">IFERROR(IF($B179="","",INDEX(_xlfn.ANCHORARRAY($BE$4),ROW()-4,3)),"")</f>
        <v/>
      </c>
      <c r="F179" s="822" t="str" cm="1">
        <f t="array" ref="F179">IFERROR(IF($B179="","",INDEX(_xlfn.ANCHORARRAY($BE$4),ROW()-4,4)),"")</f>
        <v/>
      </c>
      <c r="G179" s="823" t="str" cm="1">
        <f t="array" ref="G179">IFERROR(IF($B179="","",INDEX(_xlfn.ANCHORARRAY($BE$4),ROW()-4,5)),"")</f>
        <v/>
      </c>
      <c r="H179" s="824" t="str" cm="1">
        <f t="array" ref="H179">IF($CJ179="","",_xlfn.LET(_xlpm.v,_xlfn.XLOOKUP($CJ179,Equip_List,IF($CK179="E",Equip_EmLen,IF($CK179="P",Equip_XfPriLen,Equip_FdrLen)),""),IF(_xlpm.v="","",_xlpm.v)))</f>
        <v/>
      </c>
      <c r="I179" s="806" t="str">
        <f t="shared" si="40"/>
        <v/>
      </c>
      <c r="J179" s="820"/>
      <c r="K179" s="806" t="str">
        <f>_xlfn.LET(_xlpm.k,IF($I179="","",IF(COUNTIF(UPS!$B$57:$B$64,$C179&amp;"")&gt;0,1.25*MAX($I179,N(_xlfn.XLOOKUP($C179&amp;"",UPS!$B$57:$B$64,UPS!$M$57:$M$64,0))),IF(COUNTIF(UPS!$B$57:$B$64,$D179&amp;"")&gt;0,1.25*MAX($I179,N(_xlfn.XLOOKUP($D179&amp;"",UPS!$B$57:$B$64,UPS!$Q$57:$Q$64,0))),$I179*IF(OR(UPPER($J179)="Y",LEFT($C179,2)="T-",LEFT($D179,2)="T-"),1.25,1)))),IF(_xlpm.k="","",MAX(_xlpm.k,N(IFERROR(_xlfn.XLOOKUP($D179&amp;"",Dashboard!$A$101:$A$350,Dashboard!$O$101:$O$350,0),0)))))</f>
        <v/>
      </c>
      <c r="L179" s="825" t="str">
        <f>IF($CJ179="","",_xlfn.LET(_xlpm.v,UPPER(TRIM(_xlfn.XLOOKUP($CJ179,Equip_List,Equip_FdrMat,"")&amp;"")),IF(_xlpm.v="",UPPER(TRIM(Cfg_FeederMat&amp;"")),_xlpm.v)))</f>
        <v/>
      </c>
      <c r="M179" s="825" t="str">
        <f>IF($CJ179="","",_xlfn.LET(_xlpm.v,TRIM(_xlfn.XLOOKUP($CJ179,Equip_List,Equip_FdrRace,"")&amp;""),IF(_xlpm.v="",Cfg_Conduit&amp;"",_xlpm.v)))</f>
        <v/>
      </c>
      <c r="N179" s="825" t="str">
        <f>IF($CJ179="","",IF(UPPER(TRIM(_xlfn.XLOOKUP($CJ179,Equip_List,Equip_FdrExist,"")&amp;""))="Y","Y",""))</f>
        <v/>
      </c>
      <c r="O179" s="823" t="str">
        <f t="shared" si="48"/>
        <v/>
      </c>
      <c r="P179" s="821" t="str">
        <f t="shared" si="49"/>
        <v/>
      </c>
      <c r="Q179" s="821" t="str">
        <f t="shared" si="50"/>
        <v/>
      </c>
      <c r="R179" s="822" t="str" cm="1">
        <f t="array" ref="R179">IF(K179="","",INDEX(OCPD_List,MATCH(TRUE,OCPD_List&gt;=K179,0)))</f>
        <v/>
      </c>
      <c r="S179" s="821" t="str">
        <f t="shared" si="51"/>
        <v/>
      </c>
      <c r="T179" s="826" t="str">
        <f t="shared" si="41"/>
        <v/>
      </c>
      <c r="U179" s="826" t="str">
        <f t="shared" si="42"/>
        <v/>
      </c>
      <c r="V179" s="827" t="str">
        <f t="shared" si="43"/>
        <v/>
      </c>
      <c r="W179" s="828"/>
      <c r="X179" s="819"/>
      <c r="Y179" s="820"/>
      <c r="Z179" s="820"/>
      <c r="AA179" s="820"/>
      <c r="BN179" s="832" t="str">
        <f>IF($B179="","",IFERROR(_xlfn.XLOOKUP($D179,Dashboard!$A$101:$A$350,Dashboard!$C$101:$C$350),""))</f>
        <v/>
      </c>
      <c r="BO179" s="832" t="str">
        <f t="shared" si="44"/>
        <v/>
      </c>
      <c r="BP179" s="832" t="str" cm="1">
        <f t="array" ref="BP179">IF(OR($B179="",$R179="",NOT(ISNUMBER($R179))),"",IF(AND($BV179="AL",$G179=1),"",_xlfn.LET(_xlpm.codes,IF($BV179="AL",Std_Al3_Code,IF($G179=1,Std_Cu1_Code,Std_Cu3_Code)),_xlpm.amps,IFERROR(--SUBSTITUTE(_xlpm.codes&amp;"","N",""),""),_xlpm.a,MIN(IF(ISNUMBER(_xlpm.amps),IF(_xlpm.amps&gt;=$R179,_xlpm.amps,""),"")),_xlpm.k,IF(_xlpm.a=0,$R179,_xlpm.a),IF($BO179="Y",TEXT(_xlpm.k,"0")&amp;"N",_xlpm.k))))</f>
        <v/>
      </c>
      <c r="BQ179" s="832" t="str" cm="1">
        <f t="array" ref="BQ179">IF($BP179="","",IFERROR(IF($BV179="AL",_xlfn.XLOOKUP($BP179,Std_Al3_Code,INDEX(Std_Al3_Table,0,3)),IF($G179=1,_xlfn.XLOOKUP($BP179,Std_Cu1_Code,INDEX(Std_Cu1_Table,0,3)),_xlfn.XLOOKUP($BP179,Std_Cu3_Code,INDEX(Std_Cu3_Table,0,3)))),""))</f>
        <v/>
      </c>
      <c r="BR179" s="832" t="str" cm="1">
        <f t="array" ref="BR179">IF($BP179="","",IFERROR(IF($BV179="AL",_xlfn.XLOOKUP($BP179,Std_Al3_Code,INDEX(Std_Al3_Table,0,4)),IF($G179=1,_xlfn.XLOOKUP($BP179,Std_Cu1_Code,INDEX(Std_Cu1_Table,0,4)),_xlfn.XLOOKUP($BP179,Std_Cu3_Code,INDEX(Std_Cu3_Table,0,4)))),""))</f>
        <v/>
      </c>
      <c r="BS179" s="832" t="str" cm="1">
        <f t="array" ref="BS179">IF($BP179="","",IFERROR(IF($BV179="AL",_xlfn.XLOOKUP($BP179,Std_Al3_Code,INDEX(Std_Al3_Table,0,5)),IF($G179=1,_xlfn.XLOOKUP($BP179,Std_Cu1_Code,INDEX(Std_Cu1_Table,0,5)),_xlfn.XLOOKUP($BP179,Std_Cu3_Code,INDEX(Std_Cu3_Table,0,5)))),""))</f>
        <v/>
      </c>
      <c r="BT179" s="832" t="str">
        <f t="shared" si="45"/>
        <v/>
      </c>
      <c r="BU179" s="832" t="str" cm="1">
        <f t="array" ref="BU179">IF($BP179="","",IFERROR(IF($BV179="AL",_xlfn.XLOOKUP($BP179,Std_Al3_Code,INDEX(Std_Al3_Table,0,2)),IF($G179=1,_xlfn.XLOOKUP($BP179,Std_Cu1_Code,INDEX(Std_Cu1_Table,0,2)),_xlfn.XLOOKUP($BP179,Std_Cu3_Code,INDEX(Std_Cu3_Table,0,2)))),""))</f>
        <v/>
      </c>
      <c r="BV179" s="829" t="str">
        <f t="shared" si="46"/>
        <v/>
      </c>
      <c r="BW179" s="829" t="str">
        <f t="shared" si="52"/>
        <v/>
      </c>
      <c r="BX179" s="829" t="str" cm="1">
        <f t="array" ref="BX179">IF(OR($BP179="",$H179="",$I179="",$F179="",$BW179=""),"",IFERROR(_xlfn.LET(_xlpm.codes,IF($BV179="AL",Std_Al3_Code,IF($G179=1,Std_Cu1_Code,Std_Cu3_Code)),_xlpm.tbl,IF($BV179="AL",Std_Al3_Table,IF($G179=1,Std_Cu1_Table,Std_Cu3_Table)),_xlpm.i,MATCH($BP179,_xlpm.codes,0),_xlpm.idx,_xlfn.SEQUENCE(ROWS(_xlpm.codes)),_xlpm.cnd,INDEX(_xlpm.tbl,0,4),_xlpm.sts,INDEX(_xlpm.tbl,0,2),_xlpm.sz,IFERROR(_xlfn.TEXTBEFORE(_xlfn.TEXTAFTER(_xlpm.cnd,"#"),","),IFERROR(_xlfn.TEXTAFTER(_xlpm.cnd,"#"),"")),_xlpm.cm,IFERROR(_xlfn.XLOOKUP(TRIM(_xlpm.sz),Ampacity_Size,Ampacity_CM),0),_xlpm.mult,IF($G179=3,SQRT3,2),_xlpm.kk,IF($BV179="AL",K_Al,K_Cu),_xlpm.vd,IF(_xlpm.cm*IF(ISNUMBER(_xlpm.sts),_xlpm.sts,0)=0,9,_xlpm.mult*_xlpm.kk*$I179*$H179/(_xlpm.cm*_xlpm.sts)/$F179),_xlpm.hasN,--(RIGHT(_xlpm.codes&amp;"",1)="N"),_xlpm.wantN,--(RIGHT($BP179&amp;"",1)="N"),_xlpm.ok,(_xlpm.idx&gt;=_xlpm.i)*(_xlpm.vd&lt;=Cfg_VDFeeder)*(_xlpm.cm&gt;0)*ISNUMBER(_xlpm.sts)*(_xlpm.hasN=_xlpm.wantN),_xlpm.m,MIN(IF(_xlpm.ok=1,_xlpm.idx)),INDEX(_xlpm.codes,IF(_xlpm.m=0,_xlpm.i,_xlpm.m))),""))</f>
        <v/>
      </c>
      <c r="BY179" s="829" t="str" cm="1">
        <f t="array" ref="BY179">IF($BP179="","",IF($BX179="",$BU179,IFERROR(IF($BV179="AL",_xlfn.XLOOKUP($BX179,Std_Al3_Code,INDEX(Std_Al3_Table,0,2)),IF($G179=1,_xlfn.XLOOKUP($BX179,Std_Cu1_Code,INDEX(Std_Cu1_Table,0,2)),_xlfn.XLOOKUP($BX179,Std_Cu3_Code,INDEX(Std_Cu3_Table,0,2)))),"")))</f>
        <v/>
      </c>
      <c r="BZ179" s="829" t="str" cm="1">
        <f t="array" ref="BZ179">IF($BP179="","",IF($BX179="",$BR179,IFERROR(IF($BV179="AL",_xlfn.XLOOKUP($BX179,Std_Al3_Code,INDEX(Std_Al3_Table,0,4)),IF($G179=1,_xlfn.XLOOKUP($BX179,Std_Cu1_Code,INDEX(Std_Cu1_Table,0,4)),_xlfn.XLOOKUP($BX179,Std_Cu3_Code,INDEX(Std_Cu3_Table,0,4)))),"")))</f>
        <v/>
      </c>
      <c r="CA179" s="829" t="str" cm="1">
        <f t="array" ref="CA179">IF($BP179="","",IF($BX179="",$BQ179,IFERROR(IF($BV179="AL",_xlfn.XLOOKUP($BX179,Std_Al3_Code,INDEX(Std_Al3_Table,0,3)),IF($G179=1,_xlfn.XLOOKUP($BX179,Std_Cu1_Code,INDEX(Std_Cu1_Table,0,3)),_xlfn.XLOOKUP($BX179,Std_Cu3_Code,INDEX(Std_Cu3_Table,0,3)))),"")))</f>
        <v/>
      </c>
      <c r="CB179" s="829" t="str" cm="1">
        <f t="array" ref="CB179">IF($BP179="","",IF($BX179="",$BS179,IFERROR(IF($BV179="AL",_xlfn.XLOOKUP($BX179,Std_Al3_Code,INDEX(Std_Al3_Table,0,5)),IF($G179=1,_xlfn.XLOOKUP($BX179,Std_Cu1_Code,INDEX(Std_Cu1_Table,0,5)),_xlfn.XLOOKUP($BX179,Std_Cu3_Code,INDEX(Std_Cu3_Table,0,5)))),"")))</f>
        <v/>
      </c>
      <c r="CC179" s="829" t="str">
        <f t="shared" si="53"/>
        <v/>
      </c>
      <c r="CD179" s="829" t="str">
        <f t="shared" si="54"/>
        <v/>
      </c>
      <c r="CE179" s="829" t="str">
        <f t="shared" si="55"/>
        <v/>
      </c>
      <c r="CF179" s="829" t="str">
        <f t="shared" si="56"/>
        <v/>
      </c>
      <c r="CG179" s="829" t="str">
        <f t="shared" si="57"/>
        <v/>
      </c>
      <c r="CH179" s="829" t="str">
        <f t="shared" si="58"/>
        <v/>
      </c>
      <c r="CI179" s="829" t="str">
        <f t="shared" si="59"/>
        <v/>
      </c>
      <c r="CJ179" s="829" t="str" cm="1">
        <f t="array" ref="CJ179">IF($B179="","",_xlfn.LET(_xlpm.to,$D179&amp;"",_xlpm.em,IFERROR(INDEX(_xlfn.ANCHORARRAY($BE$4),ROW()-4,6),"")="EMERG",_xlpm.pri,AND(NOT(_xlpm.em),LEFT(_xlpm.to,2)="T-",ISNUMBER(MATCH(MID(_xlpm.to,3,99),Equip_List,0)),ISNA(MATCH(_xlpm.to,Equip_List,0))),IF(_xlpm.pri,MID(_xlpm.to,3,99),_xlpm.to)))</f>
        <v/>
      </c>
      <c r="CK179" s="829" t="str" cm="1">
        <f t="array" ref="CK179">IF($CJ179="","",IF(IFERROR(INDEX(_xlfn.ANCHORARRAY($BE$4),ROW()-4,6),"")="EMERG","E",IF($CJ179&lt;&gt;$D179&amp;"","P","N")))</f>
        <v/>
      </c>
    </row>
    <row r="180" spans="1:89" ht="15" customHeight="1" x14ac:dyDescent="0.35">
      <c r="A180" s="821" t="str">
        <f t="shared" si="47"/>
        <v/>
      </c>
      <c r="B180" s="821" t="str" cm="1">
        <f t="array" ref="B180">IFERROR(IF(INDEX(_xlfn.ANCHORARRAY($BE$4),ROW()-4,2)="","","F-"&amp;INDEX(_xlfn.ANCHORARRAY($BE$4),ROW()-4,2)&amp;IF(IFERROR(INDEX(_xlfn.ANCHORARRAY($BE$4),ROW()-4,6),"")="EMERG","-E","")),"")</f>
        <v/>
      </c>
      <c r="C180" s="821" t="str" cm="1">
        <f t="array" ref="C180">IFERROR(IF($B180="","",INDEX(_xlfn.ANCHORARRAY($BE$4),ROW()-4,1)),"")</f>
        <v/>
      </c>
      <c r="D180" s="821" t="str" cm="1">
        <f t="array" ref="D180">IFERROR(IF($B180="","",INDEX(_xlfn.ANCHORARRAY($BE$4),ROW()-4,2)),"")</f>
        <v/>
      </c>
      <c r="E180" s="806" t="str" cm="1">
        <f t="array" ref="E180">IFERROR(IF($B180="","",INDEX(_xlfn.ANCHORARRAY($BE$4),ROW()-4,3)),"")</f>
        <v/>
      </c>
      <c r="F180" s="822" t="str" cm="1">
        <f t="array" ref="F180">IFERROR(IF($B180="","",INDEX(_xlfn.ANCHORARRAY($BE$4),ROW()-4,4)),"")</f>
        <v/>
      </c>
      <c r="G180" s="823" t="str" cm="1">
        <f t="array" ref="G180">IFERROR(IF($B180="","",INDEX(_xlfn.ANCHORARRAY($BE$4),ROW()-4,5)),"")</f>
        <v/>
      </c>
      <c r="H180" s="824" t="str" cm="1">
        <f t="array" ref="H180">IF($CJ180="","",_xlfn.LET(_xlpm.v,_xlfn.XLOOKUP($CJ180,Equip_List,IF($CK180="E",Equip_EmLen,IF($CK180="P",Equip_XfPriLen,Equip_FdrLen)),""),IF(_xlpm.v="","",_xlpm.v)))</f>
        <v/>
      </c>
      <c r="I180" s="806" t="str">
        <f t="shared" si="40"/>
        <v/>
      </c>
      <c r="J180" s="820"/>
      <c r="K180" s="806" t="str">
        <f>_xlfn.LET(_xlpm.k,IF($I180="","",IF(COUNTIF(UPS!$B$57:$B$64,$C180&amp;"")&gt;0,1.25*MAX($I180,N(_xlfn.XLOOKUP($C180&amp;"",UPS!$B$57:$B$64,UPS!$M$57:$M$64,0))),IF(COUNTIF(UPS!$B$57:$B$64,$D180&amp;"")&gt;0,1.25*MAX($I180,N(_xlfn.XLOOKUP($D180&amp;"",UPS!$B$57:$B$64,UPS!$Q$57:$Q$64,0))),$I180*IF(OR(UPPER($J180)="Y",LEFT($C180,2)="T-",LEFT($D180,2)="T-"),1.25,1)))),IF(_xlpm.k="","",MAX(_xlpm.k,N(IFERROR(_xlfn.XLOOKUP($D180&amp;"",Dashboard!$A$101:$A$350,Dashboard!$O$101:$O$350,0),0)))))</f>
        <v/>
      </c>
      <c r="L180" s="825" t="str">
        <f>IF($CJ180="","",_xlfn.LET(_xlpm.v,UPPER(TRIM(_xlfn.XLOOKUP($CJ180,Equip_List,Equip_FdrMat,"")&amp;"")),IF(_xlpm.v="",UPPER(TRIM(Cfg_FeederMat&amp;"")),_xlpm.v)))</f>
        <v/>
      </c>
      <c r="M180" s="825" t="str">
        <f>IF($CJ180="","",_xlfn.LET(_xlpm.v,TRIM(_xlfn.XLOOKUP($CJ180,Equip_List,Equip_FdrRace,"")&amp;""),IF(_xlpm.v="",Cfg_Conduit&amp;"",_xlpm.v)))</f>
        <v/>
      </c>
      <c r="N180" s="825" t="str">
        <f>IF($CJ180="","",IF(UPPER(TRIM(_xlfn.XLOOKUP($CJ180,Equip_List,Equip_FdrExist,"")&amp;""))="Y","Y",""))</f>
        <v/>
      </c>
      <c r="O180" s="823" t="str">
        <f t="shared" si="48"/>
        <v/>
      </c>
      <c r="P180" s="821" t="str">
        <f t="shared" si="49"/>
        <v/>
      </c>
      <c r="Q180" s="821" t="str">
        <f t="shared" si="50"/>
        <v/>
      </c>
      <c r="R180" s="822" t="str" cm="1">
        <f t="array" ref="R180">IF(K180="","",INDEX(OCPD_List,MATCH(TRUE,OCPD_List&gt;=K180,0)))</f>
        <v/>
      </c>
      <c r="S180" s="821" t="str">
        <f t="shared" si="51"/>
        <v/>
      </c>
      <c r="T180" s="826" t="str">
        <f t="shared" si="41"/>
        <v/>
      </c>
      <c r="U180" s="826" t="str">
        <f t="shared" si="42"/>
        <v/>
      </c>
      <c r="V180" s="827" t="str">
        <f t="shared" si="43"/>
        <v/>
      </c>
      <c r="W180" s="828"/>
      <c r="X180" s="819"/>
      <c r="Y180" s="820"/>
      <c r="Z180" s="820"/>
      <c r="AA180" s="820"/>
      <c r="BN180" s="832" t="str">
        <f>IF($B180="","",IFERROR(_xlfn.XLOOKUP($D180,Dashboard!$A$101:$A$350,Dashboard!$C$101:$C$350),""))</f>
        <v/>
      </c>
      <c r="BO180" s="832" t="str">
        <f t="shared" si="44"/>
        <v/>
      </c>
      <c r="BP180" s="832" t="str" cm="1">
        <f t="array" ref="BP180">IF(OR($B180="",$R180="",NOT(ISNUMBER($R180))),"",IF(AND($BV180="AL",$G180=1),"",_xlfn.LET(_xlpm.codes,IF($BV180="AL",Std_Al3_Code,IF($G180=1,Std_Cu1_Code,Std_Cu3_Code)),_xlpm.amps,IFERROR(--SUBSTITUTE(_xlpm.codes&amp;"","N",""),""),_xlpm.a,MIN(IF(ISNUMBER(_xlpm.amps),IF(_xlpm.amps&gt;=$R180,_xlpm.amps,""),"")),_xlpm.k,IF(_xlpm.a=0,$R180,_xlpm.a),IF($BO180="Y",TEXT(_xlpm.k,"0")&amp;"N",_xlpm.k))))</f>
        <v/>
      </c>
      <c r="BQ180" s="832" t="str" cm="1">
        <f t="array" ref="BQ180">IF($BP180="","",IFERROR(IF($BV180="AL",_xlfn.XLOOKUP($BP180,Std_Al3_Code,INDEX(Std_Al3_Table,0,3)),IF($G180=1,_xlfn.XLOOKUP($BP180,Std_Cu1_Code,INDEX(Std_Cu1_Table,0,3)),_xlfn.XLOOKUP($BP180,Std_Cu3_Code,INDEX(Std_Cu3_Table,0,3)))),""))</f>
        <v/>
      </c>
      <c r="BR180" s="832" t="str" cm="1">
        <f t="array" ref="BR180">IF($BP180="","",IFERROR(IF($BV180="AL",_xlfn.XLOOKUP($BP180,Std_Al3_Code,INDEX(Std_Al3_Table,0,4)),IF($G180=1,_xlfn.XLOOKUP($BP180,Std_Cu1_Code,INDEX(Std_Cu1_Table,0,4)),_xlfn.XLOOKUP($BP180,Std_Cu3_Code,INDEX(Std_Cu3_Table,0,4)))),""))</f>
        <v/>
      </c>
      <c r="BS180" s="832" t="str" cm="1">
        <f t="array" ref="BS180">IF($BP180="","",IFERROR(IF($BV180="AL",_xlfn.XLOOKUP($BP180,Std_Al3_Code,INDEX(Std_Al3_Table,0,5)),IF($G180=1,_xlfn.XLOOKUP($BP180,Std_Cu1_Code,INDEX(Std_Cu1_Table,0,5)),_xlfn.XLOOKUP($BP180,Std_Cu3_Code,INDEX(Std_Cu3_Table,0,5)))),""))</f>
        <v/>
      </c>
      <c r="BT180" s="832" t="str">
        <f t="shared" si="45"/>
        <v/>
      </c>
      <c r="BU180" s="832" t="str" cm="1">
        <f t="array" ref="BU180">IF($BP180="","",IFERROR(IF($BV180="AL",_xlfn.XLOOKUP($BP180,Std_Al3_Code,INDEX(Std_Al3_Table,0,2)),IF($G180=1,_xlfn.XLOOKUP($BP180,Std_Cu1_Code,INDEX(Std_Cu1_Table,0,2)),_xlfn.XLOOKUP($BP180,Std_Cu3_Code,INDEX(Std_Cu3_Table,0,2)))),""))</f>
        <v/>
      </c>
      <c r="BV180" s="829" t="str">
        <f t="shared" si="46"/>
        <v/>
      </c>
      <c r="BW180" s="829" t="str">
        <f t="shared" si="52"/>
        <v/>
      </c>
      <c r="BX180" s="829" t="str" cm="1">
        <f t="array" ref="BX180">IF(OR($BP180="",$H180="",$I180="",$F180="",$BW180=""),"",IFERROR(_xlfn.LET(_xlpm.codes,IF($BV180="AL",Std_Al3_Code,IF($G180=1,Std_Cu1_Code,Std_Cu3_Code)),_xlpm.tbl,IF($BV180="AL",Std_Al3_Table,IF($G180=1,Std_Cu1_Table,Std_Cu3_Table)),_xlpm.i,MATCH($BP180,_xlpm.codes,0),_xlpm.idx,_xlfn.SEQUENCE(ROWS(_xlpm.codes)),_xlpm.cnd,INDEX(_xlpm.tbl,0,4),_xlpm.sts,INDEX(_xlpm.tbl,0,2),_xlpm.sz,IFERROR(_xlfn.TEXTBEFORE(_xlfn.TEXTAFTER(_xlpm.cnd,"#"),","),IFERROR(_xlfn.TEXTAFTER(_xlpm.cnd,"#"),"")),_xlpm.cm,IFERROR(_xlfn.XLOOKUP(TRIM(_xlpm.sz),Ampacity_Size,Ampacity_CM),0),_xlpm.mult,IF($G180=3,SQRT3,2),_xlpm.kk,IF($BV180="AL",K_Al,K_Cu),_xlpm.vd,IF(_xlpm.cm*IF(ISNUMBER(_xlpm.sts),_xlpm.sts,0)=0,9,_xlpm.mult*_xlpm.kk*$I180*$H180/(_xlpm.cm*_xlpm.sts)/$F180),_xlpm.hasN,--(RIGHT(_xlpm.codes&amp;"",1)="N"),_xlpm.wantN,--(RIGHT($BP180&amp;"",1)="N"),_xlpm.ok,(_xlpm.idx&gt;=_xlpm.i)*(_xlpm.vd&lt;=Cfg_VDFeeder)*(_xlpm.cm&gt;0)*ISNUMBER(_xlpm.sts)*(_xlpm.hasN=_xlpm.wantN),_xlpm.m,MIN(IF(_xlpm.ok=1,_xlpm.idx)),INDEX(_xlpm.codes,IF(_xlpm.m=0,_xlpm.i,_xlpm.m))),""))</f>
        <v/>
      </c>
      <c r="BY180" s="829" t="str" cm="1">
        <f t="array" ref="BY180">IF($BP180="","",IF($BX180="",$BU180,IFERROR(IF($BV180="AL",_xlfn.XLOOKUP($BX180,Std_Al3_Code,INDEX(Std_Al3_Table,0,2)),IF($G180=1,_xlfn.XLOOKUP($BX180,Std_Cu1_Code,INDEX(Std_Cu1_Table,0,2)),_xlfn.XLOOKUP($BX180,Std_Cu3_Code,INDEX(Std_Cu3_Table,0,2)))),"")))</f>
        <v/>
      </c>
      <c r="BZ180" s="829" t="str" cm="1">
        <f t="array" ref="BZ180">IF($BP180="","",IF($BX180="",$BR180,IFERROR(IF($BV180="AL",_xlfn.XLOOKUP($BX180,Std_Al3_Code,INDEX(Std_Al3_Table,0,4)),IF($G180=1,_xlfn.XLOOKUP($BX180,Std_Cu1_Code,INDEX(Std_Cu1_Table,0,4)),_xlfn.XLOOKUP($BX180,Std_Cu3_Code,INDEX(Std_Cu3_Table,0,4)))),"")))</f>
        <v/>
      </c>
      <c r="CA180" s="829" t="str" cm="1">
        <f t="array" ref="CA180">IF($BP180="","",IF($BX180="",$BQ180,IFERROR(IF($BV180="AL",_xlfn.XLOOKUP($BX180,Std_Al3_Code,INDEX(Std_Al3_Table,0,3)),IF($G180=1,_xlfn.XLOOKUP($BX180,Std_Cu1_Code,INDEX(Std_Cu1_Table,0,3)),_xlfn.XLOOKUP($BX180,Std_Cu3_Code,INDEX(Std_Cu3_Table,0,3)))),"")))</f>
        <v/>
      </c>
      <c r="CB180" s="829" t="str" cm="1">
        <f t="array" ref="CB180">IF($BP180="","",IF($BX180="",$BS180,IFERROR(IF($BV180="AL",_xlfn.XLOOKUP($BX180,Std_Al3_Code,INDEX(Std_Al3_Table,0,5)),IF($G180=1,_xlfn.XLOOKUP($BX180,Std_Cu1_Code,INDEX(Std_Cu1_Table,0,5)),_xlfn.XLOOKUP($BX180,Std_Cu3_Code,INDEX(Std_Cu3_Table,0,5)))),"")))</f>
        <v/>
      </c>
      <c r="CC180" s="829" t="str">
        <f t="shared" si="53"/>
        <v/>
      </c>
      <c r="CD180" s="829" t="str">
        <f t="shared" si="54"/>
        <v/>
      </c>
      <c r="CE180" s="829" t="str">
        <f t="shared" si="55"/>
        <v/>
      </c>
      <c r="CF180" s="829" t="str">
        <f t="shared" si="56"/>
        <v/>
      </c>
      <c r="CG180" s="829" t="str">
        <f t="shared" si="57"/>
        <v/>
      </c>
      <c r="CH180" s="829" t="str">
        <f t="shared" si="58"/>
        <v/>
      </c>
      <c r="CI180" s="829" t="str">
        <f t="shared" si="59"/>
        <v/>
      </c>
      <c r="CJ180" s="829" t="str" cm="1">
        <f t="array" ref="CJ180">IF($B180="","",_xlfn.LET(_xlpm.to,$D180&amp;"",_xlpm.em,IFERROR(INDEX(_xlfn.ANCHORARRAY($BE$4),ROW()-4,6),"")="EMERG",_xlpm.pri,AND(NOT(_xlpm.em),LEFT(_xlpm.to,2)="T-",ISNUMBER(MATCH(MID(_xlpm.to,3,99),Equip_List,0)),ISNA(MATCH(_xlpm.to,Equip_List,0))),IF(_xlpm.pri,MID(_xlpm.to,3,99),_xlpm.to)))</f>
        <v/>
      </c>
      <c r="CK180" s="829" t="str" cm="1">
        <f t="array" ref="CK180">IF($CJ180="","",IF(IFERROR(INDEX(_xlfn.ANCHORARRAY($BE$4),ROW()-4,6),"")="EMERG","E",IF($CJ180&lt;&gt;$D180&amp;"","P","N")))</f>
        <v/>
      </c>
    </row>
    <row r="181" spans="1:89" ht="15" customHeight="1" x14ac:dyDescent="0.35">
      <c r="A181" s="821" t="str">
        <f t="shared" si="47"/>
        <v/>
      </c>
      <c r="B181" s="821" t="str" cm="1">
        <f t="array" ref="B181">IFERROR(IF(INDEX(_xlfn.ANCHORARRAY($BE$4),ROW()-4,2)="","","F-"&amp;INDEX(_xlfn.ANCHORARRAY($BE$4),ROW()-4,2)&amp;IF(IFERROR(INDEX(_xlfn.ANCHORARRAY($BE$4),ROW()-4,6),"")="EMERG","-E","")),"")</f>
        <v/>
      </c>
      <c r="C181" s="821" t="str" cm="1">
        <f t="array" ref="C181">IFERROR(IF($B181="","",INDEX(_xlfn.ANCHORARRAY($BE$4),ROW()-4,1)),"")</f>
        <v/>
      </c>
      <c r="D181" s="821" t="str" cm="1">
        <f t="array" ref="D181">IFERROR(IF($B181="","",INDEX(_xlfn.ANCHORARRAY($BE$4),ROW()-4,2)),"")</f>
        <v/>
      </c>
      <c r="E181" s="806" t="str" cm="1">
        <f t="array" ref="E181">IFERROR(IF($B181="","",INDEX(_xlfn.ANCHORARRAY($BE$4),ROW()-4,3)),"")</f>
        <v/>
      </c>
      <c r="F181" s="822" t="str" cm="1">
        <f t="array" ref="F181">IFERROR(IF($B181="","",INDEX(_xlfn.ANCHORARRAY($BE$4),ROW()-4,4)),"")</f>
        <v/>
      </c>
      <c r="G181" s="823" t="str" cm="1">
        <f t="array" ref="G181">IFERROR(IF($B181="","",INDEX(_xlfn.ANCHORARRAY($BE$4),ROW()-4,5)),"")</f>
        <v/>
      </c>
      <c r="H181" s="824" t="str" cm="1">
        <f t="array" ref="H181">IF($CJ181="","",_xlfn.LET(_xlpm.v,_xlfn.XLOOKUP($CJ181,Equip_List,IF($CK181="E",Equip_EmLen,IF($CK181="P",Equip_XfPriLen,Equip_FdrLen)),""),IF(_xlpm.v="","",_xlpm.v)))</f>
        <v/>
      </c>
      <c r="I181" s="806" t="str">
        <f t="shared" si="40"/>
        <v/>
      </c>
      <c r="J181" s="820"/>
      <c r="K181" s="806" t="str">
        <f>_xlfn.LET(_xlpm.k,IF($I181="","",IF(COUNTIF(UPS!$B$57:$B$64,$C181&amp;"")&gt;0,1.25*MAX($I181,N(_xlfn.XLOOKUP($C181&amp;"",UPS!$B$57:$B$64,UPS!$M$57:$M$64,0))),IF(COUNTIF(UPS!$B$57:$B$64,$D181&amp;"")&gt;0,1.25*MAX($I181,N(_xlfn.XLOOKUP($D181&amp;"",UPS!$B$57:$B$64,UPS!$Q$57:$Q$64,0))),$I181*IF(OR(UPPER($J181)="Y",LEFT($C181,2)="T-",LEFT($D181,2)="T-"),1.25,1)))),IF(_xlpm.k="","",MAX(_xlpm.k,N(IFERROR(_xlfn.XLOOKUP($D181&amp;"",Dashboard!$A$101:$A$350,Dashboard!$O$101:$O$350,0),0)))))</f>
        <v/>
      </c>
      <c r="L181" s="825" t="str">
        <f>IF($CJ181="","",_xlfn.LET(_xlpm.v,UPPER(TRIM(_xlfn.XLOOKUP($CJ181,Equip_List,Equip_FdrMat,"")&amp;"")),IF(_xlpm.v="",UPPER(TRIM(Cfg_FeederMat&amp;"")),_xlpm.v)))</f>
        <v/>
      </c>
      <c r="M181" s="825" t="str">
        <f>IF($CJ181="","",_xlfn.LET(_xlpm.v,TRIM(_xlfn.XLOOKUP($CJ181,Equip_List,Equip_FdrRace,"")&amp;""),IF(_xlpm.v="",Cfg_Conduit&amp;"",_xlpm.v)))</f>
        <v/>
      </c>
      <c r="N181" s="825" t="str">
        <f>IF($CJ181="","",IF(UPPER(TRIM(_xlfn.XLOOKUP($CJ181,Equip_List,Equip_FdrExist,"")&amp;""))="Y","Y",""))</f>
        <v/>
      </c>
      <c r="O181" s="823" t="str">
        <f t="shared" si="48"/>
        <v/>
      </c>
      <c r="P181" s="821" t="str">
        <f t="shared" si="49"/>
        <v/>
      </c>
      <c r="Q181" s="821" t="str">
        <f t="shared" si="50"/>
        <v/>
      </c>
      <c r="R181" s="822" t="str" cm="1">
        <f t="array" ref="R181">IF(K181="","",INDEX(OCPD_List,MATCH(TRUE,OCPD_List&gt;=K181,0)))</f>
        <v/>
      </c>
      <c r="S181" s="821" t="str">
        <f t="shared" si="51"/>
        <v/>
      </c>
      <c r="T181" s="826" t="str">
        <f t="shared" si="41"/>
        <v/>
      </c>
      <c r="U181" s="826" t="str">
        <f t="shared" si="42"/>
        <v/>
      </c>
      <c r="V181" s="827" t="str">
        <f t="shared" si="43"/>
        <v/>
      </c>
      <c r="W181" s="828"/>
      <c r="X181" s="819"/>
      <c r="Y181" s="820"/>
      <c r="Z181" s="820"/>
      <c r="AA181" s="820"/>
      <c r="BN181" s="832" t="str">
        <f>IF($B181="","",IFERROR(_xlfn.XLOOKUP($D181,Dashboard!$A$101:$A$350,Dashboard!$C$101:$C$350),""))</f>
        <v/>
      </c>
      <c r="BO181" s="832" t="str">
        <f t="shared" si="44"/>
        <v/>
      </c>
      <c r="BP181" s="832" t="str" cm="1">
        <f t="array" ref="BP181">IF(OR($B181="",$R181="",NOT(ISNUMBER($R181))),"",IF(AND($BV181="AL",$G181=1),"",_xlfn.LET(_xlpm.codes,IF($BV181="AL",Std_Al3_Code,IF($G181=1,Std_Cu1_Code,Std_Cu3_Code)),_xlpm.amps,IFERROR(--SUBSTITUTE(_xlpm.codes&amp;"","N",""),""),_xlpm.a,MIN(IF(ISNUMBER(_xlpm.amps),IF(_xlpm.amps&gt;=$R181,_xlpm.amps,""),"")),_xlpm.k,IF(_xlpm.a=0,$R181,_xlpm.a),IF($BO181="Y",TEXT(_xlpm.k,"0")&amp;"N",_xlpm.k))))</f>
        <v/>
      </c>
      <c r="BQ181" s="832" t="str" cm="1">
        <f t="array" ref="BQ181">IF($BP181="","",IFERROR(IF($BV181="AL",_xlfn.XLOOKUP($BP181,Std_Al3_Code,INDEX(Std_Al3_Table,0,3)),IF($G181=1,_xlfn.XLOOKUP($BP181,Std_Cu1_Code,INDEX(Std_Cu1_Table,0,3)),_xlfn.XLOOKUP($BP181,Std_Cu3_Code,INDEX(Std_Cu3_Table,0,3)))),""))</f>
        <v/>
      </c>
      <c r="BR181" s="832" t="str" cm="1">
        <f t="array" ref="BR181">IF($BP181="","",IFERROR(IF($BV181="AL",_xlfn.XLOOKUP($BP181,Std_Al3_Code,INDEX(Std_Al3_Table,0,4)),IF($G181=1,_xlfn.XLOOKUP($BP181,Std_Cu1_Code,INDEX(Std_Cu1_Table,0,4)),_xlfn.XLOOKUP($BP181,Std_Cu3_Code,INDEX(Std_Cu3_Table,0,4)))),""))</f>
        <v/>
      </c>
      <c r="BS181" s="832" t="str" cm="1">
        <f t="array" ref="BS181">IF($BP181="","",IFERROR(IF($BV181="AL",_xlfn.XLOOKUP($BP181,Std_Al3_Code,INDEX(Std_Al3_Table,0,5)),IF($G181=1,_xlfn.XLOOKUP($BP181,Std_Cu1_Code,INDEX(Std_Cu1_Table,0,5)),_xlfn.XLOOKUP($BP181,Std_Cu3_Code,INDEX(Std_Cu3_Table,0,5)))),""))</f>
        <v/>
      </c>
      <c r="BT181" s="832" t="str">
        <f t="shared" si="45"/>
        <v/>
      </c>
      <c r="BU181" s="832" t="str" cm="1">
        <f t="array" ref="BU181">IF($BP181="","",IFERROR(IF($BV181="AL",_xlfn.XLOOKUP($BP181,Std_Al3_Code,INDEX(Std_Al3_Table,0,2)),IF($G181=1,_xlfn.XLOOKUP($BP181,Std_Cu1_Code,INDEX(Std_Cu1_Table,0,2)),_xlfn.XLOOKUP($BP181,Std_Cu3_Code,INDEX(Std_Cu3_Table,0,2)))),""))</f>
        <v/>
      </c>
      <c r="BV181" s="829" t="str">
        <f t="shared" si="46"/>
        <v/>
      </c>
      <c r="BW181" s="829" t="str">
        <f t="shared" si="52"/>
        <v/>
      </c>
      <c r="BX181" s="829" t="str" cm="1">
        <f t="array" ref="BX181">IF(OR($BP181="",$H181="",$I181="",$F181="",$BW181=""),"",IFERROR(_xlfn.LET(_xlpm.codes,IF($BV181="AL",Std_Al3_Code,IF($G181=1,Std_Cu1_Code,Std_Cu3_Code)),_xlpm.tbl,IF($BV181="AL",Std_Al3_Table,IF($G181=1,Std_Cu1_Table,Std_Cu3_Table)),_xlpm.i,MATCH($BP181,_xlpm.codes,0),_xlpm.idx,_xlfn.SEQUENCE(ROWS(_xlpm.codes)),_xlpm.cnd,INDEX(_xlpm.tbl,0,4),_xlpm.sts,INDEX(_xlpm.tbl,0,2),_xlpm.sz,IFERROR(_xlfn.TEXTBEFORE(_xlfn.TEXTAFTER(_xlpm.cnd,"#"),","),IFERROR(_xlfn.TEXTAFTER(_xlpm.cnd,"#"),"")),_xlpm.cm,IFERROR(_xlfn.XLOOKUP(TRIM(_xlpm.sz),Ampacity_Size,Ampacity_CM),0),_xlpm.mult,IF($G181=3,SQRT3,2),_xlpm.kk,IF($BV181="AL",K_Al,K_Cu),_xlpm.vd,IF(_xlpm.cm*IF(ISNUMBER(_xlpm.sts),_xlpm.sts,0)=0,9,_xlpm.mult*_xlpm.kk*$I181*$H181/(_xlpm.cm*_xlpm.sts)/$F181),_xlpm.hasN,--(RIGHT(_xlpm.codes&amp;"",1)="N"),_xlpm.wantN,--(RIGHT($BP181&amp;"",1)="N"),_xlpm.ok,(_xlpm.idx&gt;=_xlpm.i)*(_xlpm.vd&lt;=Cfg_VDFeeder)*(_xlpm.cm&gt;0)*ISNUMBER(_xlpm.sts)*(_xlpm.hasN=_xlpm.wantN),_xlpm.m,MIN(IF(_xlpm.ok=1,_xlpm.idx)),INDEX(_xlpm.codes,IF(_xlpm.m=0,_xlpm.i,_xlpm.m))),""))</f>
        <v/>
      </c>
      <c r="BY181" s="829" t="str" cm="1">
        <f t="array" ref="BY181">IF($BP181="","",IF($BX181="",$BU181,IFERROR(IF($BV181="AL",_xlfn.XLOOKUP($BX181,Std_Al3_Code,INDEX(Std_Al3_Table,0,2)),IF($G181=1,_xlfn.XLOOKUP($BX181,Std_Cu1_Code,INDEX(Std_Cu1_Table,0,2)),_xlfn.XLOOKUP($BX181,Std_Cu3_Code,INDEX(Std_Cu3_Table,0,2)))),"")))</f>
        <v/>
      </c>
      <c r="BZ181" s="829" t="str" cm="1">
        <f t="array" ref="BZ181">IF($BP181="","",IF($BX181="",$BR181,IFERROR(IF($BV181="AL",_xlfn.XLOOKUP($BX181,Std_Al3_Code,INDEX(Std_Al3_Table,0,4)),IF($G181=1,_xlfn.XLOOKUP($BX181,Std_Cu1_Code,INDEX(Std_Cu1_Table,0,4)),_xlfn.XLOOKUP($BX181,Std_Cu3_Code,INDEX(Std_Cu3_Table,0,4)))),"")))</f>
        <v/>
      </c>
      <c r="CA181" s="829" t="str" cm="1">
        <f t="array" ref="CA181">IF($BP181="","",IF($BX181="",$BQ181,IFERROR(IF($BV181="AL",_xlfn.XLOOKUP($BX181,Std_Al3_Code,INDEX(Std_Al3_Table,0,3)),IF($G181=1,_xlfn.XLOOKUP($BX181,Std_Cu1_Code,INDEX(Std_Cu1_Table,0,3)),_xlfn.XLOOKUP($BX181,Std_Cu3_Code,INDEX(Std_Cu3_Table,0,3)))),"")))</f>
        <v/>
      </c>
      <c r="CB181" s="829" t="str" cm="1">
        <f t="array" ref="CB181">IF($BP181="","",IF($BX181="",$BS181,IFERROR(IF($BV181="AL",_xlfn.XLOOKUP($BX181,Std_Al3_Code,INDEX(Std_Al3_Table,0,5)),IF($G181=1,_xlfn.XLOOKUP($BX181,Std_Cu1_Code,INDEX(Std_Cu1_Table,0,5)),_xlfn.XLOOKUP($BX181,Std_Cu3_Code,INDEX(Std_Cu3_Table,0,5)))),"")))</f>
        <v/>
      </c>
      <c r="CC181" s="829" t="str">
        <f t="shared" si="53"/>
        <v/>
      </c>
      <c r="CD181" s="829" t="str">
        <f t="shared" si="54"/>
        <v/>
      </c>
      <c r="CE181" s="829" t="str">
        <f t="shared" si="55"/>
        <v/>
      </c>
      <c r="CF181" s="829" t="str">
        <f t="shared" si="56"/>
        <v/>
      </c>
      <c r="CG181" s="829" t="str">
        <f t="shared" si="57"/>
        <v/>
      </c>
      <c r="CH181" s="829" t="str">
        <f t="shared" si="58"/>
        <v/>
      </c>
      <c r="CI181" s="829" t="str">
        <f t="shared" si="59"/>
        <v/>
      </c>
      <c r="CJ181" s="829" t="str" cm="1">
        <f t="array" ref="CJ181">IF($B181="","",_xlfn.LET(_xlpm.to,$D181&amp;"",_xlpm.em,IFERROR(INDEX(_xlfn.ANCHORARRAY($BE$4),ROW()-4,6),"")="EMERG",_xlpm.pri,AND(NOT(_xlpm.em),LEFT(_xlpm.to,2)="T-",ISNUMBER(MATCH(MID(_xlpm.to,3,99),Equip_List,0)),ISNA(MATCH(_xlpm.to,Equip_List,0))),IF(_xlpm.pri,MID(_xlpm.to,3,99),_xlpm.to)))</f>
        <v/>
      </c>
      <c r="CK181" s="829" t="str" cm="1">
        <f t="array" ref="CK181">IF($CJ181="","",IF(IFERROR(INDEX(_xlfn.ANCHORARRAY($BE$4),ROW()-4,6),"")="EMERG","E",IF($CJ181&lt;&gt;$D181&amp;"","P","N")))</f>
        <v/>
      </c>
    </row>
    <row r="182" spans="1:89" ht="15" customHeight="1" x14ac:dyDescent="0.35">
      <c r="A182" s="821" t="str">
        <f t="shared" si="47"/>
        <v/>
      </c>
      <c r="B182" s="821" t="str" cm="1">
        <f t="array" ref="B182">IFERROR(IF(INDEX(_xlfn.ANCHORARRAY($BE$4),ROW()-4,2)="","","F-"&amp;INDEX(_xlfn.ANCHORARRAY($BE$4),ROW()-4,2)&amp;IF(IFERROR(INDEX(_xlfn.ANCHORARRAY($BE$4),ROW()-4,6),"")="EMERG","-E","")),"")</f>
        <v/>
      </c>
      <c r="C182" s="821" t="str" cm="1">
        <f t="array" ref="C182">IFERROR(IF($B182="","",INDEX(_xlfn.ANCHORARRAY($BE$4),ROW()-4,1)),"")</f>
        <v/>
      </c>
      <c r="D182" s="821" t="str" cm="1">
        <f t="array" ref="D182">IFERROR(IF($B182="","",INDEX(_xlfn.ANCHORARRAY($BE$4),ROW()-4,2)),"")</f>
        <v/>
      </c>
      <c r="E182" s="806" t="str" cm="1">
        <f t="array" ref="E182">IFERROR(IF($B182="","",INDEX(_xlfn.ANCHORARRAY($BE$4),ROW()-4,3)),"")</f>
        <v/>
      </c>
      <c r="F182" s="822" t="str" cm="1">
        <f t="array" ref="F182">IFERROR(IF($B182="","",INDEX(_xlfn.ANCHORARRAY($BE$4),ROW()-4,4)),"")</f>
        <v/>
      </c>
      <c r="G182" s="823" t="str" cm="1">
        <f t="array" ref="G182">IFERROR(IF($B182="","",INDEX(_xlfn.ANCHORARRAY($BE$4),ROW()-4,5)),"")</f>
        <v/>
      </c>
      <c r="H182" s="824" t="str" cm="1">
        <f t="array" ref="H182">IF($CJ182="","",_xlfn.LET(_xlpm.v,_xlfn.XLOOKUP($CJ182,Equip_List,IF($CK182="E",Equip_EmLen,IF($CK182="P",Equip_XfPriLen,Equip_FdrLen)),""),IF(_xlpm.v="","",_xlpm.v)))</f>
        <v/>
      </c>
      <c r="I182" s="806" t="str">
        <f t="shared" si="40"/>
        <v/>
      </c>
      <c r="J182" s="820"/>
      <c r="K182" s="806" t="str">
        <f>_xlfn.LET(_xlpm.k,IF($I182="","",IF(COUNTIF(UPS!$B$57:$B$64,$C182&amp;"")&gt;0,1.25*MAX($I182,N(_xlfn.XLOOKUP($C182&amp;"",UPS!$B$57:$B$64,UPS!$M$57:$M$64,0))),IF(COUNTIF(UPS!$B$57:$B$64,$D182&amp;"")&gt;0,1.25*MAX($I182,N(_xlfn.XLOOKUP($D182&amp;"",UPS!$B$57:$B$64,UPS!$Q$57:$Q$64,0))),$I182*IF(OR(UPPER($J182)="Y",LEFT($C182,2)="T-",LEFT($D182,2)="T-"),1.25,1)))),IF(_xlpm.k="","",MAX(_xlpm.k,N(IFERROR(_xlfn.XLOOKUP($D182&amp;"",Dashboard!$A$101:$A$350,Dashboard!$O$101:$O$350,0),0)))))</f>
        <v/>
      </c>
      <c r="L182" s="825" t="str">
        <f>IF($CJ182="","",_xlfn.LET(_xlpm.v,UPPER(TRIM(_xlfn.XLOOKUP($CJ182,Equip_List,Equip_FdrMat,"")&amp;"")),IF(_xlpm.v="",UPPER(TRIM(Cfg_FeederMat&amp;"")),_xlpm.v)))</f>
        <v/>
      </c>
      <c r="M182" s="825" t="str">
        <f>IF($CJ182="","",_xlfn.LET(_xlpm.v,TRIM(_xlfn.XLOOKUP($CJ182,Equip_List,Equip_FdrRace,"")&amp;""),IF(_xlpm.v="",Cfg_Conduit&amp;"",_xlpm.v)))</f>
        <v/>
      </c>
      <c r="N182" s="825" t="str">
        <f>IF($CJ182="","",IF(UPPER(TRIM(_xlfn.XLOOKUP($CJ182,Equip_List,Equip_FdrExist,"")&amp;""))="Y","Y",""))</f>
        <v/>
      </c>
      <c r="O182" s="823" t="str">
        <f t="shared" si="48"/>
        <v/>
      </c>
      <c r="P182" s="821" t="str">
        <f t="shared" si="49"/>
        <v/>
      </c>
      <c r="Q182" s="821" t="str">
        <f t="shared" si="50"/>
        <v/>
      </c>
      <c r="R182" s="822" t="str" cm="1">
        <f t="array" ref="R182">IF(K182="","",INDEX(OCPD_List,MATCH(TRUE,OCPD_List&gt;=K182,0)))</f>
        <v/>
      </c>
      <c r="S182" s="821" t="str">
        <f t="shared" si="51"/>
        <v/>
      </c>
      <c r="T182" s="826" t="str">
        <f t="shared" si="41"/>
        <v/>
      </c>
      <c r="U182" s="826" t="str">
        <f t="shared" si="42"/>
        <v/>
      </c>
      <c r="V182" s="827" t="str">
        <f t="shared" si="43"/>
        <v/>
      </c>
      <c r="W182" s="828"/>
      <c r="X182" s="819"/>
      <c r="Y182" s="820"/>
      <c r="Z182" s="820"/>
      <c r="AA182" s="820"/>
      <c r="BN182" s="832" t="str">
        <f>IF($B182="","",IFERROR(_xlfn.XLOOKUP($D182,Dashboard!$A$101:$A$350,Dashboard!$C$101:$C$350),""))</f>
        <v/>
      </c>
      <c r="BO182" s="832" t="str">
        <f t="shared" si="44"/>
        <v/>
      </c>
      <c r="BP182" s="832" t="str" cm="1">
        <f t="array" ref="BP182">IF(OR($B182="",$R182="",NOT(ISNUMBER($R182))),"",IF(AND($BV182="AL",$G182=1),"",_xlfn.LET(_xlpm.codes,IF($BV182="AL",Std_Al3_Code,IF($G182=1,Std_Cu1_Code,Std_Cu3_Code)),_xlpm.amps,IFERROR(--SUBSTITUTE(_xlpm.codes&amp;"","N",""),""),_xlpm.a,MIN(IF(ISNUMBER(_xlpm.amps),IF(_xlpm.amps&gt;=$R182,_xlpm.amps,""),"")),_xlpm.k,IF(_xlpm.a=0,$R182,_xlpm.a),IF($BO182="Y",TEXT(_xlpm.k,"0")&amp;"N",_xlpm.k))))</f>
        <v/>
      </c>
      <c r="BQ182" s="832" t="str" cm="1">
        <f t="array" ref="BQ182">IF($BP182="","",IFERROR(IF($BV182="AL",_xlfn.XLOOKUP($BP182,Std_Al3_Code,INDEX(Std_Al3_Table,0,3)),IF($G182=1,_xlfn.XLOOKUP($BP182,Std_Cu1_Code,INDEX(Std_Cu1_Table,0,3)),_xlfn.XLOOKUP($BP182,Std_Cu3_Code,INDEX(Std_Cu3_Table,0,3)))),""))</f>
        <v/>
      </c>
      <c r="BR182" s="832" t="str" cm="1">
        <f t="array" ref="BR182">IF($BP182="","",IFERROR(IF($BV182="AL",_xlfn.XLOOKUP($BP182,Std_Al3_Code,INDEX(Std_Al3_Table,0,4)),IF($G182=1,_xlfn.XLOOKUP($BP182,Std_Cu1_Code,INDEX(Std_Cu1_Table,0,4)),_xlfn.XLOOKUP($BP182,Std_Cu3_Code,INDEX(Std_Cu3_Table,0,4)))),""))</f>
        <v/>
      </c>
      <c r="BS182" s="832" t="str" cm="1">
        <f t="array" ref="BS182">IF($BP182="","",IFERROR(IF($BV182="AL",_xlfn.XLOOKUP($BP182,Std_Al3_Code,INDEX(Std_Al3_Table,0,5)),IF($G182=1,_xlfn.XLOOKUP($BP182,Std_Cu1_Code,INDEX(Std_Cu1_Table,0,5)),_xlfn.XLOOKUP($BP182,Std_Cu3_Code,INDEX(Std_Cu3_Table,0,5)))),""))</f>
        <v/>
      </c>
      <c r="BT182" s="832" t="str">
        <f t="shared" si="45"/>
        <v/>
      </c>
      <c r="BU182" s="832" t="str" cm="1">
        <f t="array" ref="BU182">IF($BP182="","",IFERROR(IF($BV182="AL",_xlfn.XLOOKUP($BP182,Std_Al3_Code,INDEX(Std_Al3_Table,0,2)),IF($G182=1,_xlfn.XLOOKUP($BP182,Std_Cu1_Code,INDEX(Std_Cu1_Table,0,2)),_xlfn.XLOOKUP($BP182,Std_Cu3_Code,INDEX(Std_Cu3_Table,0,2)))),""))</f>
        <v/>
      </c>
      <c r="BV182" s="829" t="str">
        <f t="shared" si="46"/>
        <v/>
      </c>
      <c r="BW182" s="829" t="str">
        <f t="shared" si="52"/>
        <v/>
      </c>
      <c r="BX182" s="829" t="str" cm="1">
        <f t="array" ref="BX182">IF(OR($BP182="",$H182="",$I182="",$F182="",$BW182=""),"",IFERROR(_xlfn.LET(_xlpm.codes,IF($BV182="AL",Std_Al3_Code,IF($G182=1,Std_Cu1_Code,Std_Cu3_Code)),_xlpm.tbl,IF($BV182="AL",Std_Al3_Table,IF($G182=1,Std_Cu1_Table,Std_Cu3_Table)),_xlpm.i,MATCH($BP182,_xlpm.codes,0),_xlpm.idx,_xlfn.SEQUENCE(ROWS(_xlpm.codes)),_xlpm.cnd,INDEX(_xlpm.tbl,0,4),_xlpm.sts,INDEX(_xlpm.tbl,0,2),_xlpm.sz,IFERROR(_xlfn.TEXTBEFORE(_xlfn.TEXTAFTER(_xlpm.cnd,"#"),","),IFERROR(_xlfn.TEXTAFTER(_xlpm.cnd,"#"),"")),_xlpm.cm,IFERROR(_xlfn.XLOOKUP(TRIM(_xlpm.sz),Ampacity_Size,Ampacity_CM),0),_xlpm.mult,IF($G182=3,SQRT3,2),_xlpm.kk,IF($BV182="AL",K_Al,K_Cu),_xlpm.vd,IF(_xlpm.cm*IF(ISNUMBER(_xlpm.sts),_xlpm.sts,0)=0,9,_xlpm.mult*_xlpm.kk*$I182*$H182/(_xlpm.cm*_xlpm.sts)/$F182),_xlpm.hasN,--(RIGHT(_xlpm.codes&amp;"",1)="N"),_xlpm.wantN,--(RIGHT($BP182&amp;"",1)="N"),_xlpm.ok,(_xlpm.idx&gt;=_xlpm.i)*(_xlpm.vd&lt;=Cfg_VDFeeder)*(_xlpm.cm&gt;0)*ISNUMBER(_xlpm.sts)*(_xlpm.hasN=_xlpm.wantN),_xlpm.m,MIN(IF(_xlpm.ok=1,_xlpm.idx)),INDEX(_xlpm.codes,IF(_xlpm.m=0,_xlpm.i,_xlpm.m))),""))</f>
        <v/>
      </c>
      <c r="BY182" s="829" t="str" cm="1">
        <f t="array" ref="BY182">IF($BP182="","",IF($BX182="",$BU182,IFERROR(IF($BV182="AL",_xlfn.XLOOKUP($BX182,Std_Al3_Code,INDEX(Std_Al3_Table,0,2)),IF($G182=1,_xlfn.XLOOKUP($BX182,Std_Cu1_Code,INDEX(Std_Cu1_Table,0,2)),_xlfn.XLOOKUP($BX182,Std_Cu3_Code,INDEX(Std_Cu3_Table,0,2)))),"")))</f>
        <v/>
      </c>
      <c r="BZ182" s="829" t="str" cm="1">
        <f t="array" ref="BZ182">IF($BP182="","",IF($BX182="",$BR182,IFERROR(IF($BV182="AL",_xlfn.XLOOKUP($BX182,Std_Al3_Code,INDEX(Std_Al3_Table,0,4)),IF($G182=1,_xlfn.XLOOKUP($BX182,Std_Cu1_Code,INDEX(Std_Cu1_Table,0,4)),_xlfn.XLOOKUP($BX182,Std_Cu3_Code,INDEX(Std_Cu3_Table,0,4)))),"")))</f>
        <v/>
      </c>
      <c r="CA182" s="829" t="str" cm="1">
        <f t="array" ref="CA182">IF($BP182="","",IF($BX182="",$BQ182,IFERROR(IF($BV182="AL",_xlfn.XLOOKUP($BX182,Std_Al3_Code,INDEX(Std_Al3_Table,0,3)),IF($G182=1,_xlfn.XLOOKUP($BX182,Std_Cu1_Code,INDEX(Std_Cu1_Table,0,3)),_xlfn.XLOOKUP($BX182,Std_Cu3_Code,INDEX(Std_Cu3_Table,0,3)))),"")))</f>
        <v/>
      </c>
      <c r="CB182" s="829" t="str" cm="1">
        <f t="array" ref="CB182">IF($BP182="","",IF($BX182="",$BS182,IFERROR(IF($BV182="AL",_xlfn.XLOOKUP($BX182,Std_Al3_Code,INDEX(Std_Al3_Table,0,5)),IF($G182=1,_xlfn.XLOOKUP($BX182,Std_Cu1_Code,INDEX(Std_Cu1_Table,0,5)),_xlfn.XLOOKUP($BX182,Std_Cu3_Code,INDEX(Std_Cu3_Table,0,5)))),"")))</f>
        <v/>
      </c>
      <c r="CC182" s="829" t="str">
        <f t="shared" si="53"/>
        <v/>
      </c>
      <c r="CD182" s="829" t="str">
        <f t="shared" si="54"/>
        <v/>
      </c>
      <c r="CE182" s="829" t="str">
        <f t="shared" si="55"/>
        <v/>
      </c>
      <c r="CF182" s="829" t="str">
        <f t="shared" si="56"/>
        <v/>
      </c>
      <c r="CG182" s="829" t="str">
        <f t="shared" si="57"/>
        <v/>
      </c>
      <c r="CH182" s="829" t="str">
        <f t="shared" si="58"/>
        <v/>
      </c>
      <c r="CI182" s="829" t="str">
        <f t="shared" si="59"/>
        <v/>
      </c>
      <c r="CJ182" s="829" t="str" cm="1">
        <f t="array" ref="CJ182">IF($B182="","",_xlfn.LET(_xlpm.to,$D182&amp;"",_xlpm.em,IFERROR(INDEX(_xlfn.ANCHORARRAY($BE$4),ROW()-4,6),"")="EMERG",_xlpm.pri,AND(NOT(_xlpm.em),LEFT(_xlpm.to,2)="T-",ISNUMBER(MATCH(MID(_xlpm.to,3,99),Equip_List,0)),ISNA(MATCH(_xlpm.to,Equip_List,0))),IF(_xlpm.pri,MID(_xlpm.to,3,99),_xlpm.to)))</f>
        <v/>
      </c>
      <c r="CK182" s="829" t="str" cm="1">
        <f t="array" ref="CK182">IF($CJ182="","",IF(IFERROR(INDEX(_xlfn.ANCHORARRAY($BE$4),ROW()-4,6),"")="EMERG","E",IF($CJ182&lt;&gt;$D182&amp;"","P","N")))</f>
        <v/>
      </c>
    </row>
    <row r="183" spans="1:89" ht="15" customHeight="1" x14ac:dyDescent="0.35">
      <c r="A183" s="821" t="str">
        <f t="shared" si="47"/>
        <v/>
      </c>
      <c r="B183" s="821" t="str" cm="1">
        <f t="array" ref="B183">IFERROR(IF(INDEX(_xlfn.ANCHORARRAY($BE$4),ROW()-4,2)="","","F-"&amp;INDEX(_xlfn.ANCHORARRAY($BE$4),ROW()-4,2)&amp;IF(IFERROR(INDEX(_xlfn.ANCHORARRAY($BE$4),ROW()-4,6),"")="EMERG","-E","")),"")</f>
        <v/>
      </c>
      <c r="C183" s="821" t="str" cm="1">
        <f t="array" ref="C183">IFERROR(IF($B183="","",INDEX(_xlfn.ANCHORARRAY($BE$4),ROW()-4,1)),"")</f>
        <v/>
      </c>
      <c r="D183" s="821" t="str" cm="1">
        <f t="array" ref="D183">IFERROR(IF($B183="","",INDEX(_xlfn.ANCHORARRAY($BE$4),ROW()-4,2)),"")</f>
        <v/>
      </c>
      <c r="E183" s="806" t="str" cm="1">
        <f t="array" ref="E183">IFERROR(IF($B183="","",INDEX(_xlfn.ANCHORARRAY($BE$4),ROW()-4,3)),"")</f>
        <v/>
      </c>
      <c r="F183" s="822" t="str" cm="1">
        <f t="array" ref="F183">IFERROR(IF($B183="","",INDEX(_xlfn.ANCHORARRAY($BE$4),ROW()-4,4)),"")</f>
        <v/>
      </c>
      <c r="G183" s="823" t="str" cm="1">
        <f t="array" ref="G183">IFERROR(IF($B183="","",INDEX(_xlfn.ANCHORARRAY($BE$4),ROW()-4,5)),"")</f>
        <v/>
      </c>
      <c r="H183" s="824" t="str" cm="1">
        <f t="array" ref="H183">IF($CJ183="","",_xlfn.LET(_xlpm.v,_xlfn.XLOOKUP($CJ183,Equip_List,IF($CK183="E",Equip_EmLen,IF($CK183="P",Equip_XfPriLen,Equip_FdrLen)),""),IF(_xlpm.v="","",_xlpm.v)))</f>
        <v/>
      </c>
      <c r="I183" s="806" t="str">
        <f t="shared" si="40"/>
        <v/>
      </c>
      <c r="J183" s="820"/>
      <c r="K183" s="806" t="str">
        <f>_xlfn.LET(_xlpm.k,IF($I183="","",IF(COUNTIF(UPS!$B$57:$B$64,$C183&amp;"")&gt;0,1.25*MAX($I183,N(_xlfn.XLOOKUP($C183&amp;"",UPS!$B$57:$B$64,UPS!$M$57:$M$64,0))),IF(COUNTIF(UPS!$B$57:$B$64,$D183&amp;"")&gt;0,1.25*MAX($I183,N(_xlfn.XLOOKUP($D183&amp;"",UPS!$B$57:$B$64,UPS!$Q$57:$Q$64,0))),$I183*IF(OR(UPPER($J183)="Y",LEFT($C183,2)="T-",LEFT($D183,2)="T-"),1.25,1)))),IF(_xlpm.k="","",MAX(_xlpm.k,N(IFERROR(_xlfn.XLOOKUP($D183&amp;"",Dashboard!$A$101:$A$350,Dashboard!$O$101:$O$350,0),0)))))</f>
        <v/>
      </c>
      <c r="L183" s="825" t="str">
        <f>IF($CJ183="","",_xlfn.LET(_xlpm.v,UPPER(TRIM(_xlfn.XLOOKUP($CJ183,Equip_List,Equip_FdrMat,"")&amp;"")),IF(_xlpm.v="",UPPER(TRIM(Cfg_FeederMat&amp;"")),_xlpm.v)))</f>
        <v/>
      </c>
      <c r="M183" s="825" t="str">
        <f>IF($CJ183="","",_xlfn.LET(_xlpm.v,TRIM(_xlfn.XLOOKUP($CJ183,Equip_List,Equip_FdrRace,"")&amp;""),IF(_xlpm.v="",Cfg_Conduit&amp;"",_xlpm.v)))</f>
        <v/>
      </c>
      <c r="N183" s="825" t="str">
        <f>IF($CJ183="","",IF(UPPER(TRIM(_xlfn.XLOOKUP($CJ183,Equip_List,Equip_FdrExist,"")&amp;""))="Y","Y",""))</f>
        <v/>
      </c>
      <c r="O183" s="823" t="str">
        <f t="shared" si="48"/>
        <v/>
      </c>
      <c r="P183" s="821" t="str">
        <f t="shared" si="49"/>
        <v/>
      </c>
      <c r="Q183" s="821" t="str">
        <f t="shared" si="50"/>
        <v/>
      </c>
      <c r="R183" s="822" t="str" cm="1">
        <f t="array" ref="R183">IF(K183="","",INDEX(OCPD_List,MATCH(TRUE,OCPD_List&gt;=K183,0)))</f>
        <v/>
      </c>
      <c r="S183" s="821" t="str">
        <f t="shared" si="51"/>
        <v/>
      </c>
      <c r="T183" s="826" t="str">
        <f t="shared" si="41"/>
        <v/>
      </c>
      <c r="U183" s="826" t="str">
        <f t="shared" si="42"/>
        <v/>
      </c>
      <c r="V183" s="827" t="str">
        <f t="shared" si="43"/>
        <v/>
      </c>
      <c r="W183" s="828"/>
      <c r="X183" s="819"/>
      <c r="Y183" s="820"/>
      <c r="Z183" s="820"/>
      <c r="AA183" s="820"/>
      <c r="BN183" s="832" t="str">
        <f>IF($B183="","",IFERROR(_xlfn.XLOOKUP($D183,Dashboard!$A$101:$A$350,Dashboard!$C$101:$C$350),""))</f>
        <v/>
      </c>
      <c r="BO183" s="832" t="str">
        <f t="shared" si="44"/>
        <v/>
      </c>
      <c r="BP183" s="832" t="str" cm="1">
        <f t="array" ref="BP183">IF(OR($B183="",$R183="",NOT(ISNUMBER($R183))),"",IF(AND($BV183="AL",$G183=1),"",_xlfn.LET(_xlpm.codes,IF($BV183="AL",Std_Al3_Code,IF($G183=1,Std_Cu1_Code,Std_Cu3_Code)),_xlpm.amps,IFERROR(--SUBSTITUTE(_xlpm.codes&amp;"","N",""),""),_xlpm.a,MIN(IF(ISNUMBER(_xlpm.amps),IF(_xlpm.amps&gt;=$R183,_xlpm.amps,""),"")),_xlpm.k,IF(_xlpm.a=0,$R183,_xlpm.a),IF($BO183="Y",TEXT(_xlpm.k,"0")&amp;"N",_xlpm.k))))</f>
        <v/>
      </c>
      <c r="BQ183" s="832" t="str" cm="1">
        <f t="array" ref="BQ183">IF($BP183="","",IFERROR(IF($BV183="AL",_xlfn.XLOOKUP($BP183,Std_Al3_Code,INDEX(Std_Al3_Table,0,3)),IF($G183=1,_xlfn.XLOOKUP($BP183,Std_Cu1_Code,INDEX(Std_Cu1_Table,0,3)),_xlfn.XLOOKUP($BP183,Std_Cu3_Code,INDEX(Std_Cu3_Table,0,3)))),""))</f>
        <v/>
      </c>
      <c r="BR183" s="832" t="str" cm="1">
        <f t="array" ref="BR183">IF($BP183="","",IFERROR(IF($BV183="AL",_xlfn.XLOOKUP($BP183,Std_Al3_Code,INDEX(Std_Al3_Table,0,4)),IF($G183=1,_xlfn.XLOOKUP($BP183,Std_Cu1_Code,INDEX(Std_Cu1_Table,0,4)),_xlfn.XLOOKUP($BP183,Std_Cu3_Code,INDEX(Std_Cu3_Table,0,4)))),""))</f>
        <v/>
      </c>
      <c r="BS183" s="832" t="str" cm="1">
        <f t="array" ref="BS183">IF($BP183="","",IFERROR(IF($BV183="AL",_xlfn.XLOOKUP($BP183,Std_Al3_Code,INDEX(Std_Al3_Table,0,5)),IF($G183=1,_xlfn.XLOOKUP($BP183,Std_Cu1_Code,INDEX(Std_Cu1_Table,0,5)),_xlfn.XLOOKUP($BP183,Std_Cu3_Code,INDEX(Std_Cu3_Table,0,5)))),""))</f>
        <v/>
      </c>
      <c r="BT183" s="832" t="str">
        <f t="shared" si="45"/>
        <v/>
      </c>
      <c r="BU183" s="832" t="str" cm="1">
        <f t="array" ref="BU183">IF($BP183="","",IFERROR(IF($BV183="AL",_xlfn.XLOOKUP($BP183,Std_Al3_Code,INDEX(Std_Al3_Table,0,2)),IF($G183=1,_xlfn.XLOOKUP($BP183,Std_Cu1_Code,INDEX(Std_Cu1_Table,0,2)),_xlfn.XLOOKUP($BP183,Std_Cu3_Code,INDEX(Std_Cu3_Table,0,2)))),""))</f>
        <v/>
      </c>
      <c r="BV183" s="829" t="str">
        <f t="shared" si="46"/>
        <v/>
      </c>
      <c r="BW183" s="829" t="str">
        <f t="shared" si="52"/>
        <v/>
      </c>
      <c r="BX183" s="829" t="str" cm="1">
        <f t="array" ref="BX183">IF(OR($BP183="",$H183="",$I183="",$F183="",$BW183=""),"",IFERROR(_xlfn.LET(_xlpm.codes,IF($BV183="AL",Std_Al3_Code,IF($G183=1,Std_Cu1_Code,Std_Cu3_Code)),_xlpm.tbl,IF($BV183="AL",Std_Al3_Table,IF($G183=1,Std_Cu1_Table,Std_Cu3_Table)),_xlpm.i,MATCH($BP183,_xlpm.codes,0),_xlpm.idx,_xlfn.SEQUENCE(ROWS(_xlpm.codes)),_xlpm.cnd,INDEX(_xlpm.tbl,0,4),_xlpm.sts,INDEX(_xlpm.tbl,0,2),_xlpm.sz,IFERROR(_xlfn.TEXTBEFORE(_xlfn.TEXTAFTER(_xlpm.cnd,"#"),","),IFERROR(_xlfn.TEXTAFTER(_xlpm.cnd,"#"),"")),_xlpm.cm,IFERROR(_xlfn.XLOOKUP(TRIM(_xlpm.sz),Ampacity_Size,Ampacity_CM),0),_xlpm.mult,IF($G183=3,SQRT3,2),_xlpm.kk,IF($BV183="AL",K_Al,K_Cu),_xlpm.vd,IF(_xlpm.cm*IF(ISNUMBER(_xlpm.sts),_xlpm.sts,0)=0,9,_xlpm.mult*_xlpm.kk*$I183*$H183/(_xlpm.cm*_xlpm.sts)/$F183),_xlpm.hasN,--(RIGHT(_xlpm.codes&amp;"",1)="N"),_xlpm.wantN,--(RIGHT($BP183&amp;"",1)="N"),_xlpm.ok,(_xlpm.idx&gt;=_xlpm.i)*(_xlpm.vd&lt;=Cfg_VDFeeder)*(_xlpm.cm&gt;0)*ISNUMBER(_xlpm.sts)*(_xlpm.hasN=_xlpm.wantN),_xlpm.m,MIN(IF(_xlpm.ok=1,_xlpm.idx)),INDEX(_xlpm.codes,IF(_xlpm.m=0,_xlpm.i,_xlpm.m))),""))</f>
        <v/>
      </c>
      <c r="BY183" s="829" t="str" cm="1">
        <f t="array" ref="BY183">IF($BP183="","",IF($BX183="",$BU183,IFERROR(IF($BV183="AL",_xlfn.XLOOKUP($BX183,Std_Al3_Code,INDEX(Std_Al3_Table,0,2)),IF($G183=1,_xlfn.XLOOKUP($BX183,Std_Cu1_Code,INDEX(Std_Cu1_Table,0,2)),_xlfn.XLOOKUP($BX183,Std_Cu3_Code,INDEX(Std_Cu3_Table,0,2)))),"")))</f>
        <v/>
      </c>
      <c r="BZ183" s="829" t="str" cm="1">
        <f t="array" ref="BZ183">IF($BP183="","",IF($BX183="",$BR183,IFERROR(IF($BV183="AL",_xlfn.XLOOKUP($BX183,Std_Al3_Code,INDEX(Std_Al3_Table,0,4)),IF($G183=1,_xlfn.XLOOKUP($BX183,Std_Cu1_Code,INDEX(Std_Cu1_Table,0,4)),_xlfn.XLOOKUP($BX183,Std_Cu3_Code,INDEX(Std_Cu3_Table,0,4)))),"")))</f>
        <v/>
      </c>
      <c r="CA183" s="829" t="str" cm="1">
        <f t="array" ref="CA183">IF($BP183="","",IF($BX183="",$BQ183,IFERROR(IF($BV183="AL",_xlfn.XLOOKUP($BX183,Std_Al3_Code,INDEX(Std_Al3_Table,0,3)),IF($G183=1,_xlfn.XLOOKUP($BX183,Std_Cu1_Code,INDEX(Std_Cu1_Table,0,3)),_xlfn.XLOOKUP($BX183,Std_Cu3_Code,INDEX(Std_Cu3_Table,0,3)))),"")))</f>
        <v/>
      </c>
      <c r="CB183" s="829" t="str" cm="1">
        <f t="array" ref="CB183">IF($BP183="","",IF($BX183="",$BS183,IFERROR(IF($BV183="AL",_xlfn.XLOOKUP($BX183,Std_Al3_Code,INDEX(Std_Al3_Table,0,5)),IF($G183=1,_xlfn.XLOOKUP($BX183,Std_Cu1_Code,INDEX(Std_Cu1_Table,0,5)),_xlfn.XLOOKUP($BX183,Std_Cu3_Code,INDEX(Std_Cu3_Table,0,5)))),"")))</f>
        <v/>
      </c>
      <c r="CC183" s="829" t="str">
        <f t="shared" si="53"/>
        <v/>
      </c>
      <c r="CD183" s="829" t="str">
        <f t="shared" si="54"/>
        <v/>
      </c>
      <c r="CE183" s="829" t="str">
        <f t="shared" si="55"/>
        <v/>
      </c>
      <c r="CF183" s="829" t="str">
        <f t="shared" si="56"/>
        <v/>
      </c>
      <c r="CG183" s="829" t="str">
        <f t="shared" si="57"/>
        <v/>
      </c>
      <c r="CH183" s="829" t="str">
        <f t="shared" si="58"/>
        <v/>
      </c>
      <c r="CI183" s="829" t="str">
        <f t="shared" si="59"/>
        <v/>
      </c>
      <c r="CJ183" s="829" t="str" cm="1">
        <f t="array" ref="CJ183">IF($B183="","",_xlfn.LET(_xlpm.to,$D183&amp;"",_xlpm.em,IFERROR(INDEX(_xlfn.ANCHORARRAY($BE$4),ROW()-4,6),"")="EMERG",_xlpm.pri,AND(NOT(_xlpm.em),LEFT(_xlpm.to,2)="T-",ISNUMBER(MATCH(MID(_xlpm.to,3,99),Equip_List,0)),ISNA(MATCH(_xlpm.to,Equip_List,0))),IF(_xlpm.pri,MID(_xlpm.to,3,99),_xlpm.to)))</f>
        <v/>
      </c>
      <c r="CK183" s="829" t="str" cm="1">
        <f t="array" ref="CK183">IF($CJ183="","",IF(IFERROR(INDEX(_xlfn.ANCHORARRAY($BE$4),ROW()-4,6),"")="EMERG","E",IF($CJ183&lt;&gt;$D183&amp;"","P","N")))</f>
        <v/>
      </c>
    </row>
    <row r="184" spans="1:89" ht="15" customHeight="1" x14ac:dyDescent="0.35">
      <c r="A184" s="821" t="str">
        <f t="shared" si="47"/>
        <v/>
      </c>
      <c r="B184" s="821" t="str" cm="1">
        <f t="array" ref="B184">IFERROR(IF(INDEX(_xlfn.ANCHORARRAY($BE$4),ROW()-4,2)="","","F-"&amp;INDEX(_xlfn.ANCHORARRAY($BE$4),ROW()-4,2)&amp;IF(IFERROR(INDEX(_xlfn.ANCHORARRAY($BE$4),ROW()-4,6),"")="EMERG","-E","")),"")</f>
        <v/>
      </c>
      <c r="C184" s="821" t="str" cm="1">
        <f t="array" ref="C184">IFERROR(IF($B184="","",INDEX(_xlfn.ANCHORARRAY($BE$4),ROW()-4,1)),"")</f>
        <v/>
      </c>
      <c r="D184" s="821" t="str" cm="1">
        <f t="array" ref="D184">IFERROR(IF($B184="","",INDEX(_xlfn.ANCHORARRAY($BE$4),ROW()-4,2)),"")</f>
        <v/>
      </c>
      <c r="E184" s="806" t="str" cm="1">
        <f t="array" ref="E184">IFERROR(IF($B184="","",INDEX(_xlfn.ANCHORARRAY($BE$4),ROW()-4,3)),"")</f>
        <v/>
      </c>
      <c r="F184" s="822" t="str" cm="1">
        <f t="array" ref="F184">IFERROR(IF($B184="","",INDEX(_xlfn.ANCHORARRAY($BE$4),ROW()-4,4)),"")</f>
        <v/>
      </c>
      <c r="G184" s="823" t="str" cm="1">
        <f t="array" ref="G184">IFERROR(IF($B184="","",INDEX(_xlfn.ANCHORARRAY($BE$4),ROW()-4,5)),"")</f>
        <v/>
      </c>
      <c r="H184" s="824" t="str" cm="1">
        <f t="array" ref="H184">IF($CJ184="","",_xlfn.LET(_xlpm.v,_xlfn.XLOOKUP($CJ184,Equip_List,IF($CK184="E",Equip_EmLen,IF($CK184="P",Equip_XfPriLen,Equip_FdrLen)),""),IF(_xlpm.v="","",_xlpm.v)))</f>
        <v/>
      </c>
      <c r="I184" s="806" t="str">
        <f t="shared" si="40"/>
        <v/>
      </c>
      <c r="J184" s="820"/>
      <c r="K184" s="806" t="str">
        <f>_xlfn.LET(_xlpm.k,IF($I184="","",IF(COUNTIF(UPS!$B$57:$B$64,$C184&amp;"")&gt;0,1.25*MAX($I184,N(_xlfn.XLOOKUP($C184&amp;"",UPS!$B$57:$B$64,UPS!$M$57:$M$64,0))),IF(COUNTIF(UPS!$B$57:$B$64,$D184&amp;"")&gt;0,1.25*MAX($I184,N(_xlfn.XLOOKUP($D184&amp;"",UPS!$B$57:$B$64,UPS!$Q$57:$Q$64,0))),$I184*IF(OR(UPPER($J184)="Y",LEFT($C184,2)="T-",LEFT($D184,2)="T-"),1.25,1)))),IF(_xlpm.k="","",MAX(_xlpm.k,N(IFERROR(_xlfn.XLOOKUP($D184&amp;"",Dashboard!$A$101:$A$350,Dashboard!$O$101:$O$350,0),0)))))</f>
        <v/>
      </c>
      <c r="L184" s="825" t="str">
        <f>IF($CJ184="","",_xlfn.LET(_xlpm.v,UPPER(TRIM(_xlfn.XLOOKUP($CJ184,Equip_List,Equip_FdrMat,"")&amp;"")),IF(_xlpm.v="",UPPER(TRIM(Cfg_FeederMat&amp;"")),_xlpm.v)))</f>
        <v/>
      </c>
      <c r="M184" s="825" t="str">
        <f>IF($CJ184="","",_xlfn.LET(_xlpm.v,TRIM(_xlfn.XLOOKUP($CJ184,Equip_List,Equip_FdrRace,"")&amp;""),IF(_xlpm.v="",Cfg_Conduit&amp;"",_xlpm.v)))</f>
        <v/>
      </c>
      <c r="N184" s="825" t="str">
        <f>IF($CJ184="","",IF(UPPER(TRIM(_xlfn.XLOOKUP($CJ184,Equip_List,Equip_FdrExist,"")&amp;""))="Y","Y",""))</f>
        <v/>
      </c>
      <c r="O184" s="823" t="str">
        <f t="shared" si="48"/>
        <v/>
      </c>
      <c r="P184" s="821" t="str">
        <f t="shared" si="49"/>
        <v/>
      </c>
      <c r="Q184" s="821" t="str">
        <f t="shared" si="50"/>
        <v/>
      </c>
      <c r="R184" s="822" t="str" cm="1">
        <f t="array" ref="R184">IF(K184="","",INDEX(OCPD_List,MATCH(TRUE,OCPD_List&gt;=K184,0)))</f>
        <v/>
      </c>
      <c r="S184" s="821" t="str">
        <f t="shared" si="51"/>
        <v/>
      </c>
      <c r="T184" s="826" t="str">
        <f t="shared" si="41"/>
        <v/>
      </c>
      <c r="U184" s="826" t="str">
        <f t="shared" si="42"/>
        <v/>
      </c>
      <c r="V184" s="827" t="str">
        <f t="shared" si="43"/>
        <v/>
      </c>
      <c r="W184" s="828"/>
      <c r="X184" s="819"/>
      <c r="Y184" s="820"/>
      <c r="Z184" s="820"/>
      <c r="AA184" s="820"/>
      <c r="BN184" s="832" t="str">
        <f>IF($B184="","",IFERROR(_xlfn.XLOOKUP($D184,Dashboard!$A$101:$A$350,Dashboard!$C$101:$C$350),""))</f>
        <v/>
      </c>
      <c r="BO184" s="832" t="str">
        <f t="shared" si="44"/>
        <v/>
      </c>
      <c r="BP184" s="832" t="str" cm="1">
        <f t="array" ref="BP184">IF(OR($B184="",$R184="",NOT(ISNUMBER($R184))),"",IF(AND($BV184="AL",$G184=1),"",_xlfn.LET(_xlpm.codes,IF($BV184="AL",Std_Al3_Code,IF($G184=1,Std_Cu1_Code,Std_Cu3_Code)),_xlpm.amps,IFERROR(--SUBSTITUTE(_xlpm.codes&amp;"","N",""),""),_xlpm.a,MIN(IF(ISNUMBER(_xlpm.amps),IF(_xlpm.amps&gt;=$R184,_xlpm.amps,""),"")),_xlpm.k,IF(_xlpm.a=0,$R184,_xlpm.a),IF($BO184="Y",TEXT(_xlpm.k,"0")&amp;"N",_xlpm.k))))</f>
        <v/>
      </c>
      <c r="BQ184" s="832" t="str" cm="1">
        <f t="array" ref="BQ184">IF($BP184="","",IFERROR(IF($BV184="AL",_xlfn.XLOOKUP($BP184,Std_Al3_Code,INDEX(Std_Al3_Table,0,3)),IF($G184=1,_xlfn.XLOOKUP($BP184,Std_Cu1_Code,INDEX(Std_Cu1_Table,0,3)),_xlfn.XLOOKUP($BP184,Std_Cu3_Code,INDEX(Std_Cu3_Table,0,3)))),""))</f>
        <v/>
      </c>
      <c r="BR184" s="832" t="str" cm="1">
        <f t="array" ref="BR184">IF($BP184="","",IFERROR(IF($BV184="AL",_xlfn.XLOOKUP($BP184,Std_Al3_Code,INDEX(Std_Al3_Table,0,4)),IF($G184=1,_xlfn.XLOOKUP($BP184,Std_Cu1_Code,INDEX(Std_Cu1_Table,0,4)),_xlfn.XLOOKUP($BP184,Std_Cu3_Code,INDEX(Std_Cu3_Table,0,4)))),""))</f>
        <v/>
      </c>
      <c r="BS184" s="832" t="str" cm="1">
        <f t="array" ref="BS184">IF($BP184="","",IFERROR(IF($BV184="AL",_xlfn.XLOOKUP($BP184,Std_Al3_Code,INDEX(Std_Al3_Table,0,5)),IF($G184=1,_xlfn.XLOOKUP($BP184,Std_Cu1_Code,INDEX(Std_Cu1_Table,0,5)),_xlfn.XLOOKUP($BP184,Std_Cu3_Code,INDEX(Std_Cu3_Table,0,5)))),""))</f>
        <v/>
      </c>
      <c r="BT184" s="832" t="str">
        <f t="shared" si="45"/>
        <v/>
      </c>
      <c r="BU184" s="832" t="str" cm="1">
        <f t="array" ref="BU184">IF($BP184="","",IFERROR(IF($BV184="AL",_xlfn.XLOOKUP($BP184,Std_Al3_Code,INDEX(Std_Al3_Table,0,2)),IF($G184=1,_xlfn.XLOOKUP($BP184,Std_Cu1_Code,INDEX(Std_Cu1_Table,0,2)),_xlfn.XLOOKUP($BP184,Std_Cu3_Code,INDEX(Std_Cu3_Table,0,2)))),""))</f>
        <v/>
      </c>
      <c r="BV184" s="829" t="str">
        <f t="shared" si="46"/>
        <v/>
      </c>
      <c r="BW184" s="829" t="str">
        <f t="shared" si="52"/>
        <v/>
      </c>
      <c r="BX184" s="829" t="str" cm="1">
        <f t="array" ref="BX184">IF(OR($BP184="",$H184="",$I184="",$F184="",$BW184=""),"",IFERROR(_xlfn.LET(_xlpm.codes,IF($BV184="AL",Std_Al3_Code,IF($G184=1,Std_Cu1_Code,Std_Cu3_Code)),_xlpm.tbl,IF($BV184="AL",Std_Al3_Table,IF($G184=1,Std_Cu1_Table,Std_Cu3_Table)),_xlpm.i,MATCH($BP184,_xlpm.codes,0),_xlpm.idx,_xlfn.SEQUENCE(ROWS(_xlpm.codes)),_xlpm.cnd,INDEX(_xlpm.tbl,0,4),_xlpm.sts,INDEX(_xlpm.tbl,0,2),_xlpm.sz,IFERROR(_xlfn.TEXTBEFORE(_xlfn.TEXTAFTER(_xlpm.cnd,"#"),","),IFERROR(_xlfn.TEXTAFTER(_xlpm.cnd,"#"),"")),_xlpm.cm,IFERROR(_xlfn.XLOOKUP(TRIM(_xlpm.sz),Ampacity_Size,Ampacity_CM),0),_xlpm.mult,IF($G184=3,SQRT3,2),_xlpm.kk,IF($BV184="AL",K_Al,K_Cu),_xlpm.vd,IF(_xlpm.cm*IF(ISNUMBER(_xlpm.sts),_xlpm.sts,0)=0,9,_xlpm.mult*_xlpm.kk*$I184*$H184/(_xlpm.cm*_xlpm.sts)/$F184),_xlpm.hasN,--(RIGHT(_xlpm.codes&amp;"",1)="N"),_xlpm.wantN,--(RIGHT($BP184&amp;"",1)="N"),_xlpm.ok,(_xlpm.idx&gt;=_xlpm.i)*(_xlpm.vd&lt;=Cfg_VDFeeder)*(_xlpm.cm&gt;0)*ISNUMBER(_xlpm.sts)*(_xlpm.hasN=_xlpm.wantN),_xlpm.m,MIN(IF(_xlpm.ok=1,_xlpm.idx)),INDEX(_xlpm.codes,IF(_xlpm.m=0,_xlpm.i,_xlpm.m))),""))</f>
        <v/>
      </c>
      <c r="BY184" s="829" t="str" cm="1">
        <f t="array" ref="BY184">IF($BP184="","",IF($BX184="",$BU184,IFERROR(IF($BV184="AL",_xlfn.XLOOKUP($BX184,Std_Al3_Code,INDEX(Std_Al3_Table,0,2)),IF($G184=1,_xlfn.XLOOKUP($BX184,Std_Cu1_Code,INDEX(Std_Cu1_Table,0,2)),_xlfn.XLOOKUP($BX184,Std_Cu3_Code,INDEX(Std_Cu3_Table,0,2)))),"")))</f>
        <v/>
      </c>
      <c r="BZ184" s="829" t="str" cm="1">
        <f t="array" ref="BZ184">IF($BP184="","",IF($BX184="",$BR184,IFERROR(IF($BV184="AL",_xlfn.XLOOKUP($BX184,Std_Al3_Code,INDEX(Std_Al3_Table,0,4)),IF($G184=1,_xlfn.XLOOKUP($BX184,Std_Cu1_Code,INDEX(Std_Cu1_Table,0,4)),_xlfn.XLOOKUP($BX184,Std_Cu3_Code,INDEX(Std_Cu3_Table,0,4)))),"")))</f>
        <v/>
      </c>
      <c r="CA184" s="829" t="str" cm="1">
        <f t="array" ref="CA184">IF($BP184="","",IF($BX184="",$BQ184,IFERROR(IF($BV184="AL",_xlfn.XLOOKUP($BX184,Std_Al3_Code,INDEX(Std_Al3_Table,0,3)),IF($G184=1,_xlfn.XLOOKUP($BX184,Std_Cu1_Code,INDEX(Std_Cu1_Table,0,3)),_xlfn.XLOOKUP($BX184,Std_Cu3_Code,INDEX(Std_Cu3_Table,0,3)))),"")))</f>
        <v/>
      </c>
      <c r="CB184" s="829" t="str" cm="1">
        <f t="array" ref="CB184">IF($BP184="","",IF($BX184="",$BS184,IFERROR(IF($BV184="AL",_xlfn.XLOOKUP($BX184,Std_Al3_Code,INDEX(Std_Al3_Table,0,5)),IF($G184=1,_xlfn.XLOOKUP($BX184,Std_Cu1_Code,INDEX(Std_Cu1_Table,0,5)),_xlfn.XLOOKUP($BX184,Std_Cu3_Code,INDEX(Std_Cu3_Table,0,5)))),"")))</f>
        <v/>
      </c>
      <c r="CC184" s="829" t="str">
        <f t="shared" si="53"/>
        <v/>
      </c>
      <c r="CD184" s="829" t="str">
        <f t="shared" si="54"/>
        <v/>
      </c>
      <c r="CE184" s="829" t="str">
        <f t="shared" si="55"/>
        <v/>
      </c>
      <c r="CF184" s="829" t="str">
        <f t="shared" si="56"/>
        <v/>
      </c>
      <c r="CG184" s="829" t="str">
        <f t="shared" si="57"/>
        <v/>
      </c>
      <c r="CH184" s="829" t="str">
        <f t="shared" si="58"/>
        <v/>
      </c>
      <c r="CI184" s="829" t="str">
        <f t="shared" si="59"/>
        <v/>
      </c>
      <c r="CJ184" s="829" t="str" cm="1">
        <f t="array" ref="CJ184">IF($B184="","",_xlfn.LET(_xlpm.to,$D184&amp;"",_xlpm.em,IFERROR(INDEX(_xlfn.ANCHORARRAY($BE$4),ROW()-4,6),"")="EMERG",_xlpm.pri,AND(NOT(_xlpm.em),LEFT(_xlpm.to,2)="T-",ISNUMBER(MATCH(MID(_xlpm.to,3,99),Equip_List,0)),ISNA(MATCH(_xlpm.to,Equip_List,0))),IF(_xlpm.pri,MID(_xlpm.to,3,99),_xlpm.to)))</f>
        <v/>
      </c>
      <c r="CK184" s="829" t="str" cm="1">
        <f t="array" ref="CK184">IF($CJ184="","",IF(IFERROR(INDEX(_xlfn.ANCHORARRAY($BE$4),ROW()-4,6),"")="EMERG","E",IF($CJ184&lt;&gt;$D184&amp;"","P","N")))</f>
        <v/>
      </c>
    </row>
    <row r="185" spans="1:89" ht="15" customHeight="1" x14ac:dyDescent="0.35">
      <c r="A185" s="821" t="str">
        <f t="shared" si="47"/>
        <v/>
      </c>
      <c r="B185" s="821" t="str" cm="1">
        <f t="array" ref="B185">IFERROR(IF(INDEX(_xlfn.ANCHORARRAY($BE$4),ROW()-4,2)="","","F-"&amp;INDEX(_xlfn.ANCHORARRAY($BE$4),ROW()-4,2)&amp;IF(IFERROR(INDEX(_xlfn.ANCHORARRAY($BE$4),ROW()-4,6),"")="EMERG","-E","")),"")</f>
        <v/>
      </c>
      <c r="C185" s="821" t="str" cm="1">
        <f t="array" ref="C185">IFERROR(IF($B185="","",INDEX(_xlfn.ANCHORARRAY($BE$4),ROW()-4,1)),"")</f>
        <v/>
      </c>
      <c r="D185" s="821" t="str" cm="1">
        <f t="array" ref="D185">IFERROR(IF($B185="","",INDEX(_xlfn.ANCHORARRAY($BE$4),ROW()-4,2)),"")</f>
        <v/>
      </c>
      <c r="E185" s="806" t="str" cm="1">
        <f t="array" ref="E185">IFERROR(IF($B185="","",INDEX(_xlfn.ANCHORARRAY($BE$4),ROW()-4,3)),"")</f>
        <v/>
      </c>
      <c r="F185" s="822" t="str" cm="1">
        <f t="array" ref="F185">IFERROR(IF($B185="","",INDEX(_xlfn.ANCHORARRAY($BE$4),ROW()-4,4)),"")</f>
        <v/>
      </c>
      <c r="G185" s="823" t="str" cm="1">
        <f t="array" ref="G185">IFERROR(IF($B185="","",INDEX(_xlfn.ANCHORARRAY($BE$4),ROW()-4,5)),"")</f>
        <v/>
      </c>
      <c r="H185" s="824" t="str" cm="1">
        <f t="array" ref="H185">IF($CJ185="","",_xlfn.LET(_xlpm.v,_xlfn.XLOOKUP($CJ185,Equip_List,IF($CK185="E",Equip_EmLen,IF($CK185="P",Equip_XfPriLen,Equip_FdrLen)),""),IF(_xlpm.v="","",_xlpm.v)))</f>
        <v/>
      </c>
      <c r="I185" s="806" t="str">
        <f t="shared" si="40"/>
        <v/>
      </c>
      <c r="J185" s="820"/>
      <c r="K185" s="806" t="str">
        <f>_xlfn.LET(_xlpm.k,IF($I185="","",IF(COUNTIF(UPS!$B$57:$B$64,$C185&amp;"")&gt;0,1.25*MAX($I185,N(_xlfn.XLOOKUP($C185&amp;"",UPS!$B$57:$B$64,UPS!$M$57:$M$64,0))),IF(COUNTIF(UPS!$B$57:$B$64,$D185&amp;"")&gt;0,1.25*MAX($I185,N(_xlfn.XLOOKUP($D185&amp;"",UPS!$B$57:$B$64,UPS!$Q$57:$Q$64,0))),$I185*IF(OR(UPPER($J185)="Y",LEFT($C185,2)="T-",LEFT($D185,2)="T-"),1.25,1)))),IF(_xlpm.k="","",MAX(_xlpm.k,N(IFERROR(_xlfn.XLOOKUP($D185&amp;"",Dashboard!$A$101:$A$350,Dashboard!$O$101:$O$350,0),0)))))</f>
        <v/>
      </c>
      <c r="L185" s="825" t="str">
        <f>IF($CJ185="","",_xlfn.LET(_xlpm.v,UPPER(TRIM(_xlfn.XLOOKUP($CJ185,Equip_List,Equip_FdrMat,"")&amp;"")),IF(_xlpm.v="",UPPER(TRIM(Cfg_FeederMat&amp;"")),_xlpm.v)))</f>
        <v/>
      </c>
      <c r="M185" s="825" t="str">
        <f>IF($CJ185="","",_xlfn.LET(_xlpm.v,TRIM(_xlfn.XLOOKUP($CJ185,Equip_List,Equip_FdrRace,"")&amp;""),IF(_xlpm.v="",Cfg_Conduit&amp;"",_xlpm.v)))</f>
        <v/>
      </c>
      <c r="N185" s="825" t="str">
        <f>IF($CJ185="","",IF(UPPER(TRIM(_xlfn.XLOOKUP($CJ185,Equip_List,Equip_FdrExist,"")&amp;""))="Y","Y",""))</f>
        <v/>
      </c>
      <c r="O185" s="823" t="str">
        <f t="shared" si="48"/>
        <v/>
      </c>
      <c r="P185" s="821" t="str">
        <f t="shared" si="49"/>
        <v/>
      </c>
      <c r="Q185" s="821" t="str">
        <f t="shared" si="50"/>
        <v/>
      </c>
      <c r="R185" s="822" t="str" cm="1">
        <f t="array" ref="R185">IF(K185="","",INDEX(OCPD_List,MATCH(TRUE,OCPD_List&gt;=K185,0)))</f>
        <v/>
      </c>
      <c r="S185" s="821" t="str">
        <f t="shared" si="51"/>
        <v/>
      </c>
      <c r="T185" s="826" t="str">
        <f t="shared" si="41"/>
        <v/>
      </c>
      <c r="U185" s="826" t="str">
        <f t="shared" si="42"/>
        <v/>
      </c>
      <c r="V185" s="827" t="str">
        <f t="shared" si="43"/>
        <v/>
      </c>
      <c r="W185" s="828"/>
      <c r="X185" s="819"/>
      <c r="Y185" s="820"/>
      <c r="Z185" s="820"/>
      <c r="AA185" s="820"/>
      <c r="BN185" s="832" t="str">
        <f>IF($B185="","",IFERROR(_xlfn.XLOOKUP($D185,Dashboard!$A$101:$A$350,Dashboard!$C$101:$C$350),""))</f>
        <v/>
      </c>
      <c r="BO185" s="832" t="str">
        <f t="shared" si="44"/>
        <v/>
      </c>
      <c r="BP185" s="832" t="str" cm="1">
        <f t="array" ref="BP185">IF(OR($B185="",$R185="",NOT(ISNUMBER($R185))),"",IF(AND($BV185="AL",$G185=1),"",_xlfn.LET(_xlpm.codes,IF($BV185="AL",Std_Al3_Code,IF($G185=1,Std_Cu1_Code,Std_Cu3_Code)),_xlpm.amps,IFERROR(--SUBSTITUTE(_xlpm.codes&amp;"","N",""),""),_xlpm.a,MIN(IF(ISNUMBER(_xlpm.amps),IF(_xlpm.amps&gt;=$R185,_xlpm.amps,""),"")),_xlpm.k,IF(_xlpm.a=0,$R185,_xlpm.a),IF($BO185="Y",TEXT(_xlpm.k,"0")&amp;"N",_xlpm.k))))</f>
        <v/>
      </c>
      <c r="BQ185" s="832" t="str" cm="1">
        <f t="array" ref="BQ185">IF($BP185="","",IFERROR(IF($BV185="AL",_xlfn.XLOOKUP($BP185,Std_Al3_Code,INDEX(Std_Al3_Table,0,3)),IF($G185=1,_xlfn.XLOOKUP($BP185,Std_Cu1_Code,INDEX(Std_Cu1_Table,0,3)),_xlfn.XLOOKUP($BP185,Std_Cu3_Code,INDEX(Std_Cu3_Table,0,3)))),""))</f>
        <v/>
      </c>
      <c r="BR185" s="832" t="str" cm="1">
        <f t="array" ref="BR185">IF($BP185="","",IFERROR(IF($BV185="AL",_xlfn.XLOOKUP($BP185,Std_Al3_Code,INDEX(Std_Al3_Table,0,4)),IF($G185=1,_xlfn.XLOOKUP($BP185,Std_Cu1_Code,INDEX(Std_Cu1_Table,0,4)),_xlfn.XLOOKUP($BP185,Std_Cu3_Code,INDEX(Std_Cu3_Table,0,4)))),""))</f>
        <v/>
      </c>
      <c r="BS185" s="832" t="str" cm="1">
        <f t="array" ref="BS185">IF($BP185="","",IFERROR(IF($BV185="AL",_xlfn.XLOOKUP($BP185,Std_Al3_Code,INDEX(Std_Al3_Table,0,5)),IF($G185=1,_xlfn.XLOOKUP($BP185,Std_Cu1_Code,INDEX(Std_Cu1_Table,0,5)),_xlfn.XLOOKUP($BP185,Std_Cu3_Code,INDEX(Std_Cu3_Table,0,5)))),""))</f>
        <v/>
      </c>
      <c r="BT185" s="832" t="str">
        <f t="shared" si="45"/>
        <v/>
      </c>
      <c r="BU185" s="832" t="str" cm="1">
        <f t="array" ref="BU185">IF($BP185="","",IFERROR(IF($BV185="AL",_xlfn.XLOOKUP($BP185,Std_Al3_Code,INDEX(Std_Al3_Table,0,2)),IF($G185=1,_xlfn.XLOOKUP($BP185,Std_Cu1_Code,INDEX(Std_Cu1_Table,0,2)),_xlfn.XLOOKUP($BP185,Std_Cu3_Code,INDEX(Std_Cu3_Table,0,2)))),""))</f>
        <v/>
      </c>
      <c r="BV185" s="829" t="str">
        <f t="shared" si="46"/>
        <v/>
      </c>
      <c r="BW185" s="829" t="str">
        <f t="shared" si="52"/>
        <v/>
      </c>
      <c r="BX185" s="829" t="str" cm="1">
        <f t="array" ref="BX185">IF(OR($BP185="",$H185="",$I185="",$F185="",$BW185=""),"",IFERROR(_xlfn.LET(_xlpm.codes,IF($BV185="AL",Std_Al3_Code,IF($G185=1,Std_Cu1_Code,Std_Cu3_Code)),_xlpm.tbl,IF($BV185="AL",Std_Al3_Table,IF($G185=1,Std_Cu1_Table,Std_Cu3_Table)),_xlpm.i,MATCH($BP185,_xlpm.codes,0),_xlpm.idx,_xlfn.SEQUENCE(ROWS(_xlpm.codes)),_xlpm.cnd,INDEX(_xlpm.tbl,0,4),_xlpm.sts,INDEX(_xlpm.tbl,0,2),_xlpm.sz,IFERROR(_xlfn.TEXTBEFORE(_xlfn.TEXTAFTER(_xlpm.cnd,"#"),","),IFERROR(_xlfn.TEXTAFTER(_xlpm.cnd,"#"),"")),_xlpm.cm,IFERROR(_xlfn.XLOOKUP(TRIM(_xlpm.sz),Ampacity_Size,Ampacity_CM),0),_xlpm.mult,IF($G185=3,SQRT3,2),_xlpm.kk,IF($BV185="AL",K_Al,K_Cu),_xlpm.vd,IF(_xlpm.cm*IF(ISNUMBER(_xlpm.sts),_xlpm.sts,0)=0,9,_xlpm.mult*_xlpm.kk*$I185*$H185/(_xlpm.cm*_xlpm.sts)/$F185),_xlpm.hasN,--(RIGHT(_xlpm.codes&amp;"",1)="N"),_xlpm.wantN,--(RIGHT($BP185&amp;"",1)="N"),_xlpm.ok,(_xlpm.idx&gt;=_xlpm.i)*(_xlpm.vd&lt;=Cfg_VDFeeder)*(_xlpm.cm&gt;0)*ISNUMBER(_xlpm.sts)*(_xlpm.hasN=_xlpm.wantN),_xlpm.m,MIN(IF(_xlpm.ok=1,_xlpm.idx)),INDEX(_xlpm.codes,IF(_xlpm.m=0,_xlpm.i,_xlpm.m))),""))</f>
        <v/>
      </c>
      <c r="BY185" s="829" t="str" cm="1">
        <f t="array" ref="BY185">IF($BP185="","",IF($BX185="",$BU185,IFERROR(IF($BV185="AL",_xlfn.XLOOKUP($BX185,Std_Al3_Code,INDEX(Std_Al3_Table,0,2)),IF($G185=1,_xlfn.XLOOKUP($BX185,Std_Cu1_Code,INDEX(Std_Cu1_Table,0,2)),_xlfn.XLOOKUP($BX185,Std_Cu3_Code,INDEX(Std_Cu3_Table,0,2)))),"")))</f>
        <v/>
      </c>
      <c r="BZ185" s="829" t="str" cm="1">
        <f t="array" ref="BZ185">IF($BP185="","",IF($BX185="",$BR185,IFERROR(IF($BV185="AL",_xlfn.XLOOKUP($BX185,Std_Al3_Code,INDEX(Std_Al3_Table,0,4)),IF($G185=1,_xlfn.XLOOKUP($BX185,Std_Cu1_Code,INDEX(Std_Cu1_Table,0,4)),_xlfn.XLOOKUP($BX185,Std_Cu3_Code,INDEX(Std_Cu3_Table,0,4)))),"")))</f>
        <v/>
      </c>
      <c r="CA185" s="829" t="str" cm="1">
        <f t="array" ref="CA185">IF($BP185="","",IF($BX185="",$BQ185,IFERROR(IF($BV185="AL",_xlfn.XLOOKUP($BX185,Std_Al3_Code,INDEX(Std_Al3_Table,0,3)),IF($G185=1,_xlfn.XLOOKUP($BX185,Std_Cu1_Code,INDEX(Std_Cu1_Table,0,3)),_xlfn.XLOOKUP($BX185,Std_Cu3_Code,INDEX(Std_Cu3_Table,0,3)))),"")))</f>
        <v/>
      </c>
      <c r="CB185" s="829" t="str" cm="1">
        <f t="array" ref="CB185">IF($BP185="","",IF($BX185="",$BS185,IFERROR(IF($BV185="AL",_xlfn.XLOOKUP($BX185,Std_Al3_Code,INDEX(Std_Al3_Table,0,5)),IF($G185=1,_xlfn.XLOOKUP($BX185,Std_Cu1_Code,INDEX(Std_Cu1_Table,0,5)),_xlfn.XLOOKUP($BX185,Std_Cu3_Code,INDEX(Std_Cu3_Table,0,5)))),"")))</f>
        <v/>
      </c>
      <c r="CC185" s="829" t="str">
        <f t="shared" si="53"/>
        <v/>
      </c>
      <c r="CD185" s="829" t="str">
        <f t="shared" si="54"/>
        <v/>
      </c>
      <c r="CE185" s="829" t="str">
        <f t="shared" si="55"/>
        <v/>
      </c>
      <c r="CF185" s="829" t="str">
        <f t="shared" si="56"/>
        <v/>
      </c>
      <c r="CG185" s="829" t="str">
        <f t="shared" si="57"/>
        <v/>
      </c>
      <c r="CH185" s="829" t="str">
        <f t="shared" si="58"/>
        <v/>
      </c>
      <c r="CI185" s="829" t="str">
        <f t="shared" si="59"/>
        <v/>
      </c>
      <c r="CJ185" s="829" t="str" cm="1">
        <f t="array" ref="CJ185">IF($B185="","",_xlfn.LET(_xlpm.to,$D185&amp;"",_xlpm.em,IFERROR(INDEX(_xlfn.ANCHORARRAY($BE$4),ROW()-4,6),"")="EMERG",_xlpm.pri,AND(NOT(_xlpm.em),LEFT(_xlpm.to,2)="T-",ISNUMBER(MATCH(MID(_xlpm.to,3,99),Equip_List,0)),ISNA(MATCH(_xlpm.to,Equip_List,0))),IF(_xlpm.pri,MID(_xlpm.to,3,99),_xlpm.to)))</f>
        <v/>
      </c>
      <c r="CK185" s="829" t="str" cm="1">
        <f t="array" ref="CK185">IF($CJ185="","",IF(IFERROR(INDEX(_xlfn.ANCHORARRAY($BE$4),ROW()-4,6),"")="EMERG","E",IF($CJ185&lt;&gt;$D185&amp;"","P","N")))</f>
        <v/>
      </c>
    </row>
    <row r="186" spans="1:89" ht="15" customHeight="1" x14ac:dyDescent="0.35">
      <c r="A186" s="821" t="str">
        <f t="shared" si="47"/>
        <v/>
      </c>
      <c r="B186" s="821" t="str" cm="1">
        <f t="array" ref="B186">IFERROR(IF(INDEX(_xlfn.ANCHORARRAY($BE$4),ROW()-4,2)="","","F-"&amp;INDEX(_xlfn.ANCHORARRAY($BE$4),ROW()-4,2)&amp;IF(IFERROR(INDEX(_xlfn.ANCHORARRAY($BE$4),ROW()-4,6),"")="EMERG","-E","")),"")</f>
        <v/>
      </c>
      <c r="C186" s="821" t="str" cm="1">
        <f t="array" ref="C186">IFERROR(IF($B186="","",INDEX(_xlfn.ANCHORARRAY($BE$4),ROW()-4,1)),"")</f>
        <v/>
      </c>
      <c r="D186" s="821" t="str" cm="1">
        <f t="array" ref="D186">IFERROR(IF($B186="","",INDEX(_xlfn.ANCHORARRAY($BE$4),ROW()-4,2)),"")</f>
        <v/>
      </c>
      <c r="E186" s="806" t="str" cm="1">
        <f t="array" ref="E186">IFERROR(IF($B186="","",INDEX(_xlfn.ANCHORARRAY($BE$4),ROW()-4,3)),"")</f>
        <v/>
      </c>
      <c r="F186" s="822" t="str" cm="1">
        <f t="array" ref="F186">IFERROR(IF($B186="","",INDEX(_xlfn.ANCHORARRAY($BE$4),ROW()-4,4)),"")</f>
        <v/>
      </c>
      <c r="G186" s="823" t="str" cm="1">
        <f t="array" ref="G186">IFERROR(IF($B186="","",INDEX(_xlfn.ANCHORARRAY($BE$4),ROW()-4,5)),"")</f>
        <v/>
      </c>
      <c r="H186" s="824" t="str" cm="1">
        <f t="array" ref="H186">IF($CJ186="","",_xlfn.LET(_xlpm.v,_xlfn.XLOOKUP($CJ186,Equip_List,IF($CK186="E",Equip_EmLen,IF($CK186="P",Equip_XfPriLen,Equip_FdrLen)),""),IF(_xlpm.v="","",_xlpm.v)))</f>
        <v/>
      </c>
      <c r="I186" s="806" t="str">
        <f t="shared" si="40"/>
        <v/>
      </c>
      <c r="J186" s="820"/>
      <c r="K186" s="806" t="str">
        <f>_xlfn.LET(_xlpm.k,IF($I186="","",IF(COUNTIF(UPS!$B$57:$B$64,$C186&amp;"")&gt;0,1.25*MAX($I186,N(_xlfn.XLOOKUP($C186&amp;"",UPS!$B$57:$B$64,UPS!$M$57:$M$64,0))),IF(COUNTIF(UPS!$B$57:$B$64,$D186&amp;"")&gt;0,1.25*MAX($I186,N(_xlfn.XLOOKUP($D186&amp;"",UPS!$B$57:$B$64,UPS!$Q$57:$Q$64,0))),$I186*IF(OR(UPPER($J186)="Y",LEFT($C186,2)="T-",LEFT($D186,2)="T-"),1.25,1)))),IF(_xlpm.k="","",MAX(_xlpm.k,N(IFERROR(_xlfn.XLOOKUP($D186&amp;"",Dashboard!$A$101:$A$350,Dashboard!$O$101:$O$350,0),0)))))</f>
        <v/>
      </c>
      <c r="L186" s="825" t="str">
        <f>IF($CJ186="","",_xlfn.LET(_xlpm.v,UPPER(TRIM(_xlfn.XLOOKUP($CJ186,Equip_List,Equip_FdrMat,"")&amp;"")),IF(_xlpm.v="",UPPER(TRIM(Cfg_FeederMat&amp;"")),_xlpm.v)))</f>
        <v/>
      </c>
      <c r="M186" s="825" t="str">
        <f>IF($CJ186="","",_xlfn.LET(_xlpm.v,TRIM(_xlfn.XLOOKUP($CJ186,Equip_List,Equip_FdrRace,"")&amp;""),IF(_xlpm.v="",Cfg_Conduit&amp;"",_xlpm.v)))</f>
        <v/>
      </c>
      <c r="N186" s="825" t="str">
        <f>IF($CJ186="","",IF(UPPER(TRIM(_xlfn.XLOOKUP($CJ186,Equip_List,Equip_FdrExist,"")&amp;""))="Y","Y",""))</f>
        <v/>
      </c>
      <c r="O186" s="823" t="str">
        <f t="shared" si="48"/>
        <v/>
      </c>
      <c r="P186" s="821" t="str">
        <f t="shared" si="49"/>
        <v/>
      </c>
      <c r="Q186" s="821" t="str">
        <f t="shared" si="50"/>
        <v/>
      </c>
      <c r="R186" s="822" t="str" cm="1">
        <f t="array" ref="R186">IF(K186="","",INDEX(OCPD_List,MATCH(TRUE,OCPD_List&gt;=K186,0)))</f>
        <v/>
      </c>
      <c r="S186" s="821" t="str">
        <f t="shared" si="51"/>
        <v/>
      </c>
      <c r="T186" s="826" t="str">
        <f t="shared" si="41"/>
        <v/>
      </c>
      <c r="U186" s="826" t="str">
        <f t="shared" si="42"/>
        <v/>
      </c>
      <c r="V186" s="827" t="str">
        <f t="shared" si="43"/>
        <v/>
      </c>
      <c r="W186" s="828"/>
      <c r="X186" s="819"/>
      <c r="Y186" s="820"/>
      <c r="Z186" s="820"/>
      <c r="AA186" s="820"/>
      <c r="BN186" s="832" t="str">
        <f>IF($B186="","",IFERROR(_xlfn.XLOOKUP($D186,Dashboard!$A$101:$A$350,Dashboard!$C$101:$C$350),""))</f>
        <v/>
      </c>
      <c r="BO186" s="832" t="str">
        <f t="shared" si="44"/>
        <v/>
      </c>
      <c r="BP186" s="832" t="str" cm="1">
        <f t="array" ref="BP186">IF(OR($B186="",$R186="",NOT(ISNUMBER($R186))),"",IF(AND($BV186="AL",$G186=1),"",_xlfn.LET(_xlpm.codes,IF($BV186="AL",Std_Al3_Code,IF($G186=1,Std_Cu1_Code,Std_Cu3_Code)),_xlpm.amps,IFERROR(--SUBSTITUTE(_xlpm.codes&amp;"","N",""),""),_xlpm.a,MIN(IF(ISNUMBER(_xlpm.amps),IF(_xlpm.amps&gt;=$R186,_xlpm.amps,""),"")),_xlpm.k,IF(_xlpm.a=0,$R186,_xlpm.a),IF($BO186="Y",TEXT(_xlpm.k,"0")&amp;"N",_xlpm.k))))</f>
        <v/>
      </c>
      <c r="BQ186" s="832" t="str" cm="1">
        <f t="array" ref="BQ186">IF($BP186="","",IFERROR(IF($BV186="AL",_xlfn.XLOOKUP($BP186,Std_Al3_Code,INDEX(Std_Al3_Table,0,3)),IF($G186=1,_xlfn.XLOOKUP($BP186,Std_Cu1_Code,INDEX(Std_Cu1_Table,0,3)),_xlfn.XLOOKUP($BP186,Std_Cu3_Code,INDEX(Std_Cu3_Table,0,3)))),""))</f>
        <v/>
      </c>
      <c r="BR186" s="832" t="str" cm="1">
        <f t="array" ref="BR186">IF($BP186="","",IFERROR(IF($BV186="AL",_xlfn.XLOOKUP($BP186,Std_Al3_Code,INDEX(Std_Al3_Table,0,4)),IF($G186=1,_xlfn.XLOOKUP($BP186,Std_Cu1_Code,INDEX(Std_Cu1_Table,0,4)),_xlfn.XLOOKUP($BP186,Std_Cu3_Code,INDEX(Std_Cu3_Table,0,4)))),""))</f>
        <v/>
      </c>
      <c r="BS186" s="832" t="str" cm="1">
        <f t="array" ref="BS186">IF($BP186="","",IFERROR(IF($BV186="AL",_xlfn.XLOOKUP($BP186,Std_Al3_Code,INDEX(Std_Al3_Table,0,5)),IF($G186=1,_xlfn.XLOOKUP($BP186,Std_Cu1_Code,INDEX(Std_Cu1_Table,0,5)),_xlfn.XLOOKUP($BP186,Std_Cu3_Code,INDEX(Std_Cu3_Table,0,5)))),""))</f>
        <v/>
      </c>
      <c r="BT186" s="832" t="str">
        <f t="shared" si="45"/>
        <v/>
      </c>
      <c r="BU186" s="832" t="str" cm="1">
        <f t="array" ref="BU186">IF($BP186="","",IFERROR(IF($BV186="AL",_xlfn.XLOOKUP($BP186,Std_Al3_Code,INDEX(Std_Al3_Table,0,2)),IF($G186=1,_xlfn.XLOOKUP($BP186,Std_Cu1_Code,INDEX(Std_Cu1_Table,0,2)),_xlfn.XLOOKUP($BP186,Std_Cu3_Code,INDEX(Std_Cu3_Table,0,2)))),""))</f>
        <v/>
      </c>
      <c r="BV186" s="829" t="str">
        <f t="shared" si="46"/>
        <v/>
      </c>
      <c r="BW186" s="829" t="str">
        <f t="shared" si="52"/>
        <v/>
      </c>
      <c r="BX186" s="829" t="str" cm="1">
        <f t="array" ref="BX186">IF(OR($BP186="",$H186="",$I186="",$F186="",$BW186=""),"",IFERROR(_xlfn.LET(_xlpm.codes,IF($BV186="AL",Std_Al3_Code,IF($G186=1,Std_Cu1_Code,Std_Cu3_Code)),_xlpm.tbl,IF($BV186="AL",Std_Al3_Table,IF($G186=1,Std_Cu1_Table,Std_Cu3_Table)),_xlpm.i,MATCH($BP186,_xlpm.codes,0),_xlpm.idx,_xlfn.SEQUENCE(ROWS(_xlpm.codes)),_xlpm.cnd,INDEX(_xlpm.tbl,0,4),_xlpm.sts,INDEX(_xlpm.tbl,0,2),_xlpm.sz,IFERROR(_xlfn.TEXTBEFORE(_xlfn.TEXTAFTER(_xlpm.cnd,"#"),","),IFERROR(_xlfn.TEXTAFTER(_xlpm.cnd,"#"),"")),_xlpm.cm,IFERROR(_xlfn.XLOOKUP(TRIM(_xlpm.sz),Ampacity_Size,Ampacity_CM),0),_xlpm.mult,IF($G186=3,SQRT3,2),_xlpm.kk,IF($BV186="AL",K_Al,K_Cu),_xlpm.vd,IF(_xlpm.cm*IF(ISNUMBER(_xlpm.sts),_xlpm.sts,0)=0,9,_xlpm.mult*_xlpm.kk*$I186*$H186/(_xlpm.cm*_xlpm.sts)/$F186),_xlpm.hasN,--(RIGHT(_xlpm.codes&amp;"",1)="N"),_xlpm.wantN,--(RIGHT($BP186&amp;"",1)="N"),_xlpm.ok,(_xlpm.idx&gt;=_xlpm.i)*(_xlpm.vd&lt;=Cfg_VDFeeder)*(_xlpm.cm&gt;0)*ISNUMBER(_xlpm.sts)*(_xlpm.hasN=_xlpm.wantN),_xlpm.m,MIN(IF(_xlpm.ok=1,_xlpm.idx)),INDEX(_xlpm.codes,IF(_xlpm.m=0,_xlpm.i,_xlpm.m))),""))</f>
        <v/>
      </c>
      <c r="BY186" s="829" t="str" cm="1">
        <f t="array" ref="BY186">IF($BP186="","",IF($BX186="",$BU186,IFERROR(IF($BV186="AL",_xlfn.XLOOKUP($BX186,Std_Al3_Code,INDEX(Std_Al3_Table,0,2)),IF($G186=1,_xlfn.XLOOKUP($BX186,Std_Cu1_Code,INDEX(Std_Cu1_Table,0,2)),_xlfn.XLOOKUP($BX186,Std_Cu3_Code,INDEX(Std_Cu3_Table,0,2)))),"")))</f>
        <v/>
      </c>
      <c r="BZ186" s="829" t="str" cm="1">
        <f t="array" ref="BZ186">IF($BP186="","",IF($BX186="",$BR186,IFERROR(IF($BV186="AL",_xlfn.XLOOKUP($BX186,Std_Al3_Code,INDEX(Std_Al3_Table,0,4)),IF($G186=1,_xlfn.XLOOKUP($BX186,Std_Cu1_Code,INDEX(Std_Cu1_Table,0,4)),_xlfn.XLOOKUP($BX186,Std_Cu3_Code,INDEX(Std_Cu3_Table,0,4)))),"")))</f>
        <v/>
      </c>
      <c r="CA186" s="829" t="str" cm="1">
        <f t="array" ref="CA186">IF($BP186="","",IF($BX186="",$BQ186,IFERROR(IF($BV186="AL",_xlfn.XLOOKUP($BX186,Std_Al3_Code,INDEX(Std_Al3_Table,0,3)),IF($G186=1,_xlfn.XLOOKUP($BX186,Std_Cu1_Code,INDEX(Std_Cu1_Table,0,3)),_xlfn.XLOOKUP($BX186,Std_Cu3_Code,INDEX(Std_Cu3_Table,0,3)))),"")))</f>
        <v/>
      </c>
      <c r="CB186" s="829" t="str" cm="1">
        <f t="array" ref="CB186">IF($BP186="","",IF($BX186="",$BS186,IFERROR(IF($BV186="AL",_xlfn.XLOOKUP($BX186,Std_Al3_Code,INDEX(Std_Al3_Table,0,5)),IF($G186=1,_xlfn.XLOOKUP($BX186,Std_Cu1_Code,INDEX(Std_Cu1_Table,0,5)),_xlfn.XLOOKUP($BX186,Std_Cu3_Code,INDEX(Std_Cu3_Table,0,5)))),"")))</f>
        <v/>
      </c>
      <c r="CC186" s="829" t="str">
        <f t="shared" si="53"/>
        <v/>
      </c>
      <c r="CD186" s="829" t="str">
        <f t="shared" si="54"/>
        <v/>
      </c>
      <c r="CE186" s="829" t="str">
        <f t="shared" si="55"/>
        <v/>
      </c>
      <c r="CF186" s="829" t="str">
        <f t="shared" si="56"/>
        <v/>
      </c>
      <c r="CG186" s="829" t="str">
        <f t="shared" si="57"/>
        <v/>
      </c>
      <c r="CH186" s="829" t="str">
        <f t="shared" si="58"/>
        <v/>
      </c>
      <c r="CI186" s="829" t="str">
        <f t="shared" si="59"/>
        <v/>
      </c>
      <c r="CJ186" s="829" t="str" cm="1">
        <f t="array" ref="CJ186">IF($B186="","",_xlfn.LET(_xlpm.to,$D186&amp;"",_xlpm.em,IFERROR(INDEX(_xlfn.ANCHORARRAY($BE$4),ROW()-4,6),"")="EMERG",_xlpm.pri,AND(NOT(_xlpm.em),LEFT(_xlpm.to,2)="T-",ISNUMBER(MATCH(MID(_xlpm.to,3,99),Equip_List,0)),ISNA(MATCH(_xlpm.to,Equip_List,0))),IF(_xlpm.pri,MID(_xlpm.to,3,99),_xlpm.to)))</f>
        <v/>
      </c>
      <c r="CK186" s="829" t="str" cm="1">
        <f t="array" ref="CK186">IF($CJ186="","",IF(IFERROR(INDEX(_xlfn.ANCHORARRAY($BE$4),ROW()-4,6),"")="EMERG","E",IF($CJ186&lt;&gt;$D186&amp;"","P","N")))</f>
        <v/>
      </c>
    </row>
    <row r="187" spans="1:89" ht="15" customHeight="1" x14ac:dyDescent="0.35">
      <c r="A187" s="821" t="str">
        <f t="shared" si="47"/>
        <v/>
      </c>
      <c r="B187" s="821" t="str" cm="1">
        <f t="array" ref="B187">IFERROR(IF(INDEX(_xlfn.ANCHORARRAY($BE$4),ROW()-4,2)="","","F-"&amp;INDEX(_xlfn.ANCHORARRAY($BE$4),ROW()-4,2)&amp;IF(IFERROR(INDEX(_xlfn.ANCHORARRAY($BE$4),ROW()-4,6),"")="EMERG","-E","")),"")</f>
        <v/>
      </c>
      <c r="C187" s="821" t="str" cm="1">
        <f t="array" ref="C187">IFERROR(IF($B187="","",INDEX(_xlfn.ANCHORARRAY($BE$4),ROW()-4,1)),"")</f>
        <v/>
      </c>
      <c r="D187" s="821" t="str" cm="1">
        <f t="array" ref="D187">IFERROR(IF($B187="","",INDEX(_xlfn.ANCHORARRAY($BE$4),ROW()-4,2)),"")</f>
        <v/>
      </c>
      <c r="E187" s="806" t="str" cm="1">
        <f t="array" ref="E187">IFERROR(IF($B187="","",INDEX(_xlfn.ANCHORARRAY($BE$4),ROW()-4,3)),"")</f>
        <v/>
      </c>
      <c r="F187" s="822" t="str" cm="1">
        <f t="array" ref="F187">IFERROR(IF($B187="","",INDEX(_xlfn.ANCHORARRAY($BE$4),ROW()-4,4)),"")</f>
        <v/>
      </c>
      <c r="G187" s="823" t="str" cm="1">
        <f t="array" ref="G187">IFERROR(IF($B187="","",INDEX(_xlfn.ANCHORARRAY($BE$4),ROW()-4,5)),"")</f>
        <v/>
      </c>
      <c r="H187" s="824" t="str" cm="1">
        <f t="array" ref="H187">IF($CJ187="","",_xlfn.LET(_xlpm.v,_xlfn.XLOOKUP($CJ187,Equip_List,IF($CK187="E",Equip_EmLen,IF($CK187="P",Equip_XfPriLen,Equip_FdrLen)),""),IF(_xlpm.v="","",_xlpm.v)))</f>
        <v/>
      </c>
      <c r="I187" s="806" t="str">
        <f t="shared" si="40"/>
        <v/>
      </c>
      <c r="J187" s="820"/>
      <c r="K187" s="806" t="str">
        <f>_xlfn.LET(_xlpm.k,IF($I187="","",IF(COUNTIF(UPS!$B$57:$B$64,$C187&amp;"")&gt;0,1.25*MAX($I187,N(_xlfn.XLOOKUP($C187&amp;"",UPS!$B$57:$B$64,UPS!$M$57:$M$64,0))),IF(COUNTIF(UPS!$B$57:$B$64,$D187&amp;"")&gt;0,1.25*MAX($I187,N(_xlfn.XLOOKUP($D187&amp;"",UPS!$B$57:$B$64,UPS!$Q$57:$Q$64,0))),$I187*IF(OR(UPPER($J187)="Y",LEFT($C187,2)="T-",LEFT($D187,2)="T-"),1.25,1)))),IF(_xlpm.k="","",MAX(_xlpm.k,N(IFERROR(_xlfn.XLOOKUP($D187&amp;"",Dashboard!$A$101:$A$350,Dashboard!$O$101:$O$350,0),0)))))</f>
        <v/>
      </c>
      <c r="L187" s="825" t="str">
        <f>IF($CJ187="","",_xlfn.LET(_xlpm.v,UPPER(TRIM(_xlfn.XLOOKUP($CJ187,Equip_List,Equip_FdrMat,"")&amp;"")),IF(_xlpm.v="",UPPER(TRIM(Cfg_FeederMat&amp;"")),_xlpm.v)))</f>
        <v/>
      </c>
      <c r="M187" s="825" t="str">
        <f>IF($CJ187="","",_xlfn.LET(_xlpm.v,TRIM(_xlfn.XLOOKUP($CJ187,Equip_List,Equip_FdrRace,"")&amp;""),IF(_xlpm.v="",Cfg_Conduit&amp;"",_xlpm.v)))</f>
        <v/>
      </c>
      <c r="N187" s="825" t="str">
        <f>IF($CJ187="","",IF(UPPER(TRIM(_xlfn.XLOOKUP($CJ187,Equip_List,Equip_FdrExist,"")&amp;""))="Y","Y",""))</f>
        <v/>
      </c>
      <c r="O187" s="823" t="str">
        <f t="shared" si="48"/>
        <v/>
      </c>
      <c r="P187" s="821" t="str">
        <f t="shared" si="49"/>
        <v/>
      </c>
      <c r="Q187" s="821" t="str">
        <f t="shared" si="50"/>
        <v/>
      </c>
      <c r="R187" s="822" t="str" cm="1">
        <f t="array" ref="R187">IF(K187="","",INDEX(OCPD_List,MATCH(TRUE,OCPD_List&gt;=K187,0)))</f>
        <v/>
      </c>
      <c r="S187" s="821" t="str">
        <f t="shared" si="51"/>
        <v/>
      </c>
      <c r="T187" s="826" t="str">
        <f t="shared" si="41"/>
        <v/>
      </c>
      <c r="U187" s="826" t="str">
        <f t="shared" si="42"/>
        <v/>
      </c>
      <c r="V187" s="827" t="str">
        <f t="shared" si="43"/>
        <v/>
      </c>
      <c r="W187" s="828"/>
      <c r="X187" s="819"/>
      <c r="Y187" s="820"/>
      <c r="Z187" s="820"/>
      <c r="AA187" s="820"/>
      <c r="BN187" s="832" t="str">
        <f>IF($B187="","",IFERROR(_xlfn.XLOOKUP($D187,Dashboard!$A$101:$A$350,Dashboard!$C$101:$C$350),""))</f>
        <v/>
      </c>
      <c r="BO187" s="832" t="str">
        <f t="shared" si="44"/>
        <v/>
      </c>
      <c r="BP187" s="832" t="str" cm="1">
        <f t="array" ref="BP187">IF(OR($B187="",$R187="",NOT(ISNUMBER($R187))),"",IF(AND($BV187="AL",$G187=1),"",_xlfn.LET(_xlpm.codes,IF($BV187="AL",Std_Al3_Code,IF($G187=1,Std_Cu1_Code,Std_Cu3_Code)),_xlpm.amps,IFERROR(--SUBSTITUTE(_xlpm.codes&amp;"","N",""),""),_xlpm.a,MIN(IF(ISNUMBER(_xlpm.amps),IF(_xlpm.amps&gt;=$R187,_xlpm.amps,""),"")),_xlpm.k,IF(_xlpm.a=0,$R187,_xlpm.a),IF($BO187="Y",TEXT(_xlpm.k,"0")&amp;"N",_xlpm.k))))</f>
        <v/>
      </c>
      <c r="BQ187" s="832" t="str" cm="1">
        <f t="array" ref="BQ187">IF($BP187="","",IFERROR(IF($BV187="AL",_xlfn.XLOOKUP($BP187,Std_Al3_Code,INDEX(Std_Al3_Table,0,3)),IF($G187=1,_xlfn.XLOOKUP($BP187,Std_Cu1_Code,INDEX(Std_Cu1_Table,0,3)),_xlfn.XLOOKUP($BP187,Std_Cu3_Code,INDEX(Std_Cu3_Table,0,3)))),""))</f>
        <v/>
      </c>
      <c r="BR187" s="832" t="str" cm="1">
        <f t="array" ref="BR187">IF($BP187="","",IFERROR(IF($BV187="AL",_xlfn.XLOOKUP($BP187,Std_Al3_Code,INDEX(Std_Al3_Table,0,4)),IF($G187=1,_xlfn.XLOOKUP($BP187,Std_Cu1_Code,INDEX(Std_Cu1_Table,0,4)),_xlfn.XLOOKUP($BP187,Std_Cu3_Code,INDEX(Std_Cu3_Table,0,4)))),""))</f>
        <v/>
      </c>
      <c r="BS187" s="832" t="str" cm="1">
        <f t="array" ref="BS187">IF($BP187="","",IFERROR(IF($BV187="AL",_xlfn.XLOOKUP($BP187,Std_Al3_Code,INDEX(Std_Al3_Table,0,5)),IF($G187=1,_xlfn.XLOOKUP($BP187,Std_Cu1_Code,INDEX(Std_Cu1_Table,0,5)),_xlfn.XLOOKUP($BP187,Std_Cu3_Code,INDEX(Std_Cu3_Table,0,5)))),""))</f>
        <v/>
      </c>
      <c r="BT187" s="832" t="str">
        <f t="shared" si="45"/>
        <v/>
      </c>
      <c r="BU187" s="832" t="str" cm="1">
        <f t="array" ref="BU187">IF($BP187="","",IFERROR(IF($BV187="AL",_xlfn.XLOOKUP($BP187,Std_Al3_Code,INDEX(Std_Al3_Table,0,2)),IF($G187=1,_xlfn.XLOOKUP($BP187,Std_Cu1_Code,INDEX(Std_Cu1_Table,0,2)),_xlfn.XLOOKUP($BP187,Std_Cu3_Code,INDEX(Std_Cu3_Table,0,2)))),""))</f>
        <v/>
      </c>
      <c r="BV187" s="829" t="str">
        <f t="shared" si="46"/>
        <v/>
      </c>
      <c r="BW187" s="829" t="str">
        <f t="shared" si="52"/>
        <v/>
      </c>
      <c r="BX187" s="829" t="str" cm="1">
        <f t="array" ref="BX187">IF(OR($BP187="",$H187="",$I187="",$F187="",$BW187=""),"",IFERROR(_xlfn.LET(_xlpm.codes,IF($BV187="AL",Std_Al3_Code,IF($G187=1,Std_Cu1_Code,Std_Cu3_Code)),_xlpm.tbl,IF($BV187="AL",Std_Al3_Table,IF($G187=1,Std_Cu1_Table,Std_Cu3_Table)),_xlpm.i,MATCH($BP187,_xlpm.codes,0),_xlpm.idx,_xlfn.SEQUENCE(ROWS(_xlpm.codes)),_xlpm.cnd,INDEX(_xlpm.tbl,0,4),_xlpm.sts,INDEX(_xlpm.tbl,0,2),_xlpm.sz,IFERROR(_xlfn.TEXTBEFORE(_xlfn.TEXTAFTER(_xlpm.cnd,"#"),","),IFERROR(_xlfn.TEXTAFTER(_xlpm.cnd,"#"),"")),_xlpm.cm,IFERROR(_xlfn.XLOOKUP(TRIM(_xlpm.sz),Ampacity_Size,Ampacity_CM),0),_xlpm.mult,IF($G187=3,SQRT3,2),_xlpm.kk,IF($BV187="AL",K_Al,K_Cu),_xlpm.vd,IF(_xlpm.cm*IF(ISNUMBER(_xlpm.sts),_xlpm.sts,0)=0,9,_xlpm.mult*_xlpm.kk*$I187*$H187/(_xlpm.cm*_xlpm.sts)/$F187),_xlpm.hasN,--(RIGHT(_xlpm.codes&amp;"",1)="N"),_xlpm.wantN,--(RIGHT($BP187&amp;"",1)="N"),_xlpm.ok,(_xlpm.idx&gt;=_xlpm.i)*(_xlpm.vd&lt;=Cfg_VDFeeder)*(_xlpm.cm&gt;0)*ISNUMBER(_xlpm.sts)*(_xlpm.hasN=_xlpm.wantN),_xlpm.m,MIN(IF(_xlpm.ok=1,_xlpm.idx)),INDEX(_xlpm.codes,IF(_xlpm.m=0,_xlpm.i,_xlpm.m))),""))</f>
        <v/>
      </c>
      <c r="BY187" s="829" t="str" cm="1">
        <f t="array" ref="BY187">IF($BP187="","",IF($BX187="",$BU187,IFERROR(IF($BV187="AL",_xlfn.XLOOKUP($BX187,Std_Al3_Code,INDEX(Std_Al3_Table,0,2)),IF($G187=1,_xlfn.XLOOKUP($BX187,Std_Cu1_Code,INDEX(Std_Cu1_Table,0,2)),_xlfn.XLOOKUP($BX187,Std_Cu3_Code,INDEX(Std_Cu3_Table,0,2)))),"")))</f>
        <v/>
      </c>
      <c r="BZ187" s="829" t="str" cm="1">
        <f t="array" ref="BZ187">IF($BP187="","",IF($BX187="",$BR187,IFERROR(IF($BV187="AL",_xlfn.XLOOKUP($BX187,Std_Al3_Code,INDEX(Std_Al3_Table,0,4)),IF($G187=1,_xlfn.XLOOKUP($BX187,Std_Cu1_Code,INDEX(Std_Cu1_Table,0,4)),_xlfn.XLOOKUP($BX187,Std_Cu3_Code,INDEX(Std_Cu3_Table,0,4)))),"")))</f>
        <v/>
      </c>
      <c r="CA187" s="829" t="str" cm="1">
        <f t="array" ref="CA187">IF($BP187="","",IF($BX187="",$BQ187,IFERROR(IF($BV187="AL",_xlfn.XLOOKUP($BX187,Std_Al3_Code,INDEX(Std_Al3_Table,0,3)),IF($G187=1,_xlfn.XLOOKUP($BX187,Std_Cu1_Code,INDEX(Std_Cu1_Table,0,3)),_xlfn.XLOOKUP($BX187,Std_Cu3_Code,INDEX(Std_Cu3_Table,0,3)))),"")))</f>
        <v/>
      </c>
      <c r="CB187" s="829" t="str" cm="1">
        <f t="array" ref="CB187">IF($BP187="","",IF($BX187="",$BS187,IFERROR(IF($BV187="AL",_xlfn.XLOOKUP($BX187,Std_Al3_Code,INDEX(Std_Al3_Table,0,5)),IF($G187=1,_xlfn.XLOOKUP($BX187,Std_Cu1_Code,INDEX(Std_Cu1_Table,0,5)),_xlfn.XLOOKUP($BX187,Std_Cu3_Code,INDEX(Std_Cu3_Table,0,5)))),"")))</f>
        <v/>
      </c>
      <c r="CC187" s="829" t="str">
        <f t="shared" si="53"/>
        <v/>
      </c>
      <c r="CD187" s="829" t="str">
        <f t="shared" si="54"/>
        <v/>
      </c>
      <c r="CE187" s="829" t="str">
        <f t="shared" si="55"/>
        <v/>
      </c>
      <c r="CF187" s="829" t="str">
        <f t="shared" si="56"/>
        <v/>
      </c>
      <c r="CG187" s="829" t="str">
        <f t="shared" si="57"/>
        <v/>
      </c>
      <c r="CH187" s="829" t="str">
        <f t="shared" si="58"/>
        <v/>
      </c>
      <c r="CI187" s="829" t="str">
        <f t="shared" si="59"/>
        <v/>
      </c>
      <c r="CJ187" s="829" t="str" cm="1">
        <f t="array" ref="CJ187">IF($B187="","",_xlfn.LET(_xlpm.to,$D187&amp;"",_xlpm.em,IFERROR(INDEX(_xlfn.ANCHORARRAY($BE$4),ROW()-4,6),"")="EMERG",_xlpm.pri,AND(NOT(_xlpm.em),LEFT(_xlpm.to,2)="T-",ISNUMBER(MATCH(MID(_xlpm.to,3,99),Equip_List,0)),ISNA(MATCH(_xlpm.to,Equip_List,0))),IF(_xlpm.pri,MID(_xlpm.to,3,99),_xlpm.to)))</f>
        <v/>
      </c>
      <c r="CK187" s="829" t="str" cm="1">
        <f t="array" ref="CK187">IF($CJ187="","",IF(IFERROR(INDEX(_xlfn.ANCHORARRAY($BE$4),ROW()-4,6),"")="EMERG","E",IF($CJ187&lt;&gt;$D187&amp;"","P","N")))</f>
        <v/>
      </c>
    </row>
    <row r="188" spans="1:89" ht="15" customHeight="1" x14ac:dyDescent="0.35">
      <c r="A188" s="821" t="str">
        <f t="shared" si="47"/>
        <v/>
      </c>
      <c r="B188" s="821" t="str" cm="1">
        <f t="array" ref="B188">IFERROR(IF(INDEX(_xlfn.ANCHORARRAY($BE$4),ROW()-4,2)="","","F-"&amp;INDEX(_xlfn.ANCHORARRAY($BE$4),ROW()-4,2)&amp;IF(IFERROR(INDEX(_xlfn.ANCHORARRAY($BE$4),ROW()-4,6),"")="EMERG","-E","")),"")</f>
        <v/>
      </c>
      <c r="C188" s="821" t="str" cm="1">
        <f t="array" ref="C188">IFERROR(IF($B188="","",INDEX(_xlfn.ANCHORARRAY($BE$4),ROW()-4,1)),"")</f>
        <v/>
      </c>
      <c r="D188" s="821" t="str" cm="1">
        <f t="array" ref="D188">IFERROR(IF($B188="","",INDEX(_xlfn.ANCHORARRAY($BE$4),ROW()-4,2)),"")</f>
        <v/>
      </c>
      <c r="E188" s="806" t="str" cm="1">
        <f t="array" ref="E188">IFERROR(IF($B188="","",INDEX(_xlfn.ANCHORARRAY($BE$4),ROW()-4,3)),"")</f>
        <v/>
      </c>
      <c r="F188" s="822" t="str" cm="1">
        <f t="array" ref="F188">IFERROR(IF($B188="","",INDEX(_xlfn.ANCHORARRAY($BE$4),ROW()-4,4)),"")</f>
        <v/>
      </c>
      <c r="G188" s="823" t="str" cm="1">
        <f t="array" ref="G188">IFERROR(IF($B188="","",INDEX(_xlfn.ANCHORARRAY($BE$4),ROW()-4,5)),"")</f>
        <v/>
      </c>
      <c r="H188" s="824" t="str" cm="1">
        <f t="array" ref="H188">IF($CJ188="","",_xlfn.LET(_xlpm.v,_xlfn.XLOOKUP($CJ188,Equip_List,IF($CK188="E",Equip_EmLen,IF($CK188="P",Equip_XfPriLen,Equip_FdrLen)),""),IF(_xlpm.v="","",_xlpm.v)))</f>
        <v/>
      </c>
      <c r="I188" s="806" t="str">
        <f t="shared" si="40"/>
        <v/>
      </c>
      <c r="J188" s="820"/>
      <c r="K188" s="806" t="str">
        <f>_xlfn.LET(_xlpm.k,IF($I188="","",IF(COUNTIF(UPS!$B$57:$B$64,$C188&amp;"")&gt;0,1.25*MAX($I188,N(_xlfn.XLOOKUP($C188&amp;"",UPS!$B$57:$B$64,UPS!$M$57:$M$64,0))),IF(COUNTIF(UPS!$B$57:$B$64,$D188&amp;"")&gt;0,1.25*MAX($I188,N(_xlfn.XLOOKUP($D188&amp;"",UPS!$B$57:$B$64,UPS!$Q$57:$Q$64,0))),$I188*IF(OR(UPPER($J188)="Y",LEFT($C188,2)="T-",LEFT($D188,2)="T-"),1.25,1)))),IF(_xlpm.k="","",MAX(_xlpm.k,N(IFERROR(_xlfn.XLOOKUP($D188&amp;"",Dashboard!$A$101:$A$350,Dashboard!$O$101:$O$350,0),0)))))</f>
        <v/>
      </c>
      <c r="L188" s="825" t="str">
        <f>IF($CJ188="","",_xlfn.LET(_xlpm.v,UPPER(TRIM(_xlfn.XLOOKUP($CJ188,Equip_List,Equip_FdrMat,"")&amp;"")),IF(_xlpm.v="",UPPER(TRIM(Cfg_FeederMat&amp;"")),_xlpm.v)))</f>
        <v/>
      </c>
      <c r="M188" s="825" t="str">
        <f>IF($CJ188="","",_xlfn.LET(_xlpm.v,TRIM(_xlfn.XLOOKUP($CJ188,Equip_List,Equip_FdrRace,"")&amp;""),IF(_xlpm.v="",Cfg_Conduit&amp;"",_xlpm.v)))</f>
        <v/>
      </c>
      <c r="N188" s="825" t="str">
        <f>IF($CJ188="","",IF(UPPER(TRIM(_xlfn.XLOOKUP($CJ188,Equip_List,Equip_FdrExist,"")&amp;""))="Y","Y",""))</f>
        <v/>
      </c>
      <c r="O188" s="823" t="str">
        <f t="shared" si="48"/>
        <v/>
      </c>
      <c r="P188" s="821" t="str">
        <f t="shared" si="49"/>
        <v/>
      </c>
      <c r="Q188" s="821" t="str">
        <f t="shared" si="50"/>
        <v/>
      </c>
      <c r="R188" s="822" t="str" cm="1">
        <f t="array" ref="R188">IF(K188="","",INDEX(OCPD_List,MATCH(TRUE,OCPD_List&gt;=K188,0)))</f>
        <v/>
      </c>
      <c r="S188" s="821" t="str">
        <f t="shared" si="51"/>
        <v/>
      </c>
      <c r="T188" s="826" t="str">
        <f t="shared" si="41"/>
        <v/>
      </c>
      <c r="U188" s="826" t="str">
        <f t="shared" si="42"/>
        <v/>
      </c>
      <c r="V188" s="827" t="str">
        <f t="shared" si="43"/>
        <v/>
      </c>
      <c r="W188" s="828"/>
      <c r="X188" s="819"/>
      <c r="Y188" s="820"/>
      <c r="Z188" s="820"/>
      <c r="AA188" s="820"/>
      <c r="BN188" s="832" t="str">
        <f>IF($B188="","",IFERROR(_xlfn.XLOOKUP($D188,Dashboard!$A$101:$A$350,Dashboard!$C$101:$C$350),""))</f>
        <v/>
      </c>
      <c r="BO188" s="832" t="str">
        <f t="shared" si="44"/>
        <v/>
      </c>
      <c r="BP188" s="832" t="str" cm="1">
        <f t="array" ref="BP188">IF(OR($B188="",$R188="",NOT(ISNUMBER($R188))),"",IF(AND($BV188="AL",$G188=1),"",_xlfn.LET(_xlpm.codes,IF($BV188="AL",Std_Al3_Code,IF($G188=1,Std_Cu1_Code,Std_Cu3_Code)),_xlpm.amps,IFERROR(--SUBSTITUTE(_xlpm.codes&amp;"","N",""),""),_xlpm.a,MIN(IF(ISNUMBER(_xlpm.amps),IF(_xlpm.amps&gt;=$R188,_xlpm.amps,""),"")),_xlpm.k,IF(_xlpm.a=0,$R188,_xlpm.a),IF($BO188="Y",TEXT(_xlpm.k,"0")&amp;"N",_xlpm.k))))</f>
        <v/>
      </c>
      <c r="BQ188" s="832" t="str" cm="1">
        <f t="array" ref="BQ188">IF($BP188="","",IFERROR(IF($BV188="AL",_xlfn.XLOOKUP($BP188,Std_Al3_Code,INDEX(Std_Al3_Table,0,3)),IF($G188=1,_xlfn.XLOOKUP($BP188,Std_Cu1_Code,INDEX(Std_Cu1_Table,0,3)),_xlfn.XLOOKUP($BP188,Std_Cu3_Code,INDEX(Std_Cu3_Table,0,3)))),""))</f>
        <v/>
      </c>
      <c r="BR188" s="832" t="str" cm="1">
        <f t="array" ref="BR188">IF($BP188="","",IFERROR(IF($BV188="AL",_xlfn.XLOOKUP($BP188,Std_Al3_Code,INDEX(Std_Al3_Table,0,4)),IF($G188=1,_xlfn.XLOOKUP($BP188,Std_Cu1_Code,INDEX(Std_Cu1_Table,0,4)),_xlfn.XLOOKUP($BP188,Std_Cu3_Code,INDEX(Std_Cu3_Table,0,4)))),""))</f>
        <v/>
      </c>
      <c r="BS188" s="832" t="str" cm="1">
        <f t="array" ref="BS188">IF($BP188="","",IFERROR(IF($BV188="AL",_xlfn.XLOOKUP($BP188,Std_Al3_Code,INDEX(Std_Al3_Table,0,5)),IF($G188=1,_xlfn.XLOOKUP($BP188,Std_Cu1_Code,INDEX(Std_Cu1_Table,0,5)),_xlfn.XLOOKUP($BP188,Std_Cu3_Code,INDEX(Std_Cu3_Table,0,5)))),""))</f>
        <v/>
      </c>
      <c r="BT188" s="832" t="str">
        <f t="shared" si="45"/>
        <v/>
      </c>
      <c r="BU188" s="832" t="str" cm="1">
        <f t="array" ref="BU188">IF($BP188="","",IFERROR(IF($BV188="AL",_xlfn.XLOOKUP($BP188,Std_Al3_Code,INDEX(Std_Al3_Table,0,2)),IF($G188=1,_xlfn.XLOOKUP($BP188,Std_Cu1_Code,INDEX(Std_Cu1_Table,0,2)),_xlfn.XLOOKUP($BP188,Std_Cu3_Code,INDEX(Std_Cu3_Table,0,2)))),""))</f>
        <v/>
      </c>
      <c r="BV188" s="829" t="str">
        <f t="shared" si="46"/>
        <v/>
      </c>
      <c r="BW188" s="829" t="str">
        <f t="shared" si="52"/>
        <v/>
      </c>
      <c r="BX188" s="829" t="str" cm="1">
        <f t="array" ref="BX188">IF(OR($BP188="",$H188="",$I188="",$F188="",$BW188=""),"",IFERROR(_xlfn.LET(_xlpm.codes,IF($BV188="AL",Std_Al3_Code,IF($G188=1,Std_Cu1_Code,Std_Cu3_Code)),_xlpm.tbl,IF($BV188="AL",Std_Al3_Table,IF($G188=1,Std_Cu1_Table,Std_Cu3_Table)),_xlpm.i,MATCH($BP188,_xlpm.codes,0),_xlpm.idx,_xlfn.SEQUENCE(ROWS(_xlpm.codes)),_xlpm.cnd,INDEX(_xlpm.tbl,0,4),_xlpm.sts,INDEX(_xlpm.tbl,0,2),_xlpm.sz,IFERROR(_xlfn.TEXTBEFORE(_xlfn.TEXTAFTER(_xlpm.cnd,"#"),","),IFERROR(_xlfn.TEXTAFTER(_xlpm.cnd,"#"),"")),_xlpm.cm,IFERROR(_xlfn.XLOOKUP(TRIM(_xlpm.sz),Ampacity_Size,Ampacity_CM),0),_xlpm.mult,IF($G188=3,SQRT3,2),_xlpm.kk,IF($BV188="AL",K_Al,K_Cu),_xlpm.vd,IF(_xlpm.cm*IF(ISNUMBER(_xlpm.sts),_xlpm.sts,0)=0,9,_xlpm.mult*_xlpm.kk*$I188*$H188/(_xlpm.cm*_xlpm.sts)/$F188),_xlpm.hasN,--(RIGHT(_xlpm.codes&amp;"",1)="N"),_xlpm.wantN,--(RIGHT($BP188&amp;"",1)="N"),_xlpm.ok,(_xlpm.idx&gt;=_xlpm.i)*(_xlpm.vd&lt;=Cfg_VDFeeder)*(_xlpm.cm&gt;0)*ISNUMBER(_xlpm.sts)*(_xlpm.hasN=_xlpm.wantN),_xlpm.m,MIN(IF(_xlpm.ok=1,_xlpm.idx)),INDEX(_xlpm.codes,IF(_xlpm.m=0,_xlpm.i,_xlpm.m))),""))</f>
        <v/>
      </c>
      <c r="BY188" s="829" t="str" cm="1">
        <f t="array" ref="BY188">IF($BP188="","",IF($BX188="",$BU188,IFERROR(IF($BV188="AL",_xlfn.XLOOKUP($BX188,Std_Al3_Code,INDEX(Std_Al3_Table,0,2)),IF($G188=1,_xlfn.XLOOKUP($BX188,Std_Cu1_Code,INDEX(Std_Cu1_Table,0,2)),_xlfn.XLOOKUP($BX188,Std_Cu3_Code,INDEX(Std_Cu3_Table,0,2)))),"")))</f>
        <v/>
      </c>
      <c r="BZ188" s="829" t="str" cm="1">
        <f t="array" ref="BZ188">IF($BP188="","",IF($BX188="",$BR188,IFERROR(IF($BV188="AL",_xlfn.XLOOKUP($BX188,Std_Al3_Code,INDEX(Std_Al3_Table,0,4)),IF($G188=1,_xlfn.XLOOKUP($BX188,Std_Cu1_Code,INDEX(Std_Cu1_Table,0,4)),_xlfn.XLOOKUP($BX188,Std_Cu3_Code,INDEX(Std_Cu3_Table,0,4)))),"")))</f>
        <v/>
      </c>
      <c r="CA188" s="829" t="str" cm="1">
        <f t="array" ref="CA188">IF($BP188="","",IF($BX188="",$BQ188,IFERROR(IF($BV188="AL",_xlfn.XLOOKUP($BX188,Std_Al3_Code,INDEX(Std_Al3_Table,0,3)),IF($G188=1,_xlfn.XLOOKUP($BX188,Std_Cu1_Code,INDEX(Std_Cu1_Table,0,3)),_xlfn.XLOOKUP($BX188,Std_Cu3_Code,INDEX(Std_Cu3_Table,0,3)))),"")))</f>
        <v/>
      </c>
      <c r="CB188" s="829" t="str" cm="1">
        <f t="array" ref="CB188">IF($BP188="","",IF($BX188="",$BS188,IFERROR(IF($BV188="AL",_xlfn.XLOOKUP($BX188,Std_Al3_Code,INDEX(Std_Al3_Table,0,5)),IF($G188=1,_xlfn.XLOOKUP($BX188,Std_Cu1_Code,INDEX(Std_Cu1_Table,0,5)),_xlfn.XLOOKUP($BX188,Std_Cu3_Code,INDEX(Std_Cu3_Table,0,5)))),"")))</f>
        <v/>
      </c>
      <c r="CC188" s="829" t="str">
        <f t="shared" si="53"/>
        <v/>
      </c>
      <c r="CD188" s="829" t="str">
        <f t="shared" si="54"/>
        <v/>
      </c>
      <c r="CE188" s="829" t="str">
        <f t="shared" si="55"/>
        <v/>
      </c>
      <c r="CF188" s="829" t="str">
        <f t="shared" si="56"/>
        <v/>
      </c>
      <c r="CG188" s="829" t="str">
        <f t="shared" si="57"/>
        <v/>
      </c>
      <c r="CH188" s="829" t="str">
        <f t="shared" si="58"/>
        <v/>
      </c>
      <c r="CI188" s="829" t="str">
        <f t="shared" si="59"/>
        <v/>
      </c>
      <c r="CJ188" s="829" t="str" cm="1">
        <f t="array" ref="CJ188">IF($B188="","",_xlfn.LET(_xlpm.to,$D188&amp;"",_xlpm.em,IFERROR(INDEX(_xlfn.ANCHORARRAY($BE$4),ROW()-4,6),"")="EMERG",_xlpm.pri,AND(NOT(_xlpm.em),LEFT(_xlpm.to,2)="T-",ISNUMBER(MATCH(MID(_xlpm.to,3,99),Equip_List,0)),ISNA(MATCH(_xlpm.to,Equip_List,0))),IF(_xlpm.pri,MID(_xlpm.to,3,99),_xlpm.to)))</f>
        <v/>
      </c>
      <c r="CK188" s="829" t="str" cm="1">
        <f t="array" ref="CK188">IF($CJ188="","",IF(IFERROR(INDEX(_xlfn.ANCHORARRAY($BE$4),ROW()-4,6),"")="EMERG","E",IF($CJ188&lt;&gt;$D188&amp;"","P","N")))</f>
        <v/>
      </c>
    </row>
    <row r="189" spans="1:89" ht="15" customHeight="1" x14ac:dyDescent="0.35">
      <c r="A189" s="821" t="str">
        <f t="shared" si="47"/>
        <v/>
      </c>
      <c r="B189" s="821" t="str" cm="1">
        <f t="array" ref="B189">IFERROR(IF(INDEX(_xlfn.ANCHORARRAY($BE$4),ROW()-4,2)="","","F-"&amp;INDEX(_xlfn.ANCHORARRAY($BE$4),ROW()-4,2)&amp;IF(IFERROR(INDEX(_xlfn.ANCHORARRAY($BE$4),ROW()-4,6),"")="EMERG","-E","")),"")</f>
        <v/>
      </c>
      <c r="C189" s="821" t="str" cm="1">
        <f t="array" ref="C189">IFERROR(IF($B189="","",INDEX(_xlfn.ANCHORARRAY($BE$4),ROW()-4,1)),"")</f>
        <v/>
      </c>
      <c r="D189" s="821" t="str" cm="1">
        <f t="array" ref="D189">IFERROR(IF($B189="","",INDEX(_xlfn.ANCHORARRAY($BE$4),ROW()-4,2)),"")</f>
        <v/>
      </c>
      <c r="E189" s="806" t="str" cm="1">
        <f t="array" ref="E189">IFERROR(IF($B189="","",INDEX(_xlfn.ANCHORARRAY($BE$4),ROW()-4,3)),"")</f>
        <v/>
      </c>
      <c r="F189" s="822" t="str" cm="1">
        <f t="array" ref="F189">IFERROR(IF($B189="","",INDEX(_xlfn.ANCHORARRAY($BE$4),ROW()-4,4)),"")</f>
        <v/>
      </c>
      <c r="G189" s="823" t="str" cm="1">
        <f t="array" ref="G189">IFERROR(IF($B189="","",INDEX(_xlfn.ANCHORARRAY($BE$4),ROW()-4,5)),"")</f>
        <v/>
      </c>
      <c r="H189" s="824" t="str" cm="1">
        <f t="array" ref="H189">IF($CJ189="","",_xlfn.LET(_xlpm.v,_xlfn.XLOOKUP($CJ189,Equip_List,IF($CK189="E",Equip_EmLen,IF($CK189="P",Equip_XfPriLen,Equip_FdrLen)),""),IF(_xlpm.v="","",_xlpm.v)))</f>
        <v/>
      </c>
      <c r="I189" s="806" t="str">
        <f t="shared" si="40"/>
        <v/>
      </c>
      <c r="J189" s="820"/>
      <c r="K189" s="806" t="str">
        <f>_xlfn.LET(_xlpm.k,IF($I189="","",IF(COUNTIF(UPS!$B$57:$B$64,$C189&amp;"")&gt;0,1.25*MAX($I189,N(_xlfn.XLOOKUP($C189&amp;"",UPS!$B$57:$B$64,UPS!$M$57:$M$64,0))),IF(COUNTIF(UPS!$B$57:$B$64,$D189&amp;"")&gt;0,1.25*MAX($I189,N(_xlfn.XLOOKUP($D189&amp;"",UPS!$B$57:$B$64,UPS!$Q$57:$Q$64,0))),$I189*IF(OR(UPPER($J189)="Y",LEFT($C189,2)="T-",LEFT($D189,2)="T-"),1.25,1)))),IF(_xlpm.k="","",MAX(_xlpm.k,N(IFERROR(_xlfn.XLOOKUP($D189&amp;"",Dashboard!$A$101:$A$350,Dashboard!$O$101:$O$350,0),0)))))</f>
        <v/>
      </c>
      <c r="L189" s="825" t="str">
        <f>IF($CJ189="","",_xlfn.LET(_xlpm.v,UPPER(TRIM(_xlfn.XLOOKUP($CJ189,Equip_List,Equip_FdrMat,"")&amp;"")),IF(_xlpm.v="",UPPER(TRIM(Cfg_FeederMat&amp;"")),_xlpm.v)))</f>
        <v/>
      </c>
      <c r="M189" s="825" t="str">
        <f>IF($CJ189="","",_xlfn.LET(_xlpm.v,TRIM(_xlfn.XLOOKUP($CJ189,Equip_List,Equip_FdrRace,"")&amp;""),IF(_xlpm.v="",Cfg_Conduit&amp;"",_xlpm.v)))</f>
        <v/>
      </c>
      <c r="N189" s="825" t="str">
        <f>IF($CJ189="","",IF(UPPER(TRIM(_xlfn.XLOOKUP($CJ189,Equip_List,Equip_FdrExist,"")&amp;""))="Y","Y",""))</f>
        <v/>
      </c>
      <c r="O189" s="823" t="str">
        <f t="shared" si="48"/>
        <v/>
      </c>
      <c r="P189" s="821" t="str">
        <f t="shared" si="49"/>
        <v/>
      </c>
      <c r="Q189" s="821" t="str">
        <f t="shared" si="50"/>
        <v/>
      </c>
      <c r="R189" s="822" t="str" cm="1">
        <f t="array" ref="R189">IF(K189="","",INDEX(OCPD_List,MATCH(TRUE,OCPD_List&gt;=K189,0)))</f>
        <v/>
      </c>
      <c r="S189" s="821" t="str">
        <f t="shared" si="51"/>
        <v/>
      </c>
      <c r="T189" s="826" t="str">
        <f t="shared" si="41"/>
        <v/>
      </c>
      <c r="U189" s="826" t="str">
        <f t="shared" si="42"/>
        <v/>
      </c>
      <c r="V189" s="827" t="str">
        <f t="shared" si="43"/>
        <v/>
      </c>
      <c r="W189" s="828"/>
      <c r="X189" s="819"/>
      <c r="Y189" s="820"/>
      <c r="Z189" s="820"/>
      <c r="AA189" s="820"/>
      <c r="BN189" s="832" t="str">
        <f>IF($B189="","",IFERROR(_xlfn.XLOOKUP($D189,Dashboard!$A$101:$A$350,Dashboard!$C$101:$C$350),""))</f>
        <v/>
      </c>
      <c r="BO189" s="832" t="str">
        <f t="shared" si="44"/>
        <v/>
      </c>
      <c r="BP189" s="832" t="str" cm="1">
        <f t="array" ref="BP189">IF(OR($B189="",$R189="",NOT(ISNUMBER($R189))),"",IF(AND($BV189="AL",$G189=1),"",_xlfn.LET(_xlpm.codes,IF($BV189="AL",Std_Al3_Code,IF($G189=1,Std_Cu1_Code,Std_Cu3_Code)),_xlpm.amps,IFERROR(--SUBSTITUTE(_xlpm.codes&amp;"","N",""),""),_xlpm.a,MIN(IF(ISNUMBER(_xlpm.amps),IF(_xlpm.amps&gt;=$R189,_xlpm.amps,""),"")),_xlpm.k,IF(_xlpm.a=0,$R189,_xlpm.a),IF($BO189="Y",TEXT(_xlpm.k,"0")&amp;"N",_xlpm.k))))</f>
        <v/>
      </c>
      <c r="BQ189" s="832" t="str" cm="1">
        <f t="array" ref="BQ189">IF($BP189="","",IFERROR(IF($BV189="AL",_xlfn.XLOOKUP($BP189,Std_Al3_Code,INDEX(Std_Al3_Table,0,3)),IF($G189=1,_xlfn.XLOOKUP($BP189,Std_Cu1_Code,INDEX(Std_Cu1_Table,0,3)),_xlfn.XLOOKUP($BP189,Std_Cu3_Code,INDEX(Std_Cu3_Table,0,3)))),""))</f>
        <v/>
      </c>
      <c r="BR189" s="832" t="str" cm="1">
        <f t="array" ref="BR189">IF($BP189="","",IFERROR(IF($BV189="AL",_xlfn.XLOOKUP($BP189,Std_Al3_Code,INDEX(Std_Al3_Table,0,4)),IF($G189=1,_xlfn.XLOOKUP($BP189,Std_Cu1_Code,INDEX(Std_Cu1_Table,0,4)),_xlfn.XLOOKUP($BP189,Std_Cu3_Code,INDEX(Std_Cu3_Table,0,4)))),""))</f>
        <v/>
      </c>
      <c r="BS189" s="832" t="str" cm="1">
        <f t="array" ref="BS189">IF($BP189="","",IFERROR(IF($BV189="AL",_xlfn.XLOOKUP($BP189,Std_Al3_Code,INDEX(Std_Al3_Table,0,5)),IF($G189=1,_xlfn.XLOOKUP($BP189,Std_Cu1_Code,INDEX(Std_Cu1_Table,0,5)),_xlfn.XLOOKUP($BP189,Std_Cu3_Code,INDEX(Std_Cu3_Table,0,5)))),""))</f>
        <v/>
      </c>
      <c r="BT189" s="832" t="str">
        <f t="shared" si="45"/>
        <v/>
      </c>
      <c r="BU189" s="832" t="str" cm="1">
        <f t="array" ref="BU189">IF($BP189="","",IFERROR(IF($BV189="AL",_xlfn.XLOOKUP($BP189,Std_Al3_Code,INDEX(Std_Al3_Table,0,2)),IF($G189=1,_xlfn.XLOOKUP($BP189,Std_Cu1_Code,INDEX(Std_Cu1_Table,0,2)),_xlfn.XLOOKUP($BP189,Std_Cu3_Code,INDEX(Std_Cu3_Table,0,2)))),""))</f>
        <v/>
      </c>
      <c r="BV189" s="829" t="str">
        <f t="shared" si="46"/>
        <v/>
      </c>
      <c r="BW189" s="829" t="str">
        <f t="shared" si="52"/>
        <v/>
      </c>
      <c r="BX189" s="829" t="str" cm="1">
        <f t="array" ref="BX189">IF(OR($BP189="",$H189="",$I189="",$F189="",$BW189=""),"",IFERROR(_xlfn.LET(_xlpm.codes,IF($BV189="AL",Std_Al3_Code,IF($G189=1,Std_Cu1_Code,Std_Cu3_Code)),_xlpm.tbl,IF($BV189="AL",Std_Al3_Table,IF($G189=1,Std_Cu1_Table,Std_Cu3_Table)),_xlpm.i,MATCH($BP189,_xlpm.codes,0),_xlpm.idx,_xlfn.SEQUENCE(ROWS(_xlpm.codes)),_xlpm.cnd,INDEX(_xlpm.tbl,0,4),_xlpm.sts,INDEX(_xlpm.tbl,0,2),_xlpm.sz,IFERROR(_xlfn.TEXTBEFORE(_xlfn.TEXTAFTER(_xlpm.cnd,"#"),","),IFERROR(_xlfn.TEXTAFTER(_xlpm.cnd,"#"),"")),_xlpm.cm,IFERROR(_xlfn.XLOOKUP(TRIM(_xlpm.sz),Ampacity_Size,Ampacity_CM),0),_xlpm.mult,IF($G189=3,SQRT3,2),_xlpm.kk,IF($BV189="AL",K_Al,K_Cu),_xlpm.vd,IF(_xlpm.cm*IF(ISNUMBER(_xlpm.sts),_xlpm.sts,0)=0,9,_xlpm.mult*_xlpm.kk*$I189*$H189/(_xlpm.cm*_xlpm.sts)/$F189),_xlpm.hasN,--(RIGHT(_xlpm.codes&amp;"",1)="N"),_xlpm.wantN,--(RIGHT($BP189&amp;"",1)="N"),_xlpm.ok,(_xlpm.idx&gt;=_xlpm.i)*(_xlpm.vd&lt;=Cfg_VDFeeder)*(_xlpm.cm&gt;0)*ISNUMBER(_xlpm.sts)*(_xlpm.hasN=_xlpm.wantN),_xlpm.m,MIN(IF(_xlpm.ok=1,_xlpm.idx)),INDEX(_xlpm.codes,IF(_xlpm.m=0,_xlpm.i,_xlpm.m))),""))</f>
        <v/>
      </c>
      <c r="BY189" s="829" t="str" cm="1">
        <f t="array" ref="BY189">IF($BP189="","",IF($BX189="",$BU189,IFERROR(IF($BV189="AL",_xlfn.XLOOKUP($BX189,Std_Al3_Code,INDEX(Std_Al3_Table,0,2)),IF($G189=1,_xlfn.XLOOKUP($BX189,Std_Cu1_Code,INDEX(Std_Cu1_Table,0,2)),_xlfn.XLOOKUP($BX189,Std_Cu3_Code,INDEX(Std_Cu3_Table,0,2)))),"")))</f>
        <v/>
      </c>
      <c r="BZ189" s="829" t="str" cm="1">
        <f t="array" ref="BZ189">IF($BP189="","",IF($BX189="",$BR189,IFERROR(IF($BV189="AL",_xlfn.XLOOKUP($BX189,Std_Al3_Code,INDEX(Std_Al3_Table,0,4)),IF($G189=1,_xlfn.XLOOKUP($BX189,Std_Cu1_Code,INDEX(Std_Cu1_Table,0,4)),_xlfn.XLOOKUP($BX189,Std_Cu3_Code,INDEX(Std_Cu3_Table,0,4)))),"")))</f>
        <v/>
      </c>
      <c r="CA189" s="829" t="str" cm="1">
        <f t="array" ref="CA189">IF($BP189="","",IF($BX189="",$BQ189,IFERROR(IF($BV189="AL",_xlfn.XLOOKUP($BX189,Std_Al3_Code,INDEX(Std_Al3_Table,0,3)),IF($G189=1,_xlfn.XLOOKUP($BX189,Std_Cu1_Code,INDEX(Std_Cu1_Table,0,3)),_xlfn.XLOOKUP($BX189,Std_Cu3_Code,INDEX(Std_Cu3_Table,0,3)))),"")))</f>
        <v/>
      </c>
      <c r="CB189" s="829" t="str" cm="1">
        <f t="array" ref="CB189">IF($BP189="","",IF($BX189="",$BS189,IFERROR(IF($BV189="AL",_xlfn.XLOOKUP($BX189,Std_Al3_Code,INDEX(Std_Al3_Table,0,5)),IF($G189=1,_xlfn.XLOOKUP($BX189,Std_Cu1_Code,INDEX(Std_Cu1_Table,0,5)),_xlfn.XLOOKUP($BX189,Std_Cu3_Code,INDEX(Std_Cu3_Table,0,5)))),"")))</f>
        <v/>
      </c>
      <c r="CC189" s="829" t="str">
        <f t="shared" si="53"/>
        <v/>
      </c>
      <c r="CD189" s="829" t="str">
        <f t="shared" si="54"/>
        <v/>
      </c>
      <c r="CE189" s="829" t="str">
        <f t="shared" si="55"/>
        <v/>
      </c>
      <c r="CF189" s="829" t="str">
        <f t="shared" si="56"/>
        <v/>
      </c>
      <c r="CG189" s="829" t="str">
        <f t="shared" si="57"/>
        <v/>
      </c>
      <c r="CH189" s="829" t="str">
        <f t="shared" si="58"/>
        <v/>
      </c>
      <c r="CI189" s="829" t="str">
        <f t="shared" si="59"/>
        <v/>
      </c>
      <c r="CJ189" s="829" t="str" cm="1">
        <f t="array" ref="CJ189">IF($B189="","",_xlfn.LET(_xlpm.to,$D189&amp;"",_xlpm.em,IFERROR(INDEX(_xlfn.ANCHORARRAY($BE$4),ROW()-4,6),"")="EMERG",_xlpm.pri,AND(NOT(_xlpm.em),LEFT(_xlpm.to,2)="T-",ISNUMBER(MATCH(MID(_xlpm.to,3,99),Equip_List,0)),ISNA(MATCH(_xlpm.to,Equip_List,0))),IF(_xlpm.pri,MID(_xlpm.to,3,99),_xlpm.to)))</f>
        <v/>
      </c>
      <c r="CK189" s="829" t="str" cm="1">
        <f t="array" ref="CK189">IF($CJ189="","",IF(IFERROR(INDEX(_xlfn.ANCHORARRAY($BE$4),ROW()-4,6),"")="EMERG","E",IF($CJ189&lt;&gt;$D189&amp;"","P","N")))</f>
        <v/>
      </c>
    </row>
    <row r="190" spans="1:89" ht="15" customHeight="1" x14ac:dyDescent="0.35">
      <c r="A190" s="821" t="str">
        <f t="shared" si="47"/>
        <v/>
      </c>
      <c r="B190" s="821" t="str" cm="1">
        <f t="array" ref="B190">IFERROR(IF(INDEX(_xlfn.ANCHORARRAY($BE$4),ROW()-4,2)="","","F-"&amp;INDEX(_xlfn.ANCHORARRAY($BE$4),ROW()-4,2)&amp;IF(IFERROR(INDEX(_xlfn.ANCHORARRAY($BE$4),ROW()-4,6),"")="EMERG","-E","")),"")</f>
        <v/>
      </c>
      <c r="C190" s="821" t="str" cm="1">
        <f t="array" ref="C190">IFERROR(IF($B190="","",INDEX(_xlfn.ANCHORARRAY($BE$4),ROW()-4,1)),"")</f>
        <v/>
      </c>
      <c r="D190" s="821" t="str" cm="1">
        <f t="array" ref="D190">IFERROR(IF($B190="","",INDEX(_xlfn.ANCHORARRAY($BE$4),ROW()-4,2)),"")</f>
        <v/>
      </c>
      <c r="E190" s="806" t="str" cm="1">
        <f t="array" ref="E190">IFERROR(IF($B190="","",INDEX(_xlfn.ANCHORARRAY($BE$4),ROW()-4,3)),"")</f>
        <v/>
      </c>
      <c r="F190" s="822" t="str" cm="1">
        <f t="array" ref="F190">IFERROR(IF($B190="","",INDEX(_xlfn.ANCHORARRAY($BE$4),ROW()-4,4)),"")</f>
        <v/>
      </c>
      <c r="G190" s="823" t="str" cm="1">
        <f t="array" ref="G190">IFERROR(IF($B190="","",INDEX(_xlfn.ANCHORARRAY($BE$4),ROW()-4,5)),"")</f>
        <v/>
      </c>
      <c r="H190" s="824" t="str" cm="1">
        <f t="array" ref="H190">IF($CJ190="","",_xlfn.LET(_xlpm.v,_xlfn.XLOOKUP($CJ190,Equip_List,IF($CK190="E",Equip_EmLen,IF($CK190="P",Equip_XfPriLen,Equip_FdrLen)),""),IF(_xlpm.v="","",_xlpm.v)))</f>
        <v/>
      </c>
      <c r="I190" s="806" t="str">
        <f t="shared" si="40"/>
        <v/>
      </c>
      <c r="J190" s="820"/>
      <c r="K190" s="806" t="str">
        <f>_xlfn.LET(_xlpm.k,IF($I190="","",IF(COUNTIF(UPS!$B$57:$B$64,$C190&amp;"")&gt;0,1.25*MAX($I190,N(_xlfn.XLOOKUP($C190&amp;"",UPS!$B$57:$B$64,UPS!$M$57:$M$64,0))),IF(COUNTIF(UPS!$B$57:$B$64,$D190&amp;"")&gt;0,1.25*MAX($I190,N(_xlfn.XLOOKUP($D190&amp;"",UPS!$B$57:$B$64,UPS!$Q$57:$Q$64,0))),$I190*IF(OR(UPPER($J190)="Y",LEFT($C190,2)="T-",LEFT($D190,2)="T-"),1.25,1)))),IF(_xlpm.k="","",MAX(_xlpm.k,N(IFERROR(_xlfn.XLOOKUP($D190&amp;"",Dashboard!$A$101:$A$350,Dashboard!$O$101:$O$350,0),0)))))</f>
        <v/>
      </c>
      <c r="L190" s="825" t="str">
        <f>IF($CJ190="","",_xlfn.LET(_xlpm.v,UPPER(TRIM(_xlfn.XLOOKUP($CJ190,Equip_List,Equip_FdrMat,"")&amp;"")),IF(_xlpm.v="",UPPER(TRIM(Cfg_FeederMat&amp;"")),_xlpm.v)))</f>
        <v/>
      </c>
      <c r="M190" s="825" t="str">
        <f>IF($CJ190="","",_xlfn.LET(_xlpm.v,TRIM(_xlfn.XLOOKUP($CJ190,Equip_List,Equip_FdrRace,"")&amp;""),IF(_xlpm.v="",Cfg_Conduit&amp;"",_xlpm.v)))</f>
        <v/>
      </c>
      <c r="N190" s="825" t="str">
        <f>IF($CJ190="","",IF(UPPER(TRIM(_xlfn.XLOOKUP($CJ190,Equip_List,Equip_FdrExist,"")&amp;""))="Y","Y",""))</f>
        <v/>
      </c>
      <c r="O190" s="823" t="str">
        <f t="shared" si="48"/>
        <v/>
      </c>
      <c r="P190" s="821" t="str">
        <f t="shared" si="49"/>
        <v/>
      </c>
      <c r="Q190" s="821" t="str">
        <f t="shared" si="50"/>
        <v/>
      </c>
      <c r="R190" s="822" t="str" cm="1">
        <f t="array" ref="R190">IF(K190="","",INDEX(OCPD_List,MATCH(TRUE,OCPD_List&gt;=K190,0)))</f>
        <v/>
      </c>
      <c r="S190" s="821" t="str">
        <f t="shared" si="51"/>
        <v/>
      </c>
      <c r="T190" s="826" t="str">
        <f t="shared" si="41"/>
        <v/>
      </c>
      <c r="U190" s="826" t="str">
        <f t="shared" si="42"/>
        <v/>
      </c>
      <c r="V190" s="827" t="str">
        <f t="shared" si="43"/>
        <v/>
      </c>
      <c r="W190" s="828"/>
      <c r="X190" s="819"/>
      <c r="Y190" s="820"/>
      <c r="Z190" s="820"/>
      <c r="AA190" s="820"/>
      <c r="BN190" s="832" t="str">
        <f>IF($B190="","",IFERROR(_xlfn.XLOOKUP($D190,Dashboard!$A$101:$A$350,Dashboard!$C$101:$C$350),""))</f>
        <v/>
      </c>
      <c r="BO190" s="832" t="str">
        <f t="shared" si="44"/>
        <v/>
      </c>
      <c r="BP190" s="832" t="str" cm="1">
        <f t="array" ref="BP190">IF(OR($B190="",$R190="",NOT(ISNUMBER($R190))),"",IF(AND($BV190="AL",$G190=1),"",_xlfn.LET(_xlpm.codes,IF($BV190="AL",Std_Al3_Code,IF($G190=1,Std_Cu1_Code,Std_Cu3_Code)),_xlpm.amps,IFERROR(--SUBSTITUTE(_xlpm.codes&amp;"","N",""),""),_xlpm.a,MIN(IF(ISNUMBER(_xlpm.amps),IF(_xlpm.amps&gt;=$R190,_xlpm.amps,""),"")),_xlpm.k,IF(_xlpm.a=0,$R190,_xlpm.a),IF($BO190="Y",TEXT(_xlpm.k,"0")&amp;"N",_xlpm.k))))</f>
        <v/>
      </c>
      <c r="BQ190" s="832" t="str" cm="1">
        <f t="array" ref="BQ190">IF($BP190="","",IFERROR(IF($BV190="AL",_xlfn.XLOOKUP($BP190,Std_Al3_Code,INDEX(Std_Al3_Table,0,3)),IF($G190=1,_xlfn.XLOOKUP($BP190,Std_Cu1_Code,INDEX(Std_Cu1_Table,0,3)),_xlfn.XLOOKUP($BP190,Std_Cu3_Code,INDEX(Std_Cu3_Table,0,3)))),""))</f>
        <v/>
      </c>
      <c r="BR190" s="832" t="str" cm="1">
        <f t="array" ref="BR190">IF($BP190="","",IFERROR(IF($BV190="AL",_xlfn.XLOOKUP($BP190,Std_Al3_Code,INDEX(Std_Al3_Table,0,4)),IF($G190=1,_xlfn.XLOOKUP($BP190,Std_Cu1_Code,INDEX(Std_Cu1_Table,0,4)),_xlfn.XLOOKUP($BP190,Std_Cu3_Code,INDEX(Std_Cu3_Table,0,4)))),""))</f>
        <v/>
      </c>
      <c r="BS190" s="832" t="str" cm="1">
        <f t="array" ref="BS190">IF($BP190="","",IFERROR(IF($BV190="AL",_xlfn.XLOOKUP($BP190,Std_Al3_Code,INDEX(Std_Al3_Table,0,5)),IF($G190=1,_xlfn.XLOOKUP($BP190,Std_Cu1_Code,INDEX(Std_Cu1_Table,0,5)),_xlfn.XLOOKUP($BP190,Std_Cu3_Code,INDEX(Std_Cu3_Table,0,5)))),""))</f>
        <v/>
      </c>
      <c r="BT190" s="832" t="str">
        <f t="shared" si="45"/>
        <v/>
      </c>
      <c r="BU190" s="832" t="str" cm="1">
        <f t="array" ref="BU190">IF($BP190="","",IFERROR(IF($BV190="AL",_xlfn.XLOOKUP($BP190,Std_Al3_Code,INDEX(Std_Al3_Table,0,2)),IF($G190=1,_xlfn.XLOOKUP($BP190,Std_Cu1_Code,INDEX(Std_Cu1_Table,0,2)),_xlfn.XLOOKUP($BP190,Std_Cu3_Code,INDEX(Std_Cu3_Table,0,2)))),""))</f>
        <v/>
      </c>
      <c r="BV190" s="829" t="str">
        <f t="shared" si="46"/>
        <v/>
      </c>
      <c r="BW190" s="829" t="str">
        <f t="shared" si="52"/>
        <v/>
      </c>
      <c r="BX190" s="829" t="str" cm="1">
        <f t="array" ref="BX190">IF(OR($BP190="",$H190="",$I190="",$F190="",$BW190=""),"",IFERROR(_xlfn.LET(_xlpm.codes,IF($BV190="AL",Std_Al3_Code,IF($G190=1,Std_Cu1_Code,Std_Cu3_Code)),_xlpm.tbl,IF($BV190="AL",Std_Al3_Table,IF($G190=1,Std_Cu1_Table,Std_Cu3_Table)),_xlpm.i,MATCH($BP190,_xlpm.codes,0),_xlpm.idx,_xlfn.SEQUENCE(ROWS(_xlpm.codes)),_xlpm.cnd,INDEX(_xlpm.tbl,0,4),_xlpm.sts,INDEX(_xlpm.tbl,0,2),_xlpm.sz,IFERROR(_xlfn.TEXTBEFORE(_xlfn.TEXTAFTER(_xlpm.cnd,"#"),","),IFERROR(_xlfn.TEXTAFTER(_xlpm.cnd,"#"),"")),_xlpm.cm,IFERROR(_xlfn.XLOOKUP(TRIM(_xlpm.sz),Ampacity_Size,Ampacity_CM),0),_xlpm.mult,IF($G190=3,SQRT3,2),_xlpm.kk,IF($BV190="AL",K_Al,K_Cu),_xlpm.vd,IF(_xlpm.cm*IF(ISNUMBER(_xlpm.sts),_xlpm.sts,0)=0,9,_xlpm.mult*_xlpm.kk*$I190*$H190/(_xlpm.cm*_xlpm.sts)/$F190),_xlpm.hasN,--(RIGHT(_xlpm.codes&amp;"",1)="N"),_xlpm.wantN,--(RIGHT($BP190&amp;"",1)="N"),_xlpm.ok,(_xlpm.idx&gt;=_xlpm.i)*(_xlpm.vd&lt;=Cfg_VDFeeder)*(_xlpm.cm&gt;0)*ISNUMBER(_xlpm.sts)*(_xlpm.hasN=_xlpm.wantN),_xlpm.m,MIN(IF(_xlpm.ok=1,_xlpm.idx)),INDEX(_xlpm.codes,IF(_xlpm.m=0,_xlpm.i,_xlpm.m))),""))</f>
        <v/>
      </c>
      <c r="BY190" s="829" t="str" cm="1">
        <f t="array" ref="BY190">IF($BP190="","",IF($BX190="",$BU190,IFERROR(IF($BV190="AL",_xlfn.XLOOKUP($BX190,Std_Al3_Code,INDEX(Std_Al3_Table,0,2)),IF($G190=1,_xlfn.XLOOKUP($BX190,Std_Cu1_Code,INDEX(Std_Cu1_Table,0,2)),_xlfn.XLOOKUP($BX190,Std_Cu3_Code,INDEX(Std_Cu3_Table,0,2)))),"")))</f>
        <v/>
      </c>
      <c r="BZ190" s="829" t="str" cm="1">
        <f t="array" ref="BZ190">IF($BP190="","",IF($BX190="",$BR190,IFERROR(IF($BV190="AL",_xlfn.XLOOKUP($BX190,Std_Al3_Code,INDEX(Std_Al3_Table,0,4)),IF($G190=1,_xlfn.XLOOKUP($BX190,Std_Cu1_Code,INDEX(Std_Cu1_Table,0,4)),_xlfn.XLOOKUP($BX190,Std_Cu3_Code,INDEX(Std_Cu3_Table,0,4)))),"")))</f>
        <v/>
      </c>
      <c r="CA190" s="829" t="str" cm="1">
        <f t="array" ref="CA190">IF($BP190="","",IF($BX190="",$BQ190,IFERROR(IF($BV190="AL",_xlfn.XLOOKUP($BX190,Std_Al3_Code,INDEX(Std_Al3_Table,0,3)),IF($G190=1,_xlfn.XLOOKUP($BX190,Std_Cu1_Code,INDEX(Std_Cu1_Table,0,3)),_xlfn.XLOOKUP($BX190,Std_Cu3_Code,INDEX(Std_Cu3_Table,0,3)))),"")))</f>
        <v/>
      </c>
      <c r="CB190" s="829" t="str" cm="1">
        <f t="array" ref="CB190">IF($BP190="","",IF($BX190="",$BS190,IFERROR(IF($BV190="AL",_xlfn.XLOOKUP($BX190,Std_Al3_Code,INDEX(Std_Al3_Table,0,5)),IF($G190=1,_xlfn.XLOOKUP($BX190,Std_Cu1_Code,INDEX(Std_Cu1_Table,0,5)),_xlfn.XLOOKUP($BX190,Std_Cu3_Code,INDEX(Std_Cu3_Table,0,5)))),"")))</f>
        <v/>
      </c>
      <c r="CC190" s="829" t="str">
        <f t="shared" si="53"/>
        <v/>
      </c>
      <c r="CD190" s="829" t="str">
        <f t="shared" si="54"/>
        <v/>
      </c>
      <c r="CE190" s="829" t="str">
        <f t="shared" si="55"/>
        <v/>
      </c>
      <c r="CF190" s="829" t="str">
        <f t="shared" si="56"/>
        <v/>
      </c>
      <c r="CG190" s="829" t="str">
        <f t="shared" si="57"/>
        <v/>
      </c>
      <c r="CH190" s="829" t="str">
        <f t="shared" si="58"/>
        <v/>
      </c>
      <c r="CI190" s="829" t="str">
        <f t="shared" si="59"/>
        <v/>
      </c>
      <c r="CJ190" s="829" t="str" cm="1">
        <f t="array" ref="CJ190">IF($B190="","",_xlfn.LET(_xlpm.to,$D190&amp;"",_xlpm.em,IFERROR(INDEX(_xlfn.ANCHORARRAY($BE$4),ROW()-4,6),"")="EMERG",_xlpm.pri,AND(NOT(_xlpm.em),LEFT(_xlpm.to,2)="T-",ISNUMBER(MATCH(MID(_xlpm.to,3,99),Equip_List,0)),ISNA(MATCH(_xlpm.to,Equip_List,0))),IF(_xlpm.pri,MID(_xlpm.to,3,99),_xlpm.to)))</f>
        <v/>
      </c>
      <c r="CK190" s="829" t="str" cm="1">
        <f t="array" ref="CK190">IF($CJ190="","",IF(IFERROR(INDEX(_xlfn.ANCHORARRAY($BE$4),ROW()-4,6),"")="EMERG","E",IF($CJ190&lt;&gt;$D190&amp;"","P","N")))</f>
        <v/>
      </c>
    </row>
    <row r="191" spans="1:89" ht="15" customHeight="1" x14ac:dyDescent="0.35">
      <c r="A191" s="821" t="str">
        <f t="shared" si="47"/>
        <v/>
      </c>
      <c r="B191" s="821" t="str" cm="1">
        <f t="array" ref="B191">IFERROR(IF(INDEX(_xlfn.ANCHORARRAY($BE$4),ROW()-4,2)="","","F-"&amp;INDEX(_xlfn.ANCHORARRAY($BE$4),ROW()-4,2)&amp;IF(IFERROR(INDEX(_xlfn.ANCHORARRAY($BE$4),ROW()-4,6),"")="EMERG","-E","")),"")</f>
        <v/>
      </c>
      <c r="C191" s="821" t="str" cm="1">
        <f t="array" ref="C191">IFERROR(IF($B191="","",INDEX(_xlfn.ANCHORARRAY($BE$4),ROW()-4,1)),"")</f>
        <v/>
      </c>
      <c r="D191" s="821" t="str" cm="1">
        <f t="array" ref="D191">IFERROR(IF($B191="","",INDEX(_xlfn.ANCHORARRAY($BE$4),ROW()-4,2)),"")</f>
        <v/>
      </c>
      <c r="E191" s="806" t="str" cm="1">
        <f t="array" ref="E191">IFERROR(IF($B191="","",INDEX(_xlfn.ANCHORARRAY($BE$4),ROW()-4,3)),"")</f>
        <v/>
      </c>
      <c r="F191" s="822" t="str" cm="1">
        <f t="array" ref="F191">IFERROR(IF($B191="","",INDEX(_xlfn.ANCHORARRAY($BE$4),ROW()-4,4)),"")</f>
        <v/>
      </c>
      <c r="G191" s="823" t="str" cm="1">
        <f t="array" ref="G191">IFERROR(IF($B191="","",INDEX(_xlfn.ANCHORARRAY($BE$4),ROW()-4,5)),"")</f>
        <v/>
      </c>
      <c r="H191" s="824" t="str" cm="1">
        <f t="array" ref="H191">IF($CJ191="","",_xlfn.LET(_xlpm.v,_xlfn.XLOOKUP($CJ191,Equip_List,IF($CK191="E",Equip_EmLen,IF($CK191="P",Equip_XfPriLen,Equip_FdrLen)),""),IF(_xlpm.v="","",_xlpm.v)))</f>
        <v/>
      </c>
      <c r="I191" s="806" t="str">
        <f t="shared" si="40"/>
        <v/>
      </c>
      <c r="J191" s="820"/>
      <c r="K191" s="806" t="str">
        <f>_xlfn.LET(_xlpm.k,IF($I191="","",IF(COUNTIF(UPS!$B$57:$B$64,$C191&amp;"")&gt;0,1.25*MAX($I191,N(_xlfn.XLOOKUP($C191&amp;"",UPS!$B$57:$B$64,UPS!$M$57:$M$64,0))),IF(COUNTIF(UPS!$B$57:$B$64,$D191&amp;"")&gt;0,1.25*MAX($I191,N(_xlfn.XLOOKUP($D191&amp;"",UPS!$B$57:$B$64,UPS!$Q$57:$Q$64,0))),$I191*IF(OR(UPPER($J191)="Y",LEFT($C191,2)="T-",LEFT($D191,2)="T-"),1.25,1)))),IF(_xlpm.k="","",MAX(_xlpm.k,N(IFERROR(_xlfn.XLOOKUP($D191&amp;"",Dashboard!$A$101:$A$350,Dashboard!$O$101:$O$350,0),0)))))</f>
        <v/>
      </c>
      <c r="L191" s="825" t="str">
        <f>IF($CJ191="","",_xlfn.LET(_xlpm.v,UPPER(TRIM(_xlfn.XLOOKUP($CJ191,Equip_List,Equip_FdrMat,"")&amp;"")),IF(_xlpm.v="",UPPER(TRIM(Cfg_FeederMat&amp;"")),_xlpm.v)))</f>
        <v/>
      </c>
      <c r="M191" s="825" t="str">
        <f>IF($CJ191="","",_xlfn.LET(_xlpm.v,TRIM(_xlfn.XLOOKUP($CJ191,Equip_List,Equip_FdrRace,"")&amp;""),IF(_xlpm.v="",Cfg_Conduit&amp;"",_xlpm.v)))</f>
        <v/>
      </c>
      <c r="N191" s="825" t="str">
        <f>IF($CJ191="","",IF(UPPER(TRIM(_xlfn.XLOOKUP($CJ191,Equip_List,Equip_FdrExist,"")&amp;""))="Y","Y",""))</f>
        <v/>
      </c>
      <c r="O191" s="823" t="str">
        <f t="shared" si="48"/>
        <v/>
      </c>
      <c r="P191" s="821" t="str">
        <f t="shared" si="49"/>
        <v/>
      </c>
      <c r="Q191" s="821" t="str">
        <f t="shared" si="50"/>
        <v/>
      </c>
      <c r="R191" s="822" t="str" cm="1">
        <f t="array" ref="R191">IF(K191="","",INDEX(OCPD_List,MATCH(TRUE,OCPD_List&gt;=K191,0)))</f>
        <v/>
      </c>
      <c r="S191" s="821" t="str">
        <f t="shared" si="51"/>
        <v/>
      </c>
      <c r="T191" s="826" t="str">
        <f t="shared" si="41"/>
        <v/>
      </c>
      <c r="U191" s="826" t="str">
        <f t="shared" si="42"/>
        <v/>
      </c>
      <c r="V191" s="827" t="str">
        <f t="shared" si="43"/>
        <v/>
      </c>
      <c r="W191" s="828"/>
      <c r="X191" s="819"/>
      <c r="Y191" s="820"/>
      <c r="Z191" s="820"/>
      <c r="AA191" s="820"/>
      <c r="BN191" s="832" t="str">
        <f>IF($B191="","",IFERROR(_xlfn.XLOOKUP($D191,Dashboard!$A$101:$A$350,Dashboard!$C$101:$C$350),""))</f>
        <v/>
      </c>
      <c r="BO191" s="832" t="str">
        <f t="shared" si="44"/>
        <v/>
      </c>
      <c r="BP191" s="832" t="str" cm="1">
        <f t="array" ref="BP191">IF(OR($B191="",$R191="",NOT(ISNUMBER($R191))),"",IF(AND($BV191="AL",$G191=1),"",_xlfn.LET(_xlpm.codes,IF($BV191="AL",Std_Al3_Code,IF($G191=1,Std_Cu1_Code,Std_Cu3_Code)),_xlpm.amps,IFERROR(--SUBSTITUTE(_xlpm.codes&amp;"","N",""),""),_xlpm.a,MIN(IF(ISNUMBER(_xlpm.amps),IF(_xlpm.amps&gt;=$R191,_xlpm.amps,""),"")),_xlpm.k,IF(_xlpm.a=0,$R191,_xlpm.a),IF($BO191="Y",TEXT(_xlpm.k,"0")&amp;"N",_xlpm.k))))</f>
        <v/>
      </c>
      <c r="BQ191" s="832" t="str" cm="1">
        <f t="array" ref="BQ191">IF($BP191="","",IFERROR(IF($BV191="AL",_xlfn.XLOOKUP($BP191,Std_Al3_Code,INDEX(Std_Al3_Table,0,3)),IF($G191=1,_xlfn.XLOOKUP($BP191,Std_Cu1_Code,INDEX(Std_Cu1_Table,0,3)),_xlfn.XLOOKUP($BP191,Std_Cu3_Code,INDEX(Std_Cu3_Table,0,3)))),""))</f>
        <v/>
      </c>
      <c r="BR191" s="832" t="str" cm="1">
        <f t="array" ref="BR191">IF($BP191="","",IFERROR(IF($BV191="AL",_xlfn.XLOOKUP($BP191,Std_Al3_Code,INDEX(Std_Al3_Table,0,4)),IF($G191=1,_xlfn.XLOOKUP($BP191,Std_Cu1_Code,INDEX(Std_Cu1_Table,0,4)),_xlfn.XLOOKUP($BP191,Std_Cu3_Code,INDEX(Std_Cu3_Table,0,4)))),""))</f>
        <v/>
      </c>
      <c r="BS191" s="832" t="str" cm="1">
        <f t="array" ref="BS191">IF($BP191="","",IFERROR(IF($BV191="AL",_xlfn.XLOOKUP($BP191,Std_Al3_Code,INDEX(Std_Al3_Table,0,5)),IF($G191=1,_xlfn.XLOOKUP($BP191,Std_Cu1_Code,INDEX(Std_Cu1_Table,0,5)),_xlfn.XLOOKUP($BP191,Std_Cu3_Code,INDEX(Std_Cu3_Table,0,5)))),""))</f>
        <v/>
      </c>
      <c r="BT191" s="832" t="str">
        <f t="shared" si="45"/>
        <v/>
      </c>
      <c r="BU191" s="832" t="str" cm="1">
        <f t="array" ref="BU191">IF($BP191="","",IFERROR(IF($BV191="AL",_xlfn.XLOOKUP($BP191,Std_Al3_Code,INDEX(Std_Al3_Table,0,2)),IF($G191=1,_xlfn.XLOOKUP($BP191,Std_Cu1_Code,INDEX(Std_Cu1_Table,0,2)),_xlfn.XLOOKUP($BP191,Std_Cu3_Code,INDEX(Std_Cu3_Table,0,2)))),""))</f>
        <v/>
      </c>
      <c r="BV191" s="829" t="str">
        <f t="shared" si="46"/>
        <v/>
      </c>
      <c r="BW191" s="829" t="str">
        <f t="shared" si="52"/>
        <v/>
      </c>
      <c r="BX191" s="829" t="str" cm="1">
        <f t="array" ref="BX191">IF(OR($BP191="",$H191="",$I191="",$F191="",$BW191=""),"",IFERROR(_xlfn.LET(_xlpm.codes,IF($BV191="AL",Std_Al3_Code,IF($G191=1,Std_Cu1_Code,Std_Cu3_Code)),_xlpm.tbl,IF($BV191="AL",Std_Al3_Table,IF($G191=1,Std_Cu1_Table,Std_Cu3_Table)),_xlpm.i,MATCH($BP191,_xlpm.codes,0),_xlpm.idx,_xlfn.SEQUENCE(ROWS(_xlpm.codes)),_xlpm.cnd,INDEX(_xlpm.tbl,0,4),_xlpm.sts,INDEX(_xlpm.tbl,0,2),_xlpm.sz,IFERROR(_xlfn.TEXTBEFORE(_xlfn.TEXTAFTER(_xlpm.cnd,"#"),","),IFERROR(_xlfn.TEXTAFTER(_xlpm.cnd,"#"),"")),_xlpm.cm,IFERROR(_xlfn.XLOOKUP(TRIM(_xlpm.sz),Ampacity_Size,Ampacity_CM),0),_xlpm.mult,IF($G191=3,SQRT3,2),_xlpm.kk,IF($BV191="AL",K_Al,K_Cu),_xlpm.vd,IF(_xlpm.cm*IF(ISNUMBER(_xlpm.sts),_xlpm.sts,0)=0,9,_xlpm.mult*_xlpm.kk*$I191*$H191/(_xlpm.cm*_xlpm.sts)/$F191),_xlpm.hasN,--(RIGHT(_xlpm.codes&amp;"",1)="N"),_xlpm.wantN,--(RIGHT($BP191&amp;"",1)="N"),_xlpm.ok,(_xlpm.idx&gt;=_xlpm.i)*(_xlpm.vd&lt;=Cfg_VDFeeder)*(_xlpm.cm&gt;0)*ISNUMBER(_xlpm.sts)*(_xlpm.hasN=_xlpm.wantN),_xlpm.m,MIN(IF(_xlpm.ok=1,_xlpm.idx)),INDEX(_xlpm.codes,IF(_xlpm.m=0,_xlpm.i,_xlpm.m))),""))</f>
        <v/>
      </c>
      <c r="BY191" s="829" t="str" cm="1">
        <f t="array" ref="BY191">IF($BP191="","",IF($BX191="",$BU191,IFERROR(IF($BV191="AL",_xlfn.XLOOKUP($BX191,Std_Al3_Code,INDEX(Std_Al3_Table,0,2)),IF($G191=1,_xlfn.XLOOKUP($BX191,Std_Cu1_Code,INDEX(Std_Cu1_Table,0,2)),_xlfn.XLOOKUP($BX191,Std_Cu3_Code,INDEX(Std_Cu3_Table,0,2)))),"")))</f>
        <v/>
      </c>
      <c r="BZ191" s="829" t="str" cm="1">
        <f t="array" ref="BZ191">IF($BP191="","",IF($BX191="",$BR191,IFERROR(IF($BV191="AL",_xlfn.XLOOKUP($BX191,Std_Al3_Code,INDEX(Std_Al3_Table,0,4)),IF($G191=1,_xlfn.XLOOKUP($BX191,Std_Cu1_Code,INDEX(Std_Cu1_Table,0,4)),_xlfn.XLOOKUP($BX191,Std_Cu3_Code,INDEX(Std_Cu3_Table,0,4)))),"")))</f>
        <v/>
      </c>
      <c r="CA191" s="829" t="str" cm="1">
        <f t="array" ref="CA191">IF($BP191="","",IF($BX191="",$BQ191,IFERROR(IF($BV191="AL",_xlfn.XLOOKUP($BX191,Std_Al3_Code,INDEX(Std_Al3_Table,0,3)),IF($G191=1,_xlfn.XLOOKUP($BX191,Std_Cu1_Code,INDEX(Std_Cu1_Table,0,3)),_xlfn.XLOOKUP($BX191,Std_Cu3_Code,INDEX(Std_Cu3_Table,0,3)))),"")))</f>
        <v/>
      </c>
      <c r="CB191" s="829" t="str" cm="1">
        <f t="array" ref="CB191">IF($BP191="","",IF($BX191="",$BS191,IFERROR(IF($BV191="AL",_xlfn.XLOOKUP($BX191,Std_Al3_Code,INDEX(Std_Al3_Table,0,5)),IF($G191=1,_xlfn.XLOOKUP($BX191,Std_Cu1_Code,INDEX(Std_Cu1_Table,0,5)),_xlfn.XLOOKUP($BX191,Std_Cu3_Code,INDEX(Std_Cu3_Table,0,5)))),"")))</f>
        <v/>
      </c>
      <c r="CC191" s="829" t="str">
        <f t="shared" si="53"/>
        <v/>
      </c>
      <c r="CD191" s="829" t="str">
        <f t="shared" si="54"/>
        <v/>
      </c>
      <c r="CE191" s="829" t="str">
        <f t="shared" si="55"/>
        <v/>
      </c>
      <c r="CF191" s="829" t="str">
        <f t="shared" si="56"/>
        <v/>
      </c>
      <c r="CG191" s="829" t="str">
        <f t="shared" si="57"/>
        <v/>
      </c>
      <c r="CH191" s="829" t="str">
        <f t="shared" si="58"/>
        <v/>
      </c>
      <c r="CI191" s="829" t="str">
        <f t="shared" si="59"/>
        <v/>
      </c>
      <c r="CJ191" s="829" t="str" cm="1">
        <f t="array" ref="CJ191">IF($B191="","",_xlfn.LET(_xlpm.to,$D191&amp;"",_xlpm.em,IFERROR(INDEX(_xlfn.ANCHORARRAY($BE$4),ROW()-4,6),"")="EMERG",_xlpm.pri,AND(NOT(_xlpm.em),LEFT(_xlpm.to,2)="T-",ISNUMBER(MATCH(MID(_xlpm.to,3,99),Equip_List,0)),ISNA(MATCH(_xlpm.to,Equip_List,0))),IF(_xlpm.pri,MID(_xlpm.to,3,99),_xlpm.to)))</f>
        <v/>
      </c>
      <c r="CK191" s="829" t="str" cm="1">
        <f t="array" ref="CK191">IF($CJ191="","",IF(IFERROR(INDEX(_xlfn.ANCHORARRAY($BE$4),ROW()-4,6),"")="EMERG","E",IF($CJ191&lt;&gt;$D191&amp;"","P","N")))</f>
        <v/>
      </c>
    </row>
    <row r="192" spans="1:89" ht="15" customHeight="1" x14ac:dyDescent="0.35">
      <c r="A192" s="821" t="str">
        <f t="shared" si="47"/>
        <v/>
      </c>
      <c r="B192" s="821" t="str" cm="1">
        <f t="array" ref="B192">IFERROR(IF(INDEX(_xlfn.ANCHORARRAY($BE$4),ROW()-4,2)="","","F-"&amp;INDEX(_xlfn.ANCHORARRAY($BE$4),ROW()-4,2)&amp;IF(IFERROR(INDEX(_xlfn.ANCHORARRAY($BE$4),ROW()-4,6),"")="EMERG","-E","")),"")</f>
        <v/>
      </c>
      <c r="C192" s="821" t="str" cm="1">
        <f t="array" ref="C192">IFERROR(IF($B192="","",INDEX(_xlfn.ANCHORARRAY($BE$4),ROW()-4,1)),"")</f>
        <v/>
      </c>
      <c r="D192" s="821" t="str" cm="1">
        <f t="array" ref="D192">IFERROR(IF($B192="","",INDEX(_xlfn.ANCHORARRAY($BE$4),ROW()-4,2)),"")</f>
        <v/>
      </c>
      <c r="E192" s="806" t="str" cm="1">
        <f t="array" ref="E192">IFERROR(IF($B192="","",INDEX(_xlfn.ANCHORARRAY($BE$4),ROW()-4,3)),"")</f>
        <v/>
      </c>
      <c r="F192" s="822" t="str" cm="1">
        <f t="array" ref="F192">IFERROR(IF($B192="","",INDEX(_xlfn.ANCHORARRAY($BE$4),ROW()-4,4)),"")</f>
        <v/>
      </c>
      <c r="G192" s="823" t="str" cm="1">
        <f t="array" ref="G192">IFERROR(IF($B192="","",INDEX(_xlfn.ANCHORARRAY($BE$4),ROW()-4,5)),"")</f>
        <v/>
      </c>
      <c r="H192" s="824" t="str" cm="1">
        <f t="array" ref="H192">IF($CJ192="","",_xlfn.LET(_xlpm.v,_xlfn.XLOOKUP($CJ192,Equip_List,IF($CK192="E",Equip_EmLen,IF($CK192="P",Equip_XfPriLen,Equip_FdrLen)),""),IF(_xlpm.v="","",_xlpm.v)))</f>
        <v/>
      </c>
      <c r="I192" s="806" t="str">
        <f t="shared" si="40"/>
        <v/>
      </c>
      <c r="J192" s="820"/>
      <c r="K192" s="806" t="str">
        <f>_xlfn.LET(_xlpm.k,IF($I192="","",IF(COUNTIF(UPS!$B$57:$B$64,$C192&amp;"")&gt;0,1.25*MAX($I192,N(_xlfn.XLOOKUP($C192&amp;"",UPS!$B$57:$B$64,UPS!$M$57:$M$64,0))),IF(COUNTIF(UPS!$B$57:$B$64,$D192&amp;"")&gt;0,1.25*MAX($I192,N(_xlfn.XLOOKUP($D192&amp;"",UPS!$B$57:$B$64,UPS!$Q$57:$Q$64,0))),$I192*IF(OR(UPPER($J192)="Y",LEFT($C192,2)="T-",LEFT($D192,2)="T-"),1.25,1)))),IF(_xlpm.k="","",MAX(_xlpm.k,N(IFERROR(_xlfn.XLOOKUP($D192&amp;"",Dashboard!$A$101:$A$350,Dashboard!$O$101:$O$350,0),0)))))</f>
        <v/>
      </c>
      <c r="L192" s="825" t="str">
        <f>IF($CJ192="","",_xlfn.LET(_xlpm.v,UPPER(TRIM(_xlfn.XLOOKUP($CJ192,Equip_List,Equip_FdrMat,"")&amp;"")),IF(_xlpm.v="",UPPER(TRIM(Cfg_FeederMat&amp;"")),_xlpm.v)))</f>
        <v/>
      </c>
      <c r="M192" s="825" t="str">
        <f>IF($CJ192="","",_xlfn.LET(_xlpm.v,TRIM(_xlfn.XLOOKUP($CJ192,Equip_List,Equip_FdrRace,"")&amp;""),IF(_xlpm.v="",Cfg_Conduit&amp;"",_xlpm.v)))</f>
        <v/>
      </c>
      <c r="N192" s="825" t="str">
        <f>IF($CJ192="","",IF(UPPER(TRIM(_xlfn.XLOOKUP($CJ192,Equip_List,Equip_FdrExist,"")&amp;""))="Y","Y",""))</f>
        <v/>
      </c>
      <c r="O192" s="823" t="str">
        <f t="shared" si="48"/>
        <v/>
      </c>
      <c r="P192" s="821" t="str">
        <f t="shared" si="49"/>
        <v/>
      </c>
      <c r="Q192" s="821" t="str">
        <f t="shared" si="50"/>
        <v/>
      </c>
      <c r="R192" s="822" t="str" cm="1">
        <f t="array" ref="R192">IF(K192="","",INDEX(OCPD_List,MATCH(TRUE,OCPD_List&gt;=K192,0)))</f>
        <v/>
      </c>
      <c r="S192" s="821" t="str">
        <f t="shared" si="51"/>
        <v/>
      </c>
      <c r="T192" s="826" t="str">
        <f t="shared" si="41"/>
        <v/>
      </c>
      <c r="U192" s="826" t="str">
        <f t="shared" si="42"/>
        <v/>
      </c>
      <c r="V192" s="827" t="str">
        <f t="shared" si="43"/>
        <v/>
      </c>
      <c r="W192" s="828"/>
      <c r="X192" s="819"/>
      <c r="Y192" s="820"/>
      <c r="Z192" s="820"/>
      <c r="AA192" s="820"/>
      <c r="BN192" s="832" t="str">
        <f>IF($B192="","",IFERROR(_xlfn.XLOOKUP($D192,Dashboard!$A$101:$A$350,Dashboard!$C$101:$C$350),""))</f>
        <v/>
      </c>
      <c r="BO192" s="832" t="str">
        <f t="shared" si="44"/>
        <v/>
      </c>
      <c r="BP192" s="832" t="str" cm="1">
        <f t="array" ref="BP192">IF(OR($B192="",$R192="",NOT(ISNUMBER($R192))),"",IF(AND($BV192="AL",$G192=1),"",_xlfn.LET(_xlpm.codes,IF($BV192="AL",Std_Al3_Code,IF($G192=1,Std_Cu1_Code,Std_Cu3_Code)),_xlpm.amps,IFERROR(--SUBSTITUTE(_xlpm.codes&amp;"","N",""),""),_xlpm.a,MIN(IF(ISNUMBER(_xlpm.amps),IF(_xlpm.amps&gt;=$R192,_xlpm.amps,""),"")),_xlpm.k,IF(_xlpm.a=0,$R192,_xlpm.a),IF($BO192="Y",TEXT(_xlpm.k,"0")&amp;"N",_xlpm.k))))</f>
        <v/>
      </c>
      <c r="BQ192" s="832" t="str" cm="1">
        <f t="array" ref="BQ192">IF($BP192="","",IFERROR(IF($BV192="AL",_xlfn.XLOOKUP($BP192,Std_Al3_Code,INDEX(Std_Al3_Table,0,3)),IF($G192=1,_xlfn.XLOOKUP($BP192,Std_Cu1_Code,INDEX(Std_Cu1_Table,0,3)),_xlfn.XLOOKUP($BP192,Std_Cu3_Code,INDEX(Std_Cu3_Table,0,3)))),""))</f>
        <v/>
      </c>
      <c r="BR192" s="832" t="str" cm="1">
        <f t="array" ref="BR192">IF($BP192="","",IFERROR(IF($BV192="AL",_xlfn.XLOOKUP($BP192,Std_Al3_Code,INDEX(Std_Al3_Table,0,4)),IF($G192=1,_xlfn.XLOOKUP($BP192,Std_Cu1_Code,INDEX(Std_Cu1_Table,0,4)),_xlfn.XLOOKUP($BP192,Std_Cu3_Code,INDEX(Std_Cu3_Table,0,4)))),""))</f>
        <v/>
      </c>
      <c r="BS192" s="832" t="str" cm="1">
        <f t="array" ref="BS192">IF($BP192="","",IFERROR(IF($BV192="AL",_xlfn.XLOOKUP($BP192,Std_Al3_Code,INDEX(Std_Al3_Table,0,5)),IF($G192=1,_xlfn.XLOOKUP($BP192,Std_Cu1_Code,INDEX(Std_Cu1_Table,0,5)),_xlfn.XLOOKUP($BP192,Std_Cu3_Code,INDEX(Std_Cu3_Table,0,5)))),""))</f>
        <v/>
      </c>
      <c r="BT192" s="832" t="str">
        <f t="shared" si="45"/>
        <v/>
      </c>
      <c r="BU192" s="832" t="str" cm="1">
        <f t="array" ref="BU192">IF($BP192="","",IFERROR(IF($BV192="AL",_xlfn.XLOOKUP($BP192,Std_Al3_Code,INDEX(Std_Al3_Table,0,2)),IF($G192=1,_xlfn.XLOOKUP($BP192,Std_Cu1_Code,INDEX(Std_Cu1_Table,0,2)),_xlfn.XLOOKUP($BP192,Std_Cu3_Code,INDEX(Std_Cu3_Table,0,2)))),""))</f>
        <v/>
      </c>
      <c r="BV192" s="829" t="str">
        <f t="shared" si="46"/>
        <v/>
      </c>
      <c r="BW192" s="829" t="str">
        <f t="shared" si="52"/>
        <v/>
      </c>
      <c r="BX192" s="829" t="str" cm="1">
        <f t="array" ref="BX192">IF(OR($BP192="",$H192="",$I192="",$F192="",$BW192=""),"",IFERROR(_xlfn.LET(_xlpm.codes,IF($BV192="AL",Std_Al3_Code,IF($G192=1,Std_Cu1_Code,Std_Cu3_Code)),_xlpm.tbl,IF($BV192="AL",Std_Al3_Table,IF($G192=1,Std_Cu1_Table,Std_Cu3_Table)),_xlpm.i,MATCH($BP192,_xlpm.codes,0),_xlpm.idx,_xlfn.SEQUENCE(ROWS(_xlpm.codes)),_xlpm.cnd,INDEX(_xlpm.tbl,0,4),_xlpm.sts,INDEX(_xlpm.tbl,0,2),_xlpm.sz,IFERROR(_xlfn.TEXTBEFORE(_xlfn.TEXTAFTER(_xlpm.cnd,"#"),","),IFERROR(_xlfn.TEXTAFTER(_xlpm.cnd,"#"),"")),_xlpm.cm,IFERROR(_xlfn.XLOOKUP(TRIM(_xlpm.sz),Ampacity_Size,Ampacity_CM),0),_xlpm.mult,IF($G192=3,SQRT3,2),_xlpm.kk,IF($BV192="AL",K_Al,K_Cu),_xlpm.vd,IF(_xlpm.cm*IF(ISNUMBER(_xlpm.sts),_xlpm.sts,0)=0,9,_xlpm.mult*_xlpm.kk*$I192*$H192/(_xlpm.cm*_xlpm.sts)/$F192),_xlpm.hasN,--(RIGHT(_xlpm.codes&amp;"",1)="N"),_xlpm.wantN,--(RIGHT($BP192&amp;"",1)="N"),_xlpm.ok,(_xlpm.idx&gt;=_xlpm.i)*(_xlpm.vd&lt;=Cfg_VDFeeder)*(_xlpm.cm&gt;0)*ISNUMBER(_xlpm.sts)*(_xlpm.hasN=_xlpm.wantN),_xlpm.m,MIN(IF(_xlpm.ok=1,_xlpm.idx)),INDEX(_xlpm.codes,IF(_xlpm.m=0,_xlpm.i,_xlpm.m))),""))</f>
        <v/>
      </c>
      <c r="BY192" s="829" t="str" cm="1">
        <f t="array" ref="BY192">IF($BP192="","",IF($BX192="",$BU192,IFERROR(IF($BV192="AL",_xlfn.XLOOKUP($BX192,Std_Al3_Code,INDEX(Std_Al3_Table,0,2)),IF($G192=1,_xlfn.XLOOKUP($BX192,Std_Cu1_Code,INDEX(Std_Cu1_Table,0,2)),_xlfn.XLOOKUP($BX192,Std_Cu3_Code,INDEX(Std_Cu3_Table,0,2)))),"")))</f>
        <v/>
      </c>
      <c r="BZ192" s="829" t="str" cm="1">
        <f t="array" ref="BZ192">IF($BP192="","",IF($BX192="",$BR192,IFERROR(IF($BV192="AL",_xlfn.XLOOKUP($BX192,Std_Al3_Code,INDEX(Std_Al3_Table,0,4)),IF($G192=1,_xlfn.XLOOKUP($BX192,Std_Cu1_Code,INDEX(Std_Cu1_Table,0,4)),_xlfn.XLOOKUP($BX192,Std_Cu3_Code,INDEX(Std_Cu3_Table,0,4)))),"")))</f>
        <v/>
      </c>
      <c r="CA192" s="829" t="str" cm="1">
        <f t="array" ref="CA192">IF($BP192="","",IF($BX192="",$BQ192,IFERROR(IF($BV192="AL",_xlfn.XLOOKUP($BX192,Std_Al3_Code,INDEX(Std_Al3_Table,0,3)),IF($G192=1,_xlfn.XLOOKUP($BX192,Std_Cu1_Code,INDEX(Std_Cu1_Table,0,3)),_xlfn.XLOOKUP($BX192,Std_Cu3_Code,INDEX(Std_Cu3_Table,0,3)))),"")))</f>
        <v/>
      </c>
      <c r="CB192" s="829" t="str" cm="1">
        <f t="array" ref="CB192">IF($BP192="","",IF($BX192="",$BS192,IFERROR(IF($BV192="AL",_xlfn.XLOOKUP($BX192,Std_Al3_Code,INDEX(Std_Al3_Table,0,5)),IF($G192=1,_xlfn.XLOOKUP($BX192,Std_Cu1_Code,INDEX(Std_Cu1_Table,0,5)),_xlfn.XLOOKUP($BX192,Std_Cu3_Code,INDEX(Std_Cu3_Table,0,5)))),"")))</f>
        <v/>
      </c>
      <c r="CC192" s="829" t="str">
        <f t="shared" si="53"/>
        <v/>
      </c>
      <c r="CD192" s="829" t="str">
        <f t="shared" si="54"/>
        <v/>
      </c>
      <c r="CE192" s="829" t="str">
        <f t="shared" si="55"/>
        <v/>
      </c>
      <c r="CF192" s="829" t="str">
        <f t="shared" si="56"/>
        <v/>
      </c>
      <c r="CG192" s="829" t="str">
        <f t="shared" si="57"/>
        <v/>
      </c>
      <c r="CH192" s="829" t="str">
        <f t="shared" si="58"/>
        <v/>
      </c>
      <c r="CI192" s="829" t="str">
        <f t="shared" si="59"/>
        <v/>
      </c>
      <c r="CJ192" s="829" t="str" cm="1">
        <f t="array" ref="CJ192">IF($B192="","",_xlfn.LET(_xlpm.to,$D192&amp;"",_xlpm.em,IFERROR(INDEX(_xlfn.ANCHORARRAY($BE$4),ROW()-4,6),"")="EMERG",_xlpm.pri,AND(NOT(_xlpm.em),LEFT(_xlpm.to,2)="T-",ISNUMBER(MATCH(MID(_xlpm.to,3,99),Equip_List,0)),ISNA(MATCH(_xlpm.to,Equip_List,0))),IF(_xlpm.pri,MID(_xlpm.to,3,99),_xlpm.to)))</f>
        <v/>
      </c>
      <c r="CK192" s="829" t="str" cm="1">
        <f t="array" ref="CK192">IF($CJ192="","",IF(IFERROR(INDEX(_xlfn.ANCHORARRAY($BE$4),ROW()-4,6),"")="EMERG","E",IF($CJ192&lt;&gt;$D192&amp;"","P","N")))</f>
        <v/>
      </c>
    </row>
    <row r="193" spans="1:89" ht="15" customHeight="1" x14ac:dyDescent="0.35">
      <c r="A193" s="821" t="str">
        <f t="shared" si="47"/>
        <v/>
      </c>
      <c r="B193" s="821" t="str" cm="1">
        <f t="array" ref="B193">IFERROR(IF(INDEX(_xlfn.ANCHORARRAY($BE$4),ROW()-4,2)="","","F-"&amp;INDEX(_xlfn.ANCHORARRAY($BE$4),ROW()-4,2)&amp;IF(IFERROR(INDEX(_xlfn.ANCHORARRAY($BE$4),ROW()-4,6),"")="EMERG","-E","")),"")</f>
        <v/>
      </c>
      <c r="C193" s="821" t="str" cm="1">
        <f t="array" ref="C193">IFERROR(IF($B193="","",INDEX(_xlfn.ANCHORARRAY($BE$4),ROW()-4,1)),"")</f>
        <v/>
      </c>
      <c r="D193" s="821" t="str" cm="1">
        <f t="array" ref="D193">IFERROR(IF($B193="","",INDEX(_xlfn.ANCHORARRAY($BE$4),ROW()-4,2)),"")</f>
        <v/>
      </c>
      <c r="E193" s="806" t="str" cm="1">
        <f t="array" ref="E193">IFERROR(IF($B193="","",INDEX(_xlfn.ANCHORARRAY($BE$4),ROW()-4,3)),"")</f>
        <v/>
      </c>
      <c r="F193" s="822" t="str" cm="1">
        <f t="array" ref="F193">IFERROR(IF($B193="","",INDEX(_xlfn.ANCHORARRAY($BE$4),ROW()-4,4)),"")</f>
        <v/>
      </c>
      <c r="G193" s="823" t="str" cm="1">
        <f t="array" ref="G193">IFERROR(IF($B193="","",INDEX(_xlfn.ANCHORARRAY($BE$4),ROW()-4,5)),"")</f>
        <v/>
      </c>
      <c r="H193" s="824" t="str" cm="1">
        <f t="array" ref="H193">IF($CJ193="","",_xlfn.LET(_xlpm.v,_xlfn.XLOOKUP($CJ193,Equip_List,IF($CK193="E",Equip_EmLen,IF($CK193="P",Equip_XfPriLen,Equip_FdrLen)),""),IF(_xlpm.v="","",_xlpm.v)))</f>
        <v/>
      </c>
      <c r="I193" s="806" t="str">
        <f t="shared" si="40"/>
        <v/>
      </c>
      <c r="J193" s="820"/>
      <c r="K193" s="806" t="str">
        <f>_xlfn.LET(_xlpm.k,IF($I193="","",IF(COUNTIF(UPS!$B$57:$B$64,$C193&amp;"")&gt;0,1.25*MAX($I193,N(_xlfn.XLOOKUP($C193&amp;"",UPS!$B$57:$B$64,UPS!$M$57:$M$64,0))),IF(COUNTIF(UPS!$B$57:$B$64,$D193&amp;"")&gt;0,1.25*MAX($I193,N(_xlfn.XLOOKUP($D193&amp;"",UPS!$B$57:$B$64,UPS!$Q$57:$Q$64,0))),$I193*IF(OR(UPPER($J193)="Y",LEFT($C193,2)="T-",LEFT($D193,2)="T-"),1.25,1)))),IF(_xlpm.k="","",MAX(_xlpm.k,N(IFERROR(_xlfn.XLOOKUP($D193&amp;"",Dashboard!$A$101:$A$350,Dashboard!$O$101:$O$350,0),0)))))</f>
        <v/>
      </c>
      <c r="L193" s="825" t="str">
        <f>IF($CJ193="","",_xlfn.LET(_xlpm.v,UPPER(TRIM(_xlfn.XLOOKUP($CJ193,Equip_List,Equip_FdrMat,"")&amp;"")),IF(_xlpm.v="",UPPER(TRIM(Cfg_FeederMat&amp;"")),_xlpm.v)))</f>
        <v/>
      </c>
      <c r="M193" s="825" t="str">
        <f>IF($CJ193="","",_xlfn.LET(_xlpm.v,TRIM(_xlfn.XLOOKUP($CJ193,Equip_List,Equip_FdrRace,"")&amp;""),IF(_xlpm.v="",Cfg_Conduit&amp;"",_xlpm.v)))</f>
        <v/>
      </c>
      <c r="N193" s="825" t="str">
        <f>IF($CJ193="","",IF(UPPER(TRIM(_xlfn.XLOOKUP($CJ193,Equip_List,Equip_FdrExist,"")&amp;""))="Y","Y",""))</f>
        <v/>
      </c>
      <c r="O193" s="823" t="str">
        <f t="shared" si="48"/>
        <v/>
      </c>
      <c r="P193" s="821" t="str">
        <f t="shared" si="49"/>
        <v/>
      </c>
      <c r="Q193" s="821" t="str">
        <f t="shared" si="50"/>
        <v/>
      </c>
      <c r="R193" s="822" t="str" cm="1">
        <f t="array" ref="R193">IF(K193="","",INDEX(OCPD_List,MATCH(TRUE,OCPD_List&gt;=K193,0)))</f>
        <v/>
      </c>
      <c r="S193" s="821" t="str">
        <f t="shared" si="51"/>
        <v/>
      </c>
      <c r="T193" s="826" t="str">
        <f t="shared" si="41"/>
        <v/>
      </c>
      <c r="U193" s="826" t="str">
        <f t="shared" si="42"/>
        <v/>
      </c>
      <c r="V193" s="827" t="str">
        <f t="shared" si="43"/>
        <v/>
      </c>
      <c r="W193" s="828"/>
      <c r="X193" s="819"/>
      <c r="Y193" s="820"/>
      <c r="Z193" s="820"/>
      <c r="AA193" s="820"/>
      <c r="BN193" s="832" t="str">
        <f>IF($B193="","",IFERROR(_xlfn.XLOOKUP($D193,Dashboard!$A$101:$A$350,Dashboard!$C$101:$C$350),""))</f>
        <v/>
      </c>
      <c r="BO193" s="832" t="str">
        <f t="shared" si="44"/>
        <v/>
      </c>
      <c r="BP193" s="832" t="str" cm="1">
        <f t="array" ref="BP193">IF(OR($B193="",$R193="",NOT(ISNUMBER($R193))),"",IF(AND($BV193="AL",$G193=1),"",_xlfn.LET(_xlpm.codes,IF($BV193="AL",Std_Al3_Code,IF($G193=1,Std_Cu1_Code,Std_Cu3_Code)),_xlpm.amps,IFERROR(--SUBSTITUTE(_xlpm.codes&amp;"","N",""),""),_xlpm.a,MIN(IF(ISNUMBER(_xlpm.amps),IF(_xlpm.amps&gt;=$R193,_xlpm.amps,""),"")),_xlpm.k,IF(_xlpm.a=0,$R193,_xlpm.a),IF($BO193="Y",TEXT(_xlpm.k,"0")&amp;"N",_xlpm.k))))</f>
        <v/>
      </c>
      <c r="BQ193" s="832" t="str" cm="1">
        <f t="array" ref="BQ193">IF($BP193="","",IFERROR(IF($BV193="AL",_xlfn.XLOOKUP($BP193,Std_Al3_Code,INDEX(Std_Al3_Table,0,3)),IF($G193=1,_xlfn.XLOOKUP($BP193,Std_Cu1_Code,INDEX(Std_Cu1_Table,0,3)),_xlfn.XLOOKUP($BP193,Std_Cu3_Code,INDEX(Std_Cu3_Table,0,3)))),""))</f>
        <v/>
      </c>
      <c r="BR193" s="832" t="str" cm="1">
        <f t="array" ref="BR193">IF($BP193="","",IFERROR(IF($BV193="AL",_xlfn.XLOOKUP($BP193,Std_Al3_Code,INDEX(Std_Al3_Table,0,4)),IF($G193=1,_xlfn.XLOOKUP($BP193,Std_Cu1_Code,INDEX(Std_Cu1_Table,0,4)),_xlfn.XLOOKUP($BP193,Std_Cu3_Code,INDEX(Std_Cu3_Table,0,4)))),""))</f>
        <v/>
      </c>
      <c r="BS193" s="832" t="str" cm="1">
        <f t="array" ref="BS193">IF($BP193="","",IFERROR(IF($BV193="AL",_xlfn.XLOOKUP($BP193,Std_Al3_Code,INDEX(Std_Al3_Table,0,5)),IF($G193=1,_xlfn.XLOOKUP($BP193,Std_Cu1_Code,INDEX(Std_Cu1_Table,0,5)),_xlfn.XLOOKUP($BP193,Std_Cu3_Code,INDEX(Std_Cu3_Table,0,5)))),""))</f>
        <v/>
      </c>
      <c r="BT193" s="832" t="str">
        <f t="shared" si="45"/>
        <v/>
      </c>
      <c r="BU193" s="832" t="str" cm="1">
        <f t="array" ref="BU193">IF($BP193="","",IFERROR(IF($BV193="AL",_xlfn.XLOOKUP($BP193,Std_Al3_Code,INDEX(Std_Al3_Table,0,2)),IF($G193=1,_xlfn.XLOOKUP($BP193,Std_Cu1_Code,INDEX(Std_Cu1_Table,0,2)),_xlfn.XLOOKUP($BP193,Std_Cu3_Code,INDEX(Std_Cu3_Table,0,2)))),""))</f>
        <v/>
      </c>
      <c r="BV193" s="829" t="str">
        <f t="shared" si="46"/>
        <v/>
      </c>
      <c r="BW193" s="829" t="str">
        <f t="shared" si="52"/>
        <v/>
      </c>
      <c r="BX193" s="829" t="str" cm="1">
        <f t="array" ref="BX193">IF(OR($BP193="",$H193="",$I193="",$F193="",$BW193=""),"",IFERROR(_xlfn.LET(_xlpm.codes,IF($BV193="AL",Std_Al3_Code,IF($G193=1,Std_Cu1_Code,Std_Cu3_Code)),_xlpm.tbl,IF($BV193="AL",Std_Al3_Table,IF($G193=1,Std_Cu1_Table,Std_Cu3_Table)),_xlpm.i,MATCH($BP193,_xlpm.codes,0),_xlpm.idx,_xlfn.SEQUENCE(ROWS(_xlpm.codes)),_xlpm.cnd,INDEX(_xlpm.tbl,0,4),_xlpm.sts,INDEX(_xlpm.tbl,0,2),_xlpm.sz,IFERROR(_xlfn.TEXTBEFORE(_xlfn.TEXTAFTER(_xlpm.cnd,"#"),","),IFERROR(_xlfn.TEXTAFTER(_xlpm.cnd,"#"),"")),_xlpm.cm,IFERROR(_xlfn.XLOOKUP(TRIM(_xlpm.sz),Ampacity_Size,Ampacity_CM),0),_xlpm.mult,IF($G193=3,SQRT3,2),_xlpm.kk,IF($BV193="AL",K_Al,K_Cu),_xlpm.vd,IF(_xlpm.cm*IF(ISNUMBER(_xlpm.sts),_xlpm.sts,0)=0,9,_xlpm.mult*_xlpm.kk*$I193*$H193/(_xlpm.cm*_xlpm.sts)/$F193),_xlpm.hasN,--(RIGHT(_xlpm.codes&amp;"",1)="N"),_xlpm.wantN,--(RIGHT($BP193&amp;"",1)="N"),_xlpm.ok,(_xlpm.idx&gt;=_xlpm.i)*(_xlpm.vd&lt;=Cfg_VDFeeder)*(_xlpm.cm&gt;0)*ISNUMBER(_xlpm.sts)*(_xlpm.hasN=_xlpm.wantN),_xlpm.m,MIN(IF(_xlpm.ok=1,_xlpm.idx)),INDEX(_xlpm.codes,IF(_xlpm.m=0,_xlpm.i,_xlpm.m))),""))</f>
        <v/>
      </c>
      <c r="BY193" s="829" t="str" cm="1">
        <f t="array" ref="BY193">IF($BP193="","",IF($BX193="",$BU193,IFERROR(IF($BV193="AL",_xlfn.XLOOKUP($BX193,Std_Al3_Code,INDEX(Std_Al3_Table,0,2)),IF($G193=1,_xlfn.XLOOKUP($BX193,Std_Cu1_Code,INDEX(Std_Cu1_Table,0,2)),_xlfn.XLOOKUP($BX193,Std_Cu3_Code,INDEX(Std_Cu3_Table,0,2)))),"")))</f>
        <v/>
      </c>
      <c r="BZ193" s="829" t="str" cm="1">
        <f t="array" ref="BZ193">IF($BP193="","",IF($BX193="",$BR193,IFERROR(IF($BV193="AL",_xlfn.XLOOKUP($BX193,Std_Al3_Code,INDEX(Std_Al3_Table,0,4)),IF($G193=1,_xlfn.XLOOKUP($BX193,Std_Cu1_Code,INDEX(Std_Cu1_Table,0,4)),_xlfn.XLOOKUP($BX193,Std_Cu3_Code,INDEX(Std_Cu3_Table,0,4)))),"")))</f>
        <v/>
      </c>
      <c r="CA193" s="829" t="str" cm="1">
        <f t="array" ref="CA193">IF($BP193="","",IF($BX193="",$BQ193,IFERROR(IF($BV193="AL",_xlfn.XLOOKUP($BX193,Std_Al3_Code,INDEX(Std_Al3_Table,0,3)),IF($G193=1,_xlfn.XLOOKUP($BX193,Std_Cu1_Code,INDEX(Std_Cu1_Table,0,3)),_xlfn.XLOOKUP($BX193,Std_Cu3_Code,INDEX(Std_Cu3_Table,0,3)))),"")))</f>
        <v/>
      </c>
      <c r="CB193" s="829" t="str" cm="1">
        <f t="array" ref="CB193">IF($BP193="","",IF($BX193="",$BS193,IFERROR(IF($BV193="AL",_xlfn.XLOOKUP($BX193,Std_Al3_Code,INDEX(Std_Al3_Table,0,5)),IF($G193=1,_xlfn.XLOOKUP($BX193,Std_Cu1_Code,INDEX(Std_Cu1_Table,0,5)),_xlfn.XLOOKUP($BX193,Std_Cu3_Code,INDEX(Std_Cu3_Table,0,5)))),"")))</f>
        <v/>
      </c>
      <c r="CC193" s="829" t="str">
        <f t="shared" si="53"/>
        <v/>
      </c>
      <c r="CD193" s="829" t="str">
        <f t="shared" si="54"/>
        <v/>
      </c>
      <c r="CE193" s="829" t="str">
        <f t="shared" si="55"/>
        <v/>
      </c>
      <c r="CF193" s="829" t="str">
        <f t="shared" si="56"/>
        <v/>
      </c>
      <c r="CG193" s="829" t="str">
        <f t="shared" si="57"/>
        <v/>
      </c>
      <c r="CH193" s="829" t="str">
        <f t="shared" si="58"/>
        <v/>
      </c>
      <c r="CI193" s="829" t="str">
        <f t="shared" si="59"/>
        <v/>
      </c>
      <c r="CJ193" s="829" t="str" cm="1">
        <f t="array" ref="CJ193">IF($B193="","",_xlfn.LET(_xlpm.to,$D193&amp;"",_xlpm.em,IFERROR(INDEX(_xlfn.ANCHORARRAY($BE$4),ROW()-4,6),"")="EMERG",_xlpm.pri,AND(NOT(_xlpm.em),LEFT(_xlpm.to,2)="T-",ISNUMBER(MATCH(MID(_xlpm.to,3,99),Equip_List,0)),ISNA(MATCH(_xlpm.to,Equip_List,0))),IF(_xlpm.pri,MID(_xlpm.to,3,99),_xlpm.to)))</f>
        <v/>
      </c>
      <c r="CK193" s="829" t="str" cm="1">
        <f t="array" ref="CK193">IF($CJ193="","",IF(IFERROR(INDEX(_xlfn.ANCHORARRAY($BE$4),ROW()-4,6),"")="EMERG","E",IF($CJ193&lt;&gt;$D193&amp;"","P","N")))</f>
        <v/>
      </c>
    </row>
    <row r="194" spans="1:89" ht="15" customHeight="1" x14ac:dyDescent="0.35">
      <c r="A194" s="821" t="str">
        <f t="shared" si="47"/>
        <v/>
      </c>
      <c r="B194" s="821" t="str" cm="1">
        <f t="array" ref="B194">IFERROR(IF(INDEX(_xlfn.ANCHORARRAY($BE$4),ROW()-4,2)="","","F-"&amp;INDEX(_xlfn.ANCHORARRAY($BE$4),ROW()-4,2)&amp;IF(IFERROR(INDEX(_xlfn.ANCHORARRAY($BE$4),ROW()-4,6),"")="EMERG","-E","")),"")</f>
        <v/>
      </c>
      <c r="C194" s="821" t="str" cm="1">
        <f t="array" ref="C194">IFERROR(IF($B194="","",INDEX(_xlfn.ANCHORARRAY($BE$4),ROW()-4,1)),"")</f>
        <v/>
      </c>
      <c r="D194" s="821" t="str" cm="1">
        <f t="array" ref="D194">IFERROR(IF($B194="","",INDEX(_xlfn.ANCHORARRAY($BE$4),ROW()-4,2)),"")</f>
        <v/>
      </c>
      <c r="E194" s="806" t="str" cm="1">
        <f t="array" ref="E194">IFERROR(IF($B194="","",INDEX(_xlfn.ANCHORARRAY($BE$4),ROW()-4,3)),"")</f>
        <v/>
      </c>
      <c r="F194" s="822" t="str" cm="1">
        <f t="array" ref="F194">IFERROR(IF($B194="","",INDEX(_xlfn.ANCHORARRAY($BE$4),ROW()-4,4)),"")</f>
        <v/>
      </c>
      <c r="G194" s="823" t="str" cm="1">
        <f t="array" ref="G194">IFERROR(IF($B194="","",INDEX(_xlfn.ANCHORARRAY($BE$4),ROW()-4,5)),"")</f>
        <v/>
      </c>
      <c r="H194" s="824" t="str" cm="1">
        <f t="array" ref="H194">IF($CJ194="","",_xlfn.LET(_xlpm.v,_xlfn.XLOOKUP($CJ194,Equip_List,IF($CK194="E",Equip_EmLen,IF($CK194="P",Equip_XfPriLen,Equip_FdrLen)),""),IF(_xlpm.v="","",_xlpm.v)))</f>
        <v/>
      </c>
      <c r="I194" s="806" t="str">
        <f t="shared" si="40"/>
        <v/>
      </c>
      <c r="J194" s="820"/>
      <c r="K194" s="806" t="str">
        <f>_xlfn.LET(_xlpm.k,IF($I194="","",IF(COUNTIF(UPS!$B$57:$B$64,$C194&amp;"")&gt;0,1.25*MAX($I194,N(_xlfn.XLOOKUP($C194&amp;"",UPS!$B$57:$B$64,UPS!$M$57:$M$64,0))),IF(COUNTIF(UPS!$B$57:$B$64,$D194&amp;"")&gt;0,1.25*MAX($I194,N(_xlfn.XLOOKUP($D194&amp;"",UPS!$B$57:$B$64,UPS!$Q$57:$Q$64,0))),$I194*IF(OR(UPPER($J194)="Y",LEFT($C194,2)="T-",LEFT($D194,2)="T-"),1.25,1)))),IF(_xlpm.k="","",MAX(_xlpm.k,N(IFERROR(_xlfn.XLOOKUP($D194&amp;"",Dashboard!$A$101:$A$350,Dashboard!$O$101:$O$350,0),0)))))</f>
        <v/>
      </c>
      <c r="L194" s="825" t="str">
        <f>IF($CJ194="","",_xlfn.LET(_xlpm.v,UPPER(TRIM(_xlfn.XLOOKUP($CJ194,Equip_List,Equip_FdrMat,"")&amp;"")),IF(_xlpm.v="",UPPER(TRIM(Cfg_FeederMat&amp;"")),_xlpm.v)))</f>
        <v/>
      </c>
      <c r="M194" s="825" t="str">
        <f>IF($CJ194="","",_xlfn.LET(_xlpm.v,TRIM(_xlfn.XLOOKUP($CJ194,Equip_List,Equip_FdrRace,"")&amp;""),IF(_xlpm.v="",Cfg_Conduit&amp;"",_xlpm.v)))</f>
        <v/>
      </c>
      <c r="N194" s="825" t="str">
        <f>IF($CJ194="","",IF(UPPER(TRIM(_xlfn.XLOOKUP($CJ194,Equip_List,Equip_FdrExist,"")&amp;""))="Y","Y",""))</f>
        <v/>
      </c>
      <c r="O194" s="823" t="str">
        <f t="shared" si="48"/>
        <v/>
      </c>
      <c r="P194" s="821" t="str">
        <f t="shared" si="49"/>
        <v/>
      </c>
      <c r="Q194" s="821" t="str">
        <f t="shared" si="50"/>
        <v/>
      </c>
      <c r="R194" s="822" t="str" cm="1">
        <f t="array" ref="R194">IF(K194="","",INDEX(OCPD_List,MATCH(TRUE,OCPD_List&gt;=K194,0)))</f>
        <v/>
      </c>
      <c r="S194" s="821" t="str">
        <f t="shared" si="51"/>
        <v/>
      </c>
      <c r="T194" s="826" t="str">
        <f t="shared" si="41"/>
        <v/>
      </c>
      <c r="U194" s="826" t="str">
        <f t="shared" si="42"/>
        <v/>
      </c>
      <c r="V194" s="827" t="str">
        <f t="shared" si="43"/>
        <v/>
      </c>
      <c r="W194" s="828"/>
      <c r="X194" s="819"/>
      <c r="Y194" s="820"/>
      <c r="Z194" s="820"/>
      <c r="AA194" s="820"/>
      <c r="BN194" s="832" t="str">
        <f>IF($B194="","",IFERROR(_xlfn.XLOOKUP($D194,Dashboard!$A$101:$A$350,Dashboard!$C$101:$C$350),""))</f>
        <v/>
      </c>
      <c r="BO194" s="832" t="str">
        <f t="shared" si="44"/>
        <v/>
      </c>
      <c r="BP194" s="832" t="str" cm="1">
        <f t="array" ref="BP194">IF(OR($B194="",$R194="",NOT(ISNUMBER($R194))),"",IF(AND($BV194="AL",$G194=1),"",_xlfn.LET(_xlpm.codes,IF($BV194="AL",Std_Al3_Code,IF($G194=1,Std_Cu1_Code,Std_Cu3_Code)),_xlpm.amps,IFERROR(--SUBSTITUTE(_xlpm.codes&amp;"","N",""),""),_xlpm.a,MIN(IF(ISNUMBER(_xlpm.amps),IF(_xlpm.amps&gt;=$R194,_xlpm.amps,""),"")),_xlpm.k,IF(_xlpm.a=0,$R194,_xlpm.a),IF($BO194="Y",TEXT(_xlpm.k,"0")&amp;"N",_xlpm.k))))</f>
        <v/>
      </c>
      <c r="BQ194" s="832" t="str" cm="1">
        <f t="array" ref="BQ194">IF($BP194="","",IFERROR(IF($BV194="AL",_xlfn.XLOOKUP($BP194,Std_Al3_Code,INDEX(Std_Al3_Table,0,3)),IF($G194=1,_xlfn.XLOOKUP($BP194,Std_Cu1_Code,INDEX(Std_Cu1_Table,0,3)),_xlfn.XLOOKUP($BP194,Std_Cu3_Code,INDEX(Std_Cu3_Table,0,3)))),""))</f>
        <v/>
      </c>
      <c r="BR194" s="832" t="str" cm="1">
        <f t="array" ref="BR194">IF($BP194="","",IFERROR(IF($BV194="AL",_xlfn.XLOOKUP($BP194,Std_Al3_Code,INDEX(Std_Al3_Table,0,4)),IF($G194=1,_xlfn.XLOOKUP($BP194,Std_Cu1_Code,INDEX(Std_Cu1_Table,0,4)),_xlfn.XLOOKUP($BP194,Std_Cu3_Code,INDEX(Std_Cu3_Table,0,4)))),""))</f>
        <v/>
      </c>
      <c r="BS194" s="832" t="str" cm="1">
        <f t="array" ref="BS194">IF($BP194="","",IFERROR(IF($BV194="AL",_xlfn.XLOOKUP($BP194,Std_Al3_Code,INDEX(Std_Al3_Table,0,5)),IF($G194=1,_xlfn.XLOOKUP($BP194,Std_Cu1_Code,INDEX(Std_Cu1_Table,0,5)),_xlfn.XLOOKUP($BP194,Std_Cu3_Code,INDEX(Std_Cu3_Table,0,5)))),""))</f>
        <v/>
      </c>
      <c r="BT194" s="832" t="str">
        <f t="shared" si="45"/>
        <v/>
      </c>
      <c r="BU194" s="832" t="str" cm="1">
        <f t="array" ref="BU194">IF($BP194="","",IFERROR(IF($BV194="AL",_xlfn.XLOOKUP($BP194,Std_Al3_Code,INDEX(Std_Al3_Table,0,2)),IF($G194=1,_xlfn.XLOOKUP($BP194,Std_Cu1_Code,INDEX(Std_Cu1_Table,0,2)),_xlfn.XLOOKUP($BP194,Std_Cu3_Code,INDEX(Std_Cu3_Table,0,2)))),""))</f>
        <v/>
      </c>
      <c r="BV194" s="829" t="str">
        <f t="shared" si="46"/>
        <v/>
      </c>
      <c r="BW194" s="829" t="str">
        <f t="shared" si="52"/>
        <v/>
      </c>
      <c r="BX194" s="829" t="str" cm="1">
        <f t="array" ref="BX194">IF(OR($BP194="",$H194="",$I194="",$F194="",$BW194=""),"",IFERROR(_xlfn.LET(_xlpm.codes,IF($BV194="AL",Std_Al3_Code,IF($G194=1,Std_Cu1_Code,Std_Cu3_Code)),_xlpm.tbl,IF($BV194="AL",Std_Al3_Table,IF($G194=1,Std_Cu1_Table,Std_Cu3_Table)),_xlpm.i,MATCH($BP194,_xlpm.codes,0),_xlpm.idx,_xlfn.SEQUENCE(ROWS(_xlpm.codes)),_xlpm.cnd,INDEX(_xlpm.tbl,0,4),_xlpm.sts,INDEX(_xlpm.tbl,0,2),_xlpm.sz,IFERROR(_xlfn.TEXTBEFORE(_xlfn.TEXTAFTER(_xlpm.cnd,"#"),","),IFERROR(_xlfn.TEXTAFTER(_xlpm.cnd,"#"),"")),_xlpm.cm,IFERROR(_xlfn.XLOOKUP(TRIM(_xlpm.sz),Ampacity_Size,Ampacity_CM),0),_xlpm.mult,IF($G194=3,SQRT3,2),_xlpm.kk,IF($BV194="AL",K_Al,K_Cu),_xlpm.vd,IF(_xlpm.cm*IF(ISNUMBER(_xlpm.sts),_xlpm.sts,0)=0,9,_xlpm.mult*_xlpm.kk*$I194*$H194/(_xlpm.cm*_xlpm.sts)/$F194),_xlpm.hasN,--(RIGHT(_xlpm.codes&amp;"",1)="N"),_xlpm.wantN,--(RIGHT($BP194&amp;"",1)="N"),_xlpm.ok,(_xlpm.idx&gt;=_xlpm.i)*(_xlpm.vd&lt;=Cfg_VDFeeder)*(_xlpm.cm&gt;0)*ISNUMBER(_xlpm.sts)*(_xlpm.hasN=_xlpm.wantN),_xlpm.m,MIN(IF(_xlpm.ok=1,_xlpm.idx)),INDEX(_xlpm.codes,IF(_xlpm.m=0,_xlpm.i,_xlpm.m))),""))</f>
        <v/>
      </c>
      <c r="BY194" s="829" t="str" cm="1">
        <f t="array" ref="BY194">IF($BP194="","",IF($BX194="",$BU194,IFERROR(IF($BV194="AL",_xlfn.XLOOKUP($BX194,Std_Al3_Code,INDEX(Std_Al3_Table,0,2)),IF($G194=1,_xlfn.XLOOKUP($BX194,Std_Cu1_Code,INDEX(Std_Cu1_Table,0,2)),_xlfn.XLOOKUP($BX194,Std_Cu3_Code,INDEX(Std_Cu3_Table,0,2)))),"")))</f>
        <v/>
      </c>
      <c r="BZ194" s="829" t="str" cm="1">
        <f t="array" ref="BZ194">IF($BP194="","",IF($BX194="",$BR194,IFERROR(IF($BV194="AL",_xlfn.XLOOKUP($BX194,Std_Al3_Code,INDEX(Std_Al3_Table,0,4)),IF($G194=1,_xlfn.XLOOKUP($BX194,Std_Cu1_Code,INDEX(Std_Cu1_Table,0,4)),_xlfn.XLOOKUP($BX194,Std_Cu3_Code,INDEX(Std_Cu3_Table,0,4)))),"")))</f>
        <v/>
      </c>
      <c r="CA194" s="829" t="str" cm="1">
        <f t="array" ref="CA194">IF($BP194="","",IF($BX194="",$BQ194,IFERROR(IF($BV194="AL",_xlfn.XLOOKUP($BX194,Std_Al3_Code,INDEX(Std_Al3_Table,0,3)),IF($G194=1,_xlfn.XLOOKUP($BX194,Std_Cu1_Code,INDEX(Std_Cu1_Table,0,3)),_xlfn.XLOOKUP($BX194,Std_Cu3_Code,INDEX(Std_Cu3_Table,0,3)))),"")))</f>
        <v/>
      </c>
      <c r="CB194" s="829" t="str" cm="1">
        <f t="array" ref="CB194">IF($BP194="","",IF($BX194="",$BS194,IFERROR(IF($BV194="AL",_xlfn.XLOOKUP($BX194,Std_Al3_Code,INDEX(Std_Al3_Table,0,5)),IF($G194=1,_xlfn.XLOOKUP($BX194,Std_Cu1_Code,INDEX(Std_Cu1_Table,0,5)),_xlfn.XLOOKUP($BX194,Std_Cu3_Code,INDEX(Std_Cu3_Table,0,5)))),"")))</f>
        <v/>
      </c>
      <c r="CC194" s="829" t="str">
        <f t="shared" si="53"/>
        <v/>
      </c>
      <c r="CD194" s="829" t="str">
        <f t="shared" si="54"/>
        <v/>
      </c>
      <c r="CE194" s="829" t="str">
        <f t="shared" si="55"/>
        <v/>
      </c>
      <c r="CF194" s="829" t="str">
        <f t="shared" si="56"/>
        <v/>
      </c>
      <c r="CG194" s="829" t="str">
        <f t="shared" si="57"/>
        <v/>
      </c>
      <c r="CH194" s="829" t="str">
        <f t="shared" si="58"/>
        <v/>
      </c>
      <c r="CI194" s="829" t="str">
        <f t="shared" si="59"/>
        <v/>
      </c>
      <c r="CJ194" s="829" t="str" cm="1">
        <f t="array" ref="CJ194">IF($B194="","",_xlfn.LET(_xlpm.to,$D194&amp;"",_xlpm.em,IFERROR(INDEX(_xlfn.ANCHORARRAY($BE$4),ROW()-4,6),"")="EMERG",_xlpm.pri,AND(NOT(_xlpm.em),LEFT(_xlpm.to,2)="T-",ISNUMBER(MATCH(MID(_xlpm.to,3,99),Equip_List,0)),ISNA(MATCH(_xlpm.to,Equip_List,0))),IF(_xlpm.pri,MID(_xlpm.to,3,99),_xlpm.to)))</f>
        <v/>
      </c>
      <c r="CK194" s="829" t="str" cm="1">
        <f t="array" ref="CK194">IF($CJ194="","",IF(IFERROR(INDEX(_xlfn.ANCHORARRAY($BE$4),ROW()-4,6),"")="EMERG","E",IF($CJ194&lt;&gt;$D194&amp;"","P","N")))</f>
        <v/>
      </c>
    </row>
    <row r="195" spans="1:89" ht="15" customHeight="1" x14ac:dyDescent="0.35">
      <c r="A195" s="821" t="str">
        <f t="shared" si="47"/>
        <v/>
      </c>
      <c r="B195" s="821" t="str" cm="1">
        <f t="array" ref="B195">IFERROR(IF(INDEX(_xlfn.ANCHORARRAY($BE$4),ROW()-4,2)="","","F-"&amp;INDEX(_xlfn.ANCHORARRAY($BE$4),ROW()-4,2)&amp;IF(IFERROR(INDEX(_xlfn.ANCHORARRAY($BE$4),ROW()-4,6),"")="EMERG","-E","")),"")</f>
        <v/>
      </c>
      <c r="C195" s="821" t="str" cm="1">
        <f t="array" ref="C195">IFERROR(IF($B195="","",INDEX(_xlfn.ANCHORARRAY($BE$4),ROW()-4,1)),"")</f>
        <v/>
      </c>
      <c r="D195" s="821" t="str" cm="1">
        <f t="array" ref="D195">IFERROR(IF($B195="","",INDEX(_xlfn.ANCHORARRAY($BE$4),ROW()-4,2)),"")</f>
        <v/>
      </c>
      <c r="E195" s="806" t="str" cm="1">
        <f t="array" ref="E195">IFERROR(IF($B195="","",INDEX(_xlfn.ANCHORARRAY($BE$4),ROW()-4,3)),"")</f>
        <v/>
      </c>
      <c r="F195" s="822" t="str" cm="1">
        <f t="array" ref="F195">IFERROR(IF($B195="","",INDEX(_xlfn.ANCHORARRAY($BE$4),ROW()-4,4)),"")</f>
        <v/>
      </c>
      <c r="G195" s="823" t="str" cm="1">
        <f t="array" ref="G195">IFERROR(IF($B195="","",INDEX(_xlfn.ANCHORARRAY($BE$4),ROW()-4,5)),"")</f>
        <v/>
      </c>
      <c r="H195" s="824" t="str" cm="1">
        <f t="array" ref="H195">IF($CJ195="","",_xlfn.LET(_xlpm.v,_xlfn.XLOOKUP($CJ195,Equip_List,IF($CK195="E",Equip_EmLen,IF($CK195="P",Equip_XfPriLen,Equip_FdrLen)),""),IF(_xlpm.v="","",_xlpm.v)))</f>
        <v/>
      </c>
      <c r="I195" s="806" t="str">
        <f t="shared" si="40"/>
        <v/>
      </c>
      <c r="J195" s="820"/>
      <c r="K195" s="806" t="str">
        <f>_xlfn.LET(_xlpm.k,IF($I195="","",IF(COUNTIF(UPS!$B$57:$B$64,$C195&amp;"")&gt;0,1.25*MAX($I195,N(_xlfn.XLOOKUP($C195&amp;"",UPS!$B$57:$B$64,UPS!$M$57:$M$64,0))),IF(COUNTIF(UPS!$B$57:$B$64,$D195&amp;"")&gt;0,1.25*MAX($I195,N(_xlfn.XLOOKUP($D195&amp;"",UPS!$B$57:$B$64,UPS!$Q$57:$Q$64,0))),$I195*IF(OR(UPPER($J195)="Y",LEFT($C195,2)="T-",LEFT($D195,2)="T-"),1.25,1)))),IF(_xlpm.k="","",MAX(_xlpm.k,N(IFERROR(_xlfn.XLOOKUP($D195&amp;"",Dashboard!$A$101:$A$350,Dashboard!$O$101:$O$350,0),0)))))</f>
        <v/>
      </c>
      <c r="L195" s="825" t="str">
        <f>IF($CJ195="","",_xlfn.LET(_xlpm.v,UPPER(TRIM(_xlfn.XLOOKUP($CJ195,Equip_List,Equip_FdrMat,"")&amp;"")),IF(_xlpm.v="",UPPER(TRIM(Cfg_FeederMat&amp;"")),_xlpm.v)))</f>
        <v/>
      </c>
      <c r="M195" s="825" t="str">
        <f>IF($CJ195="","",_xlfn.LET(_xlpm.v,TRIM(_xlfn.XLOOKUP($CJ195,Equip_List,Equip_FdrRace,"")&amp;""),IF(_xlpm.v="",Cfg_Conduit&amp;"",_xlpm.v)))</f>
        <v/>
      </c>
      <c r="N195" s="825" t="str">
        <f>IF($CJ195="","",IF(UPPER(TRIM(_xlfn.XLOOKUP($CJ195,Equip_List,Equip_FdrExist,"")&amp;""))="Y","Y",""))</f>
        <v/>
      </c>
      <c r="O195" s="823" t="str">
        <f t="shared" si="48"/>
        <v/>
      </c>
      <c r="P195" s="821" t="str">
        <f t="shared" si="49"/>
        <v/>
      </c>
      <c r="Q195" s="821" t="str">
        <f t="shared" si="50"/>
        <v/>
      </c>
      <c r="R195" s="822" t="str" cm="1">
        <f t="array" ref="R195">IF(K195="","",INDEX(OCPD_List,MATCH(TRUE,OCPD_List&gt;=K195,0)))</f>
        <v/>
      </c>
      <c r="S195" s="821" t="str">
        <f t="shared" si="51"/>
        <v/>
      </c>
      <c r="T195" s="826" t="str">
        <f t="shared" si="41"/>
        <v/>
      </c>
      <c r="U195" s="826" t="str">
        <f t="shared" si="42"/>
        <v/>
      </c>
      <c r="V195" s="827" t="str">
        <f t="shared" si="43"/>
        <v/>
      </c>
      <c r="W195" s="828"/>
      <c r="X195" s="819"/>
      <c r="Y195" s="820"/>
      <c r="Z195" s="820"/>
      <c r="AA195" s="820"/>
      <c r="BN195" s="832" t="str">
        <f>IF($B195="","",IFERROR(_xlfn.XLOOKUP($D195,Dashboard!$A$101:$A$350,Dashboard!$C$101:$C$350),""))</f>
        <v/>
      </c>
      <c r="BO195" s="832" t="str">
        <f t="shared" si="44"/>
        <v/>
      </c>
      <c r="BP195" s="832" t="str" cm="1">
        <f t="array" ref="BP195">IF(OR($B195="",$R195="",NOT(ISNUMBER($R195))),"",IF(AND($BV195="AL",$G195=1),"",_xlfn.LET(_xlpm.codes,IF($BV195="AL",Std_Al3_Code,IF($G195=1,Std_Cu1_Code,Std_Cu3_Code)),_xlpm.amps,IFERROR(--SUBSTITUTE(_xlpm.codes&amp;"","N",""),""),_xlpm.a,MIN(IF(ISNUMBER(_xlpm.amps),IF(_xlpm.amps&gt;=$R195,_xlpm.amps,""),"")),_xlpm.k,IF(_xlpm.a=0,$R195,_xlpm.a),IF($BO195="Y",TEXT(_xlpm.k,"0")&amp;"N",_xlpm.k))))</f>
        <v/>
      </c>
      <c r="BQ195" s="832" t="str" cm="1">
        <f t="array" ref="BQ195">IF($BP195="","",IFERROR(IF($BV195="AL",_xlfn.XLOOKUP($BP195,Std_Al3_Code,INDEX(Std_Al3_Table,0,3)),IF($G195=1,_xlfn.XLOOKUP($BP195,Std_Cu1_Code,INDEX(Std_Cu1_Table,0,3)),_xlfn.XLOOKUP($BP195,Std_Cu3_Code,INDEX(Std_Cu3_Table,0,3)))),""))</f>
        <v/>
      </c>
      <c r="BR195" s="832" t="str" cm="1">
        <f t="array" ref="BR195">IF($BP195="","",IFERROR(IF($BV195="AL",_xlfn.XLOOKUP($BP195,Std_Al3_Code,INDEX(Std_Al3_Table,0,4)),IF($G195=1,_xlfn.XLOOKUP($BP195,Std_Cu1_Code,INDEX(Std_Cu1_Table,0,4)),_xlfn.XLOOKUP($BP195,Std_Cu3_Code,INDEX(Std_Cu3_Table,0,4)))),""))</f>
        <v/>
      </c>
      <c r="BS195" s="832" t="str" cm="1">
        <f t="array" ref="BS195">IF($BP195="","",IFERROR(IF($BV195="AL",_xlfn.XLOOKUP($BP195,Std_Al3_Code,INDEX(Std_Al3_Table,0,5)),IF($G195=1,_xlfn.XLOOKUP($BP195,Std_Cu1_Code,INDEX(Std_Cu1_Table,0,5)),_xlfn.XLOOKUP($BP195,Std_Cu3_Code,INDEX(Std_Cu3_Table,0,5)))),""))</f>
        <v/>
      </c>
      <c r="BT195" s="832" t="str">
        <f t="shared" si="45"/>
        <v/>
      </c>
      <c r="BU195" s="832" t="str" cm="1">
        <f t="array" ref="BU195">IF($BP195="","",IFERROR(IF($BV195="AL",_xlfn.XLOOKUP($BP195,Std_Al3_Code,INDEX(Std_Al3_Table,0,2)),IF($G195=1,_xlfn.XLOOKUP($BP195,Std_Cu1_Code,INDEX(Std_Cu1_Table,0,2)),_xlfn.XLOOKUP($BP195,Std_Cu3_Code,INDEX(Std_Cu3_Table,0,2)))),""))</f>
        <v/>
      </c>
      <c r="BV195" s="829" t="str">
        <f t="shared" si="46"/>
        <v/>
      </c>
      <c r="BW195" s="829" t="str">
        <f t="shared" si="52"/>
        <v/>
      </c>
      <c r="BX195" s="829" t="str" cm="1">
        <f t="array" ref="BX195">IF(OR($BP195="",$H195="",$I195="",$F195="",$BW195=""),"",IFERROR(_xlfn.LET(_xlpm.codes,IF($BV195="AL",Std_Al3_Code,IF($G195=1,Std_Cu1_Code,Std_Cu3_Code)),_xlpm.tbl,IF($BV195="AL",Std_Al3_Table,IF($G195=1,Std_Cu1_Table,Std_Cu3_Table)),_xlpm.i,MATCH($BP195,_xlpm.codes,0),_xlpm.idx,_xlfn.SEQUENCE(ROWS(_xlpm.codes)),_xlpm.cnd,INDEX(_xlpm.tbl,0,4),_xlpm.sts,INDEX(_xlpm.tbl,0,2),_xlpm.sz,IFERROR(_xlfn.TEXTBEFORE(_xlfn.TEXTAFTER(_xlpm.cnd,"#"),","),IFERROR(_xlfn.TEXTAFTER(_xlpm.cnd,"#"),"")),_xlpm.cm,IFERROR(_xlfn.XLOOKUP(TRIM(_xlpm.sz),Ampacity_Size,Ampacity_CM),0),_xlpm.mult,IF($G195=3,SQRT3,2),_xlpm.kk,IF($BV195="AL",K_Al,K_Cu),_xlpm.vd,IF(_xlpm.cm*IF(ISNUMBER(_xlpm.sts),_xlpm.sts,0)=0,9,_xlpm.mult*_xlpm.kk*$I195*$H195/(_xlpm.cm*_xlpm.sts)/$F195),_xlpm.hasN,--(RIGHT(_xlpm.codes&amp;"",1)="N"),_xlpm.wantN,--(RIGHT($BP195&amp;"",1)="N"),_xlpm.ok,(_xlpm.idx&gt;=_xlpm.i)*(_xlpm.vd&lt;=Cfg_VDFeeder)*(_xlpm.cm&gt;0)*ISNUMBER(_xlpm.sts)*(_xlpm.hasN=_xlpm.wantN),_xlpm.m,MIN(IF(_xlpm.ok=1,_xlpm.idx)),INDEX(_xlpm.codes,IF(_xlpm.m=0,_xlpm.i,_xlpm.m))),""))</f>
        <v/>
      </c>
      <c r="BY195" s="829" t="str" cm="1">
        <f t="array" ref="BY195">IF($BP195="","",IF($BX195="",$BU195,IFERROR(IF($BV195="AL",_xlfn.XLOOKUP($BX195,Std_Al3_Code,INDEX(Std_Al3_Table,0,2)),IF($G195=1,_xlfn.XLOOKUP($BX195,Std_Cu1_Code,INDEX(Std_Cu1_Table,0,2)),_xlfn.XLOOKUP($BX195,Std_Cu3_Code,INDEX(Std_Cu3_Table,0,2)))),"")))</f>
        <v/>
      </c>
      <c r="BZ195" s="829" t="str" cm="1">
        <f t="array" ref="BZ195">IF($BP195="","",IF($BX195="",$BR195,IFERROR(IF($BV195="AL",_xlfn.XLOOKUP($BX195,Std_Al3_Code,INDEX(Std_Al3_Table,0,4)),IF($G195=1,_xlfn.XLOOKUP($BX195,Std_Cu1_Code,INDEX(Std_Cu1_Table,0,4)),_xlfn.XLOOKUP($BX195,Std_Cu3_Code,INDEX(Std_Cu3_Table,0,4)))),"")))</f>
        <v/>
      </c>
      <c r="CA195" s="829" t="str" cm="1">
        <f t="array" ref="CA195">IF($BP195="","",IF($BX195="",$BQ195,IFERROR(IF($BV195="AL",_xlfn.XLOOKUP($BX195,Std_Al3_Code,INDEX(Std_Al3_Table,0,3)),IF($G195=1,_xlfn.XLOOKUP($BX195,Std_Cu1_Code,INDEX(Std_Cu1_Table,0,3)),_xlfn.XLOOKUP($BX195,Std_Cu3_Code,INDEX(Std_Cu3_Table,0,3)))),"")))</f>
        <v/>
      </c>
      <c r="CB195" s="829" t="str" cm="1">
        <f t="array" ref="CB195">IF($BP195="","",IF($BX195="",$BS195,IFERROR(IF($BV195="AL",_xlfn.XLOOKUP($BX195,Std_Al3_Code,INDEX(Std_Al3_Table,0,5)),IF($G195=1,_xlfn.XLOOKUP($BX195,Std_Cu1_Code,INDEX(Std_Cu1_Table,0,5)),_xlfn.XLOOKUP($BX195,Std_Cu3_Code,INDEX(Std_Cu3_Table,0,5)))),"")))</f>
        <v/>
      </c>
      <c r="CC195" s="829" t="str">
        <f t="shared" si="53"/>
        <v/>
      </c>
      <c r="CD195" s="829" t="str">
        <f t="shared" si="54"/>
        <v/>
      </c>
      <c r="CE195" s="829" t="str">
        <f t="shared" si="55"/>
        <v/>
      </c>
      <c r="CF195" s="829" t="str">
        <f t="shared" si="56"/>
        <v/>
      </c>
      <c r="CG195" s="829" t="str">
        <f t="shared" si="57"/>
        <v/>
      </c>
      <c r="CH195" s="829" t="str">
        <f t="shared" si="58"/>
        <v/>
      </c>
      <c r="CI195" s="829" t="str">
        <f t="shared" si="59"/>
        <v/>
      </c>
      <c r="CJ195" s="829" t="str" cm="1">
        <f t="array" ref="CJ195">IF($B195="","",_xlfn.LET(_xlpm.to,$D195&amp;"",_xlpm.em,IFERROR(INDEX(_xlfn.ANCHORARRAY($BE$4),ROW()-4,6),"")="EMERG",_xlpm.pri,AND(NOT(_xlpm.em),LEFT(_xlpm.to,2)="T-",ISNUMBER(MATCH(MID(_xlpm.to,3,99),Equip_List,0)),ISNA(MATCH(_xlpm.to,Equip_List,0))),IF(_xlpm.pri,MID(_xlpm.to,3,99),_xlpm.to)))</f>
        <v/>
      </c>
      <c r="CK195" s="829" t="str" cm="1">
        <f t="array" ref="CK195">IF($CJ195="","",IF(IFERROR(INDEX(_xlfn.ANCHORARRAY($BE$4),ROW()-4,6),"")="EMERG","E",IF($CJ195&lt;&gt;$D195&amp;"","P","N")))</f>
        <v/>
      </c>
    </row>
    <row r="196" spans="1:89" ht="15" customHeight="1" x14ac:dyDescent="0.35">
      <c r="A196" s="821" t="str">
        <f t="shared" si="47"/>
        <v/>
      </c>
      <c r="B196" s="821" t="str" cm="1">
        <f t="array" ref="B196">IFERROR(IF(INDEX(_xlfn.ANCHORARRAY($BE$4),ROW()-4,2)="","","F-"&amp;INDEX(_xlfn.ANCHORARRAY($BE$4),ROW()-4,2)&amp;IF(IFERROR(INDEX(_xlfn.ANCHORARRAY($BE$4),ROW()-4,6),"")="EMERG","-E","")),"")</f>
        <v/>
      </c>
      <c r="C196" s="821" t="str" cm="1">
        <f t="array" ref="C196">IFERROR(IF($B196="","",INDEX(_xlfn.ANCHORARRAY($BE$4),ROW()-4,1)),"")</f>
        <v/>
      </c>
      <c r="D196" s="821" t="str" cm="1">
        <f t="array" ref="D196">IFERROR(IF($B196="","",INDEX(_xlfn.ANCHORARRAY($BE$4),ROW()-4,2)),"")</f>
        <v/>
      </c>
      <c r="E196" s="806" t="str" cm="1">
        <f t="array" ref="E196">IFERROR(IF($B196="","",INDEX(_xlfn.ANCHORARRAY($BE$4),ROW()-4,3)),"")</f>
        <v/>
      </c>
      <c r="F196" s="822" t="str" cm="1">
        <f t="array" ref="F196">IFERROR(IF($B196="","",INDEX(_xlfn.ANCHORARRAY($BE$4),ROW()-4,4)),"")</f>
        <v/>
      </c>
      <c r="G196" s="823" t="str" cm="1">
        <f t="array" ref="G196">IFERROR(IF($B196="","",INDEX(_xlfn.ANCHORARRAY($BE$4),ROW()-4,5)),"")</f>
        <v/>
      </c>
      <c r="H196" s="824" t="str" cm="1">
        <f t="array" ref="H196">IF($CJ196="","",_xlfn.LET(_xlpm.v,_xlfn.XLOOKUP($CJ196,Equip_List,IF($CK196="E",Equip_EmLen,IF($CK196="P",Equip_XfPriLen,Equip_FdrLen)),""),IF(_xlpm.v="","",_xlpm.v)))</f>
        <v/>
      </c>
      <c r="I196" s="806" t="str">
        <f t="shared" si="40"/>
        <v/>
      </c>
      <c r="J196" s="820"/>
      <c r="K196" s="806" t="str">
        <f>_xlfn.LET(_xlpm.k,IF($I196="","",IF(COUNTIF(UPS!$B$57:$B$64,$C196&amp;"")&gt;0,1.25*MAX($I196,N(_xlfn.XLOOKUP($C196&amp;"",UPS!$B$57:$B$64,UPS!$M$57:$M$64,0))),IF(COUNTIF(UPS!$B$57:$B$64,$D196&amp;"")&gt;0,1.25*MAX($I196,N(_xlfn.XLOOKUP($D196&amp;"",UPS!$B$57:$B$64,UPS!$Q$57:$Q$64,0))),$I196*IF(OR(UPPER($J196)="Y",LEFT($C196,2)="T-",LEFT($D196,2)="T-"),1.25,1)))),IF(_xlpm.k="","",MAX(_xlpm.k,N(IFERROR(_xlfn.XLOOKUP($D196&amp;"",Dashboard!$A$101:$A$350,Dashboard!$O$101:$O$350,0),0)))))</f>
        <v/>
      </c>
      <c r="L196" s="825" t="str">
        <f>IF($CJ196="","",_xlfn.LET(_xlpm.v,UPPER(TRIM(_xlfn.XLOOKUP($CJ196,Equip_List,Equip_FdrMat,"")&amp;"")),IF(_xlpm.v="",UPPER(TRIM(Cfg_FeederMat&amp;"")),_xlpm.v)))</f>
        <v/>
      </c>
      <c r="M196" s="825" t="str">
        <f>IF($CJ196="","",_xlfn.LET(_xlpm.v,TRIM(_xlfn.XLOOKUP($CJ196,Equip_List,Equip_FdrRace,"")&amp;""),IF(_xlpm.v="",Cfg_Conduit&amp;"",_xlpm.v)))</f>
        <v/>
      </c>
      <c r="N196" s="825" t="str">
        <f>IF($CJ196="","",IF(UPPER(TRIM(_xlfn.XLOOKUP($CJ196,Equip_List,Equip_FdrExist,"")&amp;""))="Y","Y",""))</f>
        <v/>
      </c>
      <c r="O196" s="823" t="str">
        <f t="shared" si="48"/>
        <v/>
      </c>
      <c r="P196" s="821" t="str">
        <f t="shared" si="49"/>
        <v/>
      </c>
      <c r="Q196" s="821" t="str">
        <f t="shared" si="50"/>
        <v/>
      </c>
      <c r="R196" s="822" t="str" cm="1">
        <f t="array" ref="R196">IF(K196="","",INDEX(OCPD_List,MATCH(TRUE,OCPD_List&gt;=K196,0)))</f>
        <v/>
      </c>
      <c r="S196" s="821" t="str">
        <f t="shared" si="51"/>
        <v/>
      </c>
      <c r="T196" s="826" t="str">
        <f t="shared" si="41"/>
        <v/>
      </c>
      <c r="U196" s="826" t="str">
        <f t="shared" si="42"/>
        <v/>
      </c>
      <c r="V196" s="827" t="str">
        <f t="shared" si="43"/>
        <v/>
      </c>
      <c r="W196" s="828"/>
      <c r="X196" s="819"/>
      <c r="Y196" s="820"/>
      <c r="Z196" s="820"/>
      <c r="AA196" s="820"/>
      <c r="BN196" s="832" t="str">
        <f>IF($B196="","",IFERROR(_xlfn.XLOOKUP($D196,Dashboard!$A$101:$A$350,Dashboard!$C$101:$C$350),""))</f>
        <v/>
      </c>
      <c r="BO196" s="832" t="str">
        <f t="shared" si="44"/>
        <v/>
      </c>
      <c r="BP196" s="832" t="str" cm="1">
        <f t="array" ref="BP196">IF(OR($B196="",$R196="",NOT(ISNUMBER($R196))),"",IF(AND($BV196="AL",$G196=1),"",_xlfn.LET(_xlpm.codes,IF($BV196="AL",Std_Al3_Code,IF($G196=1,Std_Cu1_Code,Std_Cu3_Code)),_xlpm.amps,IFERROR(--SUBSTITUTE(_xlpm.codes&amp;"","N",""),""),_xlpm.a,MIN(IF(ISNUMBER(_xlpm.amps),IF(_xlpm.amps&gt;=$R196,_xlpm.amps,""),"")),_xlpm.k,IF(_xlpm.a=0,$R196,_xlpm.a),IF($BO196="Y",TEXT(_xlpm.k,"0")&amp;"N",_xlpm.k))))</f>
        <v/>
      </c>
      <c r="BQ196" s="832" t="str" cm="1">
        <f t="array" ref="BQ196">IF($BP196="","",IFERROR(IF($BV196="AL",_xlfn.XLOOKUP($BP196,Std_Al3_Code,INDEX(Std_Al3_Table,0,3)),IF($G196=1,_xlfn.XLOOKUP($BP196,Std_Cu1_Code,INDEX(Std_Cu1_Table,0,3)),_xlfn.XLOOKUP($BP196,Std_Cu3_Code,INDEX(Std_Cu3_Table,0,3)))),""))</f>
        <v/>
      </c>
      <c r="BR196" s="832" t="str" cm="1">
        <f t="array" ref="BR196">IF($BP196="","",IFERROR(IF($BV196="AL",_xlfn.XLOOKUP($BP196,Std_Al3_Code,INDEX(Std_Al3_Table,0,4)),IF($G196=1,_xlfn.XLOOKUP($BP196,Std_Cu1_Code,INDEX(Std_Cu1_Table,0,4)),_xlfn.XLOOKUP($BP196,Std_Cu3_Code,INDEX(Std_Cu3_Table,0,4)))),""))</f>
        <v/>
      </c>
      <c r="BS196" s="832" t="str" cm="1">
        <f t="array" ref="BS196">IF($BP196="","",IFERROR(IF($BV196="AL",_xlfn.XLOOKUP($BP196,Std_Al3_Code,INDEX(Std_Al3_Table,0,5)),IF($G196=1,_xlfn.XLOOKUP($BP196,Std_Cu1_Code,INDEX(Std_Cu1_Table,0,5)),_xlfn.XLOOKUP($BP196,Std_Cu3_Code,INDEX(Std_Cu3_Table,0,5)))),""))</f>
        <v/>
      </c>
      <c r="BT196" s="832" t="str">
        <f t="shared" si="45"/>
        <v/>
      </c>
      <c r="BU196" s="832" t="str" cm="1">
        <f t="array" ref="BU196">IF($BP196="","",IFERROR(IF($BV196="AL",_xlfn.XLOOKUP($BP196,Std_Al3_Code,INDEX(Std_Al3_Table,0,2)),IF($G196=1,_xlfn.XLOOKUP($BP196,Std_Cu1_Code,INDEX(Std_Cu1_Table,0,2)),_xlfn.XLOOKUP($BP196,Std_Cu3_Code,INDEX(Std_Cu3_Table,0,2)))),""))</f>
        <v/>
      </c>
      <c r="BV196" s="829" t="str">
        <f t="shared" si="46"/>
        <v/>
      </c>
      <c r="BW196" s="829" t="str">
        <f t="shared" si="52"/>
        <v/>
      </c>
      <c r="BX196" s="829" t="str" cm="1">
        <f t="array" ref="BX196">IF(OR($BP196="",$H196="",$I196="",$F196="",$BW196=""),"",IFERROR(_xlfn.LET(_xlpm.codes,IF($BV196="AL",Std_Al3_Code,IF($G196=1,Std_Cu1_Code,Std_Cu3_Code)),_xlpm.tbl,IF($BV196="AL",Std_Al3_Table,IF($G196=1,Std_Cu1_Table,Std_Cu3_Table)),_xlpm.i,MATCH($BP196,_xlpm.codes,0),_xlpm.idx,_xlfn.SEQUENCE(ROWS(_xlpm.codes)),_xlpm.cnd,INDEX(_xlpm.tbl,0,4),_xlpm.sts,INDEX(_xlpm.tbl,0,2),_xlpm.sz,IFERROR(_xlfn.TEXTBEFORE(_xlfn.TEXTAFTER(_xlpm.cnd,"#"),","),IFERROR(_xlfn.TEXTAFTER(_xlpm.cnd,"#"),"")),_xlpm.cm,IFERROR(_xlfn.XLOOKUP(TRIM(_xlpm.sz),Ampacity_Size,Ampacity_CM),0),_xlpm.mult,IF($G196=3,SQRT3,2),_xlpm.kk,IF($BV196="AL",K_Al,K_Cu),_xlpm.vd,IF(_xlpm.cm*IF(ISNUMBER(_xlpm.sts),_xlpm.sts,0)=0,9,_xlpm.mult*_xlpm.kk*$I196*$H196/(_xlpm.cm*_xlpm.sts)/$F196),_xlpm.hasN,--(RIGHT(_xlpm.codes&amp;"",1)="N"),_xlpm.wantN,--(RIGHT($BP196&amp;"",1)="N"),_xlpm.ok,(_xlpm.idx&gt;=_xlpm.i)*(_xlpm.vd&lt;=Cfg_VDFeeder)*(_xlpm.cm&gt;0)*ISNUMBER(_xlpm.sts)*(_xlpm.hasN=_xlpm.wantN),_xlpm.m,MIN(IF(_xlpm.ok=1,_xlpm.idx)),INDEX(_xlpm.codes,IF(_xlpm.m=0,_xlpm.i,_xlpm.m))),""))</f>
        <v/>
      </c>
      <c r="BY196" s="829" t="str" cm="1">
        <f t="array" ref="BY196">IF($BP196="","",IF($BX196="",$BU196,IFERROR(IF($BV196="AL",_xlfn.XLOOKUP($BX196,Std_Al3_Code,INDEX(Std_Al3_Table,0,2)),IF($G196=1,_xlfn.XLOOKUP($BX196,Std_Cu1_Code,INDEX(Std_Cu1_Table,0,2)),_xlfn.XLOOKUP($BX196,Std_Cu3_Code,INDEX(Std_Cu3_Table,0,2)))),"")))</f>
        <v/>
      </c>
      <c r="BZ196" s="829" t="str" cm="1">
        <f t="array" ref="BZ196">IF($BP196="","",IF($BX196="",$BR196,IFERROR(IF($BV196="AL",_xlfn.XLOOKUP($BX196,Std_Al3_Code,INDEX(Std_Al3_Table,0,4)),IF($G196=1,_xlfn.XLOOKUP($BX196,Std_Cu1_Code,INDEX(Std_Cu1_Table,0,4)),_xlfn.XLOOKUP($BX196,Std_Cu3_Code,INDEX(Std_Cu3_Table,0,4)))),"")))</f>
        <v/>
      </c>
      <c r="CA196" s="829" t="str" cm="1">
        <f t="array" ref="CA196">IF($BP196="","",IF($BX196="",$BQ196,IFERROR(IF($BV196="AL",_xlfn.XLOOKUP($BX196,Std_Al3_Code,INDEX(Std_Al3_Table,0,3)),IF($G196=1,_xlfn.XLOOKUP($BX196,Std_Cu1_Code,INDEX(Std_Cu1_Table,0,3)),_xlfn.XLOOKUP($BX196,Std_Cu3_Code,INDEX(Std_Cu3_Table,0,3)))),"")))</f>
        <v/>
      </c>
      <c r="CB196" s="829" t="str" cm="1">
        <f t="array" ref="CB196">IF($BP196="","",IF($BX196="",$BS196,IFERROR(IF($BV196="AL",_xlfn.XLOOKUP($BX196,Std_Al3_Code,INDEX(Std_Al3_Table,0,5)),IF($G196=1,_xlfn.XLOOKUP($BX196,Std_Cu1_Code,INDEX(Std_Cu1_Table,0,5)),_xlfn.XLOOKUP($BX196,Std_Cu3_Code,INDEX(Std_Cu3_Table,0,5)))),"")))</f>
        <v/>
      </c>
      <c r="CC196" s="829" t="str">
        <f t="shared" si="53"/>
        <v/>
      </c>
      <c r="CD196" s="829" t="str">
        <f t="shared" si="54"/>
        <v/>
      </c>
      <c r="CE196" s="829" t="str">
        <f t="shared" si="55"/>
        <v/>
      </c>
      <c r="CF196" s="829" t="str">
        <f t="shared" si="56"/>
        <v/>
      </c>
      <c r="CG196" s="829" t="str">
        <f t="shared" si="57"/>
        <v/>
      </c>
      <c r="CH196" s="829" t="str">
        <f t="shared" si="58"/>
        <v/>
      </c>
      <c r="CI196" s="829" t="str">
        <f t="shared" si="59"/>
        <v/>
      </c>
      <c r="CJ196" s="829" t="str" cm="1">
        <f t="array" ref="CJ196">IF($B196="","",_xlfn.LET(_xlpm.to,$D196&amp;"",_xlpm.em,IFERROR(INDEX(_xlfn.ANCHORARRAY($BE$4),ROW()-4,6),"")="EMERG",_xlpm.pri,AND(NOT(_xlpm.em),LEFT(_xlpm.to,2)="T-",ISNUMBER(MATCH(MID(_xlpm.to,3,99),Equip_List,0)),ISNA(MATCH(_xlpm.to,Equip_List,0))),IF(_xlpm.pri,MID(_xlpm.to,3,99),_xlpm.to)))</f>
        <v/>
      </c>
      <c r="CK196" s="829" t="str" cm="1">
        <f t="array" ref="CK196">IF($CJ196="","",IF(IFERROR(INDEX(_xlfn.ANCHORARRAY($BE$4),ROW()-4,6),"")="EMERG","E",IF($CJ196&lt;&gt;$D196&amp;"","P","N")))</f>
        <v/>
      </c>
    </row>
    <row r="197" spans="1:89" ht="15" customHeight="1" x14ac:dyDescent="0.35">
      <c r="A197" s="821" t="str">
        <f t="shared" si="47"/>
        <v/>
      </c>
      <c r="B197" s="821" t="str" cm="1">
        <f t="array" ref="B197">IFERROR(IF(INDEX(_xlfn.ANCHORARRAY($BE$4),ROW()-4,2)="","","F-"&amp;INDEX(_xlfn.ANCHORARRAY($BE$4),ROW()-4,2)&amp;IF(IFERROR(INDEX(_xlfn.ANCHORARRAY($BE$4),ROW()-4,6),"")="EMERG","-E","")),"")</f>
        <v/>
      </c>
      <c r="C197" s="821" t="str" cm="1">
        <f t="array" ref="C197">IFERROR(IF($B197="","",INDEX(_xlfn.ANCHORARRAY($BE$4),ROW()-4,1)),"")</f>
        <v/>
      </c>
      <c r="D197" s="821" t="str" cm="1">
        <f t="array" ref="D197">IFERROR(IF($B197="","",INDEX(_xlfn.ANCHORARRAY($BE$4),ROW()-4,2)),"")</f>
        <v/>
      </c>
      <c r="E197" s="806" t="str" cm="1">
        <f t="array" ref="E197">IFERROR(IF($B197="","",INDEX(_xlfn.ANCHORARRAY($BE$4),ROW()-4,3)),"")</f>
        <v/>
      </c>
      <c r="F197" s="822" t="str" cm="1">
        <f t="array" ref="F197">IFERROR(IF($B197="","",INDEX(_xlfn.ANCHORARRAY($BE$4),ROW()-4,4)),"")</f>
        <v/>
      </c>
      <c r="G197" s="823" t="str" cm="1">
        <f t="array" ref="G197">IFERROR(IF($B197="","",INDEX(_xlfn.ANCHORARRAY($BE$4),ROW()-4,5)),"")</f>
        <v/>
      </c>
      <c r="H197" s="824" t="str" cm="1">
        <f t="array" ref="H197">IF($CJ197="","",_xlfn.LET(_xlpm.v,_xlfn.XLOOKUP($CJ197,Equip_List,IF($CK197="E",Equip_EmLen,IF($CK197="P",Equip_XfPriLen,Equip_FdrLen)),""),IF(_xlpm.v="","",_xlpm.v)))</f>
        <v/>
      </c>
      <c r="I197" s="806" t="str">
        <f t="shared" ref="I197:I254" si="60">IF(OR(E197="",F197=""),"",E197*1000/(F197*IF(G197=3,SQRT3,1)))</f>
        <v/>
      </c>
      <c r="J197" s="820"/>
      <c r="K197" s="806" t="str">
        <f>_xlfn.LET(_xlpm.k,IF($I197="","",IF(COUNTIF(UPS!$B$57:$B$64,$C197&amp;"")&gt;0,1.25*MAX($I197,N(_xlfn.XLOOKUP($C197&amp;"",UPS!$B$57:$B$64,UPS!$M$57:$M$64,0))),IF(COUNTIF(UPS!$B$57:$B$64,$D197&amp;"")&gt;0,1.25*MAX($I197,N(_xlfn.XLOOKUP($D197&amp;"",UPS!$B$57:$B$64,UPS!$Q$57:$Q$64,0))),$I197*IF(OR(UPPER($J197)="Y",LEFT($C197,2)="T-",LEFT($D197,2)="T-"),1.25,1)))),IF(_xlpm.k="","",MAX(_xlpm.k,N(IFERROR(_xlfn.XLOOKUP($D197&amp;"",Dashboard!$A$101:$A$350,Dashboard!$O$101:$O$350,0),0)))))</f>
        <v/>
      </c>
      <c r="L197" s="825" t="str">
        <f>IF($CJ197="","",_xlfn.LET(_xlpm.v,UPPER(TRIM(_xlfn.XLOOKUP($CJ197,Equip_List,Equip_FdrMat,"")&amp;"")),IF(_xlpm.v="",UPPER(TRIM(Cfg_FeederMat&amp;"")),_xlpm.v)))</f>
        <v/>
      </c>
      <c r="M197" s="825" t="str">
        <f>IF($CJ197="","",_xlfn.LET(_xlpm.v,TRIM(_xlfn.XLOOKUP($CJ197,Equip_List,Equip_FdrRace,"")&amp;""),IF(_xlpm.v="",Cfg_Conduit&amp;"",_xlpm.v)))</f>
        <v/>
      </c>
      <c r="N197" s="825" t="str">
        <f>IF($CJ197="","",IF(UPPER(TRIM(_xlfn.XLOOKUP($CJ197,Equip_List,Equip_FdrExist,"")&amp;""))="Y","Y",""))</f>
        <v/>
      </c>
      <c r="O197" s="823" t="str">
        <f t="shared" si="48"/>
        <v/>
      </c>
      <c r="P197" s="821" t="str">
        <f t="shared" si="49"/>
        <v/>
      </c>
      <c r="Q197" s="821" t="str">
        <f t="shared" si="50"/>
        <v/>
      </c>
      <c r="R197" s="822" t="str" cm="1">
        <f t="array" ref="R197">IF(K197="","",INDEX(OCPD_List,MATCH(TRUE,OCPD_List&gt;=K197,0)))</f>
        <v/>
      </c>
      <c r="S197" s="821" t="str">
        <f t="shared" si="51"/>
        <v/>
      </c>
      <c r="T197" s="826" t="str">
        <f t="shared" ref="T197:T254" si="61">IF(UPPER($N197&amp;"")="Y","",IFERROR(IF(OR($I197="",$H197="",$BW197="",$F197="",$BU197=""),"",(IF($G197=3,SQRT3,2))*IF($BV197="AL",K_Al,K_Cu)*$I197*$H197/(_xlfn.XLOOKUP($BW197,Ampacity_Size,Ampacity_CM)*$BU197)/$F197),""))</f>
        <v/>
      </c>
      <c r="U197" s="826" t="str">
        <f t="shared" ref="U197:U254" si="62">IFERROR(IF(OR($I197="",$H197="",$CH197="",$F197="",NOT(ISNUMBER($CD197))),"",(IF($G197=3,SQRT3,2))*IF($BV197="AL",K_Al,K_Cu)*$I197*$H197/(_xlfn.XLOOKUP($CH197,Ampacity_Size,Ampacity_CM)*$CD197)/$F197),"")</f>
        <v/>
      </c>
      <c r="V197" s="827" t="str">
        <f t="shared" ref="V197:V254" si="63">IF($B197="","",IF(UPPER($N197&amp;"")="Y","EXIST — existing feeder to remain; verify capacity for the new load",IF(AND($BV197="AL",$G197=1),IF($CI197&lt;&gt;"",$CI197,"⚠ no aluminium single-phase standard schedule — set Material to Cu on this row, or record what is installed in the Override columns"),IF($BP197="","",IF($BQ197="","⚠ OCPD "&amp;TEXT($R197,"0")&amp;"A is not in the "&amp;IF($BV197="AL","aluminium","copper")&amp;" standard schedule",IF($CI197&lt;&gt;"",$CI197,IF($BT197&lt;&gt;"",$BT197,IF($H197="","⚠ Enter length to check voltage drop",IF(NOT(ISNUMBER($U197)),"⚠ Voltage drop cannot be calculated",IF($U197&gt;Cfg_VDFeeder,"⚠ VD "&amp;TEXT($U197,"0.0%")&amp;" exceeds "&amp;TEXT(Cfg_VDFeeder,"0%")&amp;" — shorten run or add sets",IF($BX197&lt;&gt;$BP197,"↑ Conductors upsized to code "&amp;$BX197&amp;" for VD","OK")))))))))))</f>
        <v/>
      </c>
      <c r="W197" s="828"/>
      <c r="X197" s="819"/>
      <c r="Y197" s="820"/>
      <c r="Z197" s="820"/>
      <c r="AA197" s="820"/>
      <c r="BN197" s="832" t="str">
        <f>IF($B197="","",IFERROR(_xlfn.XLOOKUP($D197,Dashboard!$A$101:$A$350,Dashboard!$C$101:$C$350),""))</f>
        <v/>
      </c>
      <c r="BO197" s="832" t="str">
        <f t="shared" ref="BO197:BO254" si="64">IF($B197="","",IF(OR(ISNUMBER(SEARCH("4W",$BN197)),ISNUMBER(SEARCH("3W",$BN197))),"Y","N"))</f>
        <v/>
      </c>
      <c r="BP197" s="832" t="str" cm="1">
        <f t="array" ref="BP197">IF(OR($B197="",$R197="",NOT(ISNUMBER($R197))),"",IF(AND($BV197="AL",$G197=1),"",_xlfn.LET(_xlpm.codes,IF($BV197="AL",Std_Al3_Code,IF($G197=1,Std_Cu1_Code,Std_Cu3_Code)),_xlpm.amps,IFERROR(--SUBSTITUTE(_xlpm.codes&amp;"","N",""),""),_xlpm.a,MIN(IF(ISNUMBER(_xlpm.amps),IF(_xlpm.amps&gt;=$R197,_xlpm.amps,""),"")),_xlpm.k,IF(_xlpm.a=0,$R197,_xlpm.a),IF($BO197="Y",TEXT(_xlpm.k,"0")&amp;"N",_xlpm.k))))</f>
        <v/>
      </c>
      <c r="BQ197" s="832" t="str" cm="1">
        <f t="array" ref="BQ197">IF($BP197="","",IFERROR(IF($BV197="AL",_xlfn.XLOOKUP($BP197,Std_Al3_Code,INDEX(Std_Al3_Table,0,3)),IF($G197=1,_xlfn.XLOOKUP($BP197,Std_Cu1_Code,INDEX(Std_Cu1_Table,0,3)),_xlfn.XLOOKUP($BP197,Std_Cu3_Code,INDEX(Std_Cu3_Table,0,3)))),""))</f>
        <v/>
      </c>
      <c r="BR197" s="832" t="str" cm="1">
        <f t="array" ref="BR197">IF($BP197="","",IFERROR(IF($BV197="AL",_xlfn.XLOOKUP($BP197,Std_Al3_Code,INDEX(Std_Al3_Table,0,4)),IF($G197=1,_xlfn.XLOOKUP($BP197,Std_Cu1_Code,INDEX(Std_Cu1_Table,0,4)),_xlfn.XLOOKUP($BP197,Std_Cu3_Code,INDEX(Std_Cu3_Table,0,4)))),""))</f>
        <v/>
      </c>
      <c r="BS197" s="832" t="str" cm="1">
        <f t="array" ref="BS197">IF($BP197="","",IFERROR(IF($BV197="AL",_xlfn.XLOOKUP($BP197,Std_Al3_Code,INDEX(Std_Al3_Table,0,5)),IF($G197=1,_xlfn.XLOOKUP($BP197,Std_Cu1_Code,INDEX(Std_Cu1_Table,0,5)),_xlfn.XLOOKUP($BP197,Std_Cu3_Code,INDEX(Std_Cu3_Table,0,5)))),""))</f>
        <v/>
      </c>
      <c r="BT197" s="832" t="str">
        <f t="shared" ref="BT197:BT254" si="65">IF(AND($CH197&lt;&gt;"",ISNA(MATCH(TRIM($CH197),Ampacity_Size,0))),"⚠ conductor above 750 kcmil (max) — use parallel sets (Ovr Sets)",IF(OR($B197="",$CC197="",$R197="",$BY197=""),"",IFERROR(_xlfn.LET(_xlpm.amp,INDEX(IF($BV197="AL",Ampacity_Al,Ampacity_Cu),MATCH($CC197,Ampacity_Size,0))*$BY197,IF(_xlpm.amp&lt;$R197,"⚠ standard conductor ampacity "&amp;TEXT(_xlpm.amp,"0")&amp;"A is below OCPD "&amp;TEXT($R197,"0")&amp;"A","")),"")))</f>
        <v/>
      </c>
      <c r="BU197" s="832" t="str" cm="1">
        <f t="array" ref="BU197">IF($BP197="","",IFERROR(IF($BV197="AL",_xlfn.XLOOKUP($BP197,Std_Al3_Code,INDEX(Std_Al3_Table,0,2)),IF($G197=1,_xlfn.XLOOKUP($BP197,Std_Cu1_Code,INDEX(Std_Cu1_Table,0,2)),_xlfn.XLOOKUP($BP197,Std_Cu3_Code,INDEX(Std_Cu3_Table,0,2)))),""))</f>
        <v/>
      </c>
      <c r="BV197" s="829" t="str">
        <f t="shared" ref="BV197:BV254" si="66">IF($B197="","",IF(UPPER(TRIM($L197&amp;""))="AL","AL",IF(UPPER(TRIM($L197&amp;""))="CU","CU",IF(UPPER(TRIM(Cfg_FeederMat&amp;""))="AL","AL","CU"))))</f>
        <v/>
      </c>
      <c r="BW197" s="829" t="str">
        <f t="shared" si="52"/>
        <v/>
      </c>
      <c r="BX197" s="829" t="str" cm="1">
        <f t="array" ref="BX197">IF(OR($BP197="",$H197="",$I197="",$F197="",$BW197=""),"",IFERROR(_xlfn.LET(_xlpm.codes,IF($BV197="AL",Std_Al3_Code,IF($G197=1,Std_Cu1_Code,Std_Cu3_Code)),_xlpm.tbl,IF($BV197="AL",Std_Al3_Table,IF($G197=1,Std_Cu1_Table,Std_Cu3_Table)),_xlpm.i,MATCH($BP197,_xlpm.codes,0),_xlpm.idx,_xlfn.SEQUENCE(ROWS(_xlpm.codes)),_xlpm.cnd,INDEX(_xlpm.tbl,0,4),_xlpm.sts,INDEX(_xlpm.tbl,0,2),_xlpm.sz,IFERROR(_xlfn.TEXTBEFORE(_xlfn.TEXTAFTER(_xlpm.cnd,"#"),","),IFERROR(_xlfn.TEXTAFTER(_xlpm.cnd,"#"),"")),_xlpm.cm,IFERROR(_xlfn.XLOOKUP(TRIM(_xlpm.sz),Ampacity_Size,Ampacity_CM),0),_xlpm.mult,IF($G197=3,SQRT3,2),_xlpm.kk,IF($BV197="AL",K_Al,K_Cu),_xlpm.vd,IF(_xlpm.cm*IF(ISNUMBER(_xlpm.sts),_xlpm.sts,0)=0,9,_xlpm.mult*_xlpm.kk*$I197*$H197/(_xlpm.cm*_xlpm.sts)/$F197),_xlpm.hasN,--(RIGHT(_xlpm.codes&amp;"",1)="N"),_xlpm.wantN,--(RIGHT($BP197&amp;"",1)="N"),_xlpm.ok,(_xlpm.idx&gt;=_xlpm.i)*(_xlpm.vd&lt;=Cfg_VDFeeder)*(_xlpm.cm&gt;0)*ISNUMBER(_xlpm.sts)*(_xlpm.hasN=_xlpm.wantN),_xlpm.m,MIN(IF(_xlpm.ok=1,_xlpm.idx)),INDEX(_xlpm.codes,IF(_xlpm.m=0,_xlpm.i,_xlpm.m))),""))</f>
        <v/>
      </c>
      <c r="BY197" s="829" t="str" cm="1">
        <f t="array" ref="BY197">IF($BP197="","",IF($BX197="",$BU197,IFERROR(IF($BV197="AL",_xlfn.XLOOKUP($BX197,Std_Al3_Code,INDEX(Std_Al3_Table,0,2)),IF($G197=1,_xlfn.XLOOKUP($BX197,Std_Cu1_Code,INDEX(Std_Cu1_Table,0,2)),_xlfn.XLOOKUP($BX197,Std_Cu3_Code,INDEX(Std_Cu3_Table,0,2)))),"")))</f>
        <v/>
      </c>
      <c r="BZ197" s="829" t="str" cm="1">
        <f t="array" ref="BZ197">IF($BP197="","",IF($BX197="",$BR197,IFERROR(IF($BV197="AL",_xlfn.XLOOKUP($BX197,Std_Al3_Code,INDEX(Std_Al3_Table,0,4)),IF($G197=1,_xlfn.XLOOKUP($BX197,Std_Cu1_Code,INDEX(Std_Cu1_Table,0,4)),_xlfn.XLOOKUP($BX197,Std_Cu3_Code,INDEX(Std_Cu3_Table,0,4)))),"")))</f>
        <v/>
      </c>
      <c r="CA197" s="829" t="str" cm="1">
        <f t="array" ref="CA197">IF($BP197="","",IF($BX197="",$BQ197,IFERROR(IF($BV197="AL",_xlfn.XLOOKUP($BX197,Std_Al3_Code,INDEX(Std_Al3_Table,0,3)),IF($G197=1,_xlfn.XLOOKUP($BX197,Std_Cu1_Code,INDEX(Std_Cu1_Table,0,3)),_xlfn.XLOOKUP($BX197,Std_Cu3_Code,INDEX(Std_Cu3_Table,0,3)))),"")))</f>
        <v/>
      </c>
      <c r="CB197" s="829" t="str" cm="1">
        <f t="array" ref="CB197">IF($BP197="","",IF($BX197="",$BS197,IFERROR(IF($BV197="AL",_xlfn.XLOOKUP($BX197,Std_Al3_Code,INDEX(Std_Al3_Table,0,5)),IF($G197=1,_xlfn.XLOOKUP($BX197,Std_Cu1_Code,INDEX(Std_Cu1_Table,0,5)),_xlfn.XLOOKUP($BX197,Std_Cu3_Code,INDEX(Std_Cu3_Table,0,5)))),"")))</f>
        <v/>
      </c>
      <c r="CC197" s="829" t="str">
        <f t="shared" si="53"/>
        <v/>
      </c>
      <c r="CD197" s="829" t="str">
        <f t="shared" si="54"/>
        <v/>
      </c>
      <c r="CE197" s="829" t="str">
        <f t="shared" si="55"/>
        <v/>
      </c>
      <c r="CF197" s="829" t="str">
        <f t="shared" si="56"/>
        <v/>
      </c>
      <c r="CG197" s="829" t="str">
        <f t="shared" si="57"/>
        <v/>
      </c>
      <c r="CH197" s="829" t="str">
        <f t="shared" si="58"/>
        <v/>
      </c>
      <c r="CI197" s="829" t="str">
        <f t="shared" si="59"/>
        <v/>
      </c>
      <c r="CJ197" s="829" t="str" cm="1">
        <f t="array" ref="CJ197">IF($B197="","",_xlfn.LET(_xlpm.to,$D197&amp;"",_xlpm.em,IFERROR(INDEX(_xlfn.ANCHORARRAY($BE$4),ROW()-4,6),"")="EMERG",_xlpm.pri,AND(NOT(_xlpm.em),LEFT(_xlpm.to,2)="T-",ISNUMBER(MATCH(MID(_xlpm.to,3,99),Equip_List,0)),ISNA(MATCH(_xlpm.to,Equip_List,0))),IF(_xlpm.pri,MID(_xlpm.to,3,99),_xlpm.to)))</f>
        <v/>
      </c>
      <c r="CK197" s="829" t="str" cm="1">
        <f t="array" ref="CK197">IF($CJ197="","",IF(IFERROR(INDEX(_xlfn.ANCHORARRAY($BE$4),ROW()-4,6),"")="EMERG","E",IF($CJ197&lt;&gt;$D197&amp;"","P","N")))</f>
        <v/>
      </c>
    </row>
    <row r="198" spans="1:89" ht="15" customHeight="1" x14ac:dyDescent="0.35">
      <c r="A198" s="821" t="str">
        <f t="shared" ref="A198:A254" si="67">IF($B198="","",IF(UPPER($N198&amp;"")="Y","EXIST",IF($BP198="","",$BP198)))</f>
        <v/>
      </c>
      <c r="B198" s="821" t="str" cm="1">
        <f t="array" ref="B198">IFERROR(IF(INDEX(_xlfn.ANCHORARRAY($BE$4),ROW()-4,2)="","","F-"&amp;INDEX(_xlfn.ANCHORARRAY($BE$4),ROW()-4,2)&amp;IF(IFERROR(INDEX(_xlfn.ANCHORARRAY($BE$4),ROW()-4,6),"")="EMERG","-E","")),"")</f>
        <v/>
      </c>
      <c r="C198" s="821" t="str" cm="1">
        <f t="array" ref="C198">IFERROR(IF($B198="","",INDEX(_xlfn.ANCHORARRAY($BE$4),ROW()-4,1)),"")</f>
        <v/>
      </c>
      <c r="D198" s="821" t="str" cm="1">
        <f t="array" ref="D198">IFERROR(IF($B198="","",INDEX(_xlfn.ANCHORARRAY($BE$4),ROW()-4,2)),"")</f>
        <v/>
      </c>
      <c r="E198" s="806" t="str" cm="1">
        <f t="array" ref="E198">IFERROR(IF($B198="","",INDEX(_xlfn.ANCHORARRAY($BE$4),ROW()-4,3)),"")</f>
        <v/>
      </c>
      <c r="F198" s="822" t="str" cm="1">
        <f t="array" ref="F198">IFERROR(IF($B198="","",INDEX(_xlfn.ANCHORARRAY($BE$4),ROW()-4,4)),"")</f>
        <v/>
      </c>
      <c r="G198" s="823" t="str" cm="1">
        <f t="array" ref="G198">IFERROR(IF($B198="","",INDEX(_xlfn.ANCHORARRAY($BE$4),ROW()-4,5)),"")</f>
        <v/>
      </c>
      <c r="H198" s="824" t="str" cm="1">
        <f t="array" ref="H198">IF($CJ198="","",_xlfn.LET(_xlpm.v,_xlfn.XLOOKUP($CJ198,Equip_List,IF($CK198="E",Equip_EmLen,IF($CK198="P",Equip_XfPriLen,Equip_FdrLen)),""),IF(_xlpm.v="","",_xlpm.v)))</f>
        <v/>
      </c>
      <c r="I198" s="806" t="str">
        <f t="shared" si="60"/>
        <v/>
      </c>
      <c r="J198" s="820"/>
      <c r="K198" s="806" t="str">
        <f>_xlfn.LET(_xlpm.k,IF($I198="","",IF(COUNTIF(UPS!$B$57:$B$64,$C198&amp;"")&gt;0,1.25*MAX($I198,N(_xlfn.XLOOKUP($C198&amp;"",UPS!$B$57:$B$64,UPS!$M$57:$M$64,0))),IF(COUNTIF(UPS!$B$57:$B$64,$D198&amp;"")&gt;0,1.25*MAX($I198,N(_xlfn.XLOOKUP($D198&amp;"",UPS!$B$57:$B$64,UPS!$Q$57:$Q$64,0))),$I198*IF(OR(UPPER($J198)="Y",LEFT($C198,2)="T-",LEFT($D198,2)="T-"),1.25,1)))),IF(_xlpm.k="","",MAX(_xlpm.k,N(IFERROR(_xlfn.XLOOKUP($D198&amp;"",Dashboard!$A$101:$A$350,Dashboard!$O$101:$O$350,0),0)))))</f>
        <v/>
      </c>
      <c r="L198" s="825" t="str">
        <f>IF($CJ198="","",_xlfn.LET(_xlpm.v,UPPER(TRIM(_xlfn.XLOOKUP($CJ198,Equip_List,Equip_FdrMat,"")&amp;"")),IF(_xlpm.v="",UPPER(TRIM(Cfg_FeederMat&amp;"")),_xlpm.v)))</f>
        <v/>
      </c>
      <c r="M198" s="825" t="str">
        <f>IF($CJ198="","",_xlfn.LET(_xlpm.v,TRIM(_xlfn.XLOOKUP($CJ198,Equip_List,Equip_FdrRace,"")&amp;""),IF(_xlpm.v="",Cfg_Conduit&amp;"",_xlpm.v)))</f>
        <v/>
      </c>
      <c r="N198" s="825" t="str">
        <f>IF($CJ198="","",IF(UPPER(TRIM(_xlfn.XLOOKUP($CJ198,Equip_List,Equip_FdrExist,"")&amp;""))="Y","Y",""))</f>
        <v/>
      </c>
      <c r="O198" s="823" t="str">
        <f t="shared" ref="O198:O254" si="68">IF($CD198="","",$CD198)</f>
        <v/>
      </c>
      <c r="P198" s="821" t="str">
        <f t="shared" ref="P198:P254" si="69">IF($CE198="","",$CE198)</f>
        <v/>
      </c>
      <c r="Q198" s="821" t="str">
        <f t="shared" ref="Q198:Q254" si="70">IF($CF198="","",$CF198)</f>
        <v/>
      </c>
      <c r="R198" s="822" t="str" cm="1">
        <f t="array" ref="R198">IF(K198="","",INDEX(OCPD_List,MATCH(TRUE,OCPD_List&gt;=K198,0)))</f>
        <v/>
      </c>
      <c r="S198" s="821" t="str">
        <f t="shared" ref="S198:S254" si="71">IF($CG198="","",$CG198)</f>
        <v/>
      </c>
      <c r="T198" s="826" t="str">
        <f t="shared" si="61"/>
        <v/>
      </c>
      <c r="U198" s="826" t="str">
        <f t="shared" si="62"/>
        <v/>
      </c>
      <c r="V198" s="827" t="str">
        <f t="shared" si="63"/>
        <v/>
      </c>
      <c r="W198" s="828"/>
      <c r="X198" s="819"/>
      <c r="Y198" s="820"/>
      <c r="Z198" s="820"/>
      <c r="AA198" s="820"/>
      <c r="BN198" s="832" t="str">
        <f>IF($B198="","",IFERROR(_xlfn.XLOOKUP($D198,Dashboard!$A$101:$A$350,Dashboard!$C$101:$C$350),""))</f>
        <v/>
      </c>
      <c r="BO198" s="832" t="str">
        <f t="shared" si="64"/>
        <v/>
      </c>
      <c r="BP198" s="832" t="str" cm="1">
        <f t="array" ref="BP198">IF(OR($B198="",$R198="",NOT(ISNUMBER($R198))),"",IF(AND($BV198="AL",$G198=1),"",_xlfn.LET(_xlpm.codes,IF($BV198="AL",Std_Al3_Code,IF($G198=1,Std_Cu1_Code,Std_Cu3_Code)),_xlpm.amps,IFERROR(--SUBSTITUTE(_xlpm.codes&amp;"","N",""),""),_xlpm.a,MIN(IF(ISNUMBER(_xlpm.amps),IF(_xlpm.amps&gt;=$R198,_xlpm.amps,""),"")),_xlpm.k,IF(_xlpm.a=0,$R198,_xlpm.a),IF($BO198="Y",TEXT(_xlpm.k,"0")&amp;"N",_xlpm.k))))</f>
        <v/>
      </c>
      <c r="BQ198" s="832" t="str" cm="1">
        <f t="array" ref="BQ198">IF($BP198="","",IFERROR(IF($BV198="AL",_xlfn.XLOOKUP($BP198,Std_Al3_Code,INDEX(Std_Al3_Table,0,3)),IF($G198=1,_xlfn.XLOOKUP($BP198,Std_Cu1_Code,INDEX(Std_Cu1_Table,0,3)),_xlfn.XLOOKUP($BP198,Std_Cu3_Code,INDEX(Std_Cu3_Table,0,3)))),""))</f>
        <v/>
      </c>
      <c r="BR198" s="832" t="str" cm="1">
        <f t="array" ref="BR198">IF($BP198="","",IFERROR(IF($BV198="AL",_xlfn.XLOOKUP($BP198,Std_Al3_Code,INDEX(Std_Al3_Table,0,4)),IF($G198=1,_xlfn.XLOOKUP($BP198,Std_Cu1_Code,INDEX(Std_Cu1_Table,0,4)),_xlfn.XLOOKUP($BP198,Std_Cu3_Code,INDEX(Std_Cu3_Table,0,4)))),""))</f>
        <v/>
      </c>
      <c r="BS198" s="832" t="str" cm="1">
        <f t="array" ref="BS198">IF($BP198="","",IFERROR(IF($BV198="AL",_xlfn.XLOOKUP($BP198,Std_Al3_Code,INDEX(Std_Al3_Table,0,5)),IF($G198=1,_xlfn.XLOOKUP($BP198,Std_Cu1_Code,INDEX(Std_Cu1_Table,0,5)),_xlfn.XLOOKUP($BP198,Std_Cu3_Code,INDEX(Std_Cu3_Table,0,5)))),""))</f>
        <v/>
      </c>
      <c r="BT198" s="832" t="str">
        <f t="shared" si="65"/>
        <v/>
      </c>
      <c r="BU198" s="832" t="str" cm="1">
        <f t="array" ref="BU198">IF($BP198="","",IFERROR(IF($BV198="AL",_xlfn.XLOOKUP($BP198,Std_Al3_Code,INDEX(Std_Al3_Table,0,2)),IF($G198=1,_xlfn.XLOOKUP($BP198,Std_Cu1_Code,INDEX(Std_Cu1_Table,0,2)),_xlfn.XLOOKUP($BP198,Std_Cu3_Code,INDEX(Std_Cu3_Table,0,2)))),""))</f>
        <v/>
      </c>
      <c r="BV198" s="829" t="str">
        <f t="shared" si="66"/>
        <v/>
      </c>
      <c r="BW198" s="829" t="str">
        <f t="shared" ref="BW198:BW254" si="72">IF($BR198="","",IFERROR(_xlfn.LET(_xlpm.a,_xlfn.TEXTAFTER($BR198,"#"),_xlpm.b,IFERROR(_xlfn.TEXTBEFORE(_xlpm.a,","),_xlpm.a),TRIM(_xlpm.b)),""))</f>
        <v/>
      </c>
      <c r="BX198" s="829" t="str" cm="1">
        <f t="array" ref="BX198">IF(OR($BP198="",$H198="",$I198="",$F198="",$BW198=""),"",IFERROR(_xlfn.LET(_xlpm.codes,IF($BV198="AL",Std_Al3_Code,IF($G198=1,Std_Cu1_Code,Std_Cu3_Code)),_xlpm.tbl,IF($BV198="AL",Std_Al3_Table,IF($G198=1,Std_Cu1_Table,Std_Cu3_Table)),_xlpm.i,MATCH($BP198,_xlpm.codes,0),_xlpm.idx,_xlfn.SEQUENCE(ROWS(_xlpm.codes)),_xlpm.cnd,INDEX(_xlpm.tbl,0,4),_xlpm.sts,INDEX(_xlpm.tbl,0,2),_xlpm.sz,IFERROR(_xlfn.TEXTBEFORE(_xlfn.TEXTAFTER(_xlpm.cnd,"#"),","),IFERROR(_xlfn.TEXTAFTER(_xlpm.cnd,"#"),"")),_xlpm.cm,IFERROR(_xlfn.XLOOKUP(TRIM(_xlpm.sz),Ampacity_Size,Ampacity_CM),0),_xlpm.mult,IF($G198=3,SQRT3,2),_xlpm.kk,IF($BV198="AL",K_Al,K_Cu),_xlpm.vd,IF(_xlpm.cm*IF(ISNUMBER(_xlpm.sts),_xlpm.sts,0)=0,9,_xlpm.mult*_xlpm.kk*$I198*$H198/(_xlpm.cm*_xlpm.sts)/$F198),_xlpm.hasN,--(RIGHT(_xlpm.codes&amp;"",1)="N"),_xlpm.wantN,--(RIGHT($BP198&amp;"",1)="N"),_xlpm.ok,(_xlpm.idx&gt;=_xlpm.i)*(_xlpm.vd&lt;=Cfg_VDFeeder)*(_xlpm.cm&gt;0)*ISNUMBER(_xlpm.sts)*(_xlpm.hasN=_xlpm.wantN),_xlpm.m,MIN(IF(_xlpm.ok=1,_xlpm.idx)),INDEX(_xlpm.codes,IF(_xlpm.m=0,_xlpm.i,_xlpm.m))),""))</f>
        <v/>
      </c>
      <c r="BY198" s="829" t="str" cm="1">
        <f t="array" ref="BY198">IF($BP198="","",IF($BX198="",$BU198,IFERROR(IF($BV198="AL",_xlfn.XLOOKUP($BX198,Std_Al3_Code,INDEX(Std_Al3_Table,0,2)),IF($G198=1,_xlfn.XLOOKUP($BX198,Std_Cu1_Code,INDEX(Std_Cu1_Table,0,2)),_xlfn.XLOOKUP($BX198,Std_Cu3_Code,INDEX(Std_Cu3_Table,0,2)))),"")))</f>
        <v/>
      </c>
      <c r="BZ198" s="829" t="str" cm="1">
        <f t="array" ref="BZ198">IF($BP198="","",IF($BX198="",$BR198,IFERROR(IF($BV198="AL",_xlfn.XLOOKUP($BX198,Std_Al3_Code,INDEX(Std_Al3_Table,0,4)),IF($G198=1,_xlfn.XLOOKUP($BX198,Std_Cu1_Code,INDEX(Std_Cu1_Table,0,4)),_xlfn.XLOOKUP($BX198,Std_Cu3_Code,INDEX(Std_Cu3_Table,0,4)))),"")))</f>
        <v/>
      </c>
      <c r="CA198" s="829" t="str" cm="1">
        <f t="array" ref="CA198">IF($BP198="","",IF($BX198="",$BQ198,IFERROR(IF($BV198="AL",_xlfn.XLOOKUP($BX198,Std_Al3_Code,INDEX(Std_Al3_Table,0,3)),IF($G198=1,_xlfn.XLOOKUP($BX198,Std_Cu1_Code,INDEX(Std_Cu1_Table,0,3)),_xlfn.XLOOKUP($BX198,Std_Cu3_Code,INDEX(Std_Cu3_Table,0,3)))),"")))</f>
        <v/>
      </c>
      <c r="CB198" s="829" t="str" cm="1">
        <f t="array" ref="CB198">IF($BP198="","",IF($BX198="",$BS198,IFERROR(IF($BV198="AL",_xlfn.XLOOKUP($BX198,Std_Al3_Code,INDEX(Std_Al3_Table,0,5)),IF($G198=1,_xlfn.XLOOKUP($BX198,Std_Cu1_Code,INDEX(Std_Cu1_Table,0,5)),_xlfn.XLOOKUP($BX198,Std_Cu3_Code,INDEX(Std_Cu3_Table,0,5)))),"")))</f>
        <v/>
      </c>
      <c r="CC198" s="829" t="str">
        <f t="shared" ref="CC198:CC254" si="73">IF($BZ198="","",IFERROR(_xlfn.LET(_xlpm.a,_xlfn.TEXTAFTER($BZ198,"#"),_xlpm.b,IFERROR(_xlfn.TEXTBEFORE(_xlpm.a,","),_xlpm.a),TRIM(_xlpm.b)),""))</f>
        <v/>
      </c>
      <c r="CD198" s="829" t="str">
        <f t="shared" ref="CD198:CD254" si="74">IF($B198="","",IF(UPPER($N198&amp;"")="Y",IF($X198="","—",$X198),IF($X198&lt;&gt;"",$X198,$BY198)))</f>
        <v/>
      </c>
      <c r="CE198" s="829" t="str">
        <f t="shared" ref="CE198:CE254" si="75">IF($B198="","",IF(UPPER($N198&amp;"")="Y",IF($Y198="","EXISTING",$Y198),IF($Y198&lt;&gt;"",$Y198,$BZ198)))</f>
        <v/>
      </c>
      <c r="CF198" s="829" t="str">
        <f t="shared" ref="CF198:CF254" si="76">IF($B198="","",IF(UPPER($N198&amp;"")="Y",IF($Z198="","—",$Z198),IF($Z198&lt;&gt;"",$Z198,$CA198)))</f>
        <v/>
      </c>
      <c r="CG198" s="829" t="str">
        <f t="shared" ref="CG198:CG254" si="77">IF($B198="","",IF(UPPER($N198&amp;"")="Y",IF($AA198="","—",$AA198),IF($AA198&lt;&gt;"",$AA198,$CB198)))</f>
        <v/>
      </c>
      <c r="CH198" s="829" t="str">
        <f t="shared" ref="CH198:CH254" si="78">IF($CE198="","",IFERROR(_xlfn.LET(_xlpm.a,_xlfn.TEXTAFTER($CE198,"#"),_xlpm.b,IFERROR(_xlfn.TEXTBEFORE(_xlpm.a,","),_xlpm.a),TRIM(_xlpm.b)),""))</f>
        <v/>
      </c>
      <c r="CI198" s="829" t="str">
        <f t="shared" ref="CI198:CI254" si="79">IF($B198="","",IF(COUNTA($X198:$AA198)=0,"","✎ Manual override — "&amp;_xlfn.TEXTJOIN(", ",TRUE,IF($X198&lt;&gt;"","sets",""),IF($Y198&lt;&gt;"","conductor",""),IF($Z198&lt;&gt;"","conduit",""),IF($AA198&lt;&gt;"","ground",""))))</f>
        <v/>
      </c>
      <c r="CJ198" s="829" t="str" cm="1">
        <f t="array" ref="CJ198">IF($B198="","",_xlfn.LET(_xlpm.to,$D198&amp;"",_xlpm.em,IFERROR(INDEX(_xlfn.ANCHORARRAY($BE$4),ROW()-4,6),"")="EMERG",_xlpm.pri,AND(NOT(_xlpm.em),LEFT(_xlpm.to,2)="T-",ISNUMBER(MATCH(MID(_xlpm.to,3,99),Equip_List,0)),ISNA(MATCH(_xlpm.to,Equip_List,0))),IF(_xlpm.pri,MID(_xlpm.to,3,99),_xlpm.to)))</f>
        <v/>
      </c>
      <c r="CK198" s="829" t="str" cm="1">
        <f t="array" ref="CK198">IF($CJ198="","",IF(IFERROR(INDEX(_xlfn.ANCHORARRAY($BE$4),ROW()-4,6),"")="EMERG","E",IF($CJ198&lt;&gt;$D198&amp;"","P","N")))</f>
        <v/>
      </c>
    </row>
    <row r="199" spans="1:89" ht="15" customHeight="1" x14ac:dyDescent="0.35">
      <c r="A199" s="821" t="str">
        <f t="shared" si="67"/>
        <v/>
      </c>
      <c r="B199" s="821" t="str" cm="1">
        <f t="array" ref="B199">IFERROR(IF(INDEX(_xlfn.ANCHORARRAY($BE$4),ROW()-4,2)="","","F-"&amp;INDEX(_xlfn.ANCHORARRAY($BE$4),ROW()-4,2)&amp;IF(IFERROR(INDEX(_xlfn.ANCHORARRAY($BE$4),ROW()-4,6),"")="EMERG","-E","")),"")</f>
        <v/>
      </c>
      <c r="C199" s="821" t="str" cm="1">
        <f t="array" ref="C199">IFERROR(IF($B199="","",INDEX(_xlfn.ANCHORARRAY($BE$4),ROW()-4,1)),"")</f>
        <v/>
      </c>
      <c r="D199" s="821" t="str" cm="1">
        <f t="array" ref="D199">IFERROR(IF($B199="","",INDEX(_xlfn.ANCHORARRAY($BE$4),ROW()-4,2)),"")</f>
        <v/>
      </c>
      <c r="E199" s="806" t="str" cm="1">
        <f t="array" ref="E199">IFERROR(IF($B199="","",INDEX(_xlfn.ANCHORARRAY($BE$4),ROW()-4,3)),"")</f>
        <v/>
      </c>
      <c r="F199" s="822" t="str" cm="1">
        <f t="array" ref="F199">IFERROR(IF($B199="","",INDEX(_xlfn.ANCHORARRAY($BE$4),ROW()-4,4)),"")</f>
        <v/>
      </c>
      <c r="G199" s="823" t="str" cm="1">
        <f t="array" ref="G199">IFERROR(IF($B199="","",INDEX(_xlfn.ANCHORARRAY($BE$4),ROW()-4,5)),"")</f>
        <v/>
      </c>
      <c r="H199" s="824" t="str" cm="1">
        <f t="array" ref="H199">IF($CJ199="","",_xlfn.LET(_xlpm.v,_xlfn.XLOOKUP($CJ199,Equip_List,IF($CK199="E",Equip_EmLen,IF($CK199="P",Equip_XfPriLen,Equip_FdrLen)),""),IF(_xlpm.v="","",_xlpm.v)))</f>
        <v/>
      </c>
      <c r="I199" s="806" t="str">
        <f t="shared" si="60"/>
        <v/>
      </c>
      <c r="J199" s="820"/>
      <c r="K199" s="806" t="str">
        <f>_xlfn.LET(_xlpm.k,IF($I199="","",IF(COUNTIF(UPS!$B$57:$B$64,$C199&amp;"")&gt;0,1.25*MAX($I199,N(_xlfn.XLOOKUP($C199&amp;"",UPS!$B$57:$B$64,UPS!$M$57:$M$64,0))),IF(COUNTIF(UPS!$B$57:$B$64,$D199&amp;"")&gt;0,1.25*MAX($I199,N(_xlfn.XLOOKUP($D199&amp;"",UPS!$B$57:$B$64,UPS!$Q$57:$Q$64,0))),$I199*IF(OR(UPPER($J199)="Y",LEFT($C199,2)="T-",LEFT($D199,2)="T-"),1.25,1)))),IF(_xlpm.k="","",MAX(_xlpm.k,N(IFERROR(_xlfn.XLOOKUP($D199&amp;"",Dashboard!$A$101:$A$350,Dashboard!$O$101:$O$350,0),0)))))</f>
        <v/>
      </c>
      <c r="L199" s="825" t="str">
        <f>IF($CJ199="","",_xlfn.LET(_xlpm.v,UPPER(TRIM(_xlfn.XLOOKUP($CJ199,Equip_List,Equip_FdrMat,"")&amp;"")),IF(_xlpm.v="",UPPER(TRIM(Cfg_FeederMat&amp;"")),_xlpm.v)))</f>
        <v/>
      </c>
      <c r="M199" s="825" t="str">
        <f>IF($CJ199="","",_xlfn.LET(_xlpm.v,TRIM(_xlfn.XLOOKUP($CJ199,Equip_List,Equip_FdrRace,"")&amp;""),IF(_xlpm.v="",Cfg_Conduit&amp;"",_xlpm.v)))</f>
        <v/>
      </c>
      <c r="N199" s="825" t="str">
        <f>IF($CJ199="","",IF(UPPER(TRIM(_xlfn.XLOOKUP($CJ199,Equip_List,Equip_FdrExist,"")&amp;""))="Y","Y",""))</f>
        <v/>
      </c>
      <c r="O199" s="823" t="str">
        <f t="shared" si="68"/>
        <v/>
      </c>
      <c r="P199" s="821" t="str">
        <f t="shared" si="69"/>
        <v/>
      </c>
      <c r="Q199" s="821" t="str">
        <f t="shared" si="70"/>
        <v/>
      </c>
      <c r="R199" s="822" t="str" cm="1">
        <f t="array" ref="R199">IF(K199="","",INDEX(OCPD_List,MATCH(TRUE,OCPD_List&gt;=K199,0)))</f>
        <v/>
      </c>
      <c r="S199" s="821" t="str">
        <f t="shared" si="71"/>
        <v/>
      </c>
      <c r="T199" s="826" t="str">
        <f t="shared" si="61"/>
        <v/>
      </c>
      <c r="U199" s="826" t="str">
        <f t="shared" si="62"/>
        <v/>
      </c>
      <c r="V199" s="827" t="str">
        <f t="shared" si="63"/>
        <v/>
      </c>
      <c r="W199" s="828"/>
      <c r="X199" s="819"/>
      <c r="Y199" s="820"/>
      <c r="Z199" s="820"/>
      <c r="AA199" s="820"/>
      <c r="BN199" s="832" t="str">
        <f>IF($B199="","",IFERROR(_xlfn.XLOOKUP($D199,Dashboard!$A$101:$A$350,Dashboard!$C$101:$C$350),""))</f>
        <v/>
      </c>
      <c r="BO199" s="832" t="str">
        <f t="shared" si="64"/>
        <v/>
      </c>
      <c r="BP199" s="832" t="str" cm="1">
        <f t="array" ref="BP199">IF(OR($B199="",$R199="",NOT(ISNUMBER($R199))),"",IF(AND($BV199="AL",$G199=1),"",_xlfn.LET(_xlpm.codes,IF($BV199="AL",Std_Al3_Code,IF($G199=1,Std_Cu1_Code,Std_Cu3_Code)),_xlpm.amps,IFERROR(--SUBSTITUTE(_xlpm.codes&amp;"","N",""),""),_xlpm.a,MIN(IF(ISNUMBER(_xlpm.amps),IF(_xlpm.amps&gt;=$R199,_xlpm.amps,""),"")),_xlpm.k,IF(_xlpm.a=0,$R199,_xlpm.a),IF($BO199="Y",TEXT(_xlpm.k,"0")&amp;"N",_xlpm.k))))</f>
        <v/>
      </c>
      <c r="BQ199" s="832" t="str" cm="1">
        <f t="array" ref="BQ199">IF($BP199="","",IFERROR(IF($BV199="AL",_xlfn.XLOOKUP($BP199,Std_Al3_Code,INDEX(Std_Al3_Table,0,3)),IF($G199=1,_xlfn.XLOOKUP($BP199,Std_Cu1_Code,INDEX(Std_Cu1_Table,0,3)),_xlfn.XLOOKUP($BP199,Std_Cu3_Code,INDEX(Std_Cu3_Table,0,3)))),""))</f>
        <v/>
      </c>
      <c r="BR199" s="832" t="str" cm="1">
        <f t="array" ref="BR199">IF($BP199="","",IFERROR(IF($BV199="AL",_xlfn.XLOOKUP($BP199,Std_Al3_Code,INDEX(Std_Al3_Table,0,4)),IF($G199=1,_xlfn.XLOOKUP($BP199,Std_Cu1_Code,INDEX(Std_Cu1_Table,0,4)),_xlfn.XLOOKUP($BP199,Std_Cu3_Code,INDEX(Std_Cu3_Table,0,4)))),""))</f>
        <v/>
      </c>
      <c r="BS199" s="832" t="str" cm="1">
        <f t="array" ref="BS199">IF($BP199="","",IFERROR(IF($BV199="AL",_xlfn.XLOOKUP($BP199,Std_Al3_Code,INDEX(Std_Al3_Table,0,5)),IF($G199=1,_xlfn.XLOOKUP($BP199,Std_Cu1_Code,INDEX(Std_Cu1_Table,0,5)),_xlfn.XLOOKUP($BP199,Std_Cu3_Code,INDEX(Std_Cu3_Table,0,5)))),""))</f>
        <v/>
      </c>
      <c r="BT199" s="832" t="str">
        <f t="shared" si="65"/>
        <v/>
      </c>
      <c r="BU199" s="832" t="str" cm="1">
        <f t="array" ref="BU199">IF($BP199="","",IFERROR(IF($BV199="AL",_xlfn.XLOOKUP($BP199,Std_Al3_Code,INDEX(Std_Al3_Table,0,2)),IF($G199=1,_xlfn.XLOOKUP($BP199,Std_Cu1_Code,INDEX(Std_Cu1_Table,0,2)),_xlfn.XLOOKUP($BP199,Std_Cu3_Code,INDEX(Std_Cu3_Table,0,2)))),""))</f>
        <v/>
      </c>
      <c r="BV199" s="829" t="str">
        <f t="shared" si="66"/>
        <v/>
      </c>
      <c r="BW199" s="829" t="str">
        <f t="shared" si="72"/>
        <v/>
      </c>
      <c r="BX199" s="829" t="str" cm="1">
        <f t="array" ref="BX199">IF(OR($BP199="",$H199="",$I199="",$F199="",$BW199=""),"",IFERROR(_xlfn.LET(_xlpm.codes,IF($BV199="AL",Std_Al3_Code,IF($G199=1,Std_Cu1_Code,Std_Cu3_Code)),_xlpm.tbl,IF($BV199="AL",Std_Al3_Table,IF($G199=1,Std_Cu1_Table,Std_Cu3_Table)),_xlpm.i,MATCH($BP199,_xlpm.codes,0),_xlpm.idx,_xlfn.SEQUENCE(ROWS(_xlpm.codes)),_xlpm.cnd,INDEX(_xlpm.tbl,0,4),_xlpm.sts,INDEX(_xlpm.tbl,0,2),_xlpm.sz,IFERROR(_xlfn.TEXTBEFORE(_xlfn.TEXTAFTER(_xlpm.cnd,"#"),","),IFERROR(_xlfn.TEXTAFTER(_xlpm.cnd,"#"),"")),_xlpm.cm,IFERROR(_xlfn.XLOOKUP(TRIM(_xlpm.sz),Ampacity_Size,Ampacity_CM),0),_xlpm.mult,IF($G199=3,SQRT3,2),_xlpm.kk,IF($BV199="AL",K_Al,K_Cu),_xlpm.vd,IF(_xlpm.cm*IF(ISNUMBER(_xlpm.sts),_xlpm.sts,0)=0,9,_xlpm.mult*_xlpm.kk*$I199*$H199/(_xlpm.cm*_xlpm.sts)/$F199),_xlpm.hasN,--(RIGHT(_xlpm.codes&amp;"",1)="N"),_xlpm.wantN,--(RIGHT($BP199&amp;"",1)="N"),_xlpm.ok,(_xlpm.idx&gt;=_xlpm.i)*(_xlpm.vd&lt;=Cfg_VDFeeder)*(_xlpm.cm&gt;0)*ISNUMBER(_xlpm.sts)*(_xlpm.hasN=_xlpm.wantN),_xlpm.m,MIN(IF(_xlpm.ok=1,_xlpm.idx)),INDEX(_xlpm.codes,IF(_xlpm.m=0,_xlpm.i,_xlpm.m))),""))</f>
        <v/>
      </c>
      <c r="BY199" s="829" t="str" cm="1">
        <f t="array" ref="BY199">IF($BP199="","",IF($BX199="",$BU199,IFERROR(IF($BV199="AL",_xlfn.XLOOKUP($BX199,Std_Al3_Code,INDEX(Std_Al3_Table,0,2)),IF($G199=1,_xlfn.XLOOKUP($BX199,Std_Cu1_Code,INDEX(Std_Cu1_Table,0,2)),_xlfn.XLOOKUP($BX199,Std_Cu3_Code,INDEX(Std_Cu3_Table,0,2)))),"")))</f>
        <v/>
      </c>
      <c r="BZ199" s="829" t="str" cm="1">
        <f t="array" ref="BZ199">IF($BP199="","",IF($BX199="",$BR199,IFERROR(IF($BV199="AL",_xlfn.XLOOKUP($BX199,Std_Al3_Code,INDEX(Std_Al3_Table,0,4)),IF($G199=1,_xlfn.XLOOKUP($BX199,Std_Cu1_Code,INDEX(Std_Cu1_Table,0,4)),_xlfn.XLOOKUP($BX199,Std_Cu3_Code,INDEX(Std_Cu3_Table,0,4)))),"")))</f>
        <v/>
      </c>
      <c r="CA199" s="829" t="str" cm="1">
        <f t="array" ref="CA199">IF($BP199="","",IF($BX199="",$BQ199,IFERROR(IF($BV199="AL",_xlfn.XLOOKUP($BX199,Std_Al3_Code,INDEX(Std_Al3_Table,0,3)),IF($G199=1,_xlfn.XLOOKUP($BX199,Std_Cu1_Code,INDEX(Std_Cu1_Table,0,3)),_xlfn.XLOOKUP($BX199,Std_Cu3_Code,INDEX(Std_Cu3_Table,0,3)))),"")))</f>
        <v/>
      </c>
      <c r="CB199" s="829" t="str" cm="1">
        <f t="array" ref="CB199">IF($BP199="","",IF($BX199="",$BS199,IFERROR(IF($BV199="AL",_xlfn.XLOOKUP($BX199,Std_Al3_Code,INDEX(Std_Al3_Table,0,5)),IF($G199=1,_xlfn.XLOOKUP($BX199,Std_Cu1_Code,INDEX(Std_Cu1_Table,0,5)),_xlfn.XLOOKUP($BX199,Std_Cu3_Code,INDEX(Std_Cu3_Table,0,5)))),"")))</f>
        <v/>
      </c>
      <c r="CC199" s="829" t="str">
        <f t="shared" si="73"/>
        <v/>
      </c>
      <c r="CD199" s="829" t="str">
        <f t="shared" si="74"/>
        <v/>
      </c>
      <c r="CE199" s="829" t="str">
        <f t="shared" si="75"/>
        <v/>
      </c>
      <c r="CF199" s="829" t="str">
        <f t="shared" si="76"/>
        <v/>
      </c>
      <c r="CG199" s="829" t="str">
        <f t="shared" si="77"/>
        <v/>
      </c>
      <c r="CH199" s="829" t="str">
        <f t="shared" si="78"/>
        <v/>
      </c>
      <c r="CI199" s="829" t="str">
        <f t="shared" si="79"/>
        <v/>
      </c>
      <c r="CJ199" s="829" t="str" cm="1">
        <f t="array" ref="CJ199">IF($B199="","",_xlfn.LET(_xlpm.to,$D199&amp;"",_xlpm.em,IFERROR(INDEX(_xlfn.ANCHORARRAY($BE$4),ROW()-4,6),"")="EMERG",_xlpm.pri,AND(NOT(_xlpm.em),LEFT(_xlpm.to,2)="T-",ISNUMBER(MATCH(MID(_xlpm.to,3,99),Equip_List,0)),ISNA(MATCH(_xlpm.to,Equip_List,0))),IF(_xlpm.pri,MID(_xlpm.to,3,99),_xlpm.to)))</f>
        <v/>
      </c>
      <c r="CK199" s="829" t="str" cm="1">
        <f t="array" ref="CK199">IF($CJ199="","",IF(IFERROR(INDEX(_xlfn.ANCHORARRAY($BE$4),ROW()-4,6),"")="EMERG","E",IF($CJ199&lt;&gt;$D199&amp;"","P","N")))</f>
        <v/>
      </c>
    </row>
    <row r="200" spans="1:89" ht="15" customHeight="1" x14ac:dyDescent="0.35">
      <c r="A200" s="821" t="str">
        <f t="shared" si="67"/>
        <v/>
      </c>
      <c r="B200" s="821" t="str" cm="1">
        <f t="array" ref="B200">IFERROR(IF(INDEX(_xlfn.ANCHORARRAY($BE$4),ROW()-4,2)="","","F-"&amp;INDEX(_xlfn.ANCHORARRAY($BE$4),ROW()-4,2)&amp;IF(IFERROR(INDEX(_xlfn.ANCHORARRAY($BE$4),ROW()-4,6),"")="EMERG","-E","")),"")</f>
        <v/>
      </c>
      <c r="C200" s="821" t="str" cm="1">
        <f t="array" ref="C200">IFERROR(IF($B200="","",INDEX(_xlfn.ANCHORARRAY($BE$4),ROW()-4,1)),"")</f>
        <v/>
      </c>
      <c r="D200" s="821" t="str" cm="1">
        <f t="array" ref="D200">IFERROR(IF($B200="","",INDEX(_xlfn.ANCHORARRAY($BE$4),ROW()-4,2)),"")</f>
        <v/>
      </c>
      <c r="E200" s="806" t="str" cm="1">
        <f t="array" ref="E200">IFERROR(IF($B200="","",INDEX(_xlfn.ANCHORARRAY($BE$4),ROW()-4,3)),"")</f>
        <v/>
      </c>
      <c r="F200" s="822" t="str" cm="1">
        <f t="array" ref="F200">IFERROR(IF($B200="","",INDEX(_xlfn.ANCHORARRAY($BE$4),ROW()-4,4)),"")</f>
        <v/>
      </c>
      <c r="G200" s="823" t="str" cm="1">
        <f t="array" ref="G200">IFERROR(IF($B200="","",INDEX(_xlfn.ANCHORARRAY($BE$4),ROW()-4,5)),"")</f>
        <v/>
      </c>
      <c r="H200" s="824" t="str" cm="1">
        <f t="array" ref="H200">IF($CJ200="","",_xlfn.LET(_xlpm.v,_xlfn.XLOOKUP($CJ200,Equip_List,IF($CK200="E",Equip_EmLen,IF($CK200="P",Equip_XfPriLen,Equip_FdrLen)),""),IF(_xlpm.v="","",_xlpm.v)))</f>
        <v/>
      </c>
      <c r="I200" s="806" t="str">
        <f t="shared" si="60"/>
        <v/>
      </c>
      <c r="J200" s="820"/>
      <c r="K200" s="806" t="str">
        <f>_xlfn.LET(_xlpm.k,IF($I200="","",IF(COUNTIF(UPS!$B$57:$B$64,$C200&amp;"")&gt;0,1.25*MAX($I200,N(_xlfn.XLOOKUP($C200&amp;"",UPS!$B$57:$B$64,UPS!$M$57:$M$64,0))),IF(COUNTIF(UPS!$B$57:$B$64,$D200&amp;"")&gt;0,1.25*MAX($I200,N(_xlfn.XLOOKUP($D200&amp;"",UPS!$B$57:$B$64,UPS!$Q$57:$Q$64,0))),$I200*IF(OR(UPPER($J200)="Y",LEFT($C200,2)="T-",LEFT($D200,2)="T-"),1.25,1)))),IF(_xlpm.k="","",MAX(_xlpm.k,N(IFERROR(_xlfn.XLOOKUP($D200&amp;"",Dashboard!$A$101:$A$350,Dashboard!$O$101:$O$350,0),0)))))</f>
        <v/>
      </c>
      <c r="L200" s="825" t="str">
        <f>IF($CJ200="","",_xlfn.LET(_xlpm.v,UPPER(TRIM(_xlfn.XLOOKUP($CJ200,Equip_List,Equip_FdrMat,"")&amp;"")),IF(_xlpm.v="",UPPER(TRIM(Cfg_FeederMat&amp;"")),_xlpm.v)))</f>
        <v/>
      </c>
      <c r="M200" s="825" t="str">
        <f>IF($CJ200="","",_xlfn.LET(_xlpm.v,TRIM(_xlfn.XLOOKUP($CJ200,Equip_List,Equip_FdrRace,"")&amp;""),IF(_xlpm.v="",Cfg_Conduit&amp;"",_xlpm.v)))</f>
        <v/>
      </c>
      <c r="N200" s="825" t="str">
        <f>IF($CJ200="","",IF(UPPER(TRIM(_xlfn.XLOOKUP($CJ200,Equip_List,Equip_FdrExist,"")&amp;""))="Y","Y",""))</f>
        <v/>
      </c>
      <c r="O200" s="823" t="str">
        <f t="shared" si="68"/>
        <v/>
      </c>
      <c r="P200" s="821" t="str">
        <f t="shared" si="69"/>
        <v/>
      </c>
      <c r="Q200" s="821" t="str">
        <f t="shared" si="70"/>
        <v/>
      </c>
      <c r="R200" s="822" t="str" cm="1">
        <f t="array" ref="R200">IF(K200="","",INDEX(OCPD_List,MATCH(TRUE,OCPD_List&gt;=K200,0)))</f>
        <v/>
      </c>
      <c r="S200" s="821" t="str">
        <f t="shared" si="71"/>
        <v/>
      </c>
      <c r="T200" s="826" t="str">
        <f t="shared" si="61"/>
        <v/>
      </c>
      <c r="U200" s="826" t="str">
        <f t="shared" si="62"/>
        <v/>
      </c>
      <c r="V200" s="827" t="str">
        <f t="shared" si="63"/>
        <v/>
      </c>
      <c r="W200" s="828"/>
      <c r="X200" s="819"/>
      <c r="Y200" s="820"/>
      <c r="Z200" s="820"/>
      <c r="AA200" s="820"/>
      <c r="BN200" s="832" t="str">
        <f>IF($B200="","",IFERROR(_xlfn.XLOOKUP($D200,Dashboard!$A$101:$A$350,Dashboard!$C$101:$C$350),""))</f>
        <v/>
      </c>
      <c r="BO200" s="832" t="str">
        <f t="shared" si="64"/>
        <v/>
      </c>
      <c r="BP200" s="832" t="str" cm="1">
        <f t="array" ref="BP200">IF(OR($B200="",$R200="",NOT(ISNUMBER($R200))),"",IF(AND($BV200="AL",$G200=1),"",_xlfn.LET(_xlpm.codes,IF($BV200="AL",Std_Al3_Code,IF($G200=1,Std_Cu1_Code,Std_Cu3_Code)),_xlpm.amps,IFERROR(--SUBSTITUTE(_xlpm.codes&amp;"","N",""),""),_xlpm.a,MIN(IF(ISNUMBER(_xlpm.amps),IF(_xlpm.amps&gt;=$R200,_xlpm.amps,""),"")),_xlpm.k,IF(_xlpm.a=0,$R200,_xlpm.a),IF($BO200="Y",TEXT(_xlpm.k,"0")&amp;"N",_xlpm.k))))</f>
        <v/>
      </c>
      <c r="BQ200" s="832" t="str" cm="1">
        <f t="array" ref="BQ200">IF($BP200="","",IFERROR(IF($BV200="AL",_xlfn.XLOOKUP($BP200,Std_Al3_Code,INDEX(Std_Al3_Table,0,3)),IF($G200=1,_xlfn.XLOOKUP($BP200,Std_Cu1_Code,INDEX(Std_Cu1_Table,0,3)),_xlfn.XLOOKUP($BP200,Std_Cu3_Code,INDEX(Std_Cu3_Table,0,3)))),""))</f>
        <v/>
      </c>
      <c r="BR200" s="832" t="str" cm="1">
        <f t="array" ref="BR200">IF($BP200="","",IFERROR(IF($BV200="AL",_xlfn.XLOOKUP($BP200,Std_Al3_Code,INDEX(Std_Al3_Table,0,4)),IF($G200=1,_xlfn.XLOOKUP($BP200,Std_Cu1_Code,INDEX(Std_Cu1_Table,0,4)),_xlfn.XLOOKUP($BP200,Std_Cu3_Code,INDEX(Std_Cu3_Table,0,4)))),""))</f>
        <v/>
      </c>
      <c r="BS200" s="832" t="str" cm="1">
        <f t="array" ref="BS200">IF($BP200="","",IFERROR(IF($BV200="AL",_xlfn.XLOOKUP($BP200,Std_Al3_Code,INDEX(Std_Al3_Table,0,5)),IF($G200=1,_xlfn.XLOOKUP($BP200,Std_Cu1_Code,INDEX(Std_Cu1_Table,0,5)),_xlfn.XLOOKUP($BP200,Std_Cu3_Code,INDEX(Std_Cu3_Table,0,5)))),""))</f>
        <v/>
      </c>
      <c r="BT200" s="832" t="str">
        <f t="shared" si="65"/>
        <v/>
      </c>
      <c r="BU200" s="832" t="str" cm="1">
        <f t="array" ref="BU200">IF($BP200="","",IFERROR(IF($BV200="AL",_xlfn.XLOOKUP($BP200,Std_Al3_Code,INDEX(Std_Al3_Table,0,2)),IF($G200=1,_xlfn.XLOOKUP($BP200,Std_Cu1_Code,INDEX(Std_Cu1_Table,0,2)),_xlfn.XLOOKUP($BP200,Std_Cu3_Code,INDEX(Std_Cu3_Table,0,2)))),""))</f>
        <v/>
      </c>
      <c r="BV200" s="829" t="str">
        <f t="shared" si="66"/>
        <v/>
      </c>
      <c r="BW200" s="829" t="str">
        <f t="shared" si="72"/>
        <v/>
      </c>
      <c r="BX200" s="829" t="str" cm="1">
        <f t="array" ref="BX200">IF(OR($BP200="",$H200="",$I200="",$F200="",$BW200=""),"",IFERROR(_xlfn.LET(_xlpm.codes,IF($BV200="AL",Std_Al3_Code,IF($G200=1,Std_Cu1_Code,Std_Cu3_Code)),_xlpm.tbl,IF($BV200="AL",Std_Al3_Table,IF($G200=1,Std_Cu1_Table,Std_Cu3_Table)),_xlpm.i,MATCH($BP200,_xlpm.codes,0),_xlpm.idx,_xlfn.SEQUENCE(ROWS(_xlpm.codes)),_xlpm.cnd,INDEX(_xlpm.tbl,0,4),_xlpm.sts,INDEX(_xlpm.tbl,0,2),_xlpm.sz,IFERROR(_xlfn.TEXTBEFORE(_xlfn.TEXTAFTER(_xlpm.cnd,"#"),","),IFERROR(_xlfn.TEXTAFTER(_xlpm.cnd,"#"),"")),_xlpm.cm,IFERROR(_xlfn.XLOOKUP(TRIM(_xlpm.sz),Ampacity_Size,Ampacity_CM),0),_xlpm.mult,IF($G200=3,SQRT3,2),_xlpm.kk,IF($BV200="AL",K_Al,K_Cu),_xlpm.vd,IF(_xlpm.cm*IF(ISNUMBER(_xlpm.sts),_xlpm.sts,0)=0,9,_xlpm.mult*_xlpm.kk*$I200*$H200/(_xlpm.cm*_xlpm.sts)/$F200),_xlpm.hasN,--(RIGHT(_xlpm.codes&amp;"",1)="N"),_xlpm.wantN,--(RIGHT($BP200&amp;"",1)="N"),_xlpm.ok,(_xlpm.idx&gt;=_xlpm.i)*(_xlpm.vd&lt;=Cfg_VDFeeder)*(_xlpm.cm&gt;0)*ISNUMBER(_xlpm.sts)*(_xlpm.hasN=_xlpm.wantN),_xlpm.m,MIN(IF(_xlpm.ok=1,_xlpm.idx)),INDEX(_xlpm.codes,IF(_xlpm.m=0,_xlpm.i,_xlpm.m))),""))</f>
        <v/>
      </c>
      <c r="BY200" s="829" t="str" cm="1">
        <f t="array" ref="BY200">IF($BP200="","",IF($BX200="",$BU200,IFERROR(IF($BV200="AL",_xlfn.XLOOKUP($BX200,Std_Al3_Code,INDEX(Std_Al3_Table,0,2)),IF($G200=1,_xlfn.XLOOKUP($BX200,Std_Cu1_Code,INDEX(Std_Cu1_Table,0,2)),_xlfn.XLOOKUP($BX200,Std_Cu3_Code,INDEX(Std_Cu3_Table,0,2)))),"")))</f>
        <v/>
      </c>
      <c r="BZ200" s="829" t="str" cm="1">
        <f t="array" ref="BZ200">IF($BP200="","",IF($BX200="",$BR200,IFERROR(IF($BV200="AL",_xlfn.XLOOKUP($BX200,Std_Al3_Code,INDEX(Std_Al3_Table,0,4)),IF($G200=1,_xlfn.XLOOKUP($BX200,Std_Cu1_Code,INDEX(Std_Cu1_Table,0,4)),_xlfn.XLOOKUP($BX200,Std_Cu3_Code,INDEX(Std_Cu3_Table,0,4)))),"")))</f>
        <v/>
      </c>
      <c r="CA200" s="829" t="str" cm="1">
        <f t="array" ref="CA200">IF($BP200="","",IF($BX200="",$BQ200,IFERROR(IF($BV200="AL",_xlfn.XLOOKUP($BX200,Std_Al3_Code,INDEX(Std_Al3_Table,0,3)),IF($G200=1,_xlfn.XLOOKUP($BX200,Std_Cu1_Code,INDEX(Std_Cu1_Table,0,3)),_xlfn.XLOOKUP($BX200,Std_Cu3_Code,INDEX(Std_Cu3_Table,0,3)))),"")))</f>
        <v/>
      </c>
      <c r="CB200" s="829" t="str" cm="1">
        <f t="array" ref="CB200">IF($BP200="","",IF($BX200="",$BS200,IFERROR(IF($BV200="AL",_xlfn.XLOOKUP($BX200,Std_Al3_Code,INDEX(Std_Al3_Table,0,5)),IF($G200=1,_xlfn.XLOOKUP($BX200,Std_Cu1_Code,INDEX(Std_Cu1_Table,0,5)),_xlfn.XLOOKUP($BX200,Std_Cu3_Code,INDEX(Std_Cu3_Table,0,5)))),"")))</f>
        <v/>
      </c>
      <c r="CC200" s="829" t="str">
        <f t="shared" si="73"/>
        <v/>
      </c>
      <c r="CD200" s="829" t="str">
        <f t="shared" si="74"/>
        <v/>
      </c>
      <c r="CE200" s="829" t="str">
        <f t="shared" si="75"/>
        <v/>
      </c>
      <c r="CF200" s="829" t="str">
        <f t="shared" si="76"/>
        <v/>
      </c>
      <c r="CG200" s="829" t="str">
        <f t="shared" si="77"/>
        <v/>
      </c>
      <c r="CH200" s="829" t="str">
        <f t="shared" si="78"/>
        <v/>
      </c>
      <c r="CI200" s="829" t="str">
        <f t="shared" si="79"/>
        <v/>
      </c>
      <c r="CJ200" s="829" t="str" cm="1">
        <f t="array" ref="CJ200">IF($B200="","",_xlfn.LET(_xlpm.to,$D200&amp;"",_xlpm.em,IFERROR(INDEX(_xlfn.ANCHORARRAY($BE$4),ROW()-4,6),"")="EMERG",_xlpm.pri,AND(NOT(_xlpm.em),LEFT(_xlpm.to,2)="T-",ISNUMBER(MATCH(MID(_xlpm.to,3,99),Equip_List,0)),ISNA(MATCH(_xlpm.to,Equip_List,0))),IF(_xlpm.pri,MID(_xlpm.to,3,99),_xlpm.to)))</f>
        <v/>
      </c>
      <c r="CK200" s="829" t="str" cm="1">
        <f t="array" ref="CK200">IF($CJ200="","",IF(IFERROR(INDEX(_xlfn.ANCHORARRAY($BE$4),ROW()-4,6),"")="EMERG","E",IF($CJ200&lt;&gt;$D200&amp;"","P","N")))</f>
        <v/>
      </c>
    </row>
    <row r="201" spans="1:89" ht="15" customHeight="1" x14ac:dyDescent="0.35">
      <c r="A201" s="821" t="str">
        <f t="shared" si="67"/>
        <v/>
      </c>
      <c r="B201" s="821" t="str" cm="1">
        <f t="array" ref="B201">IFERROR(IF(INDEX(_xlfn.ANCHORARRAY($BE$4),ROW()-4,2)="","","F-"&amp;INDEX(_xlfn.ANCHORARRAY($BE$4),ROW()-4,2)&amp;IF(IFERROR(INDEX(_xlfn.ANCHORARRAY($BE$4),ROW()-4,6),"")="EMERG","-E","")),"")</f>
        <v/>
      </c>
      <c r="C201" s="821" t="str" cm="1">
        <f t="array" ref="C201">IFERROR(IF($B201="","",INDEX(_xlfn.ANCHORARRAY($BE$4),ROW()-4,1)),"")</f>
        <v/>
      </c>
      <c r="D201" s="821" t="str" cm="1">
        <f t="array" ref="D201">IFERROR(IF($B201="","",INDEX(_xlfn.ANCHORARRAY($BE$4),ROW()-4,2)),"")</f>
        <v/>
      </c>
      <c r="E201" s="806" t="str" cm="1">
        <f t="array" ref="E201">IFERROR(IF($B201="","",INDEX(_xlfn.ANCHORARRAY($BE$4),ROW()-4,3)),"")</f>
        <v/>
      </c>
      <c r="F201" s="822" t="str" cm="1">
        <f t="array" ref="F201">IFERROR(IF($B201="","",INDEX(_xlfn.ANCHORARRAY($BE$4),ROW()-4,4)),"")</f>
        <v/>
      </c>
      <c r="G201" s="823" t="str" cm="1">
        <f t="array" ref="G201">IFERROR(IF($B201="","",INDEX(_xlfn.ANCHORARRAY($BE$4),ROW()-4,5)),"")</f>
        <v/>
      </c>
      <c r="H201" s="824" t="str" cm="1">
        <f t="array" ref="H201">IF($CJ201="","",_xlfn.LET(_xlpm.v,_xlfn.XLOOKUP($CJ201,Equip_List,IF($CK201="E",Equip_EmLen,IF($CK201="P",Equip_XfPriLen,Equip_FdrLen)),""),IF(_xlpm.v="","",_xlpm.v)))</f>
        <v/>
      </c>
      <c r="I201" s="806" t="str">
        <f t="shared" si="60"/>
        <v/>
      </c>
      <c r="J201" s="820"/>
      <c r="K201" s="806" t="str">
        <f>_xlfn.LET(_xlpm.k,IF($I201="","",IF(COUNTIF(UPS!$B$57:$B$64,$C201&amp;"")&gt;0,1.25*MAX($I201,N(_xlfn.XLOOKUP($C201&amp;"",UPS!$B$57:$B$64,UPS!$M$57:$M$64,0))),IF(COUNTIF(UPS!$B$57:$B$64,$D201&amp;"")&gt;0,1.25*MAX($I201,N(_xlfn.XLOOKUP($D201&amp;"",UPS!$B$57:$B$64,UPS!$Q$57:$Q$64,0))),$I201*IF(OR(UPPER($J201)="Y",LEFT($C201,2)="T-",LEFT($D201,2)="T-"),1.25,1)))),IF(_xlpm.k="","",MAX(_xlpm.k,N(IFERROR(_xlfn.XLOOKUP($D201&amp;"",Dashboard!$A$101:$A$350,Dashboard!$O$101:$O$350,0),0)))))</f>
        <v/>
      </c>
      <c r="L201" s="825" t="str">
        <f>IF($CJ201="","",_xlfn.LET(_xlpm.v,UPPER(TRIM(_xlfn.XLOOKUP($CJ201,Equip_List,Equip_FdrMat,"")&amp;"")),IF(_xlpm.v="",UPPER(TRIM(Cfg_FeederMat&amp;"")),_xlpm.v)))</f>
        <v/>
      </c>
      <c r="M201" s="825" t="str">
        <f>IF($CJ201="","",_xlfn.LET(_xlpm.v,TRIM(_xlfn.XLOOKUP($CJ201,Equip_List,Equip_FdrRace,"")&amp;""),IF(_xlpm.v="",Cfg_Conduit&amp;"",_xlpm.v)))</f>
        <v/>
      </c>
      <c r="N201" s="825" t="str">
        <f>IF($CJ201="","",IF(UPPER(TRIM(_xlfn.XLOOKUP($CJ201,Equip_List,Equip_FdrExist,"")&amp;""))="Y","Y",""))</f>
        <v/>
      </c>
      <c r="O201" s="823" t="str">
        <f t="shared" si="68"/>
        <v/>
      </c>
      <c r="P201" s="821" t="str">
        <f t="shared" si="69"/>
        <v/>
      </c>
      <c r="Q201" s="821" t="str">
        <f t="shared" si="70"/>
        <v/>
      </c>
      <c r="R201" s="822" t="str" cm="1">
        <f t="array" ref="R201">IF(K201="","",INDEX(OCPD_List,MATCH(TRUE,OCPD_List&gt;=K201,0)))</f>
        <v/>
      </c>
      <c r="S201" s="821" t="str">
        <f t="shared" si="71"/>
        <v/>
      </c>
      <c r="T201" s="826" t="str">
        <f t="shared" si="61"/>
        <v/>
      </c>
      <c r="U201" s="826" t="str">
        <f t="shared" si="62"/>
        <v/>
      </c>
      <c r="V201" s="827" t="str">
        <f t="shared" si="63"/>
        <v/>
      </c>
      <c r="W201" s="828"/>
      <c r="X201" s="819"/>
      <c r="Y201" s="820"/>
      <c r="Z201" s="820"/>
      <c r="AA201" s="820"/>
      <c r="BN201" s="832" t="str">
        <f>IF($B201="","",IFERROR(_xlfn.XLOOKUP($D201,Dashboard!$A$101:$A$350,Dashboard!$C$101:$C$350),""))</f>
        <v/>
      </c>
      <c r="BO201" s="832" t="str">
        <f t="shared" si="64"/>
        <v/>
      </c>
      <c r="BP201" s="832" t="str" cm="1">
        <f t="array" ref="BP201">IF(OR($B201="",$R201="",NOT(ISNUMBER($R201))),"",IF(AND($BV201="AL",$G201=1),"",_xlfn.LET(_xlpm.codes,IF($BV201="AL",Std_Al3_Code,IF($G201=1,Std_Cu1_Code,Std_Cu3_Code)),_xlpm.amps,IFERROR(--SUBSTITUTE(_xlpm.codes&amp;"","N",""),""),_xlpm.a,MIN(IF(ISNUMBER(_xlpm.amps),IF(_xlpm.amps&gt;=$R201,_xlpm.amps,""),"")),_xlpm.k,IF(_xlpm.a=0,$R201,_xlpm.a),IF($BO201="Y",TEXT(_xlpm.k,"0")&amp;"N",_xlpm.k))))</f>
        <v/>
      </c>
      <c r="BQ201" s="832" t="str" cm="1">
        <f t="array" ref="BQ201">IF($BP201="","",IFERROR(IF($BV201="AL",_xlfn.XLOOKUP($BP201,Std_Al3_Code,INDEX(Std_Al3_Table,0,3)),IF($G201=1,_xlfn.XLOOKUP($BP201,Std_Cu1_Code,INDEX(Std_Cu1_Table,0,3)),_xlfn.XLOOKUP($BP201,Std_Cu3_Code,INDEX(Std_Cu3_Table,0,3)))),""))</f>
        <v/>
      </c>
      <c r="BR201" s="832" t="str" cm="1">
        <f t="array" ref="BR201">IF($BP201="","",IFERROR(IF($BV201="AL",_xlfn.XLOOKUP($BP201,Std_Al3_Code,INDEX(Std_Al3_Table,0,4)),IF($G201=1,_xlfn.XLOOKUP($BP201,Std_Cu1_Code,INDEX(Std_Cu1_Table,0,4)),_xlfn.XLOOKUP($BP201,Std_Cu3_Code,INDEX(Std_Cu3_Table,0,4)))),""))</f>
        <v/>
      </c>
      <c r="BS201" s="832" t="str" cm="1">
        <f t="array" ref="BS201">IF($BP201="","",IFERROR(IF($BV201="AL",_xlfn.XLOOKUP($BP201,Std_Al3_Code,INDEX(Std_Al3_Table,0,5)),IF($G201=1,_xlfn.XLOOKUP($BP201,Std_Cu1_Code,INDEX(Std_Cu1_Table,0,5)),_xlfn.XLOOKUP($BP201,Std_Cu3_Code,INDEX(Std_Cu3_Table,0,5)))),""))</f>
        <v/>
      </c>
      <c r="BT201" s="832" t="str">
        <f t="shared" si="65"/>
        <v/>
      </c>
      <c r="BU201" s="832" t="str" cm="1">
        <f t="array" ref="BU201">IF($BP201="","",IFERROR(IF($BV201="AL",_xlfn.XLOOKUP($BP201,Std_Al3_Code,INDEX(Std_Al3_Table,0,2)),IF($G201=1,_xlfn.XLOOKUP($BP201,Std_Cu1_Code,INDEX(Std_Cu1_Table,0,2)),_xlfn.XLOOKUP($BP201,Std_Cu3_Code,INDEX(Std_Cu3_Table,0,2)))),""))</f>
        <v/>
      </c>
      <c r="BV201" s="829" t="str">
        <f t="shared" si="66"/>
        <v/>
      </c>
      <c r="BW201" s="829" t="str">
        <f t="shared" si="72"/>
        <v/>
      </c>
      <c r="BX201" s="829" t="str" cm="1">
        <f t="array" ref="BX201">IF(OR($BP201="",$H201="",$I201="",$F201="",$BW201=""),"",IFERROR(_xlfn.LET(_xlpm.codes,IF($BV201="AL",Std_Al3_Code,IF($G201=1,Std_Cu1_Code,Std_Cu3_Code)),_xlpm.tbl,IF($BV201="AL",Std_Al3_Table,IF($G201=1,Std_Cu1_Table,Std_Cu3_Table)),_xlpm.i,MATCH($BP201,_xlpm.codes,0),_xlpm.idx,_xlfn.SEQUENCE(ROWS(_xlpm.codes)),_xlpm.cnd,INDEX(_xlpm.tbl,0,4),_xlpm.sts,INDEX(_xlpm.tbl,0,2),_xlpm.sz,IFERROR(_xlfn.TEXTBEFORE(_xlfn.TEXTAFTER(_xlpm.cnd,"#"),","),IFERROR(_xlfn.TEXTAFTER(_xlpm.cnd,"#"),"")),_xlpm.cm,IFERROR(_xlfn.XLOOKUP(TRIM(_xlpm.sz),Ampacity_Size,Ampacity_CM),0),_xlpm.mult,IF($G201=3,SQRT3,2),_xlpm.kk,IF($BV201="AL",K_Al,K_Cu),_xlpm.vd,IF(_xlpm.cm*IF(ISNUMBER(_xlpm.sts),_xlpm.sts,0)=0,9,_xlpm.mult*_xlpm.kk*$I201*$H201/(_xlpm.cm*_xlpm.sts)/$F201),_xlpm.hasN,--(RIGHT(_xlpm.codes&amp;"",1)="N"),_xlpm.wantN,--(RIGHT($BP201&amp;"",1)="N"),_xlpm.ok,(_xlpm.idx&gt;=_xlpm.i)*(_xlpm.vd&lt;=Cfg_VDFeeder)*(_xlpm.cm&gt;0)*ISNUMBER(_xlpm.sts)*(_xlpm.hasN=_xlpm.wantN),_xlpm.m,MIN(IF(_xlpm.ok=1,_xlpm.idx)),INDEX(_xlpm.codes,IF(_xlpm.m=0,_xlpm.i,_xlpm.m))),""))</f>
        <v/>
      </c>
      <c r="BY201" s="829" t="str" cm="1">
        <f t="array" ref="BY201">IF($BP201="","",IF($BX201="",$BU201,IFERROR(IF($BV201="AL",_xlfn.XLOOKUP($BX201,Std_Al3_Code,INDEX(Std_Al3_Table,0,2)),IF($G201=1,_xlfn.XLOOKUP($BX201,Std_Cu1_Code,INDEX(Std_Cu1_Table,0,2)),_xlfn.XLOOKUP($BX201,Std_Cu3_Code,INDEX(Std_Cu3_Table,0,2)))),"")))</f>
        <v/>
      </c>
      <c r="BZ201" s="829" t="str" cm="1">
        <f t="array" ref="BZ201">IF($BP201="","",IF($BX201="",$BR201,IFERROR(IF($BV201="AL",_xlfn.XLOOKUP($BX201,Std_Al3_Code,INDEX(Std_Al3_Table,0,4)),IF($G201=1,_xlfn.XLOOKUP($BX201,Std_Cu1_Code,INDEX(Std_Cu1_Table,0,4)),_xlfn.XLOOKUP($BX201,Std_Cu3_Code,INDEX(Std_Cu3_Table,0,4)))),"")))</f>
        <v/>
      </c>
      <c r="CA201" s="829" t="str" cm="1">
        <f t="array" ref="CA201">IF($BP201="","",IF($BX201="",$BQ201,IFERROR(IF($BV201="AL",_xlfn.XLOOKUP($BX201,Std_Al3_Code,INDEX(Std_Al3_Table,0,3)),IF($G201=1,_xlfn.XLOOKUP($BX201,Std_Cu1_Code,INDEX(Std_Cu1_Table,0,3)),_xlfn.XLOOKUP($BX201,Std_Cu3_Code,INDEX(Std_Cu3_Table,0,3)))),"")))</f>
        <v/>
      </c>
      <c r="CB201" s="829" t="str" cm="1">
        <f t="array" ref="CB201">IF($BP201="","",IF($BX201="",$BS201,IFERROR(IF($BV201="AL",_xlfn.XLOOKUP($BX201,Std_Al3_Code,INDEX(Std_Al3_Table,0,5)),IF($G201=1,_xlfn.XLOOKUP($BX201,Std_Cu1_Code,INDEX(Std_Cu1_Table,0,5)),_xlfn.XLOOKUP($BX201,Std_Cu3_Code,INDEX(Std_Cu3_Table,0,5)))),"")))</f>
        <v/>
      </c>
      <c r="CC201" s="829" t="str">
        <f t="shared" si="73"/>
        <v/>
      </c>
      <c r="CD201" s="829" t="str">
        <f t="shared" si="74"/>
        <v/>
      </c>
      <c r="CE201" s="829" t="str">
        <f t="shared" si="75"/>
        <v/>
      </c>
      <c r="CF201" s="829" t="str">
        <f t="shared" si="76"/>
        <v/>
      </c>
      <c r="CG201" s="829" t="str">
        <f t="shared" si="77"/>
        <v/>
      </c>
      <c r="CH201" s="829" t="str">
        <f t="shared" si="78"/>
        <v/>
      </c>
      <c r="CI201" s="829" t="str">
        <f t="shared" si="79"/>
        <v/>
      </c>
      <c r="CJ201" s="829" t="str" cm="1">
        <f t="array" ref="CJ201">IF($B201="","",_xlfn.LET(_xlpm.to,$D201&amp;"",_xlpm.em,IFERROR(INDEX(_xlfn.ANCHORARRAY($BE$4),ROW()-4,6),"")="EMERG",_xlpm.pri,AND(NOT(_xlpm.em),LEFT(_xlpm.to,2)="T-",ISNUMBER(MATCH(MID(_xlpm.to,3,99),Equip_List,0)),ISNA(MATCH(_xlpm.to,Equip_List,0))),IF(_xlpm.pri,MID(_xlpm.to,3,99),_xlpm.to)))</f>
        <v/>
      </c>
      <c r="CK201" s="829" t="str" cm="1">
        <f t="array" ref="CK201">IF($CJ201="","",IF(IFERROR(INDEX(_xlfn.ANCHORARRAY($BE$4),ROW()-4,6),"")="EMERG","E",IF($CJ201&lt;&gt;$D201&amp;"","P","N")))</f>
        <v/>
      </c>
    </row>
    <row r="202" spans="1:89" ht="15" customHeight="1" x14ac:dyDescent="0.35">
      <c r="A202" s="821" t="str">
        <f t="shared" si="67"/>
        <v/>
      </c>
      <c r="B202" s="821" t="str" cm="1">
        <f t="array" ref="B202">IFERROR(IF(INDEX(_xlfn.ANCHORARRAY($BE$4),ROW()-4,2)="","","F-"&amp;INDEX(_xlfn.ANCHORARRAY($BE$4),ROW()-4,2)&amp;IF(IFERROR(INDEX(_xlfn.ANCHORARRAY($BE$4),ROW()-4,6),"")="EMERG","-E","")),"")</f>
        <v/>
      </c>
      <c r="C202" s="821" t="str" cm="1">
        <f t="array" ref="C202">IFERROR(IF($B202="","",INDEX(_xlfn.ANCHORARRAY($BE$4),ROW()-4,1)),"")</f>
        <v/>
      </c>
      <c r="D202" s="821" t="str" cm="1">
        <f t="array" ref="D202">IFERROR(IF($B202="","",INDEX(_xlfn.ANCHORARRAY($BE$4),ROW()-4,2)),"")</f>
        <v/>
      </c>
      <c r="E202" s="806" t="str" cm="1">
        <f t="array" ref="E202">IFERROR(IF($B202="","",INDEX(_xlfn.ANCHORARRAY($BE$4),ROW()-4,3)),"")</f>
        <v/>
      </c>
      <c r="F202" s="822" t="str" cm="1">
        <f t="array" ref="F202">IFERROR(IF($B202="","",INDEX(_xlfn.ANCHORARRAY($BE$4),ROW()-4,4)),"")</f>
        <v/>
      </c>
      <c r="G202" s="823" t="str" cm="1">
        <f t="array" ref="G202">IFERROR(IF($B202="","",INDEX(_xlfn.ANCHORARRAY($BE$4),ROW()-4,5)),"")</f>
        <v/>
      </c>
      <c r="H202" s="824" t="str" cm="1">
        <f t="array" ref="H202">IF($CJ202="","",_xlfn.LET(_xlpm.v,_xlfn.XLOOKUP($CJ202,Equip_List,IF($CK202="E",Equip_EmLen,IF($CK202="P",Equip_XfPriLen,Equip_FdrLen)),""),IF(_xlpm.v="","",_xlpm.v)))</f>
        <v/>
      </c>
      <c r="I202" s="806" t="str">
        <f t="shared" si="60"/>
        <v/>
      </c>
      <c r="J202" s="820"/>
      <c r="K202" s="806" t="str">
        <f>_xlfn.LET(_xlpm.k,IF($I202="","",IF(COUNTIF(UPS!$B$57:$B$64,$C202&amp;"")&gt;0,1.25*MAX($I202,N(_xlfn.XLOOKUP($C202&amp;"",UPS!$B$57:$B$64,UPS!$M$57:$M$64,0))),IF(COUNTIF(UPS!$B$57:$B$64,$D202&amp;"")&gt;0,1.25*MAX($I202,N(_xlfn.XLOOKUP($D202&amp;"",UPS!$B$57:$B$64,UPS!$Q$57:$Q$64,0))),$I202*IF(OR(UPPER($J202)="Y",LEFT($C202,2)="T-",LEFT($D202,2)="T-"),1.25,1)))),IF(_xlpm.k="","",MAX(_xlpm.k,N(IFERROR(_xlfn.XLOOKUP($D202&amp;"",Dashboard!$A$101:$A$350,Dashboard!$O$101:$O$350,0),0)))))</f>
        <v/>
      </c>
      <c r="L202" s="825" t="str">
        <f>IF($CJ202="","",_xlfn.LET(_xlpm.v,UPPER(TRIM(_xlfn.XLOOKUP($CJ202,Equip_List,Equip_FdrMat,"")&amp;"")),IF(_xlpm.v="",UPPER(TRIM(Cfg_FeederMat&amp;"")),_xlpm.v)))</f>
        <v/>
      </c>
      <c r="M202" s="825" t="str">
        <f>IF($CJ202="","",_xlfn.LET(_xlpm.v,TRIM(_xlfn.XLOOKUP($CJ202,Equip_List,Equip_FdrRace,"")&amp;""),IF(_xlpm.v="",Cfg_Conduit&amp;"",_xlpm.v)))</f>
        <v/>
      </c>
      <c r="N202" s="825" t="str">
        <f>IF($CJ202="","",IF(UPPER(TRIM(_xlfn.XLOOKUP($CJ202,Equip_List,Equip_FdrExist,"")&amp;""))="Y","Y",""))</f>
        <v/>
      </c>
      <c r="O202" s="823" t="str">
        <f t="shared" si="68"/>
        <v/>
      </c>
      <c r="P202" s="821" t="str">
        <f t="shared" si="69"/>
        <v/>
      </c>
      <c r="Q202" s="821" t="str">
        <f t="shared" si="70"/>
        <v/>
      </c>
      <c r="R202" s="822" t="str" cm="1">
        <f t="array" ref="R202">IF(K202="","",INDEX(OCPD_List,MATCH(TRUE,OCPD_List&gt;=K202,0)))</f>
        <v/>
      </c>
      <c r="S202" s="821" t="str">
        <f t="shared" si="71"/>
        <v/>
      </c>
      <c r="T202" s="826" t="str">
        <f t="shared" si="61"/>
        <v/>
      </c>
      <c r="U202" s="826" t="str">
        <f t="shared" si="62"/>
        <v/>
      </c>
      <c r="V202" s="827" t="str">
        <f t="shared" si="63"/>
        <v/>
      </c>
      <c r="W202" s="828"/>
      <c r="X202" s="819"/>
      <c r="Y202" s="820"/>
      <c r="Z202" s="820"/>
      <c r="AA202" s="820"/>
      <c r="BN202" s="832" t="str">
        <f>IF($B202="","",IFERROR(_xlfn.XLOOKUP($D202,Dashboard!$A$101:$A$350,Dashboard!$C$101:$C$350),""))</f>
        <v/>
      </c>
      <c r="BO202" s="832" t="str">
        <f t="shared" si="64"/>
        <v/>
      </c>
      <c r="BP202" s="832" t="str" cm="1">
        <f t="array" ref="BP202">IF(OR($B202="",$R202="",NOT(ISNUMBER($R202))),"",IF(AND($BV202="AL",$G202=1),"",_xlfn.LET(_xlpm.codes,IF($BV202="AL",Std_Al3_Code,IF($G202=1,Std_Cu1_Code,Std_Cu3_Code)),_xlpm.amps,IFERROR(--SUBSTITUTE(_xlpm.codes&amp;"","N",""),""),_xlpm.a,MIN(IF(ISNUMBER(_xlpm.amps),IF(_xlpm.amps&gt;=$R202,_xlpm.amps,""),"")),_xlpm.k,IF(_xlpm.a=0,$R202,_xlpm.a),IF($BO202="Y",TEXT(_xlpm.k,"0")&amp;"N",_xlpm.k))))</f>
        <v/>
      </c>
      <c r="BQ202" s="832" t="str" cm="1">
        <f t="array" ref="BQ202">IF($BP202="","",IFERROR(IF($BV202="AL",_xlfn.XLOOKUP($BP202,Std_Al3_Code,INDEX(Std_Al3_Table,0,3)),IF($G202=1,_xlfn.XLOOKUP($BP202,Std_Cu1_Code,INDEX(Std_Cu1_Table,0,3)),_xlfn.XLOOKUP($BP202,Std_Cu3_Code,INDEX(Std_Cu3_Table,0,3)))),""))</f>
        <v/>
      </c>
      <c r="BR202" s="832" t="str" cm="1">
        <f t="array" ref="BR202">IF($BP202="","",IFERROR(IF($BV202="AL",_xlfn.XLOOKUP($BP202,Std_Al3_Code,INDEX(Std_Al3_Table,0,4)),IF($G202=1,_xlfn.XLOOKUP($BP202,Std_Cu1_Code,INDEX(Std_Cu1_Table,0,4)),_xlfn.XLOOKUP($BP202,Std_Cu3_Code,INDEX(Std_Cu3_Table,0,4)))),""))</f>
        <v/>
      </c>
      <c r="BS202" s="832" t="str" cm="1">
        <f t="array" ref="BS202">IF($BP202="","",IFERROR(IF($BV202="AL",_xlfn.XLOOKUP($BP202,Std_Al3_Code,INDEX(Std_Al3_Table,0,5)),IF($G202=1,_xlfn.XLOOKUP($BP202,Std_Cu1_Code,INDEX(Std_Cu1_Table,0,5)),_xlfn.XLOOKUP($BP202,Std_Cu3_Code,INDEX(Std_Cu3_Table,0,5)))),""))</f>
        <v/>
      </c>
      <c r="BT202" s="832" t="str">
        <f t="shared" si="65"/>
        <v/>
      </c>
      <c r="BU202" s="832" t="str" cm="1">
        <f t="array" ref="BU202">IF($BP202="","",IFERROR(IF($BV202="AL",_xlfn.XLOOKUP($BP202,Std_Al3_Code,INDEX(Std_Al3_Table,0,2)),IF($G202=1,_xlfn.XLOOKUP($BP202,Std_Cu1_Code,INDEX(Std_Cu1_Table,0,2)),_xlfn.XLOOKUP($BP202,Std_Cu3_Code,INDEX(Std_Cu3_Table,0,2)))),""))</f>
        <v/>
      </c>
      <c r="BV202" s="829" t="str">
        <f t="shared" si="66"/>
        <v/>
      </c>
      <c r="BW202" s="829" t="str">
        <f t="shared" si="72"/>
        <v/>
      </c>
      <c r="BX202" s="829" t="str" cm="1">
        <f t="array" ref="BX202">IF(OR($BP202="",$H202="",$I202="",$F202="",$BW202=""),"",IFERROR(_xlfn.LET(_xlpm.codes,IF($BV202="AL",Std_Al3_Code,IF($G202=1,Std_Cu1_Code,Std_Cu3_Code)),_xlpm.tbl,IF($BV202="AL",Std_Al3_Table,IF($G202=1,Std_Cu1_Table,Std_Cu3_Table)),_xlpm.i,MATCH($BP202,_xlpm.codes,0),_xlpm.idx,_xlfn.SEQUENCE(ROWS(_xlpm.codes)),_xlpm.cnd,INDEX(_xlpm.tbl,0,4),_xlpm.sts,INDEX(_xlpm.tbl,0,2),_xlpm.sz,IFERROR(_xlfn.TEXTBEFORE(_xlfn.TEXTAFTER(_xlpm.cnd,"#"),","),IFERROR(_xlfn.TEXTAFTER(_xlpm.cnd,"#"),"")),_xlpm.cm,IFERROR(_xlfn.XLOOKUP(TRIM(_xlpm.sz),Ampacity_Size,Ampacity_CM),0),_xlpm.mult,IF($G202=3,SQRT3,2),_xlpm.kk,IF($BV202="AL",K_Al,K_Cu),_xlpm.vd,IF(_xlpm.cm*IF(ISNUMBER(_xlpm.sts),_xlpm.sts,0)=0,9,_xlpm.mult*_xlpm.kk*$I202*$H202/(_xlpm.cm*_xlpm.sts)/$F202),_xlpm.hasN,--(RIGHT(_xlpm.codes&amp;"",1)="N"),_xlpm.wantN,--(RIGHT($BP202&amp;"",1)="N"),_xlpm.ok,(_xlpm.idx&gt;=_xlpm.i)*(_xlpm.vd&lt;=Cfg_VDFeeder)*(_xlpm.cm&gt;0)*ISNUMBER(_xlpm.sts)*(_xlpm.hasN=_xlpm.wantN),_xlpm.m,MIN(IF(_xlpm.ok=1,_xlpm.idx)),INDEX(_xlpm.codes,IF(_xlpm.m=0,_xlpm.i,_xlpm.m))),""))</f>
        <v/>
      </c>
      <c r="BY202" s="829" t="str" cm="1">
        <f t="array" ref="BY202">IF($BP202="","",IF($BX202="",$BU202,IFERROR(IF($BV202="AL",_xlfn.XLOOKUP($BX202,Std_Al3_Code,INDEX(Std_Al3_Table,0,2)),IF($G202=1,_xlfn.XLOOKUP($BX202,Std_Cu1_Code,INDEX(Std_Cu1_Table,0,2)),_xlfn.XLOOKUP($BX202,Std_Cu3_Code,INDEX(Std_Cu3_Table,0,2)))),"")))</f>
        <v/>
      </c>
      <c r="BZ202" s="829" t="str" cm="1">
        <f t="array" ref="BZ202">IF($BP202="","",IF($BX202="",$BR202,IFERROR(IF($BV202="AL",_xlfn.XLOOKUP($BX202,Std_Al3_Code,INDEX(Std_Al3_Table,0,4)),IF($G202=1,_xlfn.XLOOKUP($BX202,Std_Cu1_Code,INDEX(Std_Cu1_Table,0,4)),_xlfn.XLOOKUP($BX202,Std_Cu3_Code,INDEX(Std_Cu3_Table,0,4)))),"")))</f>
        <v/>
      </c>
      <c r="CA202" s="829" t="str" cm="1">
        <f t="array" ref="CA202">IF($BP202="","",IF($BX202="",$BQ202,IFERROR(IF($BV202="AL",_xlfn.XLOOKUP($BX202,Std_Al3_Code,INDEX(Std_Al3_Table,0,3)),IF($G202=1,_xlfn.XLOOKUP($BX202,Std_Cu1_Code,INDEX(Std_Cu1_Table,0,3)),_xlfn.XLOOKUP($BX202,Std_Cu3_Code,INDEX(Std_Cu3_Table,0,3)))),"")))</f>
        <v/>
      </c>
      <c r="CB202" s="829" t="str" cm="1">
        <f t="array" ref="CB202">IF($BP202="","",IF($BX202="",$BS202,IFERROR(IF($BV202="AL",_xlfn.XLOOKUP($BX202,Std_Al3_Code,INDEX(Std_Al3_Table,0,5)),IF($G202=1,_xlfn.XLOOKUP($BX202,Std_Cu1_Code,INDEX(Std_Cu1_Table,0,5)),_xlfn.XLOOKUP($BX202,Std_Cu3_Code,INDEX(Std_Cu3_Table,0,5)))),"")))</f>
        <v/>
      </c>
      <c r="CC202" s="829" t="str">
        <f t="shared" si="73"/>
        <v/>
      </c>
      <c r="CD202" s="829" t="str">
        <f t="shared" si="74"/>
        <v/>
      </c>
      <c r="CE202" s="829" t="str">
        <f t="shared" si="75"/>
        <v/>
      </c>
      <c r="CF202" s="829" t="str">
        <f t="shared" si="76"/>
        <v/>
      </c>
      <c r="CG202" s="829" t="str">
        <f t="shared" si="77"/>
        <v/>
      </c>
      <c r="CH202" s="829" t="str">
        <f t="shared" si="78"/>
        <v/>
      </c>
      <c r="CI202" s="829" t="str">
        <f t="shared" si="79"/>
        <v/>
      </c>
      <c r="CJ202" s="829" t="str" cm="1">
        <f t="array" ref="CJ202">IF($B202="","",_xlfn.LET(_xlpm.to,$D202&amp;"",_xlpm.em,IFERROR(INDEX(_xlfn.ANCHORARRAY($BE$4),ROW()-4,6),"")="EMERG",_xlpm.pri,AND(NOT(_xlpm.em),LEFT(_xlpm.to,2)="T-",ISNUMBER(MATCH(MID(_xlpm.to,3,99),Equip_List,0)),ISNA(MATCH(_xlpm.to,Equip_List,0))),IF(_xlpm.pri,MID(_xlpm.to,3,99),_xlpm.to)))</f>
        <v/>
      </c>
      <c r="CK202" s="829" t="str" cm="1">
        <f t="array" ref="CK202">IF($CJ202="","",IF(IFERROR(INDEX(_xlfn.ANCHORARRAY($BE$4),ROW()-4,6),"")="EMERG","E",IF($CJ202&lt;&gt;$D202&amp;"","P","N")))</f>
        <v/>
      </c>
    </row>
    <row r="203" spans="1:89" ht="15" customHeight="1" x14ac:dyDescent="0.35">
      <c r="A203" s="821" t="str">
        <f t="shared" si="67"/>
        <v/>
      </c>
      <c r="B203" s="821" t="str" cm="1">
        <f t="array" ref="B203">IFERROR(IF(INDEX(_xlfn.ANCHORARRAY($BE$4),ROW()-4,2)="","","F-"&amp;INDEX(_xlfn.ANCHORARRAY($BE$4),ROW()-4,2)&amp;IF(IFERROR(INDEX(_xlfn.ANCHORARRAY($BE$4),ROW()-4,6),"")="EMERG","-E","")),"")</f>
        <v/>
      </c>
      <c r="C203" s="821" t="str" cm="1">
        <f t="array" ref="C203">IFERROR(IF($B203="","",INDEX(_xlfn.ANCHORARRAY($BE$4),ROW()-4,1)),"")</f>
        <v/>
      </c>
      <c r="D203" s="821" t="str" cm="1">
        <f t="array" ref="D203">IFERROR(IF($B203="","",INDEX(_xlfn.ANCHORARRAY($BE$4),ROW()-4,2)),"")</f>
        <v/>
      </c>
      <c r="E203" s="806" t="str" cm="1">
        <f t="array" ref="E203">IFERROR(IF($B203="","",INDEX(_xlfn.ANCHORARRAY($BE$4),ROW()-4,3)),"")</f>
        <v/>
      </c>
      <c r="F203" s="822" t="str" cm="1">
        <f t="array" ref="F203">IFERROR(IF($B203="","",INDEX(_xlfn.ANCHORARRAY($BE$4),ROW()-4,4)),"")</f>
        <v/>
      </c>
      <c r="G203" s="823" t="str" cm="1">
        <f t="array" ref="G203">IFERROR(IF($B203="","",INDEX(_xlfn.ANCHORARRAY($BE$4),ROW()-4,5)),"")</f>
        <v/>
      </c>
      <c r="H203" s="824" t="str" cm="1">
        <f t="array" ref="H203">IF($CJ203="","",_xlfn.LET(_xlpm.v,_xlfn.XLOOKUP($CJ203,Equip_List,IF($CK203="E",Equip_EmLen,IF($CK203="P",Equip_XfPriLen,Equip_FdrLen)),""),IF(_xlpm.v="","",_xlpm.v)))</f>
        <v/>
      </c>
      <c r="I203" s="806" t="str">
        <f t="shared" si="60"/>
        <v/>
      </c>
      <c r="J203" s="820"/>
      <c r="K203" s="806" t="str">
        <f>_xlfn.LET(_xlpm.k,IF($I203="","",IF(COUNTIF(UPS!$B$57:$B$64,$C203&amp;"")&gt;0,1.25*MAX($I203,N(_xlfn.XLOOKUP($C203&amp;"",UPS!$B$57:$B$64,UPS!$M$57:$M$64,0))),IF(COUNTIF(UPS!$B$57:$B$64,$D203&amp;"")&gt;0,1.25*MAX($I203,N(_xlfn.XLOOKUP($D203&amp;"",UPS!$B$57:$B$64,UPS!$Q$57:$Q$64,0))),$I203*IF(OR(UPPER($J203)="Y",LEFT($C203,2)="T-",LEFT($D203,2)="T-"),1.25,1)))),IF(_xlpm.k="","",MAX(_xlpm.k,N(IFERROR(_xlfn.XLOOKUP($D203&amp;"",Dashboard!$A$101:$A$350,Dashboard!$O$101:$O$350,0),0)))))</f>
        <v/>
      </c>
      <c r="L203" s="825" t="str">
        <f>IF($CJ203="","",_xlfn.LET(_xlpm.v,UPPER(TRIM(_xlfn.XLOOKUP($CJ203,Equip_List,Equip_FdrMat,"")&amp;"")),IF(_xlpm.v="",UPPER(TRIM(Cfg_FeederMat&amp;"")),_xlpm.v)))</f>
        <v/>
      </c>
      <c r="M203" s="825" t="str">
        <f>IF($CJ203="","",_xlfn.LET(_xlpm.v,TRIM(_xlfn.XLOOKUP($CJ203,Equip_List,Equip_FdrRace,"")&amp;""),IF(_xlpm.v="",Cfg_Conduit&amp;"",_xlpm.v)))</f>
        <v/>
      </c>
      <c r="N203" s="825" t="str">
        <f>IF($CJ203="","",IF(UPPER(TRIM(_xlfn.XLOOKUP($CJ203,Equip_List,Equip_FdrExist,"")&amp;""))="Y","Y",""))</f>
        <v/>
      </c>
      <c r="O203" s="823" t="str">
        <f t="shared" si="68"/>
        <v/>
      </c>
      <c r="P203" s="821" t="str">
        <f t="shared" si="69"/>
        <v/>
      </c>
      <c r="Q203" s="821" t="str">
        <f t="shared" si="70"/>
        <v/>
      </c>
      <c r="R203" s="822" t="str" cm="1">
        <f t="array" ref="R203">IF(K203="","",INDEX(OCPD_List,MATCH(TRUE,OCPD_List&gt;=K203,0)))</f>
        <v/>
      </c>
      <c r="S203" s="821" t="str">
        <f t="shared" si="71"/>
        <v/>
      </c>
      <c r="T203" s="826" t="str">
        <f t="shared" si="61"/>
        <v/>
      </c>
      <c r="U203" s="826" t="str">
        <f t="shared" si="62"/>
        <v/>
      </c>
      <c r="V203" s="827" t="str">
        <f t="shared" si="63"/>
        <v/>
      </c>
      <c r="W203" s="828"/>
      <c r="X203" s="819"/>
      <c r="Y203" s="820"/>
      <c r="Z203" s="820"/>
      <c r="AA203" s="820"/>
      <c r="BN203" s="832" t="str">
        <f>IF($B203="","",IFERROR(_xlfn.XLOOKUP($D203,Dashboard!$A$101:$A$350,Dashboard!$C$101:$C$350),""))</f>
        <v/>
      </c>
      <c r="BO203" s="832" t="str">
        <f t="shared" si="64"/>
        <v/>
      </c>
      <c r="BP203" s="832" t="str" cm="1">
        <f t="array" ref="BP203">IF(OR($B203="",$R203="",NOT(ISNUMBER($R203))),"",IF(AND($BV203="AL",$G203=1),"",_xlfn.LET(_xlpm.codes,IF($BV203="AL",Std_Al3_Code,IF($G203=1,Std_Cu1_Code,Std_Cu3_Code)),_xlpm.amps,IFERROR(--SUBSTITUTE(_xlpm.codes&amp;"","N",""),""),_xlpm.a,MIN(IF(ISNUMBER(_xlpm.amps),IF(_xlpm.amps&gt;=$R203,_xlpm.amps,""),"")),_xlpm.k,IF(_xlpm.a=0,$R203,_xlpm.a),IF($BO203="Y",TEXT(_xlpm.k,"0")&amp;"N",_xlpm.k))))</f>
        <v/>
      </c>
      <c r="BQ203" s="832" t="str" cm="1">
        <f t="array" ref="BQ203">IF($BP203="","",IFERROR(IF($BV203="AL",_xlfn.XLOOKUP($BP203,Std_Al3_Code,INDEX(Std_Al3_Table,0,3)),IF($G203=1,_xlfn.XLOOKUP($BP203,Std_Cu1_Code,INDEX(Std_Cu1_Table,0,3)),_xlfn.XLOOKUP($BP203,Std_Cu3_Code,INDEX(Std_Cu3_Table,0,3)))),""))</f>
        <v/>
      </c>
      <c r="BR203" s="832" t="str" cm="1">
        <f t="array" ref="BR203">IF($BP203="","",IFERROR(IF($BV203="AL",_xlfn.XLOOKUP($BP203,Std_Al3_Code,INDEX(Std_Al3_Table,0,4)),IF($G203=1,_xlfn.XLOOKUP($BP203,Std_Cu1_Code,INDEX(Std_Cu1_Table,0,4)),_xlfn.XLOOKUP($BP203,Std_Cu3_Code,INDEX(Std_Cu3_Table,0,4)))),""))</f>
        <v/>
      </c>
      <c r="BS203" s="832" t="str" cm="1">
        <f t="array" ref="BS203">IF($BP203="","",IFERROR(IF($BV203="AL",_xlfn.XLOOKUP($BP203,Std_Al3_Code,INDEX(Std_Al3_Table,0,5)),IF($G203=1,_xlfn.XLOOKUP($BP203,Std_Cu1_Code,INDEX(Std_Cu1_Table,0,5)),_xlfn.XLOOKUP($BP203,Std_Cu3_Code,INDEX(Std_Cu3_Table,0,5)))),""))</f>
        <v/>
      </c>
      <c r="BT203" s="832" t="str">
        <f t="shared" si="65"/>
        <v/>
      </c>
      <c r="BU203" s="832" t="str" cm="1">
        <f t="array" ref="BU203">IF($BP203="","",IFERROR(IF($BV203="AL",_xlfn.XLOOKUP($BP203,Std_Al3_Code,INDEX(Std_Al3_Table,0,2)),IF($G203=1,_xlfn.XLOOKUP($BP203,Std_Cu1_Code,INDEX(Std_Cu1_Table,0,2)),_xlfn.XLOOKUP($BP203,Std_Cu3_Code,INDEX(Std_Cu3_Table,0,2)))),""))</f>
        <v/>
      </c>
      <c r="BV203" s="829" t="str">
        <f t="shared" si="66"/>
        <v/>
      </c>
      <c r="BW203" s="829" t="str">
        <f t="shared" si="72"/>
        <v/>
      </c>
      <c r="BX203" s="829" t="str" cm="1">
        <f t="array" ref="BX203">IF(OR($BP203="",$H203="",$I203="",$F203="",$BW203=""),"",IFERROR(_xlfn.LET(_xlpm.codes,IF($BV203="AL",Std_Al3_Code,IF($G203=1,Std_Cu1_Code,Std_Cu3_Code)),_xlpm.tbl,IF($BV203="AL",Std_Al3_Table,IF($G203=1,Std_Cu1_Table,Std_Cu3_Table)),_xlpm.i,MATCH($BP203,_xlpm.codes,0),_xlpm.idx,_xlfn.SEQUENCE(ROWS(_xlpm.codes)),_xlpm.cnd,INDEX(_xlpm.tbl,0,4),_xlpm.sts,INDEX(_xlpm.tbl,0,2),_xlpm.sz,IFERROR(_xlfn.TEXTBEFORE(_xlfn.TEXTAFTER(_xlpm.cnd,"#"),","),IFERROR(_xlfn.TEXTAFTER(_xlpm.cnd,"#"),"")),_xlpm.cm,IFERROR(_xlfn.XLOOKUP(TRIM(_xlpm.sz),Ampacity_Size,Ampacity_CM),0),_xlpm.mult,IF($G203=3,SQRT3,2),_xlpm.kk,IF($BV203="AL",K_Al,K_Cu),_xlpm.vd,IF(_xlpm.cm*IF(ISNUMBER(_xlpm.sts),_xlpm.sts,0)=0,9,_xlpm.mult*_xlpm.kk*$I203*$H203/(_xlpm.cm*_xlpm.sts)/$F203),_xlpm.hasN,--(RIGHT(_xlpm.codes&amp;"",1)="N"),_xlpm.wantN,--(RIGHT($BP203&amp;"",1)="N"),_xlpm.ok,(_xlpm.idx&gt;=_xlpm.i)*(_xlpm.vd&lt;=Cfg_VDFeeder)*(_xlpm.cm&gt;0)*ISNUMBER(_xlpm.sts)*(_xlpm.hasN=_xlpm.wantN),_xlpm.m,MIN(IF(_xlpm.ok=1,_xlpm.idx)),INDEX(_xlpm.codes,IF(_xlpm.m=0,_xlpm.i,_xlpm.m))),""))</f>
        <v/>
      </c>
      <c r="BY203" s="829" t="str" cm="1">
        <f t="array" ref="BY203">IF($BP203="","",IF($BX203="",$BU203,IFERROR(IF($BV203="AL",_xlfn.XLOOKUP($BX203,Std_Al3_Code,INDEX(Std_Al3_Table,0,2)),IF($G203=1,_xlfn.XLOOKUP($BX203,Std_Cu1_Code,INDEX(Std_Cu1_Table,0,2)),_xlfn.XLOOKUP($BX203,Std_Cu3_Code,INDEX(Std_Cu3_Table,0,2)))),"")))</f>
        <v/>
      </c>
      <c r="BZ203" s="829" t="str" cm="1">
        <f t="array" ref="BZ203">IF($BP203="","",IF($BX203="",$BR203,IFERROR(IF($BV203="AL",_xlfn.XLOOKUP($BX203,Std_Al3_Code,INDEX(Std_Al3_Table,0,4)),IF($G203=1,_xlfn.XLOOKUP($BX203,Std_Cu1_Code,INDEX(Std_Cu1_Table,0,4)),_xlfn.XLOOKUP($BX203,Std_Cu3_Code,INDEX(Std_Cu3_Table,0,4)))),"")))</f>
        <v/>
      </c>
      <c r="CA203" s="829" t="str" cm="1">
        <f t="array" ref="CA203">IF($BP203="","",IF($BX203="",$BQ203,IFERROR(IF($BV203="AL",_xlfn.XLOOKUP($BX203,Std_Al3_Code,INDEX(Std_Al3_Table,0,3)),IF($G203=1,_xlfn.XLOOKUP($BX203,Std_Cu1_Code,INDEX(Std_Cu1_Table,0,3)),_xlfn.XLOOKUP($BX203,Std_Cu3_Code,INDEX(Std_Cu3_Table,0,3)))),"")))</f>
        <v/>
      </c>
      <c r="CB203" s="829" t="str" cm="1">
        <f t="array" ref="CB203">IF($BP203="","",IF($BX203="",$BS203,IFERROR(IF($BV203="AL",_xlfn.XLOOKUP($BX203,Std_Al3_Code,INDEX(Std_Al3_Table,0,5)),IF($G203=1,_xlfn.XLOOKUP($BX203,Std_Cu1_Code,INDEX(Std_Cu1_Table,0,5)),_xlfn.XLOOKUP($BX203,Std_Cu3_Code,INDEX(Std_Cu3_Table,0,5)))),"")))</f>
        <v/>
      </c>
      <c r="CC203" s="829" t="str">
        <f t="shared" si="73"/>
        <v/>
      </c>
      <c r="CD203" s="829" t="str">
        <f t="shared" si="74"/>
        <v/>
      </c>
      <c r="CE203" s="829" t="str">
        <f t="shared" si="75"/>
        <v/>
      </c>
      <c r="CF203" s="829" t="str">
        <f t="shared" si="76"/>
        <v/>
      </c>
      <c r="CG203" s="829" t="str">
        <f t="shared" si="77"/>
        <v/>
      </c>
      <c r="CH203" s="829" t="str">
        <f t="shared" si="78"/>
        <v/>
      </c>
      <c r="CI203" s="829" t="str">
        <f t="shared" si="79"/>
        <v/>
      </c>
      <c r="CJ203" s="829" t="str" cm="1">
        <f t="array" ref="CJ203">IF($B203="","",_xlfn.LET(_xlpm.to,$D203&amp;"",_xlpm.em,IFERROR(INDEX(_xlfn.ANCHORARRAY($BE$4),ROW()-4,6),"")="EMERG",_xlpm.pri,AND(NOT(_xlpm.em),LEFT(_xlpm.to,2)="T-",ISNUMBER(MATCH(MID(_xlpm.to,3,99),Equip_List,0)),ISNA(MATCH(_xlpm.to,Equip_List,0))),IF(_xlpm.pri,MID(_xlpm.to,3,99),_xlpm.to)))</f>
        <v/>
      </c>
      <c r="CK203" s="829" t="str" cm="1">
        <f t="array" ref="CK203">IF($CJ203="","",IF(IFERROR(INDEX(_xlfn.ANCHORARRAY($BE$4),ROW()-4,6),"")="EMERG","E",IF($CJ203&lt;&gt;$D203&amp;"","P","N")))</f>
        <v/>
      </c>
    </row>
    <row r="204" spans="1:89" ht="15" customHeight="1" x14ac:dyDescent="0.35">
      <c r="A204" s="821" t="str">
        <f t="shared" si="67"/>
        <v/>
      </c>
      <c r="B204" s="821" t="str" cm="1">
        <f t="array" ref="B204">IFERROR(IF(INDEX(_xlfn.ANCHORARRAY($BE$4),ROW()-4,2)="","","F-"&amp;INDEX(_xlfn.ANCHORARRAY($BE$4),ROW()-4,2)&amp;IF(IFERROR(INDEX(_xlfn.ANCHORARRAY($BE$4),ROW()-4,6),"")="EMERG","-E","")),"")</f>
        <v/>
      </c>
      <c r="C204" s="821" t="str" cm="1">
        <f t="array" ref="C204">IFERROR(IF($B204="","",INDEX(_xlfn.ANCHORARRAY($BE$4),ROW()-4,1)),"")</f>
        <v/>
      </c>
      <c r="D204" s="821" t="str" cm="1">
        <f t="array" ref="D204">IFERROR(IF($B204="","",INDEX(_xlfn.ANCHORARRAY($BE$4),ROW()-4,2)),"")</f>
        <v/>
      </c>
      <c r="E204" s="806" t="str" cm="1">
        <f t="array" ref="E204">IFERROR(IF($B204="","",INDEX(_xlfn.ANCHORARRAY($BE$4),ROW()-4,3)),"")</f>
        <v/>
      </c>
      <c r="F204" s="822" t="str" cm="1">
        <f t="array" ref="F204">IFERROR(IF($B204="","",INDEX(_xlfn.ANCHORARRAY($BE$4),ROW()-4,4)),"")</f>
        <v/>
      </c>
      <c r="G204" s="823" t="str" cm="1">
        <f t="array" ref="G204">IFERROR(IF($B204="","",INDEX(_xlfn.ANCHORARRAY($BE$4),ROW()-4,5)),"")</f>
        <v/>
      </c>
      <c r="H204" s="824" t="str" cm="1">
        <f t="array" ref="H204">IF($CJ204="","",_xlfn.LET(_xlpm.v,_xlfn.XLOOKUP($CJ204,Equip_List,IF($CK204="E",Equip_EmLen,IF($CK204="P",Equip_XfPriLen,Equip_FdrLen)),""),IF(_xlpm.v="","",_xlpm.v)))</f>
        <v/>
      </c>
      <c r="I204" s="806" t="str">
        <f t="shared" si="60"/>
        <v/>
      </c>
      <c r="J204" s="820"/>
      <c r="K204" s="806" t="str">
        <f>_xlfn.LET(_xlpm.k,IF($I204="","",IF(COUNTIF(UPS!$B$57:$B$64,$C204&amp;"")&gt;0,1.25*MAX($I204,N(_xlfn.XLOOKUP($C204&amp;"",UPS!$B$57:$B$64,UPS!$M$57:$M$64,0))),IF(COUNTIF(UPS!$B$57:$B$64,$D204&amp;"")&gt;0,1.25*MAX($I204,N(_xlfn.XLOOKUP($D204&amp;"",UPS!$B$57:$B$64,UPS!$Q$57:$Q$64,0))),$I204*IF(OR(UPPER($J204)="Y",LEFT($C204,2)="T-",LEFT($D204,2)="T-"),1.25,1)))),IF(_xlpm.k="","",MAX(_xlpm.k,N(IFERROR(_xlfn.XLOOKUP($D204&amp;"",Dashboard!$A$101:$A$350,Dashboard!$O$101:$O$350,0),0)))))</f>
        <v/>
      </c>
      <c r="L204" s="825" t="str">
        <f>IF($CJ204="","",_xlfn.LET(_xlpm.v,UPPER(TRIM(_xlfn.XLOOKUP($CJ204,Equip_List,Equip_FdrMat,"")&amp;"")),IF(_xlpm.v="",UPPER(TRIM(Cfg_FeederMat&amp;"")),_xlpm.v)))</f>
        <v/>
      </c>
      <c r="M204" s="825" t="str">
        <f>IF($CJ204="","",_xlfn.LET(_xlpm.v,TRIM(_xlfn.XLOOKUP($CJ204,Equip_List,Equip_FdrRace,"")&amp;""),IF(_xlpm.v="",Cfg_Conduit&amp;"",_xlpm.v)))</f>
        <v/>
      </c>
      <c r="N204" s="825" t="str">
        <f>IF($CJ204="","",IF(UPPER(TRIM(_xlfn.XLOOKUP($CJ204,Equip_List,Equip_FdrExist,"")&amp;""))="Y","Y",""))</f>
        <v/>
      </c>
      <c r="O204" s="823" t="str">
        <f t="shared" si="68"/>
        <v/>
      </c>
      <c r="P204" s="821" t="str">
        <f t="shared" si="69"/>
        <v/>
      </c>
      <c r="Q204" s="821" t="str">
        <f t="shared" si="70"/>
        <v/>
      </c>
      <c r="R204" s="822" t="str" cm="1">
        <f t="array" ref="R204">IF(K204="","",INDEX(OCPD_List,MATCH(TRUE,OCPD_List&gt;=K204,0)))</f>
        <v/>
      </c>
      <c r="S204" s="821" t="str">
        <f t="shared" si="71"/>
        <v/>
      </c>
      <c r="T204" s="826" t="str">
        <f t="shared" si="61"/>
        <v/>
      </c>
      <c r="U204" s="826" t="str">
        <f t="shared" si="62"/>
        <v/>
      </c>
      <c r="V204" s="827" t="str">
        <f t="shared" si="63"/>
        <v/>
      </c>
      <c r="W204" s="828"/>
      <c r="X204" s="819"/>
      <c r="Y204" s="820"/>
      <c r="Z204" s="820"/>
      <c r="AA204" s="820"/>
      <c r="BN204" s="832" t="str">
        <f>IF($B204="","",IFERROR(_xlfn.XLOOKUP($D204,Dashboard!$A$101:$A$350,Dashboard!$C$101:$C$350),""))</f>
        <v/>
      </c>
      <c r="BO204" s="832" t="str">
        <f t="shared" si="64"/>
        <v/>
      </c>
      <c r="BP204" s="832" t="str" cm="1">
        <f t="array" ref="BP204">IF(OR($B204="",$R204="",NOT(ISNUMBER($R204))),"",IF(AND($BV204="AL",$G204=1),"",_xlfn.LET(_xlpm.codes,IF($BV204="AL",Std_Al3_Code,IF($G204=1,Std_Cu1_Code,Std_Cu3_Code)),_xlpm.amps,IFERROR(--SUBSTITUTE(_xlpm.codes&amp;"","N",""),""),_xlpm.a,MIN(IF(ISNUMBER(_xlpm.amps),IF(_xlpm.amps&gt;=$R204,_xlpm.amps,""),"")),_xlpm.k,IF(_xlpm.a=0,$R204,_xlpm.a),IF($BO204="Y",TEXT(_xlpm.k,"0")&amp;"N",_xlpm.k))))</f>
        <v/>
      </c>
      <c r="BQ204" s="832" t="str" cm="1">
        <f t="array" ref="BQ204">IF($BP204="","",IFERROR(IF($BV204="AL",_xlfn.XLOOKUP($BP204,Std_Al3_Code,INDEX(Std_Al3_Table,0,3)),IF($G204=1,_xlfn.XLOOKUP($BP204,Std_Cu1_Code,INDEX(Std_Cu1_Table,0,3)),_xlfn.XLOOKUP($BP204,Std_Cu3_Code,INDEX(Std_Cu3_Table,0,3)))),""))</f>
        <v/>
      </c>
      <c r="BR204" s="832" t="str" cm="1">
        <f t="array" ref="BR204">IF($BP204="","",IFERROR(IF($BV204="AL",_xlfn.XLOOKUP($BP204,Std_Al3_Code,INDEX(Std_Al3_Table,0,4)),IF($G204=1,_xlfn.XLOOKUP($BP204,Std_Cu1_Code,INDEX(Std_Cu1_Table,0,4)),_xlfn.XLOOKUP($BP204,Std_Cu3_Code,INDEX(Std_Cu3_Table,0,4)))),""))</f>
        <v/>
      </c>
      <c r="BS204" s="832" t="str" cm="1">
        <f t="array" ref="BS204">IF($BP204="","",IFERROR(IF($BV204="AL",_xlfn.XLOOKUP($BP204,Std_Al3_Code,INDEX(Std_Al3_Table,0,5)),IF($G204=1,_xlfn.XLOOKUP($BP204,Std_Cu1_Code,INDEX(Std_Cu1_Table,0,5)),_xlfn.XLOOKUP($BP204,Std_Cu3_Code,INDEX(Std_Cu3_Table,0,5)))),""))</f>
        <v/>
      </c>
      <c r="BT204" s="832" t="str">
        <f t="shared" si="65"/>
        <v/>
      </c>
      <c r="BU204" s="832" t="str" cm="1">
        <f t="array" ref="BU204">IF($BP204="","",IFERROR(IF($BV204="AL",_xlfn.XLOOKUP($BP204,Std_Al3_Code,INDEX(Std_Al3_Table,0,2)),IF($G204=1,_xlfn.XLOOKUP($BP204,Std_Cu1_Code,INDEX(Std_Cu1_Table,0,2)),_xlfn.XLOOKUP($BP204,Std_Cu3_Code,INDEX(Std_Cu3_Table,0,2)))),""))</f>
        <v/>
      </c>
      <c r="BV204" s="829" t="str">
        <f t="shared" si="66"/>
        <v/>
      </c>
      <c r="BW204" s="829" t="str">
        <f t="shared" si="72"/>
        <v/>
      </c>
      <c r="BX204" s="829" t="str" cm="1">
        <f t="array" ref="BX204">IF(OR($BP204="",$H204="",$I204="",$F204="",$BW204=""),"",IFERROR(_xlfn.LET(_xlpm.codes,IF($BV204="AL",Std_Al3_Code,IF($G204=1,Std_Cu1_Code,Std_Cu3_Code)),_xlpm.tbl,IF($BV204="AL",Std_Al3_Table,IF($G204=1,Std_Cu1_Table,Std_Cu3_Table)),_xlpm.i,MATCH($BP204,_xlpm.codes,0),_xlpm.idx,_xlfn.SEQUENCE(ROWS(_xlpm.codes)),_xlpm.cnd,INDEX(_xlpm.tbl,0,4),_xlpm.sts,INDEX(_xlpm.tbl,0,2),_xlpm.sz,IFERROR(_xlfn.TEXTBEFORE(_xlfn.TEXTAFTER(_xlpm.cnd,"#"),","),IFERROR(_xlfn.TEXTAFTER(_xlpm.cnd,"#"),"")),_xlpm.cm,IFERROR(_xlfn.XLOOKUP(TRIM(_xlpm.sz),Ampacity_Size,Ampacity_CM),0),_xlpm.mult,IF($G204=3,SQRT3,2),_xlpm.kk,IF($BV204="AL",K_Al,K_Cu),_xlpm.vd,IF(_xlpm.cm*IF(ISNUMBER(_xlpm.sts),_xlpm.sts,0)=0,9,_xlpm.mult*_xlpm.kk*$I204*$H204/(_xlpm.cm*_xlpm.sts)/$F204),_xlpm.hasN,--(RIGHT(_xlpm.codes&amp;"",1)="N"),_xlpm.wantN,--(RIGHT($BP204&amp;"",1)="N"),_xlpm.ok,(_xlpm.idx&gt;=_xlpm.i)*(_xlpm.vd&lt;=Cfg_VDFeeder)*(_xlpm.cm&gt;0)*ISNUMBER(_xlpm.sts)*(_xlpm.hasN=_xlpm.wantN),_xlpm.m,MIN(IF(_xlpm.ok=1,_xlpm.idx)),INDEX(_xlpm.codes,IF(_xlpm.m=0,_xlpm.i,_xlpm.m))),""))</f>
        <v/>
      </c>
      <c r="BY204" s="829" t="str" cm="1">
        <f t="array" ref="BY204">IF($BP204="","",IF($BX204="",$BU204,IFERROR(IF($BV204="AL",_xlfn.XLOOKUP($BX204,Std_Al3_Code,INDEX(Std_Al3_Table,0,2)),IF($G204=1,_xlfn.XLOOKUP($BX204,Std_Cu1_Code,INDEX(Std_Cu1_Table,0,2)),_xlfn.XLOOKUP($BX204,Std_Cu3_Code,INDEX(Std_Cu3_Table,0,2)))),"")))</f>
        <v/>
      </c>
      <c r="BZ204" s="829" t="str" cm="1">
        <f t="array" ref="BZ204">IF($BP204="","",IF($BX204="",$BR204,IFERROR(IF($BV204="AL",_xlfn.XLOOKUP($BX204,Std_Al3_Code,INDEX(Std_Al3_Table,0,4)),IF($G204=1,_xlfn.XLOOKUP($BX204,Std_Cu1_Code,INDEX(Std_Cu1_Table,0,4)),_xlfn.XLOOKUP($BX204,Std_Cu3_Code,INDEX(Std_Cu3_Table,0,4)))),"")))</f>
        <v/>
      </c>
      <c r="CA204" s="829" t="str" cm="1">
        <f t="array" ref="CA204">IF($BP204="","",IF($BX204="",$BQ204,IFERROR(IF($BV204="AL",_xlfn.XLOOKUP($BX204,Std_Al3_Code,INDEX(Std_Al3_Table,0,3)),IF($G204=1,_xlfn.XLOOKUP($BX204,Std_Cu1_Code,INDEX(Std_Cu1_Table,0,3)),_xlfn.XLOOKUP($BX204,Std_Cu3_Code,INDEX(Std_Cu3_Table,0,3)))),"")))</f>
        <v/>
      </c>
      <c r="CB204" s="829" t="str" cm="1">
        <f t="array" ref="CB204">IF($BP204="","",IF($BX204="",$BS204,IFERROR(IF($BV204="AL",_xlfn.XLOOKUP($BX204,Std_Al3_Code,INDEX(Std_Al3_Table,0,5)),IF($G204=1,_xlfn.XLOOKUP($BX204,Std_Cu1_Code,INDEX(Std_Cu1_Table,0,5)),_xlfn.XLOOKUP($BX204,Std_Cu3_Code,INDEX(Std_Cu3_Table,0,5)))),"")))</f>
        <v/>
      </c>
      <c r="CC204" s="829" t="str">
        <f t="shared" si="73"/>
        <v/>
      </c>
      <c r="CD204" s="829" t="str">
        <f t="shared" si="74"/>
        <v/>
      </c>
      <c r="CE204" s="829" t="str">
        <f t="shared" si="75"/>
        <v/>
      </c>
      <c r="CF204" s="829" t="str">
        <f t="shared" si="76"/>
        <v/>
      </c>
      <c r="CG204" s="829" t="str">
        <f t="shared" si="77"/>
        <v/>
      </c>
      <c r="CH204" s="829" t="str">
        <f t="shared" si="78"/>
        <v/>
      </c>
      <c r="CI204" s="829" t="str">
        <f t="shared" si="79"/>
        <v/>
      </c>
      <c r="CJ204" s="829" t="str" cm="1">
        <f t="array" ref="CJ204">IF($B204="","",_xlfn.LET(_xlpm.to,$D204&amp;"",_xlpm.em,IFERROR(INDEX(_xlfn.ANCHORARRAY($BE$4),ROW()-4,6),"")="EMERG",_xlpm.pri,AND(NOT(_xlpm.em),LEFT(_xlpm.to,2)="T-",ISNUMBER(MATCH(MID(_xlpm.to,3,99),Equip_List,0)),ISNA(MATCH(_xlpm.to,Equip_List,0))),IF(_xlpm.pri,MID(_xlpm.to,3,99),_xlpm.to)))</f>
        <v/>
      </c>
      <c r="CK204" s="829" t="str" cm="1">
        <f t="array" ref="CK204">IF($CJ204="","",IF(IFERROR(INDEX(_xlfn.ANCHORARRAY($BE$4),ROW()-4,6),"")="EMERG","E",IF($CJ204&lt;&gt;$D204&amp;"","P","N")))</f>
        <v/>
      </c>
    </row>
    <row r="205" spans="1:89" ht="15" customHeight="1" x14ac:dyDescent="0.35">
      <c r="A205" s="821" t="str">
        <f t="shared" si="67"/>
        <v/>
      </c>
      <c r="B205" s="821" t="str" cm="1">
        <f t="array" ref="B205">IFERROR(IF(INDEX(_xlfn.ANCHORARRAY($BE$4),ROW()-4,2)="","","F-"&amp;INDEX(_xlfn.ANCHORARRAY($BE$4),ROW()-4,2)&amp;IF(IFERROR(INDEX(_xlfn.ANCHORARRAY($BE$4),ROW()-4,6),"")="EMERG","-E","")),"")</f>
        <v/>
      </c>
      <c r="C205" s="821" t="str" cm="1">
        <f t="array" ref="C205">IFERROR(IF($B205="","",INDEX(_xlfn.ANCHORARRAY($BE$4),ROW()-4,1)),"")</f>
        <v/>
      </c>
      <c r="D205" s="821" t="str" cm="1">
        <f t="array" ref="D205">IFERROR(IF($B205="","",INDEX(_xlfn.ANCHORARRAY($BE$4),ROW()-4,2)),"")</f>
        <v/>
      </c>
      <c r="E205" s="806" t="str" cm="1">
        <f t="array" ref="E205">IFERROR(IF($B205="","",INDEX(_xlfn.ANCHORARRAY($BE$4),ROW()-4,3)),"")</f>
        <v/>
      </c>
      <c r="F205" s="822" t="str" cm="1">
        <f t="array" ref="F205">IFERROR(IF($B205="","",INDEX(_xlfn.ANCHORARRAY($BE$4),ROW()-4,4)),"")</f>
        <v/>
      </c>
      <c r="G205" s="823" t="str" cm="1">
        <f t="array" ref="G205">IFERROR(IF($B205="","",INDEX(_xlfn.ANCHORARRAY($BE$4),ROW()-4,5)),"")</f>
        <v/>
      </c>
      <c r="H205" s="824" t="str" cm="1">
        <f t="array" ref="H205">IF($CJ205="","",_xlfn.LET(_xlpm.v,_xlfn.XLOOKUP($CJ205,Equip_List,IF($CK205="E",Equip_EmLen,IF($CK205="P",Equip_XfPriLen,Equip_FdrLen)),""),IF(_xlpm.v="","",_xlpm.v)))</f>
        <v/>
      </c>
      <c r="I205" s="806" t="str">
        <f t="shared" si="60"/>
        <v/>
      </c>
      <c r="J205" s="820"/>
      <c r="K205" s="806" t="str">
        <f>_xlfn.LET(_xlpm.k,IF($I205="","",IF(COUNTIF(UPS!$B$57:$B$64,$C205&amp;"")&gt;0,1.25*MAX($I205,N(_xlfn.XLOOKUP($C205&amp;"",UPS!$B$57:$B$64,UPS!$M$57:$M$64,0))),IF(COUNTIF(UPS!$B$57:$B$64,$D205&amp;"")&gt;0,1.25*MAX($I205,N(_xlfn.XLOOKUP($D205&amp;"",UPS!$B$57:$B$64,UPS!$Q$57:$Q$64,0))),$I205*IF(OR(UPPER($J205)="Y",LEFT($C205,2)="T-",LEFT($D205,2)="T-"),1.25,1)))),IF(_xlpm.k="","",MAX(_xlpm.k,N(IFERROR(_xlfn.XLOOKUP($D205&amp;"",Dashboard!$A$101:$A$350,Dashboard!$O$101:$O$350,0),0)))))</f>
        <v/>
      </c>
      <c r="L205" s="825" t="str">
        <f>IF($CJ205="","",_xlfn.LET(_xlpm.v,UPPER(TRIM(_xlfn.XLOOKUP($CJ205,Equip_List,Equip_FdrMat,"")&amp;"")),IF(_xlpm.v="",UPPER(TRIM(Cfg_FeederMat&amp;"")),_xlpm.v)))</f>
        <v/>
      </c>
      <c r="M205" s="825" t="str">
        <f>IF($CJ205="","",_xlfn.LET(_xlpm.v,TRIM(_xlfn.XLOOKUP($CJ205,Equip_List,Equip_FdrRace,"")&amp;""),IF(_xlpm.v="",Cfg_Conduit&amp;"",_xlpm.v)))</f>
        <v/>
      </c>
      <c r="N205" s="825" t="str">
        <f>IF($CJ205="","",IF(UPPER(TRIM(_xlfn.XLOOKUP($CJ205,Equip_List,Equip_FdrExist,"")&amp;""))="Y","Y",""))</f>
        <v/>
      </c>
      <c r="O205" s="823" t="str">
        <f t="shared" si="68"/>
        <v/>
      </c>
      <c r="P205" s="821" t="str">
        <f t="shared" si="69"/>
        <v/>
      </c>
      <c r="Q205" s="821" t="str">
        <f t="shared" si="70"/>
        <v/>
      </c>
      <c r="R205" s="822" t="str" cm="1">
        <f t="array" ref="R205">IF(K205="","",INDEX(OCPD_List,MATCH(TRUE,OCPD_List&gt;=K205,0)))</f>
        <v/>
      </c>
      <c r="S205" s="821" t="str">
        <f t="shared" si="71"/>
        <v/>
      </c>
      <c r="T205" s="826" t="str">
        <f t="shared" si="61"/>
        <v/>
      </c>
      <c r="U205" s="826" t="str">
        <f t="shared" si="62"/>
        <v/>
      </c>
      <c r="V205" s="827" t="str">
        <f t="shared" si="63"/>
        <v/>
      </c>
      <c r="W205" s="828"/>
      <c r="X205" s="819"/>
      <c r="Y205" s="820"/>
      <c r="Z205" s="820"/>
      <c r="AA205" s="820"/>
      <c r="BN205" s="832" t="str">
        <f>IF($B205="","",IFERROR(_xlfn.XLOOKUP($D205,Dashboard!$A$101:$A$350,Dashboard!$C$101:$C$350),""))</f>
        <v/>
      </c>
      <c r="BO205" s="832" t="str">
        <f t="shared" si="64"/>
        <v/>
      </c>
      <c r="BP205" s="832" t="str" cm="1">
        <f t="array" ref="BP205">IF(OR($B205="",$R205="",NOT(ISNUMBER($R205))),"",IF(AND($BV205="AL",$G205=1),"",_xlfn.LET(_xlpm.codes,IF($BV205="AL",Std_Al3_Code,IF($G205=1,Std_Cu1_Code,Std_Cu3_Code)),_xlpm.amps,IFERROR(--SUBSTITUTE(_xlpm.codes&amp;"","N",""),""),_xlpm.a,MIN(IF(ISNUMBER(_xlpm.amps),IF(_xlpm.amps&gt;=$R205,_xlpm.amps,""),"")),_xlpm.k,IF(_xlpm.a=0,$R205,_xlpm.a),IF($BO205="Y",TEXT(_xlpm.k,"0")&amp;"N",_xlpm.k))))</f>
        <v/>
      </c>
      <c r="BQ205" s="832" t="str" cm="1">
        <f t="array" ref="BQ205">IF($BP205="","",IFERROR(IF($BV205="AL",_xlfn.XLOOKUP($BP205,Std_Al3_Code,INDEX(Std_Al3_Table,0,3)),IF($G205=1,_xlfn.XLOOKUP($BP205,Std_Cu1_Code,INDEX(Std_Cu1_Table,0,3)),_xlfn.XLOOKUP($BP205,Std_Cu3_Code,INDEX(Std_Cu3_Table,0,3)))),""))</f>
        <v/>
      </c>
      <c r="BR205" s="832" t="str" cm="1">
        <f t="array" ref="BR205">IF($BP205="","",IFERROR(IF($BV205="AL",_xlfn.XLOOKUP($BP205,Std_Al3_Code,INDEX(Std_Al3_Table,0,4)),IF($G205=1,_xlfn.XLOOKUP($BP205,Std_Cu1_Code,INDEX(Std_Cu1_Table,0,4)),_xlfn.XLOOKUP($BP205,Std_Cu3_Code,INDEX(Std_Cu3_Table,0,4)))),""))</f>
        <v/>
      </c>
      <c r="BS205" s="832" t="str" cm="1">
        <f t="array" ref="BS205">IF($BP205="","",IFERROR(IF($BV205="AL",_xlfn.XLOOKUP($BP205,Std_Al3_Code,INDEX(Std_Al3_Table,0,5)),IF($G205=1,_xlfn.XLOOKUP($BP205,Std_Cu1_Code,INDEX(Std_Cu1_Table,0,5)),_xlfn.XLOOKUP($BP205,Std_Cu3_Code,INDEX(Std_Cu3_Table,0,5)))),""))</f>
        <v/>
      </c>
      <c r="BT205" s="832" t="str">
        <f t="shared" si="65"/>
        <v/>
      </c>
      <c r="BU205" s="832" t="str" cm="1">
        <f t="array" ref="BU205">IF($BP205="","",IFERROR(IF($BV205="AL",_xlfn.XLOOKUP($BP205,Std_Al3_Code,INDEX(Std_Al3_Table,0,2)),IF($G205=1,_xlfn.XLOOKUP($BP205,Std_Cu1_Code,INDEX(Std_Cu1_Table,0,2)),_xlfn.XLOOKUP($BP205,Std_Cu3_Code,INDEX(Std_Cu3_Table,0,2)))),""))</f>
        <v/>
      </c>
      <c r="BV205" s="829" t="str">
        <f t="shared" si="66"/>
        <v/>
      </c>
      <c r="BW205" s="829" t="str">
        <f t="shared" si="72"/>
        <v/>
      </c>
      <c r="BX205" s="829" t="str" cm="1">
        <f t="array" ref="BX205">IF(OR($BP205="",$H205="",$I205="",$F205="",$BW205=""),"",IFERROR(_xlfn.LET(_xlpm.codes,IF($BV205="AL",Std_Al3_Code,IF($G205=1,Std_Cu1_Code,Std_Cu3_Code)),_xlpm.tbl,IF($BV205="AL",Std_Al3_Table,IF($G205=1,Std_Cu1_Table,Std_Cu3_Table)),_xlpm.i,MATCH($BP205,_xlpm.codes,0),_xlpm.idx,_xlfn.SEQUENCE(ROWS(_xlpm.codes)),_xlpm.cnd,INDEX(_xlpm.tbl,0,4),_xlpm.sts,INDEX(_xlpm.tbl,0,2),_xlpm.sz,IFERROR(_xlfn.TEXTBEFORE(_xlfn.TEXTAFTER(_xlpm.cnd,"#"),","),IFERROR(_xlfn.TEXTAFTER(_xlpm.cnd,"#"),"")),_xlpm.cm,IFERROR(_xlfn.XLOOKUP(TRIM(_xlpm.sz),Ampacity_Size,Ampacity_CM),0),_xlpm.mult,IF($G205=3,SQRT3,2),_xlpm.kk,IF($BV205="AL",K_Al,K_Cu),_xlpm.vd,IF(_xlpm.cm*IF(ISNUMBER(_xlpm.sts),_xlpm.sts,0)=0,9,_xlpm.mult*_xlpm.kk*$I205*$H205/(_xlpm.cm*_xlpm.sts)/$F205),_xlpm.hasN,--(RIGHT(_xlpm.codes&amp;"",1)="N"),_xlpm.wantN,--(RIGHT($BP205&amp;"",1)="N"),_xlpm.ok,(_xlpm.idx&gt;=_xlpm.i)*(_xlpm.vd&lt;=Cfg_VDFeeder)*(_xlpm.cm&gt;0)*ISNUMBER(_xlpm.sts)*(_xlpm.hasN=_xlpm.wantN),_xlpm.m,MIN(IF(_xlpm.ok=1,_xlpm.idx)),INDEX(_xlpm.codes,IF(_xlpm.m=0,_xlpm.i,_xlpm.m))),""))</f>
        <v/>
      </c>
      <c r="BY205" s="829" t="str" cm="1">
        <f t="array" ref="BY205">IF($BP205="","",IF($BX205="",$BU205,IFERROR(IF($BV205="AL",_xlfn.XLOOKUP($BX205,Std_Al3_Code,INDEX(Std_Al3_Table,0,2)),IF($G205=1,_xlfn.XLOOKUP($BX205,Std_Cu1_Code,INDEX(Std_Cu1_Table,0,2)),_xlfn.XLOOKUP($BX205,Std_Cu3_Code,INDEX(Std_Cu3_Table,0,2)))),"")))</f>
        <v/>
      </c>
      <c r="BZ205" s="829" t="str" cm="1">
        <f t="array" ref="BZ205">IF($BP205="","",IF($BX205="",$BR205,IFERROR(IF($BV205="AL",_xlfn.XLOOKUP($BX205,Std_Al3_Code,INDEX(Std_Al3_Table,0,4)),IF($G205=1,_xlfn.XLOOKUP($BX205,Std_Cu1_Code,INDEX(Std_Cu1_Table,0,4)),_xlfn.XLOOKUP($BX205,Std_Cu3_Code,INDEX(Std_Cu3_Table,0,4)))),"")))</f>
        <v/>
      </c>
      <c r="CA205" s="829" t="str" cm="1">
        <f t="array" ref="CA205">IF($BP205="","",IF($BX205="",$BQ205,IFERROR(IF($BV205="AL",_xlfn.XLOOKUP($BX205,Std_Al3_Code,INDEX(Std_Al3_Table,0,3)),IF($G205=1,_xlfn.XLOOKUP($BX205,Std_Cu1_Code,INDEX(Std_Cu1_Table,0,3)),_xlfn.XLOOKUP($BX205,Std_Cu3_Code,INDEX(Std_Cu3_Table,0,3)))),"")))</f>
        <v/>
      </c>
      <c r="CB205" s="829" t="str" cm="1">
        <f t="array" ref="CB205">IF($BP205="","",IF($BX205="",$BS205,IFERROR(IF($BV205="AL",_xlfn.XLOOKUP($BX205,Std_Al3_Code,INDEX(Std_Al3_Table,0,5)),IF($G205=1,_xlfn.XLOOKUP($BX205,Std_Cu1_Code,INDEX(Std_Cu1_Table,0,5)),_xlfn.XLOOKUP($BX205,Std_Cu3_Code,INDEX(Std_Cu3_Table,0,5)))),"")))</f>
        <v/>
      </c>
      <c r="CC205" s="829" t="str">
        <f t="shared" si="73"/>
        <v/>
      </c>
      <c r="CD205" s="829" t="str">
        <f t="shared" si="74"/>
        <v/>
      </c>
      <c r="CE205" s="829" t="str">
        <f t="shared" si="75"/>
        <v/>
      </c>
      <c r="CF205" s="829" t="str">
        <f t="shared" si="76"/>
        <v/>
      </c>
      <c r="CG205" s="829" t="str">
        <f t="shared" si="77"/>
        <v/>
      </c>
      <c r="CH205" s="829" t="str">
        <f t="shared" si="78"/>
        <v/>
      </c>
      <c r="CI205" s="829" t="str">
        <f t="shared" si="79"/>
        <v/>
      </c>
      <c r="CJ205" s="829" t="str" cm="1">
        <f t="array" ref="CJ205">IF($B205="","",_xlfn.LET(_xlpm.to,$D205&amp;"",_xlpm.em,IFERROR(INDEX(_xlfn.ANCHORARRAY($BE$4),ROW()-4,6),"")="EMERG",_xlpm.pri,AND(NOT(_xlpm.em),LEFT(_xlpm.to,2)="T-",ISNUMBER(MATCH(MID(_xlpm.to,3,99),Equip_List,0)),ISNA(MATCH(_xlpm.to,Equip_List,0))),IF(_xlpm.pri,MID(_xlpm.to,3,99),_xlpm.to)))</f>
        <v/>
      </c>
      <c r="CK205" s="829" t="str" cm="1">
        <f t="array" ref="CK205">IF($CJ205="","",IF(IFERROR(INDEX(_xlfn.ANCHORARRAY($BE$4),ROW()-4,6),"")="EMERG","E",IF($CJ205&lt;&gt;$D205&amp;"","P","N")))</f>
        <v/>
      </c>
    </row>
    <row r="206" spans="1:89" ht="15" customHeight="1" x14ac:dyDescent="0.35">
      <c r="A206" s="821" t="str">
        <f t="shared" si="67"/>
        <v/>
      </c>
      <c r="B206" s="821" t="str" cm="1">
        <f t="array" ref="B206">IFERROR(IF(INDEX(_xlfn.ANCHORARRAY($BE$4),ROW()-4,2)="","","F-"&amp;INDEX(_xlfn.ANCHORARRAY($BE$4),ROW()-4,2)&amp;IF(IFERROR(INDEX(_xlfn.ANCHORARRAY($BE$4),ROW()-4,6),"")="EMERG","-E","")),"")</f>
        <v/>
      </c>
      <c r="C206" s="821" t="str" cm="1">
        <f t="array" ref="C206">IFERROR(IF($B206="","",INDEX(_xlfn.ANCHORARRAY($BE$4),ROW()-4,1)),"")</f>
        <v/>
      </c>
      <c r="D206" s="821" t="str" cm="1">
        <f t="array" ref="D206">IFERROR(IF($B206="","",INDEX(_xlfn.ANCHORARRAY($BE$4),ROW()-4,2)),"")</f>
        <v/>
      </c>
      <c r="E206" s="806" t="str" cm="1">
        <f t="array" ref="E206">IFERROR(IF($B206="","",INDEX(_xlfn.ANCHORARRAY($BE$4),ROW()-4,3)),"")</f>
        <v/>
      </c>
      <c r="F206" s="822" t="str" cm="1">
        <f t="array" ref="F206">IFERROR(IF($B206="","",INDEX(_xlfn.ANCHORARRAY($BE$4),ROW()-4,4)),"")</f>
        <v/>
      </c>
      <c r="G206" s="823" t="str" cm="1">
        <f t="array" ref="G206">IFERROR(IF($B206="","",INDEX(_xlfn.ANCHORARRAY($BE$4),ROW()-4,5)),"")</f>
        <v/>
      </c>
      <c r="H206" s="824" t="str" cm="1">
        <f t="array" ref="H206">IF($CJ206="","",_xlfn.LET(_xlpm.v,_xlfn.XLOOKUP($CJ206,Equip_List,IF($CK206="E",Equip_EmLen,IF($CK206="P",Equip_XfPriLen,Equip_FdrLen)),""),IF(_xlpm.v="","",_xlpm.v)))</f>
        <v/>
      </c>
      <c r="I206" s="806" t="str">
        <f t="shared" si="60"/>
        <v/>
      </c>
      <c r="J206" s="820"/>
      <c r="K206" s="806" t="str">
        <f>_xlfn.LET(_xlpm.k,IF($I206="","",IF(COUNTIF(UPS!$B$57:$B$64,$C206&amp;"")&gt;0,1.25*MAX($I206,N(_xlfn.XLOOKUP($C206&amp;"",UPS!$B$57:$B$64,UPS!$M$57:$M$64,0))),IF(COUNTIF(UPS!$B$57:$B$64,$D206&amp;"")&gt;0,1.25*MAX($I206,N(_xlfn.XLOOKUP($D206&amp;"",UPS!$B$57:$B$64,UPS!$Q$57:$Q$64,0))),$I206*IF(OR(UPPER($J206)="Y",LEFT($C206,2)="T-",LEFT($D206,2)="T-"),1.25,1)))),IF(_xlpm.k="","",MAX(_xlpm.k,N(IFERROR(_xlfn.XLOOKUP($D206&amp;"",Dashboard!$A$101:$A$350,Dashboard!$O$101:$O$350,0),0)))))</f>
        <v/>
      </c>
      <c r="L206" s="825" t="str">
        <f>IF($CJ206="","",_xlfn.LET(_xlpm.v,UPPER(TRIM(_xlfn.XLOOKUP($CJ206,Equip_List,Equip_FdrMat,"")&amp;"")),IF(_xlpm.v="",UPPER(TRIM(Cfg_FeederMat&amp;"")),_xlpm.v)))</f>
        <v/>
      </c>
      <c r="M206" s="825" t="str">
        <f>IF($CJ206="","",_xlfn.LET(_xlpm.v,TRIM(_xlfn.XLOOKUP($CJ206,Equip_List,Equip_FdrRace,"")&amp;""),IF(_xlpm.v="",Cfg_Conduit&amp;"",_xlpm.v)))</f>
        <v/>
      </c>
      <c r="N206" s="825" t="str">
        <f>IF($CJ206="","",IF(UPPER(TRIM(_xlfn.XLOOKUP($CJ206,Equip_List,Equip_FdrExist,"")&amp;""))="Y","Y",""))</f>
        <v/>
      </c>
      <c r="O206" s="823" t="str">
        <f t="shared" si="68"/>
        <v/>
      </c>
      <c r="P206" s="821" t="str">
        <f t="shared" si="69"/>
        <v/>
      </c>
      <c r="Q206" s="821" t="str">
        <f t="shared" si="70"/>
        <v/>
      </c>
      <c r="R206" s="822" t="str" cm="1">
        <f t="array" ref="R206">IF(K206="","",INDEX(OCPD_List,MATCH(TRUE,OCPD_List&gt;=K206,0)))</f>
        <v/>
      </c>
      <c r="S206" s="821" t="str">
        <f t="shared" si="71"/>
        <v/>
      </c>
      <c r="T206" s="826" t="str">
        <f t="shared" si="61"/>
        <v/>
      </c>
      <c r="U206" s="826" t="str">
        <f t="shared" si="62"/>
        <v/>
      </c>
      <c r="V206" s="827" t="str">
        <f t="shared" si="63"/>
        <v/>
      </c>
      <c r="W206" s="828"/>
      <c r="X206" s="819"/>
      <c r="Y206" s="820"/>
      <c r="Z206" s="820"/>
      <c r="AA206" s="820"/>
      <c r="BN206" s="832" t="str">
        <f>IF($B206="","",IFERROR(_xlfn.XLOOKUP($D206,Dashboard!$A$101:$A$350,Dashboard!$C$101:$C$350),""))</f>
        <v/>
      </c>
      <c r="BO206" s="832" t="str">
        <f t="shared" si="64"/>
        <v/>
      </c>
      <c r="BP206" s="832" t="str" cm="1">
        <f t="array" ref="BP206">IF(OR($B206="",$R206="",NOT(ISNUMBER($R206))),"",IF(AND($BV206="AL",$G206=1),"",_xlfn.LET(_xlpm.codes,IF($BV206="AL",Std_Al3_Code,IF($G206=1,Std_Cu1_Code,Std_Cu3_Code)),_xlpm.amps,IFERROR(--SUBSTITUTE(_xlpm.codes&amp;"","N",""),""),_xlpm.a,MIN(IF(ISNUMBER(_xlpm.amps),IF(_xlpm.amps&gt;=$R206,_xlpm.amps,""),"")),_xlpm.k,IF(_xlpm.a=0,$R206,_xlpm.a),IF($BO206="Y",TEXT(_xlpm.k,"0")&amp;"N",_xlpm.k))))</f>
        <v/>
      </c>
      <c r="BQ206" s="832" t="str" cm="1">
        <f t="array" ref="BQ206">IF($BP206="","",IFERROR(IF($BV206="AL",_xlfn.XLOOKUP($BP206,Std_Al3_Code,INDEX(Std_Al3_Table,0,3)),IF($G206=1,_xlfn.XLOOKUP($BP206,Std_Cu1_Code,INDEX(Std_Cu1_Table,0,3)),_xlfn.XLOOKUP($BP206,Std_Cu3_Code,INDEX(Std_Cu3_Table,0,3)))),""))</f>
        <v/>
      </c>
      <c r="BR206" s="832" t="str" cm="1">
        <f t="array" ref="BR206">IF($BP206="","",IFERROR(IF($BV206="AL",_xlfn.XLOOKUP($BP206,Std_Al3_Code,INDEX(Std_Al3_Table,0,4)),IF($G206=1,_xlfn.XLOOKUP($BP206,Std_Cu1_Code,INDEX(Std_Cu1_Table,0,4)),_xlfn.XLOOKUP($BP206,Std_Cu3_Code,INDEX(Std_Cu3_Table,0,4)))),""))</f>
        <v/>
      </c>
      <c r="BS206" s="832" t="str" cm="1">
        <f t="array" ref="BS206">IF($BP206="","",IFERROR(IF($BV206="AL",_xlfn.XLOOKUP($BP206,Std_Al3_Code,INDEX(Std_Al3_Table,0,5)),IF($G206=1,_xlfn.XLOOKUP($BP206,Std_Cu1_Code,INDEX(Std_Cu1_Table,0,5)),_xlfn.XLOOKUP($BP206,Std_Cu3_Code,INDEX(Std_Cu3_Table,0,5)))),""))</f>
        <v/>
      </c>
      <c r="BT206" s="832" t="str">
        <f t="shared" si="65"/>
        <v/>
      </c>
      <c r="BU206" s="832" t="str" cm="1">
        <f t="array" ref="BU206">IF($BP206="","",IFERROR(IF($BV206="AL",_xlfn.XLOOKUP($BP206,Std_Al3_Code,INDEX(Std_Al3_Table,0,2)),IF($G206=1,_xlfn.XLOOKUP($BP206,Std_Cu1_Code,INDEX(Std_Cu1_Table,0,2)),_xlfn.XLOOKUP($BP206,Std_Cu3_Code,INDEX(Std_Cu3_Table,0,2)))),""))</f>
        <v/>
      </c>
      <c r="BV206" s="829" t="str">
        <f t="shared" si="66"/>
        <v/>
      </c>
      <c r="BW206" s="829" t="str">
        <f t="shared" si="72"/>
        <v/>
      </c>
      <c r="BX206" s="829" t="str" cm="1">
        <f t="array" ref="BX206">IF(OR($BP206="",$H206="",$I206="",$F206="",$BW206=""),"",IFERROR(_xlfn.LET(_xlpm.codes,IF($BV206="AL",Std_Al3_Code,IF($G206=1,Std_Cu1_Code,Std_Cu3_Code)),_xlpm.tbl,IF($BV206="AL",Std_Al3_Table,IF($G206=1,Std_Cu1_Table,Std_Cu3_Table)),_xlpm.i,MATCH($BP206,_xlpm.codes,0),_xlpm.idx,_xlfn.SEQUENCE(ROWS(_xlpm.codes)),_xlpm.cnd,INDEX(_xlpm.tbl,0,4),_xlpm.sts,INDEX(_xlpm.tbl,0,2),_xlpm.sz,IFERROR(_xlfn.TEXTBEFORE(_xlfn.TEXTAFTER(_xlpm.cnd,"#"),","),IFERROR(_xlfn.TEXTAFTER(_xlpm.cnd,"#"),"")),_xlpm.cm,IFERROR(_xlfn.XLOOKUP(TRIM(_xlpm.sz),Ampacity_Size,Ampacity_CM),0),_xlpm.mult,IF($G206=3,SQRT3,2),_xlpm.kk,IF($BV206="AL",K_Al,K_Cu),_xlpm.vd,IF(_xlpm.cm*IF(ISNUMBER(_xlpm.sts),_xlpm.sts,0)=0,9,_xlpm.mult*_xlpm.kk*$I206*$H206/(_xlpm.cm*_xlpm.sts)/$F206),_xlpm.hasN,--(RIGHT(_xlpm.codes&amp;"",1)="N"),_xlpm.wantN,--(RIGHT($BP206&amp;"",1)="N"),_xlpm.ok,(_xlpm.idx&gt;=_xlpm.i)*(_xlpm.vd&lt;=Cfg_VDFeeder)*(_xlpm.cm&gt;0)*ISNUMBER(_xlpm.sts)*(_xlpm.hasN=_xlpm.wantN),_xlpm.m,MIN(IF(_xlpm.ok=1,_xlpm.idx)),INDEX(_xlpm.codes,IF(_xlpm.m=0,_xlpm.i,_xlpm.m))),""))</f>
        <v/>
      </c>
      <c r="BY206" s="829" t="str" cm="1">
        <f t="array" ref="BY206">IF($BP206="","",IF($BX206="",$BU206,IFERROR(IF($BV206="AL",_xlfn.XLOOKUP($BX206,Std_Al3_Code,INDEX(Std_Al3_Table,0,2)),IF($G206=1,_xlfn.XLOOKUP($BX206,Std_Cu1_Code,INDEX(Std_Cu1_Table,0,2)),_xlfn.XLOOKUP($BX206,Std_Cu3_Code,INDEX(Std_Cu3_Table,0,2)))),"")))</f>
        <v/>
      </c>
      <c r="BZ206" s="829" t="str" cm="1">
        <f t="array" ref="BZ206">IF($BP206="","",IF($BX206="",$BR206,IFERROR(IF($BV206="AL",_xlfn.XLOOKUP($BX206,Std_Al3_Code,INDEX(Std_Al3_Table,0,4)),IF($G206=1,_xlfn.XLOOKUP($BX206,Std_Cu1_Code,INDEX(Std_Cu1_Table,0,4)),_xlfn.XLOOKUP($BX206,Std_Cu3_Code,INDEX(Std_Cu3_Table,0,4)))),"")))</f>
        <v/>
      </c>
      <c r="CA206" s="829" t="str" cm="1">
        <f t="array" ref="CA206">IF($BP206="","",IF($BX206="",$BQ206,IFERROR(IF($BV206="AL",_xlfn.XLOOKUP($BX206,Std_Al3_Code,INDEX(Std_Al3_Table,0,3)),IF($G206=1,_xlfn.XLOOKUP($BX206,Std_Cu1_Code,INDEX(Std_Cu1_Table,0,3)),_xlfn.XLOOKUP($BX206,Std_Cu3_Code,INDEX(Std_Cu3_Table,0,3)))),"")))</f>
        <v/>
      </c>
      <c r="CB206" s="829" t="str" cm="1">
        <f t="array" ref="CB206">IF($BP206="","",IF($BX206="",$BS206,IFERROR(IF($BV206="AL",_xlfn.XLOOKUP($BX206,Std_Al3_Code,INDEX(Std_Al3_Table,0,5)),IF($G206=1,_xlfn.XLOOKUP($BX206,Std_Cu1_Code,INDEX(Std_Cu1_Table,0,5)),_xlfn.XLOOKUP($BX206,Std_Cu3_Code,INDEX(Std_Cu3_Table,0,5)))),"")))</f>
        <v/>
      </c>
      <c r="CC206" s="829" t="str">
        <f t="shared" si="73"/>
        <v/>
      </c>
      <c r="CD206" s="829" t="str">
        <f t="shared" si="74"/>
        <v/>
      </c>
      <c r="CE206" s="829" t="str">
        <f t="shared" si="75"/>
        <v/>
      </c>
      <c r="CF206" s="829" t="str">
        <f t="shared" si="76"/>
        <v/>
      </c>
      <c r="CG206" s="829" t="str">
        <f t="shared" si="77"/>
        <v/>
      </c>
      <c r="CH206" s="829" t="str">
        <f t="shared" si="78"/>
        <v/>
      </c>
      <c r="CI206" s="829" t="str">
        <f t="shared" si="79"/>
        <v/>
      </c>
      <c r="CJ206" s="829" t="str" cm="1">
        <f t="array" ref="CJ206">IF($B206="","",_xlfn.LET(_xlpm.to,$D206&amp;"",_xlpm.em,IFERROR(INDEX(_xlfn.ANCHORARRAY($BE$4),ROW()-4,6),"")="EMERG",_xlpm.pri,AND(NOT(_xlpm.em),LEFT(_xlpm.to,2)="T-",ISNUMBER(MATCH(MID(_xlpm.to,3,99),Equip_List,0)),ISNA(MATCH(_xlpm.to,Equip_List,0))),IF(_xlpm.pri,MID(_xlpm.to,3,99),_xlpm.to)))</f>
        <v/>
      </c>
      <c r="CK206" s="829" t="str" cm="1">
        <f t="array" ref="CK206">IF($CJ206="","",IF(IFERROR(INDEX(_xlfn.ANCHORARRAY($BE$4),ROW()-4,6),"")="EMERG","E",IF($CJ206&lt;&gt;$D206&amp;"","P","N")))</f>
        <v/>
      </c>
    </row>
    <row r="207" spans="1:89" ht="15" customHeight="1" x14ac:dyDescent="0.35">
      <c r="A207" s="821" t="str">
        <f t="shared" si="67"/>
        <v/>
      </c>
      <c r="B207" s="821" t="str" cm="1">
        <f t="array" ref="B207">IFERROR(IF(INDEX(_xlfn.ANCHORARRAY($BE$4),ROW()-4,2)="","","F-"&amp;INDEX(_xlfn.ANCHORARRAY($BE$4),ROW()-4,2)&amp;IF(IFERROR(INDEX(_xlfn.ANCHORARRAY($BE$4),ROW()-4,6),"")="EMERG","-E","")),"")</f>
        <v/>
      </c>
      <c r="C207" s="821" t="str" cm="1">
        <f t="array" ref="C207">IFERROR(IF($B207="","",INDEX(_xlfn.ANCHORARRAY($BE$4),ROW()-4,1)),"")</f>
        <v/>
      </c>
      <c r="D207" s="821" t="str" cm="1">
        <f t="array" ref="D207">IFERROR(IF($B207="","",INDEX(_xlfn.ANCHORARRAY($BE$4),ROW()-4,2)),"")</f>
        <v/>
      </c>
      <c r="E207" s="806" t="str" cm="1">
        <f t="array" ref="E207">IFERROR(IF($B207="","",INDEX(_xlfn.ANCHORARRAY($BE$4),ROW()-4,3)),"")</f>
        <v/>
      </c>
      <c r="F207" s="822" t="str" cm="1">
        <f t="array" ref="F207">IFERROR(IF($B207="","",INDEX(_xlfn.ANCHORARRAY($BE$4),ROW()-4,4)),"")</f>
        <v/>
      </c>
      <c r="G207" s="823" t="str" cm="1">
        <f t="array" ref="G207">IFERROR(IF($B207="","",INDEX(_xlfn.ANCHORARRAY($BE$4),ROW()-4,5)),"")</f>
        <v/>
      </c>
      <c r="H207" s="824" t="str" cm="1">
        <f t="array" ref="H207">IF($CJ207="","",_xlfn.LET(_xlpm.v,_xlfn.XLOOKUP($CJ207,Equip_List,IF($CK207="E",Equip_EmLen,IF($CK207="P",Equip_XfPriLen,Equip_FdrLen)),""),IF(_xlpm.v="","",_xlpm.v)))</f>
        <v/>
      </c>
      <c r="I207" s="806" t="str">
        <f t="shared" si="60"/>
        <v/>
      </c>
      <c r="J207" s="820"/>
      <c r="K207" s="806" t="str">
        <f>_xlfn.LET(_xlpm.k,IF($I207="","",IF(COUNTIF(UPS!$B$57:$B$64,$C207&amp;"")&gt;0,1.25*MAX($I207,N(_xlfn.XLOOKUP($C207&amp;"",UPS!$B$57:$B$64,UPS!$M$57:$M$64,0))),IF(COUNTIF(UPS!$B$57:$B$64,$D207&amp;"")&gt;0,1.25*MAX($I207,N(_xlfn.XLOOKUP($D207&amp;"",UPS!$B$57:$B$64,UPS!$Q$57:$Q$64,0))),$I207*IF(OR(UPPER($J207)="Y",LEFT($C207,2)="T-",LEFT($D207,2)="T-"),1.25,1)))),IF(_xlpm.k="","",MAX(_xlpm.k,N(IFERROR(_xlfn.XLOOKUP($D207&amp;"",Dashboard!$A$101:$A$350,Dashboard!$O$101:$O$350,0),0)))))</f>
        <v/>
      </c>
      <c r="L207" s="825" t="str">
        <f>IF($CJ207="","",_xlfn.LET(_xlpm.v,UPPER(TRIM(_xlfn.XLOOKUP($CJ207,Equip_List,Equip_FdrMat,"")&amp;"")),IF(_xlpm.v="",UPPER(TRIM(Cfg_FeederMat&amp;"")),_xlpm.v)))</f>
        <v/>
      </c>
      <c r="M207" s="825" t="str">
        <f>IF($CJ207="","",_xlfn.LET(_xlpm.v,TRIM(_xlfn.XLOOKUP($CJ207,Equip_List,Equip_FdrRace,"")&amp;""),IF(_xlpm.v="",Cfg_Conduit&amp;"",_xlpm.v)))</f>
        <v/>
      </c>
      <c r="N207" s="825" t="str">
        <f>IF($CJ207="","",IF(UPPER(TRIM(_xlfn.XLOOKUP($CJ207,Equip_List,Equip_FdrExist,"")&amp;""))="Y","Y",""))</f>
        <v/>
      </c>
      <c r="O207" s="823" t="str">
        <f t="shared" si="68"/>
        <v/>
      </c>
      <c r="P207" s="821" t="str">
        <f t="shared" si="69"/>
        <v/>
      </c>
      <c r="Q207" s="821" t="str">
        <f t="shared" si="70"/>
        <v/>
      </c>
      <c r="R207" s="822" t="str" cm="1">
        <f t="array" ref="R207">IF(K207="","",INDEX(OCPD_List,MATCH(TRUE,OCPD_List&gt;=K207,0)))</f>
        <v/>
      </c>
      <c r="S207" s="821" t="str">
        <f t="shared" si="71"/>
        <v/>
      </c>
      <c r="T207" s="826" t="str">
        <f t="shared" si="61"/>
        <v/>
      </c>
      <c r="U207" s="826" t="str">
        <f t="shared" si="62"/>
        <v/>
      </c>
      <c r="V207" s="827" t="str">
        <f t="shared" si="63"/>
        <v/>
      </c>
      <c r="W207" s="828"/>
      <c r="X207" s="819"/>
      <c r="Y207" s="820"/>
      <c r="Z207" s="820"/>
      <c r="AA207" s="820"/>
      <c r="BN207" s="832" t="str">
        <f>IF($B207="","",IFERROR(_xlfn.XLOOKUP($D207,Dashboard!$A$101:$A$350,Dashboard!$C$101:$C$350),""))</f>
        <v/>
      </c>
      <c r="BO207" s="832" t="str">
        <f t="shared" si="64"/>
        <v/>
      </c>
      <c r="BP207" s="832" t="str" cm="1">
        <f t="array" ref="BP207">IF(OR($B207="",$R207="",NOT(ISNUMBER($R207))),"",IF(AND($BV207="AL",$G207=1),"",_xlfn.LET(_xlpm.codes,IF($BV207="AL",Std_Al3_Code,IF($G207=1,Std_Cu1_Code,Std_Cu3_Code)),_xlpm.amps,IFERROR(--SUBSTITUTE(_xlpm.codes&amp;"","N",""),""),_xlpm.a,MIN(IF(ISNUMBER(_xlpm.amps),IF(_xlpm.amps&gt;=$R207,_xlpm.amps,""),"")),_xlpm.k,IF(_xlpm.a=0,$R207,_xlpm.a),IF($BO207="Y",TEXT(_xlpm.k,"0")&amp;"N",_xlpm.k))))</f>
        <v/>
      </c>
      <c r="BQ207" s="832" t="str" cm="1">
        <f t="array" ref="BQ207">IF($BP207="","",IFERROR(IF($BV207="AL",_xlfn.XLOOKUP($BP207,Std_Al3_Code,INDEX(Std_Al3_Table,0,3)),IF($G207=1,_xlfn.XLOOKUP($BP207,Std_Cu1_Code,INDEX(Std_Cu1_Table,0,3)),_xlfn.XLOOKUP($BP207,Std_Cu3_Code,INDEX(Std_Cu3_Table,0,3)))),""))</f>
        <v/>
      </c>
      <c r="BR207" s="832" t="str" cm="1">
        <f t="array" ref="BR207">IF($BP207="","",IFERROR(IF($BV207="AL",_xlfn.XLOOKUP($BP207,Std_Al3_Code,INDEX(Std_Al3_Table,0,4)),IF($G207=1,_xlfn.XLOOKUP($BP207,Std_Cu1_Code,INDEX(Std_Cu1_Table,0,4)),_xlfn.XLOOKUP($BP207,Std_Cu3_Code,INDEX(Std_Cu3_Table,0,4)))),""))</f>
        <v/>
      </c>
      <c r="BS207" s="832" t="str" cm="1">
        <f t="array" ref="BS207">IF($BP207="","",IFERROR(IF($BV207="AL",_xlfn.XLOOKUP($BP207,Std_Al3_Code,INDEX(Std_Al3_Table,0,5)),IF($G207=1,_xlfn.XLOOKUP($BP207,Std_Cu1_Code,INDEX(Std_Cu1_Table,0,5)),_xlfn.XLOOKUP($BP207,Std_Cu3_Code,INDEX(Std_Cu3_Table,0,5)))),""))</f>
        <v/>
      </c>
      <c r="BT207" s="832" t="str">
        <f t="shared" si="65"/>
        <v/>
      </c>
      <c r="BU207" s="832" t="str" cm="1">
        <f t="array" ref="BU207">IF($BP207="","",IFERROR(IF($BV207="AL",_xlfn.XLOOKUP($BP207,Std_Al3_Code,INDEX(Std_Al3_Table,0,2)),IF($G207=1,_xlfn.XLOOKUP($BP207,Std_Cu1_Code,INDEX(Std_Cu1_Table,0,2)),_xlfn.XLOOKUP($BP207,Std_Cu3_Code,INDEX(Std_Cu3_Table,0,2)))),""))</f>
        <v/>
      </c>
      <c r="BV207" s="829" t="str">
        <f t="shared" si="66"/>
        <v/>
      </c>
      <c r="BW207" s="829" t="str">
        <f t="shared" si="72"/>
        <v/>
      </c>
      <c r="BX207" s="829" t="str" cm="1">
        <f t="array" ref="BX207">IF(OR($BP207="",$H207="",$I207="",$F207="",$BW207=""),"",IFERROR(_xlfn.LET(_xlpm.codes,IF($BV207="AL",Std_Al3_Code,IF($G207=1,Std_Cu1_Code,Std_Cu3_Code)),_xlpm.tbl,IF($BV207="AL",Std_Al3_Table,IF($G207=1,Std_Cu1_Table,Std_Cu3_Table)),_xlpm.i,MATCH($BP207,_xlpm.codes,0),_xlpm.idx,_xlfn.SEQUENCE(ROWS(_xlpm.codes)),_xlpm.cnd,INDEX(_xlpm.tbl,0,4),_xlpm.sts,INDEX(_xlpm.tbl,0,2),_xlpm.sz,IFERROR(_xlfn.TEXTBEFORE(_xlfn.TEXTAFTER(_xlpm.cnd,"#"),","),IFERROR(_xlfn.TEXTAFTER(_xlpm.cnd,"#"),"")),_xlpm.cm,IFERROR(_xlfn.XLOOKUP(TRIM(_xlpm.sz),Ampacity_Size,Ampacity_CM),0),_xlpm.mult,IF($G207=3,SQRT3,2),_xlpm.kk,IF($BV207="AL",K_Al,K_Cu),_xlpm.vd,IF(_xlpm.cm*IF(ISNUMBER(_xlpm.sts),_xlpm.sts,0)=0,9,_xlpm.mult*_xlpm.kk*$I207*$H207/(_xlpm.cm*_xlpm.sts)/$F207),_xlpm.hasN,--(RIGHT(_xlpm.codes&amp;"",1)="N"),_xlpm.wantN,--(RIGHT($BP207&amp;"",1)="N"),_xlpm.ok,(_xlpm.idx&gt;=_xlpm.i)*(_xlpm.vd&lt;=Cfg_VDFeeder)*(_xlpm.cm&gt;0)*ISNUMBER(_xlpm.sts)*(_xlpm.hasN=_xlpm.wantN),_xlpm.m,MIN(IF(_xlpm.ok=1,_xlpm.idx)),INDEX(_xlpm.codes,IF(_xlpm.m=0,_xlpm.i,_xlpm.m))),""))</f>
        <v/>
      </c>
      <c r="BY207" s="829" t="str" cm="1">
        <f t="array" ref="BY207">IF($BP207="","",IF($BX207="",$BU207,IFERROR(IF($BV207="AL",_xlfn.XLOOKUP($BX207,Std_Al3_Code,INDEX(Std_Al3_Table,0,2)),IF($G207=1,_xlfn.XLOOKUP($BX207,Std_Cu1_Code,INDEX(Std_Cu1_Table,0,2)),_xlfn.XLOOKUP($BX207,Std_Cu3_Code,INDEX(Std_Cu3_Table,0,2)))),"")))</f>
        <v/>
      </c>
      <c r="BZ207" s="829" t="str" cm="1">
        <f t="array" ref="BZ207">IF($BP207="","",IF($BX207="",$BR207,IFERROR(IF($BV207="AL",_xlfn.XLOOKUP($BX207,Std_Al3_Code,INDEX(Std_Al3_Table,0,4)),IF($G207=1,_xlfn.XLOOKUP($BX207,Std_Cu1_Code,INDEX(Std_Cu1_Table,0,4)),_xlfn.XLOOKUP($BX207,Std_Cu3_Code,INDEX(Std_Cu3_Table,0,4)))),"")))</f>
        <v/>
      </c>
      <c r="CA207" s="829" t="str" cm="1">
        <f t="array" ref="CA207">IF($BP207="","",IF($BX207="",$BQ207,IFERROR(IF($BV207="AL",_xlfn.XLOOKUP($BX207,Std_Al3_Code,INDEX(Std_Al3_Table,0,3)),IF($G207=1,_xlfn.XLOOKUP($BX207,Std_Cu1_Code,INDEX(Std_Cu1_Table,0,3)),_xlfn.XLOOKUP($BX207,Std_Cu3_Code,INDEX(Std_Cu3_Table,0,3)))),"")))</f>
        <v/>
      </c>
      <c r="CB207" s="829" t="str" cm="1">
        <f t="array" ref="CB207">IF($BP207="","",IF($BX207="",$BS207,IFERROR(IF($BV207="AL",_xlfn.XLOOKUP($BX207,Std_Al3_Code,INDEX(Std_Al3_Table,0,5)),IF($G207=1,_xlfn.XLOOKUP($BX207,Std_Cu1_Code,INDEX(Std_Cu1_Table,0,5)),_xlfn.XLOOKUP($BX207,Std_Cu3_Code,INDEX(Std_Cu3_Table,0,5)))),"")))</f>
        <v/>
      </c>
      <c r="CC207" s="829" t="str">
        <f t="shared" si="73"/>
        <v/>
      </c>
      <c r="CD207" s="829" t="str">
        <f t="shared" si="74"/>
        <v/>
      </c>
      <c r="CE207" s="829" t="str">
        <f t="shared" si="75"/>
        <v/>
      </c>
      <c r="CF207" s="829" t="str">
        <f t="shared" si="76"/>
        <v/>
      </c>
      <c r="CG207" s="829" t="str">
        <f t="shared" si="77"/>
        <v/>
      </c>
      <c r="CH207" s="829" t="str">
        <f t="shared" si="78"/>
        <v/>
      </c>
      <c r="CI207" s="829" t="str">
        <f t="shared" si="79"/>
        <v/>
      </c>
      <c r="CJ207" s="829" t="str" cm="1">
        <f t="array" ref="CJ207">IF($B207="","",_xlfn.LET(_xlpm.to,$D207&amp;"",_xlpm.em,IFERROR(INDEX(_xlfn.ANCHORARRAY($BE$4),ROW()-4,6),"")="EMERG",_xlpm.pri,AND(NOT(_xlpm.em),LEFT(_xlpm.to,2)="T-",ISNUMBER(MATCH(MID(_xlpm.to,3,99),Equip_List,0)),ISNA(MATCH(_xlpm.to,Equip_List,0))),IF(_xlpm.pri,MID(_xlpm.to,3,99),_xlpm.to)))</f>
        <v/>
      </c>
      <c r="CK207" s="829" t="str" cm="1">
        <f t="array" ref="CK207">IF($CJ207="","",IF(IFERROR(INDEX(_xlfn.ANCHORARRAY($BE$4),ROW()-4,6),"")="EMERG","E",IF($CJ207&lt;&gt;$D207&amp;"","P","N")))</f>
        <v/>
      </c>
    </row>
    <row r="208" spans="1:89" ht="15" customHeight="1" x14ac:dyDescent="0.35">
      <c r="A208" s="821" t="str">
        <f t="shared" si="67"/>
        <v/>
      </c>
      <c r="B208" s="821" t="str" cm="1">
        <f t="array" ref="B208">IFERROR(IF(INDEX(_xlfn.ANCHORARRAY($BE$4),ROW()-4,2)="","","F-"&amp;INDEX(_xlfn.ANCHORARRAY($BE$4),ROW()-4,2)&amp;IF(IFERROR(INDEX(_xlfn.ANCHORARRAY($BE$4),ROW()-4,6),"")="EMERG","-E","")),"")</f>
        <v/>
      </c>
      <c r="C208" s="821" t="str" cm="1">
        <f t="array" ref="C208">IFERROR(IF($B208="","",INDEX(_xlfn.ANCHORARRAY($BE$4),ROW()-4,1)),"")</f>
        <v/>
      </c>
      <c r="D208" s="821" t="str" cm="1">
        <f t="array" ref="D208">IFERROR(IF($B208="","",INDEX(_xlfn.ANCHORARRAY($BE$4),ROW()-4,2)),"")</f>
        <v/>
      </c>
      <c r="E208" s="806" t="str" cm="1">
        <f t="array" ref="E208">IFERROR(IF($B208="","",INDEX(_xlfn.ANCHORARRAY($BE$4),ROW()-4,3)),"")</f>
        <v/>
      </c>
      <c r="F208" s="822" t="str" cm="1">
        <f t="array" ref="F208">IFERROR(IF($B208="","",INDEX(_xlfn.ANCHORARRAY($BE$4),ROW()-4,4)),"")</f>
        <v/>
      </c>
      <c r="G208" s="823" t="str" cm="1">
        <f t="array" ref="G208">IFERROR(IF($B208="","",INDEX(_xlfn.ANCHORARRAY($BE$4),ROW()-4,5)),"")</f>
        <v/>
      </c>
      <c r="H208" s="824" t="str" cm="1">
        <f t="array" ref="H208">IF($CJ208="","",_xlfn.LET(_xlpm.v,_xlfn.XLOOKUP($CJ208,Equip_List,IF($CK208="E",Equip_EmLen,IF($CK208="P",Equip_XfPriLen,Equip_FdrLen)),""),IF(_xlpm.v="","",_xlpm.v)))</f>
        <v/>
      </c>
      <c r="I208" s="806" t="str">
        <f t="shared" si="60"/>
        <v/>
      </c>
      <c r="J208" s="820"/>
      <c r="K208" s="806" t="str">
        <f>_xlfn.LET(_xlpm.k,IF($I208="","",IF(COUNTIF(UPS!$B$57:$B$64,$C208&amp;"")&gt;0,1.25*MAX($I208,N(_xlfn.XLOOKUP($C208&amp;"",UPS!$B$57:$B$64,UPS!$M$57:$M$64,0))),IF(COUNTIF(UPS!$B$57:$B$64,$D208&amp;"")&gt;0,1.25*MAX($I208,N(_xlfn.XLOOKUP($D208&amp;"",UPS!$B$57:$B$64,UPS!$Q$57:$Q$64,0))),$I208*IF(OR(UPPER($J208)="Y",LEFT($C208,2)="T-",LEFT($D208,2)="T-"),1.25,1)))),IF(_xlpm.k="","",MAX(_xlpm.k,N(IFERROR(_xlfn.XLOOKUP($D208&amp;"",Dashboard!$A$101:$A$350,Dashboard!$O$101:$O$350,0),0)))))</f>
        <v/>
      </c>
      <c r="L208" s="825" t="str">
        <f>IF($CJ208="","",_xlfn.LET(_xlpm.v,UPPER(TRIM(_xlfn.XLOOKUP($CJ208,Equip_List,Equip_FdrMat,"")&amp;"")),IF(_xlpm.v="",UPPER(TRIM(Cfg_FeederMat&amp;"")),_xlpm.v)))</f>
        <v/>
      </c>
      <c r="M208" s="825" t="str">
        <f>IF($CJ208="","",_xlfn.LET(_xlpm.v,TRIM(_xlfn.XLOOKUP($CJ208,Equip_List,Equip_FdrRace,"")&amp;""),IF(_xlpm.v="",Cfg_Conduit&amp;"",_xlpm.v)))</f>
        <v/>
      </c>
      <c r="N208" s="825" t="str">
        <f>IF($CJ208="","",IF(UPPER(TRIM(_xlfn.XLOOKUP($CJ208,Equip_List,Equip_FdrExist,"")&amp;""))="Y","Y",""))</f>
        <v/>
      </c>
      <c r="O208" s="823" t="str">
        <f t="shared" si="68"/>
        <v/>
      </c>
      <c r="P208" s="821" t="str">
        <f t="shared" si="69"/>
        <v/>
      </c>
      <c r="Q208" s="821" t="str">
        <f t="shared" si="70"/>
        <v/>
      </c>
      <c r="R208" s="822" t="str" cm="1">
        <f t="array" ref="R208">IF(K208="","",INDEX(OCPD_List,MATCH(TRUE,OCPD_List&gt;=K208,0)))</f>
        <v/>
      </c>
      <c r="S208" s="821" t="str">
        <f t="shared" si="71"/>
        <v/>
      </c>
      <c r="T208" s="826" t="str">
        <f t="shared" si="61"/>
        <v/>
      </c>
      <c r="U208" s="826" t="str">
        <f t="shared" si="62"/>
        <v/>
      </c>
      <c r="V208" s="827" t="str">
        <f t="shared" si="63"/>
        <v/>
      </c>
      <c r="W208" s="828"/>
      <c r="X208" s="819"/>
      <c r="Y208" s="820"/>
      <c r="Z208" s="820"/>
      <c r="AA208" s="820"/>
      <c r="BN208" s="832" t="str">
        <f>IF($B208="","",IFERROR(_xlfn.XLOOKUP($D208,Dashboard!$A$101:$A$350,Dashboard!$C$101:$C$350),""))</f>
        <v/>
      </c>
      <c r="BO208" s="832" t="str">
        <f t="shared" si="64"/>
        <v/>
      </c>
      <c r="BP208" s="832" t="str" cm="1">
        <f t="array" ref="BP208">IF(OR($B208="",$R208="",NOT(ISNUMBER($R208))),"",IF(AND($BV208="AL",$G208=1),"",_xlfn.LET(_xlpm.codes,IF($BV208="AL",Std_Al3_Code,IF($G208=1,Std_Cu1_Code,Std_Cu3_Code)),_xlpm.amps,IFERROR(--SUBSTITUTE(_xlpm.codes&amp;"","N",""),""),_xlpm.a,MIN(IF(ISNUMBER(_xlpm.amps),IF(_xlpm.amps&gt;=$R208,_xlpm.amps,""),"")),_xlpm.k,IF(_xlpm.a=0,$R208,_xlpm.a),IF($BO208="Y",TEXT(_xlpm.k,"0")&amp;"N",_xlpm.k))))</f>
        <v/>
      </c>
      <c r="BQ208" s="832" t="str" cm="1">
        <f t="array" ref="BQ208">IF($BP208="","",IFERROR(IF($BV208="AL",_xlfn.XLOOKUP($BP208,Std_Al3_Code,INDEX(Std_Al3_Table,0,3)),IF($G208=1,_xlfn.XLOOKUP($BP208,Std_Cu1_Code,INDEX(Std_Cu1_Table,0,3)),_xlfn.XLOOKUP($BP208,Std_Cu3_Code,INDEX(Std_Cu3_Table,0,3)))),""))</f>
        <v/>
      </c>
      <c r="BR208" s="832" t="str" cm="1">
        <f t="array" ref="BR208">IF($BP208="","",IFERROR(IF($BV208="AL",_xlfn.XLOOKUP($BP208,Std_Al3_Code,INDEX(Std_Al3_Table,0,4)),IF($G208=1,_xlfn.XLOOKUP($BP208,Std_Cu1_Code,INDEX(Std_Cu1_Table,0,4)),_xlfn.XLOOKUP($BP208,Std_Cu3_Code,INDEX(Std_Cu3_Table,0,4)))),""))</f>
        <v/>
      </c>
      <c r="BS208" s="832" t="str" cm="1">
        <f t="array" ref="BS208">IF($BP208="","",IFERROR(IF($BV208="AL",_xlfn.XLOOKUP($BP208,Std_Al3_Code,INDEX(Std_Al3_Table,0,5)),IF($G208=1,_xlfn.XLOOKUP($BP208,Std_Cu1_Code,INDEX(Std_Cu1_Table,0,5)),_xlfn.XLOOKUP($BP208,Std_Cu3_Code,INDEX(Std_Cu3_Table,0,5)))),""))</f>
        <v/>
      </c>
      <c r="BT208" s="832" t="str">
        <f t="shared" si="65"/>
        <v/>
      </c>
      <c r="BU208" s="832" t="str" cm="1">
        <f t="array" ref="BU208">IF($BP208="","",IFERROR(IF($BV208="AL",_xlfn.XLOOKUP($BP208,Std_Al3_Code,INDEX(Std_Al3_Table,0,2)),IF($G208=1,_xlfn.XLOOKUP($BP208,Std_Cu1_Code,INDEX(Std_Cu1_Table,0,2)),_xlfn.XLOOKUP($BP208,Std_Cu3_Code,INDEX(Std_Cu3_Table,0,2)))),""))</f>
        <v/>
      </c>
      <c r="BV208" s="829" t="str">
        <f t="shared" si="66"/>
        <v/>
      </c>
      <c r="BW208" s="829" t="str">
        <f t="shared" si="72"/>
        <v/>
      </c>
      <c r="BX208" s="829" t="str" cm="1">
        <f t="array" ref="BX208">IF(OR($BP208="",$H208="",$I208="",$F208="",$BW208=""),"",IFERROR(_xlfn.LET(_xlpm.codes,IF($BV208="AL",Std_Al3_Code,IF($G208=1,Std_Cu1_Code,Std_Cu3_Code)),_xlpm.tbl,IF($BV208="AL",Std_Al3_Table,IF($G208=1,Std_Cu1_Table,Std_Cu3_Table)),_xlpm.i,MATCH($BP208,_xlpm.codes,0),_xlpm.idx,_xlfn.SEQUENCE(ROWS(_xlpm.codes)),_xlpm.cnd,INDEX(_xlpm.tbl,0,4),_xlpm.sts,INDEX(_xlpm.tbl,0,2),_xlpm.sz,IFERROR(_xlfn.TEXTBEFORE(_xlfn.TEXTAFTER(_xlpm.cnd,"#"),","),IFERROR(_xlfn.TEXTAFTER(_xlpm.cnd,"#"),"")),_xlpm.cm,IFERROR(_xlfn.XLOOKUP(TRIM(_xlpm.sz),Ampacity_Size,Ampacity_CM),0),_xlpm.mult,IF($G208=3,SQRT3,2),_xlpm.kk,IF($BV208="AL",K_Al,K_Cu),_xlpm.vd,IF(_xlpm.cm*IF(ISNUMBER(_xlpm.sts),_xlpm.sts,0)=0,9,_xlpm.mult*_xlpm.kk*$I208*$H208/(_xlpm.cm*_xlpm.sts)/$F208),_xlpm.hasN,--(RIGHT(_xlpm.codes&amp;"",1)="N"),_xlpm.wantN,--(RIGHT($BP208&amp;"",1)="N"),_xlpm.ok,(_xlpm.idx&gt;=_xlpm.i)*(_xlpm.vd&lt;=Cfg_VDFeeder)*(_xlpm.cm&gt;0)*ISNUMBER(_xlpm.sts)*(_xlpm.hasN=_xlpm.wantN),_xlpm.m,MIN(IF(_xlpm.ok=1,_xlpm.idx)),INDEX(_xlpm.codes,IF(_xlpm.m=0,_xlpm.i,_xlpm.m))),""))</f>
        <v/>
      </c>
      <c r="BY208" s="829" t="str" cm="1">
        <f t="array" ref="BY208">IF($BP208="","",IF($BX208="",$BU208,IFERROR(IF($BV208="AL",_xlfn.XLOOKUP($BX208,Std_Al3_Code,INDEX(Std_Al3_Table,0,2)),IF($G208=1,_xlfn.XLOOKUP($BX208,Std_Cu1_Code,INDEX(Std_Cu1_Table,0,2)),_xlfn.XLOOKUP($BX208,Std_Cu3_Code,INDEX(Std_Cu3_Table,0,2)))),"")))</f>
        <v/>
      </c>
      <c r="BZ208" s="829" t="str" cm="1">
        <f t="array" ref="BZ208">IF($BP208="","",IF($BX208="",$BR208,IFERROR(IF($BV208="AL",_xlfn.XLOOKUP($BX208,Std_Al3_Code,INDEX(Std_Al3_Table,0,4)),IF($G208=1,_xlfn.XLOOKUP($BX208,Std_Cu1_Code,INDEX(Std_Cu1_Table,0,4)),_xlfn.XLOOKUP($BX208,Std_Cu3_Code,INDEX(Std_Cu3_Table,0,4)))),"")))</f>
        <v/>
      </c>
      <c r="CA208" s="829" t="str" cm="1">
        <f t="array" ref="CA208">IF($BP208="","",IF($BX208="",$BQ208,IFERROR(IF($BV208="AL",_xlfn.XLOOKUP($BX208,Std_Al3_Code,INDEX(Std_Al3_Table,0,3)),IF($G208=1,_xlfn.XLOOKUP($BX208,Std_Cu1_Code,INDEX(Std_Cu1_Table,0,3)),_xlfn.XLOOKUP($BX208,Std_Cu3_Code,INDEX(Std_Cu3_Table,0,3)))),"")))</f>
        <v/>
      </c>
      <c r="CB208" s="829" t="str" cm="1">
        <f t="array" ref="CB208">IF($BP208="","",IF($BX208="",$BS208,IFERROR(IF($BV208="AL",_xlfn.XLOOKUP($BX208,Std_Al3_Code,INDEX(Std_Al3_Table,0,5)),IF($G208=1,_xlfn.XLOOKUP($BX208,Std_Cu1_Code,INDEX(Std_Cu1_Table,0,5)),_xlfn.XLOOKUP($BX208,Std_Cu3_Code,INDEX(Std_Cu3_Table,0,5)))),"")))</f>
        <v/>
      </c>
      <c r="CC208" s="829" t="str">
        <f t="shared" si="73"/>
        <v/>
      </c>
      <c r="CD208" s="829" t="str">
        <f t="shared" si="74"/>
        <v/>
      </c>
      <c r="CE208" s="829" t="str">
        <f t="shared" si="75"/>
        <v/>
      </c>
      <c r="CF208" s="829" t="str">
        <f t="shared" si="76"/>
        <v/>
      </c>
      <c r="CG208" s="829" t="str">
        <f t="shared" si="77"/>
        <v/>
      </c>
      <c r="CH208" s="829" t="str">
        <f t="shared" si="78"/>
        <v/>
      </c>
      <c r="CI208" s="829" t="str">
        <f t="shared" si="79"/>
        <v/>
      </c>
      <c r="CJ208" s="829" t="str" cm="1">
        <f t="array" ref="CJ208">IF($B208="","",_xlfn.LET(_xlpm.to,$D208&amp;"",_xlpm.em,IFERROR(INDEX(_xlfn.ANCHORARRAY($BE$4),ROW()-4,6),"")="EMERG",_xlpm.pri,AND(NOT(_xlpm.em),LEFT(_xlpm.to,2)="T-",ISNUMBER(MATCH(MID(_xlpm.to,3,99),Equip_List,0)),ISNA(MATCH(_xlpm.to,Equip_List,0))),IF(_xlpm.pri,MID(_xlpm.to,3,99),_xlpm.to)))</f>
        <v/>
      </c>
      <c r="CK208" s="829" t="str" cm="1">
        <f t="array" ref="CK208">IF($CJ208="","",IF(IFERROR(INDEX(_xlfn.ANCHORARRAY($BE$4),ROW()-4,6),"")="EMERG","E",IF($CJ208&lt;&gt;$D208&amp;"","P","N")))</f>
        <v/>
      </c>
    </row>
    <row r="209" spans="1:89" ht="15" customHeight="1" x14ac:dyDescent="0.35">
      <c r="A209" s="821" t="str">
        <f t="shared" si="67"/>
        <v/>
      </c>
      <c r="B209" s="821" t="str" cm="1">
        <f t="array" ref="B209">IFERROR(IF(INDEX(_xlfn.ANCHORARRAY($BE$4),ROW()-4,2)="","","F-"&amp;INDEX(_xlfn.ANCHORARRAY($BE$4),ROW()-4,2)&amp;IF(IFERROR(INDEX(_xlfn.ANCHORARRAY($BE$4),ROW()-4,6),"")="EMERG","-E","")),"")</f>
        <v/>
      </c>
      <c r="C209" s="821" t="str" cm="1">
        <f t="array" ref="C209">IFERROR(IF($B209="","",INDEX(_xlfn.ANCHORARRAY($BE$4),ROW()-4,1)),"")</f>
        <v/>
      </c>
      <c r="D209" s="821" t="str" cm="1">
        <f t="array" ref="D209">IFERROR(IF($B209="","",INDEX(_xlfn.ANCHORARRAY($BE$4),ROW()-4,2)),"")</f>
        <v/>
      </c>
      <c r="E209" s="806" t="str" cm="1">
        <f t="array" ref="E209">IFERROR(IF($B209="","",INDEX(_xlfn.ANCHORARRAY($BE$4),ROW()-4,3)),"")</f>
        <v/>
      </c>
      <c r="F209" s="822" t="str" cm="1">
        <f t="array" ref="F209">IFERROR(IF($B209="","",INDEX(_xlfn.ANCHORARRAY($BE$4),ROW()-4,4)),"")</f>
        <v/>
      </c>
      <c r="G209" s="823" t="str" cm="1">
        <f t="array" ref="G209">IFERROR(IF($B209="","",INDEX(_xlfn.ANCHORARRAY($BE$4),ROW()-4,5)),"")</f>
        <v/>
      </c>
      <c r="H209" s="824" t="str" cm="1">
        <f t="array" ref="H209">IF($CJ209="","",_xlfn.LET(_xlpm.v,_xlfn.XLOOKUP($CJ209,Equip_List,IF($CK209="E",Equip_EmLen,IF($CK209="P",Equip_XfPriLen,Equip_FdrLen)),""),IF(_xlpm.v="","",_xlpm.v)))</f>
        <v/>
      </c>
      <c r="I209" s="806" t="str">
        <f t="shared" si="60"/>
        <v/>
      </c>
      <c r="J209" s="820"/>
      <c r="K209" s="806" t="str">
        <f>_xlfn.LET(_xlpm.k,IF($I209="","",IF(COUNTIF(UPS!$B$57:$B$64,$C209&amp;"")&gt;0,1.25*MAX($I209,N(_xlfn.XLOOKUP($C209&amp;"",UPS!$B$57:$B$64,UPS!$M$57:$M$64,0))),IF(COUNTIF(UPS!$B$57:$B$64,$D209&amp;"")&gt;0,1.25*MAX($I209,N(_xlfn.XLOOKUP($D209&amp;"",UPS!$B$57:$B$64,UPS!$Q$57:$Q$64,0))),$I209*IF(OR(UPPER($J209)="Y",LEFT($C209,2)="T-",LEFT($D209,2)="T-"),1.25,1)))),IF(_xlpm.k="","",MAX(_xlpm.k,N(IFERROR(_xlfn.XLOOKUP($D209&amp;"",Dashboard!$A$101:$A$350,Dashboard!$O$101:$O$350,0),0)))))</f>
        <v/>
      </c>
      <c r="L209" s="825" t="str">
        <f>IF($CJ209="","",_xlfn.LET(_xlpm.v,UPPER(TRIM(_xlfn.XLOOKUP($CJ209,Equip_List,Equip_FdrMat,"")&amp;"")),IF(_xlpm.v="",UPPER(TRIM(Cfg_FeederMat&amp;"")),_xlpm.v)))</f>
        <v/>
      </c>
      <c r="M209" s="825" t="str">
        <f>IF($CJ209="","",_xlfn.LET(_xlpm.v,TRIM(_xlfn.XLOOKUP($CJ209,Equip_List,Equip_FdrRace,"")&amp;""),IF(_xlpm.v="",Cfg_Conduit&amp;"",_xlpm.v)))</f>
        <v/>
      </c>
      <c r="N209" s="825" t="str">
        <f>IF($CJ209="","",IF(UPPER(TRIM(_xlfn.XLOOKUP($CJ209,Equip_List,Equip_FdrExist,"")&amp;""))="Y","Y",""))</f>
        <v/>
      </c>
      <c r="O209" s="823" t="str">
        <f t="shared" si="68"/>
        <v/>
      </c>
      <c r="P209" s="821" t="str">
        <f t="shared" si="69"/>
        <v/>
      </c>
      <c r="Q209" s="821" t="str">
        <f t="shared" si="70"/>
        <v/>
      </c>
      <c r="R209" s="822" t="str" cm="1">
        <f t="array" ref="R209">IF(K209="","",INDEX(OCPD_List,MATCH(TRUE,OCPD_List&gt;=K209,0)))</f>
        <v/>
      </c>
      <c r="S209" s="821" t="str">
        <f t="shared" si="71"/>
        <v/>
      </c>
      <c r="T209" s="826" t="str">
        <f t="shared" si="61"/>
        <v/>
      </c>
      <c r="U209" s="826" t="str">
        <f t="shared" si="62"/>
        <v/>
      </c>
      <c r="V209" s="827" t="str">
        <f t="shared" si="63"/>
        <v/>
      </c>
      <c r="W209" s="828"/>
      <c r="X209" s="819"/>
      <c r="Y209" s="820"/>
      <c r="Z209" s="820"/>
      <c r="AA209" s="820"/>
      <c r="BN209" s="832" t="str">
        <f>IF($B209="","",IFERROR(_xlfn.XLOOKUP($D209,Dashboard!$A$101:$A$350,Dashboard!$C$101:$C$350),""))</f>
        <v/>
      </c>
      <c r="BO209" s="832" t="str">
        <f t="shared" si="64"/>
        <v/>
      </c>
      <c r="BP209" s="832" t="str" cm="1">
        <f t="array" ref="BP209">IF(OR($B209="",$R209="",NOT(ISNUMBER($R209))),"",IF(AND($BV209="AL",$G209=1),"",_xlfn.LET(_xlpm.codes,IF($BV209="AL",Std_Al3_Code,IF($G209=1,Std_Cu1_Code,Std_Cu3_Code)),_xlpm.amps,IFERROR(--SUBSTITUTE(_xlpm.codes&amp;"","N",""),""),_xlpm.a,MIN(IF(ISNUMBER(_xlpm.amps),IF(_xlpm.amps&gt;=$R209,_xlpm.amps,""),"")),_xlpm.k,IF(_xlpm.a=0,$R209,_xlpm.a),IF($BO209="Y",TEXT(_xlpm.k,"0")&amp;"N",_xlpm.k))))</f>
        <v/>
      </c>
      <c r="BQ209" s="832" t="str" cm="1">
        <f t="array" ref="BQ209">IF($BP209="","",IFERROR(IF($BV209="AL",_xlfn.XLOOKUP($BP209,Std_Al3_Code,INDEX(Std_Al3_Table,0,3)),IF($G209=1,_xlfn.XLOOKUP($BP209,Std_Cu1_Code,INDEX(Std_Cu1_Table,0,3)),_xlfn.XLOOKUP($BP209,Std_Cu3_Code,INDEX(Std_Cu3_Table,0,3)))),""))</f>
        <v/>
      </c>
      <c r="BR209" s="832" t="str" cm="1">
        <f t="array" ref="BR209">IF($BP209="","",IFERROR(IF($BV209="AL",_xlfn.XLOOKUP($BP209,Std_Al3_Code,INDEX(Std_Al3_Table,0,4)),IF($G209=1,_xlfn.XLOOKUP($BP209,Std_Cu1_Code,INDEX(Std_Cu1_Table,0,4)),_xlfn.XLOOKUP($BP209,Std_Cu3_Code,INDEX(Std_Cu3_Table,0,4)))),""))</f>
        <v/>
      </c>
      <c r="BS209" s="832" t="str" cm="1">
        <f t="array" ref="BS209">IF($BP209="","",IFERROR(IF($BV209="AL",_xlfn.XLOOKUP($BP209,Std_Al3_Code,INDEX(Std_Al3_Table,0,5)),IF($G209=1,_xlfn.XLOOKUP($BP209,Std_Cu1_Code,INDEX(Std_Cu1_Table,0,5)),_xlfn.XLOOKUP($BP209,Std_Cu3_Code,INDEX(Std_Cu3_Table,0,5)))),""))</f>
        <v/>
      </c>
      <c r="BT209" s="832" t="str">
        <f t="shared" si="65"/>
        <v/>
      </c>
      <c r="BU209" s="832" t="str" cm="1">
        <f t="array" ref="BU209">IF($BP209="","",IFERROR(IF($BV209="AL",_xlfn.XLOOKUP($BP209,Std_Al3_Code,INDEX(Std_Al3_Table,0,2)),IF($G209=1,_xlfn.XLOOKUP($BP209,Std_Cu1_Code,INDEX(Std_Cu1_Table,0,2)),_xlfn.XLOOKUP($BP209,Std_Cu3_Code,INDEX(Std_Cu3_Table,0,2)))),""))</f>
        <v/>
      </c>
      <c r="BV209" s="829" t="str">
        <f t="shared" si="66"/>
        <v/>
      </c>
      <c r="BW209" s="829" t="str">
        <f t="shared" si="72"/>
        <v/>
      </c>
      <c r="BX209" s="829" t="str" cm="1">
        <f t="array" ref="BX209">IF(OR($BP209="",$H209="",$I209="",$F209="",$BW209=""),"",IFERROR(_xlfn.LET(_xlpm.codes,IF($BV209="AL",Std_Al3_Code,IF($G209=1,Std_Cu1_Code,Std_Cu3_Code)),_xlpm.tbl,IF($BV209="AL",Std_Al3_Table,IF($G209=1,Std_Cu1_Table,Std_Cu3_Table)),_xlpm.i,MATCH($BP209,_xlpm.codes,0),_xlpm.idx,_xlfn.SEQUENCE(ROWS(_xlpm.codes)),_xlpm.cnd,INDEX(_xlpm.tbl,0,4),_xlpm.sts,INDEX(_xlpm.tbl,0,2),_xlpm.sz,IFERROR(_xlfn.TEXTBEFORE(_xlfn.TEXTAFTER(_xlpm.cnd,"#"),","),IFERROR(_xlfn.TEXTAFTER(_xlpm.cnd,"#"),"")),_xlpm.cm,IFERROR(_xlfn.XLOOKUP(TRIM(_xlpm.sz),Ampacity_Size,Ampacity_CM),0),_xlpm.mult,IF($G209=3,SQRT3,2),_xlpm.kk,IF($BV209="AL",K_Al,K_Cu),_xlpm.vd,IF(_xlpm.cm*IF(ISNUMBER(_xlpm.sts),_xlpm.sts,0)=0,9,_xlpm.mult*_xlpm.kk*$I209*$H209/(_xlpm.cm*_xlpm.sts)/$F209),_xlpm.hasN,--(RIGHT(_xlpm.codes&amp;"",1)="N"),_xlpm.wantN,--(RIGHT($BP209&amp;"",1)="N"),_xlpm.ok,(_xlpm.idx&gt;=_xlpm.i)*(_xlpm.vd&lt;=Cfg_VDFeeder)*(_xlpm.cm&gt;0)*ISNUMBER(_xlpm.sts)*(_xlpm.hasN=_xlpm.wantN),_xlpm.m,MIN(IF(_xlpm.ok=1,_xlpm.idx)),INDEX(_xlpm.codes,IF(_xlpm.m=0,_xlpm.i,_xlpm.m))),""))</f>
        <v/>
      </c>
      <c r="BY209" s="829" t="str" cm="1">
        <f t="array" ref="BY209">IF($BP209="","",IF($BX209="",$BU209,IFERROR(IF($BV209="AL",_xlfn.XLOOKUP($BX209,Std_Al3_Code,INDEX(Std_Al3_Table,0,2)),IF($G209=1,_xlfn.XLOOKUP($BX209,Std_Cu1_Code,INDEX(Std_Cu1_Table,0,2)),_xlfn.XLOOKUP($BX209,Std_Cu3_Code,INDEX(Std_Cu3_Table,0,2)))),"")))</f>
        <v/>
      </c>
      <c r="BZ209" s="829" t="str" cm="1">
        <f t="array" ref="BZ209">IF($BP209="","",IF($BX209="",$BR209,IFERROR(IF($BV209="AL",_xlfn.XLOOKUP($BX209,Std_Al3_Code,INDEX(Std_Al3_Table,0,4)),IF($G209=1,_xlfn.XLOOKUP($BX209,Std_Cu1_Code,INDEX(Std_Cu1_Table,0,4)),_xlfn.XLOOKUP($BX209,Std_Cu3_Code,INDEX(Std_Cu3_Table,0,4)))),"")))</f>
        <v/>
      </c>
      <c r="CA209" s="829" t="str" cm="1">
        <f t="array" ref="CA209">IF($BP209="","",IF($BX209="",$BQ209,IFERROR(IF($BV209="AL",_xlfn.XLOOKUP($BX209,Std_Al3_Code,INDEX(Std_Al3_Table,0,3)),IF($G209=1,_xlfn.XLOOKUP($BX209,Std_Cu1_Code,INDEX(Std_Cu1_Table,0,3)),_xlfn.XLOOKUP($BX209,Std_Cu3_Code,INDEX(Std_Cu3_Table,0,3)))),"")))</f>
        <v/>
      </c>
      <c r="CB209" s="829" t="str" cm="1">
        <f t="array" ref="CB209">IF($BP209="","",IF($BX209="",$BS209,IFERROR(IF($BV209="AL",_xlfn.XLOOKUP($BX209,Std_Al3_Code,INDEX(Std_Al3_Table,0,5)),IF($G209=1,_xlfn.XLOOKUP($BX209,Std_Cu1_Code,INDEX(Std_Cu1_Table,0,5)),_xlfn.XLOOKUP($BX209,Std_Cu3_Code,INDEX(Std_Cu3_Table,0,5)))),"")))</f>
        <v/>
      </c>
      <c r="CC209" s="829" t="str">
        <f t="shared" si="73"/>
        <v/>
      </c>
      <c r="CD209" s="829" t="str">
        <f t="shared" si="74"/>
        <v/>
      </c>
      <c r="CE209" s="829" t="str">
        <f t="shared" si="75"/>
        <v/>
      </c>
      <c r="CF209" s="829" t="str">
        <f t="shared" si="76"/>
        <v/>
      </c>
      <c r="CG209" s="829" t="str">
        <f t="shared" si="77"/>
        <v/>
      </c>
      <c r="CH209" s="829" t="str">
        <f t="shared" si="78"/>
        <v/>
      </c>
      <c r="CI209" s="829" t="str">
        <f t="shared" si="79"/>
        <v/>
      </c>
      <c r="CJ209" s="829" t="str" cm="1">
        <f t="array" ref="CJ209">IF($B209="","",_xlfn.LET(_xlpm.to,$D209&amp;"",_xlpm.em,IFERROR(INDEX(_xlfn.ANCHORARRAY($BE$4),ROW()-4,6),"")="EMERG",_xlpm.pri,AND(NOT(_xlpm.em),LEFT(_xlpm.to,2)="T-",ISNUMBER(MATCH(MID(_xlpm.to,3,99),Equip_List,0)),ISNA(MATCH(_xlpm.to,Equip_List,0))),IF(_xlpm.pri,MID(_xlpm.to,3,99),_xlpm.to)))</f>
        <v/>
      </c>
      <c r="CK209" s="829" t="str" cm="1">
        <f t="array" ref="CK209">IF($CJ209="","",IF(IFERROR(INDEX(_xlfn.ANCHORARRAY($BE$4),ROW()-4,6),"")="EMERG","E",IF($CJ209&lt;&gt;$D209&amp;"","P","N")))</f>
        <v/>
      </c>
    </row>
    <row r="210" spans="1:89" ht="15" customHeight="1" x14ac:dyDescent="0.35">
      <c r="A210" s="821" t="str">
        <f t="shared" si="67"/>
        <v/>
      </c>
      <c r="B210" s="821" t="str" cm="1">
        <f t="array" ref="B210">IFERROR(IF(INDEX(_xlfn.ANCHORARRAY($BE$4),ROW()-4,2)="","","F-"&amp;INDEX(_xlfn.ANCHORARRAY($BE$4),ROW()-4,2)&amp;IF(IFERROR(INDEX(_xlfn.ANCHORARRAY($BE$4),ROW()-4,6),"")="EMERG","-E","")),"")</f>
        <v/>
      </c>
      <c r="C210" s="821" t="str" cm="1">
        <f t="array" ref="C210">IFERROR(IF($B210="","",INDEX(_xlfn.ANCHORARRAY($BE$4),ROW()-4,1)),"")</f>
        <v/>
      </c>
      <c r="D210" s="821" t="str" cm="1">
        <f t="array" ref="D210">IFERROR(IF($B210="","",INDEX(_xlfn.ANCHORARRAY($BE$4),ROW()-4,2)),"")</f>
        <v/>
      </c>
      <c r="E210" s="806" t="str" cm="1">
        <f t="array" ref="E210">IFERROR(IF($B210="","",INDEX(_xlfn.ANCHORARRAY($BE$4),ROW()-4,3)),"")</f>
        <v/>
      </c>
      <c r="F210" s="822" t="str" cm="1">
        <f t="array" ref="F210">IFERROR(IF($B210="","",INDEX(_xlfn.ANCHORARRAY($BE$4),ROW()-4,4)),"")</f>
        <v/>
      </c>
      <c r="G210" s="823" t="str" cm="1">
        <f t="array" ref="G210">IFERROR(IF($B210="","",INDEX(_xlfn.ANCHORARRAY($BE$4),ROW()-4,5)),"")</f>
        <v/>
      </c>
      <c r="H210" s="824" t="str" cm="1">
        <f t="array" ref="H210">IF($CJ210="","",_xlfn.LET(_xlpm.v,_xlfn.XLOOKUP($CJ210,Equip_List,IF($CK210="E",Equip_EmLen,IF($CK210="P",Equip_XfPriLen,Equip_FdrLen)),""),IF(_xlpm.v="","",_xlpm.v)))</f>
        <v/>
      </c>
      <c r="I210" s="806" t="str">
        <f t="shared" si="60"/>
        <v/>
      </c>
      <c r="J210" s="820"/>
      <c r="K210" s="806" t="str">
        <f>_xlfn.LET(_xlpm.k,IF($I210="","",IF(COUNTIF(UPS!$B$57:$B$64,$C210&amp;"")&gt;0,1.25*MAX($I210,N(_xlfn.XLOOKUP($C210&amp;"",UPS!$B$57:$B$64,UPS!$M$57:$M$64,0))),IF(COUNTIF(UPS!$B$57:$B$64,$D210&amp;"")&gt;0,1.25*MAX($I210,N(_xlfn.XLOOKUP($D210&amp;"",UPS!$B$57:$B$64,UPS!$Q$57:$Q$64,0))),$I210*IF(OR(UPPER($J210)="Y",LEFT($C210,2)="T-",LEFT($D210,2)="T-"),1.25,1)))),IF(_xlpm.k="","",MAX(_xlpm.k,N(IFERROR(_xlfn.XLOOKUP($D210&amp;"",Dashboard!$A$101:$A$350,Dashboard!$O$101:$O$350,0),0)))))</f>
        <v/>
      </c>
      <c r="L210" s="825" t="str">
        <f>IF($CJ210="","",_xlfn.LET(_xlpm.v,UPPER(TRIM(_xlfn.XLOOKUP($CJ210,Equip_List,Equip_FdrMat,"")&amp;"")),IF(_xlpm.v="",UPPER(TRIM(Cfg_FeederMat&amp;"")),_xlpm.v)))</f>
        <v/>
      </c>
      <c r="M210" s="825" t="str">
        <f>IF($CJ210="","",_xlfn.LET(_xlpm.v,TRIM(_xlfn.XLOOKUP($CJ210,Equip_List,Equip_FdrRace,"")&amp;""),IF(_xlpm.v="",Cfg_Conduit&amp;"",_xlpm.v)))</f>
        <v/>
      </c>
      <c r="N210" s="825" t="str">
        <f>IF($CJ210="","",IF(UPPER(TRIM(_xlfn.XLOOKUP($CJ210,Equip_List,Equip_FdrExist,"")&amp;""))="Y","Y",""))</f>
        <v/>
      </c>
      <c r="O210" s="823" t="str">
        <f t="shared" si="68"/>
        <v/>
      </c>
      <c r="P210" s="821" t="str">
        <f t="shared" si="69"/>
        <v/>
      </c>
      <c r="Q210" s="821" t="str">
        <f t="shared" si="70"/>
        <v/>
      </c>
      <c r="R210" s="822" t="str" cm="1">
        <f t="array" ref="R210">IF(K210="","",INDEX(OCPD_List,MATCH(TRUE,OCPD_List&gt;=K210,0)))</f>
        <v/>
      </c>
      <c r="S210" s="821" t="str">
        <f t="shared" si="71"/>
        <v/>
      </c>
      <c r="T210" s="826" t="str">
        <f t="shared" si="61"/>
        <v/>
      </c>
      <c r="U210" s="826" t="str">
        <f t="shared" si="62"/>
        <v/>
      </c>
      <c r="V210" s="827" t="str">
        <f t="shared" si="63"/>
        <v/>
      </c>
      <c r="W210" s="828"/>
      <c r="X210" s="819"/>
      <c r="Y210" s="820"/>
      <c r="Z210" s="820"/>
      <c r="AA210" s="820"/>
      <c r="BN210" s="832" t="str">
        <f>IF($B210="","",IFERROR(_xlfn.XLOOKUP($D210,Dashboard!$A$101:$A$350,Dashboard!$C$101:$C$350),""))</f>
        <v/>
      </c>
      <c r="BO210" s="832" t="str">
        <f t="shared" si="64"/>
        <v/>
      </c>
      <c r="BP210" s="832" t="str" cm="1">
        <f t="array" ref="BP210">IF(OR($B210="",$R210="",NOT(ISNUMBER($R210))),"",IF(AND($BV210="AL",$G210=1),"",_xlfn.LET(_xlpm.codes,IF($BV210="AL",Std_Al3_Code,IF($G210=1,Std_Cu1_Code,Std_Cu3_Code)),_xlpm.amps,IFERROR(--SUBSTITUTE(_xlpm.codes&amp;"","N",""),""),_xlpm.a,MIN(IF(ISNUMBER(_xlpm.amps),IF(_xlpm.amps&gt;=$R210,_xlpm.amps,""),"")),_xlpm.k,IF(_xlpm.a=0,$R210,_xlpm.a),IF($BO210="Y",TEXT(_xlpm.k,"0")&amp;"N",_xlpm.k))))</f>
        <v/>
      </c>
      <c r="BQ210" s="832" t="str" cm="1">
        <f t="array" ref="BQ210">IF($BP210="","",IFERROR(IF($BV210="AL",_xlfn.XLOOKUP($BP210,Std_Al3_Code,INDEX(Std_Al3_Table,0,3)),IF($G210=1,_xlfn.XLOOKUP($BP210,Std_Cu1_Code,INDEX(Std_Cu1_Table,0,3)),_xlfn.XLOOKUP($BP210,Std_Cu3_Code,INDEX(Std_Cu3_Table,0,3)))),""))</f>
        <v/>
      </c>
      <c r="BR210" s="832" t="str" cm="1">
        <f t="array" ref="BR210">IF($BP210="","",IFERROR(IF($BV210="AL",_xlfn.XLOOKUP($BP210,Std_Al3_Code,INDEX(Std_Al3_Table,0,4)),IF($G210=1,_xlfn.XLOOKUP($BP210,Std_Cu1_Code,INDEX(Std_Cu1_Table,0,4)),_xlfn.XLOOKUP($BP210,Std_Cu3_Code,INDEX(Std_Cu3_Table,0,4)))),""))</f>
        <v/>
      </c>
      <c r="BS210" s="832" t="str" cm="1">
        <f t="array" ref="BS210">IF($BP210="","",IFERROR(IF($BV210="AL",_xlfn.XLOOKUP($BP210,Std_Al3_Code,INDEX(Std_Al3_Table,0,5)),IF($G210=1,_xlfn.XLOOKUP($BP210,Std_Cu1_Code,INDEX(Std_Cu1_Table,0,5)),_xlfn.XLOOKUP($BP210,Std_Cu3_Code,INDEX(Std_Cu3_Table,0,5)))),""))</f>
        <v/>
      </c>
      <c r="BT210" s="832" t="str">
        <f t="shared" si="65"/>
        <v/>
      </c>
      <c r="BU210" s="832" t="str" cm="1">
        <f t="array" ref="BU210">IF($BP210="","",IFERROR(IF($BV210="AL",_xlfn.XLOOKUP($BP210,Std_Al3_Code,INDEX(Std_Al3_Table,0,2)),IF($G210=1,_xlfn.XLOOKUP($BP210,Std_Cu1_Code,INDEX(Std_Cu1_Table,0,2)),_xlfn.XLOOKUP($BP210,Std_Cu3_Code,INDEX(Std_Cu3_Table,0,2)))),""))</f>
        <v/>
      </c>
      <c r="BV210" s="829" t="str">
        <f t="shared" si="66"/>
        <v/>
      </c>
      <c r="BW210" s="829" t="str">
        <f t="shared" si="72"/>
        <v/>
      </c>
      <c r="BX210" s="829" t="str" cm="1">
        <f t="array" ref="BX210">IF(OR($BP210="",$H210="",$I210="",$F210="",$BW210=""),"",IFERROR(_xlfn.LET(_xlpm.codes,IF($BV210="AL",Std_Al3_Code,IF($G210=1,Std_Cu1_Code,Std_Cu3_Code)),_xlpm.tbl,IF($BV210="AL",Std_Al3_Table,IF($G210=1,Std_Cu1_Table,Std_Cu3_Table)),_xlpm.i,MATCH($BP210,_xlpm.codes,0),_xlpm.idx,_xlfn.SEQUENCE(ROWS(_xlpm.codes)),_xlpm.cnd,INDEX(_xlpm.tbl,0,4),_xlpm.sts,INDEX(_xlpm.tbl,0,2),_xlpm.sz,IFERROR(_xlfn.TEXTBEFORE(_xlfn.TEXTAFTER(_xlpm.cnd,"#"),","),IFERROR(_xlfn.TEXTAFTER(_xlpm.cnd,"#"),"")),_xlpm.cm,IFERROR(_xlfn.XLOOKUP(TRIM(_xlpm.sz),Ampacity_Size,Ampacity_CM),0),_xlpm.mult,IF($G210=3,SQRT3,2),_xlpm.kk,IF($BV210="AL",K_Al,K_Cu),_xlpm.vd,IF(_xlpm.cm*IF(ISNUMBER(_xlpm.sts),_xlpm.sts,0)=0,9,_xlpm.mult*_xlpm.kk*$I210*$H210/(_xlpm.cm*_xlpm.sts)/$F210),_xlpm.hasN,--(RIGHT(_xlpm.codes&amp;"",1)="N"),_xlpm.wantN,--(RIGHT($BP210&amp;"",1)="N"),_xlpm.ok,(_xlpm.idx&gt;=_xlpm.i)*(_xlpm.vd&lt;=Cfg_VDFeeder)*(_xlpm.cm&gt;0)*ISNUMBER(_xlpm.sts)*(_xlpm.hasN=_xlpm.wantN),_xlpm.m,MIN(IF(_xlpm.ok=1,_xlpm.idx)),INDEX(_xlpm.codes,IF(_xlpm.m=0,_xlpm.i,_xlpm.m))),""))</f>
        <v/>
      </c>
      <c r="BY210" s="829" t="str" cm="1">
        <f t="array" ref="BY210">IF($BP210="","",IF($BX210="",$BU210,IFERROR(IF($BV210="AL",_xlfn.XLOOKUP($BX210,Std_Al3_Code,INDEX(Std_Al3_Table,0,2)),IF($G210=1,_xlfn.XLOOKUP($BX210,Std_Cu1_Code,INDEX(Std_Cu1_Table,0,2)),_xlfn.XLOOKUP($BX210,Std_Cu3_Code,INDEX(Std_Cu3_Table,0,2)))),"")))</f>
        <v/>
      </c>
      <c r="BZ210" s="829" t="str" cm="1">
        <f t="array" ref="BZ210">IF($BP210="","",IF($BX210="",$BR210,IFERROR(IF($BV210="AL",_xlfn.XLOOKUP($BX210,Std_Al3_Code,INDEX(Std_Al3_Table,0,4)),IF($G210=1,_xlfn.XLOOKUP($BX210,Std_Cu1_Code,INDEX(Std_Cu1_Table,0,4)),_xlfn.XLOOKUP($BX210,Std_Cu3_Code,INDEX(Std_Cu3_Table,0,4)))),"")))</f>
        <v/>
      </c>
      <c r="CA210" s="829" t="str" cm="1">
        <f t="array" ref="CA210">IF($BP210="","",IF($BX210="",$BQ210,IFERROR(IF($BV210="AL",_xlfn.XLOOKUP($BX210,Std_Al3_Code,INDEX(Std_Al3_Table,0,3)),IF($G210=1,_xlfn.XLOOKUP($BX210,Std_Cu1_Code,INDEX(Std_Cu1_Table,0,3)),_xlfn.XLOOKUP($BX210,Std_Cu3_Code,INDEX(Std_Cu3_Table,0,3)))),"")))</f>
        <v/>
      </c>
      <c r="CB210" s="829" t="str" cm="1">
        <f t="array" ref="CB210">IF($BP210="","",IF($BX210="",$BS210,IFERROR(IF($BV210="AL",_xlfn.XLOOKUP($BX210,Std_Al3_Code,INDEX(Std_Al3_Table,0,5)),IF($G210=1,_xlfn.XLOOKUP($BX210,Std_Cu1_Code,INDEX(Std_Cu1_Table,0,5)),_xlfn.XLOOKUP($BX210,Std_Cu3_Code,INDEX(Std_Cu3_Table,0,5)))),"")))</f>
        <v/>
      </c>
      <c r="CC210" s="829" t="str">
        <f t="shared" si="73"/>
        <v/>
      </c>
      <c r="CD210" s="829" t="str">
        <f t="shared" si="74"/>
        <v/>
      </c>
      <c r="CE210" s="829" t="str">
        <f t="shared" si="75"/>
        <v/>
      </c>
      <c r="CF210" s="829" t="str">
        <f t="shared" si="76"/>
        <v/>
      </c>
      <c r="CG210" s="829" t="str">
        <f t="shared" si="77"/>
        <v/>
      </c>
      <c r="CH210" s="829" t="str">
        <f t="shared" si="78"/>
        <v/>
      </c>
      <c r="CI210" s="829" t="str">
        <f t="shared" si="79"/>
        <v/>
      </c>
      <c r="CJ210" s="829" t="str" cm="1">
        <f t="array" ref="CJ210">IF($B210="","",_xlfn.LET(_xlpm.to,$D210&amp;"",_xlpm.em,IFERROR(INDEX(_xlfn.ANCHORARRAY($BE$4),ROW()-4,6),"")="EMERG",_xlpm.pri,AND(NOT(_xlpm.em),LEFT(_xlpm.to,2)="T-",ISNUMBER(MATCH(MID(_xlpm.to,3,99),Equip_List,0)),ISNA(MATCH(_xlpm.to,Equip_List,0))),IF(_xlpm.pri,MID(_xlpm.to,3,99),_xlpm.to)))</f>
        <v/>
      </c>
      <c r="CK210" s="829" t="str" cm="1">
        <f t="array" ref="CK210">IF($CJ210="","",IF(IFERROR(INDEX(_xlfn.ANCHORARRAY($BE$4),ROW()-4,6),"")="EMERG","E",IF($CJ210&lt;&gt;$D210&amp;"","P","N")))</f>
        <v/>
      </c>
    </row>
    <row r="211" spans="1:89" ht="15" customHeight="1" x14ac:dyDescent="0.35">
      <c r="A211" s="821" t="str">
        <f t="shared" si="67"/>
        <v/>
      </c>
      <c r="B211" s="821" t="str" cm="1">
        <f t="array" ref="B211">IFERROR(IF(INDEX(_xlfn.ANCHORARRAY($BE$4),ROW()-4,2)="","","F-"&amp;INDEX(_xlfn.ANCHORARRAY($BE$4),ROW()-4,2)&amp;IF(IFERROR(INDEX(_xlfn.ANCHORARRAY($BE$4),ROW()-4,6),"")="EMERG","-E","")),"")</f>
        <v/>
      </c>
      <c r="C211" s="821" t="str" cm="1">
        <f t="array" ref="C211">IFERROR(IF($B211="","",INDEX(_xlfn.ANCHORARRAY($BE$4),ROW()-4,1)),"")</f>
        <v/>
      </c>
      <c r="D211" s="821" t="str" cm="1">
        <f t="array" ref="D211">IFERROR(IF($B211="","",INDEX(_xlfn.ANCHORARRAY($BE$4),ROW()-4,2)),"")</f>
        <v/>
      </c>
      <c r="E211" s="806" t="str" cm="1">
        <f t="array" ref="E211">IFERROR(IF($B211="","",INDEX(_xlfn.ANCHORARRAY($BE$4),ROW()-4,3)),"")</f>
        <v/>
      </c>
      <c r="F211" s="822" t="str" cm="1">
        <f t="array" ref="F211">IFERROR(IF($B211="","",INDEX(_xlfn.ANCHORARRAY($BE$4),ROW()-4,4)),"")</f>
        <v/>
      </c>
      <c r="G211" s="823" t="str" cm="1">
        <f t="array" ref="G211">IFERROR(IF($B211="","",INDEX(_xlfn.ANCHORARRAY($BE$4),ROW()-4,5)),"")</f>
        <v/>
      </c>
      <c r="H211" s="824" t="str" cm="1">
        <f t="array" ref="H211">IF($CJ211="","",_xlfn.LET(_xlpm.v,_xlfn.XLOOKUP($CJ211,Equip_List,IF($CK211="E",Equip_EmLen,IF($CK211="P",Equip_XfPriLen,Equip_FdrLen)),""),IF(_xlpm.v="","",_xlpm.v)))</f>
        <v/>
      </c>
      <c r="I211" s="806" t="str">
        <f t="shared" si="60"/>
        <v/>
      </c>
      <c r="J211" s="820"/>
      <c r="K211" s="806" t="str">
        <f>_xlfn.LET(_xlpm.k,IF($I211="","",IF(COUNTIF(UPS!$B$57:$B$64,$C211&amp;"")&gt;0,1.25*MAX($I211,N(_xlfn.XLOOKUP($C211&amp;"",UPS!$B$57:$B$64,UPS!$M$57:$M$64,0))),IF(COUNTIF(UPS!$B$57:$B$64,$D211&amp;"")&gt;0,1.25*MAX($I211,N(_xlfn.XLOOKUP($D211&amp;"",UPS!$B$57:$B$64,UPS!$Q$57:$Q$64,0))),$I211*IF(OR(UPPER($J211)="Y",LEFT($C211,2)="T-",LEFT($D211,2)="T-"),1.25,1)))),IF(_xlpm.k="","",MAX(_xlpm.k,N(IFERROR(_xlfn.XLOOKUP($D211&amp;"",Dashboard!$A$101:$A$350,Dashboard!$O$101:$O$350,0),0)))))</f>
        <v/>
      </c>
      <c r="L211" s="825" t="str">
        <f>IF($CJ211="","",_xlfn.LET(_xlpm.v,UPPER(TRIM(_xlfn.XLOOKUP($CJ211,Equip_List,Equip_FdrMat,"")&amp;"")),IF(_xlpm.v="",UPPER(TRIM(Cfg_FeederMat&amp;"")),_xlpm.v)))</f>
        <v/>
      </c>
      <c r="M211" s="825" t="str">
        <f>IF($CJ211="","",_xlfn.LET(_xlpm.v,TRIM(_xlfn.XLOOKUP($CJ211,Equip_List,Equip_FdrRace,"")&amp;""),IF(_xlpm.v="",Cfg_Conduit&amp;"",_xlpm.v)))</f>
        <v/>
      </c>
      <c r="N211" s="825" t="str">
        <f>IF($CJ211="","",IF(UPPER(TRIM(_xlfn.XLOOKUP($CJ211,Equip_List,Equip_FdrExist,"")&amp;""))="Y","Y",""))</f>
        <v/>
      </c>
      <c r="O211" s="823" t="str">
        <f t="shared" si="68"/>
        <v/>
      </c>
      <c r="P211" s="821" t="str">
        <f t="shared" si="69"/>
        <v/>
      </c>
      <c r="Q211" s="821" t="str">
        <f t="shared" si="70"/>
        <v/>
      </c>
      <c r="R211" s="822" t="str" cm="1">
        <f t="array" ref="R211">IF(K211="","",INDEX(OCPD_List,MATCH(TRUE,OCPD_List&gt;=K211,0)))</f>
        <v/>
      </c>
      <c r="S211" s="821" t="str">
        <f t="shared" si="71"/>
        <v/>
      </c>
      <c r="T211" s="826" t="str">
        <f t="shared" si="61"/>
        <v/>
      </c>
      <c r="U211" s="826" t="str">
        <f t="shared" si="62"/>
        <v/>
      </c>
      <c r="V211" s="827" t="str">
        <f t="shared" si="63"/>
        <v/>
      </c>
      <c r="W211" s="828"/>
      <c r="X211" s="819"/>
      <c r="Y211" s="820"/>
      <c r="Z211" s="820"/>
      <c r="AA211" s="820"/>
      <c r="BN211" s="832" t="str">
        <f>IF($B211="","",IFERROR(_xlfn.XLOOKUP($D211,Dashboard!$A$101:$A$350,Dashboard!$C$101:$C$350),""))</f>
        <v/>
      </c>
      <c r="BO211" s="832" t="str">
        <f t="shared" si="64"/>
        <v/>
      </c>
      <c r="BP211" s="832" t="str" cm="1">
        <f t="array" ref="BP211">IF(OR($B211="",$R211="",NOT(ISNUMBER($R211))),"",IF(AND($BV211="AL",$G211=1),"",_xlfn.LET(_xlpm.codes,IF($BV211="AL",Std_Al3_Code,IF($G211=1,Std_Cu1_Code,Std_Cu3_Code)),_xlpm.amps,IFERROR(--SUBSTITUTE(_xlpm.codes&amp;"","N",""),""),_xlpm.a,MIN(IF(ISNUMBER(_xlpm.amps),IF(_xlpm.amps&gt;=$R211,_xlpm.amps,""),"")),_xlpm.k,IF(_xlpm.a=0,$R211,_xlpm.a),IF($BO211="Y",TEXT(_xlpm.k,"0")&amp;"N",_xlpm.k))))</f>
        <v/>
      </c>
      <c r="BQ211" s="832" t="str" cm="1">
        <f t="array" ref="BQ211">IF($BP211="","",IFERROR(IF($BV211="AL",_xlfn.XLOOKUP($BP211,Std_Al3_Code,INDEX(Std_Al3_Table,0,3)),IF($G211=1,_xlfn.XLOOKUP($BP211,Std_Cu1_Code,INDEX(Std_Cu1_Table,0,3)),_xlfn.XLOOKUP($BP211,Std_Cu3_Code,INDEX(Std_Cu3_Table,0,3)))),""))</f>
        <v/>
      </c>
      <c r="BR211" s="832" t="str" cm="1">
        <f t="array" ref="BR211">IF($BP211="","",IFERROR(IF($BV211="AL",_xlfn.XLOOKUP($BP211,Std_Al3_Code,INDEX(Std_Al3_Table,0,4)),IF($G211=1,_xlfn.XLOOKUP($BP211,Std_Cu1_Code,INDEX(Std_Cu1_Table,0,4)),_xlfn.XLOOKUP($BP211,Std_Cu3_Code,INDEX(Std_Cu3_Table,0,4)))),""))</f>
        <v/>
      </c>
      <c r="BS211" s="832" t="str" cm="1">
        <f t="array" ref="BS211">IF($BP211="","",IFERROR(IF($BV211="AL",_xlfn.XLOOKUP($BP211,Std_Al3_Code,INDEX(Std_Al3_Table,0,5)),IF($G211=1,_xlfn.XLOOKUP($BP211,Std_Cu1_Code,INDEX(Std_Cu1_Table,0,5)),_xlfn.XLOOKUP($BP211,Std_Cu3_Code,INDEX(Std_Cu3_Table,0,5)))),""))</f>
        <v/>
      </c>
      <c r="BT211" s="832" t="str">
        <f t="shared" si="65"/>
        <v/>
      </c>
      <c r="BU211" s="832" t="str" cm="1">
        <f t="array" ref="BU211">IF($BP211="","",IFERROR(IF($BV211="AL",_xlfn.XLOOKUP($BP211,Std_Al3_Code,INDEX(Std_Al3_Table,0,2)),IF($G211=1,_xlfn.XLOOKUP($BP211,Std_Cu1_Code,INDEX(Std_Cu1_Table,0,2)),_xlfn.XLOOKUP($BP211,Std_Cu3_Code,INDEX(Std_Cu3_Table,0,2)))),""))</f>
        <v/>
      </c>
      <c r="BV211" s="829" t="str">
        <f t="shared" si="66"/>
        <v/>
      </c>
      <c r="BW211" s="829" t="str">
        <f t="shared" si="72"/>
        <v/>
      </c>
      <c r="BX211" s="829" t="str" cm="1">
        <f t="array" ref="BX211">IF(OR($BP211="",$H211="",$I211="",$F211="",$BW211=""),"",IFERROR(_xlfn.LET(_xlpm.codes,IF($BV211="AL",Std_Al3_Code,IF($G211=1,Std_Cu1_Code,Std_Cu3_Code)),_xlpm.tbl,IF($BV211="AL",Std_Al3_Table,IF($G211=1,Std_Cu1_Table,Std_Cu3_Table)),_xlpm.i,MATCH($BP211,_xlpm.codes,0),_xlpm.idx,_xlfn.SEQUENCE(ROWS(_xlpm.codes)),_xlpm.cnd,INDEX(_xlpm.tbl,0,4),_xlpm.sts,INDEX(_xlpm.tbl,0,2),_xlpm.sz,IFERROR(_xlfn.TEXTBEFORE(_xlfn.TEXTAFTER(_xlpm.cnd,"#"),","),IFERROR(_xlfn.TEXTAFTER(_xlpm.cnd,"#"),"")),_xlpm.cm,IFERROR(_xlfn.XLOOKUP(TRIM(_xlpm.sz),Ampacity_Size,Ampacity_CM),0),_xlpm.mult,IF($G211=3,SQRT3,2),_xlpm.kk,IF($BV211="AL",K_Al,K_Cu),_xlpm.vd,IF(_xlpm.cm*IF(ISNUMBER(_xlpm.sts),_xlpm.sts,0)=0,9,_xlpm.mult*_xlpm.kk*$I211*$H211/(_xlpm.cm*_xlpm.sts)/$F211),_xlpm.hasN,--(RIGHT(_xlpm.codes&amp;"",1)="N"),_xlpm.wantN,--(RIGHT($BP211&amp;"",1)="N"),_xlpm.ok,(_xlpm.idx&gt;=_xlpm.i)*(_xlpm.vd&lt;=Cfg_VDFeeder)*(_xlpm.cm&gt;0)*ISNUMBER(_xlpm.sts)*(_xlpm.hasN=_xlpm.wantN),_xlpm.m,MIN(IF(_xlpm.ok=1,_xlpm.idx)),INDEX(_xlpm.codes,IF(_xlpm.m=0,_xlpm.i,_xlpm.m))),""))</f>
        <v/>
      </c>
      <c r="BY211" s="829" t="str" cm="1">
        <f t="array" ref="BY211">IF($BP211="","",IF($BX211="",$BU211,IFERROR(IF($BV211="AL",_xlfn.XLOOKUP($BX211,Std_Al3_Code,INDEX(Std_Al3_Table,0,2)),IF($G211=1,_xlfn.XLOOKUP($BX211,Std_Cu1_Code,INDEX(Std_Cu1_Table,0,2)),_xlfn.XLOOKUP($BX211,Std_Cu3_Code,INDEX(Std_Cu3_Table,0,2)))),"")))</f>
        <v/>
      </c>
      <c r="BZ211" s="829" t="str" cm="1">
        <f t="array" ref="BZ211">IF($BP211="","",IF($BX211="",$BR211,IFERROR(IF($BV211="AL",_xlfn.XLOOKUP($BX211,Std_Al3_Code,INDEX(Std_Al3_Table,0,4)),IF($G211=1,_xlfn.XLOOKUP($BX211,Std_Cu1_Code,INDEX(Std_Cu1_Table,0,4)),_xlfn.XLOOKUP($BX211,Std_Cu3_Code,INDEX(Std_Cu3_Table,0,4)))),"")))</f>
        <v/>
      </c>
      <c r="CA211" s="829" t="str" cm="1">
        <f t="array" ref="CA211">IF($BP211="","",IF($BX211="",$BQ211,IFERROR(IF($BV211="AL",_xlfn.XLOOKUP($BX211,Std_Al3_Code,INDEX(Std_Al3_Table,0,3)),IF($G211=1,_xlfn.XLOOKUP($BX211,Std_Cu1_Code,INDEX(Std_Cu1_Table,0,3)),_xlfn.XLOOKUP($BX211,Std_Cu3_Code,INDEX(Std_Cu3_Table,0,3)))),"")))</f>
        <v/>
      </c>
      <c r="CB211" s="829" t="str" cm="1">
        <f t="array" ref="CB211">IF($BP211="","",IF($BX211="",$BS211,IFERROR(IF($BV211="AL",_xlfn.XLOOKUP($BX211,Std_Al3_Code,INDEX(Std_Al3_Table,0,5)),IF($G211=1,_xlfn.XLOOKUP($BX211,Std_Cu1_Code,INDEX(Std_Cu1_Table,0,5)),_xlfn.XLOOKUP($BX211,Std_Cu3_Code,INDEX(Std_Cu3_Table,0,5)))),"")))</f>
        <v/>
      </c>
      <c r="CC211" s="829" t="str">
        <f t="shared" si="73"/>
        <v/>
      </c>
      <c r="CD211" s="829" t="str">
        <f t="shared" si="74"/>
        <v/>
      </c>
      <c r="CE211" s="829" t="str">
        <f t="shared" si="75"/>
        <v/>
      </c>
      <c r="CF211" s="829" t="str">
        <f t="shared" si="76"/>
        <v/>
      </c>
      <c r="CG211" s="829" t="str">
        <f t="shared" si="77"/>
        <v/>
      </c>
      <c r="CH211" s="829" t="str">
        <f t="shared" si="78"/>
        <v/>
      </c>
      <c r="CI211" s="829" t="str">
        <f t="shared" si="79"/>
        <v/>
      </c>
      <c r="CJ211" s="829" t="str" cm="1">
        <f t="array" ref="CJ211">IF($B211="","",_xlfn.LET(_xlpm.to,$D211&amp;"",_xlpm.em,IFERROR(INDEX(_xlfn.ANCHORARRAY($BE$4),ROW()-4,6),"")="EMERG",_xlpm.pri,AND(NOT(_xlpm.em),LEFT(_xlpm.to,2)="T-",ISNUMBER(MATCH(MID(_xlpm.to,3,99),Equip_List,0)),ISNA(MATCH(_xlpm.to,Equip_List,0))),IF(_xlpm.pri,MID(_xlpm.to,3,99),_xlpm.to)))</f>
        <v/>
      </c>
      <c r="CK211" s="829" t="str" cm="1">
        <f t="array" ref="CK211">IF($CJ211="","",IF(IFERROR(INDEX(_xlfn.ANCHORARRAY($BE$4),ROW()-4,6),"")="EMERG","E",IF($CJ211&lt;&gt;$D211&amp;"","P","N")))</f>
        <v/>
      </c>
    </row>
    <row r="212" spans="1:89" ht="15" customHeight="1" x14ac:dyDescent="0.35">
      <c r="A212" s="821" t="str">
        <f t="shared" si="67"/>
        <v/>
      </c>
      <c r="B212" s="821" t="str" cm="1">
        <f t="array" ref="B212">IFERROR(IF(INDEX(_xlfn.ANCHORARRAY($BE$4),ROW()-4,2)="","","F-"&amp;INDEX(_xlfn.ANCHORARRAY($BE$4),ROW()-4,2)&amp;IF(IFERROR(INDEX(_xlfn.ANCHORARRAY($BE$4),ROW()-4,6),"")="EMERG","-E","")),"")</f>
        <v/>
      </c>
      <c r="C212" s="821" t="str" cm="1">
        <f t="array" ref="C212">IFERROR(IF($B212="","",INDEX(_xlfn.ANCHORARRAY($BE$4),ROW()-4,1)),"")</f>
        <v/>
      </c>
      <c r="D212" s="821" t="str" cm="1">
        <f t="array" ref="D212">IFERROR(IF($B212="","",INDEX(_xlfn.ANCHORARRAY($BE$4),ROW()-4,2)),"")</f>
        <v/>
      </c>
      <c r="E212" s="806" t="str" cm="1">
        <f t="array" ref="E212">IFERROR(IF($B212="","",INDEX(_xlfn.ANCHORARRAY($BE$4),ROW()-4,3)),"")</f>
        <v/>
      </c>
      <c r="F212" s="822" t="str" cm="1">
        <f t="array" ref="F212">IFERROR(IF($B212="","",INDEX(_xlfn.ANCHORARRAY($BE$4),ROW()-4,4)),"")</f>
        <v/>
      </c>
      <c r="G212" s="823" t="str" cm="1">
        <f t="array" ref="G212">IFERROR(IF($B212="","",INDEX(_xlfn.ANCHORARRAY($BE$4),ROW()-4,5)),"")</f>
        <v/>
      </c>
      <c r="H212" s="824" t="str" cm="1">
        <f t="array" ref="H212">IF($CJ212="","",_xlfn.LET(_xlpm.v,_xlfn.XLOOKUP($CJ212,Equip_List,IF($CK212="E",Equip_EmLen,IF($CK212="P",Equip_XfPriLen,Equip_FdrLen)),""),IF(_xlpm.v="","",_xlpm.v)))</f>
        <v/>
      </c>
      <c r="I212" s="806" t="str">
        <f t="shared" si="60"/>
        <v/>
      </c>
      <c r="J212" s="820"/>
      <c r="K212" s="806" t="str">
        <f>_xlfn.LET(_xlpm.k,IF($I212="","",IF(COUNTIF(UPS!$B$57:$B$64,$C212&amp;"")&gt;0,1.25*MAX($I212,N(_xlfn.XLOOKUP($C212&amp;"",UPS!$B$57:$B$64,UPS!$M$57:$M$64,0))),IF(COUNTIF(UPS!$B$57:$B$64,$D212&amp;"")&gt;0,1.25*MAX($I212,N(_xlfn.XLOOKUP($D212&amp;"",UPS!$B$57:$B$64,UPS!$Q$57:$Q$64,0))),$I212*IF(OR(UPPER($J212)="Y",LEFT($C212,2)="T-",LEFT($D212,2)="T-"),1.25,1)))),IF(_xlpm.k="","",MAX(_xlpm.k,N(IFERROR(_xlfn.XLOOKUP($D212&amp;"",Dashboard!$A$101:$A$350,Dashboard!$O$101:$O$350,0),0)))))</f>
        <v/>
      </c>
      <c r="L212" s="825" t="str">
        <f>IF($CJ212="","",_xlfn.LET(_xlpm.v,UPPER(TRIM(_xlfn.XLOOKUP($CJ212,Equip_List,Equip_FdrMat,"")&amp;"")),IF(_xlpm.v="",UPPER(TRIM(Cfg_FeederMat&amp;"")),_xlpm.v)))</f>
        <v/>
      </c>
      <c r="M212" s="825" t="str">
        <f>IF($CJ212="","",_xlfn.LET(_xlpm.v,TRIM(_xlfn.XLOOKUP($CJ212,Equip_List,Equip_FdrRace,"")&amp;""),IF(_xlpm.v="",Cfg_Conduit&amp;"",_xlpm.v)))</f>
        <v/>
      </c>
      <c r="N212" s="825" t="str">
        <f>IF($CJ212="","",IF(UPPER(TRIM(_xlfn.XLOOKUP($CJ212,Equip_List,Equip_FdrExist,"")&amp;""))="Y","Y",""))</f>
        <v/>
      </c>
      <c r="O212" s="823" t="str">
        <f t="shared" si="68"/>
        <v/>
      </c>
      <c r="P212" s="821" t="str">
        <f t="shared" si="69"/>
        <v/>
      </c>
      <c r="Q212" s="821" t="str">
        <f t="shared" si="70"/>
        <v/>
      </c>
      <c r="R212" s="822" t="str" cm="1">
        <f t="array" ref="R212">IF(K212="","",INDEX(OCPD_List,MATCH(TRUE,OCPD_List&gt;=K212,0)))</f>
        <v/>
      </c>
      <c r="S212" s="821" t="str">
        <f t="shared" si="71"/>
        <v/>
      </c>
      <c r="T212" s="826" t="str">
        <f t="shared" si="61"/>
        <v/>
      </c>
      <c r="U212" s="826" t="str">
        <f t="shared" si="62"/>
        <v/>
      </c>
      <c r="V212" s="827" t="str">
        <f t="shared" si="63"/>
        <v/>
      </c>
      <c r="W212" s="828"/>
      <c r="X212" s="819"/>
      <c r="Y212" s="820"/>
      <c r="Z212" s="820"/>
      <c r="AA212" s="820"/>
      <c r="BN212" s="832" t="str">
        <f>IF($B212="","",IFERROR(_xlfn.XLOOKUP($D212,Dashboard!$A$101:$A$350,Dashboard!$C$101:$C$350),""))</f>
        <v/>
      </c>
      <c r="BO212" s="832" t="str">
        <f t="shared" si="64"/>
        <v/>
      </c>
      <c r="BP212" s="832" t="str" cm="1">
        <f t="array" ref="BP212">IF(OR($B212="",$R212="",NOT(ISNUMBER($R212))),"",IF(AND($BV212="AL",$G212=1),"",_xlfn.LET(_xlpm.codes,IF($BV212="AL",Std_Al3_Code,IF($G212=1,Std_Cu1_Code,Std_Cu3_Code)),_xlpm.amps,IFERROR(--SUBSTITUTE(_xlpm.codes&amp;"","N",""),""),_xlpm.a,MIN(IF(ISNUMBER(_xlpm.amps),IF(_xlpm.amps&gt;=$R212,_xlpm.amps,""),"")),_xlpm.k,IF(_xlpm.a=0,$R212,_xlpm.a),IF($BO212="Y",TEXT(_xlpm.k,"0")&amp;"N",_xlpm.k))))</f>
        <v/>
      </c>
      <c r="BQ212" s="832" t="str" cm="1">
        <f t="array" ref="BQ212">IF($BP212="","",IFERROR(IF($BV212="AL",_xlfn.XLOOKUP($BP212,Std_Al3_Code,INDEX(Std_Al3_Table,0,3)),IF($G212=1,_xlfn.XLOOKUP($BP212,Std_Cu1_Code,INDEX(Std_Cu1_Table,0,3)),_xlfn.XLOOKUP($BP212,Std_Cu3_Code,INDEX(Std_Cu3_Table,0,3)))),""))</f>
        <v/>
      </c>
      <c r="BR212" s="832" t="str" cm="1">
        <f t="array" ref="BR212">IF($BP212="","",IFERROR(IF($BV212="AL",_xlfn.XLOOKUP($BP212,Std_Al3_Code,INDEX(Std_Al3_Table,0,4)),IF($G212=1,_xlfn.XLOOKUP($BP212,Std_Cu1_Code,INDEX(Std_Cu1_Table,0,4)),_xlfn.XLOOKUP($BP212,Std_Cu3_Code,INDEX(Std_Cu3_Table,0,4)))),""))</f>
        <v/>
      </c>
      <c r="BS212" s="832" t="str" cm="1">
        <f t="array" ref="BS212">IF($BP212="","",IFERROR(IF($BV212="AL",_xlfn.XLOOKUP($BP212,Std_Al3_Code,INDEX(Std_Al3_Table,0,5)),IF($G212=1,_xlfn.XLOOKUP($BP212,Std_Cu1_Code,INDEX(Std_Cu1_Table,0,5)),_xlfn.XLOOKUP($BP212,Std_Cu3_Code,INDEX(Std_Cu3_Table,0,5)))),""))</f>
        <v/>
      </c>
      <c r="BT212" s="832" t="str">
        <f t="shared" si="65"/>
        <v/>
      </c>
      <c r="BU212" s="832" t="str" cm="1">
        <f t="array" ref="BU212">IF($BP212="","",IFERROR(IF($BV212="AL",_xlfn.XLOOKUP($BP212,Std_Al3_Code,INDEX(Std_Al3_Table,0,2)),IF($G212=1,_xlfn.XLOOKUP($BP212,Std_Cu1_Code,INDEX(Std_Cu1_Table,0,2)),_xlfn.XLOOKUP($BP212,Std_Cu3_Code,INDEX(Std_Cu3_Table,0,2)))),""))</f>
        <v/>
      </c>
      <c r="BV212" s="829" t="str">
        <f t="shared" si="66"/>
        <v/>
      </c>
      <c r="BW212" s="829" t="str">
        <f t="shared" si="72"/>
        <v/>
      </c>
      <c r="BX212" s="829" t="str" cm="1">
        <f t="array" ref="BX212">IF(OR($BP212="",$H212="",$I212="",$F212="",$BW212=""),"",IFERROR(_xlfn.LET(_xlpm.codes,IF($BV212="AL",Std_Al3_Code,IF($G212=1,Std_Cu1_Code,Std_Cu3_Code)),_xlpm.tbl,IF($BV212="AL",Std_Al3_Table,IF($G212=1,Std_Cu1_Table,Std_Cu3_Table)),_xlpm.i,MATCH($BP212,_xlpm.codes,0),_xlpm.idx,_xlfn.SEQUENCE(ROWS(_xlpm.codes)),_xlpm.cnd,INDEX(_xlpm.tbl,0,4),_xlpm.sts,INDEX(_xlpm.tbl,0,2),_xlpm.sz,IFERROR(_xlfn.TEXTBEFORE(_xlfn.TEXTAFTER(_xlpm.cnd,"#"),","),IFERROR(_xlfn.TEXTAFTER(_xlpm.cnd,"#"),"")),_xlpm.cm,IFERROR(_xlfn.XLOOKUP(TRIM(_xlpm.sz),Ampacity_Size,Ampacity_CM),0),_xlpm.mult,IF($G212=3,SQRT3,2),_xlpm.kk,IF($BV212="AL",K_Al,K_Cu),_xlpm.vd,IF(_xlpm.cm*IF(ISNUMBER(_xlpm.sts),_xlpm.sts,0)=0,9,_xlpm.mult*_xlpm.kk*$I212*$H212/(_xlpm.cm*_xlpm.sts)/$F212),_xlpm.hasN,--(RIGHT(_xlpm.codes&amp;"",1)="N"),_xlpm.wantN,--(RIGHT($BP212&amp;"",1)="N"),_xlpm.ok,(_xlpm.idx&gt;=_xlpm.i)*(_xlpm.vd&lt;=Cfg_VDFeeder)*(_xlpm.cm&gt;0)*ISNUMBER(_xlpm.sts)*(_xlpm.hasN=_xlpm.wantN),_xlpm.m,MIN(IF(_xlpm.ok=1,_xlpm.idx)),INDEX(_xlpm.codes,IF(_xlpm.m=0,_xlpm.i,_xlpm.m))),""))</f>
        <v/>
      </c>
      <c r="BY212" s="829" t="str" cm="1">
        <f t="array" ref="BY212">IF($BP212="","",IF($BX212="",$BU212,IFERROR(IF($BV212="AL",_xlfn.XLOOKUP($BX212,Std_Al3_Code,INDEX(Std_Al3_Table,0,2)),IF($G212=1,_xlfn.XLOOKUP($BX212,Std_Cu1_Code,INDEX(Std_Cu1_Table,0,2)),_xlfn.XLOOKUP($BX212,Std_Cu3_Code,INDEX(Std_Cu3_Table,0,2)))),"")))</f>
        <v/>
      </c>
      <c r="BZ212" s="829" t="str" cm="1">
        <f t="array" ref="BZ212">IF($BP212="","",IF($BX212="",$BR212,IFERROR(IF($BV212="AL",_xlfn.XLOOKUP($BX212,Std_Al3_Code,INDEX(Std_Al3_Table,0,4)),IF($G212=1,_xlfn.XLOOKUP($BX212,Std_Cu1_Code,INDEX(Std_Cu1_Table,0,4)),_xlfn.XLOOKUP($BX212,Std_Cu3_Code,INDEX(Std_Cu3_Table,0,4)))),"")))</f>
        <v/>
      </c>
      <c r="CA212" s="829" t="str" cm="1">
        <f t="array" ref="CA212">IF($BP212="","",IF($BX212="",$BQ212,IFERROR(IF($BV212="AL",_xlfn.XLOOKUP($BX212,Std_Al3_Code,INDEX(Std_Al3_Table,0,3)),IF($G212=1,_xlfn.XLOOKUP($BX212,Std_Cu1_Code,INDEX(Std_Cu1_Table,0,3)),_xlfn.XLOOKUP($BX212,Std_Cu3_Code,INDEX(Std_Cu3_Table,0,3)))),"")))</f>
        <v/>
      </c>
      <c r="CB212" s="829" t="str" cm="1">
        <f t="array" ref="CB212">IF($BP212="","",IF($BX212="",$BS212,IFERROR(IF($BV212="AL",_xlfn.XLOOKUP($BX212,Std_Al3_Code,INDEX(Std_Al3_Table,0,5)),IF($G212=1,_xlfn.XLOOKUP($BX212,Std_Cu1_Code,INDEX(Std_Cu1_Table,0,5)),_xlfn.XLOOKUP($BX212,Std_Cu3_Code,INDEX(Std_Cu3_Table,0,5)))),"")))</f>
        <v/>
      </c>
      <c r="CC212" s="829" t="str">
        <f t="shared" si="73"/>
        <v/>
      </c>
      <c r="CD212" s="829" t="str">
        <f t="shared" si="74"/>
        <v/>
      </c>
      <c r="CE212" s="829" t="str">
        <f t="shared" si="75"/>
        <v/>
      </c>
      <c r="CF212" s="829" t="str">
        <f t="shared" si="76"/>
        <v/>
      </c>
      <c r="CG212" s="829" t="str">
        <f t="shared" si="77"/>
        <v/>
      </c>
      <c r="CH212" s="829" t="str">
        <f t="shared" si="78"/>
        <v/>
      </c>
      <c r="CI212" s="829" t="str">
        <f t="shared" si="79"/>
        <v/>
      </c>
      <c r="CJ212" s="829" t="str" cm="1">
        <f t="array" ref="CJ212">IF($B212="","",_xlfn.LET(_xlpm.to,$D212&amp;"",_xlpm.em,IFERROR(INDEX(_xlfn.ANCHORARRAY($BE$4),ROW()-4,6),"")="EMERG",_xlpm.pri,AND(NOT(_xlpm.em),LEFT(_xlpm.to,2)="T-",ISNUMBER(MATCH(MID(_xlpm.to,3,99),Equip_List,0)),ISNA(MATCH(_xlpm.to,Equip_List,0))),IF(_xlpm.pri,MID(_xlpm.to,3,99),_xlpm.to)))</f>
        <v/>
      </c>
      <c r="CK212" s="829" t="str" cm="1">
        <f t="array" ref="CK212">IF($CJ212="","",IF(IFERROR(INDEX(_xlfn.ANCHORARRAY($BE$4),ROW()-4,6),"")="EMERG","E",IF($CJ212&lt;&gt;$D212&amp;"","P","N")))</f>
        <v/>
      </c>
    </row>
    <row r="213" spans="1:89" ht="15" customHeight="1" x14ac:dyDescent="0.35">
      <c r="A213" s="821" t="str">
        <f t="shared" si="67"/>
        <v/>
      </c>
      <c r="B213" s="821" t="str" cm="1">
        <f t="array" ref="B213">IFERROR(IF(INDEX(_xlfn.ANCHORARRAY($BE$4),ROW()-4,2)="","","F-"&amp;INDEX(_xlfn.ANCHORARRAY($BE$4),ROW()-4,2)&amp;IF(IFERROR(INDEX(_xlfn.ANCHORARRAY($BE$4),ROW()-4,6),"")="EMERG","-E","")),"")</f>
        <v/>
      </c>
      <c r="C213" s="821" t="str" cm="1">
        <f t="array" ref="C213">IFERROR(IF($B213="","",INDEX(_xlfn.ANCHORARRAY($BE$4),ROW()-4,1)),"")</f>
        <v/>
      </c>
      <c r="D213" s="821" t="str" cm="1">
        <f t="array" ref="D213">IFERROR(IF($B213="","",INDEX(_xlfn.ANCHORARRAY($BE$4),ROW()-4,2)),"")</f>
        <v/>
      </c>
      <c r="E213" s="806" t="str" cm="1">
        <f t="array" ref="E213">IFERROR(IF($B213="","",INDEX(_xlfn.ANCHORARRAY($BE$4),ROW()-4,3)),"")</f>
        <v/>
      </c>
      <c r="F213" s="822" t="str" cm="1">
        <f t="array" ref="F213">IFERROR(IF($B213="","",INDEX(_xlfn.ANCHORARRAY($BE$4),ROW()-4,4)),"")</f>
        <v/>
      </c>
      <c r="G213" s="823" t="str" cm="1">
        <f t="array" ref="G213">IFERROR(IF($B213="","",INDEX(_xlfn.ANCHORARRAY($BE$4),ROW()-4,5)),"")</f>
        <v/>
      </c>
      <c r="H213" s="824" t="str" cm="1">
        <f t="array" ref="H213">IF($CJ213="","",_xlfn.LET(_xlpm.v,_xlfn.XLOOKUP($CJ213,Equip_List,IF($CK213="E",Equip_EmLen,IF($CK213="P",Equip_XfPriLen,Equip_FdrLen)),""),IF(_xlpm.v="","",_xlpm.v)))</f>
        <v/>
      </c>
      <c r="I213" s="806" t="str">
        <f t="shared" si="60"/>
        <v/>
      </c>
      <c r="J213" s="820"/>
      <c r="K213" s="806" t="str">
        <f>_xlfn.LET(_xlpm.k,IF($I213="","",IF(COUNTIF(UPS!$B$57:$B$64,$C213&amp;"")&gt;0,1.25*MAX($I213,N(_xlfn.XLOOKUP($C213&amp;"",UPS!$B$57:$B$64,UPS!$M$57:$M$64,0))),IF(COUNTIF(UPS!$B$57:$B$64,$D213&amp;"")&gt;0,1.25*MAX($I213,N(_xlfn.XLOOKUP($D213&amp;"",UPS!$B$57:$B$64,UPS!$Q$57:$Q$64,0))),$I213*IF(OR(UPPER($J213)="Y",LEFT($C213,2)="T-",LEFT($D213,2)="T-"),1.25,1)))),IF(_xlpm.k="","",MAX(_xlpm.k,N(IFERROR(_xlfn.XLOOKUP($D213&amp;"",Dashboard!$A$101:$A$350,Dashboard!$O$101:$O$350,0),0)))))</f>
        <v/>
      </c>
      <c r="L213" s="825" t="str">
        <f>IF($CJ213="","",_xlfn.LET(_xlpm.v,UPPER(TRIM(_xlfn.XLOOKUP($CJ213,Equip_List,Equip_FdrMat,"")&amp;"")),IF(_xlpm.v="",UPPER(TRIM(Cfg_FeederMat&amp;"")),_xlpm.v)))</f>
        <v/>
      </c>
      <c r="M213" s="825" t="str">
        <f>IF($CJ213="","",_xlfn.LET(_xlpm.v,TRIM(_xlfn.XLOOKUP($CJ213,Equip_List,Equip_FdrRace,"")&amp;""),IF(_xlpm.v="",Cfg_Conduit&amp;"",_xlpm.v)))</f>
        <v/>
      </c>
      <c r="N213" s="825" t="str">
        <f>IF($CJ213="","",IF(UPPER(TRIM(_xlfn.XLOOKUP($CJ213,Equip_List,Equip_FdrExist,"")&amp;""))="Y","Y",""))</f>
        <v/>
      </c>
      <c r="O213" s="823" t="str">
        <f t="shared" si="68"/>
        <v/>
      </c>
      <c r="P213" s="821" t="str">
        <f t="shared" si="69"/>
        <v/>
      </c>
      <c r="Q213" s="821" t="str">
        <f t="shared" si="70"/>
        <v/>
      </c>
      <c r="R213" s="822" t="str" cm="1">
        <f t="array" ref="R213">IF(K213="","",INDEX(OCPD_List,MATCH(TRUE,OCPD_List&gt;=K213,0)))</f>
        <v/>
      </c>
      <c r="S213" s="821" t="str">
        <f t="shared" si="71"/>
        <v/>
      </c>
      <c r="T213" s="826" t="str">
        <f t="shared" si="61"/>
        <v/>
      </c>
      <c r="U213" s="826" t="str">
        <f t="shared" si="62"/>
        <v/>
      </c>
      <c r="V213" s="827" t="str">
        <f t="shared" si="63"/>
        <v/>
      </c>
      <c r="W213" s="828"/>
      <c r="X213" s="819"/>
      <c r="Y213" s="820"/>
      <c r="Z213" s="820"/>
      <c r="AA213" s="820"/>
      <c r="BN213" s="832" t="str">
        <f>IF($B213="","",IFERROR(_xlfn.XLOOKUP($D213,Dashboard!$A$101:$A$350,Dashboard!$C$101:$C$350),""))</f>
        <v/>
      </c>
      <c r="BO213" s="832" t="str">
        <f t="shared" si="64"/>
        <v/>
      </c>
      <c r="BP213" s="832" t="str" cm="1">
        <f t="array" ref="BP213">IF(OR($B213="",$R213="",NOT(ISNUMBER($R213))),"",IF(AND($BV213="AL",$G213=1),"",_xlfn.LET(_xlpm.codes,IF($BV213="AL",Std_Al3_Code,IF($G213=1,Std_Cu1_Code,Std_Cu3_Code)),_xlpm.amps,IFERROR(--SUBSTITUTE(_xlpm.codes&amp;"","N",""),""),_xlpm.a,MIN(IF(ISNUMBER(_xlpm.amps),IF(_xlpm.amps&gt;=$R213,_xlpm.amps,""),"")),_xlpm.k,IF(_xlpm.a=0,$R213,_xlpm.a),IF($BO213="Y",TEXT(_xlpm.k,"0")&amp;"N",_xlpm.k))))</f>
        <v/>
      </c>
      <c r="BQ213" s="832" t="str" cm="1">
        <f t="array" ref="BQ213">IF($BP213="","",IFERROR(IF($BV213="AL",_xlfn.XLOOKUP($BP213,Std_Al3_Code,INDEX(Std_Al3_Table,0,3)),IF($G213=1,_xlfn.XLOOKUP($BP213,Std_Cu1_Code,INDEX(Std_Cu1_Table,0,3)),_xlfn.XLOOKUP($BP213,Std_Cu3_Code,INDEX(Std_Cu3_Table,0,3)))),""))</f>
        <v/>
      </c>
      <c r="BR213" s="832" t="str" cm="1">
        <f t="array" ref="BR213">IF($BP213="","",IFERROR(IF($BV213="AL",_xlfn.XLOOKUP($BP213,Std_Al3_Code,INDEX(Std_Al3_Table,0,4)),IF($G213=1,_xlfn.XLOOKUP($BP213,Std_Cu1_Code,INDEX(Std_Cu1_Table,0,4)),_xlfn.XLOOKUP($BP213,Std_Cu3_Code,INDEX(Std_Cu3_Table,0,4)))),""))</f>
        <v/>
      </c>
      <c r="BS213" s="832" t="str" cm="1">
        <f t="array" ref="BS213">IF($BP213="","",IFERROR(IF($BV213="AL",_xlfn.XLOOKUP($BP213,Std_Al3_Code,INDEX(Std_Al3_Table,0,5)),IF($G213=1,_xlfn.XLOOKUP($BP213,Std_Cu1_Code,INDEX(Std_Cu1_Table,0,5)),_xlfn.XLOOKUP($BP213,Std_Cu3_Code,INDEX(Std_Cu3_Table,0,5)))),""))</f>
        <v/>
      </c>
      <c r="BT213" s="832" t="str">
        <f t="shared" si="65"/>
        <v/>
      </c>
      <c r="BU213" s="832" t="str" cm="1">
        <f t="array" ref="BU213">IF($BP213="","",IFERROR(IF($BV213="AL",_xlfn.XLOOKUP($BP213,Std_Al3_Code,INDEX(Std_Al3_Table,0,2)),IF($G213=1,_xlfn.XLOOKUP($BP213,Std_Cu1_Code,INDEX(Std_Cu1_Table,0,2)),_xlfn.XLOOKUP($BP213,Std_Cu3_Code,INDEX(Std_Cu3_Table,0,2)))),""))</f>
        <v/>
      </c>
      <c r="BV213" s="829" t="str">
        <f t="shared" si="66"/>
        <v/>
      </c>
      <c r="BW213" s="829" t="str">
        <f t="shared" si="72"/>
        <v/>
      </c>
      <c r="BX213" s="829" t="str" cm="1">
        <f t="array" ref="BX213">IF(OR($BP213="",$H213="",$I213="",$F213="",$BW213=""),"",IFERROR(_xlfn.LET(_xlpm.codes,IF($BV213="AL",Std_Al3_Code,IF($G213=1,Std_Cu1_Code,Std_Cu3_Code)),_xlpm.tbl,IF($BV213="AL",Std_Al3_Table,IF($G213=1,Std_Cu1_Table,Std_Cu3_Table)),_xlpm.i,MATCH($BP213,_xlpm.codes,0),_xlpm.idx,_xlfn.SEQUENCE(ROWS(_xlpm.codes)),_xlpm.cnd,INDEX(_xlpm.tbl,0,4),_xlpm.sts,INDEX(_xlpm.tbl,0,2),_xlpm.sz,IFERROR(_xlfn.TEXTBEFORE(_xlfn.TEXTAFTER(_xlpm.cnd,"#"),","),IFERROR(_xlfn.TEXTAFTER(_xlpm.cnd,"#"),"")),_xlpm.cm,IFERROR(_xlfn.XLOOKUP(TRIM(_xlpm.sz),Ampacity_Size,Ampacity_CM),0),_xlpm.mult,IF($G213=3,SQRT3,2),_xlpm.kk,IF($BV213="AL",K_Al,K_Cu),_xlpm.vd,IF(_xlpm.cm*IF(ISNUMBER(_xlpm.sts),_xlpm.sts,0)=0,9,_xlpm.mult*_xlpm.kk*$I213*$H213/(_xlpm.cm*_xlpm.sts)/$F213),_xlpm.hasN,--(RIGHT(_xlpm.codes&amp;"",1)="N"),_xlpm.wantN,--(RIGHT($BP213&amp;"",1)="N"),_xlpm.ok,(_xlpm.idx&gt;=_xlpm.i)*(_xlpm.vd&lt;=Cfg_VDFeeder)*(_xlpm.cm&gt;0)*ISNUMBER(_xlpm.sts)*(_xlpm.hasN=_xlpm.wantN),_xlpm.m,MIN(IF(_xlpm.ok=1,_xlpm.idx)),INDEX(_xlpm.codes,IF(_xlpm.m=0,_xlpm.i,_xlpm.m))),""))</f>
        <v/>
      </c>
      <c r="BY213" s="829" t="str" cm="1">
        <f t="array" ref="BY213">IF($BP213="","",IF($BX213="",$BU213,IFERROR(IF($BV213="AL",_xlfn.XLOOKUP($BX213,Std_Al3_Code,INDEX(Std_Al3_Table,0,2)),IF($G213=1,_xlfn.XLOOKUP($BX213,Std_Cu1_Code,INDEX(Std_Cu1_Table,0,2)),_xlfn.XLOOKUP($BX213,Std_Cu3_Code,INDEX(Std_Cu3_Table,0,2)))),"")))</f>
        <v/>
      </c>
      <c r="BZ213" s="829" t="str" cm="1">
        <f t="array" ref="BZ213">IF($BP213="","",IF($BX213="",$BR213,IFERROR(IF($BV213="AL",_xlfn.XLOOKUP($BX213,Std_Al3_Code,INDEX(Std_Al3_Table,0,4)),IF($G213=1,_xlfn.XLOOKUP($BX213,Std_Cu1_Code,INDEX(Std_Cu1_Table,0,4)),_xlfn.XLOOKUP($BX213,Std_Cu3_Code,INDEX(Std_Cu3_Table,0,4)))),"")))</f>
        <v/>
      </c>
      <c r="CA213" s="829" t="str" cm="1">
        <f t="array" ref="CA213">IF($BP213="","",IF($BX213="",$BQ213,IFERROR(IF($BV213="AL",_xlfn.XLOOKUP($BX213,Std_Al3_Code,INDEX(Std_Al3_Table,0,3)),IF($G213=1,_xlfn.XLOOKUP($BX213,Std_Cu1_Code,INDEX(Std_Cu1_Table,0,3)),_xlfn.XLOOKUP($BX213,Std_Cu3_Code,INDEX(Std_Cu3_Table,0,3)))),"")))</f>
        <v/>
      </c>
      <c r="CB213" s="829" t="str" cm="1">
        <f t="array" ref="CB213">IF($BP213="","",IF($BX213="",$BS213,IFERROR(IF($BV213="AL",_xlfn.XLOOKUP($BX213,Std_Al3_Code,INDEX(Std_Al3_Table,0,5)),IF($G213=1,_xlfn.XLOOKUP($BX213,Std_Cu1_Code,INDEX(Std_Cu1_Table,0,5)),_xlfn.XLOOKUP($BX213,Std_Cu3_Code,INDEX(Std_Cu3_Table,0,5)))),"")))</f>
        <v/>
      </c>
      <c r="CC213" s="829" t="str">
        <f t="shared" si="73"/>
        <v/>
      </c>
      <c r="CD213" s="829" t="str">
        <f t="shared" si="74"/>
        <v/>
      </c>
      <c r="CE213" s="829" t="str">
        <f t="shared" si="75"/>
        <v/>
      </c>
      <c r="CF213" s="829" t="str">
        <f t="shared" si="76"/>
        <v/>
      </c>
      <c r="CG213" s="829" t="str">
        <f t="shared" si="77"/>
        <v/>
      </c>
      <c r="CH213" s="829" t="str">
        <f t="shared" si="78"/>
        <v/>
      </c>
      <c r="CI213" s="829" t="str">
        <f t="shared" si="79"/>
        <v/>
      </c>
      <c r="CJ213" s="829" t="str" cm="1">
        <f t="array" ref="CJ213">IF($B213="","",_xlfn.LET(_xlpm.to,$D213&amp;"",_xlpm.em,IFERROR(INDEX(_xlfn.ANCHORARRAY($BE$4),ROW()-4,6),"")="EMERG",_xlpm.pri,AND(NOT(_xlpm.em),LEFT(_xlpm.to,2)="T-",ISNUMBER(MATCH(MID(_xlpm.to,3,99),Equip_List,0)),ISNA(MATCH(_xlpm.to,Equip_List,0))),IF(_xlpm.pri,MID(_xlpm.to,3,99),_xlpm.to)))</f>
        <v/>
      </c>
      <c r="CK213" s="829" t="str" cm="1">
        <f t="array" ref="CK213">IF($CJ213="","",IF(IFERROR(INDEX(_xlfn.ANCHORARRAY($BE$4),ROW()-4,6),"")="EMERG","E",IF($CJ213&lt;&gt;$D213&amp;"","P","N")))</f>
        <v/>
      </c>
    </row>
    <row r="214" spans="1:89" ht="15" customHeight="1" x14ac:dyDescent="0.35">
      <c r="A214" s="821" t="str">
        <f t="shared" si="67"/>
        <v/>
      </c>
      <c r="B214" s="821" t="str" cm="1">
        <f t="array" ref="B214">IFERROR(IF(INDEX(_xlfn.ANCHORARRAY($BE$4),ROW()-4,2)="","","F-"&amp;INDEX(_xlfn.ANCHORARRAY($BE$4),ROW()-4,2)&amp;IF(IFERROR(INDEX(_xlfn.ANCHORARRAY($BE$4),ROW()-4,6),"")="EMERG","-E","")),"")</f>
        <v/>
      </c>
      <c r="C214" s="821" t="str" cm="1">
        <f t="array" ref="C214">IFERROR(IF($B214="","",INDEX(_xlfn.ANCHORARRAY($BE$4),ROW()-4,1)),"")</f>
        <v/>
      </c>
      <c r="D214" s="821" t="str" cm="1">
        <f t="array" ref="D214">IFERROR(IF($B214="","",INDEX(_xlfn.ANCHORARRAY($BE$4),ROW()-4,2)),"")</f>
        <v/>
      </c>
      <c r="E214" s="806" t="str" cm="1">
        <f t="array" ref="E214">IFERROR(IF($B214="","",INDEX(_xlfn.ANCHORARRAY($BE$4),ROW()-4,3)),"")</f>
        <v/>
      </c>
      <c r="F214" s="822" t="str" cm="1">
        <f t="array" ref="F214">IFERROR(IF($B214="","",INDEX(_xlfn.ANCHORARRAY($BE$4),ROW()-4,4)),"")</f>
        <v/>
      </c>
      <c r="G214" s="823" t="str" cm="1">
        <f t="array" ref="G214">IFERROR(IF($B214="","",INDEX(_xlfn.ANCHORARRAY($BE$4),ROW()-4,5)),"")</f>
        <v/>
      </c>
      <c r="H214" s="824" t="str" cm="1">
        <f t="array" ref="H214">IF($CJ214="","",_xlfn.LET(_xlpm.v,_xlfn.XLOOKUP($CJ214,Equip_List,IF($CK214="E",Equip_EmLen,IF($CK214="P",Equip_XfPriLen,Equip_FdrLen)),""),IF(_xlpm.v="","",_xlpm.v)))</f>
        <v/>
      </c>
      <c r="I214" s="806" t="str">
        <f t="shared" si="60"/>
        <v/>
      </c>
      <c r="J214" s="820"/>
      <c r="K214" s="806" t="str">
        <f>_xlfn.LET(_xlpm.k,IF($I214="","",IF(COUNTIF(UPS!$B$57:$B$64,$C214&amp;"")&gt;0,1.25*MAX($I214,N(_xlfn.XLOOKUP($C214&amp;"",UPS!$B$57:$B$64,UPS!$M$57:$M$64,0))),IF(COUNTIF(UPS!$B$57:$B$64,$D214&amp;"")&gt;0,1.25*MAX($I214,N(_xlfn.XLOOKUP($D214&amp;"",UPS!$B$57:$B$64,UPS!$Q$57:$Q$64,0))),$I214*IF(OR(UPPER($J214)="Y",LEFT($C214,2)="T-",LEFT($D214,2)="T-"),1.25,1)))),IF(_xlpm.k="","",MAX(_xlpm.k,N(IFERROR(_xlfn.XLOOKUP($D214&amp;"",Dashboard!$A$101:$A$350,Dashboard!$O$101:$O$350,0),0)))))</f>
        <v/>
      </c>
      <c r="L214" s="825" t="str">
        <f>IF($CJ214="","",_xlfn.LET(_xlpm.v,UPPER(TRIM(_xlfn.XLOOKUP($CJ214,Equip_List,Equip_FdrMat,"")&amp;"")),IF(_xlpm.v="",UPPER(TRIM(Cfg_FeederMat&amp;"")),_xlpm.v)))</f>
        <v/>
      </c>
      <c r="M214" s="825" t="str">
        <f>IF($CJ214="","",_xlfn.LET(_xlpm.v,TRIM(_xlfn.XLOOKUP($CJ214,Equip_List,Equip_FdrRace,"")&amp;""),IF(_xlpm.v="",Cfg_Conduit&amp;"",_xlpm.v)))</f>
        <v/>
      </c>
      <c r="N214" s="825" t="str">
        <f>IF($CJ214="","",IF(UPPER(TRIM(_xlfn.XLOOKUP($CJ214,Equip_List,Equip_FdrExist,"")&amp;""))="Y","Y",""))</f>
        <v/>
      </c>
      <c r="O214" s="823" t="str">
        <f t="shared" si="68"/>
        <v/>
      </c>
      <c r="P214" s="821" t="str">
        <f t="shared" si="69"/>
        <v/>
      </c>
      <c r="Q214" s="821" t="str">
        <f t="shared" si="70"/>
        <v/>
      </c>
      <c r="R214" s="822" t="str" cm="1">
        <f t="array" ref="R214">IF(K214="","",INDEX(OCPD_List,MATCH(TRUE,OCPD_List&gt;=K214,0)))</f>
        <v/>
      </c>
      <c r="S214" s="821" t="str">
        <f t="shared" si="71"/>
        <v/>
      </c>
      <c r="T214" s="826" t="str">
        <f t="shared" si="61"/>
        <v/>
      </c>
      <c r="U214" s="826" t="str">
        <f t="shared" si="62"/>
        <v/>
      </c>
      <c r="V214" s="827" t="str">
        <f t="shared" si="63"/>
        <v/>
      </c>
      <c r="W214" s="828"/>
      <c r="X214" s="819"/>
      <c r="Y214" s="820"/>
      <c r="Z214" s="820"/>
      <c r="AA214" s="820"/>
      <c r="BN214" s="832" t="str">
        <f>IF($B214="","",IFERROR(_xlfn.XLOOKUP($D214,Dashboard!$A$101:$A$350,Dashboard!$C$101:$C$350),""))</f>
        <v/>
      </c>
      <c r="BO214" s="832" t="str">
        <f t="shared" si="64"/>
        <v/>
      </c>
      <c r="BP214" s="832" t="str" cm="1">
        <f t="array" ref="BP214">IF(OR($B214="",$R214="",NOT(ISNUMBER($R214))),"",IF(AND($BV214="AL",$G214=1),"",_xlfn.LET(_xlpm.codes,IF($BV214="AL",Std_Al3_Code,IF($G214=1,Std_Cu1_Code,Std_Cu3_Code)),_xlpm.amps,IFERROR(--SUBSTITUTE(_xlpm.codes&amp;"","N",""),""),_xlpm.a,MIN(IF(ISNUMBER(_xlpm.amps),IF(_xlpm.amps&gt;=$R214,_xlpm.amps,""),"")),_xlpm.k,IF(_xlpm.a=0,$R214,_xlpm.a),IF($BO214="Y",TEXT(_xlpm.k,"0")&amp;"N",_xlpm.k))))</f>
        <v/>
      </c>
      <c r="BQ214" s="832" t="str" cm="1">
        <f t="array" ref="BQ214">IF($BP214="","",IFERROR(IF($BV214="AL",_xlfn.XLOOKUP($BP214,Std_Al3_Code,INDEX(Std_Al3_Table,0,3)),IF($G214=1,_xlfn.XLOOKUP($BP214,Std_Cu1_Code,INDEX(Std_Cu1_Table,0,3)),_xlfn.XLOOKUP($BP214,Std_Cu3_Code,INDEX(Std_Cu3_Table,0,3)))),""))</f>
        <v/>
      </c>
      <c r="BR214" s="832" t="str" cm="1">
        <f t="array" ref="BR214">IF($BP214="","",IFERROR(IF($BV214="AL",_xlfn.XLOOKUP($BP214,Std_Al3_Code,INDEX(Std_Al3_Table,0,4)),IF($G214=1,_xlfn.XLOOKUP($BP214,Std_Cu1_Code,INDEX(Std_Cu1_Table,0,4)),_xlfn.XLOOKUP($BP214,Std_Cu3_Code,INDEX(Std_Cu3_Table,0,4)))),""))</f>
        <v/>
      </c>
      <c r="BS214" s="832" t="str" cm="1">
        <f t="array" ref="BS214">IF($BP214="","",IFERROR(IF($BV214="AL",_xlfn.XLOOKUP($BP214,Std_Al3_Code,INDEX(Std_Al3_Table,0,5)),IF($G214=1,_xlfn.XLOOKUP($BP214,Std_Cu1_Code,INDEX(Std_Cu1_Table,0,5)),_xlfn.XLOOKUP($BP214,Std_Cu3_Code,INDEX(Std_Cu3_Table,0,5)))),""))</f>
        <v/>
      </c>
      <c r="BT214" s="832" t="str">
        <f t="shared" si="65"/>
        <v/>
      </c>
      <c r="BU214" s="832" t="str" cm="1">
        <f t="array" ref="BU214">IF($BP214="","",IFERROR(IF($BV214="AL",_xlfn.XLOOKUP($BP214,Std_Al3_Code,INDEX(Std_Al3_Table,0,2)),IF($G214=1,_xlfn.XLOOKUP($BP214,Std_Cu1_Code,INDEX(Std_Cu1_Table,0,2)),_xlfn.XLOOKUP($BP214,Std_Cu3_Code,INDEX(Std_Cu3_Table,0,2)))),""))</f>
        <v/>
      </c>
      <c r="BV214" s="829" t="str">
        <f t="shared" si="66"/>
        <v/>
      </c>
      <c r="BW214" s="829" t="str">
        <f t="shared" si="72"/>
        <v/>
      </c>
      <c r="BX214" s="829" t="str" cm="1">
        <f t="array" ref="BX214">IF(OR($BP214="",$H214="",$I214="",$F214="",$BW214=""),"",IFERROR(_xlfn.LET(_xlpm.codes,IF($BV214="AL",Std_Al3_Code,IF($G214=1,Std_Cu1_Code,Std_Cu3_Code)),_xlpm.tbl,IF($BV214="AL",Std_Al3_Table,IF($G214=1,Std_Cu1_Table,Std_Cu3_Table)),_xlpm.i,MATCH($BP214,_xlpm.codes,0),_xlpm.idx,_xlfn.SEQUENCE(ROWS(_xlpm.codes)),_xlpm.cnd,INDEX(_xlpm.tbl,0,4),_xlpm.sts,INDEX(_xlpm.tbl,0,2),_xlpm.sz,IFERROR(_xlfn.TEXTBEFORE(_xlfn.TEXTAFTER(_xlpm.cnd,"#"),","),IFERROR(_xlfn.TEXTAFTER(_xlpm.cnd,"#"),"")),_xlpm.cm,IFERROR(_xlfn.XLOOKUP(TRIM(_xlpm.sz),Ampacity_Size,Ampacity_CM),0),_xlpm.mult,IF($G214=3,SQRT3,2),_xlpm.kk,IF($BV214="AL",K_Al,K_Cu),_xlpm.vd,IF(_xlpm.cm*IF(ISNUMBER(_xlpm.sts),_xlpm.sts,0)=0,9,_xlpm.mult*_xlpm.kk*$I214*$H214/(_xlpm.cm*_xlpm.sts)/$F214),_xlpm.hasN,--(RIGHT(_xlpm.codes&amp;"",1)="N"),_xlpm.wantN,--(RIGHT($BP214&amp;"",1)="N"),_xlpm.ok,(_xlpm.idx&gt;=_xlpm.i)*(_xlpm.vd&lt;=Cfg_VDFeeder)*(_xlpm.cm&gt;0)*ISNUMBER(_xlpm.sts)*(_xlpm.hasN=_xlpm.wantN),_xlpm.m,MIN(IF(_xlpm.ok=1,_xlpm.idx)),INDEX(_xlpm.codes,IF(_xlpm.m=0,_xlpm.i,_xlpm.m))),""))</f>
        <v/>
      </c>
      <c r="BY214" s="829" t="str" cm="1">
        <f t="array" ref="BY214">IF($BP214="","",IF($BX214="",$BU214,IFERROR(IF($BV214="AL",_xlfn.XLOOKUP($BX214,Std_Al3_Code,INDEX(Std_Al3_Table,0,2)),IF($G214=1,_xlfn.XLOOKUP($BX214,Std_Cu1_Code,INDEX(Std_Cu1_Table,0,2)),_xlfn.XLOOKUP($BX214,Std_Cu3_Code,INDEX(Std_Cu3_Table,0,2)))),"")))</f>
        <v/>
      </c>
      <c r="BZ214" s="829" t="str" cm="1">
        <f t="array" ref="BZ214">IF($BP214="","",IF($BX214="",$BR214,IFERROR(IF($BV214="AL",_xlfn.XLOOKUP($BX214,Std_Al3_Code,INDEX(Std_Al3_Table,0,4)),IF($G214=1,_xlfn.XLOOKUP($BX214,Std_Cu1_Code,INDEX(Std_Cu1_Table,0,4)),_xlfn.XLOOKUP($BX214,Std_Cu3_Code,INDEX(Std_Cu3_Table,0,4)))),"")))</f>
        <v/>
      </c>
      <c r="CA214" s="829" t="str" cm="1">
        <f t="array" ref="CA214">IF($BP214="","",IF($BX214="",$BQ214,IFERROR(IF($BV214="AL",_xlfn.XLOOKUP($BX214,Std_Al3_Code,INDEX(Std_Al3_Table,0,3)),IF($G214=1,_xlfn.XLOOKUP($BX214,Std_Cu1_Code,INDEX(Std_Cu1_Table,0,3)),_xlfn.XLOOKUP($BX214,Std_Cu3_Code,INDEX(Std_Cu3_Table,0,3)))),"")))</f>
        <v/>
      </c>
      <c r="CB214" s="829" t="str" cm="1">
        <f t="array" ref="CB214">IF($BP214="","",IF($BX214="",$BS214,IFERROR(IF($BV214="AL",_xlfn.XLOOKUP($BX214,Std_Al3_Code,INDEX(Std_Al3_Table,0,5)),IF($G214=1,_xlfn.XLOOKUP($BX214,Std_Cu1_Code,INDEX(Std_Cu1_Table,0,5)),_xlfn.XLOOKUP($BX214,Std_Cu3_Code,INDEX(Std_Cu3_Table,0,5)))),"")))</f>
        <v/>
      </c>
      <c r="CC214" s="829" t="str">
        <f t="shared" si="73"/>
        <v/>
      </c>
      <c r="CD214" s="829" t="str">
        <f t="shared" si="74"/>
        <v/>
      </c>
      <c r="CE214" s="829" t="str">
        <f t="shared" si="75"/>
        <v/>
      </c>
      <c r="CF214" s="829" t="str">
        <f t="shared" si="76"/>
        <v/>
      </c>
      <c r="CG214" s="829" t="str">
        <f t="shared" si="77"/>
        <v/>
      </c>
      <c r="CH214" s="829" t="str">
        <f t="shared" si="78"/>
        <v/>
      </c>
      <c r="CI214" s="829" t="str">
        <f t="shared" si="79"/>
        <v/>
      </c>
      <c r="CJ214" s="829" t="str" cm="1">
        <f t="array" ref="CJ214">IF($B214="","",_xlfn.LET(_xlpm.to,$D214&amp;"",_xlpm.em,IFERROR(INDEX(_xlfn.ANCHORARRAY($BE$4),ROW()-4,6),"")="EMERG",_xlpm.pri,AND(NOT(_xlpm.em),LEFT(_xlpm.to,2)="T-",ISNUMBER(MATCH(MID(_xlpm.to,3,99),Equip_List,0)),ISNA(MATCH(_xlpm.to,Equip_List,0))),IF(_xlpm.pri,MID(_xlpm.to,3,99),_xlpm.to)))</f>
        <v/>
      </c>
      <c r="CK214" s="829" t="str" cm="1">
        <f t="array" ref="CK214">IF($CJ214="","",IF(IFERROR(INDEX(_xlfn.ANCHORARRAY($BE$4),ROW()-4,6),"")="EMERG","E",IF($CJ214&lt;&gt;$D214&amp;"","P","N")))</f>
        <v/>
      </c>
    </row>
    <row r="215" spans="1:89" ht="15" customHeight="1" x14ac:dyDescent="0.35">
      <c r="A215" s="821" t="str">
        <f t="shared" si="67"/>
        <v/>
      </c>
      <c r="B215" s="821" t="str" cm="1">
        <f t="array" ref="B215">IFERROR(IF(INDEX(_xlfn.ANCHORARRAY($BE$4),ROW()-4,2)="","","F-"&amp;INDEX(_xlfn.ANCHORARRAY($BE$4),ROW()-4,2)&amp;IF(IFERROR(INDEX(_xlfn.ANCHORARRAY($BE$4),ROW()-4,6),"")="EMERG","-E","")),"")</f>
        <v/>
      </c>
      <c r="C215" s="821" t="str" cm="1">
        <f t="array" ref="C215">IFERROR(IF($B215="","",INDEX(_xlfn.ANCHORARRAY($BE$4),ROW()-4,1)),"")</f>
        <v/>
      </c>
      <c r="D215" s="821" t="str" cm="1">
        <f t="array" ref="D215">IFERROR(IF($B215="","",INDEX(_xlfn.ANCHORARRAY($BE$4),ROW()-4,2)),"")</f>
        <v/>
      </c>
      <c r="E215" s="806" t="str" cm="1">
        <f t="array" ref="E215">IFERROR(IF($B215="","",INDEX(_xlfn.ANCHORARRAY($BE$4),ROW()-4,3)),"")</f>
        <v/>
      </c>
      <c r="F215" s="822" t="str" cm="1">
        <f t="array" ref="F215">IFERROR(IF($B215="","",INDEX(_xlfn.ANCHORARRAY($BE$4),ROW()-4,4)),"")</f>
        <v/>
      </c>
      <c r="G215" s="823" t="str" cm="1">
        <f t="array" ref="G215">IFERROR(IF($B215="","",INDEX(_xlfn.ANCHORARRAY($BE$4),ROW()-4,5)),"")</f>
        <v/>
      </c>
      <c r="H215" s="824" t="str" cm="1">
        <f t="array" ref="H215">IF($CJ215="","",_xlfn.LET(_xlpm.v,_xlfn.XLOOKUP($CJ215,Equip_List,IF($CK215="E",Equip_EmLen,IF($CK215="P",Equip_XfPriLen,Equip_FdrLen)),""),IF(_xlpm.v="","",_xlpm.v)))</f>
        <v/>
      </c>
      <c r="I215" s="806" t="str">
        <f t="shared" si="60"/>
        <v/>
      </c>
      <c r="J215" s="820"/>
      <c r="K215" s="806" t="str">
        <f>_xlfn.LET(_xlpm.k,IF($I215="","",IF(COUNTIF(UPS!$B$57:$B$64,$C215&amp;"")&gt;0,1.25*MAX($I215,N(_xlfn.XLOOKUP($C215&amp;"",UPS!$B$57:$B$64,UPS!$M$57:$M$64,0))),IF(COUNTIF(UPS!$B$57:$B$64,$D215&amp;"")&gt;0,1.25*MAX($I215,N(_xlfn.XLOOKUP($D215&amp;"",UPS!$B$57:$B$64,UPS!$Q$57:$Q$64,0))),$I215*IF(OR(UPPER($J215)="Y",LEFT($C215,2)="T-",LEFT($D215,2)="T-"),1.25,1)))),IF(_xlpm.k="","",MAX(_xlpm.k,N(IFERROR(_xlfn.XLOOKUP($D215&amp;"",Dashboard!$A$101:$A$350,Dashboard!$O$101:$O$350,0),0)))))</f>
        <v/>
      </c>
      <c r="L215" s="825" t="str">
        <f>IF($CJ215="","",_xlfn.LET(_xlpm.v,UPPER(TRIM(_xlfn.XLOOKUP($CJ215,Equip_List,Equip_FdrMat,"")&amp;"")),IF(_xlpm.v="",UPPER(TRIM(Cfg_FeederMat&amp;"")),_xlpm.v)))</f>
        <v/>
      </c>
      <c r="M215" s="825" t="str">
        <f>IF($CJ215="","",_xlfn.LET(_xlpm.v,TRIM(_xlfn.XLOOKUP($CJ215,Equip_List,Equip_FdrRace,"")&amp;""),IF(_xlpm.v="",Cfg_Conduit&amp;"",_xlpm.v)))</f>
        <v/>
      </c>
      <c r="N215" s="825" t="str">
        <f>IF($CJ215="","",IF(UPPER(TRIM(_xlfn.XLOOKUP($CJ215,Equip_List,Equip_FdrExist,"")&amp;""))="Y","Y",""))</f>
        <v/>
      </c>
      <c r="O215" s="823" t="str">
        <f t="shared" si="68"/>
        <v/>
      </c>
      <c r="P215" s="821" t="str">
        <f t="shared" si="69"/>
        <v/>
      </c>
      <c r="Q215" s="821" t="str">
        <f t="shared" si="70"/>
        <v/>
      </c>
      <c r="R215" s="822" t="str" cm="1">
        <f t="array" ref="R215">IF(K215="","",INDEX(OCPD_List,MATCH(TRUE,OCPD_List&gt;=K215,0)))</f>
        <v/>
      </c>
      <c r="S215" s="821" t="str">
        <f t="shared" si="71"/>
        <v/>
      </c>
      <c r="T215" s="826" t="str">
        <f t="shared" si="61"/>
        <v/>
      </c>
      <c r="U215" s="826" t="str">
        <f t="shared" si="62"/>
        <v/>
      </c>
      <c r="V215" s="827" t="str">
        <f t="shared" si="63"/>
        <v/>
      </c>
      <c r="W215" s="828"/>
      <c r="X215" s="819"/>
      <c r="Y215" s="820"/>
      <c r="Z215" s="820"/>
      <c r="AA215" s="820"/>
      <c r="BN215" s="832" t="str">
        <f>IF($B215="","",IFERROR(_xlfn.XLOOKUP($D215,Dashboard!$A$101:$A$350,Dashboard!$C$101:$C$350),""))</f>
        <v/>
      </c>
      <c r="BO215" s="832" t="str">
        <f t="shared" si="64"/>
        <v/>
      </c>
      <c r="BP215" s="832" t="str" cm="1">
        <f t="array" ref="BP215">IF(OR($B215="",$R215="",NOT(ISNUMBER($R215))),"",IF(AND($BV215="AL",$G215=1),"",_xlfn.LET(_xlpm.codes,IF($BV215="AL",Std_Al3_Code,IF($G215=1,Std_Cu1_Code,Std_Cu3_Code)),_xlpm.amps,IFERROR(--SUBSTITUTE(_xlpm.codes&amp;"","N",""),""),_xlpm.a,MIN(IF(ISNUMBER(_xlpm.amps),IF(_xlpm.amps&gt;=$R215,_xlpm.amps,""),"")),_xlpm.k,IF(_xlpm.a=0,$R215,_xlpm.a),IF($BO215="Y",TEXT(_xlpm.k,"0")&amp;"N",_xlpm.k))))</f>
        <v/>
      </c>
      <c r="BQ215" s="832" t="str" cm="1">
        <f t="array" ref="BQ215">IF($BP215="","",IFERROR(IF($BV215="AL",_xlfn.XLOOKUP($BP215,Std_Al3_Code,INDEX(Std_Al3_Table,0,3)),IF($G215=1,_xlfn.XLOOKUP($BP215,Std_Cu1_Code,INDEX(Std_Cu1_Table,0,3)),_xlfn.XLOOKUP($BP215,Std_Cu3_Code,INDEX(Std_Cu3_Table,0,3)))),""))</f>
        <v/>
      </c>
      <c r="BR215" s="832" t="str" cm="1">
        <f t="array" ref="BR215">IF($BP215="","",IFERROR(IF($BV215="AL",_xlfn.XLOOKUP($BP215,Std_Al3_Code,INDEX(Std_Al3_Table,0,4)),IF($G215=1,_xlfn.XLOOKUP($BP215,Std_Cu1_Code,INDEX(Std_Cu1_Table,0,4)),_xlfn.XLOOKUP($BP215,Std_Cu3_Code,INDEX(Std_Cu3_Table,0,4)))),""))</f>
        <v/>
      </c>
      <c r="BS215" s="832" t="str" cm="1">
        <f t="array" ref="BS215">IF($BP215="","",IFERROR(IF($BV215="AL",_xlfn.XLOOKUP($BP215,Std_Al3_Code,INDEX(Std_Al3_Table,0,5)),IF($G215=1,_xlfn.XLOOKUP($BP215,Std_Cu1_Code,INDEX(Std_Cu1_Table,0,5)),_xlfn.XLOOKUP($BP215,Std_Cu3_Code,INDEX(Std_Cu3_Table,0,5)))),""))</f>
        <v/>
      </c>
      <c r="BT215" s="832" t="str">
        <f t="shared" si="65"/>
        <v/>
      </c>
      <c r="BU215" s="832" t="str" cm="1">
        <f t="array" ref="BU215">IF($BP215="","",IFERROR(IF($BV215="AL",_xlfn.XLOOKUP($BP215,Std_Al3_Code,INDEX(Std_Al3_Table,0,2)),IF($G215=1,_xlfn.XLOOKUP($BP215,Std_Cu1_Code,INDEX(Std_Cu1_Table,0,2)),_xlfn.XLOOKUP($BP215,Std_Cu3_Code,INDEX(Std_Cu3_Table,0,2)))),""))</f>
        <v/>
      </c>
      <c r="BV215" s="829" t="str">
        <f t="shared" si="66"/>
        <v/>
      </c>
      <c r="BW215" s="829" t="str">
        <f t="shared" si="72"/>
        <v/>
      </c>
      <c r="BX215" s="829" t="str" cm="1">
        <f t="array" ref="BX215">IF(OR($BP215="",$H215="",$I215="",$F215="",$BW215=""),"",IFERROR(_xlfn.LET(_xlpm.codes,IF($BV215="AL",Std_Al3_Code,IF($G215=1,Std_Cu1_Code,Std_Cu3_Code)),_xlpm.tbl,IF($BV215="AL",Std_Al3_Table,IF($G215=1,Std_Cu1_Table,Std_Cu3_Table)),_xlpm.i,MATCH($BP215,_xlpm.codes,0),_xlpm.idx,_xlfn.SEQUENCE(ROWS(_xlpm.codes)),_xlpm.cnd,INDEX(_xlpm.tbl,0,4),_xlpm.sts,INDEX(_xlpm.tbl,0,2),_xlpm.sz,IFERROR(_xlfn.TEXTBEFORE(_xlfn.TEXTAFTER(_xlpm.cnd,"#"),","),IFERROR(_xlfn.TEXTAFTER(_xlpm.cnd,"#"),"")),_xlpm.cm,IFERROR(_xlfn.XLOOKUP(TRIM(_xlpm.sz),Ampacity_Size,Ampacity_CM),0),_xlpm.mult,IF($G215=3,SQRT3,2),_xlpm.kk,IF($BV215="AL",K_Al,K_Cu),_xlpm.vd,IF(_xlpm.cm*IF(ISNUMBER(_xlpm.sts),_xlpm.sts,0)=0,9,_xlpm.mult*_xlpm.kk*$I215*$H215/(_xlpm.cm*_xlpm.sts)/$F215),_xlpm.hasN,--(RIGHT(_xlpm.codes&amp;"",1)="N"),_xlpm.wantN,--(RIGHT($BP215&amp;"",1)="N"),_xlpm.ok,(_xlpm.idx&gt;=_xlpm.i)*(_xlpm.vd&lt;=Cfg_VDFeeder)*(_xlpm.cm&gt;0)*ISNUMBER(_xlpm.sts)*(_xlpm.hasN=_xlpm.wantN),_xlpm.m,MIN(IF(_xlpm.ok=1,_xlpm.idx)),INDEX(_xlpm.codes,IF(_xlpm.m=0,_xlpm.i,_xlpm.m))),""))</f>
        <v/>
      </c>
      <c r="BY215" s="829" t="str" cm="1">
        <f t="array" ref="BY215">IF($BP215="","",IF($BX215="",$BU215,IFERROR(IF($BV215="AL",_xlfn.XLOOKUP($BX215,Std_Al3_Code,INDEX(Std_Al3_Table,0,2)),IF($G215=1,_xlfn.XLOOKUP($BX215,Std_Cu1_Code,INDEX(Std_Cu1_Table,0,2)),_xlfn.XLOOKUP($BX215,Std_Cu3_Code,INDEX(Std_Cu3_Table,0,2)))),"")))</f>
        <v/>
      </c>
      <c r="BZ215" s="829" t="str" cm="1">
        <f t="array" ref="BZ215">IF($BP215="","",IF($BX215="",$BR215,IFERROR(IF($BV215="AL",_xlfn.XLOOKUP($BX215,Std_Al3_Code,INDEX(Std_Al3_Table,0,4)),IF($G215=1,_xlfn.XLOOKUP($BX215,Std_Cu1_Code,INDEX(Std_Cu1_Table,0,4)),_xlfn.XLOOKUP($BX215,Std_Cu3_Code,INDEX(Std_Cu3_Table,0,4)))),"")))</f>
        <v/>
      </c>
      <c r="CA215" s="829" t="str" cm="1">
        <f t="array" ref="CA215">IF($BP215="","",IF($BX215="",$BQ215,IFERROR(IF($BV215="AL",_xlfn.XLOOKUP($BX215,Std_Al3_Code,INDEX(Std_Al3_Table,0,3)),IF($G215=1,_xlfn.XLOOKUP($BX215,Std_Cu1_Code,INDEX(Std_Cu1_Table,0,3)),_xlfn.XLOOKUP($BX215,Std_Cu3_Code,INDEX(Std_Cu3_Table,0,3)))),"")))</f>
        <v/>
      </c>
      <c r="CB215" s="829" t="str" cm="1">
        <f t="array" ref="CB215">IF($BP215="","",IF($BX215="",$BS215,IFERROR(IF($BV215="AL",_xlfn.XLOOKUP($BX215,Std_Al3_Code,INDEX(Std_Al3_Table,0,5)),IF($G215=1,_xlfn.XLOOKUP($BX215,Std_Cu1_Code,INDEX(Std_Cu1_Table,0,5)),_xlfn.XLOOKUP($BX215,Std_Cu3_Code,INDEX(Std_Cu3_Table,0,5)))),"")))</f>
        <v/>
      </c>
      <c r="CC215" s="829" t="str">
        <f t="shared" si="73"/>
        <v/>
      </c>
      <c r="CD215" s="829" t="str">
        <f t="shared" si="74"/>
        <v/>
      </c>
      <c r="CE215" s="829" t="str">
        <f t="shared" si="75"/>
        <v/>
      </c>
      <c r="CF215" s="829" t="str">
        <f t="shared" si="76"/>
        <v/>
      </c>
      <c r="CG215" s="829" t="str">
        <f t="shared" si="77"/>
        <v/>
      </c>
      <c r="CH215" s="829" t="str">
        <f t="shared" si="78"/>
        <v/>
      </c>
      <c r="CI215" s="829" t="str">
        <f t="shared" si="79"/>
        <v/>
      </c>
      <c r="CJ215" s="829" t="str" cm="1">
        <f t="array" ref="CJ215">IF($B215="","",_xlfn.LET(_xlpm.to,$D215&amp;"",_xlpm.em,IFERROR(INDEX(_xlfn.ANCHORARRAY($BE$4),ROW()-4,6),"")="EMERG",_xlpm.pri,AND(NOT(_xlpm.em),LEFT(_xlpm.to,2)="T-",ISNUMBER(MATCH(MID(_xlpm.to,3,99),Equip_List,0)),ISNA(MATCH(_xlpm.to,Equip_List,0))),IF(_xlpm.pri,MID(_xlpm.to,3,99),_xlpm.to)))</f>
        <v/>
      </c>
      <c r="CK215" s="829" t="str" cm="1">
        <f t="array" ref="CK215">IF($CJ215="","",IF(IFERROR(INDEX(_xlfn.ANCHORARRAY($BE$4),ROW()-4,6),"")="EMERG","E",IF($CJ215&lt;&gt;$D215&amp;"","P","N")))</f>
        <v/>
      </c>
    </row>
    <row r="216" spans="1:89" ht="15" customHeight="1" x14ac:dyDescent="0.35">
      <c r="A216" s="821" t="str">
        <f t="shared" si="67"/>
        <v/>
      </c>
      <c r="B216" s="821" t="str" cm="1">
        <f t="array" ref="B216">IFERROR(IF(INDEX(_xlfn.ANCHORARRAY($BE$4),ROW()-4,2)="","","F-"&amp;INDEX(_xlfn.ANCHORARRAY($BE$4),ROW()-4,2)&amp;IF(IFERROR(INDEX(_xlfn.ANCHORARRAY($BE$4),ROW()-4,6),"")="EMERG","-E","")),"")</f>
        <v/>
      </c>
      <c r="C216" s="821" t="str" cm="1">
        <f t="array" ref="C216">IFERROR(IF($B216="","",INDEX(_xlfn.ANCHORARRAY($BE$4),ROW()-4,1)),"")</f>
        <v/>
      </c>
      <c r="D216" s="821" t="str" cm="1">
        <f t="array" ref="D216">IFERROR(IF($B216="","",INDEX(_xlfn.ANCHORARRAY($BE$4),ROW()-4,2)),"")</f>
        <v/>
      </c>
      <c r="E216" s="806" t="str" cm="1">
        <f t="array" ref="E216">IFERROR(IF($B216="","",INDEX(_xlfn.ANCHORARRAY($BE$4),ROW()-4,3)),"")</f>
        <v/>
      </c>
      <c r="F216" s="822" t="str" cm="1">
        <f t="array" ref="F216">IFERROR(IF($B216="","",INDEX(_xlfn.ANCHORARRAY($BE$4),ROW()-4,4)),"")</f>
        <v/>
      </c>
      <c r="G216" s="823" t="str" cm="1">
        <f t="array" ref="G216">IFERROR(IF($B216="","",INDEX(_xlfn.ANCHORARRAY($BE$4),ROW()-4,5)),"")</f>
        <v/>
      </c>
      <c r="H216" s="824" t="str" cm="1">
        <f t="array" ref="H216">IF($CJ216="","",_xlfn.LET(_xlpm.v,_xlfn.XLOOKUP($CJ216,Equip_List,IF($CK216="E",Equip_EmLen,IF($CK216="P",Equip_XfPriLen,Equip_FdrLen)),""),IF(_xlpm.v="","",_xlpm.v)))</f>
        <v/>
      </c>
      <c r="I216" s="806" t="str">
        <f t="shared" si="60"/>
        <v/>
      </c>
      <c r="J216" s="820"/>
      <c r="K216" s="806" t="str">
        <f>_xlfn.LET(_xlpm.k,IF($I216="","",IF(COUNTIF(UPS!$B$57:$B$64,$C216&amp;"")&gt;0,1.25*MAX($I216,N(_xlfn.XLOOKUP($C216&amp;"",UPS!$B$57:$B$64,UPS!$M$57:$M$64,0))),IF(COUNTIF(UPS!$B$57:$B$64,$D216&amp;"")&gt;0,1.25*MAX($I216,N(_xlfn.XLOOKUP($D216&amp;"",UPS!$B$57:$B$64,UPS!$Q$57:$Q$64,0))),$I216*IF(OR(UPPER($J216)="Y",LEFT($C216,2)="T-",LEFT($D216,2)="T-"),1.25,1)))),IF(_xlpm.k="","",MAX(_xlpm.k,N(IFERROR(_xlfn.XLOOKUP($D216&amp;"",Dashboard!$A$101:$A$350,Dashboard!$O$101:$O$350,0),0)))))</f>
        <v/>
      </c>
      <c r="L216" s="825" t="str">
        <f>IF($CJ216="","",_xlfn.LET(_xlpm.v,UPPER(TRIM(_xlfn.XLOOKUP($CJ216,Equip_List,Equip_FdrMat,"")&amp;"")),IF(_xlpm.v="",UPPER(TRIM(Cfg_FeederMat&amp;"")),_xlpm.v)))</f>
        <v/>
      </c>
      <c r="M216" s="825" t="str">
        <f>IF($CJ216="","",_xlfn.LET(_xlpm.v,TRIM(_xlfn.XLOOKUP($CJ216,Equip_List,Equip_FdrRace,"")&amp;""),IF(_xlpm.v="",Cfg_Conduit&amp;"",_xlpm.v)))</f>
        <v/>
      </c>
      <c r="N216" s="825" t="str">
        <f>IF($CJ216="","",IF(UPPER(TRIM(_xlfn.XLOOKUP($CJ216,Equip_List,Equip_FdrExist,"")&amp;""))="Y","Y",""))</f>
        <v/>
      </c>
      <c r="O216" s="823" t="str">
        <f t="shared" si="68"/>
        <v/>
      </c>
      <c r="P216" s="821" t="str">
        <f t="shared" si="69"/>
        <v/>
      </c>
      <c r="Q216" s="821" t="str">
        <f t="shared" si="70"/>
        <v/>
      </c>
      <c r="R216" s="822" t="str" cm="1">
        <f t="array" ref="R216">IF(K216="","",INDEX(OCPD_List,MATCH(TRUE,OCPD_List&gt;=K216,0)))</f>
        <v/>
      </c>
      <c r="S216" s="821" t="str">
        <f t="shared" si="71"/>
        <v/>
      </c>
      <c r="T216" s="826" t="str">
        <f t="shared" si="61"/>
        <v/>
      </c>
      <c r="U216" s="826" t="str">
        <f t="shared" si="62"/>
        <v/>
      </c>
      <c r="V216" s="827" t="str">
        <f t="shared" si="63"/>
        <v/>
      </c>
      <c r="W216" s="828"/>
      <c r="X216" s="819"/>
      <c r="Y216" s="820"/>
      <c r="Z216" s="820"/>
      <c r="AA216" s="820"/>
      <c r="BN216" s="832" t="str">
        <f>IF($B216="","",IFERROR(_xlfn.XLOOKUP($D216,Dashboard!$A$101:$A$350,Dashboard!$C$101:$C$350),""))</f>
        <v/>
      </c>
      <c r="BO216" s="832" t="str">
        <f t="shared" si="64"/>
        <v/>
      </c>
      <c r="BP216" s="832" t="str" cm="1">
        <f t="array" ref="BP216">IF(OR($B216="",$R216="",NOT(ISNUMBER($R216))),"",IF(AND($BV216="AL",$G216=1),"",_xlfn.LET(_xlpm.codes,IF($BV216="AL",Std_Al3_Code,IF($G216=1,Std_Cu1_Code,Std_Cu3_Code)),_xlpm.amps,IFERROR(--SUBSTITUTE(_xlpm.codes&amp;"","N",""),""),_xlpm.a,MIN(IF(ISNUMBER(_xlpm.amps),IF(_xlpm.amps&gt;=$R216,_xlpm.amps,""),"")),_xlpm.k,IF(_xlpm.a=0,$R216,_xlpm.a),IF($BO216="Y",TEXT(_xlpm.k,"0")&amp;"N",_xlpm.k))))</f>
        <v/>
      </c>
      <c r="BQ216" s="832" t="str" cm="1">
        <f t="array" ref="BQ216">IF($BP216="","",IFERROR(IF($BV216="AL",_xlfn.XLOOKUP($BP216,Std_Al3_Code,INDEX(Std_Al3_Table,0,3)),IF($G216=1,_xlfn.XLOOKUP($BP216,Std_Cu1_Code,INDEX(Std_Cu1_Table,0,3)),_xlfn.XLOOKUP($BP216,Std_Cu3_Code,INDEX(Std_Cu3_Table,0,3)))),""))</f>
        <v/>
      </c>
      <c r="BR216" s="832" t="str" cm="1">
        <f t="array" ref="BR216">IF($BP216="","",IFERROR(IF($BV216="AL",_xlfn.XLOOKUP($BP216,Std_Al3_Code,INDEX(Std_Al3_Table,0,4)),IF($G216=1,_xlfn.XLOOKUP($BP216,Std_Cu1_Code,INDEX(Std_Cu1_Table,0,4)),_xlfn.XLOOKUP($BP216,Std_Cu3_Code,INDEX(Std_Cu3_Table,0,4)))),""))</f>
        <v/>
      </c>
      <c r="BS216" s="832" t="str" cm="1">
        <f t="array" ref="BS216">IF($BP216="","",IFERROR(IF($BV216="AL",_xlfn.XLOOKUP($BP216,Std_Al3_Code,INDEX(Std_Al3_Table,0,5)),IF($G216=1,_xlfn.XLOOKUP($BP216,Std_Cu1_Code,INDEX(Std_Cu1_Table,0,5)),_xlfn.XLOOKUP($BP216,Std_Cu3_Code,INDEX(Std_Cu3_Table,0,5)))),""))</f>
        <v/>
      </c>
      <c r="BT216" s="832" t="str">
        <f t="shared" si="65"/>
        <v/>
      </c>
      <c r="BU216" s="832" t="str" cm="1">
        <f t="array" ref="BU216">IF($BP216="","",IFERROR(IF($BV216="AL",_xlfn.XLOOKUP($BP216,Std_Al3_Code,INDEX(Std_Al3_Table,0,2)),IF($G216=1,_xlfn.XLOOKUP($BP216,Std_Cu1_Code,INDEX(Std_Cu1_Table,0,2)),_xlfn.XLOOKUP($BP216,Std_Cu3_Code,INDEX(Std_Cu3_Table,0,2)))),""))</f>
        <v/>
      </c>
      <c r="BV216" s="829" t="str">
        <f t="shared" si="66"/>
        <v/>
      </c>
      <c r="BW216" s="829" t="str">
        <f t="shared" si="72"/>
        <v/>
      </c>
      <c r="BX216" s="829" t="str" cm="1">
        <f t="array" ref="BX216">IF(OR($BP216="",$H216="",$I216="",$F216="",$BW216=""),"",IFERROR(_xlfn.LET(_xlpm.codes,IF($BV216="AL",Std_Al3_Code,IF($G216=1,Std_Cu1_Code,Std_Cu3_Code)),_xlpm.tbl,IF($BV216="AL",Std_Al3_Table,IF($G216=1,Std_Cu1_Table,Std_Cu3_Table)),_xlpm.i,MATCH($BP216,_xlpm.codes,0),_xlpm.idx,_xlfn.SEQUENCE(ROWS(_xlpm.codes)),_xlpm.cnd,INDEX(_xlpm.tbl,0,4),_xlpm.sts,INDEX(_xlpm.tbl,0,2),_xlpm.sz,IFERROR(_xlfn.TEXTBEFORE(_xlfn.TEXTAFTER(_xlpm.cnd,"#"),","),IFERROR(_xlfn.TEXTAFTER(_xlpm.cnd,"#"),"")),_xlpm.cm,IFERROR(_xlfn.XLOOKUP(TRIM(_xlpm.sz),Ampacity_Size,Ampacity_CM),0),_xlpm.mult,IF($G216=3,SQRT3,2),_xlpm.kk,IF($BV216="AL",K_Al,K_Cu),_xlpm.vd,IF(_xlpm.cm*IF(ISNUMBER(_xlpm.sts),_xlpm.sts,0)=0,9,_xlpm.mult*_xlpm.kk*$I216*$H216/(_xlpm.cm*_xlpm.sts)/$F216),_xlpm.hasN,--(RIGHT(_xlpm.codes&amp;"",1)="N"),_xlpm.wantN,--(RIGHT($BP216&amp;"",1)="N"),_xlpm.ok,(_xlpm.idx&gt;=_xlpm.i)*(_xlpm.vd&lt;=Cfg_VDFeeder)*(_xlpm.cm&gt;0)*ISNUMBER(_xlpm.sts)*(_xlpm.hasN=_xlpm.wantN),_xlpm.m,MIN(IF(_xlpm.ok=1,_xlpm.idx)),INDEX(_xlpm.codes,IF(_xlpm.m=0,_xlpm.i,_xlpm.m))),""))</f>
        <v/>
      </c>
      <c r="BY216" s="829" t="str" cm="1">
        <f t="array" ref="BY216">IF($BP216="","",IF($BX216="",$BU216,IFERROR(IF($BV216="AL",_xlfn.XLOOKUP($BX216,Std_Al3_Code,INDEX(Std_Al3_Table,0,2)),IF($G216=1,_xlfn.XLOOKUP($BX216,Std_Cu1_Code,INDEX(Std_Cu1_Table,0,2)),_xlfn.XLOOKUP($BX216,Std_Cu3_Code,INDEX(Std_Cu3_Table,0,2)))),"")))</f>
        <v/>
      </c>
      <c r="BZ216" s="829" t="str" cm="1">
        <f t="array" ref="BZ216">IF($BP216="","",IF($BX216="",$BR216,IFERROR(IF($BV216="AL",_xlfn.XLOOKUP($BX216,Std_Al3_Code,INDEX(Std_Al3_Table,0,4)),IF($G216=1,_xlfn.XLOOKUP($BX216,Std_Cu1_Code,INDEX(Std_Cu1_Table,0,4)),_xlfn.XLOOKUP($BX216,Std_Cu3_Code,INDEX(Std_Cu3_Table,0,4)))),"")))</f>
        <v/>
      </c>
      <c r="CA216" s="829" t="str" cm="1">
        <f t="array" ref="CA216">IF($BP216="","",IF($BX216="",$BQ216,IFERROR(IF($BV216="AL",_xlfn.XLOOKUP($BX216,Std_Al3_Code,INDEX(Std_Al3_Table,0,3)),IF($G216=1,_xlfn.XLOOKUP($BX216,Std_Cu1_Code,INDEX(Std_Cu1_Table,0,3)),_xlfn.XLOOKUP($BX216,Std_Cu3_Code,INDEX(Std_Cu3_Table,0,3)))),"")))</f>
        <v/>
      </c>
      <c r="CB216" s="829" t="str" cm="1">
        <f t="array" ref="CB216">IF($BP216="","",IF($BX216="",$BS216,IFERROR(IF($BV216="AL",_xlfn.XLOOKUP($BX216,Std_Al3_Code,INDEX(Std_Al3_Table,0,5)),IF($G216=1,_xlfn.XLOOKUP($BX216,Std_Cu1_Code,INDEX(Std_Cu1_Table,0,5)),_xlfn.XLOOKUP($BX216,Std_Cu3_Code,INDEX(Std_Cu3_Table,0,5)))),"")))</f>
        <v/>
      </c>
      <c r="CC216" s="829" t="str">
        <f t="shared" si="73"/>
        <v/>
      </c>
      <c r="CD216" s="829" t="str">
        <f t="shared" si="74"/>
        <v/>
      </c>
      <c r="CE216" s="829" t="str">
        <f t="shared" si="75"/>
        <v/>
      </c>
      <c r="CF216" s="829" t="str">
        <f t="shared" si="76"/>
        <v/>
      </c>
      <c r="CG216" s="829" t="str">
        <f t="shared" si="77"/>
        <v/>
      </c>
      <c r="CH216" s="829" t="str">
        <f t="shared" si="78"/>
        <v/>
      </c>
      <c r="CI216" s="829" t="str">
        <f t="shared" si="79"/>
        <v/>
      </c>
      <c r="CJ216" s="829" t="str" cm="1">
        <f t="array" ref="CJ216">IF($B216="","",_xlfn.LET(_xlpm.to,$D216&amp;"",_xlpm.em,IFERROR(INDEX(_xlfn.ANCHORARRAY($BE$4),ROW()-4,6),"")="EMERG",_xlpm.pri,AND(NOT(_xlpm.em),LEFT(_xlpm.to,2)="T-",ISNUMBER(MATCH(MID(_xlpm.to,3,99),Equip_List,0)),ISNA(MATCH(_xlpm.to,Equip_List,0))),IF(_xlpm.pri,MID(_xlpm.to,3,99),_xlpm.to)))</f>
        <v/>
      </c>
      <c r="CK216" s="829" t="str" cm="1">
        <f t="array" ref="CK216">IF($CJ216="","",IF(IFERROR(INDEX(_xlfn.ANCHORARRAY($BE$4),ROW()-4,6),"")="EMERG","E",IF($CJ216&lt;&gt;$D216&amp;"","P","N")))</f>
        <v/>
      </c>
    </row>
    <row r="217" spans="1:89" ht="15" customHeight="1" x14ac:dyDescent="0.35">
      <c r="A217" s="821" t="str">
        <f t="shared" si="67"/>
        <v/>
      </c>
      <c r="B217" s="821" t="str" cm="1">
        <f t="array" ref="B217">IFERROR(IF(INDEX(_xlfn.ANCHORARRAY($BE$4),ROW()-4,2)="","","F-"&amp;INDEX(_xlfn.ANCHORARRAY($BE$4),ROW()-4,2)&amp;IF(IFERROR(INDEX(_xlfn.ANCHORARRAY($BE$4),ROW()-4,6),"")="EMERG","-E","")),"")</f>
        <v/>
      </c>
      <c r="C217" s="821" t="str" cm="1">
        <f t="array" ref="C217">IFERROR(IF($B217="","",INDEX(_xlfn.ANCHORARRAY($BE$4),ROW()-4,1)),"")</f>
        <v/>
      </c>
      <c r="D217" s="821" t="str" cm="1">
        <f t="array" ref="D217">IFERROR(IF($B217="","",INDEX(_xlfn.ANCHORARRAY($BE$4),ROW()-4,2)),"")</f>
        <v/>
      </c>
      <c r="E217" s="806" t="str" cm="1">
        <f t="array" ref="E217">IFERROR(IF($B217="","",INDEX(_xlfn.ANCHORARRAY($BE$4),ROW()-4,3)),"")</f>
        <v/>
      </c>
      <c r="F217" s="822" t="str" cm="1">
        <f t="array" ref="F217">IFERROR(IF($B217="","",INDEX(_xlfn.ANCHORARRAY($BE$4),ROW()-4,4)),"")</f>
        <v/>
      </c>
      <c r="G217" s="823" t="str" cm="1">
        <f t="array" ref="G217">IFERROR(IF($B217="","",INDEX(_xlfn.ANCHORARRAY($BE$4),ROW()-4,5)),"")</f>
        <v/>
      </c>
      <c r="H217" s="824" t="str" cm="1">
        <f t="array" ref="H217">IF($CJ217="","",_xlfn.LET(_xlpm.v,_xlfn.XLOOKUP($CJ217,Equip_List,IF($CK217="E",Equip_EmLen,IF($CK217="P",Equip_XfPriLen,Equip_FdrLen)),""),IF(_xlpm.v="","",_xlpm.v)))</f>
        <v/>
      </c>
      <c r="I217" s="806" t="str">
        <f t="shared" si="60"/>
        <v/>
      </c>
      <c r="J217" s="820"/>
      <c r="K217" s="806" t="str">
        <f>_xlfn.LET(_xlpm.k,IF($I217="","",IF(COUNTIF(UPS!$B$57:$B$64,$C217&amp;"")&gt;0,1.25*MAX($I217,N(_xlfn.XLOOKUP($C217&amp;"",UPS!$B$57:$B$64,UPS!$M$57:$M$64,0))),IF(COUNTIF(UPS!$B$57:$B$64,$D217&amp;"")&gt;0,1.25*MAX($I217,N(_xlfn.XLOOKUP($D217&amp;"",UPS!$B$57:$B$64,UPS!$Q$57:$Q$64,0))),$I217*IF(OR(UPPER($J217)="Y",LEFT($C217,2)="T-",LEFT($D217,2)="T-"),1.25,1)))),IF(_xlpm.k="","",MAX(_xlpm.k,N(IFERROR(_xlfn.XLOOKUP($D217&amp;"",Dashboard!$A$101:$A$350,Dashboard!$O$101:$O$350,0),0)))))</f>
        <v/>
      </c>
      <c r="L217" s="825" t="str">
        <f>IF($CJ217="","",_xlfn.LET(_xlpm.v,UPPER(TRIM(_xlfn.XLOOKUP($CJ217,Equip_List,Equip_FdrMat,"")&amp;"")),IF(_xlpm.v="",UPPER(TRIM(Cfg_FeederMat&amp;"")),_xlpm.v)))</f>
        <v/>
      </c>
      <c r="M217" s="825" t="str">
        <f>IF($CJ217="","",_xlfn.LET(_xlpm.v,TRIM(_xlfn.XLOOKUP($CJ217,Equip_List,Equip_FdrRace,"")&amp;""),IF(_xlpm.v="",Cfg_Conduit&amp;"",_xlpm.v)))</f>
        <v/>
      </c>
      <c r="N217" s="825" t="str">
        <f>IF($CJ217="","",IF(UPPER(TRIM(_xlfn.XLOOKUP($CJ217,Equip_List,Equip_FdrExist,"")&amp;""))="Y","Y",""))</f>
        <v/>
      </c>
      <c r="O217" s="823" t="str">
        <f t="shared" si="68"/>
        <v/>
      </c>
      <c r="P217" s="821" t="str">
        <f t="shared" si="69"/>
        <v/>
      </c>
      <c r="Q217" s="821" t="str">
        <f t="shared" si="70"/>
        <v/>
      </c>
      <c r="R217" s="822" t="str" cm="1">
        <f t="array" ref="R217">IF(K217="","",INDEX(OCPD_List,MATCH(TRUE,OCPD_List&gt;=K217,0)))</f>
        <v/>
      </c>
      <c r="S217" s="821" t="str">
        <f t="shared" si="71"/>
        <v/>
      </c>
      <c r="T217" s="826" t="str">
        <f t="shared" si="61"/>
        <v/>
      </c>
      <c r="U217" s="826" t="str">
        <f t="shared" si="62"/>
        <v/>
      </c>
      <c r="V217" s="827" t="str">
        <f t="shared" si="63"/>
        <v/>
      </c>
      <c r="W217" s="828"/>
      <c r="X217" s="819"/>
      <c r="Y217" s="820"/>
      <c r="Z217" s="820"/>
      <c r="AA217" s="820"/>
      <c r="BN217" s="832" t="str">
        <f>IF($B217="","",IFERROR(_xlfn.XLOOKUP($D217,Dashboard!$A$101:$A$350,Dashboard!$C$101:$C$350),""))</f>
        <v/>
      </c>
      <c r="BO217" s="832" t="str">
        <f t="shared" si="64"/>
        <v/>
      </c>
      <c r="BP217" s="832" t="str" cm="1">
        <f t="array" ref="BP217">IF(OR($B217="",$R217="",NOT(ISNUMBER($R217))),"",IF(AND($BV217="AL",$G217=1),"",_xlfn.LET(_xlpm.codes,IF($BV217="AL",Std_Al3_Code,IF($G217=1,Std_Cu1_Code,Std_Cu3_Code)),_xlpm.amps,IFERROR(--SUBSTITUTE(_xlpm.codes&amp;"","N",""),""),_xlpm.a,MIN(IF(ISNUMBER(_xlpm.amps),IF(_xlpm.amps&gt;=$R217,_xlpm.amps,""),"")),_xlpm.k,IF(_xlpm.a=0,$R217,_xlpm.a),IF($BO217="Y",TEXT(_xlpm.k,"0")&amp;"N",_xlpm.k))))</f>
        <v/>
      </c>
      <c r="BQ217" s="832" t="str" cm="1">
        <f t="array" ref="BQ217">IF($BP217="","",IFERROR(IF($BV217="AL",_xlfn.XLOOKUP($BP217,Std_Al3_Code,INDEX(Std_Al3_Table,0,3)),IF($G217=1,_xlfn.XLOOKUP($BP217,Std_Cu1_Code,INDEX(Std_Cu1_Table,0,3)),_xlfn.XLOOKUP($BP217,Std_Cu3_Code,INDEX(Std_Cu3_Table,0,3)))),""))</f>
        <v/>
      </c>
      <c r="BR217" s="832" t="str" cm="1">
        <f t="array" ref="BR217">IF($BP217="","",IFERROR(IF($BV217="AL",_xlfn.XLOOKUP($BP217,Std_Al3_Code,INDEX(Std_Al3_Table,0,4)),IF($G217=1,_xlfn.XLOOKUP($BP217,Std_Cu1_Code,INDEX(Std_Cu1_Table,0,4)),_xlfn.XLOOKUP($BP217,Std_Cu3_Code,INDEX(Std_Cu3_Table,0,4)))),""))</f>
        <v/>
      </c>
      <c r="BS217" s="832" t="str" cm="1">
        <f t="array" ref="BS217">IF($BP217="","",IFERROR(IF($BV217="AL",_xlfn.XLOOKUP($BP217,Std_Al3_Code,INDEX(Std_Al3_Table,0,5)),IF($G217=1,_xlfn.XLOOKUP($BP217,Std_Cu1_Code,INDEX(Std_Cu1_Table,0,5)),_xlfn.XLOOKUP($BP217,Std_Cu3_Code,INDEX(Std_Cu3_Table,0,5)))),""))</f>
        <v/>
      </c>
      <c r="BT217" s="832" t="str">
        <f t="shared" si="65"/>
        <v/>
      </c>
      <c r="BU217" s="832" t="str" cm="1">
        <f t="array" ref="BU217">IF($BP217="","",IFERROR(IF($BV217="AL",_xlfn.XLOOKUP($BP217,Std_Al3_Code,INDEX(Std_Al3_Table,0,2)),IF($G217=1,_xlfn.XLOOKUP($BP217,Std_Cu1_Code,INDEX(Std_Cu1_Table,0,2)),_xlfn.XLOOKUP($BP217,Std_Cu3_Code,INDEX(Std_Cu3_Table,0,2)))),""))</f>
        <v/>
      </c>
      <c r="BV217" s="829" t="str">
        <f t="shared" si="66"/>
        <v/>
      </c>
      <c r="BW217" s="829" t="str">
        <f t="shared" si="72"/>
        <v/>
      </c>
      <c r="BX217" s="829" t="str" cm="1">
        <f t="array" ref="BX217">IF(OR($BP217="",$H217="",$I217="",$F217="",$BW217=""),"",IFERROR(_xlfn.LET(_xlpm.codes,IF($BV217="AL",Std_Al3_Code,IF($G217=1,Std_Cu1_Code,Std_Cu3_Code)),_xlpm.tbl,IF($BV217="AL",Std_Al3_Table,IF($G217=1,Std_Cu1_Table,Std_Cu3_Table)),_xlpm.i,MATCH($BP217,_xlpm.codes,0),_xlpm.idx,_xlfn.SEQUENCE(ROWS(_xlpm.codes)),_xlpm.cnd,INDEX(_xlpm.tbl,0,4),_xlpm.sts,INDEX(_xlpm.tbl,0,2),_xlpm.sz,IFERROR(_xlfn.TEXTBEFORE(_xlfn.TEXTAFTER(_xlpm.cnd,"#"),","),IFERROR(_xlfn.TEXTAFTER(_xlpm.cnd,"#"),"")),_xlpm.cm,IFERROR(_xlfn.XLOOKUP(TRIM(_xlpm.sz),Ampacity_Size,Ampacity_CM),0),_xlpm.mult,IF($G217=3,SQRT3,2),_xlpm.kk,IF($BV217="AL",K_Al,K_Cu),_xlpm.vd,IF(_xlpm.cm*IF(ISNUMBER(_xlpm.sts),_xlpm.sts,0)=0,9,_xlpm.mult*_xlpm.kk*$I217*$H217/(_xlpm.cm*_xlpm.sts)/$F217),_xlpm.hasN,--(RIGHT(_xlpm.codes&amp;"",1)="N"),_xlpm.wantN,--(RIGHT($BP217&amp;"",1)="N"),_xlpm.ok,(_xlpm.idx&gt;=_xlpm.i)*(_xlpm.vd&lt;=Cfg_VDFeeder)*(_xlpm.cm&gt;0)*ISNUMBER(_xlpm.sts)*(_xlpm.hasN=_xlpm.wantN),_xlpm.m,MIN(IF(_xlpm.ok=1,_xlpm.idx)),INDEX(_xlpm.codes,IF(_xlpm.m=0,_xlpm.i,_xlpm.m))),""))</f>
        <v/>
      </c>
      <c r="BY217" s="829" t="str" cm="1">
        <f t="array" ref="BY217">IF($BP217="","",IF($BX217="",$BU217,IFERROR(IF($BV217="AL",_xlfn.XLOOKUP($BX217,Std_Al3_Code,INDEX(Std_Al3_Table,0,2)),IF($G217=1,_xlfn.XLOOKUP($BX217,Std_Cu1_Code,INDEX(Std_Cu1_Table,0,2)),_xlfn.XLOOKUP($BX217,Std_Cu3_Code,INDEX(Std_Cu3_Table,0,2)))),"")))</f>
        <v/>
      </c>
      <c r="BZ217" s="829" t="str" cm="1">
        <f t="array" ref="BZ217">IF($BP217="","",IF($BX217="",$BR217,IFERROR(IF($BV217="AL",_xlfn.XLOOKUP($BX217,Std_Al3_Code,INDEX(Std_Al3_Table,0,4)),IF($G217=1,_xlfn.XLOOKUP($BX217,Std_Cu1_Code,INDEX(Std_Cu1_Table,0,4)),_xlfn.XLOOKUP($BX217,Std_Cu3_Code,INDEX(Std_Cu3_Table,0,4)))),"")))</f>
        <v/>
      </c>
      <c r="CA217" s="829" t="str" cm="1">
        <f t="array" ref="CA217">IF($BP217="","",IF($BX217="",$BQ217,IFERROR(IF($BV217="AL",_xlfn.XLOOKUP($BX217,Std_Al3_Code,INDEX(Std_Al3_Table,0,3)),IF($G217=1,_xlfn.XLOOKUP($BX217,Std_Cu1_Code,INDEX(Std_Cu1_Table,0,3)),_xlfn.XLOOKUP($BX217,Std_Cu3_Code,INDEX(Std_Cu3_Table,0,3)))),"")))</f>
        <v/>
      </c>
      <c r="CB217" s="829" t="str" cm="1">
        <f t="array" ref="CB217">IF($BP217="","",IF($BX217="",$BS217,IFERROR(IF($BV217="AL",_xlfn.XLOOKUP($BX217,Std_Al3_Code,INDEX(Std_Al3_Table,0,5)),IF($G217=1,_xlfn.XLOOKUP($BX217,Std_Cu1_Code,INDEX(Std_Cu1_Table,0,5)),_xlfn.XLOOKUP($BX217,Std_Cu3_Code,INDEX(Std_Cu3_Table,0,5)))),"")))</f>
        <v/>
      </c>
      <c r="CC217" s="829" t="str">
        <f t="shared" si="73"/>
        <v/>
      </c>
      <c r="CD217" s="829" t="str">
        <f t="shared" si="74"/>
        <v/>
      </c>
      <c r="CE217" s="829" t="str">
        <f t="shared" si="75"/>
        <v/>
      </c>
      <c r="CF217" s="829" t="str">
        <f t="shared" si="76"/>
        <v/>
      </c>
      <c r="CG217" s="829" t="str">
        <f t="shared" si="77"/>
        <v/>
      </c>
      <c r="CH217" s="829" t="str">
        <f t="shared" si="78"/>
        <v/>
      </c>
      <c r="CI217" s="829" t="str">
        <f t="shared" si="79"/>
        <v/>
      </c>
      <c r="CJ217" s="829" t="str" cm="1">
        <f t="array" ref="CJ217">IF($B217="","",_xlfn.LET(_xlpm.to,$D217&amp;"",_xlpm.em,IFERROR(INDEX(_xlfn.ANCHORARRAY($BE$4),ROW()-4,6),"")="EMERG",_xlpm.pri,AND(NOT(_xlpm.em),LEFT(_xlpm.to,2)="T-",ISNUMBER(MATCH(MID(_xlpm.to,3,99),Equip_List,0)),ISNA(MATCH(_xlpm.to,Equip_List,0))),IF(_xlpm.pri,MID(_xlpm.to,3,99),_xlpm.to)))</f>
        <v/>
      </c>
      <c r="CK217" s="829" t="str" cm="1">
        <f t="array" ref="CK217">IF($CJ217="","",IF(IFERROR(INDEX(_xlfn.ANCHORARRAY($BE$4),ROW()-4,6),"")="EMERG","E",IF($CJ217&lt;&gt;$D217&amp;"","P","N")))</f>
        <v/>
      </c>
    </row>
    <row r="218" spans="1:89" ht="15" customHeight="1" x14ac:dyDescent="0.35">
      <c r="A218" s="821" t="str">
        <f t="shared" si="67"/>
        <v/>
      </c>
      <c r="B218" s="821" t="str" cm="1">
        <f t="array" ref="B218">IFERROR(IF(INDEX(_xlfn.ANCHORARRAY($BE$4),ROW()-4,2)="","","F-"&amp;INDEX(_xlfn.ANCHORARRAY($BE$4),ROW()-4,2)&amp;IF(IFERROR(INDEX(_xlfn.ANCHORARRAY($BE$4),ROW()-4,6),"")="EMERG","-E","")),"")</f>
        <v/>
      </c>
      <c r="C218" s="821" t="str" cm="1">
        <f t="array" ref="C218">IFERROR(IF($B218="","",INDEX(_xlfn.ANCHORARRAY($BE$4),ROW()-4,1)),"")</f>
        <v/>
      </c>
      <c r="D218" s="821" t="str" cm="1">
        <f t="array" ref="D218">IFERROR(IF($B218="","",INDEX(_xlfn.ANCHORARRAY($BE$4),ROW()-4,2)),"")</f>
        <v/>
      </c>
      <c r="E218" s="806" t="str" cm="1">
        <f t="array" ref="E218">IFERROR(IF($B218="","",INDEX(_xlfn.ANCHORARRAY($BE$4),ROW()-4,3)),"")</f>
        <v/>
      </c>
      <c r="F218" s="822" t="str" cm="1">
        <f t="array" ref="F218">IFERROR(IF($B218="","",INDEX(_xlfn.ANCHORARRAY($BE$4),ROW()-4,4)),"")</f>
        <v/>
      </c>
      <c r="G218" s="823" t="str" cm="1">
        <f t="array" ref="G218">IFERROR(IF($B218="","",INDEX(_xlfn.ANCHORARRAY($BE$4),ROW()-4,5)),"")</f>
        <v/>
      </c>
      <c r="H218" s="824" t="str" cm="1">
        <f t="array" ref="H218">IF($CJ218="","",_xlfn.LET(_xlpm.v,_xlfn.XLOOKUP($CJ218,Equip_List,IF($CK218="E",Equip_EmLen,IF($CK218="P",Equip_XfPriLen,Equip_FdrLen)),""),IF(_xlpm.v="","",_xlpm.v)))</f>
        <v/>
      </c>
      <c r="I218" s="806" t="str">
        <f t="shared" si="60"/>
        <v/>
      </c>
      <c r="J218" s="820"/>
      <c r="K218" s="806" t="str">
        <f>_xlfn.LET(_xlpm.k,IF($I218="","",IF(COUNTIF(UPS!$B$57:$B$64,$C218&amp;"")&gt;0,1.25*MAX($I218,N(_xlfn.XLOOKUP($C218&amp;"",UPS!$B$57:$B$64,UPS!$M$57:$M$64,0))),IF(COUNTIF(UPS!$B$57:$B$64,$D218&amp;"")&gt;0,1.25*MAX($I218,N(_xlfn.XLOOKUP($D218&amp;"",UPS!$B$57:$B$64,UPS!$Q$57:$Q$64,0))),$I218*IF(OR(UPPER($J218)="Y",LEFT($C218,2)="T-",LEFT($D218,2)="T-"),1.25,1)))),IF(_xlpm.k="","",MAX(_xlpm.k,N(IFERROR(_xlfn.XLOOKUP($D218&amp;"",Dashboard!$A$101:$A$350,Dashboard!$O$101:$O$350,0),0)))))</f>
        <v/>
      </c>
      <c r="L218" s="825" t="str">
        <f>IF($CJ218="","",_xlfn.LET(_xlpm.v,UPPER(TRIM(_xlfn.XLOOKUP($CJ218,Equip_List,Equip_FdrMat,"")&amp;"")),IF(_xlpm.v="",UPPER(TRIM(Cfg_FeederMat&amp;"")),_xlpm.v)))</f>
        <v/>
      </c>
      <c r="M218" s="825" t="str">
        <f>IF($CJ218="","",_xlfn.LET(_xlpm.v,TRIM(_xlfn.XLOOKUP($CJ218,Equip_List,Equip_FdrRace,"")&amp;""),IF(_xlpm.v="",Cfg_Conduit&amp;"",_xlpm.v)))</f>
        <v/>
      </c>
      <c r="N218" s="825" t="str">
        <f>IF($CJ218="","",IF(UPPER(TRIM(_xlfn.XLOOKUP($CJ218,Equip_List,Equip_FdrExist,"")&amp;""))="Y","Y",""))</f>
        <v/>
      </c>
      <c r="O218" s="823" t="str">
        <f t="shared" si="68"/>
        <v/>
      </c>
      <c r="P218" s="821" t="str">
        <f t="shared" si="69"/>
        <v/>
      </c>
      <c r="Q218" s="821" t="str">
        <f t="shared" si="70"/>
        <v/>
      </c>
      <c r="R218" s="822" t="str" cm="1">
        <f t="array" ref="R218">IF(K218="","",INDEX(OCPD_List,MATCH(TRUE,OCPD_List&gt;=K218,0)))</f>
        <v/>
      </c>
      <c r="S218" s="821" t="str">
        <f t="shared" si="71"/>
        <v/>
      </c>
      <c r="T218" s="826" t="str">
        <f t="shared" si="61"/>
        <v/>
      </c>
      <c r="U218" s="826" t="str">
        <f t="shared" si="62"/>
        <v/>
      </c>
      <c r="V218" s="827" t="str">
        <f t="shared" si="63"/>
        <v/>
      </c>
      <c r="W218" s="828"/>
      <c r="X218" s="819"/>
      <c r="Y218" s="820"/>
      <c r="Z218" s="820"/>
      <c r="AA218" s="820"/>
      <c r="BN218" s="832" t="str">
        <f>IF($B218="","",IFERROR(_xlfn.XLOOKUP($D218,Dashboard!$A$101:$A$350,Dashboard!$C$101:$C$350),""))</f>
        <v/>
      </c>
      <c r="BO218" s="832" t="str">
        <f t="shared" si="64"/>
        <v/>
      </c>
      <c r="BP218" s="832" t="str" cm="1">
        <f t="array" ref="BP218">IF(OR($B218="",$R218="",NOT(ISNUMBER($R218))),"",IF(AND($BV218="AL",$G218=1),"",_xlfn.LET(_xlpm.codes,IF($BV218="AL",Std_Al3_Code,IF($G218=1,Std_Cu1_Code,Std_Cu3_Code)),_xlpm.amps,IFERROR(--SUBSTITUTE(_xlpm.codes&amp;"","N",""),""),_xlpm.a,MIN(IF(ISNUMBER(_xlpm.amps),IF(_xlpm.amps&gt;=$R218,_xlpm.amps,""),"")),_xlpm.k,IF(_xlpm.a=0,$R218,_xlpm.a),IF($BO218="Y",TEXT(_xlpm.k,"0")&amp;"N",_xlpm.k))))</f>
        <v/>
      </c>
      <c r="BQ218" s="832" t="str" cm="1">
        <f t="array" ref="BQ218">IF($BP218="","",IFERROR(IF($BV218="AL",_xlfn.XLOOKUP($BP218,Std_Al3_Code,INDEX(Std_Al3_Table,0,3)),IF($G218=1,_xlfn.XLOOKUP($BP218,Std_Cu1_Code,INDEX(Std_Cu1_Table,0,3)),_xlfn.XLOOKUP($BP218,Std_Cu3_Code,INDEX(Std_Cu3_Table,0,3)))),""))</f>
        <v/>
      </c>
      <c r="BR218" s="832" t="str" cm="1">
        <f t="array" ref="BR218">IF($BP218="","",IFERROR(IF($BV218="AL",_xlfn.XLOOKUP($BP218,Std_Al3_Code,INDEX(Std_Al3_Table,0,4)),IF($G218=1,_xlfn.XLOOKUP($BP218,Std_Cu1_Code,INDEX(Std_Cu1_Table,0,4)),_xlfn.XLOOKUP($BP218,Std_Cu3_Code,INDEX(Std_Cu3_Table,0,4)))),""))</f>
        <v/>
      </c>
      <c r="BS218" s="832" t="str" cm="1">
        <f t="array" ref="BS218">IF($BP218="","",IFERROR(IF($BV218="AL",_xlfn.XLOOKUP($BP218,Std_Al3_Code,INDEX(Std_Al3_Table,0,5)),IF($G218=1,_xlfn.XLOOKUP($BP218,Std_Cu1_Code,INDEX(Std_Cu1_Table,0,5)),_xlfn.XLOOKUP($BP218,Std_Cu3_Code,INDEX(Std_Cu3_Table,0,5)))),""))</f>
        <v/>
      </c>
      <c r="BT218" s="832" t="str">
        <f t="shared" si="65"/>
        <v/>
      </c>
      <c r="BU218" s="832" t="str" cm="1">
        <f t="array" ref="BU218">IF($BP218="","",IFERROR(IF($BV218="AL",_xlfn.XLOOKUP($BP218,Std_Al3_Code,INDEX(Std_Al3_Table,0,2)),IF($G218=1,_xlfn.XLOOKUP($BP218,Std_Cu1_Code,INDEX(Std_Cu1_Table,0,2)),_xlfn.XLOOKUP($BP218,Std_Cu3_Code,INDEX(Std_Cu3_Table,0,2)))),""))</f>
        <v/>
      </c>
      <c r="BV218" s="829" t="str">
        <f t="shared" si="66"/>
        <v/>
      </c>
      <c r="BW218" s="829" t="str">
        <f t="shared" si="72"/>
        <v/>
      </c>
      <c r="BX218" s="829" t="str" cm="1">
        <f t="array" ref="BX218">IF(OR($BP218="",$H218="",$I218="",$F218="",$BW218=""),"",IFERROR(_xlfn.LET(_xlpm.codes,IF($BV218="AL",Std_Al3_Code,IF($G218=1,Std_Cu1_Code,Std_Cu3_Code)),_xlpm.tbl,IF($BV218="AL",Std_Al3_Table,IF($G218=1,Std_Cu1_Table,Std_Cu3_Table)),_xlpm.i,MATCH($BP218,_xlpm.codes,0),_xlpm.idx,_xlfn.SEQUENCE(ROWS(_xlpm.codes)),_xlpm.cnd,INDEX(_xlpm.tbl,0,4),_xlpm.sts,INDEX(_xlpm.tbl,0,2),_xlpm.sz,IFERROR(_xlfn.TEXTBEFORE(_xlfn.TEXTAFTER(_xlpm.cnd,"#"),","),IFERROR(_xlfn.TEXTAFTER(_xlpm.cnd,"#"),"")),_xlpm.cm,IFERROR(_xlfn.XLOOKUP(TRIM(_xlpm.sz),Ampacity_Size,Ampacity_CM),0),_xlpm.mult,IF($G218=3,SQRT3,2),_xlpm.kk,IF($BV218="AL",K_Al,K_Cu),_xlpm.vd,IF(_xlpm.cm*IF(ISNUMBER(_xlpm.sts),_xlpm.sts,0)=0,9,_xlpm.mult*_xlpm.kk*$I218*$H218/(_xlpm.cm*_xlpm.sts)/$F218),_xlpm.hasN,--(RIGHT(_xlpm.codes&amp;"",1)="N"),_xlpm.wantN,--(RIGHT($BP218&amp;"",1)="N"),_xlpm.ok,(_xlpm.idx&gt;=_xlpm.i)*(_xlpm.vd&lt;=Cfg_VDFeeder)*(_xlpm.cm&gt;0)*ISNUMBER(_xlpm.sts)*(_xlpm.hasN=_xlpm.wantN),_xlpm.m,MIN(IF(_xlpm.ok=1,_xlpm.idx)),INDEX(_xlpm.codes,IF(_xlpm.m=0,_xlpm.i,_xlpm.m))),""))</f>
        <v/>
      </c>
      <c r="BY218" s="829" t="str" cm="1">
        <f t="array" ref="BY218">IF($BP218="","",IF($BX218="",$BU218,IFERROR(IF($BV218="AL",_xlfn.XLOOKUP($BX218,Std_Al3_Code,INDEX(Std_Al3_Table,0,2)),IF($G218=1,_xlfn.XLOOKUP($BX218,Std_Cu1_Code,INDEX(Std_Cu1_Table,0,2)),_xlfn.XLOOKUP($BX218,Std_Cu3_Code,INDEX(Std_Cu3_Table,0,2)))),"")))</f>
        <v/>
      </c>
      <c r="BZ218" s="829" t="str" cm="1">
        <f t="array" ref="BZ218">IF($BP218="","",IF($BX218="",$BR218,IFERROR(IF($BV218="AL",_xlfn.XLOOKUP($BX218,Std_Al3_Code,INDEX(Std_Al3_Table,0,4)),IF($G218=1,_xlfn.XLOOKUP($BX218,Std_Cu1_Code,INDEX(Std_Cu1_Table,0,4)),_xlfn.XLOOKUP($BX218,Std_Cu3_Code,INDEX(Std_Cu3_Table,0,4)))),"")))</f>
        <v/>
      </c>
      <c r="CA218" s="829" t="str" cm="1">
        <f t="array" ref="CA218">IF($BP218="","",IF($BX218="",$BQ218,IFERROR(IF($BV218="AL",_xlfn.XLOOKUP($BX218,Std_Al3_Code,INDEX(Std_Al3_Table,0,3)),IF($G218=1,_xlfn.XLOOKUP($BX218,Std_Cu1_Code,INDEX(Std_Cu1_Table,0,3)),_xlfn.XLOOKUP($BX218,Std_Cu3_Code,INDEX(Std_Cu3_Table,0,3)))),"")))</f>
        <v/>
      </c>
      <c r="CB218" s="829" t="str" cm="1">
        <f t="array" ref="CB218">IF($BP218="","",IF($BX218="",$BS218,IFERROR(IF($BV218="AL",_xlfn.XLOOKUP($BX218,Std_Al3_Code,INDEX(Std_Al3_Table,0,5)),IF($G218=1,_xlfn.XLOOKUP($BX218,Std_Cu1_Code,INDEX(Std_Cu1_Table,0,5)),_xlfn.XLOOKUP($BX218,Std_Cu3_Code,INDEX(Std_Cu3_Table,0,5)))),"")))</f>
        <v/>
      </c>
      <c r="CC218" s="829" t="str">
        <f t="shared" si="73"/>
        <v/>
      </c>
      <c r="CD218" s="829" t="str">
        <f t="shared" si="74"/>
        <v/>
      </c>
      <c r="CE218" s="829" t="str">
        <f t="shared" si="75"/>
        <v/>
      </c>
      <c r="CF218" s="829" t="str">
        <f t="shared" si="76"/>
        <v/>
      </c>
      <c r="CG218" s="829" t="str">
        <f t="shared" si="77"/>
        <v/>
      </c>
      <c r="CH218" s="829" t="str">
        <f t="shared" si="78"/>
        <v/>
      </c>
      <c r="CI218" s="829" t="str">
        <f t="shared" si="79"/>
        <v/>
      </c>
      <c r="CJ218" s="829" t="str" cm="1">
        <f t="array" ref="CJ218">IF($B218="","",_xlfn.LET(_xlpm.to,$D218&amp;"",_xlpm.em,IFERROR(INDEX(_xlfn.ANCHORARRAY($BE$4),ROW()-4,6),"")="EMERG",_xlpm.pri,AND(NOT(_xlpm.em),LEFT(_xlpm.to,2)="T-",ISNUMBER(MATCH(MID(_xlpm.to,3,99),Equip_List,0)),ISNA(MATCH(_xlpm.to,Equip_List,0))),IF(_xlpm.pri,MID(_xlpm.to,3,99),_xlpm.to)))</f>
        <v/>
      </c>
      <c r="CK218" s="829" t="str" cm="1">
        <f t="array" ref="CK218">IF($CJ218="","",IF(IFERROR(INDEX(_xlfn.ANCHORARRAY($BE$4),ROW()-4,6),"")="EMERG","E",IF($CJ218&lt;&gt;$D218&amp;"","P","N")))</f>
        <v/>
      </c>
    </row>
    <row r="219" spans="1:89" ht="15" customHeight="1" x14ac:dyDescent="0.35">
      <c r="A219" s="821" t="str">
        <f t="shared" si="67"/>
        <v/>
      </c>
      <c r="B219" s="821" t="str" cm="1">
        <f t="array" ref="B219">IFERROR(IF(INDEX(_xlfn.ANCHORARRAY($BE$4),ROW()-4,2)="","","F-"&amp;INDEX(_xlfn.ANCHORARRAY($BE$4),ROW()-4,2)&amp;IF(IFERROR(INDEX(_xlfn.ANCHORARRAY($BE$4),ROW()-4,6),"")="EMERG","-E","")),"")</f>
        <v/>
      </c>
      <c r="C219" s="821" t="str" cm="1">
        <f t="array" ref="C219">IFERROR(IF($B219="","",INDEX(_xlfn.ANCHORARRAY($BE$4),ROW()-4,1)),"")</f>
        <v/>
      </c>
      <c r="D219" s="821" t="str" cm="1">
        <f t="array" ref="D219">IFERROR(IF($B219="","",INDEX(_xlfn.ANCHORARRAY($BE$4),ROW()-4,2)),"")</f>
        <v/>
      </c>
      <c r="E219" s="806" t="str" cm="1">
        <f t="array" ref="E219">IFERROR(IF($B219="","",INDEX(_xlfn.ANCHORARRAY($BE$4),ROW()-4,3)),"")</f>
        <v/>
      </c>
      <c r="F219" s="822" t="str" cm="1">
        <f t="array" ref="F219">IFERROR(IF($B219="","",INDEX(_xlfn.ANCHORARRAY($BE$4),ROW()-4,4)),"")</f>
        <v/>
      </c>
      <c r="G219" s="823" t="str" cm="1">
        <f t="array" ref="G219">IFERROR(IF($B219="","",INDEX(_xlfn.ANCHORARRAY($BE$4),ROW()-4,5)),"")</f>
        <v/>
      </c>
      <c r="H219" s="824" t="str" cm="1">
        <f t="array" ref="H219">IF($CJ219="","",_xlfn.LET(_xlpm.v,_xlfn.XLOOKUP($CJ219,Equip_List,IF($CK219="E",Equip_EmLen,IF($CK219="P",Equip_XfPriLen,Equip_FdrLen)),""),IF(_xlpm.v="","",_xlpm.v)))</f>
        <v/>
      </c>
      <c r="I219" s="806" t="str">
        <f t="shared" si="60"/>
        <v/>
      </c>
      <c r="J219" s="820"/>
      <c r="K219" s="806" t="str">
        <f>_xlfn.LET(_xlpm.k,IF($I219="","",IF(COUNTIF(UPS!$B$57:$B$64,$C219&amp;"")&gt;0,1.25*MAX($I219,N(_xlfn.XLOOKUP($C219&amp;"",UPS!$B$57:$B$64,UPS!$M$57:$M$64,0))),IF(COUNTIF(UPS!$B$57:$B$64,$D219&amp;"")&gt;0,1.25*MAX($I219,N(_xlfn.XLOOKUP($D219&amp;"",UPS!$B$57:$B$64,UPS!$Q$57:$Q$64,0))),$I219*IF(OR(UPPER($J219)="Y",LEFT($C219,2)="T-",LEFT($D219,2)="T-"),1.25,1)))),IF(_xlpm.k="","",MAX(_xlpm.k,N(IFERROR(_xlfn.XLOOKUP($D219&amp;"",Dashboard!$A$101:$A$350,Dashboard!$O$101:$O$350,0),0)))))</f>
        <v/>
      </c>
      <c r="L219" s="825" t="str">
        <f>IF($CJ219="","",_xlfn.LET(_xlpm.v,UPPER(TRIM(_xlfn.XLOOKUP($CJ219,Equip_List,Equip_FdrMat,"")&amp;"")),IF(_xlpm.v="",UPPER(TRIM(Cfg_FeederMat&amp;"")),_xlpm.v)))</f>
        <v/>
      </c>
      <c r="M219" s="825" t="str">
        <f>IF($CJ219="","",_xlfn.LET(_xlpm.v,TRIM(_xlfn.XLOOKUP($CJ219,Equip_List,Equip_FdrRace,"")&amp;""),IF(_xlpm.v="",Cfg_Conduit&amp;"",_xlpm.v)))</f>
        <v/>
      </c>
      <c r="N219" s="825" t="str">
        <f>IF($CJ219="","",IF(UPPER(TRIM(_xlfn.XLOOKUP($CJ219,Equip_List,Equip_FdrExist,"")&amp;""))="Y","Y",""))</f>
        <v/>
      </c>
      <c r="O219" s="823" t="str">
        <f t="shared" si="68"/>
        <v/>
      </c>
      <c r="P219" s="821" t="str">
        <f t="shared" si="69"/>
        <v/>
      </c>
      <c r="Q219" s="821" t="str">
        <f t="shared" si="70"/>
        <v/>
      </c>
      <c r="R219" s="822" t="str" cm="1">
        <f t="array" ref="R219">IF(K219="","",INDEX(OCPD_List,MATCH(TRUE,OCPD_List&gt;=K219,0)))</f>
        <v/>
      </c>
      <c r="S219" s="821" t="str">
        <f t="shared" si="71"/>
        <v/>
      </c>
      <c r="T219" s="826" t="str">
        <f t="shared" si="61"/>
        <v/>
      </c>
      <c r="U219" s="826" t="str">
        <f t="shared" si="62"/>
        <v/>
      </c>
      <c r="V219" s="827" t="str">
        <f t="shared" si="63"/>
        <v/>
      </c>
      <c r="W219" s="828"/>
      <c r="X219" s="819"/>
      <c r="Y219" s="820"/>
      <c r="Z219" s="820"/>
      <c r="AA219" s="820"/>
      <c r="BN219" s="832" t="str">
        <f>IF($B219="","",IFERROR(_xlfn.XLOOKUP($D219,Dashboard!$A$101:$A$350,Dashboard!$C$101:$C$350),""))</f>
        <v/>
      </c>
      <c r="BO219" s="832" t="str">
        <f t="shared" si="64"/>
        <v/>
      </c>
      <c r="BP219" s="832" t="str" cm="1">
        <f t="array" ref="BP219">IF(OR($B219="",$R219="",NOT(ISNUMBER($R219))),"",IF(AND($BV219="AL",$G219=1),"",_xlfn.LET(_xlpm.codes,IF($BV219="AL",Std_Al3_Code,IF($G219=1,Std_Cu1_Code,Std_Cu3_Code)),_xlpm.amps,IFERROR(--SUBSTITUTE(_xlpm.codes&amp;"","N",""),""),_xlpm.a,MIN(IF(ISNUMBER(_xlpm.amps),IF(_xlpm.amps&gt;=$R219,_xlpm.amps,""),"")),_xlpm.k,IF(_xlpm.a=0,$R219,_xlpm.a),IF($BO219="Y",TEXT(_xlpm.k,"0")&amp;"N",_xlpm.k))))</f>
        <v/>
      </c>
      <c r="BQ219" s="832" t="str" cm="1">
        <f t="array" ref="BQ219">IF($BP219="","",IFERROR(IF($BV219="AL",_xlfn.XLOOKUP($BP219,Std_Al3_Code,INDEX(Std_Al3_Table,0,3)),IF($G219=1,_xlfn.XLOOKUP($BP219,Std_Cu1_Code,INDEX(Std_Cu1_Table,0,3)),_xlfn.XLOOKUP($BP219,Std_Cu3_Code,INDEX(Std_Cu3_Table,0,3)))),""))</f>
        <v/>
      </c>
      <c r="BR219" s="832" t="str" cm="1">
        <f t="array" ref="BR219">IF($BP219="","",IFERROR(IF($BV219="AL",_xlfn.XLOOKUP($BP219,Std_Al3_Code,INDEX(Std_Al3_Table,0,4)),IF($G219=1,_xlfn.XLOOKUP($BP219,Std_Cu1_Code,INDEX(Std_Cu1_Table,0,4)),_xlfn.XLOOKUP($BP219,Std_Cu3_Code,INDEX(Std_Cu3_Table,0,4)))),""))</f>
        <v/>
      </c>
      <c r="BS219" s="832" t="str" cm="1">
        <f t="array" ref="BS219">IF($BP219="","",IFERROR(IF($BV219="AL",_xlfn.XLOOKUP($BP219,Std_Al3_Code,INDEX(Std_Al3_Table,0,5)),IF($G219=1,_xlfn.XLOOKUP($BP219,Std_Cu1_Code,INDEX(Std_Cu1_Table,0,5)),_xlfn.XLOOKUP($BP219,Std_Cu3_Code,INDEX(Std_Cu3_Table,0,5)))),""))</f>
        <v/>
      </c>
      <c r="BT219" s="832" t="str">
        <f t="shared" si="65"/>
        <v/>
      </c>
      <c r="BU219" s="832" t="str" cm="1">
        <f t="array" ref="BU219">IF($BP219="","",IFERROR(IF($BV219="AL",_xlfn.XLOOKUP($BP219,Std_Al3_Code,INDEX(Std_Al3_Table,0,2)),IF($G219=1,_xlfn.XLOOKUP($BP219,Std_Cu1_Code,INDEX(Std_Cu1_Table,0,2)),_xlfn.XLOOKUP($BP219,Std_Cu3_Code,INDEX(Std_Cu3_Table,0,2)))),""))</f>
        <v/>
      </c>
      <c r="BV219" s="829" t="str">
        <f t="shared" si="66"/>
        <v/>
      </c>
      <c r="BW219" s="829" t="str">
        <f t="shared" si="72"/>
        <v/>
      </c>
      <c r="BX219" s="829" t="str" cm="1">
        <f t="array" ref="BX219">IF(OR($BP219="",$H219="",$I219="",$F219="",$BW219=""),"",IFERROR(_xlfn.LET(_xlpm.codes,IF($BV219="AL",Std_Al3_Code,IF($G219=1,Std_Cu1_Code,Std_Cu3_Code)),_xlpm.tbl,IF($BV219="AL",Std_Al3_Table,IF($G219=1,Std_Cu1_Table,Std_Cu3_Table)),_xlpm.i,MATCH($BP219,_xlpm.codes,0),_xlpm.idx,_xlfn.SEQUENCE(ROWS(_xlpm.codes)),_xlpm.cnd,INDEX(_xlpm.tbl,0,4),_xlpm.sts,INDEX(_xlpm.tbl,0,2),_xlpm.sz,IFERROR(_xlfn.TEXTBEFORE(_xlfn.TEXTAFTER(_xlpm.cnd,"#"),","),IFERROR(_xlfn.TEXTAFTER(_xlpm.cnd,"#"),"")),_xlpm.cm,IFERROR(_xlfn.XLOOKUP(TRIM(_xlpm.sz),Ampacity_Size,Ampacity_CM),0),_xlpm.mult,IF($G219=3,SQRT3,2),_xlpm.kk,IF($BV219="AL",K_Al,K_Cu),_xlpm.vd,IF(_xlpm.cm*IF(ISNUMBER(_xlpm.sts),_xlpm.sts,0)=0,9,_xlpm.mult*_xlpm.kk*$I219*$H219/(_xlpm.cm*_xlpm.sts)/$F219),_xlpm.hasN,--(RIGHT(_xlpm.codes&amp;"",1)="N"),_xlpm.wantN,--(RIGHT($BP219&amp;"",1)="N"),_xlpm.ok,(_xlpm.idx&gt;=_xlpm.i)*(_xlpm.vd&lt;=Cfg_VDFeeder)*(_xlpm.cm&gt;0)*ISNUMBER(_xlpm.sts)*(_xlpm.hasN=_xlpm.wantN),_xlpm.m,MIN(IF(_xlpm.ok=1,_xlpm.idx)),INDEX(_xlpm.codes,IF(_xlpm.m=0,_xlpm.i,_xlpm.m))),""))</f>
        <v/>
      </c>
      <c r="BY219" s="829" t="str" cm="1">
        <f t="array" ref="BY219">IF($BP219="","",IF($BX219="",$BU219,IFERROR(IF($BV219="AL",_xlfn.XLOOKUP($BX219,Std_Al3_Code,INDEX(Std_Al3_Table,0,2)),IF($G219=1,_xlfn.XLOOKUP($BX219,Std_Cu1_Code,INDEX(Std_Cu1_Table,0,2)),_xlfn.XLOOKUP($BX219,Std_Cu3_Code,INDEX(Std_Cu3_Table,0,2)))),"")))</f>
        <v/>
      </c>
      <c r="BZ219" s="829" t="str" cm="1">
        <f t="array" ref="BZ219">IF($BP219="","",IF($BX219="",$BR219,IFERROR(IF($BV219="AL",_xlfn.XLOOKUP($BX219,Std_Al3_Code,INDEX(Std_Al3_Table,0,4)),IF($G219=1,_xlfn.XLOOKUP($BX219,Std_Cu1_Code,INDEX(Std_Cu1_Table,0,4)),_xlfn.XLOOKUP($BX219,Std_Cu3_Code,INDEX(Std_Cu3_Table,0,4)))),"")))</f>
        <v/>
      </c>
      <c r="CA219" s="829" t="str" cm="1">
        <f t="array" ref="CA219">IF($BP219="","",IF($BX219="",$BQ219,IFERROR(IF($BV219="AL",_xlfn.XLOOKUP($BX219,Std_Al3_Code,INDEX(Std_Al3_Table,0,3)),IF($G219=1,_xlfn.XLOOKUP($BX219,Std_Cu1_Code,INDEX(Std_Cu1_Table,0,3)),_xlfn.XLOOKUP($BX219,Std_Cu3_Code,INDEX(Std_Cu3_Table,0,3)))),"")))</f>
        <v/>
      </c>
      <c r="CB219" s="829" t="str" cm="1">
        <f t="array" ref="CB219">IF($BP219="","",IF($BX219="",$BS219,IFERROR(IF($BV219="AL",_xlfn.XLOOKUP($BX219,Std_Al3_Code,INDEX(Std_Al3_Table,0,5)),IF($G219=1,_xlfn.XLOOKUP($BX219,Std_Cu1_Code,INDEX(Std_Cu1_Table,0,5)),_xlfn.XLOOKUP($BX219,Std_Cu3_Code,INDEX(Std_Cu3_Table,0,5)))),"")))</f>
        <v/>
      </c>
      <c r="CC219" s="829" t="str">
        <f t="shared" si="73"/>
        <v/>
      </c>
      <c r="CD219" s="829" t="str">
        <f t="shared" si="74"/>
        <v/>
      </c>
      <c r="CE219" s="829" t="str">
        <f t="shared" si="75"/>
        <v/>
      </c>
      <c r="CF219" s="829" t="str">
        <f t="shared" si="76"/>
        <v/>
      </c>
      <c r="CG219" s="829" t="str">
        <f t="shared" si="77"/>
        <v/>
      </c>
      <c r="CH219" s="829" t="str">
        <f t="shared" si="78"/>
        <v/>
      </c>
      <c r="CI219" s="829" t="str">
        <f t="shared" si="79"/>
        <v/>
      </c>
      <c r="CJ219" s="829" t="str" cm="1">
        <f t="array" ref="CJ219">IF($B219="","",_xlfn.LET(_xlpm.to,$D219&amp;"",_xlpm.em,IFERROR(INDEX(_xlfn.ANCHORARRAY($BE$4),ROW()-4,6),"")="EMERG",_xlpm.pri,AND(NOT(_xlpm.em),LEFT(_xlpm.to,2)="T-",ISNUMBER(MATCH(MID(_xlpm.to,3,99),Equip_List,0)),ISNA(MATCH(_xlpm.to,Equip_List,0))),IF(_xlpm.pri,MID(_xlpm.to,3,99),_xlpm.to)))</f>
        <v/>
      </c>
      <c r="CK219" s="829" t="str" cm="1">
        <f t="array" ref="CK219">IF($CJ219="","",IF(IFERROR(INDEX(_xlfn.ANCHORARRAY($BE$4),ROW()-4,6),"")="EMERG","E",IF($CJ219&lt;&gt;$D219&amp;"","P","N")))</f>
        <v/>
      </c>
    </row>
    <row r="220" spans="1:89" ht="15" customHeight="1" x14ac:dyDescent="0.35">
      <c r="A220" s="821" t="str">
        <f t="shared" si="67"/>
        <v/>
      </c>
      <c r="B220" s="821" t="str" cm="1">
        <f t="array" ref="B220">IFERROR(IF(INDEX(_xlfn.ANCHORARRAY($BE$4),ROW()-4,2)="","","F-"&amp;INDEX(_xlfn.ANCHORARRAY($BE$4),ROW()-4,2)&amp;IF(IFERROR(INDEX(_xlfn.ANCHORARRAY($BE$4),ROW()-4,6),"")="EMERG","-E","")),"")</f>
        <v/>
      </c>
      <c r="C220" s="821" t="str" cm="1">
        <f t="array" ref="C220">IFERROR(IF($B220="","",INDEX(_xlfn.ANCHORARRAY($BE$4),ROW()-4,1)),"")</f>
        <v/>
      </c>
      <c r="D220" s="821" t="str" cm="1">
        <f t="array" ref="D220">IFERROR(IF($B220="","",INDEX(_xlfn.ANCHORARRAY($BE$4),ROW()-4,2)),"")</f>
        <v/>
      </c>
      <c r="E220" s="806" t="str" cm="1">
        <f t="array" ref="E220">IFERROR(IF($B220="","",INDEX(_xlfn.ANCHORARRAY($BE$4),ROW()-4,3)),"")</f>
        <v/>
      </c>
      <c r="F220" s="822" t="str" cm="1">
        <f t="array" ref="F220">IFERROR(IF($B220="","",INDEX(_xlfn.ANCHORARRAY($BE$4),ROW()-4,4)),"")</f>
        <v/>
      </c>
      <c r="G220" s="823" t="str" cm="1">
        <f t="array" ref="G220">IFERROR(IF($B220="","",INDEX(_xlfn.ANCHORARRAY($BE$4),ROW()-4,5)),"")</f>
        <v/>
      </c>
      <c r="H220" s="824" t="str" cm="1">
        <f t="array" ref="H220">IF($CJ220="","",_xlfn.LET(_xlpm.v,_xlfn.XLOOKUP($CJ220,Equip_List,IF($CK220="E",Equip_EmLen,IF($CK220="P",Equip_XfPriLen,Equip_FdrLen)),""),IF(_xlpm.v="","",_xlpm.v)))</f>
        <v/>
      </c>
      <c r="I220" s="806" t="str">
        <f t="shared" si="60"/>
        <v/>
      </c>
      <c r="J220" s="820"/>
      <c r="K220" s="806" t="str">
        <f>_xlfn.LET(_xlpm.k,IF($I220="","",IF(COUNTIF(UPS!$B$57:$B$64,$C220&amp;"")&gt;0,1.25*MAX($I220,N(_xlfn.XLOOKUP($C220&amp;"",UPS!$B$57:$B$64,UPS!$M$57:$M$64,0))),IF(COUNTIF(UPS!$B$57:$B$64,$D220&amp;"")&gt;0,1.25*MAX($I220,N(_xlfn.XLOOKUP($D220&amp;"",UPS!$B$57:$B$64,UPS!$Q$57:$Q$64,0))),$I220*IF(OR(UPPER($J220)="Y",LEFT($C220,2)="T-",LEFT($D220,2)="T-"),1.25,1)))),IF(_xlpm.k="","",MAX(_xlpm.k,N(IFERROR(_xlfn.XLOOKUP($D220&amp;"",Dashboard!$A$101:$A$350,Dashboard!$O$101:$O$350,0),0)))))</f>
        <v/>
      </c>
      <c r="L220" s="825" t="str">
        <f>IF($CJ220="","",_xlfn.LET(_xlpm.v,UPPER(TRIM(_xlfn.XLOOKUP($CJ220,Equip_List,Equip_FdrMat,"")&amp;"")),IF(_xlpm.v="",UPPER(TRIM(Cfg_FeederMat&amp;"")),_xlpm.v)))</f>
        <v/>
      </c>
      <c r="M220" s="825" t="str">
        <f>IF($CJ220="","",_xlfn.LET(_xlpm.v,TRIM(_xlfn.XLOOKUP($CJ220,Equip_List,Equip_FdrRace,"")&amp;""),IF(_xlpm.v="",Cfg_Conduit&amp;"",_xlpm.v)))</f>
        <v/>
      </c>
      <c r="N220" s="825" t="str">
        <f>IF($CJ220="","",IF(UPPER(TRIM(_xlfn.XLOOKUP($CJ220,Equip_List,Equip_FdrExist,"")&amp;""))="Y","Y",""))</f>
        <v/>
      </c>
      <c r="O220" s="823" t="str">
        <f t="shared" si="68"/>
        <v/>
      </c>
      <c r="P220" s="821" t="str">
        <f t="shared" si="69"/>
        <v/>
      </c>
      <c r="Q220" s="821" t="str">
        <f t="shared" si="70"/>
        <v/>
      </c>
      <c r="R220" s="822" t="str" cm="1">
        <f t="array" ref="R220">IF(K220="","",INDEX(OCPD_List,MATCH(TRUE,OCPD_List&gt;=K220,0)))</f>
        <v/>
      </c>
      <c r="S220" s="821" t="str">
        <f t="shared" si="71"/>
        <v/>
      </c>
      <c r="T220" s="826" t="str">
        <f t="shared" si="61"/>
        <v/>
      </c>
      <c r="U220" s="826" t="str">
        <f t="shared" si="62"/>
        <v/>
      </c>
      <c r="V220" s="827" t="str">
        <f t="shared" si="63"/>
        <v/>
      </c>
      <c r="W220" s="828"/>
      <c r="X220" s="819"/>
      <c r="Y220" s="820"/>
      <c r="Z220" s="820"/>
      <c r="AA220" s="820"/>
      <c r="BN220" s="832" t="str">
        <f>IF($B220="","",IFERROR(_xlfn.XLOOKUP($D220,Dashboard!$A$101:$A$350,Dashboard!$C$101:$C$350),""))</f>
        <v/>
      </c>
      <c r="BO220" s="832" t="str">
        <f t="shared" si="64"/>
        <v/>
      </c>
      <c r="BP220" s="832" t="str" cm="1">
        <f t="array" ref="BP220">IF(OR($B220="",$R220="",NOT(ISNUMBER($R220))),"",IF(AND($BV220="AL",$G220=1),"",_xlfn.LET(_xlpm.codes,IF($BV220="AL",Std_Al3_Code,IF($G220=1,Std_Cu1_Code,Std_Cu3_Code)),_xlpm.amps,IFERROR(--SUBSTITUTE(_xlpm.codes&amp;"","N",""),""),_xlpm.a,MIN(IF(ISNUMBER(_xlpm.amps),IF(_xlpm.amps&gt;=$R220,_xlpm.amps,""),"")),_xlpm.k,IF(_xlpm.a=0,$R220,_xlpm.a),IF($BO220="Y",TEXT(_xlpm.k,"0")&amp;"N",_xlpm.k))))</f>
        <v/>
      </c>
      <c r="BQ220" s="832" t="str" cm="1">
        <f t="array" ref="BQ220">IF($BP220="","",IFERROR(IF($BV220="AL",_xlfn.XLOOKUP($BP220,Std_Al3_Code,INDEX(Std_Al3_Table,0,3)),IF($G220=1,_xlfn.XLOOKUP($BP220,Std_Cu1_Code,INDEX(Std_Cu1_Table,0,3)),_xlfn.XLOOKUP($BP220,Std_Cu3_Code,INDEX(Std_Cu3_Table,0,3)))),""))</f>
        <v/>
      </c>
      <c r="BR220" s="832" t="str" cm="1">
        <f t="array" ref="BR220">IF($BP220="","",IFERROR(IF($BV220="AL",_xlfn.XLOOKUP($BP220,Std_Al3_Code,INDEX(Std_Al3_Table,0,4)),IF($G220=1,_xlfn.XLOOKUP($BP220,Std_Cu1_Code,INDEX(Std_Cu1_Table,0,4)),_xlfn.XLOOKUP($BP220,Std_Cu3_Code,INDEX(Std_Cu3_Table,0,4)))),""))</f>
        <v/>
      </c>
      <c r="BS220" s="832" t="str" cm="1">
        <f t="array" ref="BS220">IF($BP220="","",IFERROR(IF($BV220="AL",_xlfn.XLOOKUP($BP220,Std_Al3_Code,INDEX(Std_Al3_Table,0,5)),IF($G220=1,_xlfn.XLOOKUP($BP220,Std_Cu1_Code,INDEX(Std_Cu1_Table,0,5)),_xlfn.XLOOKUP($BP220,Std_Cu3_Code,INDEX(Std_Cu3_Table,0,5)))),""))</f>
        <v/>
      </c>
      <c r="BT220" s="832" t="str">
        <f t="shared" si="65"/>
        <v/>
      </c>
      <c r="BU220" s="832" t="str" cm="1">
        <f t="array" ref="BU220">IF($BP220="","",IFERROR(IF($BV220="AL",_xlfn.XLOOKUP($BP220,Std_Al3_Code,INDEX(Std_Al3_Table,0,2)),IF($G220=1,_xlfn.XLOOKUP($BP220,Std_Cu1_Code,INDEX(Std_Cu1_Table,0,2)),_xlfn.XLOOKUP($BP220,Std_Cu3_Code,INDEX(Std_Cu3_Table,0,2)))),""))</f>
        <v/>
      </c>
      <c r="BV220" s="829" t="str">
        <f t="shared" si="66"/>
        <v/>
      </c>
      <c r="BW220" s="829" t="str">
        <f t="shared" si="72"/>
        <v/>
      </c>
      <c r="BX220" s="829" t="str" cm="1">
        <f t="array" ref="BX220">IF(OR($BP220="",$H220="",$I220="",$F220="",$BW220=""),"",IFERROR(_xlfn.LET(_xlpm.codes,IF($BV220="AL",Std_Al3_Code,IF($G220=1,Std_Cu1_Code,Std_Cu3_Code)),_xlpm.tbl,IF($BV220="AL",Std_Al3_Table,IF($G220=1,Std_Cu1_Table,Std_Cu3_Table)),_xlpm.i,MATCH($BP220,_xlpm.codes,0),_xlpm.idx,_xlfn.SEQUENCE(ROWS(_xlpm.codes)),_xlpm.cnd,INDEX(_xlpm.tbl,0,4),_xlpm.sts,INDEX(_xlpm.tbl,0,2),_xlpm.sz,IFERROR(_xlfn.TEXTBEFORE(_xlfn.TEXTAFTER(_xlpm.cnd,"#"),","),IFERROR(_xlfn.TEXTAFTER(_xlpm.cnd,"#"),"")),_xlpm.cm,IFERROR(_xlfn.XLOOKUP(TRIM(_xlpm.sz),Ampacity_Size,Ampacity_CM),0),_xlpm.mult,IF($G220=3,SQRT3,2),_xlpm.kk,IF($BV220="AL",K_Al,K_Cu),_xlpm.vd,IF(_xlpm.cm*IF(ISNUMBER(_xlpm.sts),_xlpm.sts,0)=0,9,_xlpm.mult*_xlpm.kk*$I220*$H220/(_xlpm.cm*_xlpm.sts)/$F220),_xlpm.hasN,--(RIGHT(_xlpm.codes&amp;"",1)="N"),_xlpm.wantN,--(RIGHT($BP220&amp;"",1)="N"),_xlpm.ok,(_xlpm.idx&gt;=_xlpm.i)*(_xlpm.vd&lt;=Cfg_VDFeeder)*(_xlpm.cm&gt;0)*ISNUMBER(_xlpm.sts)*(_xlpm.hasN=_xlpm.wantN),_xlpm.m,MIN(IF(_xlpm.ok=1,_xlpm.idx)),INDEX(_xlpm.codes,IF(_xlpm.m=0,_xlpm.i,_xlpm.m))),""))</f>
        <v/>
      </c>
      <c r="BY220" s="829" t="str" cm="1">
        <f t="array" ref="BY220">IF($BP220="","",IF($BX220="",$BU220,IFERROR(IF($BV220="AL",_xlfn.XLOOKUP($BX220,Std_Al3_Code,INDEX(Std_Al3_Table,0,2)),IF($G220=1,_xlfn.XLOOKUP($BX220,Std_Cu1_Code,INDEX(Std_Cu1_Table,0,2)),_xlfn.XLOOKUP($BX220,Std_Cu3_Code,INDEX(Std_Cu3_Table,0,2)))),"")))</f>
        <v/>
      </c>
      <c r="BZ220" s="829" t="str" cm="1">
        <f t="array" ref="BZ220">IF($BP220="","",IF($BX220="",$BR220,IFERROR(IF($BV220="AL",_xlfn.XLOOKUP($BX220,Std_Al3_Code,INDEX(Std_Al3_Table,0,4)),IF($G220=1,_xlfn.XLOOKUP($BX220,Std_Cu1_Code,INDEX(Std_Cu1_Table,0,4)),_xlfn.XLOOKUP($BX220,Std_Cu3_Code,INDEX(Std_Cu3_Table,0,4)))),"")))</f>
        <v/>
      </c>
      <c r="CA220" s="829" t="str" cm="1">
        <f t="array" ref="CA220">IF($BP220="","",IF($BX220="",$BQ220,IFERROR(IF($BV220="AL",_xlfn.XLOOKUP($BX220,Std_Al3_Code,INDEX(Std_Al3_Table,0,3)),IF($G220=1,_xlfn.XLOOKUP($BX220,Std_Cu1_Code,INDEX(Std_Cu1_Table,0,3)),_xlfn.XLOOKUP($BX220,Std_Cu3_Code,INDEX(Std_Cu3_Table,0,3)))),"")))</f>
        <v/>
      </c>
      <c r="CB220" s="829" t="str" cm="1">
        <f t="array" ref="CB220">IF($BP220="","",IF($BX220="",$BS220,IFERROR(IF($BV220="AL",_xlfn.XLOOKUP($BX220,Std_Al3_Code,INDEX(Std_Al3_Table,0,5)),IF($G220=1,_xlfn.XLOOKUP($BX220,Std_Cu1_Code,INDEX(Std_Cu1_Table,0,5)),_xlfn.XLOOKUP($BX220,Std_Cu3_Code,INDEX(Std_Cu3_Table,0,5)))),"")))</f>
        <v/>
      </c>
      <c r="CC220" s="829" t="str">
        <f t="shared" si="73"/>
        <v/>
      </c>
      <c r="CD220" s="829" t="str">
        <f t="shared" si="74"/>
        <v/>
      </c>
      <c r="CE220" s="829" t="str">
        <f t="shared" si="75"/>
        <v/>
      </c>
      <c r="CF220" s="829" t="str">
        <f t="shared" si="76"/>
        <v/>
      </c>
      <c r="CG220" s="829" t="str">
        <f t="shared" si="77"/>
        <v/>
      </c>
      <c r="CH220" s="829" t="str">
        <f t="shared" si="78"/>
        <v/>
      </c>
      <c r="CI220" s="829" t="str">
        <f t="shared" si="79"/>
        <v/>
      </c>
      <c r="CJ220" s="829" t="str" cm="1">
        <f t="array" ref="CJ220">IF($B220="","",_xlfn.LET(_xlpm.to,$D220&amp;"",_xlpm.em,IFERROR(INDEX(_xlfn.ANCHORARRAY($BE$4),ROW()-4,6),"")="EMERG",_xlpm.pri,AND(NOT(_xlpm.em),LEFT(_xlpm.to,2)="T-",ISNUMBER(MATCH(MID(_xlpm.to,3,99),Equip_List,0)),ISNA(MATCH(_xlpm.to,Equip_List,0))),IF(_xlpm.pri,MID(_xlpm.to,3,99),_xlpm.to)))</f>
        <v/>
      </c>
      <c r="CK220" s="829" t="str" cm="1">
        <f t="array" ref="CK220">IF($CJ220="","",IF(IFERROR(INDEX(_xlfn.ANCHORARRAY($BE$4),ROW()-4,6),"")="EMERG","E",IF($CJ220&lt;&gt;$D220&amp;"","P","N")))</f>
        <v/>
      </c>
    </row>
    <row r="221" spans="1:89" ht="15" customHeight="1" x14ac:dyDescent="0.35">
      <c r="A221" s="821" t="str">
        <f t="shared" si="67"/>
        <v/>
      </c>
      <c r="B221" s="821" t="str" cm="1">
        <f t="array" ref="B221">IFERROR(IF(INDEX(_xlfn.ANCHORARRAY($BE$4),ROW()-4,2)="","","F-"&amp;INDEX(_xlfn.ANCHORARRAY($BE$4),ROW()-4,2)&amp;IF(IFERROR(INDEX(_xlfn.ANCHORARRAY($BE$4),ROW()-4,6),"")="EMERG","-E","")),"")</f>
        <v/>
      </c>
      <c r="C221" s="821" t="str" cm="1">
        <f t="array" ref="C221">IFERROR(IF($B221="","",INDEX(_xlfn.ANCHORARRAY($BE$4),ROW()-4,1)),"")</f>
        <v/>
      </c>
      <c r="D221" s="821" t="str" cm="1">
        <f t="array" ref="D221">IFERROR(IF($B221="","",INDEX(_xlfn.ANCHORARRAY($BE$4),ROW()-4,2)),"")</f>
        <v/>
      </c>
      <c r="E221" s="806" t="str" cm="1">
        <f t="array" ref="E221">IFERROR(IF($B221="","",INDEX(_xlfn.ANCHORARRAY($BE$4),ROW()-4,3)),"")</f>
        <v/>
      </c>
      <c r="F221" s="822" t="str" cm="1">
        <f t="array" ref="F221">IFERROR(IF($B221="","",INDEX(_xlfn.ANCHORARRAY($BE$4),ROW()-4,4)),"")</f>
        <v/>
      </c>
      <c r="G221" s="823" t="str" cm="1">
        <f t="array" ref="G221">IFERROR(IF($B221="","",INDEX(_xlfn.ANCHORARRAY($BE$4),ROW()-4,5)),"")</f>
        <v/>
      </c>
      <c r="H221" s="824" t="str" cm="1">
        <f t="array" ref="H221">IF($CJ221="","",_xlfn.LET(_xlpm.v,_xlfn.XLOOKUP($CJ221,Equip_List,IF($CK221="E",Equip_EmLen,IF($CK221="P",Equip_XfPriLen,Equip_FdrLen)),""),IF(_xlpm.v="","",_xlpm.v)))</f>
        <v/>
      </c>
      <c r="I221" s="806" t="str">
        <f t="shared" si="60"/>
        <v/>
      </c>
      <c r="J221" s="820"/>
      <c r="K221" s="806" t="str">
        <f>_xlfn.LET(_xlpm.k,IF($I221="","",IF(COUNTIF(UPS!$B$57:$B$64,$C221&amp;"")&gt;0,1.25*MAX($I221,N(_xlfn.XLOOKUP($C221&amp;"",UPS!$B$57:$B$64,UPS!$M$57:$M$64,0))),IF(COUNTIF(UPS!$B$57:$B$64,$D221&amp;"")&gt;0,1.25*MAX($I221,N(_xlfn.XLOOKUP($D221&amp;"",UPS!$B$57:$B$64,UPS!$Q$57:$Q$64,0))),$I221*IF(OR(UPPER($J221)="Y",LEFT($C221,2)="T-",LEFT($D221,2)="T-"),1.25,1)))),IF(_xlpm.k="","",MAX(_xlpm.k,N(IFERROR(_xlfn.XLOOKUP($D221&amp;"",Dashboard!$A$101:$A$350,Dashboard!$O$101:$O$350,0),0)))))</f>
        <v/>
      </c>
      <c r="L221" s="825" t="str">
        <f>IF($CJ221="","",_xlfn.LET(_xlpm.v,UPPER(TRIM(_xlfn.XLOOKUP($CJ221,Equip_List,Equip_FdrMat,"")&amp;"")),IF(_xlpm.v="",UPPER(TRIM(Cfg_FeederMat&amp;"")),_xlpm.v)))</f>
        <v/>
      </c>
      <c r="M221" s="825" t="str">
        <f>IF($CJ221="","",_xlfn.LET(_xlpm.v,TRIM(_xlfn.XLOOKUP($CJ221,Equip_List,Equip_FdrRace,"")&amp;""),IF(_xlpm.v="",Cfg_Conduit&amp;"",_xlpm.v)))</f>
        <v/>
      </c>
      <c r="N221" s="825" t="str">
        <f>IF($CJ221="","",IF(UPPER(TRIM(_xlfn.XLOOKUP($CJ221,Equip_List,Equip_FdrExist,"")&amp;""))="Y","Y",""))</f>
        <v/>
      </c>
      <c r="O221" s="823" t="str">
        <f t="shared" si="68"/>
        <v/>
      </c>
      <c r="P221" s="821" t="str">
        <f t="shared" si="69"/>
        <v/>
      </c>
      <c r="Q221" s="821" t="str">
        <f t="shared" si="70"/>
        <v/>
      </c>
      <c r="R221" s="822" t="str" cm="1">
        <f t="array" ref="R221">IF(K221="","",INDEX(OCPD_List,MATCH(TRUE,OCPD_List&gt;=K221,0)))</f>
        <v/>
      </c>
      <c r="S221" s="821" t="str">
        <f t="shared" si="71"/>
        <v/>
      </c>
      <c r="T221" s="826" t="str">
        <f t="shared" si="61"/>
        <v/>
      </c>
      <c r="U221" s="826" t="str">
        <f t="shared" si="62"/>
        <v/>
      </c>
      <c r="V221" s="827" t="str">
        <f t="shared" si="63"/>
        <v/>
      </c>
      <c r="W221" s="828"/>
      <c r="X221" s="819"/>
      <c r="Y221" s="820"/>
      <c r="Z221" s="820"/>
      <c r="AA221" s="820"/>
      <c r="BN221" s="832" t="str">
        <f>IF($B221="","",IFERROR(_xlfn.XLOOKUP($D221,Dashboard!$A$101:$A$350,Dashboard!$C$101:$C$350),""))</f>
        <v/>
      </c>
      <c r="BO221" s="832" t="str">
        <f t="shared" si="64"/>
        <v/>
      </c>
      <c r="BP221" s="832" t="str" cm="1">
        <f t="array" ref="BP221">IF(OR($B221="",$R221="",NOT(ISNUMBER($R221))),"",IF(AND($BV221="AL",$G221=1),"",_xlfn.LET(_xlpm.codes,IF($BV221="AL",Std_Al3_Code,IF($G221=1,Std_Cu1_Code,Std_Cu3_Code)),_xlpm.amps,IFERROR(--SUBSTITUTE(_xlpm.codes&amp;"","N",""),""),_xlpm.a,MIN(IF(ISNUMBER(_xlpm.amps),IF(_xlpm.amps&gt;=$R221,_xlpm.amps,""),"")),_xlpm.k,IF(_xlpm.a=0,$R221,_xlpm.a),IF($BO221="Y",TEXT(_xlpm.k,"0")&amp;"N",_xlpm.k))))</f>
        <v/>
      </c>
      <c r="BQ221" s="832" t="str" cm="1">
        <f t="array" ref="BQ221">IF($BP221="","",IFERROR(IF($BV221="AL",_xlfn.XLOOKUP($BP221,Std_Al3_Code,INDEX(Std_Al3_Table,0,3)),IF($G221=1,_xlfn.XLOOKUP($BP221,Std_Cu1_Code,INDEX(Std_Cu1_Table,0,3)),_xlfn.XLOOKUP($BP221,Std_Cu3_Code,INDEX(Std_Cu3_Table,0,3)))),""))</f>
        <v/>
      </c>
      <c r="BR221" s="832" t="str" cm="1">
        <f t="array" ref="BR221">IF($BP221="","",IFERROR(IF($BV221="AL",_xlfn.XLOOKUP($BP221,Std_Al3_Code,INDEX(Std_Al3_Table,0,4)),IF($G221=1,_xlfn.XLOOKUP($BP221,Std_Cu1_Code,INDEX(Std_Cu1_Table,0,4)),_xlfn.XLOOKUP($BP221,Std_Cu3_Code,INDEX(Std_Cu3_Table,0,4)))),""))</f>
        <v/>
      </c>
      <c r="BS221" s="832" t="str" cm="1">
        <f t="array" ref="BS221">IF($BP221="","",IFERROR(IF($BV221="AL",_xlfn.XLOOKUP($BP221,Std_Al3_Code,INDEX(Std_Al3_Table,0,5)),IF($G221=1,_xlfn.XLOOKUP($BP221,Std_Cu1_Code,INDEX(Std_Cu1_Table,0,5)),_xlfn.XLOOKUP($BP221,Std_Cu3_Code,INDEX(Std_Cu3_Table,0,5)))),""))</f>
        <v/>
      </c>
      <c r="BT221" s="832" t="str">
        <f t="shared" si="65"/>
        <v/>
      </c>
      <c r="BU221" s="832" t="str" cm="1">
        <f t="array" ref="BU221">IF($BP221="","",IFERROR(IF($BV221="AL",_xlfn.XLOOKUP($BP221,Std_Al3_Code,INDEX(Std_Al3_Table,0,2)),IF($G221=1,_xlfn.XLOOKUP($BP221,Std_Cu1_Code,INDEX(Std_Cu1_Table,0,2)),_xlfn.XLOOKUP($BP221,Std_Cu3_Code,INDEX(Std_Cu3_Table,0,2)))),""))</f>
        <v/>
      </c>
      <c r="BV221" s="829" t="str">
        <f t="shared" si="66"/>
        <v/>
      </c>
      <c r="BW221" s="829" t="str">
        <f t="shared" si="72"/>
        <v/>
      </c>
      <c r="BX221" s="829" t="str" cm="1">
        <f t="array" ref="BX221">IF(OR($BP221="",$H221="",$I221="",$F221="",$BW221=""),"",IFERROR(_xlfn.LET(_xlpm.codes,IF($BV221="AL",Std_Al3_Code,IF($G221=1,Std_Cu1_Code,Std_Cu3_Code)),_xlpm.tbl,IF($BV221="AL",Std_Al3_Table,IF($G221=1,Std_Cu1_Table,Std_Cu3_Table)),_xlpm.i,MATCH($BP221,_xlpm.codes,0),_xlpm.idx,_xlfn.SEQUENCE(ROWS(_xlpm.codes)),_xlpm.cnd,INDEX(_xlpm.tbl,0,4),_xlpm.sts,INDEX(_xlpm.tbl,0,2),_xlpm.sz,IFERROR(_xlfn.TEXTBEFORE(_xlfn.TEXTAFTER(_xlpm.cnd,"#"),","),IFERROR(_xlfn.TEXTAFTER(_xlpm.cnd,"#"),"")),_xlpm.cm,IFERROR(_xlfn.XLOOKUP(TRIM(_xlpm.sz),Ampacity_Size,Ampacity_CM),0),_xlpm.mult,IF($G221=3,SQRT3,2),_xlpm.kk,IF($BV221="AL",K_Al,K_Cu),_xlpm.vd,IF(_xlpm.cm*IF(ISNUMBER(_xlpm.sts),_xlpm.sts,0)=0,9,_xlpm.mult*_xlpm.kk*$I221*$H221/(_xlpm.cm*_xlpm.sts)/$F221),_xlpm.hasN,--(RIGHT(_xlpm.codes&amp;"",1)="N"),_xlpm.wantN,--(RIGHT($BP221&amp;"",1)="N"),_xlpm.ok,(_xlpm.idx&gt;=_xlpm.i)*(_xlpm.vd&lt;=Cfg_VDFeeder)*(_xlpm.cm&gt;0)*ISNUMBER(_xlpm.sts)*(_xlpm.hasN=_xlpm.wantN),_xlpm.m,MIN(IF(_xlpm.ok=1,_xlpm.idx)),INDEX(_xlpm.codes,IF(_xlpm.m=0,_xlpm.i,_xlpm.m))),""))</f>
        <v/>
      </c>
      <c r="BY221" s="829" t="str" cm="1">
        <f t="array" ref="BY221">IF($BP221="","",IF($BX221="",$BU221,IFERROR(IF($BV221="AL",_xlfn.XLOOKUP($BX221,Std_Al3_Code,INDEX(Std_Al3_Table,0,2)),IF($G221=1,_xlfn.XLOOKUP($BX221,Std_Cu1_Code,INDEX(Std_Cu1_Table,0,2)),_xlfn.XLOOKUP($BX221,Std_Cu3_Code,INDEX(Std_Cu3_Table,0,2)))),"")))</f>
        <v/>
      </c>
      <c r="BZ221" s="829" t="str" cm="1">
        <f t="array" ref="BZ221">IF($BP221="","",IF($BX221="",$BR221,IFERROR(IF($BV221="AL",_xlfn.XLOOKUP($BX221,Std_Al3_Code,INDEX(Std_Al3_Table,0,4)),IF($G221=1,_xlfn.XLOOKUP($BX221,Std_Cu1_Code,INDEX(Std_Cu1_Table,0,4)),_xlfn.XLOOKUP($BX221,Std_Cu3_Code,INDEX(Std_Cu3_Table,0,4)))),"")))</f>
        <v/>
      </c>
      <c r="CA221" s="829" t="str" cm="1">
        <f t="array" ref="CA221">IF($BP221="","",IF($BX221="",$BQ221,IFERROR(IF($BV221="AL",_xlfn.XLOOKUP($BX221,Std_Al3_Code,INDEX(Std_Al3_Table,0,3)),IF($G221=1,_xlfn.XLOOKUP($BX221,Std_Cu1_Code,INDEX(Std_Cu1_Table,0,3)),_xlfn.XLOOKUP($BX221,Std_Cu3_Code,INDEX(Std_Cu3_Table,0,3)))),"")))</f>
        <v/>
      </c>
      <c r="CB221" s="829" t="str" cm="1">
        <f t="array" ref="CB221">IF($BP221="","",IF($BX221="",$BS221,IFERROR(IF($BV221="AL",_xlfn.XLOOKUP($BX221,Std_Al3_Code,INDEX(Std_Al3_Table,0,5)),IF($G221=1,_xlfn.XLOOKUP($BX221,Std_Cu1_Code,INDEX(Std_Cu1_Table,0,5)),_xlfn.XLOOKUP($BX221,Std_Cu3_Code,INDEX(Std_Cu3_Table,0,5)))),"")))</f>
        <v/>
      </c>
      <c r="CC221" s="829" t="str">
        <f t="shared" si="73"/>
        <v/>
      </c>
      <c r="CD221" s="829" t="str">
        <f t="shared" si="74"/>
        <v/>
      </c>
      <c r="CE221" s="829" t="str">
        <f t="shared" si="75"/>
        <v/>
      </c>
      <c r="CF221" s="829" t="str">
        <f t="shared" si="76"/>
        <v/>
      </c>
      <c r="CG221" s="829" t="str">
        <f t="shared" si="77"/>
        <v/>
      </c>
      <c r="CH221" s="829" t="str">
        <f t="shared" si="78"/>
        <v/>
      </c>
      <c r="CI221" s="829" t="str">
        <f t="shared" si="79"/>
        <v/>
      </c>
      <c r="CJ221" s="829" t="str" cm="1">
        <f t="array" ref="CJ221">IF($B221="","",_xlfn.LET(_xlpm.to,$D221&amp;"",_xlpm.em,IFERROR(INDEX(_xlfn.ANCHORARRAY($BE$4),ROW()-4,6),"")="EMERG",_xlpm.pri,AND(NOT(_xlpm.em),LEFT(_xlpm.to,2)="T-",ISNUMBER(MATCH(MID(_xlpm.to,3,99),Equip_List,0)),ISNA(MATCH(_xlpm.to,Equip_List,0))),IF(_xlpm.pri,MID(_xlpm.to,3,99),_xlpm.to)))</f>
        <v/>
      </c>
      <c r="CK221" s="829" t="str" cm="1">
        <f t="array" ref="CK221">IF($CJ221="","",IF(IFERROR(INDEX(_xlfn.ANCHORARRAY($BE$4),ROW()-4,6),"")="EMERG","E",IF($CJ221&lt;&gt;$D221&amp;"","P","N")))</f>
        <v/>
      </c>
    </row>
    <row r="222" spans="1:89" ht="15" customHeight="1" x14ac:dyDescent="0.35">
      <c r="A222" s="821" t="str">
        <f t="shared" si="67"/>
        <v/>
      </c>
      <c r="B222" s="821" t="str" cm="1">
        <f t="array" ref="B222">IFERROR(IF(INDEX(_xlfn.ANCHORARRAY($BE$4),ROW()-4,2)="","","F-"&amp;INDEX(_xlfn.ANCHORARRAY($BE$4),ROW()-4,2)&amp;IF(IFERROR(INDEX(_xlfn.ANCHORARRAY($BE$4),ROW()-4,6),"")="EMERG","-E","")),"")</f>
        <v/>
      </c>
      <c r="C222" s="821" t="str" cm="1">
        <f t="array" ref="C222">IFERROR(IF($B222="","",INDEX(_xlfn.ANCHORARRAY($BE$4),ROW()-4,1)),"")</f>
        <v/>
      </c>
      <c r="D222" s="821" t="str" cm="1">
        <f t="array" ref="D222">IFERROR(IF($B222="","",INDEX(_xlfn.ANCHORARRAY($BE$4),ROW()-4,2)),"")</f>
        <v/>
      </c>
      <c r="E222" s="806" t="str" cm="1">
        <f t="array" ref="E222">IFERROR(IF($B222="","",INDEX(_xlfn.ANCHORARRAY($BE$4),ROW()-4,3)),"")</f>
        <v/>
      </c>
      <c r="F222" s="822" t="str" cm="1">
        <f t="array" ref="F222">IFERROR(IF($B222="","",INDEX(_xlfn.ANCHORARRAY($BE$4),ROW()-4,4)),"")</f>
        <v/>
      </c>
      <c r="G222" s="823" t="str" cm="1">
        <f t="array" ref="G222">IFERROR(IF($B222="","",INDEX(_xlfn.ANCHORARRAY($BE$4),ROW()-4,5)),"")</f>
        <v/>
      </c>
      <c r="H222" s="824" t="str" cm="1">
        <f t="array" ref="H222">IF($CJ222="","",_xlfn.LET(_xlpm.v,_xlfn.XLOOKUP($CJ222,Equip_List,IF($CK222="E",Equip_EmLen,IF($CK222="P",Equip_XfPriLen,Equip_FdrLen)),""),IF(_xlpm.v="","",_xlpm.v)))</f>
        <v/>
      </c>
      <c r="I222" s="806" t="str">
        <f t="shared" si="60"/>
        <v/>
      </c>
      <c r="J222" s="820"/>
      <c r="K222" s="806" t="str">
        <f>_xlfn.LET(_xlpm.k,IF($I222="","",IF(COUNTIF(UPS!$B$57:$B$64,$C222&amp;"")&gt;0,1.25*MAX($I222,N(_xlfn.XLOOKUP($C222&amp;"",UPS!$B$57:$B$64,UPS!$M$57:$M$64,0))),IF(COUNTIF(UPS!$B$57:$B$64,$D222&amp;"")&gt;0,1.25*MAX($I222,N(_xlfn.XLOOKUP($D222&amp;"",UPS!$B$57:$B$64,UPS!$Q$57:$Q$64,0))),$I222*IF(OR(UPPER($J222)="Y",LEFT($C222,2)="T-",LEFT($D222,2)="T-"),1.25,1)))),IF(_xlpm.k="","",MAX(_xlpm.k,N(IFERROR(_xlfn.XLOOKUP($D222&amp;"",Dashboard!$A$101:$A$350,Dashboard!$O$101:$O$350,0),0)))))</f>
        <v/>
      </c>
      <c r="L222" s="825" t="str">
        <f>IF($CJ222="","",_xlfn.LET(_xlpm.v,UPPER(TRIM(_xlfn.XLOOKUP($CJ222,Equip_List,Equip_FdrMat,"")&amp;"")),IF(_xlpm.v="",UPPER(TRIM(Cfg_FeederMat&amp;"")),_xlpm.v)))</f>
        <v/>
      </c>
      <c r="M222" s="825" t="str">
        <f>IF($CJ222="","",_xlfn.LET(_xlpm.v,TRIM(_xlfn.XLOOKUP($CJ222,Equip_List,Equip_FdrRace,"")&amp;""),IF(_xlpm.v="",Cfg_Conduit&amp;"",_xlpm.v)))</f>
        <v/>
      </c>
      <c r="N222" s="825" t="str">
        <f>IF($CJ222="","",IF(UPPER(TRIM(_xlfn.XLOOKUP($CJ222,Equip_List,Equip_FdrExist,"")&amp;""))="Y","Y",""))</f>
        <v/>
      </c>
      <c r="O222" s="823" t="str">
        <f t="shared" si="68"/>
        <v/>
      </c>
      <c r="P222" s="821" t="str">
        <f t="shared" si="69"/>
        <v/>
      </c>
      <c r="Q222" s="821" t="str">
        <f t="shared" si="70"/>
        <v/>
      </c>
      <c r="R222" s="822" t="str" cm="1">
        <f t="array" ref="R222">IF(K222="","",INDEX(OCPD_List,MATCH(TRUE,OCPD_List&gt;=K222,0)))</f>
        <v/>
      </c>
      <c r="S222" s="821" t="str">
        <f t="shared" si="71"/>
        <v/>
      </c>
      <c r="T222" s="826" t="str">
        <f t="shared" si="61"/>
        <v/>
      </c>
      <c r="U222" s="826" t="str">
        <f t="shared" si="62"/>
        <v/>
      </c>
      <c r="V222" s="827" t="str">
        <f t="shared" si="63"/>
        <v/>
      </c>
      <c r="W222" s="828"/>
      <c r="X222" s="819"/>
      <c r="Y222" s="820"/>
      <c r="Z222" s="820"/>
      <c r="AA222" s="820"/>
      <c r="BN222" s="832" t="str">
        <f>IF($B222="","",IFERROR(_xlfn.XLOOKUP($D222,Dashboard!$A$101:$A$350,Dashboard!$C$101:$C$350),""))</f>
        <v/>
      </c>
      <c r="BO222" s="832" t="str">
        <f t="shared" si="64"/>
        <v/>
      </c>
      <c r="BP222" s="832" t="str" cm="1">
        <f t="array" ref="BP222">IF(OR($B222="",$R222="",NOT(ISNUMBER($R222))),"",IF(AND($BV222="AL",$G222=1),"",_xlfn.LET(_xlpm.codes,IF($BV222="AL",Std_Al3_Code,IF($G222=1,Std_Cu1_Code,Std_Cu3_Code)),_xlpm.amps,IFERROR(--SUBSTITUTE(_xlpm.codes&amp;"","N",""),""),_xlpm.a,MIN(IF(ISNUMBER(_xlpm.amps),IF(_xlpm.amps&gt;=$R222,_xlpm.amps,""),"")),_xlpm.k,IF(_xlpm.a=0,$R222,_xlpm.a),IF($BO222="Y",TEXT(_xlpm.k,"0")&amp;"N",_xlpm.k))))</f>
        <v/>
      </c>
      <c r="BQ222" s="832" t="str" cm="1">
        <f t="array" ref="BQ222">IF($BP222="","",IFERROR(IF($BV222="AL",_xlfn.XLOOKUP($BP222,Std_Al3_Code,INDEX(Std_Al3_Table,0,3)),IF($G222=1,_xlfn.XLOOKUP($BP222,Std_Cu1_Code,INDEX(Std_Cu1_Table,0,3)),_xlfn.XLOOKUP($BP222,Std_Cu3_Code,INDEX(Std_Cu3_Table,0,3)))),""))</f>
        <v/>
      </c>
      <c r="BR222" s="832" t="str" cm="1">
        <f t="array" ref="BR222">IF($BP222="","",IFERROR(IF($BV222="AL",_xlfn.XLOOKUP($BP222,Std_Al3_Code,INDEX(Std_Al3_Table,0,4)),IF($G222=1,_xlfn.XLOOKUP($BP222,Std_Cu1_Code,INDEX(Std_Cu1_Table,0,4)),_xlfn.XLOOKUP($BP222,Std_Cu3_Code,INDEX(Std_Cu3_Table,0,4)))),""))</f>
        <v/>
      </c>
      <c r="BS222" s="832" t="str" cm="1">
        <f t="array" ref="BS222">IF($BP222="","",IFERROR(IF($BV222="AL",_xlfn.XLOOKUP($BP222,Std_Al3_Code,INDEX(Std_Al3_Table,0,5)),IF($G222=1,_xlfn.XLOOKUP($BP222,Std_Cu1_Code,INDEX(Std_Cu1_Table,0,5)),_xlfn.XLOOKUP($BP222,Std_Cu3_Code,INDEX(Std_Cu3_Table,0,5)))),""))</f>
        <v/>
      </c>
      <c r="BT222" s="832" t="str">
        <f t="shared" si="65"/>
        <v/>
      </c>
      <c r="BU222" s="832" t="str" cm="1">
        <f t="array" ref="BU222">IF($BP222="","",IFERROR(IF($BV222="AL",_xlfn.XLOOKUP($BP222,Std_Al3_Code,INDEX(Std_Al3_Table,0,2)),IF($G222=1,_xlfn.XLOOKUP($BP222,Std_Cu1_Code,INDEX(Std_Cu1_Table,0,2)),_xlfn.XLOOKUP($BP222,Std_Cu3_Code,INDEX(Std_Cu3_Table,0,2)))),""))</f>
        <v/>
      </c>
      <c r="BV222" s="829" t="str">
        <f t="shared" si="66"/>
        <v/>
      </c>
      <c r="BW222" s="829" t="str">
        <f t="shared" si="72"/>
        <v/>
      </c>
      <c r="BX222" s="829" t="str" cm="1">
        <f t="array" ref="BX222">IF(OR($BP222="",$H222="",$I222="",$F222="",$BW222=""),"",IFERROR(_xlfn.LET(_xlpm.codes,IF($BV222="AL",Std_Al3_Code,IF($G222=1,Std_Cu1_Code,Std_Cu3_Code)),_xlpm.tbl,IF($BV222="AL",Std_Al3_Table,IF($G222=1,Std_Cu1_Table,Std_Cu3_Table)),_xlpm.i,MATCH($BP222,_xlpm.codes,0),_xlpm.idx,_xlfn.SEQUENCE(ROWS(_xlpm.codes)),_xlpm.cnd,INDEX(_xlpm.tbl,0,4),_xlpm.sts,INDEX(_xlpm.tbl,0,2),_xlpm.sz,IFERROR(_xlfn.TEXTBEFORE(_xlfn.TEXTAFTER(_xlpm.cnd,"#"),","),IFERROR(_xlfn.TEXTAFTER(_xlpm.cnd,"#"),"")),_xlpm.cm,IFERROR(_xlfn.XLOOKUP(TRIM(_xlpm.sz),Ampacity_Size,Ampacity_CM),0),_xlpm.mult,IF($G222=3,SQRT3,2),_xlpm.kk,IF($BV222="AL",K_Al,K_Cu),_xlpm.vd,IF(_xlpm.cm*IF(ISNUMBER(_xlpm.sts),_xlpm.sts,0)=0,9,_xlpm.mult*_xlpm.kk*$I222*$H222/(_xlpm.cm*_xlpm.sts)/$F222),_xlpm.hasN,--(RIGHT(_xlpm.codes&amp;"",1)="N"),_xlpm.wantN,--(RIGHT($BP222&amp;"",1)="N"),_xlpm.ok,(_xlpm.idx&gt;=_xlpm.i)*(_xlpm.vd&lt;=Cfg_VDFeeder)*(_xlpm.cm&gt;0)*ISNUMBER(_xlpm.sts)*(_xlpm.hasN=_xlpm.wantN),_xlpm.m,MIN(IF(_xlpm.ok=1,_xlpm.idx)),INDEX(_xlpm.codes,IF(_xlpm.m=0,_xlpm.i,_xlpm.m))),""))</f>
        <v/>
      </c>
      <c r="BY222" s="829" t="str" cm="1">
        <f t="array" ref="BY222">IF($BP222="","",IF($BX222="",$BU222,IFERROR(IF($BV222="AL",_xlfn.XLOOKUP($BX222,Std_Al3_Code,INDEX(Std_Al3_Table,0,2)),IF($G222=1,_xlfn.XLOOKUP($BX222,Std_Cu1_Code,INDEX(Std_Cu1_Table,0,2)),_xlfn.XLOOKUP($BX222,Std_Cu3_Code,INDEX(Std_Cu3_Table,0,2)))),"")))</f>
        <v/>
      </c>
      <c r="BZ222" s="829" t="str" cm="1">
        <f t="array" ref="BZ222">IF($BP222="","",IF($BX222="",$BR222,IFERROR(IF($BV222="AL",_xlfn.XLOOKUP($BX222,Std_Al3_Code,INDEX(Std_Al3_Table,0,4)),IF($G222=1,_xlfn.XLOOKUP($BX222,Std_Cu1_Code,INDEX(Std_Cu1_Table,0,4)),_xlfn.XLOOKUP($BX222,Std_Cu3_Code,INDEX(Std_Cu3_Table,0,4)))),"")))</f>
        <v/>
      </c>
      <c r="CA222" s="829" t="str" cm="1">
        <f t="array" ref="CA222">IF($BP222="","",IF($BX222="",$BQ222,IFERROR(IF($BV222="AL",_xlfn.XLOOKUP($BX222,Std_Al3_Code,INDEX(Std_Al3_Table,0,3)),IF($G222=1,_xlfn.XLOOKUP($BX222,Std_Cu1_Code,INDEX(Std_Cu1_Table,0,3)),_xlfn.XLOOKUP($BX222,Std_Cu3_Code,INDEX(Std_Cu3_Table,0,3)))),"")))</f>
        <v/>
      </c>
      <c r="CB222" s="829" t="str" cm="1">
        <f t="array" ref="CB222">IF($BP222="","",IF($BX222="",$BS222,IFERROR(IF($BV222="AL",_xlfn.XLOOKUP($BX222,Std_Al3_Code,INDEX(Std_Al3_Table,0,5)),IF($G222=1,_xlfn.XLOOKUP($BX222,Std_Cu1_Code,INDEX(Std_Cu1_Table,0,5)),_xlfn.XLOOKUP($BX222,Std_Cu3_Code,INDEX(Std_Cu3_Table,0,5)))),"")))</f>
        <v/>
      </c>
      <c r="CC222" s="829" t="str">
        <f t="shared" si="73"/>
        <v/>
      </c>
      <c r="CD222" s="829" t="str">
        <f t="shared" si="74"/>
        <v/>
      </c>
      <c r="CE222" s="829" t="str">
        <f t="shared" si="75"/>
        <v/>
      </c>
      <c r="CF222" s="829" t="str">
        <f t="shared" si="76"/>
        <v/>
      </c>
      <c r="CG222" s="829" t="str">
        <f t="shared" si="77"/>
        <v/>
      </c>
      <c r="CH222" s="829" t="str">
        <f t="shared" si="78"/>
        <v/>
      </c>
      <c r="CI222" s="829" t="str">
        <f t="shared" si="79"/>
        <v/>
      </c>
      <c r="CJ222" s="829" t="str" cm="1">
        <f t="array" ref="CJ222">IF($B222="","",_xlfn.LET(_xlpm.to,$D222&amp;"",_xlpm.em,IFERROR(INDEX(_xlfn.ANCHORARRAY($BE$4),ROW()-4,6),"")="EMERG",_xlpm.pri,AND(NOT(_xlpm.em),LEFT(_xlpm.to,2)="T-",ISNUMBER(MATCH(MID(_xlpm.to,3,99),Equip_List,0)),ISNA(MATCH(_xlpm.to,Equip_List,0))),IF(_xlpm.pri,MID(_xlpm.to,3,99),_xlpm.to)))</f>
        <v/>
      </c>
      <c r="CK222" s="829" t="str" cm="1">
        <f t="array" ref="CK222">IF($CJ222="","",IF(IFERROR(INDEX(_xlfn.ANCHORARRAY($BE$4),ROW()-4,6),"")="EMERG","E",IF($CJ222&lt;&gt;$D222&amp;"","P","N")))</f>
        <v/>
      </c>
    </row>
    <row r="223" spans="1:89" ht="15" customHeight="1" x14ac:dyDescent="0.35">
      <c r="A223" s="821" t="str">
        <f t="shared" si="67"/>
        <v/>
      </c>
      <c r="B223" s="821" t="str" cm="1">
        <f t="array" ref="B223">IFERROR(IF(INDEX(_xlfn.ANCHORARRAY($BE$4),ROW()-4,2)="","","F-"&amp;INDEX(_xlfn.ANCHORARRAY($BE$4),ROW()-4,2)&amp;IF(IFERROR(INDEX(_xlfn.ANCHORARRAY($BE$4),ROW()-4,6),"")="EMERG","-E","")),"")</f>
        <v/>
      </c>
      <c r="C223" s="821" t="str" cm="1">
        <f t="array" ref="C223">IFERROR(IF($B223="","",INDEX(_xlfn.ANCHORARRAY($BE$4),ROW()-4,1)),"")</f>
        <v/>
      </c>
      <c r="D223" s="821" t="str" cm="1">
        <f t="array" ref="D223">IFERROR(IF($B223="","",INDEX(_xlfn.ANCHORARRAY($BE$4),ROW()-4,2)),"")</f>
        <v/>
      </c>
      <c r="E223" s="806" t="str" cm="1">
        <f t="array" ref="E223">IFERROR(IF($B223="","",INDEX(_xlfn.ANCHORARRAY($BE$4),ROW()-4,3)),"")</f>
        <v/>
      </c>
      <c r="F223" s="822" t="str" cm="1">
        <f t="array" ref="F223">IFERROR(IF($B223="","",INDEX(_xlfn.ANCHORARRAY($BE$4),ROW()-4,4)),"")</f>
        <v/>
      </c>
      <c r="G223" s="823" t="str" cm="1">
        <f t="array" ref="G223">IFERROR(IF($B223="","",INDEX(_xlfn.ANCHORARRAY($BE$4),ROW()-4,5)),"")</f>
        <v/>
      </c>
      <c r="H223" s="824" t="str" cm="1">
        <f t="array" ref="H223">IF($CJ223="","",_xlfn.LET(_xlpm.v,_xlfn.XLOOKUP($CJ223,Equip_List,IF($CK223="E",Equip_EmLen,IF($CK223="P",Equip_XfPriLen,Equip_FdrLen)),""),IF(_xlpm.v="","",_xlpm.v)))</f>
        <v/>
      </c>
      <c r="I223" s="806" t="str">
        <f t="shared" si="60"/>
        <v/>
      </c>
      <c r="J223" s="820"/>
      <c r="K223" s="806" t="str">
        <f>_xlfn.LET(_xlpm.k,IF($I223="","",IF(COUNTIF(UPS!$B$57:$B$64,$C223&amp;"")&gt;0,1.25*MAX($I223,N(_xlfn.XLOOKUP($C223&amp;"",UPS!$B$57:$B$64,UPS!$M$57:$M$64,0))),IF(COUNTIF(UPS!$B$57:$B$64,$D223&amp;"")&gt;0,1.25*MAX($I223,N(_xlfn.XLOOKUP($D223&amp;"",UPS!$B$57:$B$64,UPS!$Q$57:$Q$64,0))),$I223*IF(OR(UPPER($J223)="Y",LEFT($C223,2)="T-",LEFT($D223,2)="T-"),1.25,1)))),IF(_xlpm.k="","",MAX(_xlpm.k,N(IFERROR(_xlfn.XLOOKUP($D223&amp;"",Dashboard!$A$101:$A$350,Dashboard!$O$101:$O$350,0),0)))))</f>
        <v/>
      </c>
      <c r="L223" s="825" t="str">
        <f>IF($CJ223="","",_xlfn.LET(_xlpm.v,UPPER(TRIM(_xlfn.XLOOKUP($CJ223,Equip_List,Equip_FdrMat,"")&amp;"")),IF(_xlpm.v="",UPPER(TRIM(Cfg_FeederMat&amp;"")),_xlpm.v)))</f>
        <v/>
      </c>
      <c r="M223" s="825" t="str">
        <f>IF($CJ223="","",_xlfn.LET(_xlpm.v,TRIM(_xlfn.XLOOKUP($CJ223,Equip_List,Equip_FdrRace,"")&amp;""),IF(_xlpm.v="",Cfg_Conduit&amp;"",_xlpm.v)))</f>
        <v/>
      </c>
      <c r="N223" s="825" t="str">
        <f>IF($CJ223="","",IF(UPPER(TRIM(_xlfn.XLOOKUP($CJ223,Equip_List,Equip_FdrExist,"")&amp;""))="Y","Y",""))</f>
        <v/>
      </c>
      <c r="O223" s="823" t="str">
        <f t="shared" si="68"/>
        <v/>
      </c>
      <c r="P223" s="821" t="str">
        <f t="shared" si="69"/>
        <v/>
      </c>
      <c r="Q223" s="821" t="str">
        <f t="shared" si="70"/>
        <v/>
      </c>
      <c r="R223" s="822" t="str" cm="1">
        <f t="array" ref="R223">IF(K223="","",INDEX(OCPD_List,MATCH(TRUE,OCPD_List&gt;=K223,0)))</f>
        <v/>
      </c>
      <c r="S223" s="821" t="str">
        <f t="shared" si="71"/>
        <v/>
      </c>
      <c r="T223" s="826" t="str">
        <f t="shared" si="61"/>
        <v/>
      </c>
      <c r="U223" s="826" t="str">
        <f t="shared" si="62"/>
        <v/>
      </c>
      <c r="V223" s="827" t="str">
        <f t="shared" si="63"/>
        <v/>
      </c>
      <c r="W223" s="828"/>
      <c r="X223" s="819"/>
      <c r="Y223" s="820"/>
      <c r="Z223" s="820"/>
      <c r="AA223" s="820"/>
      <c r="BN223" s="832" t="str">
        <f>IF($B223="","",IFERROR(_xlfn.XLOOKUP($D223,Dashboard!$A$101:$A$350,Dashboard!$C$101:$C$350),""))</f>
        <v/>
      </c>
      <c r="BO223" s="832" t="str">
        <f t="shared" si="64"/>
        <v/>
      </c>
      <c r="BP223" s="832" t="str" cm="1">
        <f t="array" ref="BP223">IF(OR($B223="",$R223="",NOT(ISNUMBER($R223))),"",IF(AND($BV223="AL",$G223=1),"",_xlfn.LET(_xlpm.codes,IF($BV223="AL",Std_Al3_Code,IF($G223=1,Std_Cu1_Code,Std_Cu3_Code)),_xlpm.amps,IFERROR(--SUBSTITUTE(_xlpm.codes&amp;"","N",""),""),_xlpm.a,MIN(IF(ISNUMBER(_xlpm.amps),IF(_xlpm.amps&gt;=$R223,_xlpm.amps,""),"")),_xlpm.k,IF(_xlpm.a=0,$R223,_xlpm.a),IF($BO223="Y",TEXT(_xlpm.k,"0")&amp;"N",_xlpm.k))))</f>
        <v/>
      </c>
      <c r="BQ223" s="832" t="str" cm="1">
        <f t="array" ref="BQ223">IF($BP223="","",IFERROR(IF($BV223="AL",_xlfn.XLOOKUP($BP223,Std_Al3_Code,INDEX(Std_Al3_Table,0,3)),IF($G223=1,_xlfn.XLOOKUP($BP223,Std_Cu1_Code,INDEX(Std_Cu1_Table,0,3)),_xlfn.XLOOKUP($BP223,Std_Cu3_Code,INDEX(Std_Cu3_Table,0,3)))),""))</f>
        <v/>
      </c>
      <c r="BR223" s="832" t="str" cm="1">
        <f t="array" ref="BR223">IF($BP223="","",IFERROR(IF($BV223="AL",_xlfn.XLOOKUP($BP223,Std_Al3_Code,INDEX(Std_Al3_Table,0,4)),IF($G223=1,_xlfn.XLOOKUP($BP223,Std_Cu1_Code,INDEX(Std_Cu1_Table,0,4)),_xlfn.XLOOKUP($BP223,Std_Cu3_Code,INDEX(Std_Cu3_Table,0,4)))),""))</f>
        <v/>
      </c>
      <c r="BS223" s="832" t="str" cm="1">
        <f t="array" ref="BS223">IF($BP223="","",IFERROR(IF($BV223="AL",_xlfn.XLOOKUP($BP223,Std_Al3_Code,INDEX(Std_Al3_Table,0,5)),IF($G223=1,_xlfn.XLOOKUP($BP223,Std_Cu1_Code,INDEX(Std_Cu1_Table,0,5)),_xlfn.XLOOKUP($BP223,Std_Cu3_Code,INDEX(Std_Cu3_Table,0,5)))),""))</f>
        <v/>
      </c>
      <c r="BT223" s="832" t="str">
        <f t="shared" si="65"/>
        <v/>
      </c>
      <c r="BU223" s="832" t="str" cm="1">
        <f t="array" ref="BU223">IF($BP223="","",IFERROR(IF($BV223="AL",_xlfn.XLOOKUP($BP223,Std_Al3_Code,INDEX(Std_Al3_Table,0,2)),IF($G223=1,_xlfn.XLOOKUP($BP223,Std_Cu1_Code,INDEX(Std_Cu1_Table,0,2)),_xlfn.XLOOKUP($BP223,Std_Cu3_Code,INDEX(Std_Cu3_Table,0,2)))),""))</f>
        <v/>
      </c>
      <c r="BV223" s="829" t="str">
        <f t="shared" si="66"/>
        <v/>
      </c>
      <c r="BW223" s="829" t="str">
        <f t="shared" si="72"/>
        <v/>
      </c>
      <c r="BX223" s="829" t="str" cm="1">
        <f t="array" ref="BX223">IF(OR($BP223="",$H223="",$I223="",$F223="",$BW223=""),"",IFERROR(_xlfn.LET(_xlpm.codes,IF($BV223="AL",Std_Al3_Code,IF($G223=1,Std_Cu1_Code,Std_Cu3_Code)),_xlpm.tbl,IF($BV223="AL",Std_Al3_Table,IF($G223=1,Std_Cu1_Table,Std_Cu3_Table)),_xlpm.i,MATCH($BP223,_xlpm.codes,0),_xlpm.idx,_xlfn.SEQUENCE(ROWS(_xlpm.codes)),_xlpm.cnd,INDEX(_xlpm.tbl,0,4),_xlpm.sts,INDEX(_xlpm.tbl,0,2),_xlpm.sz,IFERROR(_xlfn.TEXTBEFORE(_xlfn.TEXTAFTER(_xlpm.cnd,"#"),","),IFERROR(_xlfn.TEXTAFTER(_xlpm.cnd,"#"),"")),_xlpm.cm,IFERROR(_xlfn.XLOOKUP(TRIM(_xlpm.sz),Ampacity_Size,Ampacity_CM),0),_xlpm.mult,IF($G223=3,SQRT3,2),_xlpm.kk,IF($BV223="AL",K_Al,K_Cu),_xlpm.vd,IF(_xlpm.cm*IF(ISNUMBER(_xlpm.sts),_xlpm.sts,0)=0,9,_xlpm.mult*_xlpm.kk*$I223*$H223/(_xlpm.cm*_xlpm.sts)/$F223),_xlpm.hasN,--(RIGHT(_xlpm.codes&amp;"",1)="N"),_xlpm.wantN,--(RIGHT($BP223&amp;"",1)="N"),_xlpm.ok,(_xlpm.idx&gt;=_xlpm.i)*(_xlpm.vd&lt;=Cfg_VDFeeder)*(_xlpm.cm&gt;0)*ISNUMBER(_xlpm.sts)*(_xlpm.hasN=_xlpm.wantN),_xlpm.m,MIN(IF(_xlpm.ok=1,_xlpm.idx)),INDEX(_xlpm.codes,IF(_xlpm.m=0,_xlpm.i,_xlpm.m))),""))</f>
        <v/>
      </c>
      <c r="BY223" s="829" t="str" cm="1">
        <f t="array" ref="BY223">IF($BP223="","",IF($BX223="",$BU223,IFERROR(IF($BV223="AL",_xlfn.XLOOKUP($BX223,Std_Al3_Code,INDEX(Std_Al3_Table,0,2)),IF($G223=1,_xlfn.XLOOKUP($BX223,Std_Cu1_Code,INDEX(Std_Cu1_Table,0,2)),_xlfn.XLOOKUP($BX223,Std_Cu3_Code,INDEX(Std_Cu3_Table,0,2)))),"")))</f>
        <v/>
      </c>
      <c r="BZ223" s="829" t="str" cm="1">
        <f t="array" ref="BZ223">IF($BP223="","",IF($BX223="",$BR223,IFERROR(IF($BV223="AL",_xlfn.XLOOKUP($BX223,Std_Al3_Code,INDEX(Std_Al3_Table,0,4)),IF($G223=1,_xlfn.XLOOKUP($BX223,Std_Cu1_Code,INDEX(Std_Cu1_Table,0,4)),_xlfn.XLOOKUP($BX223,Std_Cu3_Code,INDEX(Std_Cu3_Table,0,4)))),"")))</f>
        <v/>
      </c>
      <c r="CA223" s="829" t="str" cm="1">
        <f t="array" ref="CA223">IF($BP223="","",IF($BX223="",$BQ223,IFERROR(IF($BV223="AL",_xlfn.XLOOKUP($BX223,Std_Al3_Code,INDEX(Std_Al3_Table,0,3)),IF($G223=1,_xlfn.XLOOKUP($BX223,Std_Cu1_Code,INDEX(Std_Cu1_Table,0,3)),_xlfn.XLOOKUP($BX223,Std_Cu3_Code,INDEX(Std_Cu3_Table,0,3)))),"")))</f>
        <v/>
      </c>
      <c r="CB223" s="829" t="str" cm="1">
        <f t="array" ref="CB223">IF($BP223="","",IF($BX223="",$BS223,IFERROR(IF($BV223="AL",_xlfn.XLOOKUP($BX223,Std_Al3_Code,INDEX(Std_Al3_Table,0,5)),IF($G223=1,_xlfn.XLOOKUP($BX223,Std_Cu1_Code,INDEX(Std_Cu1_Table,0,5)),_xlfn.XLOOKUP($BX223,Std_Cu3_Code,INDEX(Std_Cu3_Table,0,5)))),"")))</f>
        <v/>
      </c>
      <c r="CC223" s="829" t="str">
        <f t="shared" si="73"/>
        <v/>
      </c>
      <c r="CD223" s="829" t="str">
        <f t="shared" si="74"/>
        <v/>
      </c>
      <c r="CE223" s="829" t="str">
        <f t="shared" si="75"/>
        <v/>
      </c>
      <c r="CF223" s="829" t="str">
        <f t="shared" si="76"/>
        <v/>
      </c>
      <c r="CG223" s="829" t="str">
        <f t="shared" si="77"/>
        <v/>
      </c>
      <c r="CH223" s="829" t="str">
        <f t="shared" si="78"/>
        <v/>
      </c>
      <c r="CI223" s="829" t="str">
        <f t="shared" si="79"/>
        <v/>
      </c>
      <c r="CJ223" s="829" t="str" cm="1">
        <f t="array" ref="CJ223">IF($B223="","",_xlfn.LET(_xlpm.to,$D223&amp;"",_xlpm.em,IFERROR(INDEX(_xlfn.ANCHORARRAY($BE$4),ROW()-4,6),"")="EMERG",_xlpm.pri,AND(NOT(_xlpm.em),LEFT(_xlpm.to,2)="T-",ISNUMBER(MATCH(MID(_xlpm.to,3,99),Equip_List,0)),ISNA(MATCH(_xlpm.to,Equip_List,0))),IF(_xlpm.pri,MID(_xlpm.to,3,99),_xlpm.to)))</f>
        <v/>
      </c>
      <c r="CK223" s="829" t="str" cm="1">
        <f t="array" ref="CK223">IF($CJ223="","",IF(IFERROR(INDEX(_xlfn.ANCHORARRAY($BE$4),ROW()-4,6),"")="EMERG","E",IF($CJ223&lt;&gt;$D223&amp;"","P","N")))</f>
        <v/>
      </c>
    </row>
    <row r="224" spans="1:89" ht="15" customHeight="1" x14ac:dyDescent="0.35">
      <c r="A224" s="821" t="str">
        <f t="shared" si="67"/>
        <v/>
      </c>
      <c r="B224" s="821" t="str" cm="1">
        <f t="array" ref="B224">IFERROR(IF(INDEX(_xlfn.ANCHORARRAY($BE$4),ROW()-4,2)="","","F-"&amp;INDEX(_xlfn.ANCHORARRAY($BE$4),ROW()-4,2)&amp;IF(IFERROR(INDEX(_xlfn.ANCHORARRAY($BE$4),ROW()-4,6),"")="EMERG","-E","")),"")</f>
        <v/>
      </c>
      <c r="C224" s="821" t="str" cm="1">
        <f t="array" ref="C224">IFERROR(IF($B224="","",INDEX(_xlfn.ANCHORARRAY($BE$4),ROW()-4,1)),"")</f>
        <v/>
      </c>
      <c r="D224" s="821" t="str" cm="1">
        <f t="array" ref="D224">IFERROR(IF($B224="","",INDEX(_xlfn.ANCHORARRAY($BE$4),ROW()-4,2)),"")</f>
        <v/>
      </c>
      <c r="E224" s="806" t="str" cm="1">
        <f t="array" ref="E224">IFERROR(IF($B224="","",INDEX(_xlfn.ANCHORARRAY($BE$4),ROW()-4,3)),"")</f>
        <v/>
      </c>
      <c r="F224" s="822" t="str" cm="1">
        <f t="array" ref="F224">IFERROR(IF($B224="","",INDEX(_xlfn.ANCHORARRAY($BE$4),ROW()-4,4)),"")</f>
        <v/>
      </c>
      <c r="G224" s="823" t="str" cm="1">
        <f t="array" ref="G224">IFERROR(IF($B224="","",INDEX(_xlfn.ANCHORARRAY($BE$4),ROW()-4,5)),"")</f>
        <v/>
      </c>
      <c r="H224" s="824" t="str" cm="1">
        <f t="array" ref="H224">IF($CJ224="","",_xlfn.LET(_xlpm.v,_xlfn.XLOOKUP($CJ224,Equip_List,IF($CK224="E",Equip_EmLen,IF($CK224="P",Equip_XfPriLen,Equip_FdrLen)),""),IF(_xlpm.v="","",_xlpm.v)))</f>
        <v/>
      </c>
      <c r="I224" s="806" t="str">
        <f t="shared" si="60"/>
        <v/>
      </c>
      <c r="J224" s="820"/>
      <c r="K224" s="806" t="str">
        <f>_xlfn.LET(_xlpm.k,IF($I224="","",IF(COUNTIF(UPS!$B$57:$B$64,$C224&amp;"")&gt;0,1.25*MAX($I224,N(_xlfn.XLOOKUP($C224&amp;"",UPS!$B$57:$B$64,UPS!$M$57:$M$64,0))),IF(COUNTIF(UPS!$B$57:$B$64,$D224&amp;"")&gt;0,1.25*MAX($I224,N(_xlfn.XLOOKUP($D224&amp;"",UPS!$B$57:$B$64,UPS!$Q$57:$Q$64,0))),$I224*IF(OR(UPPER($J224)="Y",LEFT($C224,2)="T-",LEFT($D224,2)="T-"),1.25,1)))),IF(_xlpm.k="","",MAX(_xlpm.k,N(IFERROR(_xlfn.XLOOKUP($D224&amp;"",Dashboard!$A$101:$A$350,Dashboard!$O$101:$O$350,0),0)))))</f>
        <v/>
      </c>
      <c r="L224" s="825" t="str">
        <f>IF($CJ224="","",_xlfn.LET(_xlpm.v,UPPER(TRIM(_xlfn.XLOOKUP($CJ224,Equip_List,Equip_FdrMat,"")&amp;"")),IF(_xlpm.v="",UPPER(TRIM(Cfg_FeederMat&amp;"")),_xlpm.v)))</f>
        <v/>
      </c>
      <c r="M224" s="825" t="str">
        <f>IF($CJ224="","",_xlfn.LET(_xlpm.v,TRIM(_xlfn.XLOOKUP($CJ224,Equip_List,Equip_FdrRace,"")&amp;""),IF(_xlpm.v="",Cfg_Conduit&amp;"",_xlpm.v)))</f>
        <v/>
      </c>
      <c r="N224" s="825" t="str">
        <f>IF($CJ224="","",IF(UPPER(TRIM(_xlfn.XLOOKUP($CJ224,Equip_List,Equip_FdrExist,"")&amp;""))="Y","Y",""))</f>
        <v/>
      </c>
      <c r="O224" s="823" t="str">
        <f t="shared" si="68"/>
        <v/>
      </c>
      <c r="P224" s="821" t="str">
        <f t="shared" si="69"/>
        <v/>
      </c>
      <c r="Q224" s="821" t="str">
        <f t="shared" si="70"/>
        <v/>
      </c>
      <c r="R224" s="822" t="str" cm="1">
        <f t="array" ref="R224">IF(K224="","",INDEX(OCPD_List,MATCH(TRUE,OCPD_List&gt;=K224,0)))</f>
        <v/>
      </c>
      <c r="S224" s="821" t="str">
        <f t="shared" si="71"/>
        <v/>
      </c>
      <c r="T224" s="826" t="str">
        <f t="shared" si="61"/>
        <v/>
      </c>
      <c r="U224" s="826" t="str">
        <f t="shared" si="62"/>
        <v/>
      </c>
      <c r="V224" s="827" t="str">
        <f t="shared" si="63"/>
        <v/>
      </c>
      <c r="W224" s="828"/>
      <c r="X224" s="819"/>
      <c r="Y224" s="820"/>
      <c r="Z224" s="820"/>
      <c r="AA224" s="820"/>
      <c r="BN224" s="832" t="str">
        <f>IF($B224="","",IFERROR(_xlfn.XLOOKUP($D224,Dashboard!$A$101:$A$350,Dashboard!$C$101:$C$350),""))</f>
        <v/>
      </c>
      <c r="BO224" s="832" t="str">
        <f t="shared" si="64"/>
        <v/>
      </c>
      <c r="BP224" s="832" t="str" cm="1">
        <f t="array" ref="BP224">IF(OR($B224="",$R224="",NOT(ISNUMBER($R224))),"",IF(AND($BV224="AL",$G224=1),"",_xlfn.LET(_xlpm.codes,IF($BV224="AL",Std_Al3_Code,IF($G224=1,Std_Cu1_Code,Std_Cu3_Code)),_xlpm.amps,IFERROR(--SUBSTITUTE(_xlpm.codes&amp;"","N",""),""),_xlpm.a,MIN(IF(ISNUMBER(_xlpm.amps),IF(_xlpm.amps&gt;=$R224,_xlpm.amps,""),"")),_xlpm.k,IF(_xlpm.a=0,$R224,_xlpm.a),IF($BO224="Y",TEXT(_xlpm.k,"0")&amp;"N",_xlpm.k))))</f>
        <v/>
      </c>
      <c r="BQ224" s="832" t="str" cm="1">
        <f t="array" ref="BQ224">IF($BP224="","",IFERROR(IF($BV224="AL",_xlfn.XLOOKUP($BP224,Std_Al3_Code,INDEX(Std_Al3_Table,0,3)),IF($G224=1,_xlfn.XLOOKUP($BP224,Std_Cu1_Code,INDEX(Std_Cu1_Table,0,3)),_xlfn.XLOOKUP($BP224,Std_Cu3_Code,INDEX(Std_Cu3_Table,0,3)))),""))</f>
        <v/>
      </c>
      <c r="BR224" s="832" t="str" cm="1">
        <f t="array" ref="BR224">IF($BP224="","",IFERROR(IF($BV224="AL",_xlfn.XLOOKUP($BP224,Std_Al3_Code,INDEX(Std_Al3_Table,0,4)),IF($G224=1,_xlfn.XLOOKUP($BP224,Std_Cu1_Code,INDEX(Std_Cu1_Table,0,4)),_xlfn.XLOOKUP($BP224,Std_Cu3_Code,INDEX(Std_Cu3_Table,0,4)))),""))</f>
        <v/>
      </c>
      <c r="BS224" s="832" t="str" cm="1">
        <f t="array" ref="BS224">IF($BP224="","",IFERROR(IF($BV224="AL",_xlfn.XLOOKUP($BP224,Std_Al3_Code,INDEX(Std_Al3_Table,0,5)),IF($G224=1,_xlfn.XLOOKUP($BP224,Std_Cu1_Code,INDEX(Std_Cu1_Table,0,5)),_xlfn.XLOOKUP($BP224,Std_Cu3_Code,INDEX(Std_Cu3_Table,0,5)))),""))</f>
        <v/>
      </c>
      <c r="BT224" s="832" t="str">
        <f t="shared" si="65"/>
        <v/>
      </c>
      <c r="BU224" s="832" t="str" cm="1">
        <f t="array" ref="BU224">IF($BP224="","",IFERROR(IF($BV224="AL",_xlfn.XLOOKUP($BP224,Std_Al3_Code,INDEX(Std_Al3_Table,0,2)),IF($G224=1,_xlfn.XLOOKUP($BP224,Std_Cu1_Code,INDEX(Std_Cu1_Table,0,2)),_xlfn.XLOOKUP($BP224,Std_Cu3_Code,INDEX(Std_Cu3_Table,0,2)))),""))</f>
        <v/>
      </c>
      <c r="BV224" s="829" t="str">
        <f t="shared" si="66"/>
        <v/>
      </c>
      <c r="BW224" s="829" t="str">
        <f t="shared" si="72"/>
        <v/>
      </c>
      <c r="BX224" s="829" t="str" cm="1">
        <f t="array" ref="BX224">IF(OR($BP224="",$H224="",$I224="",$F224="",$BW224=""),"",IFERROR(_xlfn.LET(_xlpm.codes,IF($BV224="AL",Std_Al3_Code,IF($G224=1,Std_Cu1_Code,Std_Cu3_Code)),_xlpm.tbl,IF($BV224="AL",Std_Al3_Table,IF($G224=1,Std_Cu1_Table,Std_Cu3_Table)),_xlpm.i,MATCH($BP224,_xlpm.codes,0),_xlpm.idx,_xlfn.SEQUENCE(ROWS(_xlpm.codes)),_xlpm.cnd,INDEX(_xlpm.tbl,0,4),_xlpm.sts,INDEX(_xlpm.tbl,0,2),_xlpm.sz,IFERROR(_xlfn.TEXTBEFORE(_xlfn.TEXTAFTER(_xlpm.cnd,"#"),","),IFERROR(_xlfn.TEXTAFTER(_xlpm.cnd,"#"),"")),_xlpm.cm,IFERROR(_xlfn.XLOOKUP(TRIM(_xlpm.sz),Ampacity_Size,Ampacity_CM),0),_xlpm.mult,IF($G224=3,SQRT3,2),_xlpm.kk,IF($BV224="AL",K_Al,K_Cu),_xlpm.vd,IF(_xlpm.cm*IF(ISNUMBER(_xlpm.sts),_xlpm.sts,0)=0,9,_xlpm.mult*_xlpm.kk*$I224*$H224/(_xlpm.cm*_xlpm.sts)/$F224),_xlpm.hasN,--(RIGHT(_xlpm.codes&amp;"",1)="N"),_xlpm.wantN,--(RIGHT($BP224&amp;"",1)="N"),_xlpm.ok,(_xlpm.idx&gt;=_xlpm.i)*(_xlpm.vd&lt;=Cfg_VDFeeder)*(_xlpm.cm&gt;0)*ISNUMBER(_xlpm.sts)*(_xlpm.hasN=_xlpm.wantN),_xlpm.m,MIN(IF(_xlpm.ok=1,_xlpm.idx)),INDEX(_xlpm.codes,IF(_xlpm.m=0,_xlpm.i,_xlpm.m))),""))</f>
        <v/>
      </c>
      <c r="BY224" s="829" t="str" cm="1">
        <f t="array" ref="BY224">IF($BP224="","",IF($BX224="",$BU224,IFERROR(IF($BV224="AL",_xlfn.XLOOKUP($BX224,Std_Al3_Code,INDEX(Std_Al3_Table,0,2)),IF($G224=1,_xlfn.XLOOKUP($BX224,Std_Cu1_Code,INDEX(Std_Cu1_Table,0,2)),_xlfn.XLOOKUP($BX224,Std_Cu3_Code,INDEX(Std_Cu3_Table,0,2)))),"")))</f>
        <v/>
      </c>
      <c r="BZ224" s="829" t="str" cm="1">
        <f t="array" ref="BZ224">IF($BP224="","",IF($BX224="",$BR224,IFERROR(IF($BV224="AL",_xlfn.XLOOKUP($BX224,Std_Al3_Code,INDEX(Std_Al3_Table,0,4)),IF($G224=1,_xlfn.XLOOKUP($BX224,Std_Cu1_Code,INDEX(Std_Cu1_Table,0,4)),_xlfn.XLOOKUP($BX224,Std_Cu3_Code,INDEX(Std_Cu3_Table,0,4)))),"")))</f>
        <v/>
      </c>
      <c r="CA224" s="829" t="str" cm="1">
        <f t="array" ref="CA224">IF($BP224="","",IF($BX224="",$BQ224,IFERROR(IF($BV224="AL",_xlfn.XLOOKUP($BX224,Std_Al3_Code,INDEX(Std_Al3_Table,0,3)),IF($G224=1,_xlfn.XLOOKUP($BX224,Std_Cu1_Code,INDEX(Std_Cu1_Table,0,3)),_xlfn.XLOOKUP($BX224,Std_Cu3_Code,INDEX(Std_Cu3_Table,0,3)))),"")))</f>
        <v/>
      </c>
      <c r="CB224" s="829" t="str" cm="1">
        <f t="array" ref="CB224">IF($BP224="","",IF($BX224="",$BS224,IFERROR(IF($BV224="AL",_xlfn.XLOOKUP($BX224,Std_Al3_Code,INDEX(Std_Al3_Table,0,5)),IF($G224=1,_xlfn.XLOOKUP($BX224,Std_Cu1_Code,INDEX(Std_Cu1_Table,0,5)),_xlfn.XLOOKUP($BX224,Std_Cu3_Code,INDEX(Std_Cu3_Table,0,5)))),"")))</f>
        <v/>
      </c>
      <c r="CC224" s="829" t="str">
        <f t="shared" si="73"/>
        <v/>
      </c>
      <c r="CD224" s="829" t="str">
        <f t="shared" si="74"/>
        <v/>
      </c>
      <c r="CE224" s="829" t="str">
        <f t="shared" si="75"/>
        <v/>
      </c>
      <c r="CF224" s="829" t="str">
        <f t="shared" si="76"/>
        <v/>
      </c>
      <c r="CG224" s="829" t="str">
        <f t="shared" si="77"/>
        <v/>
      </c>
      <c r="CH224" s="829" t="str">
        <f t="shared" si="78"/>
        <v/>
      </c>
      <c r="CI224" s="829" t="str">
        <f t="shared" si="79"/>
        <v/>
      </c>
      <c r="CJ224" s="829" t="str" cm="1">
        <f t="array" ref="CJ224">IF($B224="","",_xlfn.LET(_xlpm.to,$D224&amp;"",_xlpm.em,IFERROR(INDEX(_xlfn.ANCHORARRAY($BE$4),ROW()-4,6),"")="EMERG",_xlpm.pri,AND(NOT(_xlpm.em),LEFT(_xlpm.to,2)="T-",ISNUMBER(MATCH(MID(_xlpm.to,3,99),Equip_List,0)),ISNA(MATCH(_xlpm.to,Equip_List,0))),IF(_xlpm.pri,MID(_xlpm.to,3,99),_xlpm.to)))</f>
        <v/>
      </c>
      <c r="CK224" s="829" t="str" cm="1">
        <f t="array" ref="CK224">IF($CJ224="","",IF(IFERROR(INDEX(_xlfn.ANCHORARRAY($BE$4),ROW()-4,6),"")="EMERG","E",IF($CJ224&lt;&gt;$D224&amp;"","P","N")))</f>
        <v/>
      </c>
    </row>
    <row r="225" spans="1:89" ht="15" customHeight="1" x14ac:dyDescent="0.35">
      <c r="A225" s="821" t="str">
        <f t="shared" si="67"/>
        <v/>
      </c>
      <c r="B225" s="821" t="str" cm="1">
        <f t="array" ref="B225">IFERROR(IF(INDEX(_xlfn.ANCHORARRAY($BE$4),ROW()-4,2)="","","F-"&amp;INDEX(_xlfn.ANCHORARRAY($BE$4),ROW()-4,2)&amp;IF(IFERROR(INDEX(_xlfn.ANCHORARRAY($BE$4),ROW()-4,6),"")="EMERG","-E","")),"")</f>
        <v/>
      </c>
      <c r="C225" s="821" t="str" cm="1">
        <f t="array" ref="C225">IFERROR(IF($B225="","",INDEX(_xlfn.ANCHORARRAY($BE$4),ROW()-4,1)),"")</f>
        <v/>
      </c>
      <c r="D225" s="821" t="str" cm="1">
        <f t="array" ref="D225">IFERROR(IF($B225="","",INDEX(_xlfn.ANCHORARRAY($BE$4),ROW()-4,2)),"")</f>
        <v/>
      </c>
      <c r="E225" s="806" t="str" cm="1">
        <f t="array" ref="E225">IFERROR(IF($B225="","",INDEX(_xlfn.ANCHORARRAY($BE$4),ROW()-4,3)),"")</f>
        <v/>
      </c>
      <c r="F225" s="822" t="str" cm="1">
        <f t="array" ref="F225">IFERROR(IF($B225="","",INDEX(_xlfn.ANCHORARRAY($BE$4),ROW()-4,4)),"")</f>
        <v/>
      </c>
      <c r="G225" s="823" t="str" cm="1">
        <f t="array" ref="G225">IFERROR(IF($B225="","",INDEX(_xlfn.ANCHORARRAY($BE$4),ROW()-4,5)),"")</f>
        <v/>
      </c>
      <c r="H225" s="824" t="str" cm="1">
        <f t="array" ref="H225">IF($CJ225="","",_xlfn.LET(_xlpm.v,_xlfn.XLOOKUP($CJ225,Equip_List,IF($CK225="E",Equip_EmLen,IF($CK225="P",Equip_XfPriLen,Equip_FdrLen)),""),IF(_xlpm.v="","",_xlpm.v)))</f>
        <v/>
      </c>
      <c r="I225" s="806" t="str">
        <f t="shared" si="60"/>
        <v/>
      </c>
      <c r="J225" s="820"/>
      <c r="K225" s="806" t="str">
        <f>_xlfn.LET(_xlpm.k,IF($I225="","",IF(COUNTIF(UPS!$B$57:$B$64,$C225&amp;"")&gt;0,1.25*MAX($I225,N(_xlfn.XLOOKUP($C225&amp;"",UPS!$B$57:$B$64,UPS!$M$57:$M$64,0))),IF(COUNTIF(UPS!$B$57:$B$64,$D225&amp;"")&gt;0,1.25*MAX($I225,N(_xlfn.XLOOKUP($D225&amp;"",UPS!$B$57:$B$64,UPS!$Q$57:$Q$64,0))),$I225*IF(OR(UPPER($J225)="Y",LEFT($C225,2)="T-",LEFT($D225,2)="T-"),1.25,1)))),IF(_xlpm.k="","",MAX(_xlpm.k,N(IFERROR(_xlfn.XLOOKUP($D225&amp;"",Dashboard!$A$101:$A$350,Dashboard!$O$101:$O$350,0),0)))))</f>
        <v/>
      </c>
      <c r="L225" s="825" t="str">
        <f>IF($CJ225="","",_xlfn.LET(_xlpm.v,UPPER(TRIM(_xlfn.XLOOKUP($CJ225,Equip_List,Equip_FdrMat,"")&amp;"")),IF(_xlpm.v="",UPPER(TRIM(Cfg_FeederMat&amp;"")),_xlpm.v)))</f>
        <v/>
      </c>
      <c r="M225" s="825" t="str">
        <f>IF($CJ225="","",_xlfn.LET(_xlpm.v,TRIM(_xlfn.XLOOKUP($CJ225,Equip_List,Equip_FdrRace,"")&amp;""),IF(_xlpm.v="",Cfg_Conduit&amp;"",_xlpm.v)))</f>
        <v/>
      </c>
      <c r="N225" s="825" t="str">
        <f>IF($CJ225="","",IF(UPPER(TRIM(_xlfn.XLOOKUP($CJ225,Equip_List,Equip_FdrExist,"")&amp;""))="Y","Y",""))</f>
        <v/>
      </c>
      <c r="O225" s="823" t="str">
        <f t="shared" si="68"/>
        <v/>
      </c>
      <c r="P225" s="821" t="str">
        <f t="shared" si="69"/>
        <v/>
      </c>
      <c r="Q225" s="821" t="str">
        <f t="shared" si="70"/>
        <v/>
      </c>
      <c r="R225" s="822" t="str" cm="1">
        <f t="array" ref="R225">IF(K225="","",INDEX(OCPD_List,MATCH(TRUE,OCPD_List&gt;=K225,0)))</f>
        <v/>
      </c>
      <c r="S225" s="821" t="str">
        <f t="shared" si="71"/>
        <v/>
      </c>
      <c r="T225" s="826" t="str">
        <f t="shared" si="61"/>
        <v/>
      </c>
      <c r="U225" s="826" t="str">
        <f t="shared" si="62"/>
        <v/>
      </c>
      <c r="V225" s="827" t="str">
        <f t="shared" si="63"/>
        <v/>
      </c>
      <c r="W225" s="828"/>
      <c r="X225" s="819"/>
      <c r="Y225" s="820"/>
      <c r="Z225" s="820"/>
      <c r="AA225" s="820"/>
      <c r="BN225" s="832" t="str">
        <f>IF($B225="","",IFERROR(_xlfn.XLOOKUP($D225,Dashboard!$A$101:$A$350,Dashboard!$C$101:$C$350),""))</f>
        <v/>
      </c>
      <c r="BO225" s="832" t="str">
        <f t="shared" si="64"/>
        <v/>
      </c>
      <c r="BP225" s="832" t="str" cm="1">
        <f t="array" ref="BP225">IF(OR($B225="",$R225="",NOT(ISNUMBER($R225))),"",IF(AND($BV225="AL",$G225=1),"",_xlfn.LET(_xlpm.codes,IF($BV225="AL",Std_Al3_Code,IF($G225=1,Std_Cu1_Code,Std_Cu3_Code)),_xlpm.amps,IFERROR(--SUBSTITUTE(_xlpm.codes&amp;"","N",""),""),_xlpm.a,MIN(IF(ISNUMBER(_xlpm.amps),IF(_xlpm.amps&gt;=$R225,_xlpm.amps,""),"")),_xlpm.k,IF(_xlpm.a=0,$R225,_xlpm.a),IF($BO225="Y",TEXT(_xlpm.k,"0")&amp;"N",_xlpm.k))))</f>
        <v/>
      </c>
      <c r="BQ225" s="832" t="str" cm="1">
        <f t="array" ref="BQ225">IF($BP225="","",IFERROR(IF($BV225="AL",_xlfn.XLOOKUP($BP225,Std_Al3_Code,INDEX(Std_Al3_Table,0,3)),IF($G225=1,_xlfn.XLOOKUP($BP225,Std_Cu1_Code,INDEX(Std_Cu1_Table,0,3)),_xlfn.XLOOKUP($BP225,Std_Cu3_Code,INDEX(Std_Cu3_Table,0,3)))),""))</f>
        <v/>
      </c>
      <c r="BR225" s="832" t="str" cm="1">
        <f t="array" ref="BR225">IF($BP225="","",IFERROR(IF($BV225="AL",_xlfn.XLOOKUP($BP225,Std_Al3_Code,INDEX(Std_Al3_Table,0,4)),IF($G225=1,_xlfn.XLOOKUP($BP225,Std_Cu1_Code,INDEX(Std_Cu1_Table,0,4)),_xlfn.XLOOKUP($BP225,Std_Cu3_Code,INDEX(Std_Cu3_Table,0,4)))),""))</f>
        <v/>
      </c>
      <c r="BS225" s="832" t="str" cm="1">
        <f t="array" ref="BS225">IF($BP225="","",IFERROR(IF($BV225="AL",_xlfn.XLOOKUP($BP225,Std_Al3_Code,INDEX(Std_Al3_Table,0,5)),IF($G225=1,_xlfn.XLOOKUP($BP225,Std_Cu1_Code,INDEX(Std_Cu1_Table,0,5)),_xlfn.XLOOKUP($BP225,Std_Cu3_Code,INDEX(Std_Cu3_Table,0,5)))),""))</f>
        <v/>
      </c>
      <c r="BT225" s="832" t="str">
        <f t="shared" si="65"/>
        <v/>
      </c>
      <c r="BU225" s="832" t="str" cm="1">
        <f t="array" ref="BU225">IF($BP225="","",IFERROR(IF($BV225="AL",_xlfn.XLOOKUP($BP225,Std_Al3_Code,INDEX(Std_Al3_Table,0,2)),IF($G225=1,_xlfn.XLOOKUP($BP225,Std_Cu1_Code,INDEX(Std_Cu1_Table,0,2)),_xlfn.XLOOKUP($BP225,Std_Cu3_Code,INDEX(Std_Cu3_Table,0,2)))),""))</f>
        <v/>
      </c>
      <c r="BV225" s="829" t="str">
        <f t="shared" si="66"/>
        <v/>
      </c>
      <c r="BW225" s="829" t="str">
        <f t="shared" si="72"/>
        <v/>
      </c>
      <c r="BX225" s="829" t="str" cm="1">
        <f t="array" ref="BX225">IF(OR($BP225="",$H225="",$I225="",$F225="",$BW225=""),"",IFERROR(_xlfn.LET(_xlpm.codes,IF($BV225="AL",Std_Al3_Code,IF($G225=1,Std_Cu1_Code,Std_Cu3_Code)),_xlpm.tbl,IF($BV225="AL",Std_Al3_Table,IF($G225=1,Std_Cu1_Table,Std_Cu3_Table)),_xlpm.i,MATCH($BP225,_xlpm.codes,0),_xlpm.idx,_xlfn.SEQUENCE(ROWS(_xlpm.codes)),_xlpm.cnd,INDEX(_xlpm.tbl,0,4),_xlpm.sts,INDEX(_xlpm.tbl,0,2),_xlpm.sz,IFERROR(_xlfn.TEXTBEFORE(_xlfn.TEXTAFTER(_xlpm.cnd,"#"),","),IFERROR(_xlfn.TEXTAFTER(_xlpm.cnd,"#"),"")),_xlpm.cm,IFERROR(_xlfn.XLOOKUP(TRIM(_xlpm.sz),Ampacity_Size,Ampacity_CM),0),_xlpm.mult,IF($G225=3,SQRT3,2),_xlpm.kk,IF($BV225="AL",K_Al,K_Cu),_xlpm.vd,IF(_xlpm.cm*IF(ISNUMBER(_xlpm.sts),_xlpm.sts,0)=0,9,_xlpm.mult*_xlpm.kk*$I225*$H225/(_xlpm.cm*_xlpm.sts)/$F225),_xlpm.hasN,--(RIGHT(_xlpm.codes&amp;"",1)="N"),_xlpm.wantN,--(RIGHT($BP225&amp;"",1)="N"),_xlpm.ok,(_xlpm.idx&gt;=_xlpm.i)*(_xlpm.vd&lt;=Cfg_VDFeeder)*(_xlpm.cm&gt;0)*ISNUMBER(_xlpm.sts)*(_xlpm.hasN=_xlpm.wantN),_xlpm.m,MIN(IF(_xlpm.ok=1,_xlpm.idx)),INDEX(_xlpm.codes,IF(_xlpm.m=0,_xlpm.i,_xlpm.m))),""))</f>
        <v/>
      </c>
      <c r="BY225" s="829" t="str" cm="1">
        <f t="array" ref="BY225">IF($BP225="","",IF($BX225="",$BU225,IFERROR(IF($BV225="AL",_xlfn.XLOOKUP($BX225,Std_Al3_Code,INDEX(Std_Al3_Table,0,2)),IF($G225=1,_xlfn.XLOOKUP($BX225,Std_Cu1_Code,INDEX(Std_Cu1_Table,0,2)),_xlfn.XLOOKUP($BX225,Std_Cu3_Code,INDEX(Std_Cu3_Table,0,2)))),"")))</f>
        <v/>
      </c>
      <c r="BZ225" s="829" t="str" cm="1">
        <f t="array" ref="BZ225">IF($BP225="","",IF($BX225="",$BR225,IFERROR(IF($BV225="AL",_xlfn.XLOOKUP($BX225,Std_Al3_Code,INDEX(Std_Al3_Table,0,4)),IF($G225=1,_xlfn.XLOOKUP($BX225,Std_Cu1_Code,INDEX(Std_Cu1_Table,0,4)),_xlfn.XLOOKUP($BX225,Std_Cu3_Code,INDEX(Std_Cu3_Table,0,4)))),"")))</f>
        <v/>
      </c>
      <c r="CA225" s="829" t="str" cm="1">
        <f t="array" ref="CA225">IF($BP225="","",IF($BX225="",$BQ225,IFERROR(IF($BV225="AL",_xlfn.XLOOKUP($BX225,Std_Al3_Code,INDEX(Std_Al3_Table,0,3)),IF($G225=1,_xlfn.XLOOKUP($BX225,Std_Cu1_Code,INDEX(Std_Cu1_Table,0,3)),_xlfn.XLOOKUP($BX225,Std_Cu3_Code,INDEX(Std_Cu3_Table,0,3)))),"")))</f>
        <v/>
      </c>
      <c r="CB225" s="829" t="str" cm="1">
        <f t="array" ref="CB225">IF($BP225="","",IF($BX225="",$BS225,IFERROR(IF($BV225="AL",_xlfn.XLOOKUP($BX225,Std_Al3_Code,INDEX(Std_Al3_Table,0,5)),IF($G225=1,_xlfn.XLOOKUP($BX225,Std_Cu1_Code,INDEX(Std_Cu1_Table,0,5)),_xlfn.XLOOKUP($BX225,Std_Cu3_Code,INDEX(Std_Cu3_Table,0,5)))),"")))</f>
        <v/>
      </c>
      <c r="CC225" s="829" t="str">
        <f t="shared" si="73"/>
        <v/>
      </c>
      <c r="CD225" s="829" t="str">
        <f t="shared" si="74"/>
        <v/>
      </c>
      <c r="CE225" s="829" t="str">
        <f t="shared" si="75"/>
        <v/>
      </c>
      <c r="CF225" s="829" t="str">
        <f t="shared" si="76"/>
        <v/>
      </c>
      <c r="CG225" s="829" t="str">
        <f t="shared" si="77"/>
        <v/>
      </c>
      <c r="CH225" s="829" t="str">
        <f t="shared" si="78"/>
        <v/>
      </c>
      <c r="CI225" s="829" t="str">
        <f t="shared" si="79"/>
        <v/>
      </c>
      <c r="CJ225" s="829" t="str" cm="1">
        <f t="array" ref="CJ225">IF($B225="","",_xlfn.LET(_xlpm.to,$D225&amp;"",_xlpm.em,IFERROR(INDEX(_xlfn.ANCHORARRAY($BE$4),ROW()-4,6),"")="EMERG",_xlpm.pri,AND(NOT(_xlpm.em),LEFT(_xlpm.to,2)="T-",ISNUMBER(MATCH(MID(_xlpm.to,3,99),Equip_List,0)),ISNA(MATCH(_xlpm.to,Equip_List,0))),IF(_xlpm.pri,MID(_xlpm.to,3,99),_xlpm.to)))</f>
        <v/>
      </c>
      <c r="CK225" s="829" t="str" cm="1">
        <f t="array" ref="CK225">IF($CJ225="","",IF(IFERROR(INDEX(_xlfn.ANCHORARRAY($BE$4),ROW()-4,6),"")="EMERG","E",IF($CJ225&lt;&gt;$D225&amp;"","P","N")))</f>
        <v/>
      </c>
    </row>
    <row r="226" spans="1:89" ht="15" customHeight="1" x14ac:dyDescent="0.35">
      <c r="A226" s="821" t="str">
        <f t="shared" si="67"/>
        <v/>
      </c>
      <c r="B226" s="821" t="str" cm="1">
        <f t="array" ref="B226">IFERROR(IF(INDEX(_xlfn.ANCHORARRAY($BE$4),ROW()-4,2)="","","F-"&amp;INDEX(_xlfn.ANCHORARRAY($BE$4),ROW()-4,2)&amp;IF(IFERROR(INDEX(_xlfn.ANCHORARRAY($BE$4),ROW()-4,6),"")="EMERG","-E","")),"")</f>
        <v/>
      </c>
      <c r="C226" s="821" t="str" cm="1">
        <f t="array" ref="C226">IFERROR(IF($B226="","",INDEX(_xlfn.ANCHORARRAY($BE$4),ROW()-4,1)),"")</f>
        <v/>
      </c>
      <c r="D226" s="821" t="str" cm="1">
        <f t="array" ref="D226">IFERROR(IF($B226="","",INDEX(_xlfn.ANCHORARRAY($BE$4),ROW()-4,2)),"")</f>
        <v/>
      </c>
      <c r="E226" s="806" t="str" cm="1">
        <f t="array" ref="E226">IFERROR(IF($B226="","",INDEX(_xlfn.ANCHORARRAY($BE$4),ROW()-4,3)),"")</f>
        <v/>
      </c>
      <c r="F226" s="822" t="str" cm="1">
        <f t="array" ref="F226">IFERROR(IF($B226="","",INDEX(_xlfn.ANCHORARRAY($BE$4),ROW()-4,4)),"")</f>
        <v/>
      </c>
      <c r="G226" s="823" t="str" cm="1">
        <f t="array" ref="G226">IFERROR(IF($B226="","",INDEX(_xlfn.ANCHORARRAY($BE$4),ROW()-4,5)),"")</f>
        <v/>
      </c>
      <c r="H226" s="824" t="str" cm="1">
        <f t="array" ref="H226">IF($CJ226="","",_xlfn.LET(_xlpm.v,_xlfn.XLOOKUP($CJ226,Equip_List,IF($CK226="E",Equip_EmLen,IF($CK226="P",Equip_XfPriLen,Equip_FdrLen)),""),IF(_xlpm.v="","",_xlpm.v)))</f>
        <v/>
      </c>
      <c r="I226" s="806" t="str">
        <f t="shared" si="60"/>
        <v/>
      </c>
      <c r="J226" s="820"/>
      <c r="K226" s="806" t="str">
        <f>_xlfn.LET(_xlpm.k,IF($I226="","",IF(COUNTIF(UPS!$B$57:$B$64,$C226&amp;"")&gt;0,1.25*MAX($I226,N(_xlfn.XLOOKUP($C226&amp;"",UPS!$B$57:$B$64,UPS!$M$57:$M$64,0))),IF(COUNTIF(UPS!$B$57:$B$64,$D226&amp;"")&gt;0,1.25*MAX($I226,N(_xlfn.XLOOKUP($D226&amp;"",UPS!$B$57:$B$64,UPS!$Q$57:$Q$64,0))),$I226*IF(OR(UPPER($J226)="Y",LEFT($C226,2)="T-",LEFT($D226,2)="T-"),1.25,1)))),IF(_xlpm.k="","",MAX(_xlpm.k,N(IFERROR(_xlfn.XLOOKUP($D226&amp;"",Dashboard!$A$101:$A$350,Dashboard!$O$101:$O$350,0),0)))))</f>
        <v/>
      </c>
      <c r="L226" s="825" t="str">
        <f>IF($CJ226="","",_xlfn.LET(_xlpm.v,UPPER(TRIM(_xlfn.XLOOKUP($CJ226,Equip_List,Equip_FdrMat,"")&amp;"")),IF(_xlpm.v="",UPPER(TRIM(Cfg_FeederMat&amp;"")),_xlpm.v)))</f>
        <v/>
      </c>
      <c r="M226" s="825" t="str">
        <f>IF($CJ226="","",_xlfn.LET(_xlpm.v,TRIM(_xlfn.XLOOKUP($CJ226,Equip_List,Equip_FdrRace,"")&amp;""),IF(_xlpm.v="",Cfg_Conduit&amp;"",_xlpm.v)))</f>
        <v/>
      </c>
      <c r="N226" s="825" t="str">
        <f>IF($CJ226="","",IF(UPPER(TRIM(_xlfn.XLOOKUP($CJ226,Equip_List,Equip_FdrExist,"")&amp;""))="Y","Y",""))</f>
        <v/>
      </c>
      <c r="O226" s="823" t="str">
        <f t="shared" si="68"/>
        <v/>
      </c>
      <c r="P226" s="821" t="str">
        <f t="shared" si="69"/>
        <v/>
      </c>
      <c r="Q226" s="821" t="str">
        <f t="shared" si="70"/>
        <v/>
      </c>
      <c r="R226" s="822" t="str" cm="1">
        <f t="array" ref="R226">IF(K226="","",INDEX(OCPD_List,MATCH(TRUE,OCPD_List&gt;=K226,0)))</f>
        <v/>
      </c>
      <c r="S226" s="821" t="str">
        <f t="shared" si="71"/>
        <v/>
      </c>
      <c r="T226" s="826" t="str">
        <f t="shared" si="61"/>
        <v/>
      </c>
      <c r="U226" s="826" t="str">
        <f t="shared" si="62"/>
        <v/>
      </c>
      <c r="V226" s="827" t="str">
        <f t="shared" si="63"/>
        <v/>
      </c>
      <c r="W226" s="828"/>
      <c r="X226" s="819"/>
      <c r="Y226" s="820"/>
      <c r="Z226" s="820"/>
      <c r="AA226" s="820"/>
      <c r="BN226" s="832" t="str">
        <f>IF($B226="","",IFERROR(_xlfn.XLOOKUP($D226,Dashboard!$A$101:$A$350,Dashboard!$C$101:$C$350),""))</f>
        <v/>
      </c>
      <c r="BO226" s="832" t="str">
        <f t="shared" si="64"/>
        <v/>
      </c>
      <c r="BP226" s="832" t="str" cm="1">
        <f t="array" ref="BP226">IF(OR($B226="",$R226="",NOT(ISNUMBER($R226))),"",IF(AND($BV226="AL",$G226=1),"",_xlfn.LET(_xlpm.codes,IF($BV226="AL",Std_Al3_Code,IF($G226=1,Std_Cu1_Code,Std_Cu3_Code)),_xlpm.amps,IFERROR(--SUBSTITUTE(_xlpm.codes&amp;"","N",""),""),_xlpm.a,MIN(IF(ISNUMBER(_xlpm.amps),IF(_xlpm.amps&gt;=$R226,_xlpm.amps,""),"")),_xlpm.k,IF(_xlpm.a=0,$R226,_xlpm.a),IF($BO226="Y",TEXT(_xlpm.k,"0")&amp;"N",_xlpm.k))))</f>
        <v/>
      </c>
      <c r="BQ226" s="832" t="str" cm="1">
        <f t="array" ref="BQ226">IF($BP226="","",IFERROR(IF($BV226="AL",_xlfn.XLOOKUP($BP226,Std_Al3_Code,INDEX(Std_Al3_Table,0,3)),IF($G226=1,_xlfn.XLOOKUP($BP226,Std_Cu1_Code,INDEX(Std_Cu1_Table,0,3)),_xlfn.XLOOKUP($BP226,Std_Cu3_Code,INDEX(Std_Cu3_Table,0,3)))),""))</f>
        <v/>
      </c>
      <c r="BR226" s="832" t="str" cm="1">
        <f t="array" ref="BR226">IF($BP226="","",IFERROR(IF($BV226="AL",_xlfn.XLOOKUP($BP226,Std_Al3_Code,INDEX(Std_Al3_Table,0,4)),IF($G226=1,_xlfn.XLOOKUP($BP226,Std_Cu1_Code,INDEX(Std_Cu1_Table,0,4)),_xlfn.XLOOKUP($BP226,Std_Cu3_Code,INDEX(Std_Cu3_Table,0,4)))),""))</f>
        <v/>
      </c>
      <c r="BS226" s="832" t="str" cm="1">
        <f t="array" ref="BS226">IF($BP226="","",IFERROR(IF($BV226="AL",_xlfn.XLOOKUP($BP226,Std_Al3_Code,INDEX(Std_Al3_Table,0,5)),IF($G226=1,_xlfn.XLOOKUP($BP226,Std_Cu1_Code,INDEX(Std_Cu1_Table,0,5)),_xlfn.XLOOKUP($BP226,Std_Cu3_Code,INDEX(Std_Cu3_Table,0,5)))),""))</f>
        <v/>
      </c>
      <c r="BT226" s="832" t="str">
        <f t="shared" si="65"/>
        <v/>
      </c>
      <c r="BU226" s="832" t="str" cm="1">
        <f t="array" ref="BU226">IF($BP226="","",IFERROR(IF($BV226="AL",_xlfn.XLOOKUP($BP226,Std_Al3_Code,INDEX(Std_Al3_Table,0,2)),IF($G226=1,_xlfn.XLOOKUP($BP226,Std_Cu1_Code,INDEX(Std_Cu1_Table,0,2)),_xlfn.XLOOKUP($BP226,Std_Cu3_Code,INDEX(Std_Cu3_Table,0,2)))),""))</f>
        <v/>
      </c>
      <c r="BV226" s="829" t="str">
        <f t="shared" si="66"/>
        <v/>
      </c>
      <c r="BW226" s="829" t="str">
        <f t="shared" si="72"/>
        <v/>
      </c>
      <c r="BX226" s="829" t="str" cm="1">
        <f t="array" ref="BX226">IF(OR($BP226="",$H226="",$I226="",$F226="",$BW226=""),"",IFERROR(_xlfn.LET(_xlpm.codes,IF($BV226="AL",Std_Al3_Code,IF($G226=1,Std_Cu1_Code,Std_Cu3_Code)),_xlpm.tbl,IF($BV226="AL",Std_Al3_Table,IF($G226=1,Std_Cu1_Table,Std_Cu3_Table)),_xlpm.i,MATCH($BP226,_xlpm.codes,0),_xlpm.idx,_xlfn.SEQUENCE(ROWS(_xlpm.codes)),_xlpm.cnd,INDEX(_xlpm.tbl,0,4),_xlpm.sts,INDEX(_xlpm.tbl,0,2),_xlpm.sz,IFERROR(_xlfn.TEXTBEFORE(_xlfn.TEXTAFTER(_xlpm.cnd,"#"),","),IFERROR(_xlfn.TEXTAFTER(_xlpm.cnd,"#"),"")),_xlpm.cm,IFERROR(_xlfn.XLOOKUP(TRIM(_xlpm.sz),Ampacity_Size,Ampacity_CM),0),_xlpm.mult,IF($G226=3,SQRT3,2),_xlpm.kk,IF($BV226="AL",K_Al,K_Cu),_xlpm.vd,IF(_xlpm.cm*IF(ISNUMBER(_xlpm.sts),_xlpm.sts,0)=0,9,_xlpm.mult*_xlpm.kk*$I226*$H226/(_xlpm.cm*_xlpm.sts)/$F226),_xlpm.hasN,--(RIGHT(_xlpm.codes&amp;"",1)="N"),_xlpm.wantN,--(RIGHT($BP226&amp;"",1)="N"),_xlpm.ok,(_xlpm.idx&gt;=_xlpm.i)*(_xlpm.vd&lt;=Cfg_VDFeeder)*(_xlpm.cm&gt;0)*ISNUMBER(_xlpm.sts)*(_xlpm.hasN=_xlpm.wantN),_xlpm.m,MIN(IF(_xlpm.ok=1,_xlpm.idx)),INDEX(_xlpm.codes,IF(_xlpm.m=0,_xlpm.i,_xlpm.m))),""))</f>
        <v/>
      </c>
      <c r="BY226" s="829" t="str" cm="1">
        <f t="array" ref="BY226">IF($BP226="","",IF($BX226="",$BU226,IFERROR(IF($BV226="AL",_xlfn.XLOOKUP($BX226,Std_Al3_Code,INDEX(Std_Al3_Table,0,2)),IF($G226=1,_xlfn.XLOOKUP($BX226,Std_Cu1_Code,INDEX(Std_Cu1_Table,0,2)),_xlfn.XLOOKUP($BX226,Std_Cu3_Code,INDEX(Std_Cu3_Table,0,2)))),"")))</f>
        <v/>
      </c>
      <c r="BZ226" s="829" t="str" cm="1">
        <f t="array" ref="BZ226">IF($BP226="","",IF($BX226="",$BR226,IFERROR(IF($BV226="AL",_xlfn.XLOOKUP($BX226,Std_Al3_Code,INDEX(Std_Al3_Table,0,4)),IF($G226=1,_xlfn.XLOOKUP($BX226,Std_Cu1_Code,INDEX(Std_Cu1_Table,0,4)),_xlfn.XLOOKUP($BX226,Std_Cu3_Code,INDEX(Std_Cu3_Table,0,4)))),"")))</f>
        <v/>
      </c>
      <c r="CA226" s="829" t="str" cm="1">
        <f t="array" ref="CA226">IF($BP226="","",IF($BX226="",$BQ226,IFERROR(IF($BV226="AL",_xlfn.XLOOKUP($BX226,Std_Al3_Code,INDEX(Std_Al3_Table,0,3)),IF($G226=1,_xlfn.XLOOKUP($BX226,Std_Cu1_Code,INDEX(Std_Cu1_Table,0,3)),_xlfn.XLOOKUP($BX226,Std_Cu3_Code,INDEX(Std_Cu3_Table,0,3)))),"")))</f>
        <v/>
      </c>
      <c r="CB226" s="829" t="str" cm="1">
        <f t="array" ref="CB226">IF($BP226="","",IF($BX226="",$BS226,IFERROR(IF($BV226="AL",_xlfn.XLOOKUP($BX226,Std_Al3_Code,INDEX(Std_Al3_Table,0,5)),IF($G226=1,_xlfn.XLOOKUP($BX226,Std_Cu1_Code,INDEX(Std_Cu1_Table,0,5)),_xlfn.XLOOKUP($BX226,Std_Cu3_Code,INDEX(Std_Cu3_Table,0,5)))),"")))</f>
        <v/>
      </c>
      <c r="CC226" s="829" t="str">
        <f t="shared" si="73"/>
        <v/>
      </c>
      <c r="CD226" s="829" t="str">
        <f t="shared" si="74"/>
        <v/>
      </c>
      <c r="CE226" s="829" t="str">
        <f t="shared" si="75"/>
        <v/>
      </c>
      <c r="CF226" s="829" t="str">
        <f t="shared" si="76"/>
        <v/>
      </c>
      <c r="CG226" s="829" t="str">
        <f t="shared" si="77"/>
        <v/>
      </c>
      <c r="CH226" s="829" t="str">
        <f t="shared" si="78"/>
        <v/>
      </c>
      <c r="CI226" s="829" t="str">
        <f t="shared" si="79"/>
        <v/>
      </c>
      <c r="CJ226" s="829" t="str" cm="1">
        <f t="array" ref="CJ226">IF($B226="","",_xlfn.LET(_xlpm.to,$D226&amp;"",_xlpm.em,IFERROR(INDEX(_xlfn.ANCHORARRAY($BE$4),ROW()-4,6),"")="EMERG",_xlpm.pri,AND(NOT(_xlpm.em),LEFT(_xlpm.to,2)="T-",ISNUMBER(MATCH(MID(_xlpm.to,3,99),Equip_List,0)),ISNA(MATCH(_xlpm.to,Equip_List,0))),IF(_xlpm.pri,MID(_xlpm.to,3,99),_xlpm.to)))</f>
        <v/>
      </c>
      <c r="CK226" s="829" t="str" cm="1">
        <f t="array" ref="CK226">IF($CJ226="","",IF(IFERROR(INDEX(_xlfn.ANCHORARRAY($BE$4),ROW()-4,6),"")="EMERG","E",IF($CJ226&lt;&gt;$D226&amp;"","P","N")))</f>
        <v/>
      </c>
    </row>
    <row r="227" spans="1:89" ht="15" customHeight="1" x14ac:dyDescent="0.35">
      <c r="A227" s="821" t="str">
        <f t="shared" si="67"/>
        <v/>
      </c>
      <c r="B227" s="821" t="str" cm="1">
        <f t="array" ref="B227">IFERROR(IF(INDEX(_xlfn.ANCHORARRAY($BE$4),ROW()-4,2)="","","F-"&amp;INDEX(_xlfn.ANCHORARRAY($BE$4),ROW()-4,2)&amp;IF(IFERROR(INDEX(_xlfn.ANCHORARRAY($BE$4),ROW()-4,6),"")="EMERG","-E","")),"")</f>
        <v/>
      </c>
      <c r="C227" s="821" t="str" cm="1">
        <f t="array" ref="C227">IFERROR(IF($B227="","",INDEX(_xlfn.ANCHORARRAY($BE$4),ROW()-4,1)),"")</f>
        <v/>
      </c>
      <c r="D227" s="821" t="str" cm="1">
        <f t="array" ref="D227">IFERROR(IF($B227="","",INDEX(_xlfn.ANCHORARRAY($BE$4),ROW()-4,2)),"")</f>
        <v/>
      </c>
      <c r="E227" s="806" t="str" cm="1">
        <f t="array" ref="E227">IFERROR(IF($B227="","",INDEX(_xlfn.ANCHORARRAY($BE$4),ROW()-4,3)),"")</f>
        <v/>
      </c>
      <c r="F227" s="822" t="str" cm="1">
        <f t="array" ref="F227">IFERROR(IF($B227="","",INDEX(_xlfn.ANCHORARRAY($BE$4),ROW()-4,4)),"")</f>
        <v/>
      </c>
      <c r="G227" s="823" t="str" cm="1">
        <f t="array" ref="G227">IFERROR(IF($B227="","",INDEX(_xlfn.ANCHORARRAY($BE$4),ROW()-4,5)),"")</f>
        <v/>
      </c>
      <c r="H227" s="824" t="str" cm="1">
        <f t="array" ref="H227">IF($CJ227="","",_xlfn.LET(_xlpm.v,_xlfn.XLOOKUP($CJ227,Equip_List,IF($CK227="E",Equip_EmLen,IF($CK227="P",Equip_XfPriLen,Equip_FdrLen)),""),IF(_xlpm.v="","",_xlpm.v)))</f>
        <v/>
      </c>
      <c r="I227" s="806" t="str">
        <f t="shared" si="60"/>
        <v/>
      </c>
      <c r="J227" s="820"/>
      <c r="K227" s="806" t="str">
        <f>_xlfn.LET(_xlpm.k,IF($I227="","",IF(COUNTIF(UPS!$B$57:$B$64,$C227&amp;"")&gt;0,1.25*MAX($I227,N(_xlfn.XLOOKUP($C227&amp;"",UPS!$B$57:$B$64,UPS!$M$57:$M$64,0))),IF(COUNTIF(UPS!$B$57:$B$64,$D227&amp;"")&gt;0,1.25*MAX($I227,N(_xlfn.XLOOKUP($D227&amp;"",UPS!$B$57:$B$64,UPS!$Q$57:$Q$64,0))),$I227*IF(OR(UPPER($J227)="Y",LEFT($C227,2)="T-",LEFT($D227,2)="T-"),1.25,1)))),IF(_xlpm.k="","",MAX(_xlpm.k,N(IFERROR(_xlfn.XLOOKUP($D227&amp;"",Dashboard!$A$101:$A$350,Dashboard!$O$101:$O$350,0),0)))))</f>
        <v/>
      </c>
      <c r="L227" s="825" t="str">
        <f>IF($CJ227="","",_xlfn.LET(_xlpm.v,UPPER(TRIM(_xlfn.XLOOKUP($CJ227,Equip_List,Equip_FdrMat,"")&amp;"")),IF(_xlpm.v="",UPPER(TRIM(Cfg_FeederMat&amp;"")),_xlpm.v)))</f>
        <v/>
      </c>
      <c r="M227" s="825" t="str">
        <f>IF($CJ227="","",_xlfn.LET(_xlpm.v,TRIM(_xlfn.XLOOKUP($CJ227,Equip_List,Equip_FdrRace,"")&amp;""),IF(_xlpm.v="",Cfg_Conduit&amp;"",_xlpm.v)))</f>
        <v/>
      </c>
      <c r="N227" s="825" t="str">
        <f>IF($CJ227="","",IF(UPPER(TRIM(_xlfn.XLOOKUP($CJ227,Equip_List,Equip_FdrExist,"")&amp;""))="Y","Y",""))</f>
        <v/>
      </c>
      <c r="O227" s="823" t="str">
        <f t="shared" si="68"/>
        <v/>
      </c>
      <c r="P227" s="821" t="str">
        <f t="shared" si="69"/>
        <v/>
      </c>
      <c r="Q227" s="821" t="str">
        <f t="shared" si="70"/>
        <v/>
      </c>
      <c r="R227" s="822" t="str" cm="1">
        <f t="array" ref="R227">IF(K227="","",INDEX(OCPD_List,MATCH(TRUE,OCPD_List&gt;=K227,0)))</f>
        <v/>
      </c>
      <c r="S227" s="821" t="str">
        <f t="shared" si="71"/>
        <v/>
      </c>
      <c r="T227" s="826" t="str">
        <f t="shared" si="61"/>
        <v/>
      </c>
      <c r="U227" s="826" t="str">
        <f t="shared" si="62"/>
        <v/>
      </c>
      <c r="V227" s="827" t="str">
        <f t="shared" si="63"/>
        <v/>
      </c>
      <c r="W227" s="828"/>
      <c r="X227" s="819"/>
      <c r="Y227" s="820"/>
      <c r="Z227" s="820"/>
      <c r="AA227" s="820"/>
      <c r="BN227" s="832" t="str">
        <f>IF($B227="","",IFERROR(_xlfn.XLOOKUP($D227,Dashboard!$A$101:$A$350,Dashboard!$C$101:$C$350),""))</f>
        <v/>
      </c>
      <c r="BO227" s="832" t="str">
        <f t="shared" si="64"/>
        <v/>
      </c>
      <c r="BP227" s="832" t="str" cm="1">
        <f t="array" ref="BP227">IF(OR($B227="",$R227="",NOT(ISNUMBER($R227))),"",IF(AND($BV227="AL",$G227=1),"",_xlfn.LET(_xlpm.codes,IF($BV227="AL",Std_Al3_Code,IF($G227=1,Std_Cu1_Code,Std_Cu3_Code)),_xlpm.amps,IFERROR(--SUBSTITUTE(_xlpm.codes&amp;"","N",""),""),_xlpm.a,MIN(IF(ISNUMBER(_xlpm.amps),IF(_xlpm.amps&gt;=$R227,_xlpm.amps,""),"")),_xlpm.k,IF(_xlpm.a=0,$R227,_xlpm.a),IF($BO227="Y",TEXT(_xlpm.k,"0")&amp;"N",_xlpm.k))))</f>
        <v/>
      </c>
      <c r="BQ227" s="832" t="str" cm="1">
        <f t="array" ref="BQ227">IF($BP227="","",IFERROR(IF($BV227="AL",_xlfn.XLOOKUP($BP227,Std_Al3_Code,INDEX(Std_Al3_Table,0,3)),IF($G227=1,_xlfn.XLOOKUP($BP227,Std_Cu1_Code,INDEX(Std_Cu1_Table,0,3)),_xlfn.XLOOKUP($BP227,Std_Cu3_Code,INDEX(Std_Cu3_Table,0,3)))),""))</f>
        <v/>
      </c>
      <c r="BR227" s="832" t="str" cm="1">
        <f t="array" ref="BR227">IF($BP227="","",IFERROR(IF($BV227="AL",_xlfn.XLOOKUP($BP227,Std_Al3_Code,INDEX(Std_Al3_Table,0,4)),IF($G227=1,_xlfn.XLOOKUP($BP227,Std_Cu1_Code,INDEX(Std_Cu1_Table,0,4)),_xlfn.XLOOKUP($BP227,Std_Cu3_Code,INDEX(Std_Cu3_Table,0,4)))),""))</f>
        <v/>
      </c>
      <c r="BS227" s="832" t="str" cm="1">
        <f t="array" ref="BS227">IF($BP227="","",IFERROR(IF($BV227="AL",_xlfn.XLOOKUP($BP227,Std_Al3_Code,INDEX(Std_Al3_Table,0,5)),IF($G227=1,_xlfn.XLOOKUP($BP227,Std_Cu1_Code,INDEX(Std_Cu1_Table,0,5)),_xlfn.XLOOKUP($BP227,Std_Cu3_Code,INDEX(Std_Cu3_Table,0,5)))),""))</f>
        <v/>
      </c>
      <c r="BT227" s="832" t="str">
        <f t="shared" si="65"/>
        <v/>
      </c>
      <c r="BU227" s="832" t="str" cm="1">
        <f t="array" ref="BU227">IF($BP227="","",IFERROR(IF($BV227="AL",_xlfn.XLOOKUP($BP227,Std_Al3_Code,INDEX(Std_Al3_Table,0,2)),IF($G227=1,_xlfn.XLOOKUP($BP227,Std_Cu1_Code,INDEX(Std_Cu1_Table,0,2)),_xlfn.XLOOKUP($BP227,Std_Cu3_Code,INDEX(Std_Cu3_Table,0,2)))),""))</f>
        <v/>
      </c>
      <c r="BV227" s="829" t="str">
        <f t="shared" si="66"/>
        <v/>
      </c>
      <c r="BW227" s="829" t="str">
        <f t="shared" si="72"/>
        <v/>
      </c>
      <c r="BX227" s="829" t="str" cm="1">
        <f t="array" ref="BX227">IF(OR($BP227="",$H227="",$I227="",$F227="",$BW227=""),"",IFERROR(_xlfn.LET(_xlpm.codes,IF($BV227="AL",Std_Al3_Code,IF($G227=1,Std_Cu1_Code,Std_Cu3_Code)),_xlpm.tbl,IF($BV227="AL",Std_Al3_Table,IF($G227=1,Std_Cu1_Table,Std_Cu3_Table)),_xlpm.i,MATCH($BP227,_xlpm.codes,0),_xlpm.idx,_xlfn.SEQUENCE(ROWS(_xlpm.codes)),_xlpm.cnd,INDEX(_xlpm.tbl,0,4),_xlpm.sts,INDEX(_xlpm.tbl,0,2),_xlpm.sz,IFERROR(_xlfn.TEXTBEFORE(_xlfn.TEXTAFTER(_xlpm.cnd,"#"),","),IFERROR(_xlfn.TEXTAFTER(_xlpm.cnd,"#"),"")),_xlpm.cm,IFERROR(_xlfn.XLOOKUP(TRIM(_xlpm.sz),Ampacity_Size,Ampacity_CM),0),_xlpm.mult,IF($G227=3,SQRT3,2),_xlpm.kk,IF($BV227="AL",K_Al,K_Cu),_xlpm.vd,IF(_xlpm.cm*IF(ISNUMBER(_xlpm.sts),_xlpm.sts,0)=0,9,_xlpm.mult*_xlpm.kk*$I227*$H227/(_xlpm.cm*_xlpm.sts)/$F227),_xlpm.hasN,--(RIGHT(_xlpm.codes&amp;"",1)="N"),_xlpm.wantN,--(RIGHT($BP227&amp;"",1)="N"),_xlpm.ok,(_xlpm.idx&gt;=_xlpm.i)*(_xlpm.vd&lt;=Cfg_VDFeeder)*(_xlpm.cm&gt;0)*ISNUMBER(_xlpm.sts)*(_xlpm.hasN=_xlpm.wantN),_xlpm.m,MIN(IF(_xlpm.ok=1,_xlpm.idx)),INDEX(_xlpm.codes,IF(_xlpm.m=0,_xlpm.i,_xlpm.m))),""))</f>
        <v/>
      </c>
      <c r="BY227" s="829" t="str" cm="1">
        <f t="array" ref="BY227">IF($BP227="","",IF($BX227="",$BU227,IFERROR(IF($BV227="AL",_xlfn.XLOOKUP($BX227,Std_Al3_Code,INDEX(Std_Al3_Table,0,2)),IF($G227=1,_xlfn.XLOOKUP($BX227,Std_Cu1_Code,INDEX(Std_Cu1_Table,0,2)),_xlfn.XLOOKUP($BX227,Std_Cu3_Code,INDEX(Std_Cu3_Table,0,2)))),"")))</f>
        <v/>
      </c>
      <c r="BZ227" s="829" t="str" cm="1">
        <f t="array" ref="BZ227">IF($BP227="","",IF($BX227="",$BR227,IFERROR(IF($BV227="AL",_xlfn.XLOOKUP($BX227,Std_Al3_Code,INDEX(Std_Al3_Table,0,4)),IF($G227=1,_xlfn.XLOOKUP($BX227,Std_Cu1_Code,INDEX(Std_Cu1_Table,0,4)),_xlfn.XLOOKUP($BX227,Std_Cu3_Code,INDEX(Std_Cu3_Table,0,4)))),"")))</f>
        <v/>
      </c>
      <c r="CA227" s="829" t="str" cm="1">
        <f t="array" ref="CA227">IF($BP227="","",IF($BX227="",$BQ227,IFERROR(IF($BV227="AL",_xlfn.XLOOKUP($BX227,Std_Al3_Code,INDEX(Std_Al3_Table,0,3)),IF($G227=1,_xlfn.XLOOKUP($BX227,Std_Cu1_Code,INDEX(Std_Cu1_Table,0,3)),_xlfn.XLOOKUP($BX227,Std_Cu3_Code,INDEX(Std_Cu3_Table,0,3)))),"")))</f>
        <v/>
      </c>
      <c r="CB227" s="829" t="str" cm="1">
        <f t="array" ref="CB227">IF($BP227="","",IF($BX227="",$BS227,IFERROR(IF($BV227="AL",_xlfn.XLOOKUP($BX227,Std_Al3_Code,INDEX(Std_Al3_Table,0,5)),IF($G227=1,_xlfn.XLOOKUP($BX227,Std_Cu1_Code,INDEX(Std_Cu1_Table,0,5)),_xlfn.XLOOKUP($BX227,Std_Cu3_Code,INDEX(Std_Cu3_Table,0,5)))),"")))</f>
        <v/>
      </c>
      <c r="CC227" s="829" t="str">
        <f t="shared" si="73"/>
        <v/>
      </c>
      <c r="CD227" s="829" t="str">
        <f t="shared" si="74"/>
        <v/>
      </c>
      <c r="CE227" s="829" t="str">
        <f t="shared" si="75"/>
        <v/>
      </c>
      <c r="CF227" s="829" t="str">
        <f t="shared" si="76"/>
        <v/>
      </c>
      <c r="CG227" s="829" t="str">
        <f t="shared" si="77"/>
        <v/>
      </c>
      <c r="CH227" s="829" t="str">
        <f t="shared" si="78"/>
        <v/>
      </c>
      <c r="CI227" s="829" t="str">
        <f t="shared" si="79"/>
        <v/>
      </c>
      <c r="CJ227" s="829" t="str" cm="1">
        <f t="array" ref="CJ227">IF($B227="","",_xlfn.LET(_xlpm.to,$D227&amp;"",_xlpm.em,IFERROR(INDEX(_xlfn.ANCHORARRAY($BE$4),ROW()-4,6),"")="EMERG",_xlpm.pri,AND(NOT(_xlpm.em),LEFT(_xlpm.to,2)="T-",ISNUMBER(MATCH(MID(_xlpm.to,3,99),Equip_List,0)),ISNA(MATCH(_xlpm.to,Equip_List,0))),IF(_xlpm.pri,MID(_xlpm.to,3,99),_xlpm.to)))</f>
        <v/>
      </c>
      <c r="CK227" s="829" t="str" cm="1">
        <f t="array" ref="CK227">IF($CJ227="","",IF(IFERROR(INDEX(_xlfn.ANCHORARRAY($BE$4),ROW()-4,6),"")="EMERG","E",IF($CJ227&lt;&gt;$D227&amp;"","P","N")))</f>
        <v/>
      </c>
    </row>
    <row r="228" spans="1:89" ht="15" customHeight="1" x14ac:dyDescent="0.35">
      <c r="A228" s="821" t="str">
        <f t="shared" si="67"/>
        <v/>
      </c>
      <c r="B228" s="821" t="str" cm="1">
        <f t="array" ref="B228">IFERROR(IF(INDEX(_xlfn.ANCHORARRAY($BE$4),ROW()-4,2)="","","F-"&amp;INDEX(_xlfn.ANCHORARRAY($BE$4),ROW()-4,2)&amp;IF(IFERROR(INDEX(_xlfn.ANCHORARRAY($BE$4),ROW()-4,6),"")="EMERG","-E","")),"")</f>
        <v/>
      </c>
      <c r="C228" s="821" t="str" cm="1">
        <f t="array" ref="C228">IFERROR(IF($B228="","",INDEX(_xlfn.ANCHORARRAY($BE$4),ROW()-4,1)),"")</f>
        <v/>
      </c>
      <c r="D228" s="821" t="str" cm="1">
        <f t="array" ref="D228">IFERROR(IF($B228="","",INDEX(_xlfn.ANCHORARRAY($BE$4),ROW()-4,2)),"")</f>
        <v/>
      </c>
      <c r="E228" s="806" t="str" cm="1">
        <f t="array" ref="E228">IFERROR(IF($B228="","",INDEX(_xlfn.ANCHORARRAY($BE$4),ROW()-4,3)),"")</f>
        <v/>
      </c>
      <c r="F228" s="822" t="str" cm="1">
        <f t="array" ref="F228">IFERROR(IF($B228="","",INDEX(_xlfn.ANCHORARRAY($BE$4),ROW()-4,4)),"")</f>
        <v/>
      </c>
      <c r="G228" s="823" t="str" cm="1">
        <f t="array" ref="G228">IFERROR(IF($B228="","",INDEX(_xlfn.ANCHORARRAY($BE$4),ROW()-4,5)),"")</f>
        <v/>
      </c>
      <c r="H228" s="824" t="str" cm="1">
        <f t="array" ref="H228">IF($CJ228="","",_xlfn.LET(_xlpm.v,_xlfn.XLOOKUP($CJ228,Equip_List,IF($CK228="E",Equip_EmLen,IF($CK228="P",Equip_XfPriLen,Equip_FdrLen)),""),IF(_xlpm.v="","",_xlpm.v)))</f>
        <v/>
      </c>
      <c r="I228" s="806" t="str">
        <f t="shared" si="60"/>
        <v/>
      </c>
      <c r="J228" s="820"/>
      <c r="K228" s="806" t="str">
        <f>_xlfn.LET(_xlpm.k,IF($I228="","",IF(COUNTIF(UPS!$B$57:$B$64,$C228&amp;"")&gt;0,1.25*MAX($I228,N(_xlfn.XLOOKUP($C228&amp;"",UPS!$B$57:$B$64,UPS!$M$57:$M$64,0))),IF(COUNTIF(UPS!$B$57:$B$64,$D228&amp;"")&gt;0,1.25*MAX($I228,N(_xlfn.XLOOKUP($D228&amp;"",UPS!$B$57:$B$64,UPS!$Q$57:$Q$64,0))),$I228*IF(OR(UPPER($J228)="Y",LEFT($C228,2)="T-",LEFT($D228,2)="T-"),1.25,1)))),IF(_xlpm.k="","",MAX(_xlpm.k,N(IFERROR(_xlfn.XLOOKUP($D228&amp;"",Dashboard!$A$101:$A$350,Dashboard!$O$101:$O$350,0),0)))))</f>
        <v/>
      </c>
      <c r="L228" s="825" t="str">
        <f>IF($CJ228="","",_xlfn.LET(_xlpm.v,UPPER(TRIM(_xlfn.XLOOKUP($CJ228,Equip_List,Equip_FdrMat,"")&amp;"")),IF(_xlpm.v="",UPPER(TRIM(Cfg_FeederMat&amp;"")),_xlpm.v)))</f>
        <v/>
      </c>
      <c r="M228" s="825" t="str">
        <f>IF($CJ228="","",_xlfn.LET(_xlpm.v,TRIM(_xlfn.XLOOKUP($CJ228,Equip_List,Equip_FdrRace,"")&amp;""),IF(_xlpm.v="",Cfg_Conduit&amp;"",_xlpm.v)))</f>
        <v/>
      </c>
      <c r="N228" s="825" t="str">
        <f>IF($CJ228="","",IF(UPPER(TRIM(_xlfn.XLOOKUP($CJ228,Equip_List,Equip_FdrExist,"")&amp;""))="Y","Y",""))</f>
        <v/>
      </c>
      <c r="O228" s="823" t="str">
        <f t="shared" si="68"/>
        <v/>
      </c>
      <c r="P228" s="821" t="str">
        <f t="shared" si="69"/>
        <v/>
      </c>
      <c r="Q228" s="821" t="str">
        <f t="shared" si="70"/>
        <v/>
      </c>
      <c r="R228" s="822" t="str" cm="1">
        <f t="array" ref="R228">IF(K228="","",INDEX(OCPD_List,MATCH(TRUE,OCPD_List&gt;=K228,0)))</f>
        <v/>
      </c>
      <c r="S228" s="821" t="str">
        <f t="shared" si="71"/>
        <v/>
      </c>
      <c r="T228" s="826" t="str">
        <f t="shared" si="61"/>
        <v/>
      </c>
      <c r="U228" s="826" t="str">
        <f t="shared" si="62"/>
        <v/>
      </c>
      <c r="V228" s="827" t="str">
        <f t="shared" si="63"/>
        <v/>
      </c>
      <c r="W228" s="828"/>
      <c r="X228" s="819"/>
      <c r="Y228" s="820"/>
      <c r="Z228" s="820"/>
      <c r="AA228" s="820"/>
      <c r="BN228" s="832" t="str">
        <f>IF($B228="","",IFERROR(_xlfn.XLOOKUP($D228,Dashboard!$A$101:$A$350,Dashboard!$C$101:$C$350),""))</f>
        <v/>
      </c>
      <c r="BO228" s="832" t="str">
        <f t="shared" si="64"/>
        <v/>
      </c>
      <c r="BP228" s="832" t="str" cm="1">
        <f t="array" ref="BP228">IF(OR($B228="",$R228="",NOT(ISNUMBER($R228))),"",IF(AND($BV228="AL",$G228=1),"",_xlfn.LET(_xlpm.codes,IF($BV228="AL",Std_Al3_Code,IF($G228=1,Std_Cu1_Code,Std_Cu3_Code)),_xlpm.amps,IFERROR(--SUBSTITUTE(_xlpm.codes&amp;"","N",""),""),_xlpm.a,MIN(IF(ISNUMBER(_xlpm.amps),IF(_xlpm.amps&gt;=$R228,_xlpm.amps,""),"")),_xlpm.k,IF(_xlpm.a=0,$R228,_xlpm.a),IF($BO228="Y",TEXT(_xlpm.k,"0")&amp;"N",_xlpm.k))))</f>
        <v/>
      </c>
      <c r="BQ228" s="832" t="str" cm="1">
        <f t="array" ref="BQ228">IF($BP228="","",IFERROR(IF($BV228="AL",_xlfn.XLOOKUP($BP228,Std_Al3_Code,INDEX(Std_Al3_Table,0,3)),IF($G228=1,_xlfn.XLOOKUP($BP228,Std_Cu1_Code,INDEX(Std_Cu1_Table,0,3)),_xlfn.XLOOKUP($BP228,Std_Cu3_Code,INDEX(Std_Cu3_Table,0,3)))),""))</f>
        <v/>
      </c>
      <c r="BR228" s="832" t="str" cm="1">
        <f t="array" ref="BR228">IF($BP228="","",IFERROR(IF($BV228="AL",_xlfn.XLOOKUP($BP228,Std_Al3_Code,INDEX(Std_Al3_Table,0,4)),IF($G228=1,_xlfn.XLOOKUP($BP228,Std_Cu1_Code,INDEX(Std_Cu1_Table,0,4)),_xlfn.XLOOKUP($BP228,Std_Cu3_Code,INDEX(Std_Cu3_Table,0,4)))),""))</f>
        <v/>
      </c>
      <c r="BS228" s="832" t="str" cm="1">
        <f t="array" ref="BS228">IF($BP228="","",IFERROR(IF($BV228="AL",_xlfn.XLOOKUP($BP228,Std_Al3_Code,INDEX(Std_Al3_Table,0,5)),IF($G228=1,_xlfn.XLOOKUP($BP228,Std_Cu1_Code,INDEX(Std_Cu1_Table,0,5)),_xlfn.XLOOKUP($BP228,Std_Cu3_Code,INDEX(Std_Cu3_Table,0,5)))),""))</f>
        <v/>
      </c>
      <c r="BT228" s="832" t="str">
        <f t="shared" si="65"/>
        <v/>
      </c>
      <c r="BU228" s="832" t="str" cm="1">
        <f t="array" ref="BU228">IF($BP228="","",IFERROR(IF($BV228="AL",_xlfn.XLOOKUP($BP228,Std_Al3_Code,INDEX(Std_Al3_Table,0,2)),IF($G228=1,_xlfn.XLOOKUP($BP228,Std_Cu1_Code,INDEX(Std_Cu1_Table,0,2)),_xlfn.XLOOKUP($BP228,Std_Cu3_Code,INDEX(Std_Cu3_Table,0,2)))),""))</f>
        <v/>
      </c>
      <c r="BV228" s="829" t="str">
        <f t="shared" si="66"/>
        <v/>
      </c>
      <c r="BW228" s="829" t="str">
        <f t="shared" si="72"/>
        <v/>
      </c>
      <c r="BX228" s="829" t="str" cm="1">
        <f t="array" ref="BX228">IF(OR($BP228="",$H228="",$I228="",$F228="",$BW228=""),"",IFERROR(_xlfn.LET(_xlpm.codes,IF($BV228="AL",Std_Al3_Code,IF($G228=1,Std_Cu1_Code,Std_Cu3_Code)),_xlpm.tbl,IF($BV228="AL",Std_Al3_Table,IF($G228=1,Std_Cu1_Table,Std_Cu3_Table)),_xlpm.i,MATCH($BP228,_xlpm.codes,0),_xlpm.idx,_xlfn.SEQUENCE(ROWS(_xlpm.codes)),_xlpm.cnd,INDEX(_xlpm.tbl,0,4),_xlpm.sts,INDEX(_xlpm.tbl,0,2),_xlpm.sz,IFERROR(_xlfn.TEXTBEFORE(_xlfn.TEXTAFTER(_xlpm.cnd,"#"),","),IFERROR(_xlfn.TEXTAFTER(_xlpm.cnd,"#"),"")),_xlpm.cm,IFERROR(_xlfn.XLOOKUP(TRIM(_xlpm.sz),Ampacity_Size,Ampacity_CM),0),_xlpm.mult,IF($G228=3,SQRT3,2),_xlpm.kk,IF($BV228="AL",K_Al,K_Cu),_xlpm.vd,IF(_xlpm.cm*IF(ISNUMBER(_xlpm.sts),_xlpm.sts,0)=0,9,_xlpm.mult*_xlpm.kk*$I228*$H228/(_xlpm.cm*_xlpm.sts)/$F228),_xlpm.hasN,--(RIGHT(_xlpm.codes&amp;"",1)="N"),_xlpm.wantN,--(RIGHT($BP228&amp;"",1)="N"),_xlpm.ok,(_xlpm.idx&gt;=_xlpm.i)*(_xlpm.vd&lt;=Cfg_VDFeeder)*(_xlpm.cm&gt;0)*ISNUMBER(_xlpm.sts)*(_xlpm.hasN=_xlpm.wantN),_xlpm.m,MIN(IF(_xlpm.ok=1,_xlpm.idx)),INDEX(_xlpm.codes,IF(_xlpm.m=0,_xlpm.i,_xlpm.m))),""))</f>
        <v/>
      </c>
      <c r="BY228" s="829" t="str" cm="1">
        <f t="array" ref="BY228">IF($BP228="","",IF($BX228="",$BU228,IFERROR(IF($BV228="AL",_xlfn.XLOOKUP($BX228,Std_Al3_Code,INDEX(Std_Al3_Table,0,2)),IF($G228=1,_xlfn.XLOOKUP($BX228,Std_Cu1_Code,INDEX(Std_Cu1_Table,0,2)),_xlfn.XLOOKUP($BX228,Std_Cu3_Code,INDEX(Std_Cu3_Table,0,2)))),"")))</f>
        <v/>
      </c>
      <c r="BZ228" s="829" t="str" cm="1">
        <f t="array" ref="BZ228">IF($BP228="","",IF($BX228="",$BR228,IFERROR(IF($BV228="AL",_xlfn.XLOOKUP($BX228,Std_Al3_Code,INDEX(Std_Al3_Table,0,4)),IF($G228=1,_xlfn.XLOOKUP($BX228,Std_Cu1_Code,INDEX(Std_Cu1_Table,0,4)),_xlfn.XLOOKUP($BX228,Std_Cu3_Code,INDEX(Std_Cu3_Table,0,4)))),"")))</f>
        <v/>
      </c>
      <c r="CA228" s="829" t="str" cm="1">
        <f t="array" ref="CA228">IF($BP228="","",IF($BX228="",$BQ228,IFERROR(IF($BV228="AL",_xlfn.XLOOKUP($BX228,Std_Al3_Code,INDEX(Std_Al3_Table,0,3)),IF($G228=1,_xlfn.XLOOKUP($BX228,Std_Cu1_Code,INDEX(Std_Cu1_Table,0,3)),_xlfn.XLOOKUP($BX228,Std_Cu3_Code,INDEX(Std_Cu3_Table,0,3)))),"")))</f>
        <v/>
      </c>
      <c r="CB228" s="829" t="str" cm="1">
        <f t="array" ref="CB228">IF($BP228="","",IF($BX228="",$BS228,IFERROR(IF($BV228="AL",_xlfn.XLOOKUP($BX228,Std_Al3_Code,INDEX(Std_Al3_Table,0,5)),IF($G228=1,_xlfn.XLOOKUP($BX228,Std_Cu1_Code,INDEX(Std_Cu1_Table,0,5)),_xlfn.XLOOKUP($BX228,Std_Cu3_Code,INDEX(Std_Cu3_Table,0,5)))),"")))</f>
        <v/>
      </c>
      <c r="CC228" s="829" t="str">
        <f t="shared" si="73"/>
        <v/>
      </c>
      <c r="CD228" s="829" t="str">
        <f t="shared" si="74"/>
        <v/>
      </c>
      <c r="CE228" s="829" t="str">
        <f t="shared" si="75"/>
        <v/>
      </c>
      <c r="CF228" s="829" t="str">
        <f t="shared" si="76"/>
        <v/>
      </c>
      <c r="CG228" s="829" t="str">
        <f t="shared" si="77"/>
        <v/>
      </c>
      <c r="CH228" s="829" t="str">
        <f t="shared" si="78"/>
        <v/>
      </c>
      <c r="CI228" s="829" t="str">
        <f t="shared" si="79"/>
        <v/>
      </c>
      <c r="CJ228" s="829" t="str" cm="1">
        <f t="array" ref="CJ228">IF($B228="","",_xlfn.LET(_xlpm.to,$D228&amp;"",_xlpm.em,IFERROR(INDEX(_xlfn.ANCHORARRAY($BE$4),ROW()-4,6),"")="EMERG",_xlpm.pri,AND(NOT(_xlpm.em),LEFT(_xlpm.to,2)="T-",ISNUMBER(MATCH(MID(_xlpm.to,3,99),Equip_List,0)),ISNA(MATCH(_xlpm.to,Equip_List,0))),IF(_xlpm.pri,MID(_xlpm.to,3,99),_xlpm.to)))</f>
        <v/>
      </c>
      <c r="CK228" s="829" t="str" cm="1">
        <f t="array" ref="CK228">IF($CJ228="","",IF(IFERROR(INDEX(_xlfn.ANCHORARRAY($BE$4),ROW()-4,6),"")="EMERG","E",IF($CJ228&lt;&gt;$D228&amp;"","P","N")))</f>
        <v/>
      </c>
    </row>
    <row r="229" spans="1:89" ht="15" customHeight="1" x14ac:dyDescent="0.35">
      <c r="A229" s="821" t="str">
        <f t="shared" si="67"/>
        <v/>
      </c>
      <c r="B229" s="821" t="str" cm="1">
        <f t="array" ref="B229">IFERROR(IF(INDEX(_xlfn.ANCHORARRAY($BE$4),ROW()-4,2)="","","F-"&amp;INDEX(_xlfn.ANCHORARRAY($BE$4),ROW()-4,2)&amp;IF(IFERROR(INDEX(_xlfn.ANCHORARRAY($BE$4),ROW()-4,6),"")="EMERG","-E","")),"")</f>
        <v/>
      </c>
      <c r="C229" s="821" t="str" cm="1">
        <f t="array" ref="C229">IFERROR(IF($B229="","",INDEX(_xlfn.ANCHORARRAY($BE$4),ROW()-4,1)),"")</f>
        <v/>
      </c>
      <c r="D229" s="821" t="str" cm="1">
        <f t="array" ref="D229">IFERROR(IF($B229="","",INDEX(_xlfn.ANCHORARRAY($BE$4),ROW()-4,2)),"")</f>
        <v/>
      </c>
      <c r="E229" s="806" t="str" cm="1">
        <f t="array" ref="E229">IFERROR(IF($B229="","",INDEX(_xlfn.ANCHORARRAY($BE$4),ROW()-4,3)),"")</f>
        <v/>
      </c>
      <c r="F229" s="822" t="str" cm="1">
        <f t="array" ref="F229">IFERROR(IF($B229="","",INDEX(_xlfn.ANCHORARRAY($BE$4),ROW()-4,4)),"")</f>
        <v/>
      </c>
      <c r="G229" s="823" t="str" cm="1">
        <f t="array" ref="G229">IFERROR(IF($B229="","",INDEX(_xlfn.ANCHORARRAY($BE$4),ROW()-4,5)),"")</f>
        <v/>
      </c>
      <c r="H229" s="824" t="str" cm="1">
        <f t="array" ref="H229">IF($CJ229="","",_xlfn.LET(_xlpm.v,_xlfn.XLOOKUP($CJ229,Equip_List,IF($CK229="E",Equip_EmLen,IF($CK229="P",Equip_XfPriLen,Equip_FdrLen)),""),IF(_xlpm.v="","",_xlpm.v)))</f>
        <v/>
      </c>
      <c r="I229" s="806" t="str">
        <f t="shared" si="60"/>
        <v/>
      </c>
      <c r="J229" s="820"/>
      <c r="K229" s="806" t="str">
        <f>_xlfn.LET(_xlpm.k,IF($I229="","",IF(COUNTIF(UPS!$B$57:$B$64,$C229&amp;"")&gt;0,1.25*MAX($I229,N(_xlfn.XLOOKUP($C229&amp;"",UPS!$B$57:$B$64,UPS!$M$57:$M$64,0))),IF(COUNTIF(UPS!$B$57:$B$64,$D229&amp;"")&gt;0,1.25*MAX($I229,N(_xlfn.XLOOKUP($D229&amp;"",UPS!$B$57:$B$64,UPS!$Q$57:$Q$64,0))),$I229*IF(OR(UPPER($J229)="Y",LEFT($C229,2)="T-",LEFT($D229,2)="T-"),1.25,1)))),IF(_xlpm.k="","",MAX(_xlpm.k,N(IFERROR(_xlfn.XLOOKUP($D229&amp;"",Dashboard!$A$101:$A$350,Dashboard!$O$101:$O$350,0),0)))))</f>
        <v/>
      </c>
      <c r="L229" s="825" t="str">
        <f>IF($CJ229="","",_xlfn.LET(_xlpm.v,UPPER(TRIM(_xlfn.XLOOKUP($CJ229,Equip_List,Equip_FdrMat,"")&amp;"")),IF(_xlpm.v="",UPPER(TRIM(Cfg_FeederMat&amp;"")),_xlpm.v)))</f>
        <v/>
      </c>
      <c r="M229" s="825" t="str">
        <f>IF($CJ229="","",_xlfn.LET(_xlpm.v,TRIM(_xlfn.XLOOKUP($CJ229,Equip_List,Equip_FdrRace,"")&amp;""),IF(_xlpm.v="",Cfg_Conduit&amp;"",_xlpm.v)))</f>
        <v/>
      </c>
      <c r="N229" s="825" t="str">
        <f>IF($CJ229="","",IF(UPPER(TRIM(_xlfn.XLOOKUP($CJ229,Equip_List,Equip_FdrExist,"")&amp;""))="Y","Y",""))</f>
        <v/>
      </c>
      <c r="O229" s="823" t="str">
        <f t="shared" si="68"/>
        <v/>
      </c>
      <c r="P229" s="821" t="str">
        <f t="shared" si="69"/>
        <v/>
      </c>
      <c r="Q229" s="821" t="str">
        <f t="shared" si="70"/>
        <v/>
      </c>
      <c r="R229" s="822" t="str" cm="1">
        <f t="array" ref="R229">IF(K229="","",INDEX(OCPD_List,MATCH(TRUE,OCPD_List&gt;=K229,0)))</f>
        <v/>
      </c>
      <c r="S229" s="821" t="str">
        <f t="shared" si="71"/>
        <v/>
      </c>
      <c r="T229" s="826" t="str">
        <f t="shared" si="61"/>
        <v/>
      </c>
      <c r="U229" s="826" t="str">
        <f t="shared" si="62"/>
        <v/>
      </c>
      <c r="V229" s="827" t="str">
        <f t="shared" si="63"/>
        <v/>
      </c>
      <c r="W229" s="828"/>
      <c r="X229" s="819"/>
      <c r="Y229" s="820"/>
      <c r="Z229" s="820"/>
      <c r="AA229" s="820"/>
      <c r="BN229" s="832" t="str">
        <f>IF($B229="","",IFERROR(_xlfn.XLOOKUP($D229,Dashboard!$A$101:$A$350,Dashboard!$C$101:$C$350),""))</f>
        <v/>
      </c>
      <c r="BO229" s="832" t="str">
        <f t="shared" si="64"/>
        <v/>
      </c>
      <c r="BP229" s="832" t="str" cm="1">
        <f t="array" ref="BP229">IF(OR($B229="",$R229="",NOT(ISNUMBER($R229))),"",IF(AND($BV229="AL",$G229=1),"",_xlfn.LET(_xlpm.codes,IF($BV229="AL",Std_Al3_Code,IF($G229=1,Std_Cu1_Code,Std_Cu3_Code)),_xlpm.amps,IFERROR(--SUBSTITUTE(_xlpm.codes&amp;"","N",""),""),_xlpm.a,MIN(IF(ISNUMBER(_xlpm.amps),IF(_xlpm.amps&gt;=$R229,_xlpm.amps,""),"")),_xlpm.k,IF(_xlpm.a=0,$R229,_xlpm.a),IF($BO229="Y",TEXT(_xlpm.k,"0")&amp;"N",_xlpm.k))))</f>
        <v/>
      </c>
      <c r="BQ229" s="832" t="str" cm="1">
        <f t="array" ref="BQ229">IF($BP229="","",IFERROR(IF($BV229="AL",_xlfn.XLOOKUP($BP229,Std_Al3_Code,INDEX(Std_Al3_Table,0,3)),IF($G229=1,_xlfn.XLOOKUP($BP229,Std_Cu1_Code,INDEX(Std_Cu1_Table,0,3)),_xlfn.XLOOKUP($BP229,Std_Cu3_Code,INDEX(Std_Cu3_Table,0,3)))),""))</f>
        <v/>
      </c>
      <c r="BR229" s="832" t="str" cm="1">
        <f t="array" ref="BR229">IF($BP229="","",IFERROR(IF($BV229="AL",_xlfn.XLOOKUP($BP229,Std_Al3_Code,INDEX(Std_Al3_Table,0,4)),IF($G229=1,_xlfn.XLOOKUP($BP229,Std_Cu1_Code,INDEX(Std_Cu1_Table,0,4)),_xlfn.XLOOKUP($BP229,Std_Cu3_Code,INDEX(Std_Cu3_Table,0,4)))),""))</f>
        <v/>
      </c>
      <c r="BS229" s="832" t="str" cm="1">
        <f t="array" ref="BS229">IF($BP229="","",IFERROR(IF($BV229="AL",_xlfn.XLOOKUP($BP229,Std_Al3_Code,INDEX(Std_Al3_Table,0,5)),IF($G229=1,_xlfn.XLOOKUP($BP229,Std_Cu1_Code,INDEX(Std_Cu1_Table,0,5)),_xlfn.XLOOKUP($BP229,Std_Cu3_Code,INDEX(Std_Cu3_Table,0,5)))),""))</f>
        <v/>
      </c>
      <c r="BT229" s="832" t="str">
        <f t="shared" si="65"/>
        <v/>
      </c>
      <c r="BU229" s="832" t="str" cm="1">
        <f t="array" ref="BU229">IF($BP229="","",IFERROR(IF($BV229="AL",_xlfn.XLOOKUP($BP229,Std_Al3_Code,INDEX(Std_Al3_Table,0,2)),IF($G229=1,_xlfn.XLOOKUP($BP229,Std_Cu1_Code,INDEX(Std_Cu1_Table,0,2)),_xlfn.XLOOKUP($BP229,Std_Cu3_Code,INDEX(Std_Cu3_Table,0,2)))),""))</f>
        <v/>
      </c>
      <c r="BV229" s="829" t="str">
        <f t="shared" si="66"/>
        <v/>
      </c>
      <c r="BW229" s="829" t="str">
        <f t="shared" si="72"/>
        <v/>
      </c>
      <c r="BX229" s="829" t="str" cm="1">
        <f t="array" ref="BX229">IF(OR($BP229="",$H229="",$I229="",$F229="",$BW229=""),"",IFERROR(_xlfn.LET(_xlpm.codes,IF($BV229="AL",Std_Al3_Code,IF($G229=1,Std_Cu1_Code,Std_Cu3_Code)),_xlpm.tbl,IF($BV229="AL",Std_Al3_Table,IF($G229=1,Std_Cu1_Table,Std_Cu3_Table)),_xlpm.i,MATCH($BP229,_xlpm.codes,0),_xlpm.idx,_xlfn.SEQUENCE(ROWS(_xlpm.codes)),_xlpm.cnd,INDEX(_xlpm.tbl,0,4),_xlpm.sts,INDEX(_xlpm.tbl,0,2),_xlpm.sz,IFERROR(_xlfn.TEXTBEFORE(_xlfn.TEXTAFTER(_xlpm.cnd,"#"),","),IFERROR(_xlfn.TEXTAFTER(_xlpm.cnd,"#"),"")),_xlpm.cm,IFERROR(_xlfn.XLOOKUP(TRIM(_xlpm.sz),Ampacity_Size,Ampacity_CM),0),_xlpm.mult,IF($G229=3,SQRT3,2),_xlpm.kk,IF($BV229="AL",K_Al,K_Cu),_xlpm.vd,IF(_xlpm.cm*IF(ISNUMBER(_xlpm.sts),_xlpm.sts,0)=0,9,_xlpm.mult*_xlpm.kk*$I229*$H229/(_xlpm.cm*_xlpm.sts)/$F229),_xlpm.hasN,--(RIGHT(_xlpm.codes&amp;"",1)="N"),_xlpm.wantN,--(RIGHT($BP229&amp;"",1)="N"),_xlpm.ok,(_xlpm.idx&gt;=_xlpm.i)*(_xlpm.vd&lt;=Cfg_VDFeeder)*(_xlpm.cm&gt;0)*ISNUMBER(_xlpm.sts)*(_xlpm.hasN=_xlpm.wantN),_xlpm.m,MIN(IF(_xlpm.ok=1,_xlpm.idx)),INDEX(_xlpm.codes,IF(_xlpm.m=0,_xlpm.i,_xlpm.m))),""))</f>
        <v/>
      </c>
      <c r="BY229" s="829" t="str" cm="1">
        <f t="array" ref="BY229">IF($BP229="","",IF($BX229="",$BU229,IFERROR(IF($BV229="AL",_xlfn.XLOOKUP($BX229,Std_Al3_Code,INDEX(Std_Al3_Table,0,2)),IF($G229=1,_xlfn.XLOOKUP($BX229,Std_Cu1_Code,INDEX(Std_Cu1_Table,0,2)),_xlfn.XLOOKUP($BX229,Std_Cu3_Code,INDEX(Std_Cu3_Table,0,2)))),"")))</f>
        <v/>
      </c>
      <c r="BZ229" s="829" t="str" cm="1">
        <f t="array" ref="BZ229">IF($BP229="","",IF($BX229="",$BR229,IFERROR(IF($BV229="AL",_xlfn.XLOOKUP($BX229,Std_Al3_Code,INDEX(Std_Al3_Table,0,4)),IF($G229=1,_xlfn.XLOOKUP($BX229,Std_Cu1_Code,INDEX(Std_Cu1_Table,0,4)),_xlfn.XLOOKUP($BX229,Std_Cu3_Code,INDEX(Std_Cu3_Table,0,4)))),"")))</f>
        <v/>
      </c>
      <c r="CA229" s="829" t="str" cm="1">
        <f t="array" ref="CA229">IF($BP229="","",IF($BX229="",$BQ229,IFERROR(IF($BV229="AL",_xlfn.XLOOKUP($BX229,Std_Al3_Code,INDEX(Std_Al3_Table,0,3)),IF($G229=1,_xlfn.XLOOKUP($BX229,Std_Cu1_Code,INDEX(Std_Cu1_Table,0,3)),_xlfn.XLOOKUP($BX229,Std_Cu3_Code,INDEX(Std_Cu3_Table,0,3)))),"")))</f>
        <v/>
      </c>
      <c r="CB229" s="829" t="str" cm="1">
        <f t="array" ref="CB229">IF($BP229="","",IF($BX229="",$BS229,IFERROR(IF($BV229="AL",_xlfn.XLOOKUP($BX229,Std_Al3_Code,INDEX(Std_Al3_Table,0,5)),IF($G229=1,_xlfn.XLOOKUP($BX229,Std_Cu1_Code,INDEX(Std_Cu1_Table,0,5)),_xlfn.XLOOKUP($BX229,Std_Cu3_Code,INDEX(Std_Cu3_Table,0,5)))),"")))</f>
        <v/>
      </c>
      <c r="CC229" s="829" t="str">
        <f t="shared" si="73"/>
        <v/>
      </c>
      <c r="CD229" s="829" t="str">
        <f t="shared" si="74"/>
        <v/>
      </c>
      <c r="CE229" s="829" t="str">
        <f t="shared" si="75"/>
        <v/>
      </c>
      <c r="CF229" s="829" t="str">
        <f t="shared" si="76"/>
        <v/>
      </c>
      <c r="CG229" s="829" t="str">
        <f t="shared" si="77"/>
        <v/>
      </c>
      <c r="CH229" s="829" t="str">
        <f t="shared" si="78"/>
        <v/>
      </c>
      <c r="CI229" s="829" t="str">
        <f t="shared" si="79"/>
        <v/>
      </c>
      <c r="CJ229" s="829" t="str" cm="1">
        <f t="array" ref="CJ229">IF($B229="","",_xlfn.LET(_xlpm.to,$D229&amp;"",_xlpm.em,IFERROR(INDEX(_xlfn.ANCHORARRAY($BE$4),ROW()-4,6),"")="EMERG",_xlpm.pri,AND(NOT(_xlpm.em),LEFT(_xlpm.to,2)="T-",ISNUMBER(MATCH(MID(_xlpm.to,3,99),Equip_List,0)),ISNA(MATCH(_xlpm.to,Equip_List,0))),IF(_xlpm.pri,MID(_xlpm.to,3,99),_xlpm.to)))</f>
        <v/>
      </c>
      <c r="CK229" s="829" t="str" cm="1">
        <f t="array" ref="CK229">IF($CJ229="","",IF(IFERROR(INDEX(_xlfn.ANCHORARRAY($BE$4),ROW()-4,6),"")="EMERG","E",IF($CJ229&lt;&gt;$D229&amp;"","P","N")))</f>
        <v/>
      </c>
    </row>
    <row r="230" spans="1:89" ht="15" customHeight="1" x14ac:dyDescent="0.35">
      <c r="A230" s="821" t="str">
        <f t="shared" si="67"/>
        <v/>
      </c>
      <c r="B230" s="821" t="str" cm="1">
        <f t="array" ref="B230">IFERROR(IF(INDEX(_xlfn.ANCHORARRAY($BE$4),ROW()-4,2)="","","F-"&amp;INDEX(_xlfn.ANCHORARRAY($BE$4),ROW()-4,2)&amp;IF(IFERROR(INDEX(_xlfn.ANCHORARRAY($BE$4),ROW()-4,6),"")="EMERG","-E","")),"")</f>
        <v/>
      </c>
      <c r="C230" s="821" t="str" cm="1">
        <f t="array" ref="C230">IFERROR(IF($B230="","",INDEX(_xlfn.ANCHORARRAY($BE$4),ROW()-4,1)),"")</f>
        <v/>
      </c>
      <c r="D230" s="821" t="str" cm="1">
        <f t="array" ref="D230">IFERROR(IF($B230="","",INDEX(_xlfn.ANCHORARRAY($BE$4),ROW()-4,2)),"")</f>
        <v/>
      </c>
      <c r="E230" s="806" t="str" cm="1">
        <f t="array" ref="E230">IFERROR(IF($B230="","",INDEX(_xlfn.ANCHORARRAY($BE$4),ROW()-4,3)),"")</f>
        <v/>
      </c>
      <c r="F230" s="822" t="str" cm="1">
        <f t="array" ref="F230">IFERROR(IF($B230="","",INDEX(_xlfn.ANCHORARRAY($BE$4),ROW()-4,4)),"")</f>
        <v/>
      </c>
      <c r="G230" s="823" t="str" cm="1">
        <f t="array" ref="G230">IFERROR(IF($B230="","",INDEX(_xlfn.ANCHORARRAY($BE$4),ROW()-4,5)),"")</f>
        <v/>
      </c>
      <c r="H230" s="824" t="str" cm="1">
        <f t="array" ref="H230">IF($CJ230="","",_xlfn.LET(_xlpm.v,_xlfn.XLOOKUP($CJ230,Equip_List,IF($CK230="E",Equip_EmLen,IF($CK230="P",Equip_XfPriLen,Equip_FdrLen)),""),IF(_xlpm.v="","",_xlpm.v)))</f>
        <v/>
      </c>
      <c r="I230" s="806" t="str">
        <f t="shared" si="60"/>
        <v/>
      </c>
      <c r="J230" s="820"/>
      <c r="K230" s="806" t="str">
        <f>_xlfn.LET(_xlpm.k,IF($I230="","",IF(COUNTIF(UPS!$B$57:$B$64,$C230&amp;"")&gt;0,1.25*MAX($I230,N(_xlfn.XLOOKUP($C230&amp;"",UPS!$B$57:$B$64,UPS!$M$57:$M$64,0))),IF(COUNTIF(UPS!$B$57:$B$64,$D230&amp;"")&gt;0,1.25*MAX($I230,N(_xlfn.XLOOKUP($D230&amp;"",UPS!$B$57:$B$64,UPS!$Q$57:$Q$64,0))),$I230*IF(OR(UPPER($J230)="Y",LEFT($C230,2)="T-",LEFT($D230,2)="T-"),1.25,1)))),IF(_xlpm.k="","",MAX(_xlpm.k,N(IFERROR(_xlfn.XLOOKUP($D230&amp;"",Dashboard!$A$101:$A$350,Dashboard!$O$101:$O$350,0),0)))))</f>
        <v/>
      </c>
      <c r="L230" s="825" t="str">
        <f>IF($CJ230="","",_xlfn.LET(_xlpm.v,UPPER(TRIM(_xlfn.XLOOKUP($CJ230,Equip_List,Equip_FdrMat,"")&amp;"")),IF(_xlpm.v="",UPPER(TRIM(Cfg_FeederMat&amp;"")),_xlpm.v)))</f>
        <v/>
      </c>
      <c r="M230" s="825" t="str">
        <f>IF($CJ230="","",_xlfn.LET(_xlpm.v,TRIM(_xlfn.XLOOKUP($CJ230,Equip_List,Equip_FdrRace,"")&amp;""),IF(_xlpm.v="",Cfg_Conduit&amp;"",_xlpm.v)))</f>
        <v/>
      </c>
      <c r="N230" s="825" t="str">
        <f>IF($CJ230="","",IF(UPPER(TRIM(_xlfn.XLOOKUP($CJ230,Equip_List,Equip_FdrExist,"")&amp;""))="Y","Y",""))</f>
        <v/>
      </c>
      <c r="O230" s="823" t="str">
        <f t="shared" si="68"/>
        <v/>
      </c>
      <c r="P230" s="821" t="str">
        <f t="shared" si="69"/>
        <v/>
      </c>
      <c r="Q230" s="821" t="str">
        <f t="shared" si="70"/>
        <v/>
      </c>
      <c r="R230" s="822" t="str" cm="1">
        <f t="array" ref="R230">IF(K230="","",INDEX(OCPD_List,MATCH(TRUE,OCPD_List&gt;=K230,0)))</f>
        <v/>
      </c>
      <c r="S230" s="821" t="str">
        <f t="shared" si="71"/>
        <v/>
      </c>
      <c r="T230" s="826" t="str">
        <f t="shared" si="61"/>
        <v/>
      </c>
      <c r="U230" s="826" t="str">
        <f t="shared" si="62"/>
        <v/>
      </c>
      <c r="V230" s="827" t="str">
        <f t="shared" si="63"/>
        <v/>
      </c>
      <c r="W230" s="828"/>
      <c r="X230" s="819"/>
      <c r="Y230" s="820"/>
      <c r="Z230" s="820"/>
      <c r="AA230" s="820"/>
      <c r="BN230" s="832" t="str">
        <f>IF($B230="","",IFERROR(_xlfn.XLOOKUP($D230,Dashboard!$A$101:$A$350,Dashboard!$C$101:$C$350),""))</f>
        <v/>
      </c>
      <c r="BO230" s="832" t="str">
        <f t="shared" si="64"/>
        <v/>
      </c>
      <c r="BP230" s="832" t="str" cm="1">
        <f t="array" ref="BP230">IF(OR($B230="",$R230="",NOT(ISNUMBER($R230))),"",IF(AND($BV230="AL",$G230=1),"",_xlfn.LET(_xlpm.codes,IF($BV230="AL",Std_Al3_Code,IF($G230=1,Std_Cu1_Code,Std_Cu3_Code)),_xlpm.amps,IFERROR(--SUBSTITUTE(_xlpm.codes&amp;"","N",""),""),_xlpm.a,MIN(IF(ISNUMBER(_xlpm.amps),IF(_xlpm.amps&gt;=$R230,_xlpm.amps,""),"")),_xlpm.k,IF(_xlpm.a=0,$R230,_xlpm.a),IF($BO230="Y",TEXT(_xlpm.k,"0")&amp;"N",_xlpm.k))))</f>
        <v/>
      </c>
      <c r="BQ230" s="832" t="str" cm="1">
        <f t="array" ref="BQ230">IF($BP230="","",IFERROR(IF($BV230="AL",_xlfn.XLOOKUP($BP230,Std_Al3_Code,INDEX(Std_Al3_Table,0,3)),IF($G230=1,_xlfn.XLOOKUP($BP230,Std_Cu1_Code,INDEX(Std_Cu1_Table,0,3)),_xlfn.XLOOKUP($BP230,Std_Cu3_Code,INDEX(Std_Cu3_Table,0,3)))),""))</f>
        <v/>
      </c>
      <c r="BR230" s="832" t="str" cm="1">
        <f t="array" ref="BR230">IF($BP230="","",IFERROR(IF($BV230="AL",_xlfn.XLOOKUP($BP230,Std_Al3_Code,INDEX(Std_Al3_Table,0,4)),IF($G230=1,_xlfn.XLOOKUP($BP230,Std_Cu1_Code,INDEX(Std_Cu1_Table,0,4)),_xlfn.XLOOKUP($BP230,Std_Cu3_Code,INDEX(Std_Cu3_Table,0,4)))),""))</f>
        <v/>
      </c>
      <c r="BS230" s="832" t="str" cm="1">
        <f t="array" ref="BS230">IF($BP230="","",IFERROR(IF($BV230="AL",_xlfn.XLOOKUP($BP230,Std_Al3_Code,INDEX(Std_Al3_Table,0,5)),IF($G230=1,_xlfn.XLOOKUP($BP230,Std_Cu1_Code,INDEX(Std_Cu1_Table,0,5)),_xlfn.XLOOKUP($BP230,Std_Cu3_Code,INDEX(Std_Cu3_Table,0,5)))),""))</f>
        <v/>
      </c>
      <c r="BT230" s="832" t="str">
        <f t="shared" si="65"/>
        <v/>
      </c>
      <c r="BU230" s="832" t="str" cm="1">
        <f t="array" ref="BU230">IF($BP230="","",IFERROR(IF($BV230="AL",_xlfn.XLOOKUP($BP230,Std_Al3_Code,INDEX(Std_Al3_Table,0,2)),IF($G230=1,_xlfn.XLOOKUP($BP230,Std_Cu1_Code,INDEX(Std_Cu1_Table,0,2)),_xlfn.XLOOKUP($BP230,Std_Cu3_Code,INDEX(Std_Cu3_Table,0,2)))),""))</f>
        <v/>
      </c>
      <c r="BV230" s="829" t="str">
        <f t="shared" si="66"/>
        <v/>
      </c>
      <c r="BW230" s="829" t="str">
        <f t="shared" si="72"/>
        <v/>
      </c>
      <c r="BX230" s="829" t="str" cm="1">
        <f t="array" ref="BX230">IF(OR($BP230="",$H230="",$I230="",$F230="",$BW230=""),"",IFERROR(_xlfn.LET(_xlpm.codes,IF($BV230="AL",Std_Al3_Code,IF($G230=1,Std_Cu1_Code,Std_Cu3_Code)),_xlpm.tbl,IF($BV230="AL",Std_Al3_Table,IF($G230=1,Std_Cu1_Table,Std_Cu3_Table)),_xlpm.i,MATCH($BP230,_xlpm.codes,0),_xlpm.idx,_xlfn.SEQUENCE(ROWS(_xlpm.codes)),_xlpm.cnd,INDEX(_xlpm.tbl,0,4),_xlpm.sts,INDEX(_xlpm.tbl,0,2),_xlpm.sz,IFERROR(_xlfn.TEXTBEFORE(_xlfn.TEXTAFTER(_xlpm.cnd,"#"),","),IFERROR(_xlfn.TEXTAFTER(_xlpm.cnd,"#"),"")),_xlpm.cm,IFERROR(_xlfn.XLOOKUP(TRIM(_xlpm.sz),Ampacity_Size,Ampacity_CM),0),_xlpm.mult,IF($G230=3,SQRT3,2),_xlpm.kk,IF($BV230="AL",K_Al,K_Cu),_xlpm.vd,IF(_xlpm.cm*IF(ISNUMBER(_xlpm.sts),_xlpm.sts,0)=0,9,_xlpm.mult*_xlpm.kk*$I230*$H230/(_xlpm.cm*_xlpm.sts)/$F230),_xlpm.hasN,--(RIGHT(_xlpm.codes&amp;"",1)="N"),_xlpm.wantN,--(RIGHT($BP230&amp;"",1)="N"),_xlpm.ok,(_xlpm.idx&gt;=_xlpm.i)*(_xlpm.vd&lt;=Cfg_VDFeeder)*(_xlpm.cm&gt;0)*ISNUMBER(_xlpm.sts)*(_xlpm.hasN=_xlpm.wantN),_xlpm.m,MIN(IF(_xlpm.ok=1,_xlpm.idx)),INDEX(_xlpm.codes,IF(_xlpm.m=0,_xlpm.i,_xlpm.m))),""))</f>
        <v/>
      </c>
      <c r="BY230" s="829" t="str" cm="1">
        <f t="array" ref="BY230">IF($BP230="","",IF($BX230="",$BU230,IFERROR(IF($BV230="AL",_xlfn.XLOOKUP($BX230,Std_Al3_Code,INDEX(Std_Al3_Table,0,2)),IF($G230=1,_xlfn.XLOOKUP($BX230,Std_Cu1_Code,INDEX(Std_Cu1_Table,0,2)),_xlfn.XLOOKUP($BX230,Std_Cu3_Code,INDEX(Std_Cu3_Table,0,2)))),"")))</f>
        <v/>
      </c>
      <c r="BZ230" s="829" t="str" cm="1">
        <f t="array" ref="BZ230">IF($BP230="","",IF($BX230="",$BR230,IFERROR(IF($BV230="AL",_xlfn.XLOOKUP($BX230,Std_Al3_Code,INDEX(Std_Al3_Table,0,4)),IF($G230=1,_xlfn.XLOOKUP($BX230,Std_Cu1_Code,INDEX(Std_Cu1_Table,0,4)),_xlfn.XLOOKUP($BX230,Std_Cu3_Code,INDEX(Std_Cu3_Table,0,4)))),"")))</f>
        <v/>
      </c>
      <c r="CA230" s="829" t="str" cm="1">
        <f t="array" ref="CA230">IF($BP230="","",IF($BX230="",$BQ230,IFERROR(IF($BV230="AL",_xlfn.XLOOKUP($BX230,Std_Al3_Code,INDEX(Std_Al3_Table,0,3)),IF($G230=1,_xlfn.XLOOKUP($BX230,Std_Cu1_Code,INDEX(Std_Cu1_Table,0,3)),_xlfn.XLOOKUP($BX230,Std_Cu3_Code,INDEX(Std_Cu3_Table,0,3)))),"")))</f>
        <v/>
      </c>
      <c r="CB230" s="829" t="str" cm="1">
        <f t="array" ref="CB230">IF($BP230="","",IF($BX230="",$BS230,IFERROR(IF($BV230="AL",_xlfn.XLOOKUP($BX230,Std_Al3_Code,INDEX(Std_Al3_Table,0,5)),IF($G230=1,_xlfn.XLOOKUP($BX230,Std_Cu1_Code,INDEX(Std_Cu1_Table,0,5)),_xlfn.XLOOKUP($BX230,Std_Cu3_Code,INDEX(Std_Cu3_Table,0,5)))),"")))</f>
        <v/>
      </c>
      <c r="CC230" s="829" t="str">
        <f t="shared" si="73"/>
        <v/>
      </c>
      <c r="CD230" s="829" t="str">
        <f t="shared" si="74"/>
        <v/>
      </c>
      <c r="CE230" s="829" t="str">
        <f t="shared" si="75"/>
        <v/>
      </c>
      <c r="CF230" s="829" t="str">
        <f t="shared" si="76"/>
        <v/>
      </c>
      <c r="CG230" s="829" t="str">
        <f t="shared" si="77"/>
        <v/>
      </c>
      <c r="CH230" s="829" t="str">
        <f t="shared" si="78"/>
        <v/>
      </c>
      <c r="CI230" s="829" t="str">
        <f t="shared" si="79"/>
        <v/>
      </c>
      <c r="CJ230" s="829" t="str" cm="1">
        <f t="array" ref="CJ230">IF($B230="","",_xlfn.LET(_xlpm.to,$D230&amp;"",_xlpm.em,IFERROR(INDEX(_xlfn.ANCHORARRAY($BE$4),ROW()-4,6),"")="EMERG",_xlpm.pri,AND(NOT(_xlpm.em),LEFT(_xlpm.to,2)="T-",ISNUMBER(MATCH(MID(_xlpm.to,3,99),Equip_List,0)),ISNA(MATCH(_xlpm.to,Equip_List,0))),IF(_xlpm.pri,MID(_xlpm.to,3,99),_xlpm.to)))</f>
        <v/>
      </c>
      <c r="CK230" s="829" t="str" cm="1">
        <f t="array" ref="CK230">IF($CJ230="","",IF(IFERROR(INDEX(_xlfn.ANCHORARRAY($BE$4),ROW()-4,6),"")="EMERG","E",IF($CJ230&lt;&gt;$D230&amp;"","P","N")))</f>
        <v/>
      </c>
    </row>
    <row r="231" spans="1:89" ht="15" customHeight="1" x14ac:dyDescent="0.35">
      <c r="A231" s="821" t="str">
        <f t="shared" si="67"/>
        <v/>
      </c>
      <c r="B231" s="821" t="str" cm="1">
        <f t="array" ref="B231">IFERROR(IF(INDEX(_xlfn.ANCHORARRAY($BE$4),ROW()-4,2)="","","F-"&amp;INDEX(_xlfn.ANCHORARRAY($BE$4),ROW()-4,2)&amp;IF(IFERROR(INDEX(_xlfn.ANCHORARRAY($BE$4),ROW()-4,6),"")="EMERG","-E","")),"")</f>
        <v/>
      </c>
      <c r="C231" s="821" t="str" cm="1">
        <f t="array" ref="C231">IFERROR(IF($B231="","",INDEX(_xlfn.ANCHORARRAY($BE$4),ROW()-4,1)),"")</f>
        <v/>
      </c>
      <c r="D231" s="821" t="str" cm="1">
        <f t="array" ref="D231">IFERROR(IF($B231="","",INDEX(_xlfn.ANCHORARRAY($BE$4),ROW()-4,2)),"")</f>
        <v/>
      </c>
      <c r="E231" s="806" t="str" cm="1">
        <f t="array" ref="E231">IFERROR(IF($B231="","",INDEX(_xlfn.ANCHORARRAY($BE$4),ROW()-4,3)),"")</f>
        <v/>
      </c>
      <c r="F231" s="822" t="str" cm="1">
        <f t="array" ref="F231">IFERROR(IF($B231="","",INDEX(_xlfn.ANCHORARRAY($BE$4),ROW()-4,4)),"")</f>
        <v/>
      </c>
      <c r="G231" s="823" t="str" cm="1">
        <f t="array" ref="G231">IFERROR(IF($B231="","",INDEX(_xlfn.ANCHORARRAY($BE$4),ROW()-4,5)),"")</f>
        <v/>
      </c>
      <c r="H231" s="824" t="str" cm="1">
        <f t="array" ref="H231">IF($CJ231="","",_xlfn.LET(_xlpm.v,_xlfn.XLOOKUP($CJ231,Equip_List,IF($CK231="E",Equip_EmLen,IF($CK231="P",Equip_XfPriLen,Equip_FdrLen)),""),IF(_xlpm.v="","",_xlpm.v)))</f>
        <v/>
      </c>
      <c r="I231" s="806" t="str">
        <f t="shared" si="60"/>
        <v/>
      </c>
      <c r="J231" s="820"/>
      <c r="K231" s="806" t="str">
        <f>_xlfn.LET(_xlpm.k,IF($I231="","",IF(COUNTIF(UPS!$B$57:$B$64,$C231&amp;"")&gt;0,1.25*MAX($I231,N(_xlfn.XLOOKUP($C231&amp;"",UPS!$B$57:$B$64,UPS!$M$57:$M$64,0))),IF(COUNTIF(UPS!$B$57:$B$64,$D231&amp;"")&gt;0,1.25*MAX($I231,N(_xlfn.XLOOKUP($D231&amp;"",UPS!$B$57:$B$64,UPS!$Q$57:$Q$64,0))),$I231*IF(OR(UPPER($J231)="Y",LEFT($C231,2)="T-",LEFT($D231,2)="T-"),1.25,1)))),IF(_xlpm.k="","",MAX(_xlpm.k,N(IFERROR(_xlfn.XLOOKUP($D231&amp;"",Dashboard!$A$101:$A$350,Dashboard!$O$101:$O$350,0),0)))))</f>
        <v/>
      </c>
      <c r="L231" s="825" t="str">
        <f>IF($CJ231="","",_xlfn.LET(_xlpm.v,UPPER(TRIM(_xlfn.XLOOKUP($CJ231,Equip_List,Equip_FdrMat,"")&amp;"")),IF(_xlpm.v="",UPPER(TRIM(Cfg_FeederMat&amp;"")),_xlpm.v)))</f>
        <v/>
      </c>
      <c r="M231" s="825" t="str">
        <f>IF($CJ231="","",_xlfn.LET(_xlpm.v,TRIM(_xlfn.XLOOKUP($CJ231,Equip_List,Equip_FdrRace,"")&amp;""),IF(_xlpm.v="",Cfg_Conduit&amp;"",_xlpm.v)))</f>
        <v/>
      </c>
      <c r="N231" s="825" t="str">
        <f>IF($CJ231="","",IF(UPPER(TRIM(_xlfn.XLOOKUP($CJ231,Equip_List,Equip_FdrExist,"")&amp;""))="Y","Y",""))</f>
        <v/>
      </c>
      <c r="O231" s="823" t="str">
        <f t="shared" si="68"/>
        <v/>
      </c>
      <c r="P231" s="821" t="str">
        <f t="shared" si="69"/>
        <v/>
      </c>
      <c r="Q231" s="821" t="str">
        <f t="shared" si="70"/>
        <v/>
      </c>
      <c r="R231" s="822" t="str" cm="1">
        <f t="array" ref="R231">IF(K231="","",INDEX(OCPD_List,MATCH(TRUE,OCPD_List&gt;=K231,0)))</f>
        <v/>
      </c>
      <c r="S231" s="821" t="str">
        <f t="shared" si="71"/>
        <v/>
      </c>
      <c r="T231" s="826" t="str">
        <f t="shared" si="61"/>
        <v/>
      </c>
      <c r="U231" s="826" t="str">
        <f t="shared" si="62"/>
        <v/>
      </c>
      <c r="V231" s="827" t="str">
        <f t="shared" si="63"/>
        <v/>
      </c>
      <c r="W231" s="828"/>
      <c r="X231" s="819"/>
      <c r="Y231" s="820"/>
      <c r="Z231" s="820"/>
      <c r="AA231" s="820"/>
      <c r="BN231" s="832" t="str">
        <f>IF($B231="","",IFERROR(_xlfn.XLOOKUP($D231,Dashboard!$A$101:$A$350,Dashboard!$C$101:$C$350),""))</f>
        <v/>
      </c>
      <c r="BO231" s="832" t="str">
        <f t="shared" si="64"/>
        <v/>
      </c>
      <c r="BP231" s="832" t="str" cm="1">
        <f t="array" ref="BP231">IF(OR($B231="",$R231="",NOT(ISNUMBER($R231))),"",IF(AND($BV231="AL",$G231=1),"",_xlfn.LET(_xlpm.codes,IF($BV231="AL",Std_Al3_Code,IF($G231=1,Std_Cu1_Code,Std_Cu3_Code)),_xlpm.amps,IFERROR(--SUBSTITUTE(_xlpm.codes&amp;"","N",""),""),_xlpm.a,MIN(IF(ISNUMBER(_xlpm.amps),IF(_xlpm.amps&gt;=$R231,_xlpm.amps,""),"")),_xlpm.k,IF(_xlpm.a=0,$R231,_xlpm.a),IF($BO231="Y",TEXT(_xlpm.k,"0")&amp;"N",_xlpm.k))))</f>
        <v/>
      </c>
      <c r="BQ231" s="832" t="str" cm="1">
        <f t="array" ref="BQ231">IF($BP231="","",IFERROR(IF($BV231="AL",_xlfn.XLOOKUP($BP231,Std_Al3_Code,INDEX(Std_Al3_Table,0,3)),IF($G231=1,_xlfn.XLOOKUP($BP231,Std_Cu1_Code,INDEX(Std_Cu1_Table,0,3)),_xlfn.XLOOKUP($BP231,Std_Cu3_Code,INDEX(Std_Cu3_Table,0,3)))),""))</f>
        <v/>
      </c>
      <c r="BR231" s="832" t="str" cm="1">
        <f t="array" ref="BR231">IF($BP231="","",IFERROR(IF($BV231="AL",_xlfn.XLOOKUP($BP231,Std_Al3_Code,INDEX(Std_Al3_Table,0,4)),IF($G231=1,_xlfn.XLOOKUP($BP231,Std_Cu1_Code,INDEX(Std_Cu1_Table,0,4)),_xlfn.XLOOKUP($BP231,Std_Cu3_Code,INDEX(Std_Cu3_Table,0,4)))),""))</f>
        <v/>
      </c>
      <c r="BS231" s="832" t="str" cm="1">
        <f t="array" ref="BS231">IF($BP231="","",IFERROR(IF($BV231="AL",_xlfn.XLOOKUP($BP231,Std_Al3_Code,INDEX(Std_Al3_Table,0,5)),IF($G231=1,_xlfn.XLOOKUP($BP231,Std_Cu1_Code,INDEX(Std_Cu1_Table,0,5)),_xlfn.XLOOKUP($BP231,Std_Cu3_Code,INDEX(Std_Cu3_Table,0,5)))),""))</f>
        <v/>
      </c>
      <c r="BT231" s="832" t="str">
        <f t="shared" si="65"/>
        <v/>
      </c>
      <c r="BU231" s="832" t="str" cm="1">
        <f t="array" ref="BU231">IF($BP231="","",IFERROR(IF($BV231="AL",_xlfn.XLOOKUP($BP231,Std_Al3_Code,INDEX(Std_Al3_Table,0,2)),IF($G231=1,_xlfn.XLOOKUP($BP231,Std_Cu1_Code,INDEX(Std_Cu1_Table,0,2)),_xlfn.XLOOKUP($BP231,Std_Cu3_Code,INDEX(Std_Cu3_Table,0,2)))),""))</f>
        <v/>
      </c>
      <c r="BV231" s="829" t="str">
        <f t="shared" si="66"/>
        <v/>
      </c>
      <c r="BW231" s="829" t="str">
        <f t="shared" si="72"/>
        <v/>
      </c>
      <c r="BX231" s="829" t="str" cm="1">
        <f t="array" ref="BX231">IF(OR($BP231="",$H231="",$I231="",$F231="",$BW231=""),"",IFERROR(_xlfn.LET(_xlpm.codes,IF($BV231="AL",Std_Al3_Code,IF($G231=1,Std_Cu1_Code,Std_Cu3_Code)),_xlpm.tbl,IF($BV231="AL",Std_Al3_Table,IF($G231=1,Std_Cu1_Table,Std_Cu3_Table)),_xlpm.i,MATCH($BP231,_xlpm.codes,0),_xlpm.idx,_xlfn.SEQUENCE(ROWS(_xlpm.codes)),_xlpm.cnd,INDEX(_xlpm.tbl,0,4),_xlpm.sts,INDEX(_xlpm.tbl,0,2),_xlpm.sz,IFERROR(_xlfn.TEXTBEFORE(_xlfn.TEXTAFTER(_xlpm.cnd,"#"),","),IFERROR(_xlfn.TEXTAFTER(_xlpm.cnd,"#"),"")),_xlpm.cm,IFERROR(_xlfn.XLOOKUP(TRIM(_xlpm.sz),Ampacity_Size,Ampacity_CM),0),_xlpm.mult,IF($G231=3,SQRT3,2),_xlpm.kk,IF($BV231="AL",K_Al,K_Cu),_xlpm.vd,IF(_xlpm.cm*IF(ISNUMBER(_xlpm.sts),_xlpm.sts,0)=0,9,_xlpm.mult*_xlpm.kk*$I231*$H231/(_xlpm.cm*_xlpm.sts)/$F231),_xlpm.hasN,--(RIGHT(_xlpm.codes&amp;"",1)="N"),_xlpm.wantN,--(RIGHT($BP231&amp;"",1)="N"),_xlpm.ok,(_xlpm.idx&gt;=_xlpm.i)*(_xlpm.vd&lt;=Cfg_VDFeeder)*(_xlpm.cm&gt;0)*ISNUMBER(_xlpm.sts)*(_xlpm.hasN=_xlpm.wantN),_xlpm.m,MIN(IF(_xlpm.ok=1,_xlpm.idx)),INDEX(_xlpm.codes,IF(_xlpm.m=0,_xlpm.i,_xlpm.m))),""))</f>
        <v/>
      </c>
      <c r="BY231" s="829" t="str" cm="1">
        <f t="array" ref="BY231">IF($BP231="","",IF($BX231="",$BU231,IFERROR(IF($BV231="AL",_xlfn.XLOOKUP($BX231,Std_Al3_Code,INDEX(Std_Al3_Table,0,2)),IF($G231=1,_xlfn.XLOOKUP($BX231,Std_Cu1_Code,INDEX(Std_Cu1_Table,0,2)),_xlfn.XLOOKUP($BX231,Std_Cu3_Code,INDEX(Std_Cu3_Table,0,2)))),"")))</f>
        <v/>
      </c>
      <c r="BZ231" s="829" t="str" cm="1">
        <f t="array" ref="BZ231">IF($BP231="","",IF($BX231="",$BR231,IFERROR(IF($BV231="AL",_xlfn.XLOOKUP($BX231,Std_Al3_Code,INDEX(Std_Al3_Table,0,4)),IF($G231=1,_xlfn.XLOOKUP($BX231,Std_Cu1_Code,INDEX(Std_Cu1_Table,0,4)),_xlfn.XLOOKUP($BX231,Std_Cu3_Code,INDEX(Std_Cu3_Table,0,4)))),"")))</f>
        <v/>
      </c>
      <c r="CA231" s="829" t="str" cm="1">
        <f t="array" ref="CA231">IF($BP231="","",IF($BX231="",$BQ231,IFERROR(IF($BV231="AL",_xlfn.XLOOKUP($BX231,Std_Al3_Code,INDEX(Std_Al3_Table,0,3)),IF($G231=1,_xlfn.XLOOKUP($BX231,Std_Cu1_Code,INDEX(Std_Cu1_Table,0,3)),_xlfn.XLOOKUP($BX231,Std_Cu3_Code,INDEX(Std_Cu3_Table,0,3)))),"")))</f>
        <v/>
      </c>
      <c r="CB231" s="829" t="str" cm="1">
        <f t="array" ref="CB231">IF($BP231="","",IF($BX231="",$BS231,IFERROR(IF($BV231="AL",_xlfn.XLOOKUP($BX231,Std_Al3_Code,INDEX(Std_Al3_Table,0,5)),IF($G231=1,_xlfn.XLOOKUP($BX231,Std_Cu1_Code,INDEX(Std_Cu1_Table,0,5)),_xlfn.XLOOKUP($BX231,Std_Cu3_Code,INDEX(Std_Cu3_Table,0,5)))),"")))</f>
        <v/>
      </c>
      <c r="CC231" s="829" t="str">
        <f t="shared" si="73"/>
        <v/>
      </c>
      <c r="CD231" s="829" t="str">
        <f t="shared" si="74"/>
        <v/>
      </c>
      <c r="CE231" s="829" t="str">
        <f t="shared" si="75"/>
        <v/>
      </c>
      <c r="CF231" s="829" t="str">
        <f t="shared" si="76"/>
        <v/>
      </c>
      <c r="CG231" s="829" t="str">
        <f t="shared" si="77"/>
        <v/>
      </c>
      <c r="CH231" s="829" t="str">
        <f t="shared" si="78"/>
        <v/>
      </c>
      <c r="CI231" s="829" t="str">
        <f t="shared" si="79"/>
        <v/>
      </c>
      <c r="CJ231" s="829" t="str" cm="1">
        <f t="array" ref="CJ231">IF($B231="","",_xlfn.LET(_xlpm.to,$D231&amp;"",_xlpm.em,IFERROR(INDEX(_xlfn.ANCHORARRAY($BE$4),ROW()-4,6),"")="EMERG",_xlpm.pri,AND(NOT(_xlpm.em),LEFT(_xlpm.to,2)="T-",ISNUMBER(MATCH(MID(_xlpm.to,3,99),Equip_List,0)),ISNA(MATCH(_xlpm.to,Equip_List,0))),IF(_xlpm.pri,MID(_xlpm.to,3,99),_xlpm.to)))</f>
        <v/>
      </c>
      <c r="CK231" s="829" t="str" cm="1">
        <f t="array" ref="CK231">IF($CJ231="","",IF(IFERROR(INDEX(_xlfn.ANCHORARRAY($BE$4),ROW()-4,6),"")="EMERG","E",IF($CJ231&lt;&gt;$D231&amp;"","P","N")))</f>
        <v/>
      </c>
    </row>
    <row r="232" spans="1:89" ht="15" customHeight="1" x14ac:dyDescent="0.35">
      <c r="A232" s="821" t="str">
        <f t="shared" si="67"/>
        <v/>
      </c>
      <c r="B232" s="821" t="str" cm="1">
        <f t="array" ref="B232">IFERROR(IF(INDEX(_xlfn.ANCHORARRAY($BE$4),ROW()-4,2)="","","F-"&amp;INDEX(_xlfn.ANCHORARRAY($BE$4),ROW()-4,2)&amp;IF(IFERROR(INDEX(_xlfn.ANCHORARRAY($BE$4),ROW()-4,6),"")="EMERG","-E","")),"")</f>
        <v/>
      </c>
      <c r="C232" s="821" t="str" cm="1">
        <f t="array" ref="C232">IFERROR(IF($B232="","",INDEX(_xlfn.ANCHORARRAY($BE$4),ROW()-4,1)),"")</f>
        <v/>
      </c>
      <c r="D232" s="821" t="str" cm="1">
        <f t="array" ref="D232">IFERROR(IF($B232="","",INDEX(_xlfn.ANCHORARRAY($BE$4),ROW()-4,2)),"")</f>
        <v/>
      </c>
      <c r="E232" s="806" t="str" cm="1">
        <f t="array" ref="E232">IFERROR(IF($B232="","",INDEX(_xlfn.ANCHORARRAY($BE$4),ROW()-4,3)),"")</f>
        <v/>
      </c>
      <c r="F232" s="822" t="str" cm="1">
        <f t="array" ref="F232">IFERROR(IF($B232="","",INDEX(_xlfn.ANCHORARRAY($BE$4),ROW()-4,4)),"")</f>
        <v/>
      </c>
      <c r="G232" s="823" t="str" cm="1">
        <f t="array" ref="G232">IFERROR(IF($B232="","",INDEX(_xlfn.ANCHORARRAY($BE$4),ROW()-4,5)),"")</f>
        <v/>
      </c>
      <c r="H232" s="824" t="str" cm="1">
        <f t="array" ref="H232">IF($CJ232="","",_xlfn.LET(_xlpm.v,_xlfn.XLOOKUP($CJ232,Equip_List,IF($CK232="E",Equip_EmLen,IF($CK232="P",Equip_XfPriLen,Equip_FdrLen)),""),IF(_xlpm.v="","",_xlpm.v)))</f>
        <v/>
      </c>
      <c r="I232" s="806" t="str">
        <f t="shared" si="60"/>
        <v/>
      </c>
      <c r="J232" s="820"/>
      <c r="K232" s="806" t="str">
        <f>_xlfn.LET(_xlpm.k,IF($I232="","",IF(COUNTIF(UPS!$B$57:$B$64,$C232&amp;"")&gt;0,1.25*MAX($I232,N(_xlfn.XLOOKUP($C232&amp;"",UPS!$B$57:$B$64,UPS!$M$57:$M$64,0))),IF(COUNTIF(UPS!$B$57:$B$64,$D232&amp;"")&gt;0,1.25*MAX($I232,N(_xlfn.XLOOKUP($D232&amp;"",UPS!$B$57:$B$64,UPS!$Q$57:$Q$64,0))),$I232*IF(OR(UPPER($J232)="Y",LEFT($C232,2)="T-",LEFT($D232,2)="T-"),1.25,1)))),IF(_xlpm.k="","",MAX(_xlpm.k,N(IFERROR(_xlfn.XLOOKUP($D232&amp;"",Dashboard!$A$101:$A$350,Dashboard!$O$101:$O$350,0),0)))))</f>
        <v/>
      </c>
      <c r="L232" s="825" t="str">
        <f>IF($CJ232="","",_xlfn.LET(_xlpm.v,UPPER(TRIM(_xlfn.XLOOKUP($CJ232,Equip_List,Equip_FdrMat,"")&amp;"")),IF(_xlpm.v="",UPPER(TRIM(Cfg_FeederMat&amp;"")),_xlpm.v)))</f>
        <v/>
      </c>
      <c r="M232" s="825" t="str">
        <f>IF($CJ232="","",_xlfn.LET(_xlpm.v,TRIM(_xlfn.XLOOKUP($CJ232,Equip_List,Equip_FdrRace,"")&amp;""),IF(_xlpm.v="",Cfg_Conduit&amp;"",_xlpm.v)))</f>
        <v/>
      </c>
      <c r="N232" s="825" t="str">
        <f>IF($CJ232="","",IF(UPPER(TRIM(_xlfn.XLOOKUP($CJ232,Equip_List,Equip_FdrExist,"")&amp;""))="Y","Y",""))</f>
        <v/>
      </c>
      <c r="O232" s="823" t="str">
        <f t="shared" si="68"/>
        <v/>
      </c>
      <c r="P232" s="821" t="str">
        <f t="shared" si="69"/>
        <v/>
      </c>
      <c r="Q232" s="821" t="str">
        <f t="shared" si="70"/>
        <v/>
      </c>
      <c r="R232" s="822" t="str" cm="1">
        <f t="array" ref="R232">IF(K232="","",INDEX(OCPD_List,MATCH(TRUE,OCPD_List&gt;=K232,0)))</f>
        <v/>
      </c>
      <c r="S232" s="821" t="str">
        <f t="shared" si="71"/>
        <v/>
      </c>
      <c r="T232" s="826" t="str">
        <f t="shared" si="61"/>
        <v/>
      </c>
      <c r="U232" s="826" t="str">
        <f t="shared" si="62"/>
        <v/>
      </c>
      <c r="V232" s="827" t="str">
        <f t="shared" si="63"/>
        <v/>
      </c>
      <c r="W232" s="828"/>
      <c r="X232" s="819"/>
      <c r="Y232" s="820"/>
      <c r="Z232" s="820"/>
      <c r="AA232" s="820"/>
      <c r="BN232" s="832" t="str">
        <f>IF($B232="","",IFERROR(_xlfn.XLOOKUP($D232,Dashboard!$A$101:$A$350,Dashboard!$C$101:$C$350),""))</f>
        <v/>
      </c>
      <c r="BO232" s="832" t="str">
        <f t="shared" si="64"/>
        <v/>
      </c>
      <c r="BP232" s="832" t="str" cm="1">
        <f t="array" ref="BP232">IF(OR($B232="",$R232="",NOT(ISNUMBER($R232))),"",IF(AND($BV232="AL",$G232=1),"",_xlfn.LET(_xlpm.codes,IF($BV232="AL",Std_Al3_Code,IF($G232=1,Std_Cu1_Code,Std_Cu3_Code)),_xlpm.amps,IFERROR(--SUBSTITUTE(_xlpm.codes&amp;"","N",""),""),_xlpm.a,MIN(IF(ISNUMBER(_xlpm.amps),IF(_xlpm.amps&gt;=$R232,_xlpm.amps,""),"")),_xlpm.k,IF(_xlpm.a=0,$R232,_xlpm.a),IF($BO232="Y",TEXT(_xlpm.k,"0")&amp;"N",_xlpm.k))))</f>
        <v/>
      </c>
      <c r="BQ232" s="832" t="str" cm="1">
        <f t="array" ref="BQ232">IF($BP232="","",IFERROR(IF($BV232="AL",_xlfn.XLOOKUP($BP232,Std_Al3_Code,INDEX(Std_Al3_Table,0,3)),IF($G232=1,_xlfn.XLOOKUP($BP232,Std_Cu1_Code,INDEX(Std_Cu1_Table,0,3)),_xlfn.XLOOKUP($BP232,Std_Cu3_Code,INDEX(Std_Cu3_Table,0,3)))),""))</f>
        <v/>
      </c>
      <c r="BR232" s="832" t="str" cm="1">
        <f t="array" ref="BR232">IF($BP232="","",IFERROR(IF($BV232="AL",_xlfn.XLOOKUP($BP232,Std_Al3_Code,INDEX(Std_Al3_Table,0,4)),IF($G232=1,_xlfn.XLOOKUP($BP232,Std_Cu1_Code,INDEX(Std_Cu1_Table,0,4)),_xlfn.XLOOKUP($BP232,Std_Cu3_Code,INDEX(Std_Cu3_Table,0,4)))),""))</f>
        <v/>
      </c>
      <c r="BS232" s="832" t="str" cm="1">
        <f t="array" ref="BS232">IF($BP232="","",IFERROR(IF($BV232="AL",_xlfn.XLOOKUP($BP232,Std_Al3_Code,INDEX(Std_Al3_Table,0,5)),IF($G232=1,_xlfn.XLOOKUP($BP232,Std_Cu1_Code,INDEX(Std_Cu1_Table,0,5)),_xlfn.XLOOKUP($BP232,Std_Cu3_Code,INDEX(Std_Cu3_Table,0,5)))),""))</f>
        <v/>
      </c>
      <c r="BT232" s="832" t="str">
        <f t="shared" si="65"/>
        <v/>
      </c>
      <c r="BU232" s="832" t="str" cm="1">
        <f t="array" ref="BU232">IF($BP232="","",IFERROR(IF($BV232="AL",_xlfn.XLOOKUP($BP232,Std_Al3_Code,INDEX(Std_Al3_Table,0,2)),IF($G232=1,_xlfn.XLOOKUP($BP232,Std_Cu1_Code,INDEX(Std_Cu1_Table,0,2)),_xlfn.XLOOKUP($BP232,Std_Cu3_Code,INDEX(Std_Cu3_Table,0,2)))),""))</f>
        <v/>
      </c>
      <c r="BV232" s="829" t="str">
        <f t="shared" si="66"/>
        <v/>
      </c>
      <c r="BW232" s="829" t="str">
        <f t="shared" si="72"/>
        <v/>
      </c>
      <c r="BX232" s="829" t="str" cm="1">
        <f t="array" ref="BX232">IF(OR($BP232="",$H232="",$I232="",$F232="",$BW232=""),"",IFERROR(_xlfn.LET(_xlpm.codes,IF($BV232="AL",Std_Al3_Code,IF($G232=1,Std_Cu1_Code,Std_Cu3_Code)),_xlpm.tbl,IF($BV232="AL",Std_Al3_Table,IF($G232=1,Std_Cu1_Table,Std_Cu3_Table)),_xlpm.i,MATCH($BP232,_xlpm.codes,0),_xlpm.idx,_xlfn.SEQUENCE(ROWS(_xlpm.codes)),_xlpm.cnd,INDEX(_xlpm.tbl,0,4),_xlpm.sts,INDEX(_xlpm.tbl,0,2),_xlpm.sz,IFERROR(_xlfn.TEXTBEFORE(_xlfn.TEXTAFTER(_xlpm.cnd,"#"),","),IFERROR(_xlfn.TEXTAFTER(_xlpm.cnd,"#"),"")),_xlpm.cm,IFERROR(_xlfn.XLOOKUP(TRIM(_xlpm.sz),Ampacity_Size,Ampacity_CM),0),_xlpm.mult,IF($G232=3,SQRT3,2),_xlpm.kk,IF($BV232="AL",K_Al,K_Cu),_xlpm.vd,IF(_xlpm.cm*IF(ISNUMBER(_xlpm.sts),_xlpm.sts,0)=0,9,_xlpm.mult*_xlpm.kk*$I232*$H232/(_xlpm.cm*_xlpm.sts)/$F232),_xlpm.hasN,--(RIGHT(_xlpm.codes&amp;"",1)="N"),_xlpm.wantN,--(RIGHT($BP232&amp;"",1)="N"),_xlpm.ok,(_xlpm.idx&gt;=_xlpm.i)*(_xlpm.vd&lt;=Cfg_VDFeeder)*(_xlpm.cm&gt;0)*ISNUMBER(_xlpm.sts)*(_xlpm.hasN=_xlpm.wantN),_xlpm.m,MIN(IF(_xlpm.ok=1,_xlpm.idx)),INDEX(_xlpm.codes,IF(_xlpm.m=0,_xlpm.i,_xlpm.m))),""))</f>
        <v/>
      </c>
      <c r="BY232" s="829" t="str" cm="1">
        <f t="array" ref="BY232">IF($BP232="","",IF($BX232="",$BU232,IFERROR(IF($BV232="AL",_xlfn.XLOOKUP($BX232,Std_Al3_Code,INDEX(Std_Al3_Table,0,2)),IF($G232=1,_xlfn.XLOOKUP($BX232,Std_Cu1_Code,INDEX(Std_Cu1_Table,0,2)),_xlfn.XLOOKUP($BX232,Std_Cu3_Code,INDEX(Std_Cu3_Table,0,2)))),"")))</f>
        <v/>
      </c>
      <c r="BZ232" s="829" t="str" cm="1">
        <f t="array" ref="BZ232">IF($BP232="","",IF($BX232="",$BR232,IFERROR(IF($BV232="AL",_xlfn.XLOOKUP($BX232,Std_Al3_Code,INDEX(Std_Al3_Table,0,4)),IF($G232=1,_xlfn.XLOOKUP($BX232,Std_Cu1_Code,INDEX(Std_Cu1_Table,0,4)),_xlfn.XLOOKUP($BX232,Std_Cu3_Code,INDEX(Std_Cu3_Table,0,4)))),"")))</f>
        <v/>
      </c>
      <c r="CA232" s="829" t="str" cm="1">
        <f t="array" ref="CA232">IF($BP232="","",IF($BX232="",$BQ232,IFERROR(IF($BV232="AL",_xlfn.XLOOKUP($BX232,Std_Al3_Code,INDEX(Std_Al3_Table,0,3)),IF($G232=1,_xlfn.XLOOKUP($BX232,Std_Cu1_Code,INDEX(Std_Cu1_Table,0,3)),_xlfn.XLOOKUP($BX232,Std_Cu3_Code,INDEX(Std_Cu3_Table,0,3)))),"")))</f>
        <v/>
      </c>
      <c r="CB232" s="829" t="str" cm="1">
        <f t="array" ref="CB232">IF($BP232="","",IF($BX232="",$BS232,IFERROR(IF($BV232="AL",_xlfn.XLOOKUP($BX232,Std_Al3_Code,INDEX(Std_Al3_Table,0,5)),IF($G232=1,_xlfn.XLOOKUP($BX232,Std_Cu1_Code,INDEX(Std_Cu1_Table,0,5)),_xlfn.XLOOKUP($BX232,Std_Cu3_Code,INDEX(Std_Cu3_Table,0,5)))),"")))</f>
        <v/>
      </c>
      <c r="CC232" s="829" t="str">
        <f t="shared" si="73"/>
        <v/>
      </c>
      <c r="CD232" s="829" t="str">
        <f t="shared" si="74"/>
        <v/>
      </c>
      <c r="CE232" s="829" t="str">
        <f t="shared" si="75"/>
        <v/>
      </c>
      <c r="CF232" s="829" t="str">
        <f t="shared" si="76"/>
        <v/>
      </c>
      <c r="CG232" s="829" t="str">
        <f t="shared" si="77"/>
        <v/>
      </c>
      <c r="CH232" s="829" t="str">
        <f t="shared" si="78"/>
        <v/>
      </c>
      <c r="CI232" s="829" t="str">
        <f t="shared" si="79"/>
        <v/>
      </c>
      <c r="CJ232" s="829" t="str" cm="1">
        <f t="array" ref="CJ232">IF($B232="","",_xlfn.LET(_xlpm.to,$D232&amp;"",_xlpm.em,IFERROR(INDEX(_xlfn.ANCHORARRAY($BE$4),ROW()-4,6),"")="EMERG",_xlpm.pri,AND(NOT(_xlpm.em),LEFT(_xlpm.to,2)="T-",ISNUMBER(MATCH(MID(_xlpm.to,3,99),Equip_List,0)),ISNA(MATCH(_xlpm.to,Equip_List,0))),IF(_xlpm.pri,MID(_xlpm.to,3,99),_xlpm.to)))</f>
        <v/>
      </c>
      <c r="CK232" s="829" t="str" cm="1">
        <f t="array" ref="CK232">IF($CJ232="","",IF(IFERROR(INDEX(_xlfn.ANCHORARRAY($BE$4),ROW()-4,6),"")="EMERG","E",IF($CJ232&lt;&gt;$D232&amp;"","P","N")))</f>
        <v/>
      </c>
    </row>
    <row r="233" spans="1:89" ht="15" customHeight="1" x14ac:dyDescent="0.35">
      <c r="A233" s="821" t="str">
        <f t="shared" si="67"/>
        <v/>
      </c>
      <c r="B233" s="821" t="str" cm="1">
        <f t="array" ref="B233">IFERROR(IF(INDEX(_xlfn.ANCHORARRAY($BE$4),ROW()-4,2)="","","F-"&amp;INDEX(_xlfn.ANCHORARRAY($BE$4),ROW()-4,2)&amp;IF(IFERROR(INDEX(_xlfn.ANCHORARRAY($BE$4),ROW()-4,6),"")="EMERG","-E","")),"")</f>
        <v/>
      </c>
      <c r="C233" s="821" t="str" cm="1">
        <f t="array" ref="C233">IFERROR(IF($B233="","",INDEX(_xlfn.ANCHORARRAY($BE$4),ROW()-4,1)),"")</f>
        <v/>
      </c>
      <c r="D233" s="821" t="str" cm="1">
        <f t="array" ref="D233">IFERROR(IF($B233="","",INDEX(_xlfn.ANCHORARRAY($BE$4),ROW()-4,2)),"")</f>
        <v/>
      </c>
      <c r="E233" s="806" t="str" cm="1">
        <f t="array" ref="E233">IFERROR(IF($B233="","",INDEX(_xlfn.ANCHORARRAY($BE$4),ROW()-4,3)),"")</f>
        <v/>
      </c>
      <c r="F233" s="822" t="str" cm="1">
        <f t="array" ref="F233">IFERROR(IF($B233="","",INDEX(_xlfn.ANCHORARRAY($BE$4),ROW()-4,4)),"")</f>
        <v/>
      </c>
      <c r="G233" s="823" t="str" cm="1">
        <f t="array" ref="G233">IFERROR(IF($B233="","",INDEX(_xlfn.ANCHORARRAY($BE$4),ROW()-4,5)),"")</f>
        <v/>
      </c>
      <c r="H233" s="824" t="str" cm="1">
        <f t="array" ref="H233">IF($CJ233="","",_xlfn.LET(_xlpm.v,_xlfn.XLOOKUP($CJ233,Equip_List,IF($CK233="E",Equip_EmLen,IF($CK233="P",Equip_XfPriLen,Equip_FdrLen)),""),IF(_xlpm.v="","",_xlpm.v)))</f>
        <v/>
      </c>
      <c r="I233" s="806" t="str">
        <f t="shared" si="60"/>
        <v/>
      </c>
      <c r="J233" s="820"/>
      <c r="K233" s="806" t="str">
        <f>_xlfn.LET(_xlpm.k,IF($I233="","",IF(COUNTIF(UPS!$B$57:$B$64,$C233&amp;"")&gt;0,1.25*MAX($I233,N(_xlfn.XLOOKUP($C233&amp;"",UPS!$B$57:$B$64,UPS!$M$57:$M$64,0))),IF(COUNTIF(UPS!$B$57:$B$64,$D233&amp;"")&gt;0,1.25*MAX($I233,N(_xlfn.XLOOKUP($D233&amp;"",UPS!$B$57:$B$64,UPS!$Q$57:$Q$64,0))),$I233*IF(OR(UPPER($J233)="Y",LEFT($C233,2)="T-",LEFT($D233,2)="T-"),1.25,1)))),IF(_xlpm.k="","",MAX(_xlpm.k,N(IFERROR(_xlfn.XLOOKUP($D233&amp;"",Dashboard!$A$101:$A$350,Dashboard!$O$101:$O$350,0),0)))))</f>
        <v/>
      </c>
      <c r="L233" s="825" t="str">
        <f>IF($CJ233="","",_xlfn.LET(_xlpm.v,UPPER(TRIM(_xlfn.XLOOKUP($CJ233,Equip_List,Equip_FdrMat,"")&amp;"")),IF(_xlpm.v="",UPPER(TRIM(Cfg_FeederMat&amp;"")),_xlpm.v)))</f>
        <v/>
      </c>
      <c r="M233" s="825" t="str">
        <f>IF($CJ233="","",_xlfn.LET(_xlpm.v,TRIM(_xlfn.XLOOKUP($CJ233,Equip_List,Equip_FdrRace,"")&amp;""),IF(_xlpm.v="",Cfg_Conduit&amp;"",_xlpm.v)))</f>
        <v/>
      </c>
      <c r="N233" s="825" t="str">
        <f>IF($CJ233="","",IF(UPPER(TRIM(_xlfn.XLOOKUP($CJ233,Equip_List,Equip_FdrExist,"")&amp;""))="Y","Y",""))</f>
        <v/>
      </c>
      <c r="O233" s="823" t="str">
        <f t="shared" si="68"/>
        <v/>
      </c>
      <c r="P233" s="821" t="str">
        <f t="shared" si="69"/>
        <v/>
      </c>
      <c r="Q233" s="821" t="str">
        <f t="shared" si="70"/>
        <v/>
      </c>
      <c r="R233" s="822" t="str" cm="1">
        <f t="array" ref="R233">IF(K233="","",INDEX(OCPD_List,MATCH(TRUE,OCPD_List&gt;=K233,0)))</f>
        <v/>
      </c>
      <c r="S233" s="821" t="str">
        <f t="shared" si="71"/>
        <v/>
      </c>
      <c r="T233" s="826" t="str">
        <f t="shared" si="61"/>
        <v/>
      </c>
      <c r="U233" s="826" t="str">
        <f t="shared" si="62"/>
        <v/>
      </c>
      <c r="V233" s="827" t="str">
        <f t="shared" si="63"/>
        <v/>
      </c>
      <c r="W233" s="828"/>
      <c r="X233" s="819"/>
      <c r="Y233" s="820"/>
      <c r="Z233" s="820"/>
      <c r="AA233" s="820"/>
      <c r="BN233" s="832" t="str">
        <f>IF($B233="","",IFERROR(_xlfn.XLOOKUP($D233,Dashboard!$A$101:$A$350,Dashboard!$C$101:$C$350),""))</f>
        <v/>
      </c>
      <c r="BO233" s="832" t="str">
        <f t="shared" si="64"/>
        <v/>
      </c>
      <c r="BP233" s="832" t="str" cm="1">
        <f t="array" ref="BP233">IF(OR($B233="",$R233="",NOT(ISNUMBER($R233))),"",IF(AND($BV233="AL",$G233=1),"",_xlfn.LET(_xlpm.codes,IF($BV233="AL",Std_Al3_Code,IF($G233=1,Std_Cu1_Code,Std_Cu3_Code)),_xlpm.amps,IFERROR(--SUBSTITUTE(_xlpm.codes&amp;"","N",""),""),_xlpm.a,MIN(IF(ISNUMBER(_xlpm.amps),IF(_xlpm.amps&gt;=$R233,_xlpm.amps,""),"")),_xlpm.k,IF(_xlpm.a=0,$R233,_xlpm.a),IF($BO233="Y",TEXT(_xlpm.k,"0")&amp;"N",_xlpm.k))))</f>
        <v/>
      </c>
      <c r="BQ233" s="832" t="str" cm="1">
        <f t="array" ref="BQ233">IF($BP233="","",IFERROR(IF($BV233="AL",_xlfn.XLOOKUP($BP233,Std_Al3_Code,INDEX(Std_Al3_Table,0,3)),IF($G233=1,_xlfn.XLOOKUP($BP233,Std_Cu1_Code,INDEX(Std_Cu1_Table,0,3)),_xlfn.XLOOKUP($BP233,Std_Cu3_Code,INDEX(Std_Cu3_Table,0,3)))),""))</f>
        <v/>
      </c>
      <c r="BR233" s="832" t="str" cm="1">
        <f t="array" ref="BR233">IF($BP233="","",IFERROR(IF($BV233="AL",_xlfn.XLOOKUP($BP233,Std_Al3_Code,INDEX(Std_Al3_Table,0,4)),IF($G233=1,_xlfn.XLOOKUP($BP233,Std_Cu1_Code,INDEX(Std_Cu1_Table,0,4)),_xlfn.XLOOKUP($BP233,Std_Cu3_Code,INDEX(Std_Cu3_Table,0,4)))),""))</f>
        <v/>
      </c>
      <c r="BS233" s="832" t="str" cm="1">
        <f t="array" ref="BS233">IF($BP233="","",IFERROR(IF($BV233="AL",_xlfn.XLOOKUP($BP233,Std_Al3_Code,INDEX(Std_Al3_Table,0,5)),IF($G233=1,_xlfn.XLOOKUP($BP233,Std_Cu1_Code,INDEX(Std_Cu1_Table,0,5)),_xlfn.XLOOKUP($BP233,Std_Cu3_Code,INDEX(Std_Cu3_Table,0,5)))),""))</f>
        <v/>
      </c>
      <c r="BT233" s="832" t="str">
        <f t="shared" si="65"/>
        <v/>
      </c>
      <c r="BU233" s="832" t="str" cm="1">
        <f t="array" ref="BU233">IF($BP233="","",IFERROR(IF($BV233="AL",_xlfn.XLOOKUP($BP233,Std_Al3_Code,INDEX(Std_Al3_Table,0,2)),IF($G233=1,_xlfn.XLOOKUP($BP233,Std_Cu1_Code,INDEX(Std_Cu1_Table,0,2)),_xlfn.XLOOKUP($BP233,Std_Cu3_Code,INDEX(Std_Cu3_Table,0,2)))),""))</f>
        <v/>
      </c>
      <c r="BV233" s="829" t="str">
        <f t="shared" si="66"/>
        <v/>
      </c>
      <c r="BW233" s="829" t="str">
        <f t="shared" si="72"/>
        <v/>
      </c>
      <c r="BX233" s="829" t="str" cm="1">
        <f t="array" ref="BX233">IF(OR($BP233="",$H233="",$I233="",$F233="",$BW233=""),"",IFERROR(_xlfn.LET(_xlpm.codes,IF($BV233="AL",Std_Al3_Code,IF($G233=1,Std_Cu1_Code,Std_Cu3_Code)),_xlpm.tbl,IF($BV233="AL",Std_Al3_Table,IF($G233=1,Std_Cu1_Table,Std_Cu3_Table)),_xlpm.i,MATCH($BP233,_xlpm.codes,0),_xlpm.idx,_xlfn.SEQUENCE(ROWS(_xlpm.codes)),_xlpm.cnd,INDEX(_xlpm.tbl,0,4),_xlpm.sts,INDEX(_xlpm.tbl,0,2),_xlpm.sz,IFERROR(_xlfn.TEXTBEFORE(_xlfn.TEXTAFTER(_xlpm.cnd,"#"),","),IFERROR(_xlfn.TEXTAFTER(_xlpm.cnd,"#"),"")),_xlpm.cm,IFERROR(_xlfn.XLOOKUP(TRIM(_xlpm.sz),Ampacity_Size,Ampacity_CM),0),_xlpm.mult,IF($G233=3,SQRT3,2),_xlpm.kk,IF($BV233="AL",K_Al,K_Cu),_xlpm.vd,IF(_xlpm.cm*IF(ISNUMBER(_xlpm.sts),_xlpm.sts,0)=0,9,_xlpm.mult*_xlpm.kk*$I233*$H233/(_xlpm.cm*_xlpm.sts)/$F233),_xlpm.hasN,--(RIGHT(_xlpm.codes&amp;"",1)="N"),_xlpm.wantN,--(RIGHT($BP233&amp;"",1)="N"),_xlpm.ok,(_xlpm.idx&gt;=_xlpm.i)*(_xlpm.vd&lt;=Cfg_VDFeeder)*(_xlpm.cm&gt;0)*ISNUMBER(_xlpm.sts)*(_xlpm.hasN=_xlpm.wantN),_xlpm.m,MIN(IF(_xlpm.ok=1,_xlpm.idx)),INDEX(_xlpm.codes,IF(_xlpm.m=0,_xlpm.i,_xlpm.m))),""))</f>
        <v/>
      </c>
      <c r="BY233" s="829" t="str" cm="1">
        <f t="array" ref="BY233">IF($BP233="","",IF($BX233="",$BU233,IFERROR(IF($BV233="AL",_xlfn.XLOOKUP($BX233,Std_Al3_Code,INDEX(Std_Al3_Table,0,2)),IF($G233=1,_xlfn.XLOOKUP($BX233,Std_Cu1_Code,INDEX(Std_Cu1_Table,0,2)),_xlfn.XLOOKUP($BX233,Std_Cu3_Code,INDEX(Std_Cu3_Table,0,2)))),"")))</f>
        <v/>
      </c>
      <c r="BZ233" s="829" t="str" cm="1">
        <f t="array" ref="BZ233">IF($BP233="","",IF($BX233="",$BR233,IFERROR(IF($BV233="AL",_xlfn.XLOOKUP($BX233,Std_Al3_Code,INDEX(Std_Al3_Table,0,4)),IF($G233=1,_xlfn.XLOOKUP($BX233,Std_Cu1_Code,INDEX(Std_Cu1_Table,0,4)),_xlfn.XLOOKUP($BX233,Std_Cu3_Code,INDEX(Std_Cu3_Table,0,4)))),"")))</f>
        <v/>
      </c>
      <c r="CA233" s="829" t="str" cm="1">
        <f t="array" ref="CA233">IF($BP233="","",IF($BX233="",$BQ233,IFERROR(IF($BV233="AL",_xlfn.XLOOKUP($BX233,Std_Al3_Code,INDEX(Std_Al3_Table,0,3)),IF($G233=1,_xlfn.XLOOKUP($BX233,Std_Cu1_Code,INDEX(Std_Cu1_Table,0,3)),_xlfn.XLOOKUP($BX233,Std_Cu3_Code,INDEX(Std_Cu3_Table,0,3)))),"")))</f>
        <v/>
      </c>
      <c r="CB233" s="829" t="str" cm="1">
        <f t="array" ref="CB233">IF($BP233="","",IF($BX233="",$BS233,IFERROR(IF($BV233="AL",_xlfn.XLOOKUP($BX233,Std_Al3_Code,INDEX(Std_Al3_Table,0,5)),IF($G233=1,_xlfn.XLOOKUP($BX233,Std_Cu1_Code,INDEX(Std_Cu1_Table,0,5)),_xlfn.XLOOKUP($BX233,Std_Cu3_Code,INDEX(Std_Cu3_Table,0,5)))),"")))</f>
        <v/>
      </c>
      <c r="CC233" s="829" t="str">
        <f t="shared" si="73"/>
        <v/>
      </c>
      <c r="CD233" s="829" t="str">
        <f t="shared" si="74"/>
        <v/>
      </c>
      <c r="CE233" s="829" t="str">
        <f t="shared" si="75"/>
        <v/>
      </c>
      <c r="CF233" s="829" t="str">
        <f t="shared" si="76"/>
        <v/>
      </c>
      <c r="CG233" s="829" t="str">
        <f t="shared" si="77"/>
        <v/>
      </c>
      <c r="CH233" s="829" t="str">
        <f t="shared" si="78"/>
        <v/>
      </c>
      <c r="CI233" s="829" t="str">
        <f t="shared" si="79"/>
        <v/>
      </c>
      <c r="CJ233" s="829" t="str" cm="1">
        <f t="array" ref="CJ233">IF($B233="","",_xlfn.LET(_xlpm.to,$D233&amp;"",_xlpm.em,IFERROR(INDEX(_xlfn.ANCHORARRAY($BE$4),ROW()-4,6),"")="EMERG",_xlpm.pri,AND(NOT(_xlpm.em),LEFT(_xlpm.to,2)="T-",ISNUMBER(MATCH(MID(_xlpm.to,3,99),Equip_List,0)),ISNA(MATCH(_xlpm.to,Equip_List,0))),IF(_xlpm.pri,MID(_xlpm.to,3,99),_xlpm.to)))</f>
        <v/>
      </c>
      <c r="CK233" s="829" t="str" cm="1">
        <f t="array" ref="CK233">IF($CJ233="","",IF(IFERROR(INDEX(_xlfn.ANCHORARRAY($BE$4),ROW()-4,6),"")="EMERG","E",IF($CJ233&lt;&gt;$D233&amp;"","P","N")))</f>
        <v/>
      </c>
    </row>
    <row r="234" spans="1:89" ht="15" customHeight="1" x14ac:dyDescent="0.35">
      <c r="A234" s="821" t="str">
        <f t="shared" si="67"/>
        <v/>
      </c>
      <c r="B234" s="821" t="str" cm="1">
        <f t="array" ref="B234">IFERROR(IF(INDEX(_xlfn.ANCHORARRAY($BE$4),ROW()-4,2)="","","F-"&amp;INDEX(_xlfn.ANCHORARRAY($BE$4),ROW()-4,2)&amp;IF(IFERROR(INDEX(_xlfn.ANCHORARRAY($BE$4),ROW()-4,6),"")="EMERG","-E","")),"")</f>
        <v/>
      </c>
      <c r="C234" s="821" t="str" cm="1">
        <f t="array" ref="C234">IFERROR(IF($B234="","",INDEX(_xlfn.ANCHORARRAY($BE$4),ROW()-4,1)),"")</f>
        <v/>
      </c>
      <c r="D234" s="821" t="str" cm="1">
        <f t="array" ref="D234">IFERROR(IF($B234="","",INDEX(_xlfn.ANCHORARRAY($BE$4),ROW()-4,2)),"")</f>
        <v/>
      </c>
      <c r="E234" s="806" t="str" cm="1">
        <f t="array" ref="E234">IFERROR(IF($B234="","",INDEX(_xlfn.ANCHORARRAY($BE$4),ROW()-4,3)),"")</f>
        <v/>
      </c>
      <c r="F234" s="822" t="str" cm="1">
        <f t="array" ref="F234">IFERROR(IF($B234="","",INDEX(_xlfn.ANCHORARRAY($BE$4),ROW()-4,4)),"")</f>
        <v/>
      </c>
      <c r="G234" s="823" t="str" cm="1">
        <f t="array" ref="G234">IFERROR(IF($B234="","",INDEX(_xlfn.ANCHORARRAY($BE$4),ROW()-4,5)),"")</f>
        <v/>
      </c>
      <c r="H234" s="824" t="str" cm="1">
        <f t="array" ref="H234">IF($CJ234="","",_xlfn.LET(_xlpm.v,_xlfn.XLOOKUP($CJ234,Equip_List,IF($CK234="E",Equip_EmLen,IF($CK234="P",Equip_XfPriLen,Equip_FdrLen)),""),IF(_xlpm.v="","",_xlpm.v)))</f>
        <v/>
      </c>
      <c r="I234" s="806" t="str">
        <f t="shared" si="60"/>
        <v/>
      </c>
      <c r="J234" s="820"/>
      <c r="K234" s="806" t="str">
        <f>_xlfn.LET(_xlpm.k,IF($I234="","",IF(COUNTIF(UPS!$B$57:$B$64,$C234&amp;"")&gt;0,1.25*MAX($I234,N(_xlfn.XLOOKUP($C234&amp;"",UPS!$B$57:$B$64,UPS!$M$57:$M$64,0))),IF(COUNTIF(UPS!$B$57:$B$64,$D234&amp;"")&gt;0,1.25*MAX($I234,N(_xlfn.XLOOKUP($D234&amp;"",UPS!$B$57:$B$64,UPS!$Q$57:$Q$64,0))),$I234*IF(OR(UPPER($J234)="Y",LEFT($C234,2)="T-",LEFT($D234,2)="T-"),1.25,1)))),IF(_xlpm.k="","",MAX(_xlpm.k,N(IFERROR(_xlfn.XLOOKUP($D234&amp;"",Dashboard!$A$101:$A$350,Dashboard!$O$101:$O$350,0),0)))))</f>
        <v/>
      </c>
      <c r="L234" s="825" t="str">
        <f>IF($CJ234="","",_xlfn.LET(_xlpm.v,UPPER(TRIM(_xlfn.XLOOKUP($CJ234,Equip_List,Equip_FdrMat,"")&amp;"")),IF(_xlpm.v="",UPPER(TRIM(Cfg_FeederMat&amp;"")),_xlpm.v)))</f>
        <v/>
      </c>
      <c r="M234" s="825" t="str">
        <f>IF($CJ234="","",_xlfn.LET(_xlpm.v,TRIM(_xlfn.XLOOKUP($CJ234,Equip_List,Equip_FdrRace,"")&amp;""),IF(_xlpm.v="",Cfg_Conduit&amp;"",_xlpm.v)))</f>
        <v/>
      </c>
      <c r="N234" s="825" t="str">
        <f>IF($CJ234="","",IF(UPPER(TRIM(_xlfn.XLOOKUP($CJ234,Equip_List,Equip_FdrExist,"")&amp;""))="Y","Y",""))</f>
        <v/>
      </c>
      <c r="O234" s="823" t="str">
        <f t="shared" si="68"/>
        <v/>
      </c>
      <c r="P234" s="821" t="str">
        <f t="shared" si="69"/>
        <v/>
      </c>
      <c r="Q234" s="821" t="str">
        <f t="shared" si="70"/>
        <v/>
      </c>
      <c r="R234" s="822" t="str" cm="1">
        <f t="array" ref="R234">IF(K234="","",INDEX(OCPD_List,MATCH(TRUE,OCPD_List&gt;=K234,0)))</f>
        <v/>
      </c>
      <c r="S234" s="821" t="str">
        <f t="shared" si="71"/>
        <v/>
      </c>
      <c r="T234" s="826" t="str">
        <f t="shared" si="61"/>
        <v/>
      </c>
      <c r="U234" s="826" t="str">
        <f t="shared" si="62"/>
        <v/>
      </c>
      <c r="V234" s="827" t="str">
        <f t="shared" si="63"/>
        <v/>
      </c>
      <c r="W234" s="828"/>
      <c r="X234" s="819"/>
      <c r="Y234" s="820"/>
      <c r="Z234" s="820"/>
      <c r="AA234" s="820"/>
      <c r="BN234" s="832" t="str">
        <f>IF($B234="","",IFERROR(_xlfn.XLOOKUP($D234,Dashboard!$A$101:$A$350,Dashboard!$C$101:$C$350),""))</f>
        <v/>
      </c>
      <c r="BO234" s="832" t="str">
        <f t="shared" si="64"/>
        <v/>
      </c>
      <c r="BP234" s="832" t="str" cm="1">
        <f t="array" ref="BP234">IF(OR($B234="",$R234="",NOT(ISNUMBER($R234))),"",IF(AND($BV234="AL",$G234=1),"",_xlfn.LET(_xlpm.codes,IF($BV234="AL",Std_Al3_Code,IF($G234=1,Std_Cu1_Code,Std_Cu3_Code)),_xlpm.amps,IFERROR(--SUBSTITUTE(_xlpm.codes&amp;"","N",""),""),_xlpm.a,MIN(IF(ISNUMBER(_xlpm.amps),IF(_xlpm.amps&gt;=$R234,_xlpm.amps,""),"")),_xlpm.k,IF(_xlpm.a=0,$R234,_xlpm.a),IF($BO234="Y",TEXT(_xlpm.k,"0")&amp;"N",_xlpm.k))))</f>
        <v/>
      </c>
      <c r="BQ234" s="832" t="str" cm="1">
        <f t="array" ref="BQ234">IF($BP234="","",IFERROR(IF($BV234="AL",_xlfn.XLOOKUP($BP234,Std_Al3_Code,INDEX(Std_Al3_Table,0,3)),IF($G234=1,_xlfn.XLOOKUP($BP234,Std_Cu1_Code,INDEX(Std_Cu1_Table,0,3)),_xlfn.XLOOKUP($BP234,Std_Cu3_Code,INDEX(Std_Cu3_Table,0,3)))),""))</f>
        <v/>
      </c>
      <c r="BR234" s="832" t="str" cm="1">
        <f t="array" ref="BR234">IF($BP234="","",IFERROR(IF($BV234="AL",_xlfn.XLOOKUP($BP234,Std_Al3_Code,INDEX(Std_Al3_Table,0,4)),IF($G234=1,_xlfn.XLOOKUP($BP234,Std_Cu1_Code,INDEX(Std_Cu1_Table,0,4)),_xlfn.XLOOKUP($BP234,Std_Cu3_Code,INDEX(Std_Cu3_Table,0,4)))),""))</f>
        <v/>
      </c>
      <c r="BS234" s="832" t="str" cm="1">
        <f t="array" ref="BS234">IF($BP234="","",IFERROR(IF($BV234="AL",_xlfn.XLOOKUP($BP234,Std_Al3_Code,INDEX(Std_Al3_Table,0,5)),IF($G234=1,_xlfn.XLOOKUP($BP234,Std_Cu1_Code,INDEX(Std_Cu1_Table,0,5)),_xlfn.XLOOKUP($BP234,Std_Cu3_Code,INDEX(Std_Cu3_Table,0,5)))),""))</f>
        <v/>
      </c>
      <c r="BT234" s="832" t="str">
        <f t="shared" si="65"/>
        <v/>
      </c>
      <c r="BU234" s="832" t="str" cm="1">
        <f t="array" ref="BU234">IF($BP234="","",IFERROR(IF($BV234="AL",_xlfn.XLOOKUP($BP234,Std_Al3_Code,INDEX(Std_Al3_Table,0,2)),IF($G234=1,_xlfn.XLOOKUP($BP234,Std_Cu1_Code,INDEX(Std_Cu1_Table,0,2)),_xlfn.XLOOKUP($BP234,Std_Cu3_Code,INDEX(Std_Cu3_Table,0,2)))),""))</f>
        <v/>
      </c>
      <c r="BV234" s="829" t="str">
        <f t="shared" si="66"/>
        <v/>
      </c>
      <c r="BW234" s="829" t="str">
        <f t="shared" si="72"/>
        <v/>
      </c>
      <c r="BX234" s="829" t="str" cm="1">
        <f t="array" ref="BX234">IF(OR($BP234="",$H234="",$I234="",$F234="",$BW234=""),"",IFERROR(_xlfn.LET(_xlpm.codes,IF($BV234="AL",Std_Al3_Code,IF($G234=1,Std_Cu1_Code,Std_Cu3_Code)),_xlpm.tbl,IF($BV234="AL",Std_Al3_Table,IF($G234=1,Std_Cu1_Table,Std_Cu3_Table)),_xlpm.i,MATCH($BP234,_xlpm.codes,0),_xlpm.idx,_xlfn.SEQUENCE(ROWS(_xlpm.codes)),_xlpm.cnd,INDEX(_xlpm.tbl,0,4),_xlpm.sts,INDEX(_xlpm.tbl,0,2),_xlpm.sz,IFERROR(_xlfn.TEXTBEFORE(_xlfn.TEXTAFTER(_xlpm.cnd,"#"),","),IFERROR(_xlfn.TEXTAFTER(_xlpm.cnd,"#"),"")),_xlpm.cm,IFERROR(_xlfn.XLOOKUP(TRIM(_xlpm.sz),Ampacity_Size,Ampacity_CM),0),_xlpm.mult,IF($G234=3,SQRT3,2),_xlpm.kk,IF($BV234="AL",K_Al,K_Cu),_xlpm.vd,IF(_xlpm.cm*IF(ISNUMBER(_xlpm.sts),_xlpm.sts,0)=0,9,_xlpm.mult*_xlpm.kk*$I234*$H234/(_xlpm.cm*_xlpm.sts)/$F234),_xlpm.hasN,--(RIGHT(_xlpm.codes&amp;"",1)="N"),_xlpm.wantN,--(RIGHT($BP234&amp;"",1)="N"),_xlpm.ok,(_xlpm.idx&gt;=_xlpm.i)*(_xlpm.vd&lt;=Cfg_VDFeeder)*(_xlpm.cm&gt;0)*ISNUMBER(_xlpm.sts)*(_xlpm.hasN=_xlpm.wantN),_xlpm.m,MIN(IF(_xlpm.ok=1,_xlpm.idx)),INDEX(_xlpm.codes,IF(_xlpm.m=0,_xlpm.i,_xlpm.m))),""))</f>
        <v/>
      </c>
      <c r="BY234" s="829" t="str" cm="1">
        <f t="array" ref="BY234">IF($BP234="","",IF($BX234="",$BU234,IFERROR(IF($BV234="AL",_xlfn.XLOOKUP($BX234,Std_Al3_Code,INDEX(Std_Al3_Table,0,2)),IF($G234=1,_xlfn.XLOOKUP($BX234,Std_Cu1_Code,INDEX(Std_Cu1_Table,0,2)),_xlfn.XLOOKUP($BX234,Std_Cu3_Code,INDEX(Std_Cu3_Table,0,2)))),"")))</f>
        <v/>
      </c>
      <c r="BZ234" s="829" t="str" cm="1">
        <f t="array" ref="BZ234">IF($BP234="","",IF($BX234="",$BR234,IFERROR(IF($BV234="AL",_xlfn.XLOOKUP($BX234,Std_Al3_Code,INDEX(Std_Al3_Table,0,4)),IF($G234=1,_xlfn.XLOOKUP($BX234,Std_Cu1_Code,INDEX(Std_Cu1_Table,0,4)),_xlfn.XLOOKUP($BX234,Std_Cu3_Code,INDEX(Std_Cu3_Table,0,4)))),"")))</f>
        <v/>
      </c>
      <c r="CA234" s="829" t="str" cm="1">
        <f t="array" ref="CA234">IF($BP234="","",IF($BX234="",$BQ234,IFERROR(IF($BV234="AL",_xlfn.XLOOKUP($BX234,Std_Al3_Code,INDEX(Std_Al3_Table,0,3)),IF($G234=1,_xlfn.XLOOKUP($BX234,Std_Cu1_Code,INDEX(Std_Cu1_Table,0,3)),_xlfn.XLOOKUP($BX234,Std_Cu3_Code,INDEX(Std_Cu3_Table,0,3)))),"")))</f>
        <v/>
      </c>
      <c r="CB234" s="829" t="str" cm="1">
        <f t="array" ref="CB234">IF($BP234="","",IF($BX234="",$BS234,IFERROR(IF($BV234="AL",_xlfn.XLOOKUP($BX234,Std_Al3_Code,INDEX(Std_Al3_Table,0,5)),IF($G234=1,_xlfn.XLOOKUP($BX234,Std_Cu1_Code,INDEX(Std_Cu1_Table,0,5)),_xlfn.XLOOKUP($BX234,Std_Cu3_Code,INDEX(Std_Cu3_Table,0,5)))),"")))</f>
        <v/>
      </c>
      <c r="CC234" s="829" t="str">
        <f t="shared" si="73"/>
        <v/>
      </c>
      <c r="CD234" s="829" t="str">
        <f t="shared" si="74"/>
        <v/>
      </c>
      <c r="CE234" s="829" t="str">
        <f t="shared" si="75"/>
        <v/>
      </c>
      <c r="CF234" s="829" t="str">
        <f t="shared" si="76"/>
        <v/>
      </c>
      <c r="CG234" s="829" t="str">
        <f t="shared" si="77"/>
        <v/>
      </c>
      <c r="CH234" s="829" t="str">
        <f t="shared" si="78"/>
        <v/>
      </c>
      <c r="CI234" s="829" t="str">
        <f t="shared" si="79"/>
        <v/>
      </c>
      <c r="CJ234" s="829" t="str" cm="1">
        <f t="array" ref="CJ234">IF($B234="","",_xlfn.LET(_xlpm.to,$D234&amp;"",_xlpm.em,IFERROR(INDEX(_xlfn.ANCHORARRAY($BE$4),ROW()-4,6),"")="EMERG",_xlpm.pri,AND(NOT(_xlpm.em),LEFT(_xlpm.to,2)="T-",ISNUMBER(MATCH(MID(_xlpm.to,3,99),Equip_List,0)),ISNA(MATCH(_xlpm.to,Equip_List,0))),IF(_xlpm.pri,MID(_xlpm.to,3,99),_xlpm.to)))</f>
        <v/>
      </c>
      <c r="CK234" s="829" t="str" cm="1">
        <f t="array" ref="CK234">IF($CJ234="","",IF(IFERROR(INDEX(_xlfn.ANCHORARRAY($BE$4),ROW()-4,6),"")="EMERG","E",IF($CJ234&lt;&gt;$D234&amp;"","P","N")))</f>
        <v/>
      </c>
    </row>
    <row r="235" spans="1:89" ht="15" customHeight="1" x14ac:dyDescent="0.35">
      <c r="A235" s="821" t="str">
        <f t="shared" si="67"/>
        <v/>
      </c>
      <c r="B235" s="821" t="str" cm="1">
        <f t="array" ref="B235">IFERROR(IF(INDEX(_xlfn.ANCHORARRAY($BE$4),ROW()-4,2)="","","F-"&amp;INDEX(_xlfn.ANCHORARRAY($BE$4),ROW()-4,2)&amp;IF(IFERROR(INDEX(_xlfn.ANCHORARRAY($BE$4),ROW()-4,6),"")="EMERG","-E","")),"")</f>
        <v/>
      </c>
      <c r="C235" s="821" t="str" cm="1">
        <f t="array" ref="C235">IFERROR(IF($B235="","",INDEX(_xlfn.ANCHORARRAY($BE$4),ROW()-4,1)),"")</f>
        <v/>
      </c>
      <c r="D235" s="821" t="str" cm="1">
        <f t="array" ref="D235">IFERROR(IF($B235="","",INDEX(_xlfn.ANCHORARRAY($BE$4),ROW()-4,2)),"")</f>
        <v/>
      </c>
      <c r="E235" s="806" t="str" cm="1">
        <f t="array" ref="E235">IFERROR(IF($B235="","",INDEX(_xlfn.ANCHORARRAY($BE$4),ROW()-4,3)),"")</f>
        <v/>
      </c>
      <c r="F235" s="822" t="str" cm="1">
        <f t="array" ref="F235">IFERROR(IF($B235="","",INDEX(_xlfn.ANCHORARRAY($BE$4),ROW()-4,4)),"")</f>
        <v/>
      </c>
      <c r="G235" s="823" t="str" cm="1">
        <f t="array" ref="G235">IFERROR(IF($B235="","",INDEX(_xlfn.ANCHORARRAY($BE$4),ROW()-4,5)),"")</f>
        <v/>
      </c>
      <c r="H235" s="824" t="str" cm="1">
        <f t="array" ref="H235">IF($CJ235="","",_xlfn.LET(_xlpm.v,_xlfn.XLOOKUP($CJ235,Equip_List,IF($CK235="E",Equip_EmLen,IF($CK235="P",Equip_XfPriLen,Equip_FdrLen)),""),IF(_xlpm.v="","",_xlpm.v)))</f>
        <v/>
      </c>
      <c r="I235" s="806" t="str">
        <f t="shared" si="60"/>
        <v/>
      </c>
      <c r="J235" s="820"/>
      <c r="K235" s="806" t="str">
        <f>_xlfn.LET(_xlpm.k,IF($I235="","",IF(COUNTIF(UPS!$B$57:$B$64,$C235&amp;"")&gt;0,1.25*MAX($I235,N(_xlfn.XLOOKUP($C235&amp;"",UPS!$B$57:$B$64,UPS!$M$57:$M$64,0))),IF(COUNTIF(UPS!$B$57:$B$64,$D235&amp;"")&gt;0,1.25*MAX($I235,N(_xlfn.XLOOKUP($D235&amp;"",UPS!$B$57:$B$64,UPS!$Q$57:$Q$64,0))),$I235*IF(OR(UPPER($J235)="Y",LEFT($C235,2)="T-",LEFT($D235,2)="T-"),1.25,1)))),IF(_xlpm.k="","",MAX(_xlpm.k,N(IFERROR(_xlfn.XLOOKUP($D235&amp;"",Dashboard!$A$101:$A$350,Dashboard!$O$101:$O$350,0),0)))))</f>
        <v/>
      </c>
      <c r="L235" s="825" t="str">
        <f>IF($CJ235="","",_xlfn.LET(_xlpm.v,UPPER(TRIM(_xlfn.XLOOKUP($CJ235,Equip_List,Equip_FdrMat,"")&amp;"")),IF(_xlpm.v="",UPPER(TRIM(Cfg_FeederMat&amp;"")),_xlpm.v)))</f>
        <v/>
      </c>
      <c r="M235" s="825" t="str">
        <f>IF($CJ235="","",_xlfn.LET(_xlpm.v,TRIM(_xlfn.XLOOKUP($CJ235,Equip_List,Equip_FdrRace,"")&amp;""),IF(_xlpm.v="",Cfg_Conduit&amp;"",_xlpm.v)))</f>
        <v/>
      </c>
      <c r="N235" s="825" t="str">
        <f>IF($CJ235="","",IF(UPPER(TRIM(_xlfn.XLOOKUP($CJ235,Equip_List,Equip_FdrExist,"")&amp;""))="Y","Y",""))</f>
        <v/>
      </c>
      <c r="O235" s="823" t="str">
        <f t="shared" si="68"/>
        <v/>
      </c>
      <c r="P235" s="821" t="str">
        <f t="shared" si="69"/>
        <v/>
      </c>
      <c r="Q235" s="821" t="str">
        <f t="shared" si="70"/>
        <v/>
      </c>
      <c r="R235" s="822" t="str" cm="1">
        <f t="array" ref="R235">IF(K235="","",INDEX(OCPD_List,MATCH(TRUE,OCPD_List&gt;=K235,0)))</f>
        <v/>
      </c>
      <c r="S235" s="821" t="str">
        <f t="shared" si="71"/>
        <v/>
      </c>
      <c r="T235" s="826" t="str">
        <f t="shared" si="61"/>
        <v/>
      </c>
      <c r="U235" s="826" t="str">
        <f t="shared" si="62"/>
        <v/>
      </c>
      <c r="V235" s="827" t="str">
        <f t="shared" si="63"/>
        <v/>
      </c>
      <c r="W235" s="828"/>
      <c r="X235" s="819"/>
      <c r="Y235" s="820"/>
      <c r="Z235" s="820"/>
      <c r="AA235" s="820"/>
      <c r="BN235" s="832" t="str">
        <f>IF($B235="","",IFERROR(_xlfn.XLOOKUP($D235,Dashboard!$A$101:$A$350,Dashboard!$C$101:$C$350),""))</f>
        <v/>
      </c>
      <c r="BO235" s="832" t="str">
        <f t="shared" si="64"/>
        <v/>
      </c>
      <c r="BP235" s="832" t="str" cm="1">
        <f t="array" ref="BP235">IF(OR($B235="",$R235="",NOT(ISNUMBER($R235))),"",IF(AND($BV235="AL",$G235=1),"",_xlfn.LET(_xlpm.codes,IF($BV235="AL",Std_Al3_Code,IF($G235=1,Std_Cu1_Code,Std_Cu3_Code)),_xlpm.amps,IFERROR(--SUBSTITUTE(_xlpm.codes&amp;"","N",""),""),_xlpm.a,MIN(IF(ISNUMBER(_xlpm.amps),IF(_xlpm.amps&gt;=$R235,_xlpm.amps,""),"")),_xlpm.k,IF(_xlpm.a=0,$R235,_xlpm.a),IF($BO235="Y",TEXT(_xlpm.k,"0")&amp;"N",_xlpm.k))))</f>
        <v/>
      </c>
      <c r="BQ235" s="832" t="str" cm="1">
        <f t="array" ref="BQ235">IF($BP235="","",IFERROR(IF($BV235="AL",_xlfn.XLOOKUP($BP235,Std_Al3_Code,INDEX(Std_Al3_Table,0,3)),IF($G235=1,_xlfn.XLOOKUP($BP235,Std_Cu1_Code,INDEX(Std_Cu1_Table,0,3)),_xlfn.XLOOKUP($BP235,Std_Cu3_Code,INDEX(Std_Cu3_Table,0,3)))),""))</f>
        <v/>
      </c>
      <c r="BR235" s="832" t="str" cm="1">
        <f t="array" ref="BR235">IF($BP235="","",IFERROR(IF($BV235="AL",_xlfn.XLOOKUP($BP235,Std_Al3_Code,INDEX(Std_Al3_Table,0,4)),IF($G235=1,_xlfn.XLOOKUP($BP235,Std_Cu1_Code,INDEX(Std_Cu1_Table,0,4)),_xlfn.XLOOKUP($BP235,Std_Cu3_Code,INDEX(Std_Cu3_Table,0,4)))),""))</f>
        <v/>
      </c>
      <c r="BS235" s="832" t="str" cm="1">
        <f t="array" ref="BS235">IF($BP235="","",IFERROR(IF($BV235="AL",_xlfn.XLOOKUP($BP235,Std_Al3_Code,INDEX(Std_Al3_Table,0,5)),IF($G235=1,_xlfn.XLOOKUP($BP235,Std_Cu1_Code,INDEX(Std_Cu1_Table,0,5)),_xlfn.XLOOKUP($BP235,Std_Cu3_Code,INDEX(Std_Cu3_Table,0,5)))),""))</f>
        <v/>
      </c>
      <c r="BT235" s="832" t="str">
        <f t="shared" si="65"/>
        <v/>
      </c>
      <c r="BU235" s="832" t="str" cm="1">
        <f t="array" ref="BU235">IF($BP235="","",IFERROR(IF($BV235="AL",_xlfn.XLOOKUP($BP235,Std_Al3_Code,INDEX(Std_Al3_Table,0,2)),IF($G235=1,_xlfn.XLOOKUP($BP235,Std_Cu1_Code,INDEX(Std_Cu1_Table,0,2)),_xlfn.XLOOKUP($BP235,Std_Cu3_Code,INDEX(Std_Cu3_Table,0,2)))),""))</f>
        <v/>
      </c>
      <c r="BV235" s="829" t="str">
        <f t="shared" si="66"/>
        <v/>
      </c>
      <c r="BW235" s="829" t="str">
        <f t="shared" si="72"/>
        <v/>
      </c>
      <c r="BX235" s="829" t="str" cm="1">
        <f t="array" ref="BX235">IF(OR($BP235="",$H235="",$I235="",$F235="",$BW235=""),"",IFERROR(_xlfn.LET(_xlpm.codes,IF($BV235="AL",Std_Al3_Code,IF($G235=1,Std_Cu1_Code,Std_Cu3_Code)),_xlpm.tbl,IF($BV235="AL",Std_Al3_Table,IF($G235=1,Std_Cu1_Table,Std_Cu3_Table)),_xlpm.i,MATCH($BP235,_xlpm.codes,0),_xlpm.idx,_xlfn.SEQUENCE(ROWS(_xlpm.codes)),_xlpm.cnd,INDEX(_xlpm.tbl,0,4),_xlpm.sts,INDEX(_xlpm.tbl,0,2),_xlpm.sz,IFERROR(_xlfn.TEXTBEFORE(_xlfn.TEXTAFTER(_xlpm.cnd,"#"),","),IFERROR(_xlfn.TEXTAFTER(_xlpm.cnd,"#"),"")),_xlpm.cm,IFERROR(_xlfn.XLOOKUP(TRIM(_xlpm.sz),Ampacity_Size,Ampacity_CM),0),_xlpm.mult,IF($G235=3,SQRT3,2),_xlpm.kk,IF($BV235="AL",K_Al,K_Cu),_xlpm.vd,IF(_xlpm.cm*IF(ISNUMBER(_xlpm.sts),_xlpm.sts,0)=0,9,_xlpm.mult*_xlpm.kk*$I235*$H235/(_xlpm.cm*_xlpm.sts)/$F235),_xlpm.hasN,--(RIGHT(_xlpm.codes&amp;"",1)="N"),_xlpm.wantN,--(RIGHT($BP235&amp;"",1)="N"),_xlpm.ok,(_xlpm.idx&gt;=_xlpm.i)*(_xlpm.vd&lt;=Cfg_VDFeeder)*(_xlpm.cm&gt;0)*ISNUMBER(_xlpm.sts)*(_xlpm.hasN=_xlpm.wantN),_xlpm.m,MIN(IF(_xlpm.ok=1,_xlpm.idx)),INDEX(_xlpm.codes,IF(_xlpm.m=0,_xlpm.i,_xlpm.m))),""))</f>
        <v/>
      </c>
      <c r="BY235" s="829" t="str" cm="1">
        <f t="array" ref="BY235">IF($BP235="","",IF($BX235="",$BU235,IFERROR(IF($BV235="AL",_xlfn.XLOOKUP($BX235,Std_Al3_Code,INDEX(Std_Al3_Table,0,2)),IF($G235=1,_xlfn.XLOOKUP($BX235,Std_Cu1_Code,INDEX(Std_Cu1_Table,0,2)),_xlfn.XLOOKUP($BX235,Std_Cu3_Code,INDEX(Std_Cu3_Table,0,2)))),"")))</f>
        <v/>
      </c>
      <c r="BZ235" s="829" t="str" cm="1">
        <f t="array" ref="BZ235">IF($BP235="","",IF($BX235="",$BR235,IFERROR(IF($BV235="AL",_xlfn.XLOOKUP($BX235,Std_Al3_Code,INDEX(Std_Al3_Table,0,4)),IF($G235=1,_xlfn.XLOOKUP($BX235,Std_Cu1_Code,INDEX(Std_Cu1_Table,0,4)),_xlfn.XLOOKUP($BX235,Std_Cu3_Code,INDEX(Std_Cu3_Table,0,4)))),"")))</f>
        <v/>
      </c>
      <c r="CA235" s="829" t="str" cm="1">
        <f t="array" ref="CA235">IF($BP235="","",IF($BX235="",$BQ235,IFERROR(IF($BV235="AL",_xlfn.XLOOKUP($BX235,Std_Al3_Code,INDEX(Std_Al3_Table,0,3)),IF($G235=1,_xlfn.XLOOKUP($BX235,Std_Cu1_Code,INDEX(Std_Cu1_Table,0,3)),_xlfn.XLOOKUP($BX235,Std_Cu3_Code,INDEX(Std_Cu3_Table,0,3)))),"")))</f>
        <v/>
      </c>
      <c r="CB235" s="829" t="str" cm="1">
        <f t="array" ref="CB235">IF($BP235="","",IF($BX235="",$BS235,IFERROR(IF($BV235="AL",_xlfn.XLOOKUP($BX235,Std_Al3_Code,INDEX(Std_Al3_Table,0,5)),IF($G235=1,_xlfn.XLOOKUP($BX235,Std_Cu1_Code,INDEX(Std_Cu1_Table,0,5)),_xlfn.XLOOKUP($BX235,Std_Cu3_Code,INDEX(Std_Cu3_Table,0,5)))),"")))</f>
        <v/>
      </c>
      <c r="CC235" s="829" t="str">
        <f t="shared" si="73"/>
        <v/>
      </c>
      <c r="CD235" s="829" t="str">
        <f t="shared" si="74"/>
        <v/>
      </c>
      <c r="CE235" s="829" t="str">
        <f t="shared" si="75"/>
        <v/>
      </c>
      <c r="CF235" s="829" t="str">
        <f t="shared" si="76"/>
        <v/>
      </c>
      <c r="CG235" s="829" t="str">
        <f t="shared" si="77"/>
        <v/>
      </c>
      <c r="CH235" s="829" t="str">
        <f t="shared" si="78"/>
        <v/>
      </c>
      <c r="CI235" s="829" t="str">
        <f t="shared" si="79"/>
        <v/>
      </c>
      <c r="CJ235" s="829" t="str" cm="1">
        <f t="array" ref="CJ235">IF($B235="","",_xlfn.LET(_xlpm.to,$D235&amp;"",_xlpm.em,IFERROR(INDEX(_xlfn.ANCHORARRAY($BE$4),ROW()-4,6),"")="EMERG",_xlpm.pri,AND(NOT(_xlpm.em),LEFT(_xlpm.to,2)="T-",ISNUMBER(MATCH(MID(_xlpm.to,3,99),Equip_List,0)),ISNA(MATCH(_xlpm.to,Equip_List,0))),IF(_xlpm.pri,MID(_xlpm.to,3,99),_xlpm.to)))</f>
        <v/>
      </c>
      <c r="CK235" s="829" t="str" cm="1">
        <f t="array" ref="CK235">IF($CJ235="","",IF(IFERROR(INDEX(_xlfn.ANCHORARRAY($BE$4),ROW()-4,6),"")="EMERG","E",IF($CJ235&lt;&gt;$D235&amp;"","P","N")))</f>
        <v/>
      </c>
    </row>
    <row r="236" spans="1:89" ht="15" customHeight="1" x14ac:dyDescent="0.35">
      <c r="A236" s="821" t="str">
        <f t="shared" si="67"/>
        <v/>
      </c>
      <c r="B236" s="821" t="str" cm="1">
        <f t="array" ref="B236">IFERROR(IF(INDEX(_xlfn.ANCHORARRAY($BE$4),ROW()-4,2)="","","F-"&amp;INDEX(_xlfn.ANCHORARRAY($BE$4),ROW()-4,2)&amp;IF(IFERROR(INDEX(_xlfn.ANCHORARRAY($BE$4),ROW()-4,6),"")="EMERG","-E","")),"")</f>
        <v/>
      </c>
      <c r="C236" s="821" t="str" cm="1">
        <f t="array" ref="C236">IFERROR(IF($B236="","",INDEX(_xlfn.ANCHORARRAY($BE$4),ROW()-4,1)),"")</f>
        <v/>
      </c>
      <c r="D236" s="821" t="str" cm="1">
        <f t="array" ref="D236">IFERROR(IF($B236="","",INDEX(_xlfn.ANCHORARRAY($BE$4),ROW()-4,2)),"")</f>
        <v/>
      </c>
      <c r="E236" s="806" t="str" cm="1">
        <f t="array" ref="E236">IFERROR(IF($B236="","",INDEX(_xlfn.ANCHORARRAY($BE$4),ROW()-4,3)),"")</f>
        <v/>
      </c>
      <c r="F236" s="822" t="str" cm="1">
        <f t="array" ref="F236">IFERROR(IF($B236="","",INDEX(_xlfn.ANCHORARRAY($BE$4),ROW()-4,4)),"")</f>
        <v/>
      </c>
      <c r="G236" s="823" t="str" cm="1">
        <f t="array" ref="G236">IFERROR(IF($B236="","",INDEX(_xlfn.ANCHORARRAY($BE$4),ROW()-4,5)),"")</f>
        <v/>
      </c>
      <c r="H236" s="824" t="str" cm="1">
        <f t="array" ref="H236">IF($CJ236="","",_xlfn.LET(_xlpm.v,_xlfn.XLOOKUP($CJ236,Equip_List,IF($CK236="E",Equip_EmLen,IF($CK236="P",Equip_XfPriLen,Equip_FdrLen)),""),IF(_xlpm.v="","",_xlpm.v)))</f>
        <v/>
      </c>
      <c r="I236" s="806" t="str">
        <f t="shared" si="60"/>
        <v/>
      </c>
      <c r="J236" s="820"/>
      <c r="K236" s="806" t="str">
        <f>_xlfn.LET(_xlpm.k,IF($I236="","",IF(COUNTIF(UPS!$B$57:$B$64,$C236&amp;"")&gt;0,1.25*MAX($I236,N(_xlfn.XLOOKUP($C236&amp;"",UPS!$B$57:$B$64,UPS!$M$57:$M$64,0))),IF(COUNTIF(UPS!$B$57:$B$64,$D236&amp;"")&gt;0,1.25*MAX($I236,N(_xlfn.XLOOKUP($D236&amp;"",UPS!$B$57:$B$64,UPS!$Q$57:$Q$64,0))),$I236*IF(OR(UPPER($J236)="Y",LEFT($C236,2)="T-",LEFT($D236,2)="T-"),1.25,1)))),IF(_xlpm.k="","",MAX(_xlpm.k,N(IFERROR(_xlfn.XLOOKUP($D236&amp;"",Dashboard!$A$101:$A$350,Dashboard!$O$101:$O$350,0),0)))))</f>
        <v/>
      </c>
      <c r="L236" s="825" t="str">
        <f>IF($CJ236="","",_xlfn.LET(_xlpm.v,UPPER(TRIM(_xlfn.XLOOKUP($CJ236,Equip_List,Equip_FdrMat,"")&amp;"")),IF(_xlpm.v="",UPPER(TRIM(Cfg_FeederMat&amp;"")),_xlpm.v)))</f>
        <v/>
      </c>
      <c r="M236" s="825" t="str">
        <f>IF($CJ236="","",_xlfn.LET(_xlpm.v,TRIM(_xlfn.XLOOKUP($CJ236,Equip_List,Equip_FdrRace,"")&amp;""),IF(_xlpm.v="",Cfg_Conduit&amp;"",_xlpm.v)))</f>
        <v/>
      </c>
      <c r="N236" s="825" t="str">
        <f>IF($CJ236="","",IF(UPPER(TRIM(_xlfn.XLOOKUP($CJ236,Equip_List,Equip_FdrExist,"")&amp;""))="Y","Y",""))</f>
        <v/>
      </c>
      <c r="O236" s="823" t="str">
        <f t="shared" si="68"/>
        <v/>
      </c>
      <c r="P236" s="821" t="str">
        <f t="shared" si="69"/>
        <v/>
      </c>
      <c r="Q236" s="821" t="str">
        <f t="shared" si="70"/>
        <v/>
      </c>
      <c r="R236" s="822" t="str" cm="1">
        <f t="array" ref="R236">IF(K236="","",INDEX(OCPD_List,MATCH(TRUE,OCPD_List&gt;=K236,0)))</f>
        <v/>
      </c>
      <c r="S236" s="821" t="str">
        <f t="shared" si="71"/>
        <v/>
      </c>
      <c r="T236" s="826" t="str">
        <f t="shared" si="61"/>
        <v/>
      </c>
      <c r="U236" s="826" t="str">
        <f t="shared" si="62"/>
        <v/>
      </c>
      <c r="V236" s="827" t="str">
        <f t="shared" si="63"/>
        <v/>
      </c>
      <c r="W236" s="828"/>
      <c r="X236" s="819"/>
      <c r="Y236" s="820"/>
      <c r="Z236" s="820"/>
      <c r="AA236" s="820"/>
      <c r="BN236" s="832" t="str">
        <f>IF($B236="","",IFERROR(_xlfn.XLOOKUP($D236,Dashboard!$A$101:$A$350,Dashboard!$C$101:$C$350),""))</f>
        <v/>
      </c>
      <c r="BO236" s="832" t="str">
        <f t="shared" si="64"/>
        <v/>
      </c>
      <c r="BP236" s="832" t="str" cm="1">
        <f t="array" ref="BP236">IF(OR($B236="",$R236="",NOT(ISNUMBER($R236))),"",IF(AND($BV236="AL",$G236=1),"",_xlfn.LET(_xlpm.codes,IF($BV236="AL",Std_Al3_Code,IF($G236=1,Std_Cu1_Code,Std_Cu3_Code)),_xlpm.amps,IFERROR(--SUBSTITUTE(_xlpm.codes&amp;"","N",""),""),_xlpm.a,MIN(IF(ISNUMBER(_xlpm.amps),IF(_xlpm.amps&gt;=$R236,_xlpm.amps,""),"")),_xlpm.k,IF(_xlpm.a=0,$R236,_xlpm.a),IF($BO236="Y",TEXT(_xlpm.k,"0")&amp;"N",_xlpm.k))))</f>
        <v/>
      </c>
      <c r="BQ236" s="832" t="str" cm="1">
        <f t="array" ref="BQ236">IF($BP236="","",IFERROR(IF($BV236="AL",_xlfn.XLOOKUP($BP236,Std_Al3_Code,INDEX(Std_Al3_Table,0,3)),IF($G236=1,_xlfn.XLOOKUP($BP236,Std_Cu1_Code,INDEX(Std_Cu1_Table,0,3)),_xlfn.XLOOKUP($BP236,Std_Cu3_Code,INDEX(Std_Cu3_Table,0,3)))),""))</f>
        <v/>
      </c>
      <c r="BR236" s="832" t="str" cm="1">
        <f t="array" ref="BR236">IF($BP236="","",IFERROR(IF($BV236="AL",_xlfn.XLOOKUP($BP236,Std_Al3_Code,INDEX(Std_Al3_Table,0,4)),IF($G236=1,_xlfn.XLOOKUP($BP236,Std_Cu1_Code,INDEX(Std_Cu1_Table,0,4)),_xlfn.XLOOKUP($BP236,Std_Cu3_Code,INDEX(Std_Cu3_Table,0,4)))),""))</f>
        <v/>
      </c>
      <c r="BS236" s="832" t="str" cm="1">
        <f t="array" ref="BS236">IF($BP236="","",IFERROR(IF($BV236="AL",_xlfn.XLOOKUP($BP236,Std_Al3_Code,INDEX(Std_Al3_Table,0,5)),IF($G236=1,_xlfn.XLOOKUP($BP236,Std_Cu1_Code,INDEX(Std_Cu1_Table,0,5)),_xlfn.XLOOKUP($BP236,Std_Cu3_Code,INDEX(Std_Cu3_Table,0,5)))),""))</f>
        <v/>
      </c>
      <c r="BT236" s="832" t="str">
        <f t="shared" si="65"/>
        <v/>
      </c>
      <c r="BU236" s="832" t="str" cm="1">
        <f t="array" ref="BU236">IF($BP236="","",IFERROR(IF($BV236="AL",_xlfn.XLOOKUP($BP236,Std_Al3_Code,INDEX(Std_Al3_Table,0,2)),IF($G236=1,_xlfn.XLOOKUP($BP236,Std_Cu1_Code,INDEX(Std_Cu1_Table,0,2)),_xlfn.XLOOKUP($BP236,Std_Cu3_Code,INDEX(Std_Cu3_Table,0,2)))),""))</f>
        <v/>
      </c>
      <c r="BV236" s="829" t="str">
        <f t="shared" si="66"/>
        <v/>
      </c>
      <c r="BW236" s="829" t="str">
        <f t="shared" si="72"/>
        <v/>
      </c>
      <c r="BX236" s="829" t="str" cm="1">
        <f t="array" ref="BX236">IF(OR($BP236="",$H236="",$I236="",$F236="",$BW236=""),"",IFERROR(_xlfn.LET(_xlpm.codes,IF($BV236="AL",Std_Al3_Code,IF($G236=1,Std_Cu1_Code,Std_Cu3_Code)),_xlpm.tbl,IF($BV236="AL",Std_Al3_Table,IF($G236=1,Std_Cu1_Table,Std_Cu3_Table)),_xlpm.i,MATCH($BP236,_xlpm.codes,0),_xlpm.idx,_xlfn.SEQUENCE(ROWS(_xlpm.codes)),_xlpm.cnd,INDEX(_xlpm.tbl,0,4),_xlpm.sts,INDEX(_xlpm.tbl,0,2),_xlpm.sz,IFERROR(_xlfn.TEXTBEFORE(_xlfn.TEXTAFTER(_xlpm.cnd,"#"),","),IFERROR(_xlfn.TEXTAFTER(_xlpm.cnd,"#"),"")),_xlpm.cm,IFERROR(_xlfn.XLOOKUP(TRIM(_xlpm.sz),Ampacity_Size,Ampacity_CM),0),_xlpm.mult,IF($G236=3,SQRT3,2),_xlpm.kk,IF($BV236="AL",K_Al,K_Cu),_xlpm.vd,IF(_xlpm.cm*IF(ISNUMBER(_xlpm.sts),_xlpm.sts,0)=0,9,_xlpm.mult*_xlpm.kk*$I236*$H236/(_xlpm.cm*_xlpm.sts)/$F236),_xlpm.hasN,--(RIGHT(_xlpm.codes&amp;"",1)="N"),_xlpm.wantN,--(RIGHT($BP236&amp;"",1)="N"),_xlpm.ok,(_xlpm.idx&gt;=_xlpm.i)*(_xlpm.vd&lt;=Cfg_VDFeeder)*(_xlpm.cm&gt;0)*ISNUMBER(_xlpm.sts)*(_xlpm.hasN=_xlpm.wantN),_xlpm.m,MIN(IF(_xlpm.ok=1,_xlpm.idx)),INDEX(_xlpm.codes,IF(_xlpm.m=0,_xlpm.i,_xlpm.m))),""))</f>
        <v/>
      </c>
      <c r="BY236" s="829" t="str" cm="1">
        <f t="array" ref="BY236">IF($BP236="","",IF($BX236="",$BU236,IFERROR(IF($BV236="AL",_xlfn.XLOOKUP($BX236,Std_Al3_Code,INDEX(Std_Al3_Table,0,2)),IF($G236=1,_xlfn.XLOOKUP($BX236,Std_Cu1_Code,INDEX(Std_Cu1_Table,0,2)),_xlfn.XLOOKUP($BX236,Std_Cu3_Code,INDEX(Std_Cu3_Table,0,2)))),"")))</f>
        <v/>
      </c>
      <c r="BZ236" s="829" t="str" cm="1">
        <f t="array" ref="BZ236">IF($BP236="","",IF($BX236="",$BR236,IFERROR(IF($BV236="AL",_xlfn.XLOOKUP($BX236,Std_Al3_Code,INDEX(Std_Al3_Table,0,4)),IF($G236=1,_xlfn.XLOOKUP($BX236,Std_Cu1_Code,INDEX(Std_Cu1_Table,0,4)),_xlfn.XLOOKUP($BX236,Std_Cu3_Code,INDEX(Std_Cu3_Table,0,4)))),"")))</f>
        <v/>
      </c>
      <c r="CA236" s="829" t="str" cm="1">
        <f t="array" ref="CA236">IF($BP236="","",IF($BX236="",$BQ236,IFERROR(IF($BV236="AL",_xlfn.XLOOKUP($BX236,Std_Al3_Code,INDEX(Std_Al3_Table,0,3)),IF($G236=1,_xlfn.XLOOKUP($BX236,Std_Cu1_Code,INDEX(Std_Cu1_Table,0,3)),_xlfn.XLOOKUP($BX236,Std_Cu3_Code,INDEX(Std_Cu3_Table,0,3)))),"")))</f>
        <v/>
      </c>
      <c r="CB236" s="829" t="str" cm="1">
        <f t="array" ref="CB236">IF($BP236="","",IF($BX236="",$BS236,IFERROR(IF($BV236="AL",_xlfn.XLOOKUP($BX236,Std_Al3_Code,INDEX(Std_Al3_Table,0,5)),IF($G236=1,_xlfn.XLOOKUP($BX236,Std_Cu1_Code,INDEX(Std_Cu1_Table,0,5)),_xlfn.XLOOKUP($BX236,Std_Cu3_Code,INDEX(Std_Cu3_Table,0,5)))),"")))</f>
        <v/>
      </c>
      <c r="CC236" s="829" t="str">
        <f t="shared" si="73"/>
        <v/>
      </c>
      <c r="CD236" s="829" t="str">
        <f t="shared" si="74"/>
        <v/>
      </c>
      <c r="CE236" s="829" t="str">
        <f t="shared" si="75"/>
        <v/>
      </c>
      <c r="CF236" s="829" t="str">
        <f t="shared" si="76"/>
        <v/>
      </c>
      <c r="CG236" s="829" t="str">
        <f t="shared" si="77"/>
        <v/>
      </c>
      <c r="CH236" s="829" t="str">
        <f t="shared" si="78"/>
        <v/>
      </c>
      <c r="CI236" s="829" t="str">
        <f t="shared" si="79"/>
        <v/>
      </c>
      <c r="CJ236" s="829" t="str" cm="1">
        <f t="array" ref="CJ236">IF($B236="","",_xlfn.LET(_xlpm.to,$D236&amp;"",_xlpm.em,IFERROR(INDEX(_xlfn.ANCHORARRAY($BE$4),ROW()-4,6),"")="EMERG",_xlpm.pri,AND(NOT(_xlpm.em),LEFT(_xlpm.to,2)="T-",ISNUMBER(MATCH(MID(_xlpm.to,3,99),Equip_List,0)),ISNA(MATCH(_xlpm.to,Equip_List,0))),IF(_xlpm.pri,MID(_xlpm.to,3,99),_xlpm.to)))</f>
        <v/>
      </c>
      <c r="CK236" s="829" t="str" cm="1">
        <f t="array" ref="CK236">IF($CJ236="","",IF(IFERROR(INDEX(_xlfn.ANCHORARRAY($BE$4),ROW()-4,6),"")="EMERG","E",IF($CJ236&lt;&gt;$D236&amp;"","P","N")))</f>
        <v/>
      </c>
    </row>
    <row r="237" spans="1:89" ht="15" customHeight="1" x14ac:dyDescent="0.35">
      <c r="A237" s="821" t="str">
        <f t="shared" si="67"/>
        <v/>
      </c>
      <c r="B237" s="821" t="str" cm="1">
        <f t="array" ref="B237">IFERROR(IF(INDEX(_xlfn.ANCHORARRAY($BE$4),ROW()-4,2)="","","F-"&amp;INDEX(_xlfn.ANCHORARRAY($BE$4),ROW()-4,2)&amp;IF(IFERROR(INDEX(_xlfn.ANCHORARRAY($BE$4),ROW()-4,6),"")="EMERG","-E","")),"")</f>
        <v/>
      </c>
      <c r="C237" s="821" t="str" cm="1">
        <f t="array" ref="C237">IFERROR(IF($B237="","",INDEX(_xlfn.ANCHORARRAY($BE$4),ROW()-4,1)),"")</f>
        <v/>
      </c>
      <c r="D237" s="821" t="str" cm="1">
        <f t="array" ref="D237">IFERROR(IF($B237="","",INDEX(_xlfn.ANCHORARRAY($BE$4),ROW()-4,2)),"")</f>
        <v/>
      </c>
      <c r="E237" s="806" t="str" cm="1">
        <f t="array" ref="E237">IFERROR(IF($B237="","",INDEX(_xlfn.ANCHORARRAY($BE$4),ROW()-4,3)),"")</f>
        <v/>
      </c>
      <c r="F237" s="822" t="str" cm="1">
        <f t="array" ref="F237">IFERROR(IF($B237="","",INDEX(_xlfn.ANCHORARRAY($BE$4),ROW()-4,4)),"")</f>
        <v/>
      </c>
      <c r="G237" s="823" t="str" cm="1">
        <f t="array" ref="G237">IFERROR(IF($B237="","",INDEX(_xlfn.ANCHORARRAY($BE$4),ROW()-4,5)),"")</f>
        <v/>
      </c>
      <c r="H237" s="824" t="str" cm="1">
        <f t="array" ref="H237">IF($CJ237="","",_xlfn.LET(_xlpm.v,_xlfn.XLOOKUP($CJ237,Equip_List,IF($CK237="E",Equip_EmLen,IF($CK237="P",Equip_XfPriLen,Equip_FdrLen)),""),IF(_xlpm.v="","",_xlpm.v)))</f>
        <v/>
      </c>
      <c r="I237" s="806" t="str">
        <f t="shared" si="60"/>
        <v/>
      </c>
      <c r="J237" s="820"/>
      <c r="K237" s="806" t="str">
        <f>_xlfn.LET(_xlpm.k,IF($I237="","",IF(COUNTIF(UPS!$B$57:$B$64,$C237&amp;"")&gt;0,1.25*MAX($I237,N(_xlfn.XLOOKUP($C237&amp;"",UPS!$B$57:$B$64,UPS!$M$57:$M$64,0))),IF(COUNTIF(UPS!$B$57:$B$64,$D237&amp;"")&gt;0,1.25*MAX($I237,N(_xlfn.XLOOKUP($D237&amp;"",UPS!$B$57:$B$64,UPS!$Q$57:$Q$64,0))),$I237*IF(OR(UPPER($J237)="Y",LEFT($C237,2)="T-",LEFT($D237,2)="T-"),1.25,1)))),IF(_xlpm.k="","",MAX(_xlpm.k,N(IFERROR(_xlfn.XLOOKUP($D237&amp;"",Dashboard!$A$101:$A$350,Dashboard!$O$101:$O$350,0),0)))))</f>
        <v/>
      </c>
      <c r="L237" s="825" t="str">
        <f>IF($CJ237="","",_xlfn.LET(_xlpm.v,UPPER(TRIM(_xlfn.XLOOKUP($CJ237,Equip_List,Equip_FdrMat,"")&amp;"")),IF(_xlpm.v="",UPPER(TRIM(Cfg_FeederMat&amp;"")),_xlpm.v)))</f>
        <v/>
      </c>
      <c r="M237" s="825" t="str">
        <f>IF($CJ237="","",_xlfn.LET(_xlpm.v,TRIM(_xlfn.XLOOKUP($CJ237,Equip_List,Equip_FdrRace,"")&amp;""),IF(_xlpm.v="",Cfg_Conduit&amp;"",_xlpm.v)))</f>
        <v/>
      </c>
      <c r="N237" s="825" t="str">
        <f>IF($CJ237="","",IF(UPPER(TRIM(_xlfn.XLOOKUP($CJ237,Equip_List,Equip_FdrExist,"")&amp;""))="Y","Y",""))</f>
        <v/>
      </c>
      <c r="O237" s="823" t="str">
        <f t="shared" si="68"/>
        <v/>
      </c>
      <c r="P237" s="821" t="str">
        <f t="shared" si="69"/>
        <v/>
      </c>
      <c r="Q237" s="821" t="str">
        <f t="shared" si="70"/>
        <v/>
      </c>
      <c r="R237" s="822" t="str" cm="1">
        <f t="array" ref="R237">IF(K237="","",INDEX(OCPD_List,MATCH(TRUE,OCPD_List&gt;=K237,0)))</f>
        <v/>
      </c>
      <c r="S237" s="821" t="str">
        <f t="shared" si="71"/>
        <v/>
      </c>
      <c r="T237" s="826" t="str">
        <f t="shared" si="61"/>
        <v/>
      </c>
      <c r="U237" s="826" t="str">
        <f t="shared" si="62"/>
        <v/>
      </c>
      <c r="V237" s="827" t="str">
        <f t="shared" si="63"/>
        <v/>
      </c>
      <c r="W237" s="828"/>
      <c r="X237" s="819"/>
      <c r="Y237" s="820"/>
      <c r="Z237" s="820"/>
      <c r="AA237" s="820"/>
      <c r="BN237" s="832" t="str">
        <f>IF($B237="","",IFERROR(_xlfn.XLOOKUP($D237,Dashboard!$A$101:$A$350,Dashboard!$C$101:$C$350),""))</f>
        <v/>
      </c>
      <c r="BO237" s="832" t="str">
        <f t="shared" si="64"/>
        <v/>
      </c>
      <c r="BP237" s="832" t="str" cm="1">
        <f t="array" ref="BP237">IF(OR($B237="",$R237="",NOT(ISNUMBER($R237))),"",IF(AND($BV237="AL",$G237=1),"",_xlfn.LET(_xlpm.codes,IF($BV237="AL",Std_Al3_Code,IF($G237=1,Std_Cu1_Code,Std_Cu3_Code)),_xlpm.amps,IFERROR(--SUBSTITUTE(_xlpm.codes&amp;"","N",""),""),_xlpm.a,MIN(IF(ISNUMBER(_xlpm.amps),IF(_xlpm.amps&gt;=$R237,_xlpm.amps,""),"")),_xlpm.k,IF(_xlpm.a=0,$R237,_xlpm.a),IF($BO237="Y",TEXT(_xlpm.k,"0")&amp;"N",_xlpm.k))))</f>
        <v/>
      </c>
      <c r="BQ237" s="832" t="str" cm="1">
        <f t="array" ref="BQ237">IF($BP237="","",IFERROR(IF($BV237="AL",_xlfn.XLOOKUP($BP237,Std_Al3_Code,INDEX(Std_Al3_Table,0,3)),IF($G237=1,_xlfn.XLOOKUP($BP237,Std_Cu1_Code,INDEX(Std_Cu1_Table,0,3)),_xlfn.XLOOKUP($BP237,Std_Cu3_Code,INDEX(Std_Cu3_Table,0,3)))),""))</f>
        <v/>
      </c>
      <c r="BR237" s="832" t="str" cm="1">
        <f t="array" ref="BR237">IF($BP237="","",IFERROR(IF($BV237="AL",_xlfn.XLOOKUP($BP237,Std_Al3_Code,INDEX(Std_Al3_Table,0,4)),IF($G237=1,_xlfn.XLOOKUP($BP237,Std_Cu1_Code,INDEX(Std_Cu1_Table,0,4)),_xlfn.XLOOKUP($BP237,Std_Cu3_Code,INDEX(Std_Cu3_Table,0,4)))),""))</f>
        <v/>
      </c>
      <c r="BS237" s="832" t="str" cm="1">
        <f t="array" ref="BS237">IF($BP237="","",IFERROR(IF($BV237="AL",_xlfn.XLOOKUP($BP237,Std_Al3_Code,INDEX(Std_Al3_Table,0,5)),IF($G237=1,_xlfn.XLOOKUP($BP237,Std_Cu1_Code,INDEX(Std_Cu1_Table,0,5)),_xlfn.XLOOKUP($BP237,Std_Cu3_Code,INDEX(Std_Cu3_Table,0,5)))),""))</f>
        <v/>
      </c>
      <c r="BT237" s="832" t="str">
        <f t="shared" si="65"/>
        <v/>
      </c>
      <c r="BU237" s="832" t="str" cm="1">
        <f t="array" ref="BU237">IF($BP237="","",IFERROR(IF($BV237="AL",_xlfn.XLOOKUP($BP237,Std_Al3_Code,INDEX(Std_Al3_Table,0,2)),IF($G237=1,_xlfn.XLOOKUP($BP237,Std_Cu1_Code,INDEX(Std_Cu1_Table,0,2)),_xlfn.XLOOKUP($BP237,Std_Cu3_Code,INDEX(Std_Cu3_Table,0,2)))),""))</f>
        <v/>
      </c>
      <c r="BV237" s="829" t="str">
        <f t="shared" si="66"/>
        <v/>
      </c>
      <c r="BW237" s="829" t="str">
        <f t="shared" si="72"/>
        <v/>
      </c>
      <c r="BX237" s="829" t="str" cm="1">
        <f t="array" ref="BX237">IF(OR($BP237="",$H237="",$I237="",$F237="",$BW237=""),"",IFERROR(_xlfn.LET(_xlpm.codes,IF($BV237="AL",Std_Al3_Code,IF($G237=1,Std_Cu1_Code,Std_Cu3_Code)),_xlpm.tbl,IF($BV237="AL",Std_Al3_Table,IF($G237=1,Std_Cu1_Table,Std_Cu3_Table)),_xlpm.i,MATCH($BP237,_xlpm.codes,0),_xlpm.idx,_xlfn.SEQUENCE(ROWS(_xlpm.codes)),_xlpm.cnd,INDEX(_xlpm.tbl,0,4),_xlpm.sts,INDEX(_xlpm.tbl,0,2),_xlpm.sz,IFERROR(_xlfn.TEXTBEFORE(_xlfn.TEXTAFTER(_xlpm.cnd,"#"),","),IFERROR(_xlfn.TEXTAFTER(_xlpm.cnd,"#"),"")),_xlpm.cm,IFERROR(_xlfn.XLOOKUP(TRIM(_xlpm.sz),Ampacity_Size,Ampacity_CM),0),_xlpm.mult,IF($G237=3,SQRT3,2),_xlpm.kk,IF($BV237="AL",K_Al,K_Cu),_xlpm.vd,IF(_xlpm.cm*IF(ISNUMBER(_xlpm.sts),_xlpm.sts,0)=0,9,_xlpm.mult*_xlpm.kk*$I237*$H237/(_xlpm.cm*_xlpm.sts)/$F237),_xlpm.hasN,--(RIGHT(_xlpm.codes&amp;"",1)="N"),_xlpm.wantN,--(RIGHT($BP237&amp;"",1)="N"),_xlpm.ok,(_xlpm.idx&gt;=_xlpm.i)*(_xlpm.vd&lt;=Cfg_VDFeeder)*(_xlpm.cm&gt;0)*ISNUMBER(_xlpm.sts)*(_xlpm.hasN=_xlpm.wantN),_xlpm.m,MIN(IF(_xlpm.ok=1,_xlpm.idx)),INDEX(_xlpm.codes,IF(_xlpm.m=0,_xlpm.i,_xlpm.m))),""))</f>
        <v/>
      </c>
      <c r="BY237" s="829" t="str" cm="1">
        <f t="array" ref="BY237">IF($BP237="","",IF($BX237="",$BU237,IFERROR(IF($BV237="AL",_xlfn.XLOOKUP($BX237,Std_Al3_Code,INDEX(Std_Al3_Table,0,2)),IF($G237=1,_xlfn.XLOOKUP($BX237,Std_Cu1_Code,INDEX(Std_Cu1_Table,0,2)),_xlfn.XLOOKUP($BX237,Std_Cu3_Code,INDEX(Std_Cu3_Table,0,2)))),"")))</f>
        <v/>
      </c>
      <c r="BZ237" s="829" t="str" cm="1">
        <f t="array" ref="BZ237">IF($BP237="","",IF($BX237="",$BR237,IFERROR(IF($BV237="AL",_xlfn.XLOOKUP($BX237,Std_Al3_Code,INDEX(Std_Al3_Table,0,4)),IF($G237=1,_xlfn.XLOOKUP($BX237,Std_Cu1_Code,INDEX(Std_Cu1_Table,0,4)),_xlfn.XLOOKUP($BX237,Std_Cu3_Code,INDEX(Std_Cu3_Table,0,4)))),"")))</f>
        <v/>
      </c>
      <c r="CA237" s="829" t="str" cm="1">
        <f t="array" ref="CA237">IF($BP237="","",IF($BX237="",$BQ237,IFERROR(IF($BV237="AL",_xlfn.XLOOKUP($BX237,Std_Al3_Code,INDEX(Std_Al3_Table,0,3)),IF($G237=1,_xlfn.XLOOKUP($BX237,Std_Cu1_Code,INDEX(Std_Cu1_Table,0,3)),_xlfn.XLOOKUP($BX237,Std_Cu3_Code,INDEX(Std_Cu3_Table,0,3)))),"")))</f>
        <v/>
      </c>
      <c r="CB237" s="829" t="str" cm="1">
        <f t="array" ref="CB237">IF($BP237="","",IF($BX237="",$BS237,IFERROR(IF($BV237="AL",_xlfn.XLOOKUP($BX237,Std_Al3_Code,INDEX(Std_Al3_Table,0,5)),IF($G237=1,_xlfn.XLOOKUP($BX237,Std_Cu1_Code,INDEX(Std_Cu1_Table,0,5)),_xlfn.XLOOKUP($BX237,Std_Cu3_Code,INDEX(Std_Cu3_Table,0,5)))),"")))</f>
        <v/>
      </c>
      <c r="CC237" s="829" t="str">
        <f t="shared" si="73"/>
        <v/>
      </c>
      <c r="CD237" s="829" t="str">
        <f t="shared" si="74"/>
        <v/>
      </c>
      <c r="CE237" s="829" t="str">
        <f t="shared" si="75"/>
        <v/>
      </c>
      <c r="CF237" s="829" t="str">
        <f t="shared" si="76"/>
        <v/>
      </c>
      <c r="CG237" s="829" t="str">
        <f t="shared" si="77"/>
        <v/>
      </c>
      <c r="CH237" s="829" t="str">
        <f t="shared" si="78"/>
        <v/>
      </c>
      <c r="CI237" s="829" t="str">
        <f t="shared" si="79"/>
        <v/>
      </c>
      <c r="CJ237" s="829" t="str" cm="1">
        <f t="array" ref="CJ237">IF($B237="","",_xlfn.LET(_xlpm.to,$D237&amp;"",_xlpm.em,IFERROR(INDEX(_xlfn.ANCHORARRAY($BE$4),ROW()-4,6),"")="EMERG",_xlpm.pri,AND(NOT(_xlpm.em),LEFT(_xlpm.to,2)="T-",ISNUMBER(MATCH(MID(_xlpm.to,3,99),Equip_List,0)),ISNA(MATCH(_xlpm.to,Equip_List,0))),IF(_xlpm.pri,MID(_xlpm.to,3,99),_xlpm.to)))</f>
        <v/>
      </c>
      <c r="CK237" s="829" t="str" cm="1">
        <f t="array" ref="CK237">IF($CJ237="","",IF(IFERROR(INDEX(_xlfn.ANCHORARRAY($BE$4),ROW()-4,6),"")="EMERG","E",IF($CJ237&lt;&gt;$D237&amp;"","P","N")))</f>
        <v/>
      </c>
    </row>
    <row r="238" spans="1:89" ht="15" customHeight="1" x14ac:dyDescent="0.35">
      <c r="A238" s="821" t="str">
        <f t="shared" si="67"/>
        <v/>
      </c>
      <c r="B238" s="821" t="str" cm="1">
        <f t="array" ref="B238">IFERROR(IF(INDEX(_xlfn.ANCHORARRAY($BE$4),ROW()-4,2)="","","F-"&amp;INDEX(_xlfn.ANCHORARRAY($BE$4),ROW()-4,2)&amp;IF(IFERROR(INDEX(_xlfn.ANCHORARRAY($BE$4),ROW()-4,6),"")="EMERG","-E","")),"")</f>
        <v/>
      </c>
      <c r="C238" s="821" t="str" cm="1">
        <f t="array" ref="C238">IFERROR(IF($B238="","",INDEX(_xlfn.ANCHORARRAY($BE$4),ROW()-4,1)),"")</f>
        <v/>
      </c>
      <c r="D238" s="821" t="str" cm="1">
        <f t="array" ref="D238">IFERROR(IF($B238="","",INDEX(_xlfn.ANCHORARRAY($BE$4),ROW()-4,2)),"")</f>
        <v/>
      </c>
      <c r="E238" s="806" t="str" cm="1">
        <f t="array" ref="E238">IFERROR(IF($B238="","",INDEX(_xlfn.ANCHORARRAY($BE$4),ROW()-4,3)),"")</f>
        <v/>
      </c>
      <c r="F238" s="822" t="str" cm="1">
        <f t="array" ref="F238">IFERROR(IF($B238="","",INDEX(_xlfn.ANCHORARRAY($BE$4),ROW()-4,4)),"")</f>
        <v/>
      </c>
      <c r="G238" s="823" t="str" cm="1">
        <f t="array" ref="G238">IFERROR(IF($B238="","",INDEX(_xlfn.ANCHORARRAY($BE$4),ROW()-4,5)),"")</f>
        <v/>
      </c>
      <c r="H238" s="824" t="str" cm="1">
        <f t="array" ref="H238">IF($CJ238="","",_xlfn.LET(_xlpm.v,_xlfn.XLOOKUP($CJ238,Equip_List,IF($CK238="E",Equip_EmLen,IF($CK238="P",Equip_XfPriLen,Equip_FdrLen)),""),IF(_xlpm.v="","",_xlpm.v)))</f>
        <v/>
      </c>
      <c r="I238" s="806" t="str">
        <f t="shared" si="60"/>
        <v/>
      </c>
      <c r="J238" s="820"/>
      <c r="K238" s="806" t="str">
        <f>_xlfn.LET(_xlpm.k,IF($I238="","",IF(COUNTIF(UPS!$B$57:$B$64,$C238&amp;"")&gt;0,1.25*MAX($I238,N(_xlfn.XLOOKUP($C238&amp;"",UPS!$B$57:$B$64,UPS!$M$57:$M$64,0))),IF(COUNTIF(UPS!$B$57:$B$64,$D238&amp;"")&gt;0,1.25*MAX($I238,N(_xlfn.XLOOKUP($D238&amp;"",UPS!$B$57:$B$64,UPS!$Q$57:$Q$64,0))),$I238*IF(OR(UPPER($J238)="Y",LEFT($C238,2)="T-",LEFT($D238,2)="T-"),1.25,1)))),IF(_xlpm.k="","",MAX(_xlpm.k,N(IFERROR(_xlfn.XLOOKUP($D238&amp;"",Dashboard!$A$101:$A$350,Dashboard!$O$101:$O$350,0),0)))))</f>
        <v/>
      </c>
      <c r="L238" s="825" t="str">
        <f>IF($CJ238="","",_xlfn.LET(_xlpm.v,UPPER(TRIM(_xlfn.XLOOKUP($CJ238,Equip_List,Equip_FdrMat,"")&amp;"")),IF(_xlpm.v="",UPPER(TRIM(Cfg_FeederMat&amp;"")),_xlpm.v)))</f>
        <v/>
      </c>
      <c r="M238" s="825" t="str">
        <f>IF($CJ238="","",_xlfn.LET(_xlpm.v,TRIM(_xlfn.XLOOKUP($CJ238,Equip_List,Equip_FdrRace,"")&amp;""),IF(_xlpm.v="",Cfg_Conduit&amp;"",_xlpm.v)))</f>
        <v/>
      </c>
      <c r="N238" s="825" t="str">
        <f>IF($CJ238="","",IF(UPPER(TRIM(_xlfn.XLOOKUP($CJ238,Equip_List,Equip_FdrExist,"")&amp;""))="Y","Y",""))</f>
        <v/>
      </c>
      <c r="O238" s="823" t="str">
        <f t="shared" si="68"/>
        <v/>
      </c>
      <c r="P238" s="821" t="str">
        <f t="shared" si="69"/>
        <v/>
      </c>
      <c r="Q238" s="821" t="str">
        <f t="shared" si="70"/>
        <v/>
      </c>
      <c r="R238" s="822" t="str" cm="1">
        <f t="array" ref="R238">IF(K238="","",INDEX(OCPD_List,MATCH(TRUE,OCPD_List&gt;=K238,0)))</f>
        <v/>
      </c>
      <c r="S238" s="821" t="str">
        <f t="shared" si="71"/>
        <v/>
      </c>
      <c r="T238" s="826" t="str">
        <f t="shared" si="61"/>
        <v/>
      </c>
      <c r="U238" s="826" t="str">
        <f t="shared" si="62"/>
        <v/>
      </c>
      <c r="V238" s="827" t="str">
        <f t="shared" si="63"/>
        <v/>
      </c>
      <c r="W238" s="828"/>
      <c r="X238" s="819"/>
      <c r="Y238" s="820"/>
      <c r="Z238" s="820"/>
      <c r="AA238" s="820"/>
      <c r="BN238" s="832" t="str">
        <f>IF($B238="","",IFERROR(_xlfn.XLOOKUP($D238,Dashboard!$A$101:$A$350,Dashboard!$C$101:$C$350),""))</f>
        <v/>
      </c>
      <c r="BO238" s="832" t="str">
        <f t="shared" si="64"/>
        <v/>
      </c>
      <c r="BP238" s="832" t="str" cm="1">
        <f t="array" ref="BP238">IF(OR($B238="",$R238="",NOT(ISNUMBER($R238))),"",IF(AND($BV238="AL",$G238=1),"",_xlfn.LET(_xlpm.codes,IF($BV238="AL",Std_Al3_Code,IF($G238=1,Std_Cu1_Code,Std_Cu3_Code)),_xlpm.amps,IFERROR(--SUBSTITUTE(_xlpm.codes&amp;"","N",""),""),_xlpm.a,MIN(IF(ISNUMBER(_xlpm.amps),IF(_xlpm.amps&gt;=$R238,_xlpm.amps,""),"")),_xlpm.k,IF(_xlpm.a=0,$R238,_xlpm.a),IF($BO238="Y",TEXT(_xlpm.k,"0")&amp;"N",_xlpm.k))))</f>
        <v/>
      </c>
      <c r="BQ238" s="832" t="str" cm="1">
        <f t="array" ref="BQ238">IF($BP238="","",IFERROR(IF($BV238="AL",_xlfn.XLOOKUP($BP238,Std_Al3_Code,INDEX(Std_Al3_Table,0,3)),IF($G238=1,_xlfn.XLOOKUP($BP238,Std_Cu1_Code,INDEX(Std_Cu1_Table,0,3)),_xlfn.XLOOKUP($BP238,Std_Cu3_Code,INDEX(Std_Cu3_Table,0,3)))),""))</f>
        <v/>
      </c>
      <c r="BR238" s="832" t="str" cm="1">
        <f t="array" ref="BR238">IF($BP238="","",IFERROR(IF($BV238="AL",_xlfn.XLOOKUP($BP238,Std_Al3_Code,INDEX(Std_Al3_Table,0,4)),IF($G238=1,_xlfn.XLOOKUP($BP238,Std_Cu1_Code,INDEX(Std_Cu1_Table,0,4)),_xlfn.XLOOKUP($BP238,Std_Cu3_Code,INDEX(Std_Cu3_Table,0,4)))),""))</f>
        <v/>
      </c>
      <c r="BS238" s="832" t="str" cm="1">
        <f t="array" ref="BS238">IF($BP238="","",IFERROR(IF($BV238="AL",_xlfn.XLOOKUP($BP238,Std_Al3_Code,INDEX(Std_Al3_Table,0,5)),IF($G238=1,_xlfn.XLOOKUP($BP238,Std_Cu1_Code,INDEX(Std_Cu1_Table,0,5)),_xlfn.XLOOKUP($BP238,Std_Cu3_Code,INDEX(Std_Cu3_Table,0,5)))),""))</f>
        <v/>
      </c>
      <c r="BT238" s="832" t="str">
        <f t="shared" si="65"/>
        <v/>
      </c>
      <c r="BU238" s="832" t="str" cm="1">
        <f t="array" ref="BU238">IF($BP238="","",IFERROR(IF($BV238="AL",_xlfn.XLOOKUP($BP238,Std_Al3_Code,INDEX(Std_Al3_Table,0,2)),IF($G238=1,_xlfn.XLOOKUP($BP238,Std_Cu1_Code,INDEX(Std_Cu1_Table,0,2)),_xlfn.XLOOKUP($BP238,Std_Cu3_Code,INDEX(Std_Cu3_Table,0,2)))),""))</f>
        <v/>
      </c>
      <c r="BV238" s="829" t="str">
        <f t="shared" si="66"/>
        <v/>
      </c>
      <c r="BW238" s="829" t="str">
        <f t="shared" si="72"/>
        <v/>
      </c>
      <c r="BX238" s="829" t="str" cm="1">
        <f t="array" ref="BX238">IF(OR($BP238="",$H238="",$I238="",$F238="",$BW238=""),"",IFERROR(_xlfn.LET(_xlpm.codes,IF($BV238="AL",Std_Al3_Code,IF($G238=1,Std_Cu1_Code,Std_Cu3_Code)),_xlpm.tbl,IF($BV238="AL",Std_Al3_Table,IF($G238=1,Std_Cu1_Table,Std_Cu3_Table)),_xlpm.i,MATCH($BP238,_xlpm.codes,0),_xlpm.idx,_xlfn.SEQUENCE(ROWS(_xlpm.codes)),_xlpm.cnd,INDEX(_xlpm.tbl,0,4),_xlpm.sts,INDEX(_xlpm.tbl,0,2),_xlpm.sz,IFERROR(_xlfn.TEXTBEFORE(_xlfn.TEXTAFTER(_xlpm.cnd,"#"),","),IFERROR(_xlfn.TEXTAFTER(_xlpm.cnd,"#"),"")),_xlpm.cm,IFERROR(_xlfn.XLOOKUP(TRIM(_xlpm.sz),Ampacity_Size,Ampacity_CM),0),_xlpm.mult,IF($G238=3,SQRT3,2),_xlpm.kk,IF($BV238="AL",K_Al,K_Cu),_xlpm.vd,IF(_xlpm.cm*IF(ISNUMBER(_xlpm.sts),_xlpm.sts,0)=0,9,_xlpm.mult*_xlpm.kk*$I238*$H238/(_xlpm.cm*_xlpm.sts)/$F238),_xlpm.hasN,--(RIGHT(_xlpm.codes&amp;"",1)="N"),_xlpm.wantN,--(RIGHT($BP238&amp;"",1)="N"),_xlpm.ok,(_xlpm.idx&gt;=_xlpm.i)*(_xlpm.vd&lt;=Cfg_VDFeeder)*(_xlpm.cm&gt;0)*ISNUMBER(_xlpm.sts)*(_xlpm.hasN=_xlpm.wantN),_xlpm.m,MIN(IF(_xlpm.ok=1,_xlpm.idx)),INDEX(_xlpm.codes,IF(_xlpm.m=0,_xlpm.i,_xlpm.m))),""))</f>
        <v/>
      </c>
      <c r="BY238" s="829" t="str" cm="1">
        <f t="array" ref="BY238">IF($BP238="","",IF($BX238="",$BU238,IFERROR(IF($BV238="AL",_xlfn.XLOOKUP($BX238,Std_Al3_Code,INDEX(Std_Al3_Table,0,2)),IF($G238=1,_xlfn.XLOOKUP($BX238,Std_Cu1_Code,INDEX(Std_Cu1_Table,0,2)),_xlfn.XLOOKUP($BX238,Std_Cu3_Code,INDEX(Std_Cu3_Table,0,2)))),"")))</f>
        <v/>
      </c>
      <c r="BZ238" s="829" t="str" cm="1">
        <f t="array" ref="BZ238">IF($BP238="","",IF($BX238="",$BR238,IFERROR(IF($BV238="AL",_xlfn.XLOOKUP($BX238,Std_Al3_Code,INDEX(Std_Al3_Table,0,4)),IF($G238=1,_xlfn.XLOOKUP($BX238,Std_Cu1_Code,INDEX(Std_Cu1_Table,0,4)),_xlfn.XLOOKUP($BX238,Std_Cu3_Code,INDEX(Std_Cu3_Table,0,4)))),"")))</f>
        <v/>
      </c>
      <c r="CA238" s="829" t="str" cm="1">
        <f t="array" ref="CA238">IF($BP238="","",IF($BX238="",$BQ238,IFERROR(IF($BV238="AL",_xlfn.XLOOKUP($BX238,Std_Al3_Code,INDEX(Std_Al3_Table,0,3)),IF($G238=1,_xlfn.XLOOKUP($BX238,Std_Cu1_Code,INDEX(Std_Cu1_Table,0,3)),_xlfn.XLOOKUP($BX238,Std_Cu3_Code,INDEX(Std_Cu3_Table,0,3)))),"")))</f>
        <v/>
      </c>
      <c r="CB238" s="829" t="str" cm="1">
        <f t="array" ref="CB238">IF($BP238="","",IF($BX238="",$BS238,IFERROR(IF($BV238="AL",_xlfn.XLOOKUP($BX238,Std_Al3_Code,INDEX(Std_Al3_Table,0,5)),IF($G238=1,_xlfn.XLOOKUP($BX238,Std_Cu1_Code,INDEX(Std_Cu1_Table,0,5)),_xlfn.XLOOKUP($BX238,Std_Cu3_Code,INDEX(Std_Cu3_Table,0,5)))),"")))</f>
        <v/>
      </c>
      <c r="CC238" s="829" t="str">
        <f t="shared" si="73"/>
        <v/>
      </c>
      <c r="CD238" s="829" t="str">
        <f t="shared" si="74"/>
        <v/>
      </c>
      <c r="CE238" s="829" t="str">
        <f t="shared" si="75"/>
        <v/>
      </c>
      <c r="CF238" s="829" t="str">
        <f t="shared" si="76"/>
        <v/>
      </c>
      <c r="CG238" s="829" t="str">
        <f t="shared" si="77"/>
        <v/>
      </c>
      <c r="CH238" s="829" t="str">
        <f t="shared" si="78"/>
        <v/>
      </c>
      <c r="CI238" s="829" t="str">
        <f t="shared" si="79"/>
        <v/>
      </c>
      <c r="CJ238" s="829" t="str" cm="1">
        <f t="array" ref="CJ238">IF($B238="","",_xlfn.LET(_xlpm.to,$D238&amp;"",_xlpm.em,IFERROR(INDEX(_xlfn.ANCHORARRAY($BE$4),ROW()-4,6),"")="EMERG",_xlpm.pri,AND(NOT(_xlpm.em),LEFT(_xlpm.to,2)="T-",ISNUMBER(MATCH(MID(_xlpm.to,3,99),Equip_List,0)),ISNA(MATCH(_xlpm.to,Equip_List,0))),IF(_xlpm.pri,MID(_xlpm.to,3,99),_xlpm.to)))</f>
        <v/>
      </c>
      <c r="CK238" s="829" t="str" cm="1">
        <f t="array" ref="CK238">IF($CJ238="","",IF(IFERROR(INDEX(_xlfn.ANCHORARRAY($BE$4),ROW()-4,6),"")="EMERG","E",IF($CJ238&lt;&gt;$D238&amp;"","P","N")))</f>
        <v/>
      </c>
    </row>
    <row r="239" spans="1:89" ht="15" customHeight="1" x14ac:dyDescent="0.35">
      <c r="A239" s="821" t="str">
        <f t="shared" si="67"/>
        <v/>
      </c>
      <c r="B239" s="821" t="str" cm="1">
        <f t="array" ref="B239">IFERROR(IF(INDEX(_xlfn.ANCHORARRAY($BE$4),ROW()-4,2)="","","F-"&amp;INDEX(_xlfn.ANCHORARRAY($BE$4),ROW()-4,2)&amp;IF(IFERROR(INDEX(_xlfn.ANCHORARRAY($BE$4),ROW()-4,6),"")="EMERG","-E","")),"")</f>
        <v/>
      </c>
      <c r="C239" s="821" t="str" cm="1">
        <f t="array" ref="C239">IFERROR(IF($B239="","",INDEX(_xlfn.ANCHORARRAY($BE$4),ROW()-4,1)),"")</f>
        <v/>
      </c>
      <c r="D239" s="821" t="str" cm="1">
        <f t="array" ref="D239">IFERROR(IF($B239="","",INDEX(_xlfn.ANCHORARRAY($BE$4),ROW()-4,2)),"")</f>
        <v/>
      </c>
      <c r="E239" s="806" t="str" cm="1">
        <f t="array" ref="E239">IFERROR(IF($B239="","",INDEX(_xlfn.ANCHORARRAY($BE$4),ROW()-4,3)),"")</f>
        <v/>
      </c>
      <c r="F239" s="822" t="str" cm="1">
        <f t="array" ref="F239">IFERROR(IF($B239="","",INDEX(_xlfn.ANCHORARRAY($BE$4),ROW()-4,4)),"")</f>
        <v/>
      </c>
      <c r="G239" s="823" t="str" cm="1">
        <f t="array" ref="G239">IFERROR(IF($B239="","",INDEX(_xlfn.ANCHORARRAY($BE$4),ROW()-4,5)),"")</f>
        <v/>
      </c>
      <c r="H239" s="824" t="str" cm="1">
        <f t="array" ref="H239">IF($CJ239="","",_xlfn.LET(_xlpm.v,_xlfn.XLOOKUP($CJ239,Equip_List,IF($CK239="E",Equip_EmLen,IF($CK239="P",Equip_XfPriLen,Equip_FdrLen)),""),IF(_xlpm.v="","",_xlpm.v)))</f>
        <v/>
      </c>
      <c r="I239" s="806" t="str">
        <f t="shared" si="60"/>
        <v/>
      </c>
      <c r="J239" s="820"/>
      <c r="K239" s="806" t="str">
        <f>_xlfn.LET(_xlpm.k,IF($I239="","",IF(COUNTIF(UPS!$B$57:$B$64,$C239&amp;"")&gt;0,1.25*MAX($I239,N(_xlfn.XLOOKUP($C239&amp;"",UPS!$B$57:$B$64,UPS!$M$57:$M$64,0))),IF(COUNTIF(UPS!$B$57:$B$64,$D239&amp;"")&gt;0,1.25*MAX($I239,N(_xlfn.XLOOKUP($D239&amp;"",UPS!$B$57:$B$64,UPS!$Q$57:$Q$64,0))),$I239*IF(OR(UPPER($J239)="Y",LEFT($C239,2)="T-",LEFT($D239,2)="T-"),1.25,1)))),IF(_xlpm.k="","",MAX(_xlpm.k,N(IFERROR(_xlfn.XLOOKUP($D239&amp;"",Dashboard!$A$101:$A$350,Dashboard!$O$101:$O$350,0),0)))))</f>
        <v/>
      </c>
      <c r="L239" s="825" t="str">
        <f>IF($CJ239="","",_xlfn.LET(_xlpm.v,UPPER(TRIM(_xlfn.XLOOKUP($CJ239,Equip_List,Equip_FdrMat,"")&amp;"")),IF(_xlpm.v="",UPPER(TRIM(Cfg_FeederMat&amp;"")),_xlpm.v)))</f>
        <v/>
      </c>
      <c r="M239" s="825" t="str">
        <f>IF($CJ239="","",_xlfn.LET(_xlpm.v,TRIM(_xlfn.XLOOKUP($CJ239,Equip_List,Equip_FdrRace,"")&amp;""),IF(_xlpm.v="",Cfg_Conduit&amp;"",_xlpm.v)))</f>
        <v/>
      </c>
      <c r="N239" s="825" t="str">
        <f>IF($CJ239="","",IF(UPPER(TRIM(_xlfn.XLOOKUP($CJ239,Equip_List,Equip_FdrExist,"")&amp;""))="Y","Y",""))</f>
        <v/>
      </c>
      <c r="O239" s="823" t="str">
        <f t="shared" si="68"/>
        <v/>
      </c>
      <c r="P239" s="821" t="str">
        <f t="shared" si="69"/>
        <v/>
      </c>
      <c r="Q239" s="821" t="str">
        <f t="shared" si="70"/>
        <v/>
      </c>
      <c r="R239" s="822" t="str" cm="1">
        <f t="array" ref="R239">IF(K239="","",INDEX(OCPD_List,MATCH(TRUE,OCPD_List&gt;=K239,0)))</f>
        <v/>
      </c>
      <c r="S239" s="821" t="str">
        <f t="shared" si="71"/>
        <v/>
      </c>
      <c r="T239" s="826" t="str">
        <f t="shared" si="61"/>
        <v/>
      </c>
      <c r="U239" s="826" t="str">
        <f t="shared" si="62"/>
        <v/>
      </c>
      <c r="V239" s="827" t="str">
        <f t="shared" si="63"/>
        <v/>
      </c>
      <c r="W239" s="828"/>
      <c r="X239" s="819"/>
      <c r="Y239" s="820"/>
      <c r="Z239" s="820"/>
      <c r="AA239" s="820"/>
      <c r="BN239" s="832" t="str">
        <f>IF($B239="","",IFERROR(_xlfn.XLOOKUP($D239,Dashboard!$A$101:$A$350,Dashboard!$C$101:$C$350),""))</f>
        <v/>
      </c>
      <c r="BO239" s="832" t="str">
        <f t="shared" si="64"/>
        <v/>
      </c>
      <c r="BP239" s="832" t="str" cm="1">
        <f t="array" ref="BP239">IF(OR($B239="",$R239="",NOT(ISNUMBER($R239))),"",IF(AND($BV239="AL",$G239=1),"",_xlfn.LET(_xlpm.codes,IF($BV239="AL",Std_Al3_Code,IF($G239=1,Std_Cu1_Code,Std_Cu3_Code)),_xlpm.amps,IFERROR(--SUBSTITUTE(_xlpm.codes&amp;"","N",""),""),_xlpm.a,MIN(IF(ISNUMBER(_xlpm.amps),IF(_xlpm.amps&gt;=$R239,_xlpm.amps,""),"")),_xlpm.k,IF(_xlpm.a=0,$R239,_xlpm.a),IF($BO239="Y",TEXT(_xlpm.k,"0")&amp;"N",_xlpm.k))))</f>
        <v/>
      </c>
      <c r="BQ239" s="832" t="str" cm="1">
        <f t="array" ref="BQ239">IF($BP239="","",IFERROR(IF($BV239="AL",_xlfn.XLOOKUP($BP239,Std_Al3_Code,INDEX(Std_Al3_Table,0,3)),IF($G239=1,_xlfn.XLOOKUP($BP239,Std_Cu1_Code,INDEX(Std_Cu1_Table,0,3)),_xlfn.XLOOKUP($BP239,Std_Cu3_Code,INDEX(Std_Cu3_Table,0,3)))),""))</f>
        <v/>
      </c>
      <c r="BR239" s="832" t="str" cm="1">
        <f t="array" ref="BR239">IF($BP239="","",IFERROR(IF($BV239="AL",_xlfn.XLOOKUP($BP239,Std_Al3_Code,INDEX(Std_Al3_Table,0,4)),IF($G239=1,_xlfn.XLOOKUP($BP239,Std_Cu1_Code,INDEX(Std_Cu1_Table,0,4)),_xlfn.XLOOKUP($BP239,Std_Cu3_Code,INDEX(Std_Cu3_Table,0,4)))),""))</f>
        <v/>
      </c>
      <c r="BS239" s="832" t="str" cm="1">
        <f t="array" ref="BS239">IF($BP239="","",IFERROR(IF($BV239="AL",_xlfn.XLOOKUP($BP239,Std_Al3_Code,INDEX(Std_Al3_Table,0,5)),IF($G239=1,_xlfn.XLOOKUP($BP239,Std_Cu1_Code,INDEX(Std_Cu1_Table,0,5)),_xlfn.XLOOKUP($BP239,Std_Cu3_Code,INDEX(Std_Cu3_Table,0,5)))),""))</f>
        <v/>
      </c>
      <c r="BT239" s="832" t="str">
        <f t="shared" si="65"/>
        <v/>
      </c>
      <c r="BU239" s="832" t="str" cm="1">
        <f t="array" ref="BU239">IF($BP239="","",IFERROR(IF($BV239="AL",_xlfn.XLOOKUP($BP239,Std_Al3_Code,INDEX(Std_Al3_Table,0,2)),IF($G239=1,_xlfn.XLOOKUP($BP239,Std_Cu1_Code,INDEX(Std_Cu1_Table,0,2)),_xlfn.XLOOKUP($BP239,Std_Cu3_Code,INDEX(Std_Cu3_Table,0,2)))),""))</f>
        <v/>
      </c>
      <c r="BV239" s="829" t="str">
        <f t="shared" si="66"/>
        <v/>
      </c>
      <c r="BW239" s="829" t="str">
        <f t="shared" si="72"/>
        <v/>
      </c>
      <c r="BX239" s="829" t="str" cm="1">
        <f t="array" ref="BX239">IF(OR($BP239="",$H239="",$I239="",$F239="",$BW239=""),"",IFERROR(_xlfn.LET(_xlpm.codes,IF($BV239="AL",Std_Al3_Code,IF($G239=1,Std_Cu1_Code,Std_Cu3_Code)),_xlpm.tbl,IF($BV239="AL",Std_Al3_Table,IF($G239=1,Std_Cu1_Table,Std_Cu3_Table)),_xlpm.i,MATCH($BP239,_xlpm.codes,0),_xlpm.idx,_xlfn.SEQUENCE(ROWS(_xlpm.codes)),_xlpm.cnd,INDEX(_xlpm.tbl,0,4),_xlpm.sts,INDEX(_xlpm.tbl,0,2),_xlpm.sz,IFERROR(_xlfn.TEXTBEFORE(_xlfn.TEXTAFTER(_xlpm.cnd,"#"),","),IFERROR(_xlfn.TEXTAFTER(_xlpm.cnd,"#"),"")),_xlpm.cm,IFERROR(_xlfn.XLOOKUP(TRIM(_xlpm.sz),Ampacity_Size,Ampacity_CM),0),_xlpm.mult,IF($G239=3,SQRT3,2),_xlpm.kk,IF($BV239="AL",K_Al,K_Cu),_xlpm.vd,IF(_xlpm.cm*IF(ISNUMBER(_xlpm.sts),_xlpm.sts,0)=0,9,_xlpm.mult*_xlpm.kk*$I239*$H239/(_xlpm.cm*_xlpm.sts)/$F239),_xlpm.hasN,--(RIGHT(_xlpm.codes&amp;"",1)="N"),_xlpm.wantN,--(RIGHT($BP239&amp;"",1)="N"),_xlpm.ok,(_xlpm.idx&gt;=_xlpm.i)*(_xlpm.vd&lt;=Cfg_VDFeeder)*(_xlpm.cm&gt;0)*ISNUMBER(_xlpm.sts)*(_xlpm.hasN=_xlpm.wantN),_xlpm.m,MIN(IF(_xlpm.ok=1,_xlpm.idx)),INDEX(_xlpm.codes,IF(_xlpm.m=0,_xlpm.i,_xlpm.m))),""))</f>
        <v/>
      </c>
      <c r="BY239" s="829" t="str" cm="1">
        <f t="array" ref="BY239">IF($BP239="","",IF($BX239="",$BU239,IFERROR(IF($BV239="AL",_xlfn.XLOOKUP($BX239,Std_Al3_Code,INDEX(Std_Al3_Table,0,2)),IF($G239=1,_xlfn.XLOOKUP($BX239,Std_Cu1_Code,INDEX(Std_Cu1_Table,0,2)),_xlfn.XLOOKUP($BX239,Std_Cu3_Code,INDEX(Std_Cu3_Table,0,2)))),"")))</f>
        <v/>
      </c>
      <c r="BZ239" s="829" t="str" cm="1">
        <f t="array" ref="BZ239">IF($BP239="","",IF($BX239="",$BR239,IFERROR(IF($BV239="AL",_xlfn.XLOOKUP($BX239,Std_Al3_Code,INDEX(Std_Al3_Table,0,4)),IF($G239=1,_xlfn.XLOOKUP($BX239,Std_Cu1_Code,INDEX(Std_Cu1_Table,0,4)),_xlfn.XLOOKUP($BX239,Std_Cu3_Code,INDEX(Std_Cu3_Table,0,4)))),"")))</f>
        <v/>
      </c>
      <c r="CA239" s="829" t="str" cm="1">
        <f t="array" ref="CA239">IF($BP239="","",IF($BX239="",$BQ239,IFERROR(IF($BV239="AL",_xlfn.XLOOKUP($BX239,Std_Al3_Code,INDEX(Std_Al3_Table,0,3)),IF($G239=1,_xlfn.XLOOKUP($BX239,Std_Cu1_Code,INDEX(Std_Cu1_Table,0,3)),_xlfn.XLOOKUP($BX239,Std_Cu3_Code,INDEX(Std_Cu3_Table,0,3)))),"")))</f>
        <v/>
      </c>
      <c r="CB239" s="829" t="str" cm="1">
        <f t="array" ref="CB239">IF($BP239="","",IF($BX239="",$BS239,IFERROR(IF($BV239="AL",_xlfn.XLOOKUP($BX239,Std_Al3_Code,INDEX(Std_Al3_Table,0,5)),IF($G239=1,_xlfn.XLOOKUP($BX239,Std_Cu1_Code,INDEX(Std_Cu1_Table,0,5)),_xlfn.XLOOKUP($BX239,Std_Cu3_Code,INDEX(Std_Cu3_Table,0,5)))),"")))</f>
        <v/>
      </c>
      <c r="CC239" s="829" t="str">
        <f t="shared" si="73"/>
        <v/>
      </c>
      <c r="CD239" s="829" t="str">
        <f t="shared" si="74"/>
        <v/>
      </c>
      <c r="CE239" s="829" t="str">
        <f t="shared" si="75"/>
        <v/>
      </c>
      <c r="CF239" s="829" t="str">
        <f t="shared" si="76"/>
        <v/>
      </c>
      <c r="CG239" s="829" t="str">
        <f t="shared" si="77"/>
        <v/>
      </c>
      <c r="CH239" s="829" t="str">
        <f t="shared" si="78"/>
        <v/>
      </c>
      <c r="CI239" s="829" t="str">
        <f t="shared" si="79"/>
        <v/>
      </c>
      <c r="CJ239" s="829" t="str" cm="1">
        <f t="array" ref="CJ239">IF($B239="","",_xlfn.LET(_xlpm.to,$D239&amp;"",_xlpm.em,IFERROR(INDEX(_xlfn.ANCHORARRAY($BE$4),ROW()-4,6),"")="EMERG",_xlpm.pri,AND(NOT(_xlpm.em),LEFT(_xlpm.to,2)="T-",ISNUMBER(MATCH(MID(_xlpm.to,3,99),Equip_List,0)),ISNA(MATCH(_xlpm.to,Equip_List,0))),IF(_xlpm.pri,MID(_xlpm.to,3,99),_xlpm.to)))</f>
        <v/>
      </c>
      <c r="CK239" s="829" t="str" cm="1">
        <f t="array" ref="CK239">IF($CJ239="","",IF(IFERROR(INDEX(_xlfn.ANCHORARRAY($BE$4),ROW()-4,6),"")="EMERG","E",IF($CJ239&lt;&gt;$D239&amp;"","P","N")))</f>
        <v/>
      </c>
    </row>
    <row r="240" spans="1:89" ht="15" customHeight="1" x14ac:dyDescent="0.35">
      <c r="A240" s="821" t="str">
        <f t="shared" si="67"/>
        <v/>
      </c>
      <c r="B240" s="821" t="str" cm="1">
        <f t="array" ref="B240">IFERROR(IF(INDEX(_xlfn.ANCHORARRAY($BE$4),ROW()-4,2)="","","F-"&amp;INDEX(_xlfn.ANCHORARRAY($BE$4),ROW()-4,2)&amp;IF(IFERROR(INDEX(_xlfn.ANCHORARRAY($BE$4),ROW()-4,6),"")="EMERG","-E","")),"")</f>
        <v/>
      </c>
      <c r="C240" s="821" t="str" cm="1">
        <f t="array" ref="C240">IFERROR(IF($B240="","",INDEX(_xlfn.ANCHORARRAY($BE$4),ROW()-4,1)),"")</f>
        <v/>
      </c>
      <c r="D240" s="821" t="str" cm="1">
        <f t="array" ref="D240">IFERROR(IF($B240="","",INDEX(_xlfn.ANCHORARRAY($BE$4),ROW()-4,2)),"")</f>
        <v/>
      </c>
      <c r="E240" s="806" t="str" cm="1">
        <f t="array" ref="E240">IFERROR(IF($B240="","",INDEX(_xlfn.ANCHORARRAY($BE$4),ROW()-4,3)),"")</f>
        <v/>
      </c>
      <c r="F240" s="822" t="str" cm="1">
        <f t="array" ref="F240">IFERROR(IF($B240="","",INDEX(_xlfn.ANCHORARRAY($BE$4),ROW()-4,4)),"")</f>
        <v/>
      </c>
      <c r="G240" s="823" t="str" cm="1">
        <f t="array" ref="G240">IFERROR(IF($B240="","",INDEX(_xlfn.ANCHORARRAY($BE$4),ROW()-4,5)),"")</f>
        <v/>
      </c>
      <c r="H240" s="824" t="str" cm="1">
        <f t="array" ref="H240">IF($CJ240="","",_xlfn.LET(_xlpm.v,_xlfn.XLOOKUP($CJ240,Equip_List,IF($CK240="E",Equip_EmLen,IF($CK240="P",Equip_XfPriLen,Equip_FdrLen)),""),IF(_xlpm.v="","",_xlpm.v)))</f>
        <v/>
      </c>
      <c r="I240" s="806" t="str">
        <f t="shared" si="60"/>
        <v/>
      </c>
      <c r="J240" s="820"/>
      <c r="K240" s="806" t="str">
        <f>_xlfn.LET(_xlpm.k,IF($I240="","",IF(COUNTIF(UPS!$B$57:$B$64,$C240&amp;"")&gt;0,1.25*MAX($I240,N(_xlfn.XLOOKUP($C240&amp;"",UPS!$B$57:$B$64,UPS!$M$57:$M$64,0))),IF(COUNTIF(UPS!$B$57:$B$64,$D240&amp;"")&gt;0,1.25*MAX($I240,N(_xlfn.XLOOKUP($D240&amp;"",UPS!$B$57:$B$64,UPS!$Q$57:$Q$64,0))),$I240*IF(OR(UPPER($J240)="Y",LEFT($C240,2)="T-",LEFT($D240,2)="T-"),1.25,1)))),IF(_xlpm.k="","",MAX(_xlpm.k,N(IFERROR(_xlfn.XLOOKUP($D240&amp;"",Dashboard!$A$101:$A$350,Dashboard!$O$101:$O$350,0),0)))))</f>
        <v/>
      </c>
      <c r="L240" s="825" t="str">
        <f>IF($CJ240="","",_xlfn.LET(_xlpm.v,UPPER(TRIM(_xlfn.XLOOKUP($CJ240,Equip_List,Equip_FdrMat,"")&amp;"")),IF(_xlpm.v="",UPPER(TRIM(Cfg_FeederMat&amp;"")),_xlpm.v)))</f>
        <v/>
      </c>
      <c r="M240" s="825" t="str">
        <f>IF($CJ240="","",_xlfn.LET(_xlpm.v,TRIM(_xlfn.XLOOKUP($CJ240,Equip_List,Equip_FdrRace,"")&amp;""),IF(_xlpm.v="",Cfg_Conduit&amp;"",_xlpm.v)))</f>
        <v/>
      </c>
      <c r="N240" s="825" t="str">
        <f>IF($CJ240="","",IF(UPPER(TRIM(_xlfn.XLOOKUP($CJ240,Equip_List,Equip_FdrExist,"")&amp;""))="Y","Y",""))</f>
        <v/>
      </c>
      <c r="O240" s="823" t="str">
        <f t="shared" si="68"/>
        <v/>
      </c>
      <c r="P240" s="821" t="str">
        <f t="shared" si="69"/>
        <v/>
      </c>
      <c r="Q240" s="821" t="str">
        <f t="shared" si="70"/>
        <v/>
      </c>
      <c r="R240" s="822" t="str" cm="1">
        <f t="array" ref="R240">IF(K240="","",INDEX(OCPD_List,MATCH(TRUE,OCPD_List&gt;=K240,0)))</f>
        <v/>
      </c>
      <c r="S240" s="821" t="str">
        <f t="shared" si="71"/>
        <v/>
      </c>
      <c r="T240" s="826" t="str">
        <f t="shared" si="61"/>
        <v/>
      </c>
      <c r="U240" s="826" t="str">
        <f t="shared" si="62"/>
        <v/>
      </c>
      <c r="V240" s="827" t="str">
        <f t="shared" si="63"/>
        <v/>
      </c>
      <c r="W240" s="828"/>
      <c r="X240" s="819"/>
      <c r="Y240" s="820"/>
      <c r="Z240" s="820"/>
      <c r="AA240" s="820"/>
      <c r="BN240" s="832" t="str">
        <f>IF($B240="","",IFERROR(_xlfn.XLOOKUP($D240,Dashboard!$A$101:$A$350,Dashboard!$C$101:$C$350),""))</f>
        <v/>
      </c>
      <c r="BO240" s="832" t="str">
        <f t="shared" si="64"/>
        <v/>
      </c>
      <c r="BP240" s="832" t="str" cm="1">
        <f t="array" ref="BP240">IF(OR($B240="",$R240="",NOT(ISNUMBER($R240))),"",IF(AND($BV240="AL",$G240=1),"",_xlfn.LET(_xlpm.codes,IF($BV240="AL",Std_Al3_Code,IF($G240=1,Std_Cu1_Code,Std_Cu3_Code)),_xlpm.amps,IFERROR(--SUBSTITUTE(_xlpm.codes&amp;"","N",""),""),_xlpm.a,MIN(IF(ISNUMBER(_xlpm.amps),IF(_xlpm.amps&gt;=$R240,_xlpm.amps,""),"")),_xlpm.k,IF(_xlpm.a=0,$R240,_xlpm.a),IF($BO240="Y",TEXT(_xlpm.k,"0")&amp;"N",_xlpm.k))))</f>
        <v/>
      </c>
      <c r="BQ240" s="832" t="str" cm="1">
        <f t="array" ref="BQ240">IF($BP240="","",IFERROR(IF($BV240="AL",_xlfn.XLOOKUP($BP240,Std_Al3_Code,INDEX(Std_Al3_Table,0,3)),IF($G240=1,_xlfn.XLOOKUP($BP240,Std_Cu1_Code,INDEX(Std_Cu1_Table,0,3)),_xlfn.XLOOKUP($BP240,Std_Cu3_Code,INDEX(Std_Cu3_Table,0,3)))),""))</f>
        <v/>
      </c>
      <c r="BR240" s="832" t="str" cm="1">
        <f t="array" ref="BR240">IF($BP240="","",IFERROR(IF($BV240="AL",_xlfn.XLOOKUP($BP240,Std_Al3_Code,INDEX(Std_Al3_Table,0,4)),IF($G240=1,_xlfn.XLOOKUP($BP240,Std_Cu1_Code,INDEX(Std_Cu1_Table,0,4)),_xlfn.XLOOKUP($BP240,Std_Cu3_Code,INDEX(Std_Cu3_Table,0,4)))),""))</f>
        <v/>
      </c>
      <c r="BS240" s="832" t="str" cm="1">
        <f t="array" ref="BS240">IF($BP240="","",IFERROR(IF($BV240="AL",_xlfn.XLOOKUP($BP240,Std_Al3_Code,INDEX(Std_Al3_Table,0,5)),IF($G240=1,_xlfn.XLOOKUP($BP240,Std_Cu1_Code,INDEX(Std_Cu1_Table,0,5)),_xlfn.XLOOKUP($BP240,Std_Cu3_Code,INDEX(Std_Cu3_Table,0,5)))),""))</f>
        <v/>
      </c>
      <c r="BT240" s="832" t="str">
        <f t="shared" si="65"/>
        <v/>
      </c>
      <c r="BU240" s="832" t="str" cm="1">
        <f t="array" ref="BU240">IF($BP240="","",IFERROR(IF($BV240="AL",_xlfn.XLOOKUP($BP240,Std_Al3_Code,INDEX(Std_Al3_Table,0,2)),IF($G240=1,_xlfn.XLOOKUP($BP240,Std_Cu1_Code,INDEX(Std_Cu1_Table,0,2)),_xlfn.XLOOKUP($BP240,Std_Cu3_Code,INDEX(Std_Cu3_Table,0,2)))),""))</f>
        <v/>
      </c>
      <c r="BV240" s="829" t="str">
        <f t="shared" si="66"/>
        <v/>
      </c>
      <c r="BW240" s="829" t="str">
        <f t="shared" si="72"/>
        <v/>
      </c>
      <c r="BX240" s="829" t="str" cm="1">
        <f t="array" ref="BX240">IF(OR($BP240="",$H240="",$I240="",$F240="",$BW240=""),"",IFERROR(_xlfn.LET(_xlpm.codes,IF($BV240="AL",Std_Al3_Code,IF($G240=1,Std_Cu1_Code,Std_Cu3_Code)),_xlpm.tbl,IF($BV240="AL",Std_Al3_Table,IF($G240=1,Std_Cu1_Table,Std_Cu3_Table)),_xlpm.i,MATCH($BP240,_xlpm.codes,0),_xlpm.idx,_xlfn.SEQUENCE(ROWS(_xlpm.codes)),_xlpm.cnd,INDEX(_xlpm.tbl,0,4),_xlpm.sts,INDEX(_xlpm.tbl,0,2),_xlpm.sz,IFERROR(_xlfn.TEXTBEFORE(_xlfn.TEXTAFTER(_xlpm.cnd,"#"),","),IFERROR(_xlfn.TEXTAFTER(_xlpm.cnd,"#"),"")),_xlpm.cm,IFERROR(_xlfn.XLOOKUP(TRIM(_xlpm.sz),Ampacity_Size,Ampacity_CM),0),_xlpm.mult,IF($G240=3,SQRT3,2),_xlpm.kk,IF($BV240="AL",K_Al,K_Cu),_xlpm.vd,IF(_xlpm.cm*IF(ISNUMBER(_xlpm.sts),_xlpm.sts,0)=0,9,_xlpm.mult*_xlpm.kk*$I240*$H240/(_xlpm.cm*_xlpm.sts)/$F240),_xlpm.hasN,--(RIGHT(_xlpm.codes&amp;"",1)="N"),_xlpm.wantN,--(RIGHT($BP240&amp;"",1)="N"),_xlpm.ok,(_xlpm.idx&gt;=_xlpm.i)*(_xlpm.vd&lt;=Cfg_VDFeeder)*(_xlpm.cm&gt;0)*ISNUMBER(_xlpm.sts)*(_xlpm.hasN=_xlpm.wantN),_xlpm.m,MIN(IF(_xlpm.ok=1,_xlpm.idx)),INDEX(_xlpm.codes,IF(_xlpm.m=0,_xlpm.i,_xlpm.m))),""))</f>
        <v/>
      </c>
      <c r="BY240" s="829" t="str" cm="1">
        <f t="array" ref="BY240">IF($BP240="","",IF($BX240="",$BU240,IFERROR(IF($BV240="AL",_xlfn.XLOOKUP($BX240,Std_Al3_Code,INDEX(Std_Al3_Table,0,2)),IF($G240=1,_xlfn.XLOOKUP($BX240,Std_Cu1_Code,INDEX(Std_Cu1_Table,0,2)),_xlfn.XLOOKUP($BX240,Std_Cu3_Code,INDEX(Std_Cu3_Table,0,2)))),"")))</f>
        <v/>
      </c>
      <c r="BZ240" s="829" t="str" cm="1">
        <f t="array" ref="BZ240">IF($BP240="","",IF($BX240="",$BR240,IFERROR(IF($BV240="AL",_xlfn.XLOOKUP($BX240,Std_Al3_Code,INDEX(Std_Al3_Table,0,4)),IF($G240=1,_xlfn.XLOOKUP($BX240,Std_Cu1_Code,INDEX(Std_Cu1_Table,0,4)),_xlfn.XLOOKUP($BX240,Std_Cu3_Code,INDEX(Std_Cu3_Table,0,4)))),"")))</f>
        <v/>
      </c>
      <c r="CA240" s="829" t="str" cm="1">
        <f t="array" ref="CA240">IF($BP240="","",IF($BX240="",$BQ240,IFERROR(IF($BV240="AL",_xlfn.XLOOKUP($BX240,Std_Al3_Code,INDEX(Std_Al3_Table,0,3)),IF($G240=1,_xlfn.XLOOKUP($BX240,Std_Cu1_Code,INDEX(Std_Cu1_Table,0,3)),_xlfn.XLOOKUP($BX240,Std_Cu3_Code,INDEX(Std_Cu3_Table,0,3)))),"")))</f>
        <v/>
      </c>
      <c r="CB240" s="829" t="str" cm="1">
        <f t="array" ref="CB240">IF($BP240="","",IF($BX240="",$BS240,IFERROR(IF($BV240="AL",_xlfn.XLOOKUP($BX240,Std_Al3_Code,INDEX(Std_Al3_Table,0,5)),IF($G240=1,_xlfn.XLOOKUP($BX240,Std_Cu1_Code,INDEX(Std_Cu1_Table,0,5)),_xlfn.XLOOKUP($BX240,Std_Cu3_Code,INDEX(Std_Cu3_Table,0,5)))),"")))</f>
        <v/>
      </c>
      <c r="CC240" s="829" t="str">
        <f t="shared" si="73"/>
        <v/>
      </c>
      <c r="CD240" s="829" t="str">
        <f t="shared" si="74"/>
        <v/>
      </c>
      <c r="CE240" s="829" t="str">
        <f t="shared" si="75"/>
        <v/>
      </c>
      <c r="CF240" s="829" t="str">
        <f t="shared" si="76"/>
        <v/>
      </c>
      <c r="CG240" s="829" t="str">
        <f t="shared" si="77"/>
        <v/>
      </c>
      <c r="CH240" s="829" t="str">
        <f t="shared" si="78"/>
        <v/>
      </c>
      <c r="CI240" s="829" t="str">
        <f t="shared" si="79"/>
        <v/>
      </c>
      <c r="CJ240" s="829" t="str" cm="1">
        <f t="array" ref="CJ240">IF($B240="","",_xlfn.LET(_xlpm.to,$D240&amp;"",_xlpm.em,IFERROR(INDEX(_xlfn.ANCHORARRAY($BE$4),ROW()-4,6),"")="EMERG",_xlpm.pri,AND(NOT(_xlpm.em),LEFT(_xlpm.to,2)="T-",ISNUMBER(MATCH(MID(_xlpm.to,3,99),Equip_List,0)),ISNA(MATCH(_xlpm.to,Equip_List,0))),IF(_xlpm.pri,MID(_xlpm.to,3,99),_xlpm.to)))</f>
        <v/>
      </c>
      <c r="CK240" s="829" t="str" cm="1">
        <f t="array" ref="CK240">IF($CJ240="","",IF(IFERROR(INDEX(_xlfn.ANCHORARRAY($BE$4),ROW()-4,6),"")="EMERG","E",IF($CJ240&lt;&gt;$D240&amp;"","P","N")))</f>
        <v/>
      </c>
    </row>
    <row r="241" spans="1:89" ht="15" customHeight="1" x14ac:dyDescent="0.35">
      <c r="A241" s="821" t="str">
        <f t="shared" si="67"/>
        <v/>
      </c>
      <c r="B241" s="821" t="str" cm="1">
        <f t="array" ref="B241">IFERROR(IF(INDEX(_xlfn.ANCHORARRAY($BE$4),ROW()-4,2)="","","F-"&amp;INDEX(_xlfn.ANCHORARRAY($BE$4),ROW()-4,2)&amp;IF(IFERROR(INDEX(_xlfn.ANCHORARRAY($BE$4),ROW()-4,6),"")="EMERG","-E","")),"")</f>
        <v/>
      </c>
      <c r="C241" s="821" t="str" cm="1">
        <f t="array" ref="C241">IFERROR(IF($B241="","",INDEX(_xlfn.ANCHORARRAY($BE$4),ROW()-4,1)),"")</f>
        <v/>
      </c>
      <c r="D241" s="821" t="str" cm="1">
        <f t="array" ref="D241">IFERROR(IF($B241="","",INDEX(_xlfn.ANCHORARRAY($BE$4),ROW()-4,2)),"")</f>
        <v/>
      </c>
      <c r="E241" s="806" t="str" cm="1">
        <f t="array" ref="E241">IFERROR(IF($B241="","",INDEX(_xlfn.ANCHORARRAY($BE$4),ROW()-4,3)),"")</f>
        <v/>
      </c>
      <c r="F241" s="822" t="str" cm="1">
        <f t="array" ref="F241">IFERROR(IF($B241="","",INDEX(_xlfn.ANCHORARRAY($BE$4),ROW()-4,4)),"")</f>
        <v/>
      </c>
      <c r="G241" s="823" t="str" cm="1">
        <f t="array" ref="G241">IFERROR(IF($B241="","",INDEX(_xlfn.ANCHORARRAY($BE$4),ROW()-4,5)),"")</f>
        <v/>
      </c>
      <c r="H241" s="824" t="str" cm="1">
        <f t="array" ref="H241">IF($CJ241="","",_xlfn.LET(_xlpm.v,_xlfn.XLOOKUP($CJ241,Equip_List,IF($CK241="E",Equip_EmLen,IF($CK241="P",Equip_XfPriLen,Equip_FdrLen)),""),IF(_xlpm.v="","",_xlpm.v)))</f>
        <v/>
      </c>
      <c r="I241" s="806" t="str">
        <f t="shared" si="60"/>
        <v/>
      </c>
      <c r="J241" s="820"/>
      <c r="K241" s="806" t="str">
        <f>_xlfn.LET(_xlpm.k,IF($I241="","",IF(COUNTIF(UPS!$B$57:$B$64,$C241&amp;"")&gt;0,1.25*MAX($I241,N(_xlfn.XLOOKUP($C241&amp;"",UPS!$B$57:$B$64,UPS!$M$57:$M$64,0))),IF(COUNTIF(UPS!$B$57:$B$64,$D241&amp;"")&gt;0,1.25*MAX($I241,N(_xlfn.XLOOKUP($D241&amp;"",UPS!$B$57:$B$64,UPS!$Q$57:$Q$64,0))),$I241*IF(OR(UPPER($J241)="Y",LEFT($C241,2)="T-",LEFT($D241,2)="T-"),1.25,1)))),IF(_xlpm.k="","",MAX(_xlpm.k,N(IFERROR(_xlfn.XLOOKUP($D241&amp;"",Dashboard!$A$101:$A$350,Dashboard!$O$101:$O$350,0),0)))))</f>
        <v/>
      </c>
      <c r="L241" s="825" t="str">
        <f>IF($CJ241="","",_xlfn.LET(_xlpm.v,UPPER(TRIM(_xlfn.XLOOKUP($CJ241,Equip_List,Equip_FdrMat,"")&amp;"")),IF(_xlpm.v="",UPPER(TRIM(Cfg_FeederMat&amp;"")),_xlpm.v)))</f>
        <v/>
      </c>
      <c r="M241" s="825" t="str">
        <f>IF($CJ241="","",_xlfn.LET(_xlpm.v,TRIM(_xlfn.XLOOKUP($CJ241,Equip_List,Equip_FdrRace,"")&amp;""),IF(_xlpm.v="",Cfg_Conduit&amp;"",_xlpm.v)))</f>
        <v/>
      </c>
      <c r="N241" s="825" t="str">
        <f>IF($CJ241="","",IF(UPPER(TRIM(_xlfn.XLOOKUP($CJ241,Equip_List,Equip_FdrExist,"")&amp;""))="Y","Y",""))</f>
        <v/>
      </c>
      <c r="O241" s="823" t="str">
        <f t="shared" si="68"/>
        <v/>
      </c>
      <c r="P241" s="821" t="str">
        <f t="shared" si="69"/>
        <v/>
      </c>
      <c r="Q241" s="821" t="str">
        <f t="shared" si="70"/>
        <v/>
      </c>
      <c r="R241" s="822" t="str" cm="1">
        <f t="array" ref="R241">IF(K241="","",INDEX(OCPD_List,MATCH(TRUE,OCPD_List&gt;=K241,0)))</f>
        <v/>
      </c>
      <c r="S241" s="821" t="str">
        <f t="shared" si="71"/>
        <v/>
      </c>
      <c r="T241" s="826" t="str">
        <f t="shared" si="61"/>
        <v/>
      </c>
      <c r="U241" s="826" t="str">
        <f t="shared" si="62"/>
        <v/>
      </c>
      <c r="V241" s="827" t="str">
        <f t="shared" si="63"/>
        <v/>
      </c>
      <c r="W241" s="828"/>
      <c r="X241" s="819"/>
      <c r="Y241" s="820"/>
      <c r="Z241" s="820"/>
      <c r="AA241" s="820"/>
      <c r="BN241" s="832" t="str">
        <f>IF($B241="","",IFERROR(_xlfn.XLOOKUP($D241,Dashboard!$A$101:$A$350,Dashboard!$C$101:$C$350),""))</f>
        <v/>
      </c>
      <c r="BO241" s="832" t="str">
        <f t="shared" si="64"/>
        <v/>
      </c>
      <c r="BP241" s="832" t="str" cm="1">
        <f t="array" ref="BP241">IF(OR($B241="",$R241="",NOT(ISNUMBER($R241))),"",IF(AND($BV241="AL",$G241=1),"",_xlfn.LET(_xlpm.codes,IF($BV241="AL",Std_Al3_Code,IF($G241=1,Std_Cu1_Code,Std_Cu3_Code)),_xlpm.amps,IFERROR(--SUBSTITUTE(_xlpm.codes&amp;"","N",""),""),_xlpm.a,MIN(IF(ISNUMBER(_xlpm.amps),IF(_xlpm.amps&gt;=$R241,_xlpm.amps,""),"")),_xlpm.k,IF(_xlpm.a=0,$R241,_xlpm.a),IF($BO241="Y",TEXT(_xlpm.k,"0")&amp;"N",_xlpm.k))))</f>
        <v/>
      </c>
      <c r="BQ241" s="832" t="str" cm="1">
        <f t="array" ref="BQ241">IF($BP241="","",IFERROR(IF($BV241="AL",_xlfn.XLOOKUP($BP241,Std_Al3_Code,INDEX(Std_Al3_Table,0,3)),IF($G241=1,_xlfn.XLOOKUP($BP241,Std_Cu1_Code,INDEX(Std_Cu1_Table,0,3)),_xlfn.XLOOKUP($BP241,Std_Cu3_Code,INDEX(Std_Cu3_Table,0,3)))),""))</f>
        <v/>
      </c>
      <c r="BR241" s="832" t="str" cm="1">
        <f t="array" ref="BR241">IF($BP241="","",IFERROR(IF($BV241="AL",_xlfn.XLOOKUP($BP241,Std_Al3_Code,INDEX(Std_Al3_Table,0,4)),IF($G241=1,_xlfn.XLOOKUP($BP241,Std_Cu1_Code,INDEX(Std_Cu1_Table,0,4)),_xlfn.XLOOKUP($BP241,Std_Cu3_Code,INDEX(Std_Cu3_Table,0,4)))),""))</f>
        <v/>
      </c>
      <c r="BS241" s="832" t="str" cm="1">
        <f t="array" ref="BS241">IF($BP241="","",IFERROR(IF($BV241="AL",_xlfn.XLOOKUP($BP241,Std_Al3_Code,INDEX(Std_Al3_Table,0,5)),IF($G241=1,_xlfn.XLOOKUP($BP241,Std_Cu1_Code,INDEX(Std_Cu1_Table,0,5)),_xlfn.XLOOKUP($BP241,Std_Cu3_Code,INDEX(Std_Cu3_Table,0,5)))),""))</f>
        <v/>
      </c>
      <c r="BT241" s="832" t="str">
        <f t="shared" si="65"/>
        <v/>
      </c>
      <c r="BU241" s="832" t="str" cm="1">
        <f t="array" ref="BU241">IF($BP241="","",IFERROR(IF($BV241="AL",_xlfn.XLOOKUP($BP241,Std_Al3_Code,INDEX(Std_Al3_Table,0,2)),IF($G241=1,_xlfn.XLOOKUP($BP241,Std_Cu1_Code,INDEX(Std_Cu1_Table,0,2)),_xlfn.XLOOKUP($BP241,Std_Cu3_Code,INDEX(Std_Cu3_Table,0,2)))),""))</f>
        <v/>
      </c>
      <c r="BV241" s="829" t="str">
        <f t="shared" si="66"/>
        <v/>
      </c>
      <c r="BW241" s="829" t="str">
        <f t="shared" si="72"/>
        <v/>
      </c>
      <c r="BX241" s="829" t="str" cm="1">
        <f t="array" ref="BX241">IF(OR($BP241="",$H241="",$I241="",$F241="",$BW241=""),"",IFERROR(_xlfn.LET(_xlpm.codes,IF($BV241="AL",Std_Al3_Code,IF($G241=1,Std_Cu1_Code,Std_Cu3_Code)),_xlpm.tbl,IF($BV241="AL",Std_Al3_Table,IF($G241=1,Std_Cu1_Table,Std_Cu3_Table)),_xlpm.i,MATCH($BP241,_xlpm.codes,0),_xlpm.idx,_xlfn.SEQUENCE(ROWS(_xlpm.codes)),_xlpm.cnd,INDEX(_xlpm.tbl,0,4),_xlpm.sts,INDEX(_xlpm.tbl,0,2),_xlpm.sz,IFERROR(_xlfn.TEXTBEFORE(_xlfn.TEXTAFTER(_xlpm.cnd,"#"),","),IFERROR(_xlfn.TEXTAFTER(_xlpm.cnd,"#"),"")),_xlpm.cm,IFERROR(_xlfn.XLOOKUP(TRIM(_xlpm.sz),Ampacity_Size,Ampacity_CM),0),_xlpm.mult,IF($G241=3,SQRT3,2),_xlpm.kk,IF($BV241="AL",K_Al,K_Cu),_xlpm.vd,IF(_xlpm.cm*IF(ISNUMBER(_xlpm.sts),_xlpm.sts,0)=0,9,_xlpm.mult*_xlpm.kk*$I241*$H241/(_xlpm.cm*_xlpm.sts)/$F241),_xlpm.hasN,--(RIGHT(_xlpm.codes&amp;"",1)="N"),_xlpm.wantN,--(RIGHT($BP241&amp;"",1)="N"),_xlpm.ok,(_xlpm.idx&gt;=_xlpm.i)*(_xlpm.vd&lt;=Cfg_VDFeeder)*(_xlpm.cm&gt;0)*ISNUMBER(_xlpm.sts)*(_xlpm.hasN=_xlpm.wantN),_xlpm.m,MIN(IF(_xlpm.ok=1,_xlpm.idx)),INDEX(_xlpm.codes,IF(_xlpm.m=0,_xlpm.i,_xlpm.m))),""))</f>
        <v/>
      </c>
      <c r="BY241" s="829" t="str" cm="1">
        <f t="array" ref="BY241">IF($BP241="","",IF($BX241="",$BU241,IFERROR(IF($BV241="AL",_xlfn.XLOOKUP($BX241,Std_Al3_Code,INDEX(Std_Al3_Table,0,2)),IF($G241=1,_xlfn.XLOOKUP($BX241,Std_Cu1_Code,INDEX(Std_Cu1_Table,0,2)),_xlfn.XLOOKUP($BX241,Std_Cu3_Code,INDEX(Std_Cu3_Table,0,2)))),"")))</f>
        <v/>
      </c>
      <c r="BZ241" s="829" t="str" cm="1">
        <f t="array" ref="BZ241">IF($BP241="","",IF($BX241="",$BR241,IFERROR(IF($BV241="AL",_xlfn.XLOOKUP($BX241,Std_Al3_Code,INDEX(Std_Al3_Table,0,4)),IF($G241=1,_xlfn.XLOOKUP($BX241,Std_Cu1_Code,INDEX(Std_Cu1_Table,0,4)),_xlfn.XLOOKUP($BX241,Std_Cu3_Code,INDEX(Std_Cu3_Table,0,4)))),"")))</f>
        <v/>
      </c>
      <c r="CA241" s="829" t="str" cm="1">
        <f t="array" ref="CA241">IF($BP241="","",IF($BX241="",$BQ241,IFERROR(IF($BV241="AL",_xlfn.XLOOKUP($BX241,Std_Al3_Code,INDEX(Std_Al3_Table,0,3)),IF($G241=1,_xlfn.XLOOKUP($BX241,Std_Cu1_Code,INDEX(Std_Cu1_Table,0,3)),_xlfn.XLOOKUP($BX241,Std_Cu3_Code,INDEX(Std_Cu3_Table,0,3)))),"")))</f>
        <v/>
      </c>
      <c r="CB241" s="829" t="str" cm="1">
        <f t="array" ref="CB241">IF($BP241="","",IF($BX241="",$BS241,IFERROR(IF($BV241="AL",_xlfn.XLOOKUP($BX241,Std_Al3_Code,INDEX(Std_Al3_Table,0,5)),IF($G241=1,_xlfn.XLOOKUP($BX241,Std_Cu1_Code,INDEX(Std_Cu1_Table,0,5)),_xlfn.XLOOKUP($BX241,Std_Cu3_Code,INDEX(Std_Cu3_Table,0,5)))),"")))</f>
        <v/>
      </c>
      <c r="CC241" s="829" t="str">
        <f t="shared" si="73"/>
        <v/>
      </c>
      <c r="CD241" s="829" t="str">
        <f t="shared" si="74"/>
        <v/>
      </c>
      <c r="CE241" s="829" t="str">
        <f t="shared" si="75"/>
        <v/>
      </c>
      <c r="CF241" s="829" t="str">
        <f t="shared" si="76"/>
        <v/>
      </c>
      <c r="CG241" s="829" t="str">
        <f t="shared" si="77"/>
        <v/>
      </c>
      <c r="CH241" s="829" t="str">
        <f t="shared" si="78"/>
        <v/>
      </c>
      <c r="CI241" s="829" t="str">
        <f t="shared" si="79"/>
        <v/>
      </c>
      <c r="CJ241" s="829" t="str" cm="1">
        <f t="array" ref="CJ241">IF($B241="","",_xlfn.LET(_xlpm.to,$D241&amp;"",_xlpm.em,IFERROR(INDEX(_xlfn.ANCHORARRAY($BE$4),ROW()-4,6),"")="EMERG",_xlpm.pri,AND(NOT(_xlpm.em),LEFT(_xlpm.to,2)="T-",ISNUMBER(MATCH(MID(_xlpm.to,3,99),Equip_List,0)),ISNA(MATCH(_xlpm.to,Equip_List,0))),IF(_xlpm.pri,MID(_xlpm.to,3,99),_xlpm.to)))</f>
        <v/>
      </c>
      <c r="CK241" s="829" t="str" cm="1">
        <f t="array" ref="CK241">IF($CJ241="","",IF(IFERROR(INDEX(_xlfn.ANCHORARRAY($BE$4),ROW()-4,6),"")="EMERG","E",IF($CJ241&lt;&gt;$D241&amp;"","P","N")))</f>
        <v/>
      </c>
    </row>
    <row r="242" spans="1:89" ht="15" customHeight="1" x14ac:dyDescent="0.35">
      <c r="A242" s="821" t="str">
        <f t="shared" si="67"/>
        <v/>
      </c>
      <c r="B242" s="821" t="str" cm="1">
        <f t="array" ref="B242">IFERROR(IF(INDEX(_xlfn.ANCHORARRAY($BE$4),ROW()-4,2)="","","F-"&amp;INDEX(_xlfn.ANCHORARRAY($BE$4),ROW()-4,2)&amp;IF(IFERROR(INDEX(_xlfn.ANCHORARRAY($BE$4),ROW()-4,6),"")="EMERG","-E","")),"")</f>
        <v/>
      </c>
      <c r="C242" s="821" t="str" cm="1">
        <f t="array" ref="C242">IFERROR(IF($B242="","",INDEX(_xlfn.ANCHORARRAY($BE$4),ROW()-4,1)),"")</f>
        <v/>
      </c>
      <c r="D242" s="821" t="str" cm="1">
        <f t="array" ref="D242">IFERROR(IF($B242="","",INDEX(_xlfn.ANCHORARRAY($BE$4),ROW()-4,2)),"")</f>
        <v/>
      </c>
      <c r="E242" s="806" t="str" cm="1">
        <f t="array" ref="E242">IFERROR(IF($B242="","",INDEX(_xlfn.ANCHORARRAY($BE$4),ROW()-4,3)),"")</f>
        <v/>
      </c>
      <c r="F242" s="822" t="str" cm="1">
        <f t="array" ref="F242">IFERROR(IF($B242="","",INDEX(_xlfn.ANCHORARRAY($BE$4),ROW()-4,4)),"")</f>
        <v/>
      </c>
      <c r="G242" s="823" t="str" cm="1">
        <f t="array" ref="G242">IFERROR(IF($B242="","",INDEX(_xlfn.ANCHORARRAY($BE$4),ROW()-4,5)),"")</f>
        <v/>
      </c>
      <c r="H242" s="824" t="str" cm="1">
        <f t="array" ref="H242">IF($CJ242="","",_xlfn.LET(_xlpm.v,_xlfn.XLOOKUP($CJ242,Equip_List,IF($CK242="E",Equip_EmLen,IF($CK242="P",Equip_XfPriLen,Equip_FdrLen)),""),IF(_xlpm.v="","",_xlpm.v)))</f>
        <v/>
      </c>
      <c r="I242" s="806" t="str">
        <f t="shared" si="60"/>
        <v/>
      </c>
      <c r="J242" s="820"/>
      <c r="K242" s="806" t="str">
        <f>_xlfn.LET(_xlpm.k,IF($I242="","",IF(COUNTIF(UPS!$B$57:$B$64,$C242&amp;"")&gt;0,1.25*MAX($I242,N(_xlfn.XLOOKUP($C242&amp;"",UPS!$B$57:$B$64,UPS!$M$57:$M$64,0))),IF(COUNTIF(UPS!$B$57:$B$64,$D242&amp;"")&gt;0,1.25*MAX($I242,N(_xlfn.XLOOKUP($D242&amp;"",UPS!$B$57:$B$64,UPS!$Q$57:$Q$64,0))),$I242*IF(OR(UPPER($J242)="Y",LEFT($C242,2)="T-",LEFT($D242,2)="T-"),1.25,1)))),IF(_xlpm.k="","",MAX(_xlpm.k,N(IFERROR(_xlfn.XLOOKUP($D242&amp;"",Dashboard!$A$101:$A$350,Dashboard!$O$101:$O$350,0),0)))))</f>
        <v/>
      </c>
      <c r="L242" s="825" t="str">
        <f>IF($CJ242="","",_xlfn.LET(_xlpm.v,UPPER(TRIM(_xlfn.XLOOKUP($CJ242,Equip_List,Equip_FdrMat,"")&amp;"")),IF(_xlpm.v="",UPPER(TRIM(Cfg_FeederMat&amp;"")),_xlpm.v)))</f>
        <v/>
      </c>
      <c r="M242" s="825" t="str">
        <f>IF($CJ242="","",_xlfn.LET(_xlpm.v,TRIM(_xlfn.XLOOKUP($CJ242,Equip_List,Equip_FdrRace,"")&amp;""),IF(_xlpm.v="",Cfg_Conduit&amp;"",_xlpm.v)))</f>
        <v/>
      </c>
      <c r="N242" s="825" t="str">
        <f>IF($CJ242="","",IF(UPPER(TRIM(_xlfn.XLOOKUP($CJ242,Equip_List,Equip_FdrExist,"")&amp;""))="Y","Y",""))</f>
        <v/>
      </c>
      <c r="O242" s="823" t="str">
        <f t="shared" si="68"/>
        <v/>
      </c>
      <c r="P242" s="821" t="str">
        <f t="shared" si="69"/>
        <v/>
      </c>
      <c r="Q242" s="821" t="str">
        <f t="shared" si="70"/>
        <v/>
      </c>
      <c r="R242" s="822" t="str" cm="1">
        <f t="array" ref="R242">IF(K242="","",INDEX(OCPD_List,MATCH(TRUE,OCPD_List&gt;=K242,0)))</f>
        <v/>
      </c>
      <c r="S242" s="821" t="str">
        <f t="shared" si="71"/>
        <v/>
      </c>
      <c r="T242" s="826" t="str">
        <f t="shared" si="61"/>
        <v/>
      </c>
      <c r="U242" s="826" t="str">
        <f t="shared" si="62"/>
        <v/>
      </c>
      <c r="V242" s="827" t="str">
        <f t="shared" si="63"/>
        <v/>
      </c>
      <c r="W242" s="828"/>
      <c r="X242" s="819"/>
      <c r="Y242" s="820"/>
      <c r="Z242" s="820"/>
      <c r="AA242" s="820"/>
      <c r="BN242" s="832" t="str">
        <f>IF($B242="","",IFERROR(_xlfn.XLOOKUP($D242,Dashboard!$A$101:$A$350,Dashboard!$C$101:$C$350),""))</f>
        <v/>
      </c>
      <c r="BO242" s="832" t="str">
        <f t="shared" si="64"/>
        <v/>
      </c>
      <c r="BP242" s="832" t="str" cm="1">
        <f t="array" ref="BP242">IF(OR($B242="",$R242="",NOT(ISNUMBER($R242))),"",IF(AND($BV242="AL",$G242=1),"",_xlfn.LET(_xlpm.codes,IF($BV242="AL",Std_Al3_Code,IF($G242=1,Std_Cu1_Code,Std_Cu3_Code)),_xlpm.amps,IFERROR(--SUBSTITUTE(_xlpm.codes&amp;"","N",""),""),_xlpm.a,MIN(IF(ISNUMBER(_xlpm.amps),IF(_xlpm.amps&gt;=$R242,_xlpm.amps,""),"")),_xlpm.k,IF(_xlpm.a=0,$R242,_xlpm.a),IF($BO242="Y",TEXT(_xlpm.k,"0")&amp;"N",_xlpm.k))))</f>
        <v/>
      </c>
      <c r="BQ242" s="832" t="str" cm="1">
        <f t="array" ref="BQ242">IF($BP242="","",IFERROR(IF($BV242="AL",_xlfn.XLOOKUP($BP242,Std_Al3_Code,INDEX(Std_Al3_Table,0,3)),IF($G242=1,_xlfn.XLOOKUP($BP242,Std_Cu1_Code,INDEX(Std_Cu1_Table,0,3)),_xlfn.XLOOKUP($BP242,Std_Cu3_Code,INDEX(Std_Cu3_Table,0,3)))),""))</f>
        <v/>
      </c>
      <c r="BR242" s="832" t="str" cm="1">
        <f t="array" ref="BR242">IF($BP242="","",IFERROR(IF($BV242="AL",_xlfn.XLOOKUP($BP242,Std_Al3_Code,INDEX(Std_Al3_Table,0,4)),IF($G242=1,_xlfn.XLOOKUP($BP242,Std_Cu1_Code,INDEX(Std_Cu1_Table,0,4)),_xlfn.XLOOKUP($BP242,Std_Cu3_Code,INDEX(Std_Cu3_Table,0,4)))),""))</f>
        <v/>
      </c>
      <c r="BS242" s="832" t="str" cm="1">
        <f t="array" ref="BS242">IF($BP242="","",IFERROR(IF($BV242="AL",_xlfn.XLOOKUP($BP242,Std_Al3_Code,INDEX(Std_Al3_Table,0,5)),IF($G242=1,_xlfn.XLOOKUP($BP242,Std_Cu1_Code,INDEX(Std_Cu1_Table,0,5)),_xlfn.XLOOKUP($BP242,Std_Cu3_Code,INDEX(Std_Cu3_Table,0,5)))),""))</f>
        <v/>
      </c>
      <c r="BT242" s="832" t="str">
        <f t="shared" si="65"/>
        <v/>
      </c>
      <c r="BU242" s="832" t="str" cm="1">
        <f t="array" ref="BU242">IF($BP242="","",IFERROR(IF($BV242="AL",_xlfn.XLOOKUP($BP242,Std_Al3_Code,INDEX(Std_Al3_Table,0,2)),IF($G242=1,_xlfn.XLOOKUP($BP242,Std_Cu1_Code,INDEX(Std_Cu1_Table,0,2)),_xlfn.XLOOKUP($BP242,Std_Cu3_Code,INDEX(Std_Cu3_Table,0,2)))),""))</f>
        <v/>
      </c>
      <c r="BV242" s="829" t="str">
        <f t="shared" si="66"/>
        <v/>
      </c>
      <c r="BW242" s="829" t="str">
        <f t="shared" si="72"/>
        <v/>
      </c>
      <c r="BX242" s="829" t="str" cm="1">
        <f t="array" ref="BX242">IF(OR($BP242="",$H242="",$I242="",$F242="",$BW242=""),"",IFERROR(_xlfn.LET(_xlpm.codes,IF($BV242="AL",Std_Al3_Code,IF($G242=1,Std_Cu1_Code,Std_Cu3_Code)),_xlpm.tbl,IF($BV242="AL",Std_Al3_Table,IF($G242=1,Std_Cu1_Table,Std_Cu3_Table)),_xlpm.i,MATCH($BP242,_xlpm.codes,0),_xlpm.idx,_xlfn.SEQUENCE(ROWS(_xlpm.codes)),_xlpm.cnd,INDEX(_xlpm.tbl,0,4),_xlpm.sts,INDEX(_xlpm.tbl,0,2),_xlpm.sz,IFERROR(_xlfn.TEXTBEFORE(_xlfn.TEXTAFTER(_xlpm.cnd,"#"),","),IFERROR(_xlfn.TEXTAFTER(_xlpm.cnd,"#"),"")),_xlpm.cm,IFERROR(_xlfn.XLOOKUP(TRIM(_xlpm.sz),Ampacity_Size,Ampacity_CM),0),_xlpm.mult,IF($G242=3,SQRT3,2),_xlpm.kk,IF($BV242="AL",K_Al,K_Cu),_xlpm.vd,IF(_xlpm.cm*IF(ISNUMBER(_xlpm.sts),_xlpm.sts,0)=0,9,_xlpm.mult*_xlpm.kk*$I242*$H242/(_xlpm.cm*_xlpm.sts)/$F242),_xlpm.hasN,--(RIGHT(_xlpm.codes&amp;"",1)="N"),_xlpm.wantN,--(RIGHT($BP242&amp;"",1)="N"),_xlpm.ok,(_xlpm.idx&gt;=_xlpm.i)*(_xlpm.vd&lt;=Cfg_VDFeeder)*(_xlpm.cm&gt;0)*ISNUMBER(_xlpm.sts)*(_xlpm.hasN=_xlpm.wantN),_xlpm.m,MIN(IF(_xlpm.ok=1,_xlpm.idx)),INDEX(_xlpm.codes,IF(_xlpm.m=0,_xlpm.i,_xlpm.m))),""))</f>
        <v/>
      </c>
      <c r="BY242" s="829" t="str" cm="1">
        <f t="array" ref="BY242">IF($BP242="","",IF($BX242="",$BU242,IFERROR(IF($BV242="AL",_xlfn.XLOOKUP($BX242,Std_Al3_Code,INDEX(Std_Al3_Table,0,2)),IF($G242=1,_xlfn.XLOOKUP($BX242,Std_Cu1_Code,INDEX(Std_Cu1_Table,0,2)),_xlfn.XLOOKUP($BX242,Std_Cu3_Code,INDEX(Std_Cu3_Table,0,2)))),"")))</f>
        <v/>
      </c>
      <c r="BZ242" s="829" t="str" cm="1">
        <f t="array" ref="BZ242">IF($BP242="","",IF($BX242="",$BR242,IFERROR(IF($BV242="AL",_xlfn.XLOOKUP($BX242,Std_Al3_Code,INDEX(Std_Al3_Table,0,4)),IF($G242=1,_xlfn.XLOOKUP($BX242,Std_Cu1_Code,INDEX(Std_Cu1_Table,0,4)),_xlfn.XLOOKUP($BX242,Std_Cu3_Code,INDEX(Std_Cu3_Table,0,4)))),"")))</f>
        <v/>
      </c>
      <c r="CA242" s="829" t="str" cm="1">
        <f t="array" ref="CA242">IF($BP242="","",IF($BX242="",$BQ242,IFERROR(IF($BV242="AL",_xlfn.XLOOKUP($BX242,Std_Al3_Code,INDEX(Std_Al3_Table,0,3)),IF($G242=1,_xlfn.XLOOKUP($BX242,Std_Cu1_Code,INDEX(Std_Cu1_Table,0,3)),_xlfn.XLOOKUP($BX242,Std_Cu3_Code,INDEX(Std_Cu3_Table,0,3)))),"")))</f>
        <v/>
      </c>
      <c r="CB242" s="829" t="str" cm="1">
        <f t="array" ref="CB242">IF($BP242="","",IF($BX242="",$BS242,IFERROR(IF($BV242="AL",_xlfn.XLOOKUP($BX242,Std_Al3_Code,INDEX(Std_Al3_Table,0,5)),IF($G242=1,_xlfn.XLOOKUP($BX242,Std_Cu1_Code,INDEX(Std_Cu1_Table,0,5)),_xlfn.XLOOKUP($BX242,Std_Cu3_Code,INDEX(Std_Cu3_Table,0,5)))),"")))</f>
        <v/>
      </c>
      <c r="CC242" s="829" t="str">
        <f t="shared" si="73"/>
        <v/>
      </c>
      <c r="CD242" s="829" t="str">
        <f t="shared" si="74"/>
        <v/>
      </c>
      <c r="CE242" s="829" t="str">
        <f t="shared" si="75"/>
        <v/>
      </c>
      <c r="CF242" s="829" t="str">
        <f t="shared" si="76"/>
        <v/>
      </c>
      <c r="CG242" s="829" t="str">
        <f t="shared" si="77"/>
        <v/>
      </c>
      <c r="CH242" s="829" t="str">
        <f t="shared" si="78"/>
        <v/>
      </c>
      <c r="CI242" s="829" t="str">
        <f t="shared" si="79"/>
        <v/>
      </c>
      <c r="CJ242" s="829" t="str" cm="1">
        <f t="array" ref="CJ242">IF($B242="","",_xlfn.LET(_xlpm.to,$D242&amp;"",_xlpm.em,IFERROR(INDEX(_xlfn.ANCHORARRAY($BE$4),ROW()-4,6),"")="EMERG",_xlpm.pri,AND(NOT(_xlpm.em),LEFT(_xlpm.to,2)="T-",ISNUMBER(MATCH(MID(_xlpm.to,3,99),Equip_List,0)),ISNA(MATCH(_xlpm.to,Equip_List,0))),IF(_xlpm.pri,MID(_xlpm.to,3,99),_xlpm.to)))</f>
        <v/>
      </c>
      <c r="CK242" s="829" t="str" cm="1">
        <f t="array" ref="CK242">IF($CJ242="","",IF(IFERROR(INDEX(_xlfn.ANCHORARRAY($BE$4),ROW()-4,6),"")="EMERG","E",IF($CJ242&lt;&gt;$D242&amp;"","P","N")))</f>
        <v/>
      </c>
    </row>
    <row r="243" spans="1:89" ht="15" customHeight="1" x14ac:dyDescent="0.35">
      <c r="A243" s="821" t="str">
        <f t="shared" si="67"/>
        <v/>
      </c>
      <c r="B243" s="821" t="str" cm="1">
        <f t="array" ref="B243">IFERROR(IF(INDEX(_xlfn.ANCHORARRAY($BE$4),ROW()-4,2)="","","F-"&amp;INDEX(_xlfn.ANCHORARRAY($BE$4),ROW()-4,2)&amp;IF(IFERROR(INDEX(_xlfn.ANCHORARRAY($BE$4),ROW()-4,6),"")="EMERG","-E","")),"")</f>
        <v/>
      </c>
      <c r="C243" s="821" t="str" cm="1">
        <f t="array" ref="C243">IFERROR(IF($B243="","",INDEX(_xlfn.ANCHORARRAY($BE$4),ROW()-4,1)),"")</f>
        <v/>
      </c>
      <c r="D243" s="821" t="str" cm="1">
        <f t="array" ref="D243">IFERROR(IF($B243="","",INDEX(_xlfn.ANCHORARRAY($BE$4),ROW()-4,2)),"")</f>
        <v/>
      </c>
      <c r="E243" s="806" t="str" cm="1">
        <f t="array" ref="E243">IFERROR(IF($B243="","",INDEX(_xlfn.ANCHORARRAY($BE$4),ROW()-4,3)),"")</f>
        <v/>
      </c>
      <c r="F243" s="822" t="str" cm="1">
        <f t="array" ref="F243">IFERROR(IF($B243="","",INDEX(_xlfn.ANCHORARRAY($BE$4),ROW()-4,4)),"")</f>
        <v/>
      </c>
      <c r="G243" s="823" t="str" cm="1">
        <f t="array" ref="G243">IFERROR(IF($B243="","",INDEX(_xlfn.ANCHORARRAY($BE$4),ROW()-4,5)),"")</f>
        <v/>
      </c>
      <c r="H243" s="824" t="str" cm="1">
        <f t="array" ref="H243">IF($CJ243="","",_xlfn.LET(_xlpm.v,_xlfn.XLOOKUP($CJ243,Equip_List,IF($CK243="E",Equip_EmLen,IF($CK243="P",Equip_XfPriLen,Equip_FdrLen)),""),IF(_xlpm.v="","",_xlpm.v)))</f>
        <v/>
      </c>
      <c r="I243" s="806" t="str">
        <f t="shared" si="60"/>
        <v/>
      </c>
      <c r="J243" s="820"/>
      <c r="K243" s="806" t="str">
        <f>_xlfn.LET(_xlpm.k,IF($I243="","",IF(COUNTIF(UPS!$B$57:$B$64,$C243&amp;"")&gt;0,1.25*MAX($I243,N(_xlfn.XLOOKUP($C243&amp;"",UPS!$B$57:$B$64,UPS!$M$57:$M$64,0))),IF(COUNTIF(UPS!$B$57:$B$64,$D243&amp;"")&gt;0,1.25*MAX($I243,N(_xlfn.XLOOKUP($D243&amp;"",UPS!$B$57:$B$64,UPS!$Q$57:$Q$64,0))),$I243*IF(OR(UPPER($J243)="Y",LEFT($C243,2)="T-",LEFT($D243,2)="T-"),1.25,1)))),IF(_xlpm.k="","",MAX(_xlpm.k,N(IFERROR(_xlfn.XLOOKUP($D243&amp;"",Dashboard!$A$101:$A$350,Dashboard!$O$101:$O$350,0),0)))))</f>
        <v/>
      </c>
      <c r="L243" s="825" t="str">
        <f>IF($CJ243="","",_xlfn.LET(_xlpm.v,UPPER(TRIM(_xlfn.XLOOKUP($CJ243,Equip_List,Equip_FdrMat,"")&amp;"")),IF(_xlpm.v="",UPPER(TRIM(Cfg_FeederMat&amp;"")),_xlpm.v)))</f>
        <v/>
      </c>
      <c r="M243" s="825" t="str">
        <f>IF($CJ243="","",_xlfn.LET(_xlpm.v,TRIM(_xlfn.XLOOKUP($CJ243,Equip_List,Equip_FdrRace,"")&amp;""),IF(_xlpm.v="",Cfg_Conduit&amp;"",_xlpm.v)))</f>
        <v/>
      </c>
      <c r="N243" s="825" t="str">
        <f>IF($CJ243="","",IF(UPPER(TRIM(_xlfn.XLOOKUP($CJ243,Equip_List,Equip_FdrExist,"")&amp;""))="Y","Y",""))</f>
        <v/>
      </c>
      <c r="O243" s="823" t="str">
        <f t="shared" si="68"/>
        <v/>
      </c>
      <c r="P243" s="821" t="str">
        <f t="shared" si="69"/>
        <v/>
      </c>
      <c r="Q243" s="821" t="str">
        <f t="shared" si="70"/>
        <v/>
      </c>
      <c r="R243" s="822" t="str" cm="1">
        <f t="array" ref="R243">IF(K243="","",INDEX(OCPD_List,MATCH(TRUE,OCPD_List&gt;=K243,0)))</f>
        <v/>
      </c>
      <c r="S243" s="821" t="str">
        <f t="shared" si="71"/>
        <v/>
      </c>
      <c r="T243" s="826" t="str">
        <f t="shared" si="61"/>
        <v/>
      </c>
      <c r="U243" s="826" t="str">
        <f t="shared" si="62"/>
        <v/>
      </c>
      <c r="V243" s="827" t="str">
        <f t="shared" si="63"/>
        <v/>
      </c>
      <c r="W243" s="828"/>
      <c r="X243" s="819"/>
      <c r="Y243" s="820"/>
      <c r="Z243" s="820"/>
      <c r="AA243" s="820"/>
      <c r="BN243" s="832" t="str">
        <f>IF($B243="","",IFERROR(_xlfn.XLOOKUP($D243,Dashboard!$A$101:$A$350,Dashboard!$C$101:$C$350),""))</f>
        <v/>
      </c>
      <c r="BO243" s="832" t="str">
        <f t="shared" si="64"/>
        <v/>
      </c>
      <c r="BP243" s="832" t="str" cm="1">
        <f t="array" ref="BP243">IF(OR($B243="",$R243="",NOT(ISNUMBER($R243))),"",IF(AND($BV243="AL",$G243=1),"",_xlfn.LET(_xlpm.codes,IF($BV243="AL",Std_Al3_Code,IF($G243=1,Std_Cu1_Code,Std_Cu3_Code)),_xlpm.amps,IFERROR(--SUBSTITUTE(_xlpm.codes&amp;"","N",""),""),_xlpm.a,MIN(IF(ISNUMBER(_xlpm.amps),IF(_xlpm.amps&gt;=$R243,_xlpm.amps,""),"")),_xlpm.k,IF(_xlpm.a=0,$R243,_xlpm.a),IF($BO243="Y",TEXT(_xlpm.k,"0")&amp;"N",_xlpm.k))))</f>
        <v/>
      </c>
      <c r="BQ243" s="832" t="str" cm="1">
        <f t="array" ref="BQ243">IF($BP243="","",IFERROR(IF($BV243="AL",_xlfn.XLOOKUP($BP243,Std_Al3_Code,INDEX(Std_Al3_Table,0,3)),IF($G243=1,_xlfn.XLOOKUP($BP243,Std_Cu1_Code,INDEX(Std_Cu1_Table,0,3)),_xlfn.XLOOKUP($BP243,Std_Cu3_Code,INDEX(Std_Cu3_Table,0,3)))),""))</f>
        <v/>
      </c>
      <c r="BR243" s="832" t="str" cm="1">
        <f t="array" ref="BR243">IF($BP243="","",IFERROR(IF($BV243="AL",_xlfn.XLOOKUP($BP243,Std_Al3_Code,INDEX(Std_Al3_Table,0,4)),IF($G243=1,_xlfn.XLOOKUP($BP243,Std_Cu1_Code,INDEX(Std_Cu1_Table,0,4)),_xlfn.XLOOKUP($BP243,Std_Cu3_Code,INDEX(Std_Cu3_Table,0,4)))),""))</f>
        <v/>
      </c>
      <c r="BS243" s="832" t="str" cm="1">
        <f t="array" ref="BS243">IF($BP243="","",IFERROR(IF($BV243="AL",_xlfn.XLOOKUP($BP243,Std_Al3_Code,INDEX(Std_Al3_Table,0,5)),IF($G243=1,_xlfn.XLOOKUP($BP243,Std_Cu1_Code,INDEX(Std_Cu1_Table,0,5)),_xlfn.XLOOKUP($BP243,Std_Cu3_Code,INDEX(Std_Cu3_Table,0,5)))),""))</f>
        <v/>
      </c>
      <c r="BT243" s="832" t="str">
        <f t="shared" si="65"/>
        <v/>
      </c>
      <c r="BU243" s="832" t="str" cm="1">
        <f t="array" ref="BU243">IF($BP243="","",IFERROR(IF($BV243="AL",_xlfn.XLOOKUP($BP243,Std_Al3_Code,INDEX(Std_Al3_Table,0,2)),IF($G243=1,_xlfn.XLOOKUP($BP243,Std_Cu1_Code,INDEX(Std_Cu1_Table,0,2)),_xlfn.XLOOKUP($BP243,Std_Cu3_Code,INDEX(Std_Cu3_Table,0,2)))),""))</f>
        <v/>
      </c>
      <c r="BV243" s="829" t="str">
        <f t="shared" si="66"/>
        <v/>
      </c>
      <c r="BW243" s="829" t="str">
        <f t="shared" si="72"/>
        <v/>
      </c>
      <c r="BX243" s="829" t="str" cm="1">
        <f t="array" ref="BX243">IF(OR($BP243="",$H243="",$I243="",$F243="",$BW243=""),"",IFERROR(_xlfn.LET(_xlpm.codes,IF($BV243="AL",Std_Al3_Code,IF($G243=1,Std_Cu1_Code,Std_Cu3_Code)),_xlpm.tbl,IF($BV243="AL",Std_Al3_Table,IF($G243=1,Std_Cu1_Table,Std_Cu3_Table)),_xlpm.i,MATCH($BP243,_xlpm.codes,0),_xlpm.idx,_xlfn.SEQUENCE(ROWS(_xlpm.codes)),_xlpm.cnd,INDEX(_xlpm.tbl,0,4),_xlpm.sts,INDEX(_xlpm.tbl,0,2),_xlpm.sz,IFERROR(_xlfn.TEXTBEFORE(_xlfn.TEXTAFTER(_xlpm.cnd,"#"),","),IFERROR(_xlfn.TEXTAFTER(_xlpm.cnd,"#"),"")),_xlpm.cm,IFERROR(_xlfn.XLOOKUP(TRIM(_xlpm.sz),Ampacity_Size,Ampacity_CM),0),_xlpm.mult,IF($G243=3,SQRT3,2),_xlpm.kk,IF($BV243="AL",K_Al,K_Cu),_xlpm.vd,IF(_xlpm.cm*IF(ISNUMBER(_xlpm.sts),_xlpm.sts,0)=0,9,_xlpm.mult*_xlpm.kk*$I243*$H243/(_xlpm.cm*_xlpm.sts)/$F243),_xlpm.hasN,--(RIGHT(_xlpm.codes&amp;"",1)="N"),_xlpm.wantN,--(RIGHT($BP243&amp;"",1)="N"),_xlpm.ok,(_xlpm.idx&gt;=_xlpm.i)*(_xlpm.vd&lt;=Cfg_VDFeeder)*(_xlpm.cm&gt;0)*ISNUMBER(_xlpm.sts)*(_xlpm.hasN=_xlpm.wantN),_xlpm.m,MIN(IF(_xlpm.ok=1,_xlpm.idx)),INDEX(_xlpm.codes,IF(_xlpm.m=0,_xlpm.i,_xlpm.m))),""))</f>
        <v/>
      </c>
      <c r="BY243" s="829" t="str" cm="1">
        <f t="array" ref="BY243">IF($BP243="","",IF($BX243="",$BU243,IFERROR(IF($BV243="AL",_xlfn.XLOOKUP($BX243,Std_Al3_Code,INDEX(Std_Al3_Table,0,2)),IF($G243=1,_xlfn.XLOOKUP($BX243,Std_Cu1_Code,INDEX(Std_Cu1_Table,0,2)),_xlfn.XLOOKUP($BX243,Std_Cu3_Code,INDEX(Std_Cu3_Table,0,2)))),"")))</f>
        <v/>
      </c>
      <c r="BZ243" s="829" t="str" cm="1">
        <f t="array" ref="BZ243">IF($BP243="","",IF($BX243="",$BR243,IFERROR(IF($BV243="AL",_xlfn.XLOOKUP($BX243,Std_Al3_Code,INDEX(Std_Al3_Table,0,4)),IF($G243=1,_xlfn.XLOOKUP($BX243,Std_Cu1_Code,INDEX(Std_Cu1_Table,0,4)),_xlfn.XLOOKUP($BX243,Std_Cu3_Code,INDEX(Std_Cu3_Table,0,4)))),"")))</f>
        <v/>
      </c>
      <c r="CA243" s="829" t="str" cm="1">
        <f t="array" ref="CA243">IF($BP243="","",IF($BX243="",$BQ243,IFERROR(IF($BV243="AL",_xlfn.XLOOKUP($BX243,Std_Al3_Code,INDEX(Std_Al3_Table,0,3)),IF($G243=1,_xlfn.XLOOKUP($BX243,Std_Cu1_Code,INDEX(Std_Cu1_Table,0,3)),_xlfn.XLOOKUP($BX243,Std_Cu3_Code,INDEX(Std_Cu3_Table,0,3)))),"")))</f>
        <v/>
      </c>
      <c r="CB243" s="829" t="str" cm="1">
        <f t="array" ref="CB243">IF($BP243="","",IF($BX243="",$BS243,IFERROR(IF($BV243="AL",_xlfn.XLOOKUP($BX243,Std_Al3_Code,INDEX(Std_Al3_Table,0,5)),IF($G243=1,_xlfn.XLOOKUP($BX243,Std_Cu1_Code,INDEX(Std_Cu1_Table,0,5)),_xlfn.XLOOKUP($BX243,Std_Cu3_Code,INDEX(Std_Cu3_Table,0,5)))),"")))</f>
        <v/>
      </c>
      <c r="CC243" s="829" t="str">
        <f t="shared" si="73"/>
        <v/>
      </c>
      <c r="CD243" s="829" t="str">
        <f t="shared" si="74"/>
        <v/>
      </c>
      <c r="CE243" s="829" t="str">
        <f t="shared" si="75"/>
        <v/>
      </c>
      <c r="CF243" s="829" t="str">
        <f t="shared" si="76"/>
        <v/>
      </c>
      <c r="CG243" s="829" t="str">
        <f t="shared" si="77"/>
        <v/>
      </c>
      <c r="CH243" s="829" t="str">
        <f t="shared" si="78"/>
        <v/>
      </c>
      <c r="CI243" s="829" t="str">
        <f t="shared" si="79"/>
        <v/>
      </c>
      <c r="CJ243" s="829" t="str" cm="1">
        <f t="array" ref="CJ243">IF($B243="","",_xlfn.LET(_xlpm.to,$D243&amp;"",_xlpm.em,IFERROR(INDEX(_xlfn.ANCHORARRAY($BE$4),ROW()-4,6),"")="EMERG",_xlpm.pri,AND(NOT(_xlpm.em),LEFT(_xlpm.to,2)="T-",ISNUMBER(MATCH(MID(_xlpm.to,3,99),Equip_List,0)),ISNA(MATCH(_xlpm.to,Equip_List,0))),IF(_xlpm.pri,MID(_xlpm.to,3,99),_xlpm.to)))</f>
        <v/>
      </c>
      <c r="CK243" s="829" t="str" cm="1">
        <f t="array" ref="CK243">IF($CJ243="","",IF(IFERROR(INDEX(_xlfn.ANCHORARRAY($BE$4),ROW()-4,6),"")="EMERG","E",IF($CJ243&lt;&gt;$D243&amp;"","P","N")))</f>
        <v/>
      </c>
    </row>
    <row r="244" spans="1:89" ht="15" customHeight="1" x14ac:dyDescent="0.35">
      <c r="A244" s="821" t="str">
        <f t="shared" si="67"/>
        <v/>
      </c>
      <c r="B244" s="821" t="str" cm="1">
        <f t="array" ref="B244">IFERROR(IF(INDEX(_xlfn.ANCHORARRAY($BE$4),ROW()-4,2)="","","F-"&amp;INDEX(_xlfn.ANCHORARRAY($BE$4),ROW()-4,2)&amp;IF(IFERROR(INDEX(_xlfn.ANCHORARRAY($BE$4),ROW()-4,6),"")="EMERG","-E","")),"")</f>
        <v/>
      </c>
      <c r="C244" s="821" t="str" cm="1">
        <f t="array" ref="C244">IFERROR(IF($B244="","",INDEX(_xlfn.ANCHORARRAY($BE$4),ROW()-4,1)),"")</f>
        <v/>
      </c>
      <c r="D244" s="821" t="str" cm="1">
        <f t="array" ref="D244">IFERROR(IF($B244="","",INDEX(_xlfn.ANCHORARRAY($BE$4),ROW()-4,2)),"")</f>
        <v/>
      </c>
      <c r="E244" s="806" t="str" cm="1">
        <f t="array" ref="E244">IFERROR(IF($B244="","",INDEX(_xlfn.ANCHORARRAY($BE$4),ROW()-4,3)),"")</f>
        <v/>
      </c>
      <c r="F244" s="822" t="str" cm="1">
        <f t="array" ref="F244">IFERROR(IF($B244="","",INDEX(_xlfn.ANCHORARRAY($BE$4),ROW()-4,4)),"")</f>
        <v/>
      </c>
      <c r="G244" s="823" t="str" cm="1">
        <f t="array" ref="G244">IFERROR(IF($B244="","",INDEX(_xlfn.ANCHORARRAY($BE$4),ROW()-4,5)),"")</f>
        <v/>
      </c>
      <c r="H244" s="824" t="str" cm="1">
        <f t="array" ref="H244">IF($CJ244="","",_xlfn.LET(_xlpm.v,_xlfn.XLOOKUP($CJ244,Equip_List,IF($CK244="E",Equip_EmLen,IF($CK244="P",Equip_XfPriLen,Equip_FdrLen)),""),IF(_xlpm.v="","",_xlpm.v)))</f>
        <v/>
      </c>
      <c r="I244" s="806" t="str">
        <f t="shared" si="60"/>
        <v/>
      </c>
      <c r="J244" s="820"/>
      <c r="K244" s="806" t="str">
        <f>_xlfn.LET(_xlpm.k,IF($I244="","",IF(COUNTIF(UPS!$B$57:$B$64,$C244&amp;"")&gt;0,1.25*MAX($I244,N(_xlfn.XLOOKUP($C244&amp;"",UPS!$B$57:$B$64,UPS!$M$57:$M$64,0))),IF(COUNTIF(UPS!$B$57:$B$64,$D244&amp;"")&gt;0,1.25*MAX($I244,N(_xlfn.XLOOKUP($D244&amp;"",UPS!$B$57:$B$64,UPS!$Q$57:$Q$64,0))),$I244*IF(OR(UPPER($J244)="Y",LEFT($C244,2)="T-",LEFT($D244,2)="T-"),1.25,1)))),IF(_xlpm.k="","",MAX(_xlpm.k,N(IFERROR(_xlfn.XLOOKUP($D244&amp;"",Dashboard!$A$101:$A$350,Dashboard!$O$101:$O$350,0),0)))))</f>
        <v/>
      </c>
      <c r="L244" s="825" t="str">
        <f>IF($CJ244="","",_xlfn.LET(_xlpm.v,UPPER(TRIM(_xlfn.XLOOKUP($CJ244,Equip_List,Equip_FdrMat,"")&amp;"")),IF(_xlpm.v="",UPPER(TRIM(Cfg_FeederMat&amp;"")),_xlpm.v)))</f>
        <v/>
      </c>
      <c r="M244" s="825" t="str">
        <f>IF($CJ244="","",_xlfn.LET(_xlpm.v,TRIM(_xlfn.XLOOKUP($CJ244,Equip_List,Equip_FdrRace,"")&amp;""),IF(_xlpm.v="",Cfg_Conduit&amp;"",_xlpm.v)))</f>
        <v/>
      </c>
      <c r="N244" s="825" t="str">
        <f>IF($CJ244="","",IF(UPPER(TRIM(_xlfn.XLOOKUP($CJ244,Equip_List,Equip_FdrExist,"")&amp;""))="Y","Y",""))</f>
        <v/>
      </c>
      <c r="O244" s="823" t="str">
        <f t="shared" si="68"/>
        <v/>
      </c>
      <c r="P244" s="821" t="str">
        <f t="shared" si="69"/>
        <v/>
      </c>
      <c r="Q244" s="821" t="str">
        <f t="shared" si="70"/>
        <v/>
      </c>
      <c r="R244" s="822" t="str" cm="1">
        <f t="array" ref="R244">IF(K244="","",INDEX(OCPD_List,MATCH(TRUE,OCPD_List&gt;=K244,0)))</f>
        <v/>
      </c>
      <c r="S244" s="821" t="str">
        <f t="shared" si="71"/>
        <v/>
      </c>
      <c r="T244" s="826" t="str">
        <f t="shared" si="61"/>
        <v/>
      </c>
      <c r="U244" s="826" t="str">
        <f t="shared" si="62"/>
        <v/>
      </c>
      <c r="V244" s="827" t="str">
        <f t="shared" si="63"/>
        <v/>
      </c>
      <c r="W244" s="828"/>
      <c r="X244" s="819"/>
      <c r="Y244" s="820"/>
      <c r="Z244" s="820"/>
      <c r="AA244" s="820"/>
      <c r="BN244" s="832" t="str">
        <f>IF($B244="","",IFERROR(_xlfn.XLOOKUP($D244,Dashboard!$A$101:$A$350,Dashboard!$C$101:$C$350),""))</f>
        <v/>
      </c>
      <c r="BO244" s="832" t="str">
        <f t="shared" si="64"/>
        <v/>
      </c>
      <c r="BP244" s="832" t="str" cm="1">
        <f t="array" ref="BP244">IF(OR($B244="",$R244="",NOT(ISNUMBER($R244))),"",IF(AND($BV244="AL",$G244=1),"",_xlfn.LET(_xlpm.codes,IF($BV244="AL",Std_Al3_Code,IF($G244=1,Std_Cu1_Code,Std_Cu3_Code)),_xlpm.amps,IFERROR(--SUBSTITUTE(_xlpm.codes&amp;"","N",""),""),_xlpm.a,MIN(IF(ISNUMBER(_xlpm.amps),IF(_xlpm.amps&gt;=$R244,_xlpm.amps,""),"")),_xlpm.k,IF(_xlpm.a=0,$R244,_xlpm.a),IF($BO244="Y",TEXT(_xlpm.k,"0")&amp;"N",_xlpm.k))))</f>
        <v/>
      </c>
      <c r="BQ244" s="832" t="str" cm="1">
        <f t="array" ref="BQ244">IF($BP244="","",IFERROR(IF($BV244="AL",_xlfn.XLOOKUP($BP244,Std_Al3_Code,INDEX(Std_Al3_Table,0,3)),IF($G244=1,_xlfn.XLOOKUP($BP244,Std_Cu1_Code,INDEX(Std_Cu1_Table,0,3)),_xlfn.XLOOKUP($BP244,Std_Cu3_Code,INDEX(Std_Cu3_Table,0,3)))),""))</f>
        <v/>
      </c>
      <c r="BR244" s="832" t="str" cm="1">
        <f t="array" ref="BR244">IF($BP244="","",IFERROR(IF($BV244="AL",_xlfn.XLOOKUP($BP244,Std_Al3_Code,INDEX(Std_Al3_Table,0,4)),IF($G244=1,_xlfn.XLOOKUP($BP244,Std_Cu1_Code,INDEX(Std_Cu1_Table,0,4)),_xlfn.XLOOKUP($BP244,Std_Cu3_Code,INDEX(Std_Cu3_Table,0,4)))),""))</f>
        <v/>
      </c>
      <c r="BS244" s="832" t="str" cm="1">
        <f t="array" ref="BS244">IF($BP244="","",IFERROR(IF($BV244="AL",_xlfn.XLOOKUP($BP244,Std_Al3_Code,INDEX(Std_Al3_Table,0,5)),IF($G244=1,_xlfn.XLOOKUP($BP244,Std_Cu1_Code,INDEX(Std_Cu1_Table,0,5)),_xlfn.XLOOKUP($BP244,Std_Cu3_Code,INDEX(Std_Cu3_Table,0,5)))),""))</f>
        <v/>
      </c>
      <c r="BT244" s="832" t="str">
        <f t="shared" si="65"/>
        <v/>
      </c>
      <c r="BU244" s="832" t="str" cm="1">
        <f t="array" ref="BU244">IF($BP244="","",IFERROR(IF($BV244="AL",_xlfn.XLOOKUP($BP244,Std_Al3_Code,INDEX(Std_Al3_Table,0,2)),IF($G244=1,_xlfn.XLOOKUP($BP244,Std_Cu1_Code,INDEX(Std_Cu1_Table,0,2)),_xlfn.XLOOKUP($BP244,Std_Cu3_Code,INDEX(Std_Cu3_Table,0,2)))),""))</f>
        <v/>
      </c>
      <c r="BV244" s="829" t="str">
        <f t="shared" si="66"/>
        <v/>
      </c>
      <c r="BW244" s="829" t="str">
        <f t="shared" si="72"/>
        <v/>
      </c>
      <c r="BX244" s="829" t="str" cm="1">
        <f t="array" ref="BX244">IF(OR($BP244="",$H244="",$I244="",$F244="",$BW244=""),"",IFERROR(_xlfn.LET(_xlpm.codes,IF($BV244="AL",Std_Al3_Code,IF($G244=1,Std_Cu1_Code,Std_Cu3_Code)),_xlpm.tbl,IF($BV244="AL",Std_Al3_Table,IF($G244=1,Std_Cu1_Table,Std_Cu3_Table)),_xlpm.i,MATCH($BP244,_xlpm.codes,0),_xlpm.idx,_xlfn.SEQUENCE(ROWS(_xlpm.codes)),_xlpm.cnd,INDEX(_xlpm.tbl,0,4),_xlpm.sts,INDEX(_xlpm.tbl,0,2),_xlpm.sz,IFERROR(_xlfn.TEXTBEFORE(_xlfn.TEXTAFTER(_xlpm.cnd,"#"),","),IFERROR(_xlfn.TEXTAFTER(_xlpm.cnd,"#"),"")),_xlpm.cm,IFERROR(_xlfn.XLOOKUP(TRIM(_xlpm.sz),Ampacity_Size,Ampacity_CM),0),_xlpm.mult,IF($G244=3,SQRT3,2),_xlpm.kk,IF($BV244="AL",K_Al,K_Cu),_xlpm.vd,IF(_xlpm.cm*IF(ISNUMBER(_xlpm.sts),_xlpm.sts,0)=0,9,_xlpm.mult*_xlpm.kk*$I244*$H244/(_xlpm.cm*_xlpm.sts)/$F244),_xlpm.hasN,--(RIGHT(_xlpm.codes&amp;"",1)="N"),_xlpm.wantN,--(RIGHT($BP244&amp;"",1)="N"),_xlpm.ok,(_xlpm.idx&gt;=_xlpm.i)*(_xlpm.vd&lt;=Cfg_VDFeeder)*(_xlpm.cm&gt;0)*ISNUMBER(_xlpm.sts)*(_xlpm.hasN=_xlpm.wantN),_xlpm.m,MIN(IF(_xlpm.ok=1,_xlpm.idx)),INDEX(_xlpm.codes,IF(_xlpm.m=0,_xlpm.i,_xlpm.m))),""))</f>
        <v/>
      </c>
      <c r="BY244" s="829" t="str" cm="1">
        <f t="array" ref="BY244">IF($BP244="","",IF($BX244="",$BU244,IFERROR(IF($BV244="AL",_xlfn.XLOOKUP($BX244,Std_Al3_Code,INDEX(Std_Al3_Table,0,2)),IF($G244=1,_xlfn.XLOOKUP($BX244,Std_Cu1_Code,INDEX(Std_Cu1_Table,0,2)),_xlfn.XLOOKUP($BX244,Std_Cu3_Code,INDEX(Std_Cu3_Table,0,2)))),"")))</f>
        <v/>
      </c>
      <c r="BZ244" s="829" t="str" cm="1">
        <f t="array" ref="BZ244">IF($BP244="","",IF($BX244="",$BR244,IFERROR(IF($BV244="AL",_xlfn.XLOOKUP($BX244,Std_Al3_Code,INDEX(Std_Al3_Table,0,4)),IF($G244=1,_xlfn.XLOOKUP($BX244,Std_Cu1_Code,INDEX(Std_Cu1_Table,0,4)),_xlfn.XLOOKUP($BX244,Std_Cu3_Code,INDEX(Std_Cu3_Table,0,4)))),"")))</f>
        <v/>
      </c>
      <c r="CA244" s="829" t="str" cm="1">
        <f t="array" ref="CA244">IF($BP244="","",IF($BX244="",$BQ244,IFERROR(IF($BV244="AL",_xlfn.XLOOKUP($BX244,Std_Al3_Code,INDEX(Std_Al3_Table,0,3)),IF($G244=1,_xlfn.XLOOKUP($BX244,Std_Cu1_Code,INDEX(Std_Cu1_Table,0,3)),_xlfn.XLOOKUP($BX244,Std_Cu3_Code,INDEX(Std_Cu3_Table,0,3)))),"")))</f>
        <v/>
      </c>
      <c r="CB244" s="829" t="str" cm="1">
        <f t="array" ref="CB244">IF($BP244="","",IF($BX244="",$BS244,IFERROR(IF($BV244="AL",_xlfn.XLOOKUP($BX244,Std_Al3_Code,INDEX(Std_Al3_Table,0,5)),IF($G244=1,_xlfn.XLOOKUP($BX244,Std_Cu1_Code,INDEX(Std_Cu1_Table,0,5)),_xlfn.XLOOKUP($BX244,Std_Cu3_Code,INDEX(Std_Cu3_Table,0,5)))),"")))</f>
        <v/>
      </c>
      <c r="CC244" s="829" t="str">
        <f t="shared" si="73"/>
        <v/>
      </c>
      <c r="CD244" s="829" t="str">
        <f t="shared" si="74"/>
        <v/>
      </c>
      <c r="CE244" s="829" t="str">
        <f t="shared" si="75"/>
        <v/>
      </c>
      <c r="CF244" s="829" t="str">
        <f t="shared" si="76"/>
        <v/>
      </c>
      <c r="CG244" s="829" t="str">
        <f t="shared" si="77"/>
        <v/>
      </c>
      <c r="CH244" s="829" t="str">
        <f t="shared" si="78"/>
        <v/>
      </c>
      <c r="CI244" s="829" t="str">
        <f t="shared" si="79"/>
        <v/>
      </c>
      <c r="CJ244" s="829" t="str" cm="1">
        <f t="array" ref="CJ244">IF($B244="","",_xlfn.LET(_xlpm.to,$D244&amp;"",_xlpm.em,IFERROR(INDEX(_xlfn.ANCHORARRAY($BE$4),ROW()-4,6),"")="EMERG",_xlpm.pri,AND(NOT(_xlpm.em),LEFT(_xlpm.to,2)="T-",ISNUMBER(MATCH(MID(_xlpm.to,3,99),Equip_List,0)),ISNA(MATCH(_xlpm.to,Equip_List,0))),IF(_xlpm.pri,MID(_xlpm.to,3,99),_xlpm.to)))</f>
        <v/>
      </c>
      <c r="CK244" s="829" t="str" cm="1">
        <f t="array" ref="CK244">IF($CJ244="","",IF(IFERROR(INDEX(_xlfn.ANCHORARRAY($BE$4),ROW()-4,6),"")="EMERG","E",IF($CJ244&lt;&gt;$D244&amp;"","P","N")))</f>
        <v/>
      </c>
    </row>
    <row r="245" spans="1:89" ht="15" customHeight="1" x14ac:dyDescent="0.35">
      <c r="A245" s="821" t="str">
        <f t="shared" si="67"/>
        <v/>
      </c>
      <c r="B245" s="821" t="str" cm="1">
        <f t="array" ref="B245">IFERROR(IF(INDEX(_xlfn.ANCHORARRAY($BE$4),ROW()-4,2)="","","F-"&amp;INDEX(_xlfn.ANCHORARRAY($BE$4),ROW()-4,2)&amp;IF(IFERROR(INDEX(_xlfn.ANCHORARRAY($BE$4),ROW()-4,6),"")="EMERG","-E","")),"")</f>
        <v/>
      </c>
      <c r="C245" s="821" t="str" cm="1">
        <f t="array" ref="C245">IFERROR(IF($B245="","",INDEX(_xlfn.ANCHORARRAY($BE$4),ROW()-4,1)),"")</f>
        <v/>
      </c>
      <c r="D245" s="821" t="str" cm="1">
        <f t="array" ref="D245">IFERROR(IF($B245="","",INDEX(_xlfn.ANCHORARRAY($BE$4),ROW()-4,2)),"")</f>
        <v/>
      </c>
      <c r="E245" s="806" t="str" cm="1">
        <f t="array" ref="E245">IFERROR(IF($B245="","",INDEX(_xlfn.ANCHORARRAY($BE$4),ROW()-4,3)),"")</f>
        <v/>
      </c>
      <c r="F245" s="822" t="str" cm="1">
        <f t="array" ref="F245">IFERROR(IF($B245="","",INDEX(_xlfn.ANCHORARRAY($BE$4),ROW()-4,4)),"")</f>
        <v/>
      </c>
      <c r="G245" s="823" t="str" cm="1">
        <f t="array" ref="G245">IFERROR(IF($B245="","",INDEX(_xlfn.ANCHORARRAY($BE$4),ROW()-4,5)),"")</f>
        <v/>
      </c>
      <c r="H245" s="824" t="str" cm="1">
        <f t="array" ref="H245">IF($CJ245="","",_xlfn.LET(_xlpm.v,_xlfn.XLOOKUP($CJ245,Equip_List,IF($CK245="E",Equip_EmLen,IF($CK245="P",Equip_XfPriLen,Equip_FdrLen)),""),IF(_xlpm.v="","",_xlpm.v)))</f>
        <v/>
      </c>
      <c r="I245" s="806" t="str">
        <f t="shared" si="60"/>
        <v/>
      </c>
      <c r="J245" s="820"/>
      <c r="K245" s="806" t="str">
        <f>_xlfn.LET(_xlpm.k,IF($I245="","",IF(COUNTIF(UPS!$B$57:$B$64,$C245&amp;"")&gt;0,1.25*MAX($I245,N(_xlfn.XLOOKUP($C245&amp;"",UPS!$B$57:$B$64,UPS!$M$57:$M$64,0))),IF(COUNTIF(UPS!$B$57:$B$64,$D245&amp;"")&gt;0,1.25*MAX($I245,N(_xlfn.XLOOKUP($D245&amp;"",UPS!$B$57:$B$64,UPS!$Q$57:$Q$64,0))),$I245*IF(OR(UPPER($J245)="Y",LEFT($C245,2)="T-",LEFT($D245,2)="T-"),1.25,1)))),IF(_xlpm.k="","",MAX(_xlpm.k,N(IFERROR(_xlfn.XLOOKUP($D245&amp;"",Dashboard!$A$101:$A$350,Dashboard!$O$101:$O$350,0),0)))))</f>
        <v/>
      </c>
      <c r="L245" s="825" t="str">
        <f>IF($CJ245="","",_xlfn.LET(_xlpm.v,UPPER(TRIM(_xlfn.XLOOKUP($CJ245,Equip_List,Equip_FdrMat,"")&amp;"")),IF(_xlpm.v="",UPPER(TRIM(Cfg_FeederMat&amp;"")),_xlpm.v)))</f>
        <v/>
      </c>
      <c r="M245" s="825" t="str">
        <f>IF($CJ245="","",_xlfn.LET(_xlpm.v,TRIM(_xlfn.XLOOKUP($CJ245,Equip_List,Equip_FdrRace,"")&amp;""),IF(_xlpm.v="",Cfg_Conduit&amp;"",_xlpm.v)))</f>
        <v/>
      </c>
      <c r="N245" s="825" t="str">
        <f>IF($CJ245="","",IF(UPPER(TRIM(_xlfn.XLOOKUP($CJ245,Equip_List,Equip_FdrExist,"")&amp;""))="Y","Y",""))</f>
        <v/>
      </c>
      <c r="O245" s="823" t="str">
        <f t="shared" si="68"/>
        <v/>
      </c>
      <c r="P245" s="821" t="str">
        <f t="shared" si="69"/>
        <v/>
      </c>
      <c r="Q245" s="821" t="str">
        <f t="shared" si="70"/>
        <v/>
      </c>
      <c r="R245" s="822" t="str" cm="1">
        <f t="array" ref="R245">IF(K245="","",INDEX(OCPD_List,MATCH(TRUE,OCPD_List&gt;=K245,0)))</f>
        <v/>
      </c>
      <c r="S245" s="821" t="str">
        <f t="shared" si="71"/>
        <v/>
      </c>
      <c r="T245" s="826" t="str">
        <f t="shared" si="61"/>
        <v/>
      </c>
      <c r="U245" s="826" t="str">
        <f t="shared" si="62"/>
        <v/>
      </c>
      <c r="V245" s="827" t="str">
        <f t="shared" si="63"/>
        <v/>
      </c>
      <c r="W245" s="828"/>
      <c r="X245" s="819"/>
      <c r="Y245" s="820"/>
      <c r="Z245" s="820"/>
      <c r="AA245" s="820"/>
      <c r="BN245" s="832" t="str">
        <f>IF($B245="","",IFERROR(_xlfn.XLOOKUP($D245,Dashboard!$A$101:$A$350,Dashboard!$C$101:$C$350),""))</f>
        <v/>
      </c>
      <c r="BO245" s="832" t="str">
        <f t="shared" si="64"/>
        <v/>
      </c>
      <c r="BP245" s="832" t="str" cm="1">
        <f t="array" ref="BP245">IF(OR($B245="",$R245="",NOT(ISNUMBER($R245))),"",IF(AND($BV245="AL",$G245=1),"",_xlfn.LET(_xlpm.codes,IF($BV245="AL",Std_Al3_Code,IF($G245=1,Std_Cu1_Code,Std_Cu3_Code)),_xlpm.amps,IFERROR(--SUBSTITUTE(_xlpm.codes&amp;"","N",""),""),_xlpm.a,MIN(IF(ISNUMBER(_xlpm.amps),IF(_xlpm.amps&gt;=$R245,_xlpm.amps,""),"")),_xlpm.k,IF(_xlpm.a=0,$R245,_xlpm.a),IF($BO245="Y",TEXT(_xlpm.k,"0")&amp;"N",_xlpm.k))))</f>
        <v/>
      </c>
      <c r="BQ245" s="832" t="str" cm="1">
        <f t="array" ref="BQ245">IF($BP245="","",IFERROR(IF($BV245="AL",_xlfn.XLOOKUP($BP245,Std_Al3_Code,INDEX(Std_Al3_Table,0,3)),IF($G245=1,_xlfn.XLOOKUP($BP245,Std_Cu1_Code,INDEX(Std_Cu1_Table,0,3)),_xlfn.XLOOKUP($BP245,Std_Cu3_Code,INDEX(Std_Cu3_Table,0,3)))),""))</f>
        <v/>
      </c>
      <c r="BR245" s="832" t="str" cm="1">
        <f t="array" ref="BR245">IF($BP245="","",IFERROR(IF($BV245="AL",_xlfn.XLOOKUP($BP245,Std_Al3_Code,INDEX(Std_Al3_Table,0,4)),IF($G245=1,_xlfn.XLOOKUP($BP245,Std_Cu1_Code,INDEX(Std_Cu1_Table,0,4)),_xlfn.XLOOKUP($BP245,Std_Cu3_Code,INDEX(Std_Cu3_Table,0,4)))),""))</f>
        <v/>
      </c>
      <c r="BS245" s="832" t="str" cm="1">
        <f t="array" ref="BS245">IF($BP245="","",IFERROR(IF($BV245="AL",_xlfn.XLOOKUP($BP245,Std_Al3_Code,INDEX(Std_Al3_Table,0,5)),IF($G245=1,_xlfn.XLOOKUP($BP245,Std_Cu1_Code,INDEX(Std_Cu1_Table,0,5)),_xlfn.XLOOKUP($BP245,Std_Cu3_Code,INDEX(Std_Cu3_Table,0,5)))),""))</f>
        <v/>
      </c>
      <c r="BT245" s="832" t="str">
        <f t="shared" si="65"/>
        <v/>
      </c>
      <c r="BU245" s="832" t="str" cm="1">
        <f t="array" ref="BU245">IF($BP245="","",IFERROR(IF($BV245="AL",_xlfn.XLOOKUP($BP245,Std_Al3_Code,INDEX(Std_Al3_Table,0,2)),IF($G245=1,_xlfn.XLOOKUP($BP245,Std_Cu1_Code,INDEX(Std_Cu1_Table,0,2)),_xlfn.XLOOKUP($BP245,Std_Cu3_Code,INDEX(Std_Cu3_Table,0,2)))),""))</f>
        <v/>
      </c>
      <c r="BV245" s="829" t="str">
        <f t="shared" si="66"/>
        <v/>
      </c>
      <c r="BW245" s="829" t="str">
        <f t="shared" si="72"/>
        <v/>
      </c>
      <c r="BX245" s="829" t="str" cm="1">
        <f t="array" ref="BX245">IF(OR($BP245="",$H245="",$I245="",$F245="",$BW245=""),"",IFERROR(_xlfn.LET(_xlpm.codes,IF($BV245="AL",Std_Al3_Code,IF($G245=1,Std_Cu1_Code,Std_Cu3_Code)),_xlpm.tbl,IF($BV245="AL",Std_Al3_Table,IF($G245=1,Std_Cu1_Table,Std_Cu3_Table)),_xlpm.i,MATCH($BP245,_xlpm.codes,0),_xlpm.idx,_xlfn.SEQUENCE(ROWS(_xlpm.codes)),_xlpm.cnd,INDEX(_xlpm.tbl,0,4),_xlpm.sts,INDEX(_xlpm.tbl,0,2),_xlpm.sz,IFERROR(_xlfn.TEXTBEFORE(_xlfn.TEXTAFTER(_xlpm.cnd,"#"),","),IFERROR(_xlfn.TEXTAFTER(_xlpm.cnd,"#"),"")),_xlpm.cm,IFERROR(_xlfn.XLOOKUP(TRIM(_xlpm.sz),Ampacity_Size,Ampacity_CM),0),_xlpm.mult,IF($G245=3,SQRT3,2),_xlpm.kk,IF($BV245="AL",K_Al,K_Cu),_xlpm.vd,IF(_xlpm.cm*IF(ISNUMBER(_xlpm.sts),_xlpm.sts,0)=0,9,_xlpm.mult*_xlpm.kk*$I245*$H245/(_xlpm.cm*_xlpm.sts)/$F245),_xlpm.hasN,--(RIGHT(_xlpm.codes&amp;"",1)="N"),_xlpm.wantN,--(RIGHT($BP245&amp;"",1)="N"),_xlpm.ok,(_xlpm.idx&gt;=_xlpm.i)*(_xlpm.vd&lt;=Cfg_VDFeeder)*(_xlpm.cm&gt;0)*ISNUMBER(_xlpm.sts)*(_xlpm.hasN=_xlpm.wantN),_xlpm.m,MIN(IF(_xlpm.ok=1,_xlpm.idx)),INDEX(_xlpm.codes,IF(_xlpm.m=0,_xlpm.i,_xlpm.m))),""))</f>
        <v/>
      </c>
      <c r="BY245" s="829" t="str" cm="1">
        <f t="array" ref="BY245">IF($BP245="","",IF($BX245="",$BU245,IFERROR(IF($BV245="AL",_xlfn.XLOOKUP($BX245,Std_Al3_Code,INDEX(Std_Al3_Table,0,2)),IF($G245=1,_xlfn.XLOOKUP($BX245,Std_Cu1_Code,INDEX(Std_Cu1_Table,0,2)),_xlfn.XLOOKUP($BX245,Std_Cu3_Code,INDEX(Std_Cu3_Table,0,2)))),"")))</f>
        <v/>
      </c>
      <c r="BZ245" s="829" t="str" cm="1">
        <f t="array" ref="BZ245">IF($BP245="","",IF($BX245="",$BR245,IFERROR(IF($BV245="AL",_xlfn.XLOOKUP($BX245,Std_Al3_Code,INDEX(Std_Al3_Table,0,4)),IF($G245=1,_xlfn.XLOOKUP($BX245,Std_Cu1_Code,INDEX(Std_Cu1_Table,0,4)),_xlfn.XLOOKUP($BX245,Std_Cu3_Code,INDEX(Std_Cu3_Table,0,4)))),"")))</f>
        <v/>
      </c>
      <c r="CA245" s="829" t="str" cm="1">
        <f t="array" ref="CA245">IF($BP245="","",IF($BX245="",$BQ245,IFERROR(IF($BV245="AL",_xlfn.XLOOKUP($BX245,Std_Al3_Code,INDEX(Std_Al3_Table,0,3)),IF($G245=1,_xlfn.XLOOKUP($BX245,Std_Cu1_Code,INDEX(Std_Cu1_Table,0,3)),_xlfn.XLOOKUP($BX245,Std_Cu3_Code,INDEX(Std_Cu3_Table,0,3)))),"")))</f>
        <v/>
      </c>
      <c r="CB245" s="829" t="str" cm="1">
        <f t="array" ref="CB245">IF($BP245="","",IF($BX245="",$BS245,IFERROR(IF($BV245="AL",_xlfn.XLOOKUP($BX245,Std_Al3_Code,INDEX(Std_Al3_Table,0,5)),IF($G245=1,_xlfn.XLOOKUP($BX245,Std_Cu1_Code,INDEX(Std_Cu1_Table,0,5)),_xlfn.XLOOKUP($BX245,Std_Cu3_Code,INDEX(Std_Cu3_Table,0,5)))),"")))</f>
        <v/>
      </c>
      <c r="CC245" s="829" t="str">
        <f t="shared" si="73"/>
        <v/>
      </c>
      <c r="CD245" s="829" t="str">
        <f t="shared" si="74"/>
        <v/>
      </c>
      <c r="CE245" s="829" t="str">
        <f t="shared" si="75"/>
        <v/>
      </c>
      <c r="CF245" s="829" t="str">
        <f t="shared" si="76"/>
        <v/>
      </c>
      <c r="CG245" s="829" t="str">
        <f t="shared" si="77"/>
        <v/>
      </c>
      <c r="CH245" s="829" t="str">
        <f t="shared" si="78"/>
        <v/>
      </c>
      <c r="CI245" s="829" t="str">
        <f t="shared" si="79"/>
        <v/>
      </c>
      <c r="CJ245" s="829" t="str" cm="1">
        <f t="array" ref="CJ245">IF($B245="","",_xlfn.LET(_xlpm.to,$D245&amp;"",_xlpm.em,IFERROR(INDEX(_xlfn.ANCHORARRAY($BE$4),ROW()-4,6),"")="EMERG",_xlpm.pri,AND(NOT(_xlpm.em),LEFT(_xlpm.to,2)="T-",ISNUMBER(MATCH(MID(_xlpm.to,3,99),Equip_List,0)),ISNA(MATCH(_xlpm.to,Equip_List,0))),IF(_xlpm.pri,MID(_xlpm.to,3,99),_xlpm.to)))</f>
        <v/>
      </c>
      <c r="CK245" s="829" t="str" cm="1">
        <f t="array" ref="CK245">IF($CJ245="","",IF(IFERROR(INDEX(_xlfn.ANCHORARRAY($BE$4),ROW()-4,6),"")="EMERG","E",IF($CJ245&lt;&gt;$D245&amp;"","P","N")))</f>
        <v/>
      </c>
    </row>
    <row r="246" spans="1:89" ht="15" customHeight="1" x14ac:dyDescent="0.35">
      <c r="A246" s="821" t="str">
        <f t="shared" si="67"/>
        <v/>
      </c>
      <c r="B246" s="821" t="str" cm="1">
        <f t="array" ref="B246">IFERROR(IF(INDEX(_xlfn.ANCHORARRAY($BE$4),ROW()-4,2)="","","F-"&amp;INDEX(_xlfn.ANCHORARRAY($BE$4),ROW()-4,2)&amp;IF(IFERROR(INDEX(_xlfn.ANCHORARRAY($BE$4),ROW()-4,6),"")="EMERG","-E","")),"")</f>
        <v/>
      </c>
      <c r="C246" s="821" t="str" cm="1">
        <f t="array" ref="C246">IFERROR(IF($B246="","",INDEX(_xlfn.ANCHORARRAY($BE$4),ROW()-4,1)),"")</f>
        <v/>
      </c>
      <c r="D246" s="821" t="str" cm="1">
        <f t="array" ref="D246">IFERROR(IF($B246="","",INDEX(_xlfn.ANCHORARRAY($BE$4),ROW()-4,2)),"")</f>
        <v/>
      </c>
      <c r="E246" s="806" t="str" cm="1">
        <f t="array" ref="E246">IFERROR(IF($B246="","",INDEX(_xlfn.ANCHORARRAY($BE$4),ROW()-4,3)),"")</f>
        <v/>
      </c>
      <c r="F246" s="822" t="str" cm="1">
        <f t="array" ref="F246">IFERROR(IF($B246="","",INDEX(_xlfn.ANCHORARRAY($BE$4),ROW()-4,4)),"")</f>
        <v/>
      </c>
      <c r="G246" s="823" t="str" cm="1">
        <f t="array" ref="G246">IFERROR(IF($B246="","",INDEX(_xlfn.ANCHORARRAY($BE$4),ROW()-4,5)),"")</f>
        <v/>
      </c>
      <c r="H246" s="824" t="str" cm="1">
        <f t="array" ref="H246">IF($CJ246="","",_xlfn.LET(_xlpm.v,_xlfn.XLOOKUP($CJ246,Equip_List,IF($CK246="E",Equip_EmLen,IF($CK246="P",Equip_XfPriLen,Equip_FdrLen)),""),IF(_xlpm.v="","",_xlpm.v)))</f>
        <v/>
      </c>
      <c r="I246" s="806" t="str">
        <f t="shared" si="60"/>
        <v/>
      </c>
      <c r="J246" s="820"/>
      <c r="K246" s="806" t="str">
        <f>_xlfn.LET(_xlpm.k,IF($I246="","",IF(COUNTIF(UPS!$B$57:$B$64,$C246&amp;"")&gt;0,1.25*MAX($I246,N(_xlfn.XLOOKUP($C246&amp;"",UPS!$B$57:$B$64,UPS!$M$57:$M$64,0))),IF(COUNTIF(UPS!$B$57:$B$64,$D246&amp;"")&gt;0,1.25*MAX($I246,N(_xlfn.XLOOKUP($D246&amp;"",UPS!$B$57:$B$64,UPS!$Q$57:$Q$64,0))),$I246*IF(OR(UPPER($J246)="Y",LEFT($C246,2)="T-",LEFT($D246,2)="T-"),1.25,1)))),IF(_xlpm.k="","",MAX(_xlpm.k,N(IFERROR(_xlfn.XLOOKUP($D246&amp;"",Dashboard!$A$101:$A$350,Dashboard!$O$101:$O$350,0),0)))))</f>
        <v/>
      </c>
      <c r="L246" s="825" t="str">
        <f>IF($CJ246="","",_xlfn.LET(_xlpm.v,UPPER(TRIM(_xlfn.XLOOKUP($CJ246,Equip_List,Equip_FdrMat,"")&amp;"")),IF(_xlpm.v="",UPPER(TRIM(Cfg_FeederMat&amp;"")),_xlpm.v)))</f>
        <v/>
      </c>
      <c r="M246" s="825" t="str">
        <f>IF($CJ246="","",_xlfn.LET(_xlpm.v,TRIM(_xlfn.XLOOKUP($CJ246,Equip_List,Equip_FdrRace,"")&amp;""),IF(_xlpm.v="",Cfg_Conduit&amp;"",_xlpm.v)))</f>
        <v/>
      </c>
      <c r="N246" s="825" t="str">
        <f>IF($CJ246="","",IF(UPPER(TRIM(_xlfn.XLOOKUP($CJ246,Equip_List,Equip_FdrExist,"")&amp;""))="Y","Y",""))</f>
        <v/>
      </c>
      <c r="O246" s="823" t="str">
        <f t="shared" si="68"/>
        <v/>
      </c>
      <c r="P246" s="821" t="str">
        <f t="shared" si="69"/>
        <v/>
      </c>
      <c r="Q246" s="821" t="str">
        <f t="shared" si="70"/>
        <v/>
      </c>
      <c r="R246" s="822" t="str" cm="1">
        <f t="array" ref="R246">IF(K246="","",INDEX(OCPD_List,MATCH(TRUE,OCPD_List&gt;=K246,0)))</f>
        <v/>
      </c>
      <c r="S246" s="821" t="str">
        <f t="shared" si="71"/>
        <v/>
      </c>
      <c r="T246" s="826" t="str">
        <f t="shared" si="61"/>
        <v/>
      </c>
      <c r="U246" s="826" t="str">
        <f t="shared" si="62"/>
        <v/>
      </c>
      <c r="V246" s="827" t="str">
        <f t="shared" si="63"/>
        <v/>
      </c>
      <c r="W246" s="828"/>
      <c r="X246" s="819"/>
      <c r="Y246" s="820"/>
      <c r="Z246" s="820"/>
      <c r="AA246" s="820"/>
      <c r="BN246" s="832" t="str">
        <f>IF($B246="","",IFERROR(_xlfn.XLOOKUP($D246,Dashboard!$A$101:$A$350,Dashboard!$C$101:$C$350),""))</f>
        <v/>
      </c>
      <c r="BO246" s="832" t="str">
        <f t="shared" si="64"/>
        <v/>
      </c>
      <c r="BP246" s="832" t="str" cm="1">
        <f t="array" ref="BP246">IF(OR($B246="",$R246="",NOT(ISNUMBER($R246))),"",IF(AND($BV246="AL",$G246=1),"",_xlfn.LET(_xlpm.codes,IF($BV246="AL",Std_Al3_Code,IF($G246=1,Std_Cu1_Code,Std_Cu3_Code)),_xlpm.amps,IFERROR(--SUBSTITUTE(_xlpm.codes&amp;"","N",""),""),_xlpm.a,MIN(IF(ISNUMBER(_xlpm.amps),IF(_xlpm.amps&gt;=$R246,_xlpm.amps,""),"")),_xlpm.k,IF(_xlpm.a=0,$R246,_xlpm.a),IF($BO246="Y",TEXT(_xlpm.k,"0")&amp;"N",_xlpm.k))))</f>
        <v/>
      </c>
      <c r="BQ246" s="832" t="str" cm="1">
        <f t="array" ref="BQ246">IF($BP246="","",IFERROR(IF($BV246="AL",_xlfn.XLOOKUP($BP246,Std_Al3_Code,INDEX(Std_Al3_Table,0,3)),IF($G246=1,_xlfn.XLOOKUP($BP246,Std_Cu1_Code,INDEX(Std_Cu1_Table,0,3)),_xlfn.XLOOKUP($BP246,Std_Cu3_Code,INDEX(Std_Cu3_Table,0,3)))),""))</f>
        <v/>
      </c>
      <c r="BR246" s="832" t="str" cm="1">
        <f t="array" ref="BR246">IF($BP246="","",IFERROR(IF($BV246="AL",_xlfn.XLOOKUP($BP246,Std_Al3_Code,INDEX(Std_Al3_Table,0,4)),IF($G246=1,_xlfn.XLOOKUP($BP246,Std_Cu1_Code,INDEX(Std_Cu1_Table,0,4)),_xlfn.XLOOKUP($BP246,Std_Cu3_Code,INDEX(Std_Cu3_Table,0,4)))),""))</f>
        <v/>
      </c>
      <c r="BS246" s="832" t="str" cm="1">
        <f t="array" ref="BS246">IF($BP246="","",IFERROR(IF($BV246="AL",_xlfn.XLOOKUP($BP246,Std_Al3_Code,INDEX(Std_Al3_Table,0,5)),IF($G246=1,_xlfn.XLOOKUP($BP246,Std_Cu1_Code,INDEX(Std_Cu1_Table,0,5)),_xlfn.XLOOKUP($BP246,Std_Cu3_Code,INDEX(Std_Cu3_Table,0,5)))),""))</f>
        <v/>
      </c>
      <c r="BT246" s="832" t="str">
        <f t="shared" si="65"/>
        <v/>
      </c>
      <c r="BU246" s="832" t="str" cm="1">
        <f t="array" ref="BU246">IF($BP246="","",IFERROR(IF($BV246="AL",_xlfn.XLOOKUP($BP246,Std_Al3_Code,INDEX(Std_Al3_Table,0,2)),IF($G246=1,_xlfn.XLOOKUP($BP246,Std_Cu1_Code,INDEX(Std_Cu1_Table,0,2)),_xlfn.XLOOKUP($BP246,Std_Cu3_Code,INDEX(Std_Cu3_Table,0,2)))),""))</f>
        <v/>
      </c>
      <c r="BV246" s="829" t="str">
        <f t="shared" si="66"/>
        <v/>
      </c>
      <c r="BW246" s="829" t="str">
        <f t="shared" si="72"/>
        <v/>
      </c>
      <c r="BX246" s="829" t="str" cm="1">
        <f t="array" ref="BX246">IF(OR($BP246="",$H246="",$I246="",$F246="",$BW246=""),"",IFERROR(_xlfn.LET(_xlpm.codes,IF($BV246="AL",Std_Al3_Code,IF($G246=1,Std_Cu1_Code,Std_Cu3_Code)),_xlpm.tbl,IF($BV246="AL",Std_Al3_Table,IF($G246=1,Std_Cu1_Table,Std_Cu3_Table)),_xlpm.i,MATCH($BP246,_xlpm.codes,0),_xlpm.idx,_xlfn.SEQUENCE(ROWS(_xlpm.codes)),_xlpm.cnd,INDEX(_xlpm.tbl,0,4),_xlpm.sts,INDEX(_xlpm.tbl,0,2),_xlpm.sz,IFERROR(_xlfn.TEXTBEFORE(_xlfn.TEXTAFTER(_xlpm.cnd,"#"),","),IFERROR(_xlfn.TEXTAFTER(_xlpm.cnd,"#"),"")),_xlpm.cm,IFERROR(_xlfn.XLOOKUP(TRIM(_xlpm.sz),Ampacity_Size,Ampacity_CM),0),_xlpm.mult,IF($G246=3,SQRT3,2),_xlpm.kk,IF($BV246="AL",K_Al,K_Cu),_xlpm.vd,IF(_xlpm.cm*IF(ISNUMBER(_xlpm.sts),_xlpm.sts,0)=0,9,_xlpm.mult*_xlpm.kk*$I246*$H246/(_xlpm.cm*_xlpm.sts)/$F246),_xlpm.hasN,--(RIGHT(_xlpm.codes&amp;"",1)="N"),_xlpm.wantN,--(RIGHT($BP246&amp;"",1)="N"),_xlpm.ok,(_xlpm.idx&gt;=_xlpm.i)*(_xlpm.vd&lt;=Cfg_VDFeeder)*(_xlpm.cm&gt;0)*ISNUMBER(_xlpm.sts)*(_xlpm.hasN=_xlpm.wantN),_xlpm.m,MIN(IF(_xlpm.ok=1,_xlpm.idx)),INDEX(_xlpm.codes,IF(_xlpm.m=0,_xlpm.i,_xlpm.m))),""))</f>
        <v/>
      </c>
      <c r="BY246" s="829" t="str" cm="1">
        <f t="array" ref="BY246">IF($BP246="","",IF($BX246="",$BU246,IFERROR(IF($BV246="AL",_xlfn.XLOOKUP($BX246,Std_Al3_Code,INDEX(Std_Al3_Table,0,2)),IF($G246=1,_xlfn.XLOOKUP($BX246,Std_Cu1_Code,INDEX(Std_Cu1_Table,0,2)),_xlfn.XLOOKUP($BX246,Std_Cu3_Code,INDEX(Std_Cu3_Table,0,2)))),"")))</f>
        <v/>
      </c>
      <c r="BZ246" s="829" t="str" cm="1">
        <f t="array" ref="BZ246">IF($BP246="","",IF($BX246="",$BR246,IFERROR(IF($BV246="AL",_xlfn.XLOOKUP($BX246,Std_Al3_Code,INDEX(Std_Al3_Table,0,4)),IF($G246=1,_xlfn.XLOOKUP($BX246,Std_Cu1_Code,INDEX(Std_Cu1_Table,0,4)),_xlfn.XLOOKUP($BX246,Std_Cu3_Code,INDEX(Std_Cu3_Table,0,4)))),"")))</f>
        <v/>
      </c>
      <c r="CA246" s="829" t="str" cm="1">
        <f t="array" ref="CA246">IF($BP246="","",IF($BX246="",$BQ246,IFERROR(IF($BV246="AL",_xlfn.XLOOKUP($BX246,Std_Al3_Code,INDEX(Std_Al3_Table,0,3)),IF($G246=1,_xlfn.XLOOKUP($BX246,Std_Cu1_Code,INDEX(Std_Cu1_Table,0,3)),_xlfn.XLOOKUP($BX246,Std_Cu3_Code,INDEX(Std_Cu3_Table,0,3)))),"")))</f>
        <v/>
      </c>
      <c r="CB246" s="829" t="str" cm="1">
        <f t="array" ref="CB246">IF($BP246="","",IF($BX246="",$BS246,IFERROR(IF($BV246="AL",_xlfn.XLOOKUP($BX246,Std_Al3_Code,INDEX(Std_Al3_Table,0,5)),IF($G246=1,_xlfn.XLOOKUP($BX246,Std_Cu1_Code,INDEX(Std_Cu1_Table,0,5)),_xlfn.XLOOKUP($BX246,Std_Cu3_Code,INDEX(Std_Cu3_Table,0,5)))),"")))</f>
        <v/>
      </c>
      <c r="CC246" s="829" t="str">
        <f t="shared" si="73"/>
        <v/>
      </c>
      <c r="CD246" s="829" t="str">
        <f t="shared" si="74"/>
        <v/>
      </c>
      <c r="CE246" s="829" t="str">
        <f t="shared" si="75"/>
        <v/>
      </c>
      <c r="CF246" s="829" t="str">
        <f t="shared" si="76"/>
        <v/>
      </c>
      <c r="CG246" s="829" t="str">
        <f t="shared" si="77"/>
        <v/>
      </c>
      <c r="CH246" s="829" t="str">
        <f t="shared" si="78"/>
        <v/>
      </c>
      <c r="CI246" s="829" t="str">
        <f t="shared" si="79"/>
        <v/>
      </c>
      <c r="CJ246" s="829" t="str" cm="1">
        <f t="array" ref="CJ246">IF($B246="","",_xlfn.LET(_xlpm.to,$D246&amp;"",_xlpm.em,IFERROR(INDEX(_xlfn.ANCHORARRAY($BE$4),ROW()-4,6),"")="EMERG",_xlpm.pri,AND(NOT(_xlpm.em),LEFT(_xlpm.to,2)="T-",ISNUMBER(MATCH(MID(_xlpm.to,3,99),Equip_List,0)),ISNA(MATCH(_xlpm.to,Equip_List,0))),IF(_xlpm.pri,MID(_xlpm.to,3,99),_xlpm.to)))</f>
        <v/>
      </c>
      <c r="CK246" s="829" t="str" cm="1">
        <f t="array" ref="CK246">IF($CJ246="","",IF(IFERROR(INDEX(_xlfn.ANCHORARRAY($BE$4),ROW()-4,6),"")="EMERG","E",IF($CJ246&lt;&gt;$D246&amp;"","P","N")))</f>
        <v/>
      </c>
    </row>
    <row r="247" spans="1:89" ht="15" customHeight="1" x14ac:dyDescent="0.35">
      <c r="A247" s="821" t="str">
        <f t="shared" si="67"/>
        <v/>
      </c>
      <c r="B247" s="821" t="str" cm="1">
        <f t="array" ref="B247">IFERROR(IF(INDEX(_xlfn.ANCHORARRAY($BE$4),ROW()-4,2)="","","F-"&amp;INDEX(_xlfn.ANCHORARRAY($BE$4),ROW()-4,2)&amp;IF(IFERROR(INDEX(_xlfn.ANCHORARRAY($BE$4),ROW()-4,6),"")="EMERG","-E","")),"")</f>
        <v/>
      </c>
      <c r="C247" s="821" t="str" cm="1">
        <f t="array" ref="C247">IFERROR(IF($B247="","",INDEX(_xlfn.ANCHORARRAY($BE$4),ROW()-4,1)),"")</f>
        <v/>
      </c>
      <c r="D247" s="821" t="str" cm="1">
        <f t="array" ref="D247">IFERROR(IF($B247="","",INDEX(_xlfn.ANCHORARRAY($BE$4),ROW()-4,2)),"")</f>
        <v/>
      </c>
      <c r="E247" s="806" t="str" cm="1">
        <f t="array" ref="E247">IFERROR(IF($B247="","",INDEX(_xlfn.ANCHORARRAY($BE$4),ROW()-4,3)),"")</f>
        <v/>
      </c>
      <c r="F247" s="822" t="str" cm="1">
        <f t="array" ref="F247">IFERROR(IF($B247="","",INDEX(_xlfn.ANCHORARRAY($BE$4),ROW()-4,4)),"")</f>
        <v/>
      </c>
      <c r="G247" s="823" t="str" cm="1">
        <f t="array" ref="G247">IFERROR(IF($B247="","",INDEX(_xlfn.ANCHORARRAY($BE$4),ROW()-4,5)),"")</f>
        <v/>
      </c>
      <c r="H247" s="824" t="str" cm="1">
        <f t="array" ref="H247">IF($CJ247="","",_xlfn.LET(_xlpm.v,_xlfn.XLOOKUP($CJ247,Equip_List,IF($CK247="E",Equip_EmLen,IF($CK247="P",Equip_XfPriLen,Equip_FdrLen)),""),IF(_xlpm.v="","",_xlpm.v)))</f>
        <v/>
      </c>
      <c r="I247" s="806" t="str">
        <f t="shared" si="60"/>
        <v/>
      </c>
      <c r="J247" s="820"/>
      <c r="K247" s="806" t="str">
        <f>_xlfn.LET(_xlpm.k,IF($I247="","",IF(COUNTIF(UPS!$B$57:$B$64,$C247&amp;"")&gt;0,1.25*MAX($I247,N(_xlfn.XLOOKUP($C247&amp;"",UPS!$B$57:$B$64,UPS!$M$57:$M$64,0))),IF(COUNTIF(UPS!$B$57:$B$64,$D247&amp;"")&gt;0,1.25*MAX($I247,N(_xlfn.XLOOKUP($D247&amp;"",UPS!$B$57:$B$64,UPS!$Q$57:$Q$64,0))),$I247*IF(OR(UPPER($J247)="Y",LEFT($C247,2)="T-",LEFT($D247,2)="T-"),1.25,1)))),IF(_xlpm.k="","",MAX(_xlpm.k,N(IFERROR(_xlfn.XLOOKUP($D247&amp;"",Dashboard!$A$101:$A$350,Dashboard!$O$101:$O$350,0),0)))))</f>
        <v/>
      </c>
      <c r="L247" s="825" t="str">
        <f>IF($CJ247="","",_xlfn.LET(_xlpm.v,UPPER(TRIM(_xlfn.XLOOKUP($CJ247,Equip_List,Equip_FdrMat,"")&amp;"")),IF(_xlpm.v="",UPPER(TRIM(Cfg_FeederMat&amp;"")),_xlpm.v)))</f>
        <v/>
      </c>
      <c r="M247" s="825" t="str">
        <f>IF($CJ247="","",_xlfn.LET(_xlpm.v,TRIM(_xlfn.XLOOKUP($CJ247,Equip_List,Equip_FdrRace,"")&amp;""),IF(_xlpm.v="",Cfg_Conduit&amp;"",_xlpm.v)))</f>
        <v/>
      </c>
      <c r="N247" s="825" t="str">
        <f>IF($CJ247="","",IF(UPPER(TRIM(_xlfn.XLOOKUP($CJ247,Equip_List,Equip_FdrExist,"")&amp;""))="Y","Y",""))</f>
        <v/>
      </c>
      <c r="O247" s="823" t="str">
        <f t="shared" si="68"/>
        <v/>
      </c>
      <c r="P247" s="821" t="str">
        <f t="shared" si="69"/>
        <v/>
      </c>
      <c r="Q247" s="821" t="str">
        <f t="shared" si="70"/>
        <v/>
      </c>
      <c r="R247" s="822" t="str" cm="1">
        <f t="array" ref="R247">IF(K247="","",INDEX(OCPD_List,MATCH(TRUE,OCPD_List&gt;=K247,0)))</f>
        <v/>
      </c>
      <c r="S247" s="821" t="str">
        <f t="shared" si="71"/>
        <v/>
      </c>
      <c r="T247" s="826" t="str">
        <f t="shared" si="61"/>
        <v/>
      </c>
      <c r="U247" s="826" t="str">
        <f t="shared" si="62"/>
        <v/>
      </c>
      <c r="V247" s="827" t="str">
        <f t="shared" si="63"/>
        <v/>
      </c>
      <c r="W247" s="828"/>
      <c r="X247" s="819"/>
      <c r="Y247" s="820"/>
      <c r="Z247" s="820"/>
      <c r="AA247" s="820"/>
      <c r="BN247" s="832" t="str">
        <f>IF($B247="","",IFERROR(_xlfn.XLOOKUP($D247,Dashboard!$A$101:$A$350,Dashboard!$C$101:$C$350),""))</f>
        <v/>
      </c>
      <c r="BO247" s="832" t="str">
        <f t="shared" si="64"/>
        <v/>
      </c>
      <c r="BP247" s="832" t="str" cm="1">
        <f t="array" ref="BP247">IF(OR($B247="",$R247="",NOT(ISNUMBER($R247))),"",IF(AND($BV247="AL",$G247=1),"",_xlfn.LET(_xlpm.codes,IF($BV247="AL",Std_Al3_Code,IF($G247=1,Std_Cu1_Code,Std_Cu3_Code)),_xlpm.amps,IFERROR(--SUBSTITUTE(_xlpm.codes&amp;"","N",""),""),_xlpm.a,MIN(IF(ISNUMBER(_xlpm.amps),IF(_xlpm.amps&gt;=$R247,_xlpm.amps,""),"")),_xlpm.k,IF(_xlpm.a=0,$R247,_xlpm.a),IF($BO247="Y",TEXT(_xlpm.k,"0")&amp;"N",_xlpm.k))))</f>
        <v/>
      </c>
      <c r="BQ247" s="832" t="str" cm="1">
        <f t="array" ref="BQ247">IF($BP247="","",IFERROR(IF($BV247="AL",_xlfn.XLOOKUP($BP247,Std_Al3_Code,INDEX(Std_Al3_Table,0,3)),IF($G247=1,_xlfn.XLOOKUP($BP247,Std_Cu1_Code,INDEX(Std_Cu1_Table,0,3)),_xlfn.XLOOKUP($BP247,Std_Cu3_Code,INDEX(Std_Cu3_Table,0,3)))),""))</f>
        <v/>
      </c>
      <c r="BR247" s="832" t="str" cm="1">
        <f t="array" ref="BR247">IF($BP247="","",IFERROR(IF($BV247="AL",_xlfn.XLOOKUP($BP247,Std_Al3_Code,INDEX(Std_Al3_Table,0,4)),IF($G247=1,_xlfn.XLOOKUP($BP247,Std_Cu1_Code,INDEX(Std_Cu1_Table,0,4)),_xlfn.XLOOKUP($BP247,Std_Cu3_Code,INDEX(Std_Cu3_Table,0,4)))),""))</f>
        <v/>
      </c>
      <c r="BS247" s="832" t="str" cm="1">
        <f t="array" ref="BS247">IF($BP247="","",IFERROR(IF($BV247="AL",_xlfn.XLOOKUP($BP247,Std_Al3_Code,INDEX(Std_Al3_Table,0,5)),IF($G247=1,_xlfn.XLOOKUP($BP247,Std_Cu1_Code,INDEX(Std_Cu1_Table,0,5)),_xlfn.XLOOKUP($BP247,Std_Cu3_Code,INDEX(Std_Cu3_Table,0,5)))),""))</f>
        <v/>
      </c>
      <c r="BT247" s="832" t="str">
        <f t="shared" si="65"/>
        <v/>
      </c>
      <c r="BU247" s="832" t="str" cm="1">
        <f t="array" ref="BU247">IF($BP247="","",IFERROR(IF($BV247="AL",_xlfn.XLOOKUP($BP247,Std_Al3_Code,INDEX(Std_Al3_Table,0,2)),IF($G247=1,_xlfn.XLOOKUP($BP247,Std_Cu1_Code,INDEX(Std_Cu1_Table,0,2)),_xlfn.XLOOKUP($BP247,Std_Cu3_Code,INDEX(Std_Cu3_Table,0,2)))),""))</f>
        <v/>
      </c>
      <c r="BV247" s="829" t="str">
        <f t="shared" si="66"/>
        <v/>
      </c>
      <c r="BW247" s="829" t="str">
        <f t="shared" si="72"/>
        <v/>
      </c>
      <c r="BX247" s="829" t="str" cm="1">
        <f t="array" ref="BX247">IF(OR($BP247="",$H247="",$I247="",$F247="",$BW247=""),"",IFERROR(_xlfn.LET(_xlpm.codes,IF($BV247="AL",Std_Al3_Code,IF($G247=1,Std_Cu1_Code,Std_Cu3_Code)),_xlpm.tbl,IF($BV247="AL",Std_Al3_Table,IF($G247=1,Std_Cu1_Table,Std_Cu3_Table)),_xlpm.i,MATCH($BP247,_xlpm.codes,0),_xlpm.idx,_xlfn.SEQUENCE(ROWS(_xlpm.codes)),_xlpm.cnd,INDEX(_xlpm.tbl,0,4),_xlpm.sts,INDEX(_xlpm.tbl,0,2),_xlpm.sz,IFERROR(_xlfn.TEXTBEFORE(_xlfn.TEXTAFTER(_xlpm.cnd,"#"),","),IFERROR(_xlfn.TEXTAFTER(_xlpm.cnd,"#"),"")),_xlpm.cm,IFERROR(_xlfn.XLOOKUP(TRIM(_xlpm.sz),Ampacity_Size,Ampacity_CM),0),_xlpm.mult,IF($G247=3,SQRT3,2),_xlpm.kk,IF($BV247="AL",K_Al,K_Cu),_xlpm.vd,IF(_xlpm.cm*IF(ISNUMBER(_xlpm.sts),_xlpm.sts,0)=0,9,_xlpm.mult*_xlpm.kk*$I247*$H247/(_xlpm.cm*_xlpm.sts)/$F247),_xlpm.hasN,--(RIGHT(_xlpm.codes&amp;"",1)="N"),_xlpm.wantN,--(RIGHT($BP247&amp;"",1)="N"),_xlpm.ok,(_xlpm.idx&gt;=_xlpm.i)*(_xlpm.vd&lt;=Cfg_VDFeeder)*(_xlpm.cm&gt;0)*ISNUMBER(_xlpm.sts)*(_xlpm.hasN=_xlpm.wantN),_xlpm.m,MIN(IF(_xlpm.ok=1,_xlpm.idx)),INDEX(_xlpm.codes,IF(_xlpm.m=0,_xlpm.i,_xlpm.m))),""))</f>
        <v/>
      </c>
      <c r="BY247" s="829" t="str" cm="1">
        <f t="array" ref="BY247">IF($BP247="","",IF($BX247="",$BU247,IFERROR(IF($BV247="AL",_xlfn.XLOOKUP($BX247,Std_Al3_Code,INDEX(Std_Al3_Table,0,2)),IF($G247=1,_xlfn.XLOOKUP($BX247,Std_Cu1_Code,INDEX(Std_Cu1_Table,0,2)),_xlfn.XLOOKUP($BX247,Std_Cu3_Code,INDEX(Std_Cu3_Table,0,2)))),"")))</f>
        <v/>
      </c>
      <c r="BZ247" s="829" t="str" cm="1">
        <f t="array" ref="BZ247">IF($BP247="","",IF($BX247="",$BR247,IFERROR(IF($BV247="AL",_xlfn.XLOOKUP($BX247,Std_Al3_Code,INDEX(Std_Al3_Table,0,4)),IF($G247=1,_xlfn.XLOOKUP($BX247,Std_Cu1_Code,INDEX(Std_Cu1_Table,0,4)),_xlfn.XLOOKUP($BX247,Std_Cu3_Code,INDEX(Std_Cu3_Table,0,4)))),"")))</f>
        <v/>
      </c>
      <c r="CA247" s="829" t="str" cm="1">
        <f t="array" ref="CA247">IF($BP247="","",IF($BX247="",$BQ247,IFERROR(IF($BV247="AL",_xlfn.XLOOKUP($BX247,Std_Al3_Code,INDEX(Std_Al3_Table,0,3)),IF($G247=1,_xlfn.XLOOKUP($BX247,Std_Cu1_Code,INDEX(Std_Cu1_Table,0,3)),_xlfn.XLOOKUP($BX247,Std_Cu3_Code,INDEX(Std_Cu3_Table,0,3)))),"")))</f>
        <v/>
      </c>
      <c r="CB247" s="829" t="str" cm="1">
        <f t="array" ref="CB247">IF($BP247="","",IF($BX247="",$BS247,IFERROR(IF($BV247="AL",_xlfn.XLOOKUP($BX247,Std_Al3_Code,INDEX(Std_Al3_Table,0,5)),IF($G247=1,_xlfn.XLOOKUP($BX247,Std_Cu1_Code,INDEX(Std_Cu1_Table,0,5)),_xlfn.XLOOKUP($BX247,Std_Cu3_Code,INDEX(Std_Cu3_Table,0,5)))),"")))</f>
        <v/>
      </c>
      <c r="CC247" s="829" t="str">
        <f t="shared" si="73"/>
        <v/>
      </c>
      <c r="CD247" s="829" t="str">
        <f t="shared" si="74"/>
        <v/>
      </c>
      <c r="CE247" s="829" t="str">
        <f t="shared" si="75"/>
        <v/>
      </c>
      <c r="CF247" s="829" t="str">
        <f t="shared" si="76"/>
        <v/>
      </c>
      <c r="CG247" s="829" t="str">
        <f t="shared" si="77"/>
        <v/>
      </c>
      <c r="CH247" s="829" t="str">
        <f t="shared" si="78"/>
        <v/>
      </c>
      <c r="CI247" s="829" t="str">
        <f t="shared" si="79"/>
        <v/>
      </c>
      <c r="CJ247" s="829" t="str" cm="1">
        <f t="array" ref="CJ247">IF($B247="","",_xlfn.LET(_xlpm.to,$D247&amp;"",_xlpm.em,IFERROR(INDEX(_xlfn.ANCHORARRAY($BE$4),ROW()-4,6),"")="EMERG",_xlpm.pri,AND(NOT(_xlpm.em),LEFT(_xlpm.to,2)="T-",ISNUMBER(MATCH(MID(_xlpm.to,3,99),Equip_List,0)),ISNA(MATCH(_xlpm.to,Equip_List,0))),IF(_xlpm.pri,MID(_xlpm.to,3,99),_xlpm.to)))</f>
        <v/>
      </c>
      <c r="CK247" s="829" t="str" cm="1">
        <f t="array" ref="CK247">IF($CJ247="","",IF(IFERROR(INDEX(_xlfn.ANCHORARRAY($BE$4),ROW()-4,6),"")="EMERG","E",IF($CJ247&lt;&gt;$D247&amp;"","P","N")))</f>
        <v/>
      </c>
    </row>
    <row r="248" spans="1:89" ht="15" customHeight="1" x14ac:dyDescent="0.35">
      <c r="A248" s="821" t="str">
        <f t="shared" si="67"/>
        <v/>
      </c>
      <c r="B248" s="821" t="str" cm="1">
        <f t="array" ref="B248">IFERROR(IF(INDEX(_xlfn.ANCHORARRAY($BE$4),ROW()-4,2)="","","F-"&amp;INDEX(_xlfn.ANCHORARRAY($BE$4),ROW()-4,2)&amp;IF(IFERROR(INDEX(_xlfn.ANCHORARRAY($BE$4),ROW()-4,6),"")="EMERG","-E","")),"")</f>
        <v/>
      </c>
      <c r="C248" s="821" t="str" cm="1">
        <f t="array" ref="C248">IFERROR(IF($B248="","",INDEX(_xlfn.ANCHORARRAY($BE$4),ROW()-4,1)),"")</f>
        <v/>
      </c>
      <c r="D248" s="821" t="str" cm="1">
        <f t="array" ref="D248">IFERROR(IF($B248="","",INDEX(_xlfn.ANCHORARRAY($BE$4),ROW()-4,2)),"")</f>
        <v/>
      </c>
      <c r="E248" s="806" t="str" cm="1">
        <f t="array" ref="E248">IFERROR(IF($B248="","",INDEX(_xlfn.ANCHORARRAY($BE$4),ROW()-4,3)),"")</f>
        <v/>
      </c>
      <c r="F248" s="822" t="str" cm="1">
        <f t="array" ref="F248">IFERROR(IF($B248="","",INDEX(_xlfn.ANCHORARRAY($BE$4),ROW()-4,4)),"")</f>
        <v/>
      </c>
      <c r="G248" s="823" t="str" cm="1">
        <f t="array" ref="G248">IFERROR(IF($B248="","",INDEX(_xlfn.ANCHORARRAY($BE$4),ROW()-4,5)),"")</f>
        <v/>
      </c>
      <c r="H248" s="824" t="str" cm="1">
        <f t="array" ref="H248">IF($CJ248="","",_xlfn.LET(_xlpm.v,_xlfn.XLOOKUP($CJ248,Equip_List,IF($CK248="E",Equip_EmLen,IF($CK248="P",Equip_XfPriLen,Equip_FdrLen)),""),IF(_xlpm.v="","",_xlpm.v)))</f>
        <v/>
      </c>
      <c r="I248" s="806" t="str">
        <f t="shared" si="60"/>
        <v/>
      </c>
      <c r="J248" s="820"/>
      <c r="K248" s="806" t="str">
        <f>_xlfn.LET(_xlpm.k,IF($I248="","",IF(COUNTIF(UPS!$B$57:$B$64,$C248&amp;"")&gt;0,1.25*MAX($I248,N(_xlfn.XLOOKUP($C248&amp;"",UPS!$B$57:$B$64,UPS!$M$57:$M$64,0))),IF(COUNTIF(UPS!$B$57:$B$64,$D248&amp;"")&gt;0,1.25*MAX($I248,N(_xlfn.XLOOKUP($D248&amp;"",UPS!$B$57:$B$64,UPS!$Q$57:$Q$64,0))),$I248*IF(OR(UPPER($J248)="Y",LEFT($C248,2)="T-",LEFT($D248,2)="T-"),1.25,1)))),IF(_xlpm.k="","",MAX(_xlpm.k,N(IFERROR(_xlfn.XLOOKUP($D248&amp;"",Dashboard!$A$101:$A$350,Dashboard!$O$101:$O$350,0),0)))))</f>
        <v/>
      </c>
      <c r="L248" s="825" t="str">
        <f>IF($CJ248="","",_xlfn.LET(_xlpm.v,UPPER(TRIM(_xlfn.XLOOKUP($CJ248,Equip_List,Equip_FdrMat,"")&amp;"")),IF(_xlpm.v="",UPPER(TRIM(Cfg_FeederMat&amp;"")),_xlpm.v)))</f>
        <v/>
      </c>
      <c r="M248" s="825" t="str">
        <f>IF($CJ248="","",_xlfn.LET(_xlpm.v,TRIM(_xlfn.XLOOKUP($CJ248,Equip_List,Equip_FdrRace,"")&amp;""),IF(_xlpm.v="",Cfg_Conduit&amp;"",_xlpm.v)))</f>
        <v/>
      </c>
      <c r="N248" s="825" t="str">
        <f>IF($CJ248="","",IF(UPPER(TRIM(_xlfn.XLOOKUP($CJ248,Equip_List,Equip_FdrExist,"")&amp;""))="Y","Y",""))</f>
        <v/>
      </c>
      <c r="O248" s="823" t="str">
        <f t="shared" si="68"/>
        <v/>
      </c>
      <c r="P248" s="821" t="str">
        <f t="shared" si="69"/>
        <v/>
      </c>
      <c r="Q248" s="821" t="str">
        <f t="shared" si="70"/>
        <v/>
      </c>
      <c r="R248" s="822" t="str" cm="1">
        <f t="array" ref="R248">IF(K248="","",INDEX(OCPD_List,MATCH(TRUE,OCPD_List&gt;=K248,0)))</f>
        <v/>
      </c>
      <c r="S248" s="821" t="str">
        <f t="shared" si="71"/>
        <v/>
      </c>
      <c r="T248" s="826" t="str">
        <f t="shared" si="61"/>
        <v/>
      </c>
      <c r="U248" s="826" t="str">
        <f t="shared" si="62"/>
        <v/>
      </c>
      <c r="V248" s="827" t="str">
        <f t="shared" si="63"/>
        <v/>
      </c>
      <c r="W248" s="828"/>
      <c r="X248" s="819"/>
      <c r="Y248" s="820"/>
      <c r="Z248" s="820"/>
      <c r="AA248" s="820"/>
      <c r="BN248" s="832" t="str">
        <f>IF($B248="","",IFERROR(_xlfn.XLOOKUP($D248,Dashboard!$A$101:$A$350,Dashboard!$C$101:$C$350),""))</f>
        <v/>
      </c>
      <c r="BO248" s="832" t="str">
        <f t="shared" si="64"/>
        <v/>
      </c>
      <c r="BP248" s="832" t="str" cm="1">
        <f t="array" ref="BP248">IF(OR($B248="",$R248="",NOT(ISNUMBER($R248))),"",IF(AND($BV248="AL",$G248=1),"",_xlfn.LET(_xlpm.codes,IF($BV248="AL",Std_Al3_Code,IF($G248=1,Std_Cu1_Code,Std_Cu3_Code)),_xlpm.amps,IFERROR(--SUBSTITUTE(_xlpm.codes&amp;"","N",""),""),_xlpm.a,MIN(IF(ISNUMBER(_xlpm.amps),IF(_xlpm.amps&gt;=$R248,_xlpm.amps,""),"")),_xlpm.k,IF(_xlpm.a=0,$R248,_xlpm.a),IF($BO248="Y",TEXT(_xlpm.k,"0")&amp;"N",_xlpm.k))))</f>
        <v/>
      </c>
      <c r="BQ248" s="832" t="str" cm="1">
        <f t="array" ref="BQ248">IF($BP248="","",IFERROR(IF($BV248="AL",_xlfn.XLOOKUP($BP248,Std_Al3_Code,INDEX(Std_Al3_Table,0,3)),IF($G248=1,_xlfn.XLOOKUP($BP248,Std_Cu1_Code,INDEX(Std_Cu1_Table,0,3)),_xlfn.XLOOKUP($BP248,Std_Cu3_Code,INDEX(Std_Cu3_Table,0,3)))),""))</f>
        <v/>
      </c>
      <c r="BR248" s="832" t="str" cm="1">
        <f t="array" ref="BR248">IF($BP248="","",IFERROR(IF($BV248="AL",_xlfn.XLOOKUP($BP248,Std_Al3_Code,INDEX(Std_Al3_Table,0,4)),IF($G248=1,_xlfn.XLOOKUP($BP248,Std_Cu1_Code,INDEX(Std_Cu1_Table,0,4)),_xlfn.XLOOKUP($BP248,Std_Cu3_Code,INDEX(Std_Cu3_Table,0,4)))),""))</f>
        <v/>
      </c>
      <c r="BS248" s="832" t="str" cm="1">
        <f t="array" ref="BS248">IF($BP248="","",IFERROR(IF($BV248="AL",_xlfn.XLOOKUP($BP248,Std_Al3_Code,INDEX(Std_Al3_Table,0,5)),IF($G248=1,_xlfn.XLOOKUP($BP248,Std_Cu1_Code,INDEX(Std_Cu1_Table,0,5)),_xlfn.XLOOKUP($BP248,Std_Cu3_Code,INDEX(Std_Cu3_Table,0,5)))),""))</f>
        <v/>
      </c>
      <c r="BT248" s="832" t="str">
        <f t="shared" si="65"/>
        <v/>
      </c>
      <c r="BU248" s="832" t="str" cm="1">
        <f t="array" ref="BU248">IF($BP248="","",IFERROR(IF($BV248="AL",_xlfn.XLOOKUP($BP248,Std_Al3_Code,INDEX(Std_Al3_Table,0,2)),IF($G248=1,_xlfn.XLOOKUP($BP248,Std_Cu1_Code,INDEX(Std_Cu1_Table,0,2)),_xlfn.XLOOKUP($BP248,Std_Cu3_Code,INDEX(Std_Cu3_Table,0,2)))),""))</f>
        <v/>
      </c>
      <c r="BV248" s="829" t="str">
        <f t="shared" si="66"/>
        <v/>
      </c>
      <c r="BW248" s="829" t="str">
        <f t="shared" si="72"/>
        <v/>
      </c>
      <c r="BX248" s="829" t="str" cm="1">
        <f t="array" ref="BX248">IF(OR($BP248="",$H248="",$I248="",$F248="",$BW248=""),"",IFERROR(_xlfn.LET(_xlpm.codes,IF($BV248="AL",Std_Al3_Code,IF($G248=1,Std_Cu1_Code,Std_Cu3_Code)),_xlpm.tbl,IF($BV248="AL",Std_Al3_Table,IF($G248=1,Std_Cu1_Table,Std_Cu3_Table)),_xlpm.i,MATCH($BP248,_xlpm.codes,0),_xlpm.idx,_xlfn.SEQUENCE(ROWS(_xlpm.codes)),_xlpm.cnd,INDEX(_xlpm.tbl,0,4),_xlpm.sts,INDEX(_xlpm.tbl,0,2),_xlpm.sz,IFERROR(_xlfn.TEXTBEFORE(_xlfn.TEXTAFTER(_xlpm.cnd,"#"),","),IFERROR(_xlfn.TEXTAFTER(_xlpm.cnd,"#"),"")),_xlpm.cm,IFERROR(_xlfn.XLOOKUP(TRIM(_xlpm.sz),Ampacity_Size,Ampacity_CM),0),_xlpm.mult,IF($G248=3,SQRT3,2),_xlpm.kk,IF($BV248="AL",K_Al,K_Cu),_xlpm.vd,IF(_xlpm.cm*IF(ISNUMBER(_xlpm.sts),_xlpm.sts,0)=0,9,_xlpm.mult*_xlpm.kk*$I248*$H248/(_xlpm.cm*_xlpm.sts)/$F248),_xlpm.hasN,--(RIGHT(_xlpm.codes&amp;"",1)="N"),_xlpm.wantN,--(RIGHT($BP248&amp;"",1)="N"),_xlpm.ok,(_xlpm.idx&gt;=_xlpm.i)*(_xlpm.vd&lt;=Cfg_VDFeeder)*(_xlpm.cm&gt;0)*ISNUMBER(_xlpm.sts)*(_xlpm.hasN=_xlpm.wantN),_xlpm.m,MIN(IF(_xlpm.ok=1,_xlpm.idx)),INDEX(_xlpm.codes,IF(_xlpm.m=0,_xlpm.i,_xlpm.m))),""))</f>
        <v/>
      </c>
      <c r="BY248" s="829" t="str" cm="1">
        <f t="array" ref="BY248">IF($BP248="","",IF($BX248="",$BU248,IFERROR(IF($BV248="AL",_xlfn.XLOOKUP($BX248,Std_Al3_Code,INDEX(Std_Al3_Table,0,2)),IF($G248=1,_xlfn.XLOOKUP($BX248,Std_Cu1_Code,INDEX(Std_Cu1_Table,0,2)),_xlfn.XLOOKUP($BX248,Std_Cu3_Code,INDEX(Std_Cu3_Table,0,2)))),"")))</f>
        <v/>
      </c>
      <c r="BZ248" s="829" t="str" cm="1">
        <f t="array" ref="BZ248">IF($BP248="","",IF($BX248="",$BR248,IFERROR(IF($BV248="AL",_xlfn.XLOOKUP($BX248,Std_Al3_Code,INDEX(Std_Al3_Table,0,4)),IF($G248=1,_xlfn.XLOOKUP($BX248,Std_Cu1_Code,INDEX(Std_Cu1_Table,0,4)),_xlfn.XLOOKUP($BX248,Std_Cu3_Code,INDEX(Std_Cu3_Table,0,4)))),"")))</f>
        <v/>
      </c>
      <c r="CA248" s="829" t="str" cm="1">
        <f t="array" ref="CA248">IF($BP248="","",IF($BX248="",$BQ248,IFERROR(IF($BV248="AL",_xlfn.XLOOKUP($BX248,Std_Al3_Code,INDEX(Std_Al3_Table,0,3)),IF($G248=1,_xlfn.XLOOKUP($BX248,Std_Cu1_Code,INDEX(Std_Cu1_Table,0,3)),_xlfn.XLOOKUP($BX248,Std_Cu3_Code,INDEX(Std_Cu3_Table,0,3)))),"")))</f>
        <v/>
      </c>
      <c r="CB248" s="829" t="str" cm="1">
        <f t="array" ref="CB248">IF($BP248="","",IF($BX248="",$BS248,IFERROR(IF($BV248="AL",_xlfn.XLOOKUP($BX248,Std_Al3_Code,INDEX(Std_Al3_Table,0,5)),IF($G248=1,_xlfn.XLOOKUP($BX248,Std_Cu1_Code,INDEX(Std_Cu1_Table,0,5)),_xlfn.XLOOKUP($BX248,Std_Cu3_Code,INDEX(Std_Cu3_Table,0,5)))),"")))</f>
        <v/>
      </c>
      <c r="CC248" s="829" t="str">
        <f t="shared" si="73"/>
        <v/>
      </c>
      <c r="CD248" s="829" t="str">
        <f t="shared" si="74"/>
        <v/>
      </c>
      <c r="CE248" s="829" t="str">
        <f t="shared" si="75"/>
        <v/>
      </c>
      <c r="CF248" s="829" t="str">
        <f t="shared" si="76"/>
        <v/>
      </c>
      <c r="CG248" s="829" t="str">
        <f t="shared" si="77"/>
        <v/>
      </c>
      <c r="CH248" s="829" t="str">
        <f t="shared" si="78"/>
        <v/>
      </c>
      <c r="CI248" s="829" t="str">
        <f t="shared" si="79"/>
        <v/>
      </c>
      <c r="CJ248" s="829" t="str" cm="1">
        <f t="array" ref="CJ248">IF($B248="","",_xlfn.LET(_xlpm.to,$D248&amp;"",_xlpm.em,IFERROR(INDEX(_xlfn.ANCHORARRAY($BE$4),ROW()-4,6),"")="EMERG",_xlpm.pri,AND(NOT(_xlpm.em),LEFT(_xlpm.to,2)="T-",ISNUMBER(MATCH(MID(_xlpm.to,3,99),Equip_List,0)),ISNA(MATCH(_xlpm.to,Equip_List,0))),IF(_xlpm.pri,MID(_xlpm.to,3,99),_xlpm.to)))</f>
        <v/>
      </c>
      <c r="CK248" s="829" t="str" cm="1">
        <f t="array" ref="CK248">IF($CJ248="","",IF(IFERROR(INDEX(_xlfn.ANCHORARRAY($BE$4),ROW()-4,6),"")="EMERG","E",IF($CJ248&lt;&gt;$D248&amp;"","P","N")))</f>
        <v/>
      </c>
    </row>
    <row r="249" spans="1:89" ht="15" customHeight="1" x14ac:dyDescent="0.35">
      <c r="A249" s="821" t="str">
        <f t="shared" si="67"/>
        <v/>
      </c>
      <c r="B249" s="821" t="str" cm="1">
        <f t="array" ref="B249">IFERROR(IF(INDEX(_xlfn.ANCHORARRAY($BE$4),ROW()-4,2)="","","F-"&amp;INDEX(_xlfn.ANCHORARRAY($BE$4),ROW()-4,2)&amp;IF(IFERROR(INDEX(_xlfn.ANCHORARRAY($BE$4),ROW()-4,6),"")="EMERG","-E","")),"")</f>
        <v/>
      </c>
      <c r="C249" s="821" t="str" cm="1">
        <f t="array" ref="C249">IFERROR(IF($B249="","",INDEX(_xlfn.ANCHORARRAY($BE$4),ROW()-4,1)),"")</f>
        <v/>
      </c>
      <c r="D249" s="821" t="str" cm="1">
        <f t="array" ref="D249">IFERROR(IF($B249="","",INDEX(_xlfn.ANCHORARRAY($BE$4),ROW()-4,2)),"")</f>
        <v/>
      </c>
      <c r="E249" s="806" t="str" cm="1">
        <f t="array" ref="E249">IFERROR(IF($B249="","",INDEX(_xlfn.ANCHORARRAY($BE$4),ROW()-4,3)),"")</f>
        <v/>
      </c>
      <c r="F249" s="822" t="str" cm="1">
        <f t="array" ref="F249">IFERROR(IF($B249="","",INDEX(_xlfn.ANCHORARRAY($BE$4),ROW()-4,4)),"")</f>
        <v/>
      </c>
      <c r="G249" s="823" t="str" cm="1">
        <f t="array" ref="G249">IFERROR(IF($B249="","",INDEX(_xlfn.ANCHORARRAY($BE$4),ROW()-4,5)),"")</f>
        <v/>
      </c>
      <c r="H249" s="824" t="str" cm="1">
        <f t="array" ref="H249">IF($CJ249="","",_xlfn.LET(_xlpm.v,_xlfn.XLOOKUP($CJ249,Equip_List,IF($CK249="E",Equip_EmLen,IF($CK249="P",Equip_XfPriLen,Equip_FdrLen)),""),IF(_xlpm.v="","",_xlpm.v)))</f>
        <v/>
      </c>
      <c r="I249" s="806" t="str">
        <f t="shared" si="60"/>
        <v/>
      </c>
      <c r="J249" s="820"/>
      <c r="K249" s="806" t="str">
        <f>_xlfn.LET(_xlpm.k,IF($I249="","",IF(COUNTIF(UPS!$B$57:$B$64,$C249&amp;"")&gt;0,1.25*MAX($I249,N(_xlfn.XLOOKUP($C249&amp;"",UPS!$B$57:$B$64,UPS!$M$57:$M$64,0))),IF(COUNTIF(UPS!$B$57:$B$64,$D249&amp;"")&gt;0,1.25*MAX($I249,N(_xlfn.XLOOKUP($D249&amp;"",UPS!$B$57:$B$64,UPS!$Q$57:$Q$64,0))),$I249*IF(OR(UPPER($J249)="Y",LEFT($C249,2)="T-",LEFT($D249,2)="T-"),1.25,1)))),IF(_xlpm.k="","",MAX(_xlpm.k,N(IFERROR(_xlfn.XLOOKUP($D249&amp;"",Dashboard!$A$101:$A$350,Dashboard!$O$101:$O$350,0),0)))))</f>
        <v/>
      </c>
      <c r="L249" s="825" t="str">
        <f>IF($CJ249="","",_xlfn.LET(_xlpm.v,UPPER(TRIM(_xlfn.XLOOKUP($CJ249,Equip_List,Equip_FdrMat,"")&amp;"")),IF(_xlpm.v="",UPPER(TRIM(Cfg_FeederMat&amp;"")),_xlpm.v)))</f>
        <v/>
      </c>
      <c r="M249" s="825" t="str">
        <f>IF($CJ249="","",_xlfn.LET(_xlpm.v,TRIM(_xlfn.XLOOKUP($CJ249,Equip_List,Equip_FdrRace,"")&amp;""),IF(_xlpm.v="",Cfg_Conduit&amp;"",_xlpm.v)))</f>
        <v/>
      </c>
      <c r="N249" s="825" t="str">
        <f>IF($CJ249="","",IF(UPPER(TRIM(_xlfn.XLOOKUP($CJ249,Equip_List,Equip_FdrExist,"")&amp;""))="Y","Y",""))</f>
        <v/>
      </c>
      <c r="O249" s="823" t="str">
        <f t="shared" si="68"/>
        <v/>
      </c>
      <c r="P249" s="821" t="str">
        <f t="shared" si="69"/>
        <v/>
      </c>
      <c r="Q249" s="821" t="str">
        <f t="shared" si="70"/>
        <v/>
      </c>
      <c r="R249" s="822" t="str" cm="1">
        <f t="array" ref="R249">IF(K249="","",INDEX(OCPD_List,MATCH(TRUE,OCPD_List&gt;=K249,0)))</f>
        <v/>
      </c>
      <c r="S249" s="821" t="str">
        <f t="shared" si="71"/>
        <v/>
      </c>
      <c r="T249" s="826" t="str">
        <f t="shared" si="61"/>
        <v/>
      </c>
      <c r="U249" s="826" t="str">
        <f t="shared" si="62"/>
        <v/>
      </c>
      <c r="V249" s="827" t="str">
        <f t="shared" si="63"/>
        <v/>
      </c>
      <c r="W249" s="828"/>
      <c r="X249" s="819"/>
      <c r="Y249" s="820"/>
      <c r="Z249" s="820"/>
      <c r="AA249" s="820"/>
      <c r="BN249" s="832" t="str">
        <f>IF($B249="","",IFERROR(_xlfn.XLOOKUP($D249,Dashboard!$A$101:$A$350,Dashboard!$C$101:$C$350),""))</f>
        <v/>
      </c>
      <c r="BO249" s="832" t="str">
        <f t="shared" si="64"/>
        <v/>
      </c>
      <c r="BP249" s="832" t="str" cm="1">
        <f t="array" ref="BP249">IF(OR($B249="",$R249="",NOT(ISNUMBER($R249))),"",IF(AND($BV249="AL",$G249=1),"",_xlfn.LET(_xlpm.codes,IF($BV249="AL",Std_Al3_Code,IF($G249=1,Std_Cu1_Code,Std_Cu3_Code)),_xlpm.amps,IFERROR(--SUBSTITUTE(_xlpm.codes&amp;"","N",""),""),_xlpm.a,MIN(IF(ISNUMBER(_xlpm.amps),IF(_xlpm.amps&gt;=$R249,_xlpm.amps,""),"")),_xlpm.k,IF(_xlpm.a=0,$R249,_xlpm.a),IF($BO249="Y",TEXT(_xlpm.k,"0")&amp;"N",_xlpm.k))))</f>
        <v/>
      </c>
      <c r="BQ249" s="832" t="str" cm="1">
        <f t="array" ref="BQ249">IF($BP249="","",IFERROR(IF($BV249="AL",_xlfn.XLOOKUP($BP249,Std_Al3_Code,INDEX(Std_Al3_Table,0,3)),IF($G249=1,_xlfn.XLOOKUP($BP249,Std_Cu1_Code,INDEX(Std_Cu1_Table,0,3)),_xlfn.XLOOKUP($BP249,Std_Cu3_Code,INDEX(Std_Cu3_Table,0,3)))),""))</f>
        <v/>
      </c>
      <c r="BR249" s="832" t="str" cm="1">
        <f t="array" ref="BR249">IF($BP249="","",IFERROR(IF($BV249="AL",_xlfn.XLOOKUP($BP249,Std_Al3_Code,INDEX(Std_Al3_Table,0,4)),IF($G249=1,_xlfn.XLOOKUP($BP249,Std_Cu1_Code,INDEX(Std_Cu1_Table,0,4)),_xlfn.XLOOKUP($BP249,Std_Cu3_Code,INDEX(Std_Cu3_Table,0,4)))),""))</f>
        <v/>
      </c>
      <c r="BS249" s="832" t="str" cm="1">
        <f t="array" ref="BS249">IF($BP249="","",IFERROR(IF($BV249="AL",_xlfn.XLOOKUP($BP249,Std_Al3_Code,INDEX(Std_Al3_Table,0,5)),IF($G249=1,_xlfn.XLOOKUP($BP249,Std_Cu1_Code,INDEX(Std_Cu1_Table,0,5)),_xlfn.XLOOKUP($BP249,Std_Cu3_Code,INDEX(Std_Cu3_Table,0,5)))),""))</f>
        <v/>
      </c>
      <c r="BT249" s="832" t="str">
        <f t="shared" si="65"/>
        <v/>
      </c>
      <c r="BU249" s="832" t="str" cm="1">
        <f t="array" ref="BU249">IF($BP249="","",IFERROR(IF($BV249="AL",_xlfn.XLOOKUP($BP249,Std_Al3_Code,INDEX(Std_Al3_Table,0,2)),IF($G249=1,_xlfn.XLOOKUP($BP249,Std_Cu1_Code,INDEX(Std_Cu1_Table,0,2)),_xlfn.XLOOKUP($BP249,Std_Cu3_Code,INDEX(Std_Cu3_Table,0,2)))),""))</f>
        <v/>
      </c>
      <c r="BV249" s="829" t="str">
        <f t="shared" si="66"/>
        <v/>
      </c>
      <c r="BW249" s="829" t="str">
        <f t="shared" si="72"/>
        <v/>
      </c>
      <c r="BX249" s="829" t="str" cm="1">
        <f t="array" ref="BX249">IF(OR($BP249="",$H249="",$I249="",$F249="",$BW249=""),"",IFERROR(_xlfn.LET(_xlpm.codes,IF($BV249="AL",Std_Al3_Code,IF($G249=1,Std_Cu1_Code,Std_Cu3_Code)),_xlpm.tbl,IF($BV249="AL",Std_Al3_Table,IF($G249=1,Std_Cu1_Table,Std_Cu3_Table)),_xlpm.i,MATCH($BP249,_xlpm.codes,0),_xlpm.idx,_xlfn.SEQUENCE(ROWS(_xlpm.codes)),_xlpm.cnd,INDEX(_xlpm.tbl,0,4),_xlpm.sts,INDEX(_xlpm.tbl,0,2),_xlpm.sz,IFERROR(_xlfn.TEXTBEFORE(_xlfn.TEXTAFTER(_xlpm.cnd,"#"),","),IFERROR(_xlfn.TEXTAFTER(_xlpm.cnd,"#"),"")),_xlpm.cm,IFERROR(_xlfn.XLOOKUP(TRIM(_xlpm.sz),Ampacity_Size,Ampacity_CM),0),_xlpm.mult,IF($G249=3,SQRT3,2),_xlpm.kk,IF($BV249="AL",K_Al,K_Cu),_xlpm.vd,IF(_xlpm.cm*IF(ISNUMBER(_xlpm.sts),_xlpm.sts,0)=0,9,_xlpm.mult*_xlpm.kk*$I249*$H249/(_xlpm.cm*_xlpm.sts)/$F249),_xlpm.hasN,--(RIGHT(_xlpm.codes&amp;"",1)="N"),_xlpm.wantN,--(RIGHT($BP249&amp;"",1)="N"),_xlpm.ok,(_xlpm.idx&gt;=_xlpm.i)*(_xlpm.vd&lt;=Cfg_VDFeeder)*(_xlpm.cm&gt;0)*ISNUMBER(_xlpm.sts)*(_xlpm.hasN=_xlpm.wantN),_xlpm.m,MIN(IF(_xlpm.ok=1,_xlpm.idx)),INDEX(_xlpm.codes,IF(_xlpm.m=0,_xlpm.i,_xlpm.m))),""))</f>
        <v/>
      </c>
      <c r="BY249" s="829" t="str" cm="1">
        <f t="array" ref="BY249">IF($BP249="","",IF($BX249="",$BU249,IFERROR(IF($BV249="AL",_xlfn.XLOOKUP($BX249,Std_Al3_Code,INDEX(Std_Al3_Table,0,2)),IF($G249=1,_xlfn.XLOOKUP($BX249,Std_Cu1_Code,INDEX(Std_Cu1_Table,0,2)),_xlfn.XLOOKUP($BX249,Std_Cu3_Code,INDEX(Std_Cu3_Table,0,2)))),"")))</f>
        <v/>
      </c>
      <c r="BZ249" s="829" t="str" cm="1">
        <f t="array" ref="BZ249">IF($BP249="","",IF($BX249="",$BR249,IFERROR(IF($BV249="AL",_xlfn.XLOOKUP($BX249,Std_Al3_Code,INDEX(Std_Al3_Table,0,4)),IF($G249=1,_xlfn.XLOOKUP($BX249,Std_Cu1_Code,INDEX(Std_Cu1_Table,0,4)),_xlfn.XLOOKUP($BX249,Std_Cu3_Code,INDEX(Std_Cu3_Table,0,4)))),"")))</f>
        <v/>
      </c>
      <c r="CA249" s="829" t="str" cm="1">
        <f t="array" ref="CA249">IF($BP249="","",IF($BX249="",$BQ249,IFERROR(IF($BV249="AL",_xlfn.XLOOKUP($BX249,Std_Al3_Code,INDEX(Std_Al3_Table,0,3)),IF($G249=1,_xlfn.XLOOKUP($BX249,Std_Cu1_Code,INDEX(Std_Cu1_Table,0,3)),_xlfn.XLOOKUP($BX249,Std_Cu3_Code,INDEX(Std_Cu3_Table,0,3)))),"")))</f>
        <v/>
      </c>
      <c r="CB249" s="829" t="str" cm="1">
        <f t="array" ref="CB249">IF($BP249="","",IF($BX249="",$BS249,IFERROR(IF($BV249="AL",_xlfn.XLOOKUP($BX249,Std_Al3_Code,INDEX(Std_Al3_Table,0,5)),IF($G249=1,_xlfn.XLOOKUP($BX249,Std_Cu1_Code,INDEX(Std_Cu1_Table,0,5)),_xlfn.XLOOKUP($BX249,Std_Cu3_Code,INDEX(Std_Cu3_Table,0,5)))),"")))</f>
        <v/>
      </c>
      <c r="CC249" s="829" t="str">
        <f t="shared" si="73"/>
        <v/>
      </c>
      <c r="CD249" s="829" t="str">
        <f t="shared" si="74"/>
        <v/>
      </c>
      <c r="CE249" s="829" t="str">
        <f t="shared" si="75"/>
        <v/>
      </c>
      <c r="CF249" s="829" t="str">
        <f t="shared" si="76"/>
        <v/>
      </c>
      <c r="CG249" s="829" t="str">
        <f t="shared" si="77"/>
        <v/>
      </c>
      <c r="CH249" s="829" t="str">
        <f t="shared" si="78"/>
        <v/>
      </c>
      <c r="CI249" s="829" t="str">
        <f t="shared" si="79"/>
        <v/>
      </c>
      <c r="CJ249" s="829" t="str" cm="1">
        <f t="array" ref="CJ249">IF($B249="","",_xlfn.LET(_xlpm.to,$D249&amp;"",_xlpm.em,IFERROR(INDEX(_xlfn.ANCHORARRAY($BE$4),ROW()-4,6),"")="EMERG",_xlpm.pri,AND(NOT(_xlpm.em),LEFT(_xlpm.to,2)="T-",ISNUMBER(MATCH(MID(_xlpm.to,3,99),Equip_List,0)),ISNA(MATCH(_xlpm.to,Equip_List,0))),IF(_xlpm.pri,MID(_xlpm.to,3,99),_xlpm.to)))</f>
        <v/>
      </c>
      <c r="CK249" s="829" t="str" cm="1">
        <f t="array" ref="CK249">IF($CJ249="","",IF(IFERROR(INDEX(_xlfn.ANCHORARRAY($BE$4),ROW()-4,6),"")="EMERG","E",IF($CJ249&lt;&gt;$D249&amp;"","P","N")))</f>
        <v/>
      </c>
    </row>
    <row r="250" spans="1:89" ht="15" customHeight="1" x14ac:dyDescent="0.35">
      <c r="A250" s="821" t="str">
        <f t="shared" si="67"/>
        <v/>
      </c>
      <c r="B250" s="821" t="str" cm="1">
        <f t="array" ref="B250">IFERROR(IF(INDEX(_xlfn.ANCHORARRAY($BE$4),ROW()-4,2)="","","F-"&amp;INDEX(_xlfn.ANCHORARRAY($BE$4),ROW()-4,2)&amp;IF(IFERROR(INDEX(_xlfn.ANCHORARRAY($BE$4),ROW()-4,6),"")="EMERG","-E","")),"")</f>
        <v/>
      </c>
      <c r="C250" s="821" t="str" cm="1">
        <f t="array" ref="C250">IFERROR(IF($B250="","",INDEX(_xlfn.ANCHORARRAY($BE$4),ROW()-4,1)),"")</f>
        <v/>
      </c>
      <c r="D250" s="821" t="str" cm="1">
        <f t="array" ref="D250">IFERROR(IF($B250="","",INDEX(_xlfn.ANCHORARRAY($BE$4),ROW()-4,2)),"")</f>
        <v/>
      </c>
      <c r="E250" s="806" t="str" cm="1">
        <f t="array" ref="E250">IFERROR(IF($B250="","",INDEX(_xlfn.ANCHORARRAY($BE$4),ROW()-4,3)),"")</f>
        <v/>
      </c>
      <c r="F250" s="822" t="str" cm="1">
        <f t="array" ref="F250">IFERROR(IF($B250="","",INDEX(_xlfn.ANCHORARRAY($BE$4),ROW()-4,4)),"")</f>
        <v/>
      </c>
      <c r="G250" s="823" t="str" cm="1">
        <f t="array" ref="G250">IFERROR(IF($B250="","",INDEX(_xlfn.ANCHORARRAY($BE$4),ROW()-4,5)),"")</f>
        <v/>
      </c>
      <c r="H250" s="824" t="str" cm="1">
        <f t="array" ref="H250">IF($CJ250="","",_xlfn.LET(_xlpm.v,_xlfn.XLOOKUP($CJ250,Equip_List,IF($CK250="E",Equip_EmLen,IF($CK250="P",Equip_XfPriLen,Equip_FdrLen)),""),IF(_xlpm.v="","",_xlpm.v)))</f>
        <v/>
      </c>
      <c r="I250" s="806" t="str">
        <f t="shared" si="60"/>
        <v/>
      </c>
      <c r="J250" s="820"/>
      <c r="K250" s="806" t="str">
        <f>_xlfn.LET(_xlpm.k,IF($I250="","",IF(COUNTIF(UPS!$B$57:$B$64,$C250&amp;"")&gt;0,1.25*MAX($I250,N(_xlfn.XLOOKUP($C250&amp;"",UPS!$B$57:$B$64,UPS!$M$57:$M$64,0))),IF(COUNTIF(UPS!$B$57:$B$64,$D250&amp;"")&gt;0,1.25*MAX($I250,N(_xlfn.XLOOKUP($D250&amp;"",UPS!$B$57:$B$64,UPS!$Q$57:$Q$64,0))),$I250*IF(OR(UPPER($J250)="Y",LEFT($C250,2)="T-",LEFT($D250,2)="T-"),1.25,1)))),IF(_xlpm.k="","",MAX(_xlpm.k,N(IFERROR(_xlfn.XLOOKUP($D250&amp;"",Dashboard!$A$101:$A$350,Dashboard!$O$101:$O$350,0),0)))))</f>
        <v/>
      </c>
      <c r="L250" s="825" t="str">
        <f>IF($CJ250="","",_xlfn.LET(_xlpm.v,UPPER(TRIM(_xlfn.XLOOKUP($CJ250,Equip_List,Equip_FdrMat,"")&amp;"")),IF(_xlpm.v="",UPPER(TRIM(Cfg_FeederMat&amp;"")),_xlpm.v)))</f>
        <v/>
      </c>
      <c r="M250" s="825" t="str">
        <f>IF($CJ250="","",_xlfn.LET(_xlpm.v,TRIM(_xlfn.XLOOKUP($CJ250,Equip_List,Equip_FdrRace,"")&amp;""),IF(_xlpm.v="",Cfg_Conduit&amp;"",_xlpm.v)))</f>
        <v/>
      </c>
      <c r="N250" s="825" t="str">
        <f>IF($CJ250="","",IF(UPPER(TRIM(_xlfn.XLOOKUP($CJ250,Equip_List,Equip_FdrExist,"")&amp;""))="Y","Y",""))</f>
        <v/>
      </c>
      <c r="O250" s="823" t="str">
        <f t="shared" si="68"/>
        <v/>
      </c>
      <c r="P250" s="821" t="str">
        <f t="shared" si="69"/>
        <v/>
      </c>
      <c r="Q250" s="821" t="str">
        <f t="shared" si="70"/>
        <v/>
      </c>
      <c r="R250" s="822" t="str" cm="1">
        <f t="array" ref="R250">IF(K250="","",INDEX(OCPD_List,MATCH(TRUE,OCPD_List&gt;=K250,0)))</f>
        <v/>
      </c>
      <c r="S250" s="821" t="str">
        <f t="shared" si="71"/>
        <v/>
      </c>
      <c r="T250" s="826" t="str">
        <f t="shared" si="61"/>
        <v/>
      </c>
      <c r="U250" s="826" t="str">
        <f t="shared" si="62"/>
        <v/>
      </c>
      <c r="V250" s="827" t="str">
        <f t="shared" si="63"/>
        <v/>
      </c>
      <c r="W250" s="828"/>
      <c r="X250" s="819"/>
      <c r="Y250" s="820"/>
      <c r="Z250" s="820"/>
      <c r="AA250" s="820"/>
      <c r="BN250" s="832" t="str">
        <f>IF($B250="","",IFERROR(_xlfn.XLOOKUP($D250,Dashboard!$A$101:$A$350,Dashboard!$C$101:$C$350),""))</f>
        <v/>
      </c>
      <c r="BO250" s="832" t="str">
        <f t="shared" si="64"/>
        <v/>
      </c>
      <c r="BP250" s="832" t="str" cm="1">
        <f t="array" ref="BP250">IF(OR($B250="",$R250="",NOT(ISNUMBER($R250))),"",IF(AND($BV250="AL",$G250=1),"",_xlfn.LET(_xlpm.codes,IF($BV250="AL",Std_Al3_Code,IF($G250=1,Std_Cu1_Code,Std_Cu3_Code)),_xlpm.amps,IFERROR(--SUBSTITUTE(_xlpm.codes&amp;"","N",""),""),_xlpm.a,MIN(IF(ISNUMBER(_xlpm.amps),IF(_xlpm.amps&gt;=$R250,_xlpm.amps,""),"")),_xlpm.k,IF(_xlpm.a=0,$R250,_xlpm.a),IF($BO250="Y",TEXT(_xlpm.k,"0")&amp;"N",_xlpm.k))))</f>
        <v/>
      </c>
      <c r="BQ250" s="832" t="str" cm="1">
        <f t="array" ref="BQ250">IF($BP250="","",IFERROR(IF($BV250="AL",_xlfn.XLOOKUP($BP250,Std_Al3_Code,INDEX(Std_Al3_Table,0,3)),IF($G250=1,_xlfn.XLOOKUP($BP250,Std_Cu1_Code,INDEX(Std_Cu1_Table,0,3)),_xlfn.XLOOKUP($BP250,Std_Cu3_Code,INDEX(Std_Cu3_Table,0,3)))),""))</f>
        <v/>
      </c>
      <c r="BR250" s="832" t="str" cm="1">
        <f t="array" ref="BR250">IF($BP250="","",IFERROR(IF($BV250="AL",_xlfn.XLOOKUP($BP250,Std_Al3_Code,INDEX(Std_Al3_Table,0,4)),IF($G250=1,_xlfn.XLOOKUP($BP250,Std_Cu1_Code,INDEX(Std_Cu1_Table,0,4)),_xlfn.XLOOKUP($BP250,Std_Cu3_Code,INDEX(Std_Cu3_Table,0,4)))),""))</f>
        <v/>
      </c>
      <c r="BS250" s="832" t="str" cm="1">
        <f t="array" ref="BS250">IF($BP250="","",IFERROR(IF($BV250="AL",_xlfn.XLOOKUP($BP250,Std_Al3_Code,INDEX(Std_Al3_Table,0,5)),IF($G250=1,_xlfn.XLOOKUP($BP250,Std_Cu1_Code,INDEX(Std_Cu1_Table,0,5)),_xlfn.XLOOKUP($BP250,Std_Cu3_Code,INDEX(Std_Cu3_Table,0,5)))),""))</f>
        <v/>
      </c>
      <c r="BT250" s="832" t="str">
        <f t="shared" si="65"/>
        <v/>
      </c>
      <c r="BU250" s="832" t="str" cm="1">
        <f t="array" ref="BU250">IF($BP250="","",IFERROR(IF($BV250="AL",_xlfn.XLOOKUP($BP250,Std_Al3_Code,INDEX(Std_Al3_Table,0,2)),IF($G250=1,_xlfn.XLOOKUP($BP250,Std_Cu1_Code,INDEX(Std_Cu1_Table,0,2)),_xlfn.XLOOKUP($BP250,Std_Cu3_Code,INDEX(Std_Cu3_Table,0,2)))),""))</f>
        <v/>
      </c>
      <c r="BV250" s="829" t="str">
        <f t="shared" si="66"/>
        <v/>
      </c>
      <c r="BW250" s="829" t="str">
        <f t="shared" si="72"/>
        <v/>
      </c>
      <c r="BX250" s="829" t="str" cm="1">
        <f t="array" ref="BX250">IF(OR($BP250="",$H250="",$I250="",$F250="",$BW250=""),"",IFERROR(_xlfn.LET(_xlpm.codes,IF($BV250="AL",Std_Al3_Code,IF($G250=1,Std_Cu1_Code,Std_Cu3_Code)),_xlpm.tbl,IF($BV250="AL",Std_Al3_Table,IF($G250=1,Std_Cu1_Table,Std_Cu3_Table)),_xlpm.i,MATCH($BP250,_xlpm.codes,0),_xlpm.idx,_xlfn.SEQUENCE(ROWS(_xlpm.codes)),_xlpm.cnd,INDEX(_xlpm.tbl,0,4),_xlpm.sts,INDEX(_xlpm.tbl,0,2),_xlpm.sz,IFERROR(_xlfn.TEXTBEFORE(_xlfn.TEXTAFTER(_xlpm.cnd,"#"),","),IFERROR(_xlfn.TEXTAFTER(_xlpm.cnd,"#"),"")),_xlpm.cm,IFERROR(_xlfn.XLOOKUP(TRIM(_xlpm.sz),Ampacity_Size,Ampacity_CM),0),_xlpm.mult,IF($G250=3,SQRT3,2),_xlpm.kk,IF($BV250="AL",K_Al,K_Cu),_xlpm.vd,IF(_xlpm.cm*IF(ISNUMBER(_xlpm.sts),_xlpm.sts,0)=0,9,_xlpm.mult*_xlpm.kk*$I250*$H250/(_xlpm.cm*_xlpm.sts)/$F250),_xlpm.hasN,--(RIGHT(_xlpm.codes&amp;"",1)="N"),_xlpm.wantN,--(RIGHT($BP250&amp;"",1)="N"),_xlpm.ok,(_xlpm.idx&gt;=_xlpm.i)*(_xlpm.vd&lt;=Cfg_VDFeeder)*(_xlpm.cm&gt;0)*ISNUMBER(_xlpm.sts)*(_xlpm.hasN=_xlpm.wantN),_xlpm.m,MIN(IF(_xlpm.ok=1,_xlpm.idx)),INDEX(_xlpm.codes,IF(_xlpm.m=0,_xlpm.i,_xlpm.m))),""))</f>
        <v/>
      </c>
      <c r="BY250" s="829" t="str" cm="1">
        <f t="array" ref="BY250">IF($BP250="","",IF($BX250="",$BU250,IFERROR(IF($BV250="AL",_xlfn.XLOOKUP($BX250,Std_Al3_Code,INDEX(Std_Al3_Table,0,2)),IF($G250=1,_xlfn.XLOOKUP($BX250,Std_Cu1_Code,INDEX(Std_Cu1_Table,0,2)),_xlfn.XLOOKUP($BX250,Std_Cu3_Code,INDEX(Std_Cu3_Table,0,2)))),"")))</f>
        <v/>
      </c>
      <c r="BZ250" s="829" t="str" cm="1">
        <f t="array" ref="BZ250">IF($BP250="","",IF($BX250="",$BR250,IFERROR(IF($BV250="AL",_xlfn.XLOOKUP($BX250,Std_Al3_Code,INDEX(Std_Al3_Table,0,4)),IF($G250=1,_xlfn.XLOOKUP($BX250,Std_Cu1_Code,INDEX(Std_Cu1_Table,0,4)),_xlfn.XLOOKUP($BX250,Std_Cu3_Code,INDEX(Std_Cu3_Table,0,4)))),"")))</f>
        <v/>
      </c>
      <c r="CA250" s="829" t="str" cm="1">
        <f t="array" ref="CA250">IF($BP250="","",IF($BX250="",$BQ250,IFERROR(IF($BV250="AL",_xlfn.XLOOKUP($BX250,Std_Al3_Code,INDEX(Std_Al3_Table,0,3)),IF($G250=1,_xlfn.XLOOKUP($BX250,Std_Cu1_Code,INDEX(Std_Cu1_Table,0,3)),_xlfn.XLOOKUP($BX250,Std_Cu3_Code,INDEX(Std_Cu3_Table,0,3)))),"")))</f>
        <v/>
      </c>
      <c r="CB250" s="829" t="str" cm="1">
        <f t="array" ref="CB250">IF($BP250="","",IF($BX250="",$BS250,IFERROR(IF($BV250="AL",_xlfn.XLOOKUP($BX250,Std_Al3_Code,INDEX(Std_Al3_Table,0,5)),IF($G250=1,_xlfn.XLOOKUP($BX250,Std_Cu1_Code,INDEX(Std_Cu1_Table,0,5)),_xlfn.XLOOKUP($BX250,Std_Cu3_Code,INDEX(Std_Cu3_Table,0,5)))),"")))</f>
        <v/>
      </c>
      <c r="CC250" s="829" t="str">
        <f t="shared" si="73"/>
        <v/>
      </c>
      <c r="CD250" s="829" t="str">
        <f t="shared" si="74"/>
        <v/>
      </c>
      <c r="CE250" s="829" t="str">
        <f t="shared" si="75"/>
        <v/>
      </c>
      <c r="CF250" s="829" t="str">
        <f t="shared" si="76"/>
        <v/>
      </c>
      <c r="CG250" s="829" t="str">
        <f t="shared" si="77"/>
        <v/>
      </c>
      <c r="CH250" s="829" t="str">
        <f t="shared" si="78"/>
        <v/>
      </c>
      <c r="CI250" s="829" t="str">
        <f t="shared" si="79"/>
        <v/>
      </c>
      <c r="CJ250" s="829" t="str" cm="1">
        <f t="array" ref="CJ250">IF($B250="","",_xlfn.LET(_xlpm.to,$D250&amp;"",_xlpm.em,IFERROR(INDEX(_xlfn.ANCHORARRAY($BE$4),ROW()-4,6),"")="EMERG",_xlpm.pri,AND(NOT(_xlpm.em),LEFT(_xlpm.to,2)="T-",ISNUMBER(MATCH(MID(_xlpm.to,3,99),Equip_List,0)),ISNA(MATCH(_xlpm.to,Equip_List,0))),IF(_xlpm.pri,MID(_xlpm.to,3,99),_xlpm.to)))</f>
        <v/>
      </c>
      <c r="CK250" s="829" t="str" cm="1">
        <f t="array" ref="CK250">IF($CJ250="","",IF(IFERROR(INDEX(_xlfn.ANCHORARRAY($BE$4),ROW()-4,6),"")="EMERG","E",IF($CJ250&lt;&gt;$D250&amp;"","P","N")))</f>
        <v/>
      </c>
    </row>
    <row r="251" spans="1:89" ht="15" customHeight="1" x14ac:dyDescent="0.35">
      <c r="A251" s="821" t="str">
        <f t="shared" si="67"/>
        <v/>
      </c>
      <c r="B251" s="821" t="str" cm="1">
        <f t="array" ref="B251">IFERROR(IF(INDEX(_xlfn.ANCHORARRAY($BE$4),ROW()-4,2)="","","F-"&amp;INDEX(_xlfn.ANCHORARRAY($BE$4),ROW()-4,2)&amp;IF(IFERROR(INDEX(_xlfn.ANCHORARRAY($BE$4),ROW()-4,6),"")="EMERG","-E","")),"")</f>
        <v/>
      </c>
      <c r="C251" s="821" t="str" cm="1">
        <f t="array" ref="C251">IFERROR(IF($B251="","",INDEX(_xlfn.ANCHORARRAY($BE$4),ROW()-4,1)),"")</f>
        <v/>
      </c>
      <c r="D251" s="821" t="str" cm="1">
        <f t="array" ref="D251">IFERROR(IF($B251="","",INDEX(_xlfn.ANCHORARRAY($BE$4),ROW()-4,2)),"")</f>
        <v/>
      </c>
      <c r="E251" s="806" t="str" cm="1">
        <f t="array" ref="E251">IFERROR(IF($B251="","",INDEX(_xlfn.ANCHORARRAY($BE$4),ROW()-4,3)),"")</f>
        <v/>
      </c>
      <c r="F251" s="822" t="str" cm="1">
        <f t="array" ref="F251">IFERROR(IF($B251="","",INDEX(_xlfn.ANCHORARRAY($BE$4),ROW()-4,4)),"")</f>
        <v/>
      </c>
      <c r="G251" s="823" t="str" cm="1">
        <f t="array" ref="G251">IFERROR(IF($B251="","",INDEX(_xlfn.ANCHORARRAY($BE$4),ROW()-4,5)),"")</f>
        <v/>
      </c>
      <c r="H251" s="824" t="str" cm="1">
        <f t="array" ref="H251">IF($CJ251="","",_xlfn.LET(_xlpm.v,_xlfn.XLOOKUP($CJ251,Equip_List,IF($CK251="E",Equip_EmLen,IF($CK251="P",Equip_XfPriLen,Equip_FdrLen)),""),IF(_xlpm.v="","",_xlpm.v)))</f>
        <v/>
      </c>
      <c r="I251" s="806" t="str">
        <f t="shared" si="60"/>
        <v/>
      </c>
      <c r="J251" s="820"/>
      <c r="K251" s="806" t="str">
        <f>_xlfn.LET(_xlpm.k,IF($I251="","",IF(COUNTIF(UPS!$B$57:$B$64,$C251&amp;"")&gt;0,1.25*MAX($I251,N(_xlfn.XLOOKUP($C251&amp;"",UPS!$B$57:$B$64,UPS!$M$57:$M$64,0))),IF(COUNTIF(UPS!$B$57:$B$64,$D251&amp;"")&gt;0,1.25*MAX($I251,N(_xlfn.XLOOKUP($D251&amp;"",UPS!$B$57:$B$64,UPS!$Q$57:$Q$64,0))),$I251*IF(OR(UPPER($J251)="Y",LEFT($C251,2)="T-",LEFT($D251,2)="T-"),1.25,1)))),IF(_xlpm.k="","",MAX(_xlpm.k,N(IFERROR(_xlfn.XLOOKUP($D251&amp;"",Dashboard!$A$101:$A$350,Dashboard!$O$101:$O$350,0),0)))))</f>
        <v/>
      </c>
      <c r="L251" s="825" t="str">
        <f>IF($CJ251="","",_xlfn.LET(_xlpm.v,UPPER(TRIM(_xlfn.XLOOKUP($CJ251,Equip_List,Equip_FdrMat,"")&amp;"")),IF(_xlpm.v="",UPPER(TRIM(Cfg_FeederMat&amp;"")),_xlpm.v)))</f>
        <v/>
      </c>
      <c r="M251" s="825" t="str">
        <f>IF($CJ251="","",_xlfn.LET(_xlpm.v,TRIM(_xlfn.XLOOKUP($CJ251,Equip_List,Equip_FdrRace,"")&amp;""),IF(_xlpm.v="",Cfg_Conduit&amp;"",_xlpm.v)))</f>
        <v/>
      </c>
      <c r="N251" s="825" t="str">
        <f>IF($CJ251="","",IF(UPPER(TRIM(_xlfn.XLOOKUP($CJ251,Equip_List,Equip_FdrExist,"")&amp;""))="Y","Y",""))</f>
        <v/>
      </c>
      <c r="O251" s="823" t="str">
        <f t="shared" si="68"/>
        <v/>
      </c>
      <c r="P251" s="821" t="str">
        <f t="shared" si="69"/>
        <v/>
      </c>
      <c r="Q251" s="821" t="str">
        <f t="shared" si="70"/>
        <v/>
      </c>
      <c r="R251" s="822" t="str" cm="1">
        <f t="array" ref="R251">IF(K251="","",INDEX(OCPD_List,MATCH(TRUE,OCPD_List&gt;=K251,0)))</f>
        <v/>
      </c>
      <c r="S251" s="821" t="str">
        <f t="shared" si="71"/>
        <v/>
      </c>
      <c r="T251" s="826" t="str">
        <f t="shared" si="61"/>
        <v/>
      </c>
      <c r="U251" s="826" t="str">
        <f t="shared" si="62"/>
        <v/>
      </c>
      <c r="V251" s="827" t="str">
        <f t="shared" si="63"/>
        <v/>
      </c>
      <c r="W251" s="828"/>
      <c r="X251" s="819"/>
      <c r="Y251" s="820"/>
      <c r="Z251" s="820"/>
      <c r="AA251" s="820"/>
      <c r="BN251" s="832" t="str">
        <f>IF($B251="","",IFERROR(_xlfn.XLOOKUP($D251,Dashboard!$A$101:$A$350,Dashboard!$C$101:$C$350),""))</f>
        <v/>
      </c>
      <c r="BO251" s="832" t="str">
        <f t="shared" si="64"/>
        <v/>
      </c>
      <c r="BP251" s="832" t="str" cm="1">
        <f t="array" ref="BP251">IF(OR($B251="",$R251="",NOT(ISNUMBER($R251))),"",IF(AND($BV251="AL",$G251=1),"",_xlfn.LET(_xlpm.codes,IF($BV251="AL",Std_Al3_Code,IF($G251=1,Std_Cu1_Code,Std_Cu3_Code)),_xlpm.amps,IFERROR(--SUBSTITUTE(_xlpm.codes&amp;"","N",""),""),_xlpm.a,MIN(IF(ISNUMBER(_xlpm.amps),IF(_xlpm.amps&gt;=$R251,_xlpm.amps,""),"")),_xlpm.k,IF(_xlpm.a=0,$R251,_xlpm.a),IF($BO251="Y",TEXT(_xlpm.k,"0")&amp;"N",_xlpm.k))))</f>
        <v/>
      </c>
      <c r="BQ251" s="832" t="str" cm="1">
        <f t="array" ref="BQ251">IF($BP251="","",IFERROR(IF($BV251="AL",_xlfn.XLOOKUP($BP251,Std_Al3_Code,INDEX(Std_Al3_Table,0,3)),IF($G251=1,_xlfn.XLOOKUP($BP251,Std_Cu1_Code,INDEX(Std_Cu1_Table,0,3)),_xlfn.XLOOKUP($BP251,Std_Cu3_Code,INDEX(Std_Cu3_Table,0,3)))),""))</f>
        <v/>
      </c>
      <c r="BR251" s="832" t="str" cm="1">
        <f t="array" ref="BR251">IF($BP251="","",IFERROR(IF($BV251="AL",_xlfn.XLOOKUP($BP251,Std_Al3_Code,INDEX(Std_Al3_Table,0,4)),IF($G251=1,_xlfn.XLOOKUP($BP251,Std_Cu1_Code,INDEX(Std_Cu1_Table,0,4)),_xlfn.XLOOKUP($BP251,Std_Cu3_Code,INDEX(Std_Cu3_Table,0,4)))),""))</f>
        <v/>
      </c>
      <c r="BS251" s="832" t="str" cm="1">
        <f t="array" ref="BS251">IF($BP251="","",IFERROR(IF($BV251="AL",_xlfn.XLOOKUP($BP251,Std_Al3_Code,INDEX(Std_Al3_Table,0,5)),IF($G251=1,_xlfn.XLOOKUP($BP251,Std_Cu1_Code,INDEX(Std_Cu1_Table,0,5)),_xlfn.XLOOKUP($BP251,Std_Cu3_Code,INDEX(Std_Cu3_Table,0,5)))),""))</f>
        <v/>
      </c>
      <c r="BT251" s="832" t="str">
        <f t="shared" si="65"/>
        <v/>
      </c>
      <c r="BU251" s="832" t="str" cm="1">
        <f t="array" ref="BU251">IF($BP251="","",IFERROR(IF($BV251="AL",_xlfn.XLOOKUP($BP251,Std_Al3_Code,INDEX(Std_Al3_Table,0,2)),IF($G251=1,_xlfn.XLOOKUP($BP251,Std_Cu1_Code,INDEX(Std_Cu1_Table,0,2)),_xlfn.XLOOKUP($BP251,Std_Cu3_Code,INDEX(Std_Cu3_Table,0,2)))),""))</f>
        <v/>
      </c>
      <c r="BV251" s="829" t="str">
        <f t="shared" si="66"/>
        <v/>
      </c>
      <c r="BW251" s="829" t="str">
        <f t="shared" si="72"/>
        <v/>
      </c>
      <c r="BX251" s="829" t="str" cm="1">
        <f t="array" ref="BX251">IF(OR($BP251="",$H251="",$I251="",$F251="",$BW251=""),"",IFERROR(_xlfn.LET(_xlpm.codes,IF($BV251="AL",Std_Al3_Code,IF($G251=1,Std_Cu1_Code,Std_Cu3_Code)),_xlpm.tbl,IF($BV251="AL",Std_Al3_Table,IF($G251=1,Std_Cu1_Table,Std_Cu3_Table)),_xlpm.i,MATCH($BP251,_xlpm.codes,0),_xlpm.idx,_xlfn.SEQUENCE(ROWS(_xlpm.codes)),_xlpm.cnd,INDEX(_xlpm.tbl,0,4),_xlpm.sts,INDEX(_xlpm.tbl,0,2),_xlpm.sz,IFERROR(_xlfn.TEXTBEFORE(_xlfn.TEXTAFTER(_xlpm.cnd,"#"),","),IFERROR(_xlfn.TEXTAFTER(_xlpm.cnd,"#"),"")),_xlpm.cm,IFERROR(_xlfn.XLOOKUP(TRIM(_xlpm.sz),Ampacity_Size,Ampacity_CM),0),_xlpm.mult,IF($G251=3,SQRT3,2),_xlpm.kk,IF($BV251="AL",K_Al,K_Cu),_xlpm.vd,IF(_xlpm.cm*IF(ISNUMBER(_xlpm.sts),_xlpm.sts,0)=0,9,_xlpm.mult*_xlpm.kk*$I251*$H251/(_xlpm.cm*_xlpm.sts)/$F251),_xlpm.hasN,--(RIGHT(_xlpm.codes&amp;"",1)="N"),_xlpm.wantN,--(RIGHT($BP251&amp;"",1)="N"),_xlpm.ok,(_xlpm.idx&gt;=_xlpm.i)*(_xlpm.vd&lt;=Cfg_VDFeeder)*(_xlpm.cm&gt;0)*ISNUMBER(_xlpm.sts)*(_xlpm.hasN=_xlpm.wantN),_xlpm.m,MIN(IF(_xlpm.ok=1,_xlpm.idx)),INDEX(_xlpm.codes,IF(_xlpm.m=0,_xlpm.i,_xlpm.m))),""))</f>
        <v/>
      </c>
      <c r="BY251" s="829" t="str" cm="1">
        <f t="array" ref="BY251">IF($BP251="","",IF($BX251="",$BU251,IFERROR(IF($BV251="AL",_xlfn.XLOOKUP($BX251,Std_Al3_Code,INDEX(Std_Al3_Table,0,2)),IF($G251=1,_xlfn.XLOOKUP($BX251,Std_Cu1_Code,INDEX(Std_Cu1_Table,0,2)),_xlfn.XLOOKUP($BX251,Std_Cu3_Code,INDEX(Std_Cu3_Table,0,2)))),"")))</f>
        <v/>
      </c>
      <c r="BZ251" s="829" t="str" cm="1">
        <f t="array" ref="BZ251">IF($BP251="","",IF($BX251="",$BR251,IFERROR(IF($BV251="AL",_xlfn.XLOOKUP($BX251,Std_Al3_Code,INDEX(Std_Al3_Table,0,4)),IF($G251=1,_xlfn.XLOOKUP($BX251,Std_Cu1_Code,INDEX(Std_Cu1_Table,0,4)),_xlfn.XLOOKUP($BX251,Std_Cu3_Code,INDEX(Std_Cu3_Table,0,4)))),"")))</f>
        <v/>
      </c>
      <c r="CA251" s="829" t="str" cm="1">
        <f t="array" ref="CA251">IF($BP251="","",IF($BX251="",$BQ251,IFERROR(IF($BV251="AL",_xlfn.XLOOKUP($BX251,Std_Al3_Code,INDEX(Std_Al3_Table,0,3)),IF($G251=1,_xlfn.XLOOKUP($BX251,Std_Cu1_Code,INDEX(Std_Cu1_Table,0,3)),_xlfn.XLOOKUP($BX251,Std_Cu3_Code,INDEX(Std_Cu3_Table,0,3)))),"")))</f>
        <v/>
      </c>
      <c r="CB251" s="829" t="str" cm="1">
        <f t="array" ref="CB251">IF($BP251="","",IF($BX251="",$BS251,IFERROR(IF($BV251="AL",_xlfn.XLOOKUP($BX251,Std_Al3_Code,INDEX(Std_Al3_Table,0,5)),IF($G251=1,_xlfn.XLOOKUP($BX251,Std_Cu1_Code,INDEX(Std_Cu1_Table,0,5)),_xlfn.XLOOKUP($BX251,Std_Cu3_Code,INDEX(Std_Cu3_Table,0,5)))),"")))</f>
        <v/>
      </c>
      <c r="CC251" s="829" t="str">
        <f t="shared" si="73"/>
        <v/>
      </c>
      <c r="CD251" s="829" t="str">
        <f t="shared" si="74"/>
        <v/>
      </c>
      <c r="CE251" s="829" t="str">
        <f t="shared" si="75"/>
        <v/>
      </c>
      <c r="CF251" s="829" t="str">
        <f t="shared" si="76"/>
        <v/>
      </c>
      <c r="CG251" s="829" t="str">
        <f t="shared" si="77"/>
        <v/>
      </c>
      <c r="CH251" s="829" t="str">
        <f t="shared" si="78"/>
        <v/>
      </c>
      <c r="CI251" s="829" t="str">
        <f t="shared" si="79"/>
        <v/>
      </c>
      <c r="CJ251" s="829" t="str" cm="1">
        <f t="array" ref="CJ251">IF($B251="","",_xlfn.LET(_xlpm.to,$D251&amp;"",_xlpm.em,IFERROR(INDEX(_xlfn.ANCHORARRAY($BE$4),ROW()-4,6),"")="EMERG",_xlpm.pri,AND(NOT(_xlpm.em),LEFT(_xlpm.to,2)="T-",ISNUMBER(MATCH(MID(_xlpm.to,3,99),Equip_List,0)),ISNA(MATCH(_xlpm.to,Equip_List,0))),IF(_xlpm.pri,MID(_xlpm.to,3,99),_xlpm.to)))</f>
        <v/>
      </c>
      <c r="CK251" s="829" t="str" cm="1">
        <f t="array" ref="CK251">IF($CJ251="","",IF(IFERROR(INDEX(_xlfn.ANCHORARRAY($BE$4),ROW()-4,6),"")="EMERG","E",IF($CJ251&lt;&gt;$D251&amp;"","P","N")))</f>
        <v/>
      </c>
    </row>
    <row r="252" spans="1:89" ht="15" customHeight="1" x14ac:dyDescent="0.35">
      <c r="A252" s="821" t="str">
        <f t="shared" si="67"/>
        <v/>
      </c>
      <c r="B252" s="821" t="str" cm="1">
        <f t="array" ref="B252">IFERROR(IF(INDEX(_xlfn.ANCHORARRAY($BE$4),ROW()-4,2)="","","F-"&amp;INDEX(_xlfn.ANCHORARRAY($BE$4),ROW()-4,2)&amp;IF(IFERROR(INDEX(_xlfn.ANCHORARRAY($BE$4),ROW()-4,6),"")="EMERG","-E","")),"")</f>
        <v/>
      </c>
      <c r="C252" s="821" t="str" cm="1">
        <f t="array" ref="C252">IFERROR(IF($B252="","",INDEX(_xlfn.ANCHORARRAY($BE$4),ROW()-4,1)),"")</f>
        <v/>
      </c>
      <c r="D252" s="821" t="str" cm="1">
        <f t="array" ref="D252">IFERROR(IF($B252="","",INDEX(_xlfn.ANCHORARRAY($BE$4),ROW()-4,2)),"")</f>
        <v/>
      </c>
      <c r="E252" s="806" t="str" cm="1">
        <f t="array" ref="E252">IFERROR(IF($B252="","",INDEX(_xlfn.ANCHORARRAY($BE$4),ROW()-4,3)),"")</f>
        <v/>
      </c>
      <c r="F252" s="822" t="str" cm="1">
        <f t="array" ref="F252">IFERROR(IF($B252="","",INDEX(_xlfn.ANCHORARRAY($BE$4),ROW()-4,4)),"")</f>
        <v/>
      </c>
      <c r="G252" s="823" t="str" cm="1">
        <f t="array" ref="G252">IFERROR(IF($B252="","",INDEX(_xlfn.ANCHORARRAY($BE$4),ROW()-4,5)),"")</f>
        <v/>
      </c>
      <c r="H252" s="824" t="str" cm="1">
        <f t="array" ref="H252">IF($CJ252="","",_xlfn.LET(_xlpm.v,_xlfn.XLOOKUP($CJ252,Equip_List,IF($CK252="E",Equip_EmLen,IF($CK252="P",Equip_XfPriLen,Equip_FdrLen)),""),IF(_xlpm.v="","",_xlpm.v)))</f>
        <v/>
      </c>
      <c r="I252" s="806" t="str">
        <f t="shared" si="60"/>
        <v/>
      </c>
      <c r="J252" s="820"/>
      <c r="K252" s="806" t="str">
        <f>_xlfn.LET(_xlpm.k,IF($I252="","",IF(COUNTIF(UPS!$B$57:$B$64,$C252&amp;"")&gt;0,1.25*MAX($I252,N(_xlfn.XLOOKUP($C252&amp;"",UPS!$B$57:$B$64,UPS!$M$57:$M$64,0))),IF(COUNTIF(UPS!$B$57:$B$64,$D252&amp;"")&gt;0,1.25*MAX($I252,N(_xlfn.XLOOKUP($D252&amp;"",UPS!$B$57:$B$64,UPS!$Q$57:$Q$64,0))),$I252*IF(OR(UPPER($J252)="Y",LEFT($C252,2)="T-",LEFT($D252,2)="T-"),1.25,1)))),IF(_xlpm.k="","",MAX(_xlpm.k,N(IFERROR(_xlfn.XLOOKUP($D252&amp;"",Dashboard!$A$101:$A$350,Dashboard!$O$101:$O$350,0),0)))))</f>
        <v/>
      </c>
      <c r="L252" s="825" t="str">
        <f>IF($CJ252="","",_xlfn.LET(_xlpm.v,UPPER(TRIM(_xlfn.XLOOKUP($CJ252,Equip_List,Equip_FdrMat,"")&amp;"")),IF(_xlpm.v="",UPPER(TRIM(Cfg_FeederMat&amp;"")),_xlpm.v)))</f>
        <v/>
      </c>
      <c r="M252" s="825" t="str">
        <f>IF($CJ252="","",_xlfn.LET(_xlpm.v,TRIM(_xlfn.XLOOKUP($CJ252,Equip_List,Equip_FdrRace,"")&amp;""),IF(_xlpm.v="",Cfg_Conduit&amp;"",_xlpm.v)))</f>
        <v/>
      </c>
      <c r="N252" s="825" t="str">
        <f>IF($CJ252="","",IF(UPPER(TRIM(_xlfn.XLOOKUP($CJ252,Equip_List,Equip_FdrExist,"")&amp;""))="Y","Y",""))</f>
        <v/>
      </c>
      <c r="O252" s="823" t="str">
        <f t="shared" si="68"/>
        <v/>
      </c>
      <c r="P252" s="821" t="str">
        <f t="shared" si="69"/>
        <v/>
      </c>
      <c r="Q252" s="821" t="str">
        <f t="shared" si="70"/>
        <v/>
      </c>
      <c r="R252" s="822" t="str" cm="1">
        <f t="array" ref="R252">IF(K252="","",INDEX(OCPD_List,MATCH(TRUE,OCPD_List&gt;=K252,0)))</f>
        <v/>
      </c>
      <c r="S252" s="821" t="str">
        <f t="shared" si="71"/>
        <v/>
      </c>
      <c r="T252" s="826" t="str">
        <f t="shared" si="61"/>
        <v/>
      </c>
      <c r="U252" s="826" t="str">
        <f t="shared" si="62"/>
        <v/>
      </c>
      <c r="V252" s="827" t="str">
        <f t="shared" si="63"/>
        <v/>
      </c>
      <c r="W252" s="828"/>
      <c r="X252" s="819"/>
      <c r="Y252" s="820"/>
      <c r="Z252" s="820"/>
      <c r="AA252" s="820"/>
      <c r="BN252" s="832" t="str">
        <f>IF($B252="","",IFERROR(_xlfn.XLOOKUP($D252,Dashboard!$A$101:$A$350,Dashboard!$C$101:$C$350),""))</f>
        <v/>
      </c>
      <c r="BO252" s="832" t="str">
        <f t="shared" si="64"/>
        <v/>
      </c>
      <c r="BP252" s="832" t="str" cm="1">
        <f t="array" ref="BP252">IF(OR($B252="",$R252="",NOT(ISNUMBER($R252))),"",IF(AND($BV252="AL",$G252=1),"",_xlfn.LET(_xlpm.codes,IF($BV252="AL",Std_Al3_Code,IF($G252=1,Std_Cu1_Code,Std_Cu3_Code)),_xlpm.amps,IFERROR(--SUBSTITUTE(_xlpm.codes&amp;"","N",""),""),_xlpm.a,MIN(IF(ISNUMBER(_xlpm.amps),IF(_xlpm.amps&gt;=$R252,_xlpm.amps,""),"")),_xlpm.k,IF(_xlpm.a=0,$R252,_xlpm.a),IF($BO252="Y",TEXT(_xlpm.k,"0")&amp;"N",_xlpm.k))))</f>
        <v/>
      </c>
      <c r="BQ252" s="832" t="str" cm="1">
        <f t="array" ref="BQ252">IF($BP252="","",IFERROR(IF($BV252="AL",_xlfn.XLOOKUP($BP252,Std_Al3_Code,INDEX(Std_Al3_Table,0,3)),IF($G252=1,_xlfn.XLOOKUP($BP252,Std_Cu1_Code,INDEX(Std_Cu1_Table,0,3)),_xlfn.XLOOKUP($BP252,Std_Cu3_Code,INDEX(Std_Cu3_Table,0,3)))),""))</f>
        <v/>
      </c>
      <c r="BR252" s="832" t="str" cm="1">
        <f t="array" ref="BR252">IF($BP252="","",IFERROR(IF($BV252="AL",_xlfn.XLOOKUP($BP252,Std_Al3_Code,INDEX(Std_Al3_Table,0,4)),IF($G252=1,_xlfn.XLOOKUP($BP252,Std_Cu1_Code,INDEX(Std_Cu1_Table,0,4)),_xlfn.XLOOKUP($BP252,Std_Cu3_Code,INDEX(Std_Cu3_Table,0,4)))),""))</f>
        <v/>
      </c>
      <c r="BS252" s="832" t="str" cm="1">
        <f t="array" ref="BS252">IF($BP252="","",IFERROR(IF($BV252="AL",_xlfn.XLOOKUP($BP252,Std_Al3_Code,INDEX(Std_Al3_Table,0,5)),IF($G252=1,_xlfn.XLOOKUP($BP252,Std_Cu1_Code,INDEX(Std_Cu1_Table,0,5)),_xlfn.XLOOKUP($BP252,Std_Cu3_Code,INDEX(Std_Cu3_Table,0,5)))),""))</f>
        <v/>
      </c>
      <c r="BT252" s="832" t="str">
        <f t="shared" si="65"/>
        <v/>
      </c>
      <c r="BU252" s="832" t="str" cm="1">
        <f t="array" ref="BU252">IF($BP252="","",IFERROR(IF($BV252="AL",_xlfn.XLOOKUP($BP252,Std_Al3_Code,INDEX(Std_Al3_Table,0,2)),IF($G252=1,_xlfn.XLOOKUP($BP252,Std_Cu1_Code,INDEX(Std_Cu1_Table,0,2)),_xlfn.XLOOKUP($BP252,Std_Cu3_Code,INDEX(Std_Cu3_Table,0,2)))),""))</f>
        <v/>
      </c>
      <c r="BV252" s="829" t="str">
        <f t="shared" si="66"/>
        <v/>
      </c>
      <c r="BW252" s="829" t="str">
        <f t="shared" si="72"/>
        <v/>
      </c>
      <c r="BX252" s="829" t="str" cm="1">
        <f t="array" ref="BX252">IF(OR($BP252="",$H252="",$I252="",$F252="",$BW252=""),"",IFERROR(_xlfn.LET(_xlpm.codes,IF($BV252="AL",Std_Al3_Code,IF($G252=1,Std_Cu1_Code,Std_Cu3_Code)),_xlpm.tbl,IF($BV252="AL",Std_Al3_Table,IF($G252=1,Std_Cu1_Table,Std_Cu3_Table)),_xlpm.i,MATCH($BP252,_xlpm.codes,0),_xlpm.idx,_xlfn.SEQUENCE(ROWS(_xlpm.codes)),_xlpm.cnd,INDEX(_xlpm.tbl,0,4),_xlpm.sts,INDEX(_xlpm.tbl,0,2),_xlpm.sz,IFERROR(_xlfn.TEXTBEFORE(_xlfn.TEXTAFTER(_xlpm.cnd,"#"),","),IFERROR(_xlfn.TEXTAFTER(_xlpm.cnd,"#"),"")),_xlpm.cm,IFERROR(_xlfn.XLOOKUP(TRIM(_xlpm.sz),Ampacity_Size,Ampacity_CM),0),_xlpm.mult,IF($G252=3,SQRT3,2),_xlpm.kk,IF($BV252="AL",K_Al,K_Cu),_xlpm.vd,IF(_xlpm.cm*IF(ISNUMBER(_xlpm.sts),_xlpm.sts,0)=0,9,_xlpm.mult*_xlpm.kk*$I252*$H252/(_xlpm.cm*_xlpm.sts)/$F252),_xlpm.hasN,--(RIGHT(_xlpm.codes&amp;"",1)="N"),_xlpm.wantN,--(RIGHT($BP252&amp;"",1)="N"),_xlpm.ok,(_xlpm.idx&gt;=_xlpm.i)*(_xlpm.vd&lt;=Cfg_VDFeeder)*(_xlpm.cm&gt;0)*ISNUMBER(_xlpm.sts)*(_xlpm.hasN=_xlpm.wantN),_xlpm.m,MIN(IF(_xlpm.ok=1,_xlpm.idx)),INDEX(_xlpm.codes,IF(_xlpm.m=0,_xlpm.i,_xlpm.m))),""))</f>
        <v/>
      </c>
      <c r="BY252" s="829" t="str" cm="1">
        <f t="array" ref="BY252">IF($BP252="","",IF($BX252="",$BU252,IFERROR(IF($BV252="AL",_xlfn.XLOOKUP($BX252,Std_Al3_Code,INDEX(Std_Al3_Table,0,2)),IF($G252=1,_xlfn.XLOOKUP($BX252,Std_Cu1_Code,INDEX(Std_Cu1_Table,0,2)),_xlfn.XLOOKUP($BX252,Std_Cu3_Code,INDEX(Std_Cu3_Table,0,2)))),"")))</f>
        <v/>
      </c>
      <c r="BZ252" s="829" t="str" cm="1">
        <f t="array" ref="BZ252">IF($BP252="","",IF($BX252="",$BR252,IFERROR(IF($BV252="AL",_xlfn.XLOOKUP($BX252,Std_Al3_Code,INDEX(Std_Al3_Table,0,4)),IF($G252=1,_xlfn.XLOOKUP($BX252,Std_Cu1_Code,INDEX(Std_Cu1_Table,0,4)),_xlfn.XLOOKUP($BX252,Std_Cu3_Code,INDEX(Std_Cu3_Table,0,4)))),"")))</f>
        <v/>
      </c>
      <c r="CA252" s="829" t="str" cm="1">
        <f t="array" ref="CA252">IF($BP252="","",IF($BX252="",$BQ252,IFERROR(IF($BV252="AL",_xlfn.XLOOKUP($BX252,Std_Al3_Code,INDEX(Std_Al3_Table,0,3)),IF($G252=1,_xlfn.XLOOKUP($BX252,Std_Cu1_Code,INDEX(Std_Cu1_Table,0,3)),_xlfn.XLOOKUP($BX252,Std_Cu3_Code,INDEX(Std_Cu3_Table,0,3)))),"")))</f>
        <v/>
      </c>
      <c r="CB252" s="829" t="str" cm="1">
        <f t="array" ref="CB252">IF($BP252="","",IF($BX252="",$BS252,IFERROR(IF($BV252="AL",_xlfn.XLOOKUP($BX252,Std_Al3_Code,INDEX(Std_Al3_Table,0,5)),IF($G252=1,_xlfn.XLOOKUP($BX252,Std_Cu1_Code,INDEX(Std_Cu1_Table,0,5)),_xlfn.XLOOKUP($BX252,Std_Cu3_Code,INDEX(Std_Cu3_Table,0,5)))),"")))</f>
        <v/>
      </c>
      <c r="CC252" s="829" t="str">
        <f t="shared" si="73"/>
        <v/>
      </c>
      <c r="CD252" s="829" t="str">
        <f t="shared" si="74"/>
        <v/>
      </c>
      <c r="CE252" s="829" t="str">
        <f t="shared" si="75"/>
        <v/>
      </c>
      <c r="CF252" s="829" t="str">
        <f t="shared" si="76"/>
        <v/>
      </c>
      <c r="CG252" s="829" t="str">
        <f t="shared" si="77"/>
        <v/>
      </c>
      <c r="CH252" s="829" t="str">
        <f t="shared" si="78"/>
        <v/>
      </c>
      <c r="CI252" s="829" t="str">
        <f t="shared" si="79"/>
        <v/>
      </c>
      <c r="CJ252" s="829" t="str" cm="1">
        <f t="array" ref="CJ252">IF($B252="","",_xlfn.LET(_xlpm.to,$D252&amp;"",_xlpm.em,IFERROR(INDEX(_xlfn.ANCHORARRAY($BE$4),ROW()-4,6),"")="EMERG",_xlpm.pri,AND(NOT(_xlpm.em),LEFT(_xlpm.to,2)="T-",ISNUMBER(MATCH(MID(_xlpm.to,3,99),Equip_List,0)),ISNA(MATCH(_xlpm.to,Equip_List,0))),IF(_xlpm.pri,MID(_xlpm.to,3,99),_xlpm.to)))</f>
        <v/>
      </c>
      <c r="CK252" s="829" t="str" cm="1">
        <f t="array" ref="CK252">IF($CJ252="","",IF(IFERROR(INDEX(_xlfn.ANCHORARRAY($BE$4),ROW()-4,6),"")="EMERG","E",IF($CJ252&lt;&gt;$D252&amp;"","P","N")))</f>
        <v/>
      </c>
    </row>
    <row r="253" spans="1:89" ht="15" customHeight="1" x14ac:dyDescent="0.35">
      <c r="A253" s="821" t="str">
        <f t="shared" si="67"/>
        <v/>
      </c>
      <c r="B253" s="821" t="str" cm="1">
        <f t="array" ref="B253">IFERROR(IF(INDEX(_xlfn.ANCHORARRAY($BE$4),ROW()-4,2)="","","F-"&amp;INDEX(_xlfn.ANCHORARRAY($BE$4),ROW()-4,2)&amp;IF(IFERROR(INDEX(_xlfn.ANCHORARRAY($BE$4),ROW()-4,6),"")="EMERG","-E","")),"")</f>
        <v/>
      </c>
      <c r="C253" s="821" t="str" cm="1">
        <f t="array" ref="C253">IFERROR(IF($B253="","",INDEX(_xlfn.ANCHORARRAY($BE$4),ROW()-4,1)),"")</f>
        <v/>
      </c>
      <c r="D253" s="821" t="str" cm="1">
        <f t="array" ref="D253">IFERROR(IF($B253="","",INDEX(_xlfn.ANCHORARRAY($BE$4),ROW()-4,2)),"")</f>
        <v/>
      </c>
      <c r="E253" s="806" t="str" cm="1">
        <f t="array" ref="E253">IFERROR(IF($B253="","",INDEX(_xlfn.ANCHORARRAY($BE$4),ROW()-4,3)),"")</f>
        <v/>
      </c>
      <c r="F253" s="822" t="str" cm="1">
        <f t="array" ref="F253">IFERROR(IF($B253="","",INDEX(_xlfn.ANCHORARRAY($BE$4),ROW()-4,4)),"")</f>
        <v/>
      </c>
      <c r="G253" s="823" t="str" cm="1">
        <f t="array" ref="G253">IFERROR(IF($B253="","",INDEX(_xlfn.ANCHORARRAY($BE$4),ROW()-4,5)),"")</f>
        <v/>
      </c>
      <c r="H253" s="824" t="str" cm="1">
        <f t="array" ref="H253">IF($CJ253="","",_xlfn.LET(_xlpm.v,_xlfn.XLOOKUP($CJ253,Equip_List,IF($CK253="E",Equip_EmLen,IF($CK253="P",Equip_XfPriLen,Equip_FdrLen)),""),IF(_xlpm.v="","",_xlpm.v)))</f>
        <v/>
      </c>
      <c r="I253" s="806" t="str">
        <f t="shared" si="60"/>
        <v/>
      </c>
      <c r="J253" s="820"/>
      <c r="K253" s="806" t="str">
        <f>_xlfn.LET(_xlpm.k,IF($I253="","",IF(COUNTIF(UPS!$B$57:$B$64,$C253&amp;"")&gt;0,1.25*MAX($I253,N(_xlfn.XLOOKUP($C253&amp;"",UPS!$B$57:$B$64,UPS!$M$57:$M$64,0))),IF(COUNTIF(UPS!$B$57:$B$64,$D253&amp;"")&gt;0,1.25*MAX($I253,N(_xlfn.XLOOKUP($D253&amp;"",UPS!$B$57:$B$64,UPS!$Q$57:$Q$64,0))),$I253*IF(OR(UPPER($J253)="Y",LEFT($C253,2)="T-",LEFT($D253,2)="T-"),1.25,1)))),IF(_xlpm.k="","",MAX(_xlpm.k,N(IFERROR(_xlfn.XLOOKUP($D253&amp;"",Dashboard!$A$101:$A$350,Dashboard!$O$101:$O$350,0),0)))))</f>
        <v/>
      </c>
      <c r="L253" s="825" t="str">
        <f>IF($CJ253="","",_xlfn.LET(_xlpm.v,UPPER(TRIM(_xlfn.XLOOKUP($CJ253,Equip_List,Equip_FdrMat,"")&amp;"")),IF(_xlpm.v="",UPPER(TRIM(Cfg_FeederMat&amp;"")),_xlpm.v)))</f>
        <v/>
      </c>
      <c r="M253" s="825" t="str">
        <f>IF($CJ253="","",_xlfn.LET(_xlpm.v,TRIM(_xlfn.XLOOKUP($CJ253,Equip_List,Equip_FdrRace,"")&amp;""),IF(_xlpm.v="",Cfg_Conduit&amp;"",_xlpm.v)))</f>
        <v/>
      </c>
      <c r="N253" s="825" t="str">
        <f>IF($CJ253="","",IF(UPPER(TRIM(_xlfn.XLOOKUP($CJ253,Equip_List,Equip_FdrExist,"")&amp;""))="Y","Y",""))</f>
        <v/>
      </c>
      <c r="O253" s="823" t="str">
        <f t="shared" si="68"/>
        <v/>
      </c>
      <c r="P253" s="821" t="str">
        <f t="shared" si="69"/>
        <v/>
      </c>
      <c r="Q253" s="821" t="str">
        <f t="shared" si="70"/>
        <v/>
      </c>
      <c r="R253" s="822" t="str" cm="1">
        <f t="array" ref="R253">IF(K253="","",INDEX(OCPD_List,MATCH(TRUE,OCPD_List&gt;=K253,0)))</f>
        <v/>
      </c>
      <c r="S253" s="821" t="str">
        <f t="shared" si="71"/>
        <v/>
      </c>
      <c r="T253" s="826" t="str">
        <f t="shared" si="61"/>
        <v/>
      </c>
      <c r="U253" s="826" t="str">
        <f t="shared" si="62"/>
        <v/>
      </c>
      <c r="V253" s="827" t="str">
        <f t="shared" si="63"/>
        <v/>
      </c>
      <c r="W253" s="828"/>
      <c r="X253" s="819"/>
      <c r="Y253" s="820"/>
      <c r="Z253" s="820"/>
      <c r="AA253" s="820"/>
      <c r="BN253" s="832" t="str">
        <f>IF($B253="","",IFERROR(_xlfn.XLOOKUP($D253,Dashboard!$A$101:$A$350,Dashboard!$C$101:$C$350),""))</f>
        <v/>
      </c>
      <c r="BO253" s="832" t="str">
        <f t="shared" si="64"/>
        <v/>
      </c>
      <c r="BP253" s="832" t="str" cm="1">
        <f t="array" ref="BP253">IF(OR($B253="",$R253="",NOT(ISNUMBER($R253))),"",IF(AND($BV253="AL",$G253=1),"",_xlfn.LET(_xlpm.codes,IF($BV253="AL",Std_Al3_Code,IF($G253=1,Std_Cu1_Code,Std_Cu3_Code)),_xlpm.amps,IFERROR(--SUBSTITUTE(_xlpm.codes&amp;"","N",""),""),_xlpm.a,MIN(IF(ISNUMBER(_xlpm.amps),IF(_xlpm.amps&gt;=$R253,_xlpm.amps,""),"")),_xlpm.k,IF(_xlpm.a=0,$R253,_xlpm.a),IF($BO253="Y",TEXT(_xlpm.k,"0")&amp;"N",_xlpm.k))))</f>
        <v/>
      </c>
      <c r="BQ253" s="832" t="str" cm="1">
        <f t="array" ref="BQ253">IF($BP253="","",IFERROR(IF($BV253="AL",_xlfn.XLOOKUP($BP253,Std_Al3_Code,INDEX(Std_Al3_Table,0,3)),IF($G253=1,_xlfn.XLOOKUP($BP253,Std_Cu1_Code,INDEX(Std_Cu1_Table,0,3)),_xlfn.XLOOKUP($BP253,Std_Cu3_Code,INDEX(Std_Cu3_Table,0,3)))),""))</f>
        <v/>
      </c>
      <c r="BR253" s="832" t="str" cm="1">
        <f t="array" ref="BR253">IF($BP253="","",IFERROR(IF($BV253="AL",_xlfn.XLOOKUP($BP253,Std_Al3_Code,INDEX(Std_Al3_Table,0,4)),IF($G253=1,_xlfn.XLOOKUP($BP253,Std_Cu1_Code,INDEX(Std_Cu1_Table,0,4)),_xlfn.XLOOKUP($BP253,Std_Cu3_Code,INDEX(Std_Cu3_Table,0,4)))),""))</f>
        <v/>
      </c>
      <c r="BS253" s="832" t="str" cm="1">
        <f t="array" ref="BS253">IF($BP253="","",IFERROR(IF($BV253="AL",_xlfn.XLOOKUP($BP253,Std_Al3_Code,INDEX(Std_Al3_Table,0,5)),IF($G253=1,_xlfn.XLOOKUP($BP253,Std_Cu1_Code,INDEX(Std_Cu1_Table,0,5)),_xlfn.XLOOKUP($BP253,Std_Cu3_Code,INDEX(Std_Cu3_Table,0,5)))),""))</f>
        <v/>
      </c>
      <c r="BT253" s="832" t="str">
        <f t="shared" si="65"/>
        <v/>
      </c>
      <c r="BU253" s="832" t="str" cm="1">
        <f t="array" ref="BU253">IF($BP253="","",IFERROR(IF($BV253="AL",_xlfn.XLOOKUP($BP253,Std_Al3_Code,INDEX(Std_Al3_Table,0,2)),IF($G253=1,_xlfn.XLOOKUP($BP253,Std_Cu1_Code,INDEX(Std_Cu1_Table,0,2)),_xlfn.XLOOKUP($BP253,Std_Cu3_Code,INDEX(Std_Cu3_Table,0,2)))),""))</f>
        <v/>
      </c>
      <c r="BV253" s="829" t="str">
        <f t="shared" si="66"/>
        <v/>
      </c>
      <c r="BW253" s="829" t="str">
        <f t="shared" si="72"/>
        <v/>
      </c>
      <c r="BX253" s="829" t="str" cm="1">
        <f t="array" ref="BX253">IF(OR($BP253="",$H253="",$I253="",$F253="",$BW253=""),"",IFERROR(_xlfn.LET(_xlpm.codes,IF($BV253="AL",Std_Al3_Code,IF($G253=1,Std_Cu1_Code,Std_Cu3_Code)),_xlpm.tbl,IF($BV253="AL",Std_Al3_Table,IF($G253=1,Std_Cu1_Table,Std_Cu3_Table)),_xlpm.i,MATCH($BP253,_xlpm.codes,0),_xlpm.idx,_xlfn.SEQUENCE(ROWS(_xlpm.codes)),_xlpm.cnd,INDEX(_xlpm.tbl,0,4),_xlpm.sts,INDEX(_xlpm.tbl,0,2),_xlpm.sz,IFERROR(_xlfn.TEXTBEFORE(_xlfn.TEXTAFTER(_xlpm.cnd,"#"),","),IFERROR(_xlfn.TEXTAFTER(_xlpm.cnd,"#"),"")),_xlpm.cm,IFERROR(_xlfn.XLOOKUP(TRIM(_xlpm.sz),Ampacity_Size,Ampacity_CM),0),_xlpm.mult,IF($G253=3,SQRT3,2),_xlpm.kk,IF($BV253="AL",K_Al,K_Cu),_xlpm.vd,IF(_xlpm.cm*IF(ISNUMBER(_xlpm.sts),_xlpm.sts,0)=0,9,_xlpm.mult*_xlpm.kk*$I253*$H253/(_xlpm.cm*_xlpm.sts)/$F253),_xlpm.hasN,--(RIGHT(_xlpm.codes&amp;"",1)="N"),_xlpm.wantN,--(RIGHT($BP253&amp;"",1)="N"),_xlpm.ok,(_xlpm.idx&gt;=_xlpm.i)*(_xlpm.vd&lt;=Cfg_VDFeeder)*(_xlpm.cm&gt;0)*ISNUMBER(_xlpm.sts)*(_xlpm.hasN=_xlpm.wantN),_xlpm.m,MIN(IF(_xlpm.ok=1,_xlpm.idx)),INDEX(_xlpm.codes,IF(_xlpm.m=0,_xlpm.i,_xlpm.m))),""))</f>
        <v/>
      </c>
      <c r="BY253" s="829" t="str" cm="1">
        <f t="array" ref="BY253">IF($BP253="","",IF($BX253="",$BU253,IFERROR(IF($BV253="AL",_xlfn.XLOOKUP($BX253,Std_Al3_Code,INDEX(Std_Al3_Table,0,2)),IF($G253=1,_xlfn.XLOOKUP($BX253,Std_Cu1_Code,INDEX(Std_Cu1_Table,0,2)),_xlfn.XLOOKUP($BX253,Std_Cu3_Code,INDEX(Std_Cu3_Table,0,2)))),"")))</f>
        <v/>
      </c>
      <c r="BZ253" s="829" t="str" cm="1">
        <f t="array" ref="BZ253">IF($BP253="","",IF($BX253="",$BR253,IFERROR(IF($BV253="AL",_xlfn.XLOOKUP($BX253,Std_Al3_Code,INDEX(Std_Al3_Table,0,4)),IF($G253=1,_xlfn.XLOOKUP($BX253,Std_Cu1_Code,INDEX(Std_Cu1_Table,0,4)),_xlfn.XLOOKUP($BX253,Std_Cu3_Code,INDEX(Std_Cu3_Table,0,4)))),"")))</f>
        <v/>
      </c>
      <c r="CA253" s="829" t="str" cm="1">
        <f t="array" ref="CA253">IF($BP253="","",IF($BX253="",$BQ253,IFERROR(IF($BV253="AL",_xlfn.XLOOKUP($BX253,Std_Al3_Code,INDEX(Std_Al3_Table,0,3)),IF($G253=1,_xlfn.XLOOKUP($BX253,Std_Cu1_Code,INDEX(Std_Cu1_Table,0,3)),_xlfn.XLOOKUP($BX253,Std_Cu3_Code,INDEX(Std_Cu3_Table,0,3)))),"")))</f>
        <v/>
      </c>
      <c r="CB253" s="829" t="str" cm="1">
        <f t="array" ref="CB253">IF($BP253="","",IF($BX253="",$BS253,IFERROR(IF($BV253="AL",_xlfn.XLOOKUP($BX253,Std_Al3_Code,INDEX(Std_Al3_Table,0,5)),IF($G253=1,_xlfn.XLOOKUP($BX253,Std_Cu1_Code,INDEX(Std_Cu1_Table,0,5)),_xlfn.XLOOKUP($BX253,Std_Cu3_Code,INDEX(Std_Cu3_Table,0,5)))),"")))</f>
        <v/>
      </c>
      <c r="CC253" s="829" t="str">
        <f t="shared" si="73"/>
        <v/>
      </c>
      <c r="CD253" s="829" t="str">
        <f t="shared" si="74"/>
        <v/>
      </c>
      <c r="CE253" s="829" t="str">
        <f t="shared" si="75"/>
        <v/>
      </c>
      <c r="CF253" s="829" t="str">
        <f t="shared" si="76"/>
        <v/>
      </c>
      <c r="CG253" s="829" t="str">
        <f t="shared" si="77"/>
        <v/>
      </c>
      <c r="CH253" s="829" t="str">
        <f t="shared" si="78"/>
        <v/>
      </c>
      <c r="CI253" s="829" t="str">
        <f t="shared" si="79"/>
        <v/>
      </c>
      <c r="CJ253" s="829" t="str" cm="1">
        <f t="array" ref="CJ253">IF($B253="","",_xlfn.LET(_xlpm.to,$D253&amp;"",_xlpm.em,IFERROR(INDEX(_xlfn.ANCHORARRAY($BE$4),ROW()-4,6),"")="EMERG",_xlpm.pri,AND(NOT(_xlpm.em),LEFT(_xlpm.to,2)="T-",ISNUMBER(MATCH(MID(_xlpm.to,3,99),Equip_List,0)),ISNA(MATCH(_xlpm.to,Equip_List,0))),IF(_xlpm.pri,MID(_xlpm.to,3,99),_xlpm.to)))</f>
        <v/>
      </c>
      <c r="CK253" s="829" t="str" cm="1">
        <f t="array" ref="CK253">IF($CJ253="","",IF(IFERROR(INDEX(_xlfn.ANCHORARRAY($BE$4),ROW()-4,6),"")="EMERG","E",IF($CJ253&lt;&gt;$D253&amp;"","P","N")))</f>
        <v/>
      </c>
    </row>
    <row r="254" spans="1:89" ht="15" customHeight="1" x14ac:dyDescent="0.35">
      <c r="A254" s="821" t="str">
        <f t="shared" si="67"/>
        <v/>
      </c>
      <c r="B254" s="821" t="str" cm="1">
        <f t="array" ref="B254">IFERROR(IF(INDEX(_xlfn.ANCHORARRAY($BE$4),ROW()-4,2)="","","F-"&amp;INDEX(_xlfn.ANCHORARRAY($BE$4),ROW()-4,2)&amp;IF(IFERROR(INDEX(_xlfn.ANCHORARRAY($BE$4),ROW()-4,6),"")="EMERG","-E","")),"")</f>
        <v/>
      </c>
      <c r="C254" s="821" t="str" cm="1">
        <f t="array" ref="C254">IFERROR(IF($B254="","",INDEX(_xlfn.ANCHORARRAY($BE$4),ROW()-4,1)),"")</f>
        <v/>
      </c>
      <c r="D254" s="821" t="str" cm="1">
        <f t="array" ref="D254">IFERROR(IF($B254="","",INDEX(_xlfn.ANCHORARRAY($BE$4),ROW()-4,2)),"")</f>
        <v/>
      </c>
      <c r="E254" s="806" t="str" cm="1">
        <f t="array" ref="E254">IFERROR(IF($B254="","",INDEX(_xlfn.ANCHORARRAY($BE$4),ROW()-4,3)),"")</f>
        <v/>
      </c>
      <c r="F254" s="822" t="str" cm="1">
        <f t="array" ref="F254">IFERROR(IF($B254="","",INDEX(_xlfn.ANCHORARRAY($BE$4),ROW()-4,4)),"")</f>
        <v/>
      </c>
      <c r="G254" s="823" t="str" cm="1">
        <f t="array" ref="G254">IFERROR(IF($B254="","",INDEX(_xlfn.ANCHORARRAY($BE$4),ROW()-4,5)),"")</f>
        <v/>
      </c>
      <c r="H254" s="824" t="str" cm="1">
        <f t="array" ref="H254">IF($CJ254="","",_xlfn.LET(_xlpm.v,_xlfn.XLOOKUP($CJ254,Equip_List,IF($CK254="E",Equip_EmLen,IF($CK254="P",Equip_XfPriLen,Equip_FdrLen)),""),IF(_xlpm.v="","",_xlpm.v)))</f>
        <v/>
      </c>
      <c r="I254" s="806" t="str">
        <f t="shared" si="60"/>
        <v/>
      </c>
      <c r="J254" s="820"/>
      <c r="K254" s="806" t="str">
        <f>_xlfn.LET(_xlpm.k,IF($I254="","",IF(COUNTIF(UPS!$B$57:$B$64,$C254&amp;"")&gt;0,1.25*MAX($I254,N(_xlfn.XLOOKUP($C254&amp;"",UPS!$B$57:$B$64,UPS!$M$57:$M$64,0))),IF(COUNTIF(UPS!$B$57:$B$64,$D254&amp;"")&gt;0,1.25*MAX($I254,N(_xlfn.XLOOKUP($D254&amp;"",UPS!$B$57:$B$64,UPS!$Q$57:$Q$64,0))),$I254*IF(OR(UPPER($J254)="Y",LEFT($C254,2)="T-",LEFT($D254,2)="T-"),1.25,1)))),IF(_xlpm.k="","",MAX(_xlpm.k,N(IFERROR(_xlfn.XLOOKUP($D254&amp;"",Dashboard!$A$101:$A$350,Dashboard!$O$101:$O$350,0),0)))))</f>
        <v/>
      </c>
      <c r="L254" s="825" t="str">
        <f>IF($CJ254="","",_xlfn.LET(_xlpm.v,UPPER(TRIM(_xlfn.XLOOKUP($CJ254,Equip_List,Equip_FdrMat,"")&amp;"")),IF(_xlpm.v="",UPPER(TRIM(Cfg_FeederMat&amp;"")),_xlpm.v)))</f>
        <v/>
      </c>
      <c r="M254" s="825" t="str">
        <f>IF($CJ254="","",_xlfn.LET(_xlpm.v,TRIM(_xlfn.XLOOKUP($CJ254,Equip_List,Equip_FdrRace,"")&amp;""),IF(_xlpm.v="",Cfg_Conduit&amp;"",_xlpm.v)))</f>
        <v/>
      </c>
      <c r="N254" s="825" t="str">
        <f>IF($CJ254="","",IF(UPPER(TRIM(_xlfn.XLOOKUP($CJ254,Equip_List,Equip_FdrExist,"")&amp;""))="Y","Y",""))</f>
        <v/>
      </c>
      <c r="O254" s="823" t="str">
        <f t="shared" si="68"/>
        <v/>
      </c>
      <c r="P254" s="821" t="str">
        <f t="shared" si="69"/>
        <v/>
      </c>
      <c r="Q254" s="821" t="str">
        <f t="shared" si="70"/>
        <v/>
      </c>
      <c r="R254" s="822" t="str" cm="1">
        <f t="array" ref="R254">IF(K254="","",INDEX(OCPD_List,MATCH(TRUE,OCPD_List&gt;=K254,0)))</f>
        <v/>
      </c>
      <c r="S254" s="821" t="str">
        <f t="shared" si="71"/>
        <v/>
      </c>
      <c r="T254" s="826" t="str">
        <f t="shared" si="61"/>
        <v/>
      </c>
      <c r="U254" s="826" t="str">
        <f t="shared" si="62"/>
        <v/>
      </c>
      <c r="V254" s="827" t="str">
        <f t="shared" si="63"/>
        <v/>
      </c>
      <c r="W254" s="828"/>
      <c r="X254" s="819"/>
      <c r="Y254" s="820"/>
      <c r="Z254" s="820"/>
      <c r="AA254" s="820"/>
      <c r="BN254" s="832" t="str">
        <f>IF($B254="","",IFERROR(_xlfn.XLOOKUP($D254,Dashboard!$A$101:$A$350,Dashboard!$C$101:$C$350),""))</f>
        <v/>
      </c>
      <c r="BO254" s="832" t="str">
        <f t="shared" si="64"/>
        <v/>
      </c>
      <c r="BP254" s="832" t="str" cm="1">
        <f t="array" ref="BP254">IF(OR($B254="",$R254="",NOT(ISNUMBER($R254))),"",IF(AND($BV254="AL",$G254=1),"",_xlfn.LET(_xlpm.codes,IF($BV254="AL",Std_Al3_Code,IF($G254=1,Std_Cu1_Code,Std_Cu3_Code)),_xlpm.amps,IFERROR(--SUBSTITUTE(_xlpm.codes&amp;"","N",""),""),_xlpm.a,MIN(IF(ISNUMBER(_xlpm.amps),IF(_xlpm.amps&gt;=$R254,_xlpm.amps,""),"")),_xlpm.k,IF(_xlpm.a=0,$R254,_xlpm.a),IF($BO254="Y",TEXT(_xlpm.k,"0")&amp;"N",_xlpm.k))))</f>
        <v/>
      </c>
      <c r="BQ254" s="832" t="str" cm="1">
        <f t="array" ref="BQ254">IF($BP254="","",IFERROR(IF($BV254="AL",_xlfn.XLOOKUP($BP254,Std_Al3_Code,INDEX(Std_Al3_Table,0,3)),IF($G254=1,_xlfn.XLOOKUP($BP254,Std_Cu1_Code,INDEX(Std_Cu1_Table,0,3)),_xlfn.XLOOKUP($BP254,Std_Cu3_Code,INDEX(Std_Cu3_Table,0,3)))),""))</f>
        <v/>
      </c>
      <c r="BR254" s="832" t="str" cm="1">
        <f t="array" ref="BR254">IF($BP254="","",IFERROR(IF($BV254="AL",_xlfn.XLOOKUP($BP254,Std_Al3_Code,INDEX(Std_Al3_Table,0,4)),IF($G254=1,_xlfn.XLOOKUP($BP254,Std_Cu1_Code,INDEX(Std_Cu1_Table,0,4)),_xlfn.XLOOKUP($BP254,Std_Cu3_Code,INDEX(Std_Cu3_Table,0,4)))),""))</f>
        <v/>
      </c>
      <c r="BS254" s="832" t="str" cm="1">
        <f t="array" ref="BS254">IF($BP254="","",IFERROR(IF($BV254="AL",_xlfn.XLOOKUP($BP254,Std_Al3_Code,INDEX(Std_Al3_Table,0,5)),IF($G254=1,_xlfn.XLOOKUP($BP254,Std_Cu1_Code,INDEX(Std_Cu1_Table,0,5)),_xlfn.XLOOKUP($BP254,Std_Cu3_Code,INDEX(Std_Cu3_Table,0,5)))),""))</f>
        <v/>
      </c>
      <c r="BT254" s="832" t="str">
        <f t="shared" si="65"/>
        <v/>
      </c>
      <c r="BU254" s="832" t="str" cm="1">
        <f t="array" ref="BU254">IF($BP254="","",IFERROR(IF($BV254="AL",_xlfn.XLOOKUP($BP254,Std_Al3_Code,INDEX(Std_Al3_Table,0,2)),IF($G254=1,_xlfn.XLOOKUP($BP254,Std_Cu1_Code,INDEX(Std_Cu1_Table,0,2)),_xlfn.XLOOKUP($BP254,Std_Cu3_Code,INDEX(Std_Cu3_Table,0,2)))),""))</f>
        <v/>
      </c>
      <c r="BV254" s="829" t="str">
        <f t="shared" si="66"/>
        <v/>
      </c>
      <c r="BW254" s="829" t="str">
        <f t="shared" si="72"/>
        <v/>
      </c>
      <c r="BX254" s="829" t="str" cm="1">
        <f t="array" ref="BX254">IF(OR($BP254="",$H254="",$I254="",$F254="",$BW254=""),"",IFERROR(_xlfn.LET(_xlpm.codes,IF($BV254="AL",Std_Al3_Code,IF($G254=1,Std_Cu1_Code,Std_Cu3_Code)),_xlpm.tbl,IF($BV254="AL",Std_Al3_Table,IF($G254=1,Std_Cu1_Table,Std_Cu3_Table)),_xlpm.i,MATCH($BP254,_xlpm.codes,0),_xlpm.idx,_xlfn.SEQUENCE(ROWS(_xlpm.codes)),_xlpm.cnd,INDEX(_xlpm.tbl,0,4),_xlpm.sts,INDEX(_xlpm.tbl,0,2),_xlpm.sz,IFERROR(_xlfn.TEXTBEFORE(_xlfn.TEXTAFTER(_xlpm.cnd,"#"),","),IFERROR(_xlfn.TEXTAFTER(_xlpm.cnd,"#"),"")),_xlpm.cm,IFERROR(_xlfn.XLOOKUP(TRIM(_xlpm.sz),Ampacity_Size,Ampacity_CM),0),_xlpm.mult,IF($G254=3,SQRT3,2),_xlpm.kk,IF($BV254="AL",K_Al,K_Cu),_xlpm.vd,IF(_xlpm.cm*IF(ISNUMBER(_xlpm.sts),_xlpm.sts,0)=0,9,_xlpm.mult*_xlpm.kk*$I254*$H254/(_xlpm.cm*_xlpm.sts)/$F254),_xlpm.hasN,--(RIGHT(_xlpm.codes&amp;"",1)="N"),_xlpm.wantN,--(RIGHT($BP254&amp;"",1)="N"),_xlpm.ok,(_xlpm.idx&gt;=_xlpm.i)*(_xlpm.vd&lt;=Cfg_VDFeeder)*(_xlpm.cm&gt;0)*ISNUMBER(_xlpm.sts)*(_xlpm.hasN=_xlpm.wantN),_xlpm.m,MIN(IF(_xlpm.ok=1,_xlpm.idx)),INDEX(_xlpm.codes,IF(_xlpm.m=0,_xlpm.i,_xlpm.m))),""))</f>
        <v/>
      </c>
      <c r="BY254" s="829" t="str" cm="1">
        <f t="array" ref="BY254">IF($BP254="","",IF($BX254="",$BU254,IFERROR(IF($BV254="AL",_xlfn.XLOOKUP($BX254,Std_Al3_Code,INDEX(Std_Al3_Table,0,2)),IF($G254=1,_xlfn.XLOOKUP($BX254,Std_Cu1_Code,INDEX(Std_Cu1_Table,0,2)),_xlfn.XLOOKUP($BX254,Std_Cu3_Code,INDEX(Std_Cu3_Table,0,2)))),"")))</f>
        <v/>
      </c>
      <c r="BZ254" s="829" t="str" cm="1">
        <f t="array" ref="BZ254">IF($BP254="","",IF($BX254="",$BR254,IFERROR(IF($BV254="AL",_xlfn.XLOOKUP($BX254,Std_Al3_Code,INDEX(Std_Al3_Table,0,4)),IF($G254=1,_xlfn.XLOOKUP($BX254,Std_Cu1_Code,INDEX(Std_Cu1_Table,0,4)),_xlfn.XLOOKUP($BX254,Std_Cu3_Code,INDEX(Std_Cu3_Table,0,4)))),"")))</f>
        <v/>
      </c>
      <c r="CA254" s="829" t="str" cm="1">
        <f t="array" ref="CA254">IF($BP254="","",IF($BX254="",$BQ254,IFERROR(IF($BV254="AL",_xlfn.XLOOKUP($BX254,Std_Al3_Code,INDEX(Std_Al3_Table,0,3)),IF($G254=1,_xlfn.XLOOKUP($BX254,Std_Cu1_Code,INDEX(Std_Cu1_Table,0,3)),_xlfn.XLOOKUP($BX254,Std_Cu3_Code,INDEX(Std_Cu3_Table,0,3)))),"")))</f>
        <v/>
      </c>
      <c r="CB254" s="829" t="str" cm="1">
        <f t="array" ref="CB254">IF($BP254="","",IF($BX254="",$BS254,IFERROR(IF($BV254="AL",_xlfn.XLOOKUP($BX254,Std_Al3_Code,INDEX(Std_Al3_Table,0,5)),IF($G254=1,_xlfn.XLOOKUP($BX254,Std_Cu1_Code,INDEX(Std_Cu1_Table,0,5)),_xlfn.XLOOKUP($BX254,Std_Cu3_Code,INDEX(Std_Cu3_Table,0,5)))),"")))</f>
        <v/>
      </c>
      <c r="CC254" s="829" t="str">
        <f t="shared" si="73"/>
        <v/>
      </c>
      <c r="CD254" s="829" t="str">
        <f t="shared" si="74"/>
        <v/>
      </c>
      <c r="CE254" s="829" t="str">
        <f t="shared" si="75"/>
        <v/>
      </c>
      <c r="CF254" s="829" t="str">
        <f t="shared" si="76"/>
        <v/>
      </c>
      <c r="CG254" s="829" t="str">
        <f t="shared" si="77"/>
        <v/>
      </c>
      <c r="CH254" s="829" t="str">
        <f t="shared" si="78"/>
        <v/>
      </c>
      <c r="CI254" s="829" t="str">
        <f t="shared" si="79"/>
        <v/>
      </c>
      <c r="CJ254" s="829" t="str" cm="1">
        <f t="array" ref="CJ254">IF($B254="","",_xlfn.LET(_xlpm.to,$D254&amp;"",_xlpm.em,IFERROR(INDEX(_xlfn.ANCHORARRAY($BE$4),ROW()-4,6),"")="EMERG",_xlpm.pri,AND(NOT(_xlpm.em),LEFT(_xlpm.to,2)="T-",ISNUMBER(MATCH(MID(_xlpm.to,3,99),Equip_List,0)),ISNA(MATCH(_xlpm.to,Equip_List,0))),IF(_xlpm.pri,MID(_xlpm.to,3,99),_xlpm.to)))</f>
        <v/>
      </c>
      <c r="CK254" s="829" t="str" cm="1">
        <f t="array" ref="CK254">IF($CJ254="","",IF(IFERROR(INDEX(_xlfn.ANCHORARRAY($BE$4),ROW()-4,6),"")="EMERG","E",IF($CJ254&lt;&gt;$D254&amp;"","P","N")))</f>
        <v/>
      </c>
    </row>
  </sheetData>
  <sheetProtection sheet="1" objects="1" scenarios="1"/>
  <mergeCells count="9">
    <mergeCell ref="X3:AA3"/>
    <mergeCell ref="O3:S3"/>
    <mergeCell ref="T3:W3"/>
    <mergeCell ref="A1:W1"/>
    <mergeCell ref="A2:W2"/>
    <mergeCell ref="A3:D3"/>
    <mergeCell ref="E3:G3"/>
    <mergeCell ref="H3:K3"/>
    <mergeCell ref="L3:N3"/>
  </mergeCells>
  <conditionalFormatting sqref="J5:J254">
    <cfRule type="expression" dxfId="54" priority="2">
      <formula>OR($B5&lt;&gt;"",ROW()=5)</formula>
    </cfRule>
  </conditionalFormatting>
  <conditionalFormatting sqref="X5:AA254">
    <cfRule type="expression" dxfId="53" priority="5">
      <formula>OR($B5&lt;&gt;"",ROW()=5)</formula>
    </cfRule>
  </conditionalFormatting>
  <conditionalFormatting sqref="H5:H254">
    <cfRule type="expression" dxfId="52" priority="7">
      <formula>AND($B5&lt;&gt;"",$H5="")</formula>
    </cfRule>
  </conditionalFormatting>
  <conditionalFormatting sqref="V5:V254">
    <cfRule type="expression" dxfId="51" priority="8">
      <formula>AND($B5&lt;&gt;"",LEFT($V5,1)="⚠")</formula>
    </cfRule>
  </conditionalFormatting>
  <conditionalFormatting sqref="A5:W254">
    <cfRule type="expression" dxfId="50" priority="9">
      <formula>OR($B5&lt;&gt;"",ROW()=5)</formula>
    </cfRule>
  </conditionalFormatting>
  <conditionalFormatting sqref="W5:W254">
    <cfRule type="expression" dxfId="49" priority="10">
      <formula>OR($B5&lt;&gt;"",ROW()=5)</formula>
    </cfRule>
  </conditionalFormatting>
  <conditionalFormatting sqref="X5:AA254">
    <cfRule type="expression" dxfId="0" priority="11">
      <formula>OR($B5&lt;&gt;"",ROW()=5)</formula>
    </cfRule>
  </conditionalFormatting>
  <dataValidations count="8">
    <dataValidation type="list" allowBlank="1" showInputMessage="1" showErrorMessage="1" sqref="F5" xr:uid="{4ECD3014-513F-4071-A8A5-1E68D62CFC48}">
      <formula1>"120,208,240,277,480,600"</formula1>
    </dataValidation>
    <dataValidation type="list" allowBlank="1" showInputMessage="1" showErrorMessage="1" sqref="G5" xr:uid="{D559404D-45C1-4FE2-9E49-0EBB4FF8C0CD}">
      <formula1>"1,3"</formula1>
    </dataValidation>
    <dataValidation type="list" allowBlank="1" showInputMessage="1" showErrorMessage="1" errorTitle="Continuous load?" error="Enter Y or N. Y applies the 125% continuous-load factor from 210.19(A) / 215.2(A) to the required ampacity." sqref="J5:J254" xr:uid="{E7BA3A35-CEA9-49B7-8513-87EE33B50E61}">
      <formula1>"Y,N"</formula1>
    </dataValidation>
    <dataValidation type="list" allowBlank="1" showInputMessage="1" showErrorMessage="1" errorTitle="Conduit type" error="Enter Steel, PVC or Aluminum. This sets the Bussmann C constant used by the Short Circuit study; steel raceway lowers C and reduces let-through fault current." sqref="M5:M254" xr:uid="{BAA9993A-F6C2-4DD9-9356-C98EAB75550F}">
      <formula1>"Steel,PVC,Aluminum"</formula1>
    </dataValidation>
    <dataValidation type="decimal" allowBlank="1" showInputMessage="1" showErrorMessage="1" errorTitle="One-way length" error="Enter the one-way run length in feet, 0 to 5000. Do not double it for the return path — the formulas already apply the 2x or root-three multiplier." sqref="H5:H254" xr:uid="{D54EC372-D490-4861-8455-6979F80C22C2}">
      <formula1>0</formula1>
      <formula2>5000</formula2>
    </dataValidation>
    <dataValidation type="list" allowBlank="1" showInputMessage="1" showErrorMessage="1" errorTitle="Conductor size" error="Pick a size from the NEC 310.16 table. The Status column flags the row if the chosen size and set count cannot carry the required ampacity." sqref="Q5:Q254" xr:uid="{3D6CA11C-DEDB-4C57-99A0-54F7E0B3FE00}">
      <formula1>Ampacity_Size</formula1>
    </dataValidation>
    <dataValidation type="list" allowBlank="1" showInputMessage="1" showErrorMessage="1" promptTitle="Conductor material" prompt="Leave blank to inherit the project default set on Dashboard!C47." sqref="L5:L254" xr:uid="{7072AA93-6837-4DE0-8B5D-73F34CC01AF3}">
      <formula1>"Cu,Al"</formula1>
    </dataValidation>
    <dataValidation type="list" allowBlank="1" showInputMessage="1" showErrorMessage="1" promptTitle="Existing feeder" prompt="Enter Y for an existing feeder to remain. Sizing lookups are bypassed; use the override columns to record what is actually installed." sqref="N5:N254" xr:uid="{DBD4A0F9-0A3A-4B67-A0E0-04C4AC30E0F8}">
      <formula1>"Y"</formula1>
    </dataValidation>
  </dataValidations>
  <pageMargins left="0.7" right="0.7" top="0.75" bottom="0.75" header="0.3" footer="0.3"/>
  <pageSetup scale="28"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6F89-834B-49D0-8BC2-4DB73D13802F}">
  <sheetPr codeName="Sheet11">
    <tabColor rgb="FF4DAB51"/>
    <pageSetUpPr fitToPage="1"/>
  </sheetPr>
  <dimension ref="A1:CP262"/>
  <sheetViews>
    <sheetView showGridLines="0" showRowColHeaders="0" workbookViewId="0">
      <selection sqref="A1:H1"/>
    </sheetView>
  </sheetViews>
  <sheetFormatPr defaultColWidth="8.7265625" defaultRowHeight="16.5" outlineLevelCol="1" x14ac:dyDescent="0.35"/>
  <cols>
    <col min="1" max="1" width="27.26953125" style="20" customWidth="1"/>
    <col min="2" max="5" width="15.54296875" style="20" customWidth="1"/>
    <col min="6" max="6" width="21.81640625" style="20" customWidth="1"/>
    <col min="7" max="7" width="23.54296875" style="20" customWidth="1"/>
    <col min="8" max="9" width="10.7265625" style="20" customWidth="1"/>
    <col min="10" max="15" width="10.54296875" style="20" customWidth="1"/>
    <col min="16" max="17" width="18.1796875" style="20" customWidth="1"/>
    <col min="18" max="19" width="10.54296875" style="20" customWidth="1"/>
    <col min="20" max="20" width="40" style="20" customWidth="1"/>
    <col min="21" max="21" width="45.54296875" style="20" customWidth="1"/>
    <col min="22" max="54" width="8.7265625" style="20"/>
    <col min="55" max="91" width="0" style="20" hidden="1" customWidth="1" outlineLevel="1"/>
    <col min="92" max="92" width="8.7265625" style="20" collapsed="1"/>
    <col min="93" max="16384" width="8.7265625" style="20"/>
  </cols>
  <sheetData>
    <row r="1" spans="1:94" ht="30" customHeight="1" x14ac:dyDescent="0.35">
      <c r="A1" s="705" t="s">
        <v>226</v>
      </c>
      <c r="B1" s="706"/>
      <c r="C1" s="706"/>
      <c r="D1" s="706"/>
      <c r="E1" s="706"/>
      <c r="F1" s="706"/>
      <c r="G1" s="706"/>
      <c r="H1" s="707"/>
      <c r="I1" s="250"/>
      <c r="J1" s="250"/>
      <c r="K1" s="250"/>
      <c r="L1" s="250"/>
      <c r="M1" s="250"/>
      <c r="N1" s="250"/>
      <c r="O1" s="250"/>
      <c r="P1" s="250"/>
      <c r="Q1" s="250"/>
      <c r="R1" s="250"/>
      <c r="S1" s="250"/>
      <c r="T1" s="250"/>
      <c r="U1" s="250"/>
      <c r="BC1" s="20" t="s">
        <v>1377</v>
      </c>
    </row>
    <row r="2" spans="1:94" ht="60" customHeight="1" x14ac:dyDescent="0.35">
      <c r="A2" s="624" t="s">
        <v>1611</v>
      </c>
      <c r="B2" s="617"/>
      <c r="C2" s="617"/>
      <c r="D2" s="617"/>
      <c r="E2" s="617"/>
      <c r="F2" s="617"/>
      <c r="G2" s="617"/>
      <c r="H2" s="617"/>
      <c r="I2" s="617"/>
      <c r="J2" s="617"/>
      <c r="K2" s="617"/>
      <c r="L2" s="617"/>
      <c r="M2" s="617"/>
      <c r="N2" s="617"/>
      <c r="O2" s="617"/>
      <c r="P2" s="617"/>
      <c r="Q2" s="617"/>
      <c r="R2" s="617"/>
      <c r="S2" s="617"/>
      <c r="T2" s="617"/>
      <c r="U2" s="617"/>
      <c r="BC2" s="20" t="str">
        <f>IFERROR(IF(INDEX(_xlfn.ANCHORARRAY($BK$4),1,1)="","— no nodes —",ROWS(_xlfn.ANCHORARRAY($BK$4))&amp;" bus(es) resolved"),"Requires Microsoft 365 or Excel for the web")</f>
        <v>1 bus(es) resolved</v>
      </c>
      <c r="BR2" s="20" t="s">
        <v>1381</v>
      </c>
    </row>
    <row r="3" spans="1:94" s="32" customFormat="1" ht="30" customHeight="1" x14ac:dyDescent="0.35">
      <c r="A3" s="699" t="s">
        <v>227</v>
      </c>
      <c r="B3" s="699"/>
      <c r="C3" s="699"/>
      <c r="D3" s="699"/>
      <c r="E3" s="699"/>
      <c r="F3" s="699" t="s">
        <v>1365</v>
      </c>
      <c r="G3" s="699"/>
      <c r="H3" s="699" t="s">
        <v>1403</v>
      </c>
      <c r="I3" s="699"/>
      <c r="J3" s="699" t="s">
        <v>1404</v>
      </c>
      <c r="K3" s="699"/>
      <c r="L3" s="699"/>
      <c r="M3" s="699"/>
      <c r="N3" s="699" t="s">
        <v>1366</v>
      </c>
      <c r="O3" s="700"/>
      <c r="P3" s="709" t="s">
        <v>1604</v>
      </c>
      <c r="Q3" s="710"/>
      <c r="R3" s="702" t="s">
        <v>1405</v>
      </c>
      <c r="S3" s="699"/>
      <c r="T3" s="699"/>
      <c r="U3" s="699"/>
      <c r="BC3" s="32" t="s">
        <v>227</v>
      </c>
      <c r="BD3" s="32" t="s">
        <v>1378</v>
      </c>
      <c r="BE3" s="32" t="s">
        <v>280</v>
      </c>
      <c r="BF3" s="32" t="s">
        <v>194</v>
      </c>
      <c r="BG3" s="32" t="s">
        <v>207</v>
      </c>
      <c r="BH3" s="32" t="s">
        <v>1382</v>
      </c>
      <c r="BI3" s="32" t="s">
        <v>1379</v>
      </c>
      <c r="BK3" s="32" t="s">
        <v>1380</v>
      </c>
      <c r="BR3" s="32" t="str" cm="1">
        <f t="array" ref="BR3">_xlfn.LET(_xlpm.nd,INDEX(_xlfn.ANCHORARRAY($BK$4),0,1),_xlpm.t,INDEX(_xlfn.ANCHORARRAY($BK$4),0,6),_xlpm.bad,(_xlpm.t&lt;0)*1,IFERROR(IF(SUM(_xlpm.bad)=0,"✓ every bus traces back to the utility","⚠ unresolved or circular: "&amp;_xlfn.TEXTJOIN(", ",TRUE,_xlfn._xlws.FILTER(_xlpm.nd,_xlpm.bad=1))),"Requires Microsoft 365 or Excel for the web"))</f>
        <v>✓ every bus traces back to the utility</v>
      </c>
    </row>
    <row r="4" spans="1:94" ht="46" customHeight="1" x14ac:dyDescent="0.45">
      <c r="A4" s="708" t="s">
        <v>227</v>
      </c>
      <c r="B4" s="708" t="s">
        <v>207</v>
      </c>
      <c r="C4" s="708" t="s">
        <v>1379</v>
      </c>
      <c r="D4" s="708" t="s">
        <v>1396</v>
      </c>
      <c r="E4" s="708" t="s">
        <v>104</v>
      </c>
      <c r="F4" s="708" t="s">
        <v>1397</v>
      </c>
      <c r="G4" s="708" t="s">
        <v>1398</v>
      </c>
      <c r="H4" s="708" t="s">
        <v>1399</v>
      </c>
      <c r="I4" s="708" t="s">
        <v>1178</v>
      </c>
      <c r="J4" s="708" t="s">
        <v>1400</v>
      </c>
      <c r="K4" s="708" t="s">
        <v>1226</v>
      </c>
      <c r="L4" s="708" t="s">
        <v>1401</v>
      </c>
      <c r="M4" s="708" t="s">
        <v>1402</v>
      </c>
      <c r="N4" s="708" t="s">
        <v>863</v>
      </c>
      <c r="O4" s="711" t="s">
        <v>871</v>
      </c>
      <c r="P4" s="377" t="s">
        <v>1605</v>
      </c>
      <c r="Q4" s="377" t="s">
        <v>1606</v>
      </c>
      <c r="R4" s="712" t="s">
        <v>228</v>
      </c>
      <c r="S4" s="708" t="s">
        <v>356</v>
      </c>
      <c r="T4" s="708" t="s">
        <v>229</v>
      </c>
      <c r="U4" s="708" t="s">
        <v>206</v>
      </c>
      <c r="BC4" s="20" t="str" cm="1">
        <f t="array" ref="BC4:BH4">_xlfn.LET(_xlpm.utl,Util_TagList,_xlpm.utag,INDEX(_xlpm.utl,1),_xlpm.ft,_xlfn.LET(_xlpm.fz,_xlfn.ANCHORARRAY('Feeder Schedule'!$BE$4),IF(COLUMNS(_xlpm.fz)&lt;6,_xlpm.fz,_xlfn.LET(_xlpm.mk,INDEX(_xlpm.fz,0,6)&lt;&gt;"EMERG",IF(SUM(--_xlpm.mk)=0,_xlpm.fz,_xlfn._xlws.FILTER(_xlpm.fz,_xlpm.mk))))),_xlpm.uv,_xlfn.LET(_xlpm.x,IFERROR(_xlfn.XLOOKUP(Dashboard!$C$38,Xfmr_VoltStr,Xfmr_BaseV),""),IF(_xlpm.x="","",_xlpm.x)),_xlpm.uph,_xlfn.LET(_xlpm.x,IFERROR(_xlfn.XLOOKUP(Dashboard!$C$38,Xfmr_VoltStr,Xfmr_Ph),""),IF(_xlpm.x="","",_xlpm.x)),_xlpm.uln,_xlfn.LET(_xlpm.x,IFERROR(_xlfn.XLOOKUP(Dashboard!$C$38,Xfmr_VoltStr,Xfmr_LNV),""),IF(_xlpm.x="","",_xlpm.x)),_xlpm.u,_xlfn.HSTACK(_xlpm.utl,IF(_xlpm.utl&lt;&gt;"","—"),IF(_xlpm.utl&lt;&gt;"",_xlpm.uv),IF(_xlpm.utl&lt;&gt;"",_xlpm.uph),IF(_xlpm.utl&lt;&gt;"","Source"),IF(_xlpm.utl&lt;&gt;"",_xlpm.uln)),IF(INDEX(_xlpm.ft,1,1)="",_xlpm.u,_xlfn.LET(_xlpm.n,INDEX(_xlpm.ft,0,2),_xlpm.p,INDEX(_xlpm.ft,0,1),_xlpm.v,INDEX(_xlpm.ft,0,4),_xlpm.ph,INDEX(_xlpm.ft,0,5),_xlpm.tg,Dashboard!$A$101:$A$350,_xlpm.ty,Dashboard!$B$101:$B$350,_xlpm.vs,Dashboard!$C$101:$C$350,_xlpm.isT,LEFT(_xlpm.n,2)="T-",_xlpm.own,IFERROR(_xlfn.XLOOKUP(_xlpm.n,_xlpm.tg,_xlpm.vs),""),_xlpm.kid,IFERROR(_xlfn.XLOOKUP(MID(_xlpm.n,3,255),_xlpm.tg,_xlpm.vs),""),_xlpm.use,IF(_xlpm.isT,_xlpm.kid,_xlpm.own),_xlpm.vv,_xlfn.LET(_xlpm.x,IFERROR(_xlfn.XLOOKUP(_xlpm.use,Xfmr_VoltStr,Xfmr_BaseV),_xlpm.v),IF(_xlpm.x="","",_xlpm.x)),_xlpm.pp,_xlfn.LET(_xlpm.x,IFERROR(_xlfn.XLOOKUP(_xlpm.use,Xfmr_VoltStr,Xfmr_Ph),_xlpm.ph),IF(_xlpm.x="","",_xlpm.x)),_xlpm.ll,_xlfn.LET(_xlpm.x,IFERROR(_xlfn.XLOOKUP(_xlpm.use,Xfmr_VoltStr,Xfmr_LNV),""),IF(_xlpm.x="","",_xlpm.x)),_xlpm.tp,IF(_xlpm.isT,"Transformer",_xlfn.LET(_xlpm.x,IFERROR(_xlfn.XLOOKUP(_xlpm.n,_xlpm.tg,_xlpm.ty),""),IF(_xlpm.x="","",_xlpm.x))),_xlpm.fdr,Dashboard!$D$101:$D$350,_xlpm.pn,IF(_xlpm.p="Source",_xlfn.MAP(_xlpm.n,_xlfn.LAMBDA(_xlpm.x,_xlfn.LET(_xlpm.y,IFERROR(_xlfn.XLOOKUP(_xlpm.x,_xlpm.tg,_xlpm.fdr)&amp;"",""),IF(ISNUMBER(MATCH(_xlpm.y,_xlpm.utl,0)),_xlpm.y,_xlpm.utag)))),_xlpm.p),_xlfn.VSTACK(_xlpm.u,_xlfn.HSTACK(_xlpm.n,_xlpm.pn,_xlpm.vv,_xlpm.pp,_xlpm.tp,_xlpm.ll)))))</f>
        <v>Utility Service</v>
      </c>
      <c r="BD4" s="20" t="str">
        <v>—</v>
      </c>
      <c r="BE4" s="20" t="str">
        <v/>
      </c>
      <c r="BF4" s="20" t="str">
        <v/>
      </c>
      <c r="BG4" s="20" t="str">
        <v>Source</v>
      </c>
      <c r="BH4" s="20" t="str">
        <v/>
      </c>
      <c r="BI4" s="20" cm="1">
        <f t="array" ref="BI4">_xlfn.LET(_xlpm.nd,INDEX(_xlfn.ANCHORARRAY($BC$4),0,1),_xlpm.pr,INDEX(_xlfn.ANCHORARRAY($BC$4),0,2),_xlpm.k,MIN(250,ROWS(_xlpm.nd)),_xlpm.t0,IF(ISNUMBER(MATCH(_xlpm.nd,Util_TagList,0)),0,-1),_xlfn.REDUCE(_xlpm.t0,_xlfn.SEQUENCE(_xlpm.k),_xlfn.LAMBDA(_xlpm.a,_xlpm.i,_xlfn.LET(_xlpm.pt,IFERROR(_xlfn.XLOOKUP(_xlpm.pr,_xlpm.nd,_xlpm.a),-1),IF(_xlpm.a&gt;=0,_xlpm.a,IF(_xlpm.pt&gt;=0,_xlpm.pt+1,-1))))))</f>
        <v>0</v>
      </c>
      <c r="BK4" s="20" t="str" cm="1">
        <f t="array" ref="BK4:BQ4">IFERROR(_xlfn._xlws.SORT(_xlfn.HSTACK(_xlfn.ANCHORARRAY($BC$4),_xlfn.ANCHORARRAY($BI$4)),7,1),"")</f>
        <v>Utility Service</v>
      </c>
      <c r="BL4" s="20" t="str">
        <v>—</v>
      </c>
      <c r="BM4" s="20" t="str">
        <v/>
      </c>
      <c r="BN4" s="20" t="str">
        <v/>
      </c>
      <c r="BO4" s="20" t="str">
        <v>Source</v>
      </c>
      <c r="BP4" s="20" t="str">
        <v/>
      </c>
      <c r="BQ4" s="20">
        <v>0</v>
      </c>
      <c r="CO4" s="20" t="s">
        <v>1607</v>
      </c>
      <c r="CP4" s="20" t="s">
        <v>1608</v>
      </c>
    </row>
    <row r="5" spans="1:94" ht="15" customHeight="1" x14ac:dyDescent="0.45">
      <c r="A5" s="708"/>
      <c r="B5" s="708"/>
      <c r="C5" s="708"/>
      <c r="D5" s="708"/>
      <c r="E5" s="708"/>
      <c r="F5" s="708"/>
      <c r="G5" s="708"/>
      <c r="H5" s="708"/>
      <c r="I5" s="708"/>
      <c r="J5" s="708"/>
      <c r="K5" s="708"/>
      <c r="L5" s="708"/>
      <c r="M5" s="708"/>
      <c r="N5" s="708"/>
      <c r="O5" s="708"/>
      <c r="P5" s="378"/>
      <c r="Q5" s="378"/>
      <c r="R5" s="708"/>
      <c r="S5" s="708"/>
      <c r="T5" s="708"/>
      <c r="U5" s="708"/>
      <c r="BV5" s="379" t="s">
        <v>1383</v>
      </c>
      <c r="BW5" s="379" t="s">
        <v>570</v>
      </c>
      <c r="BX5" s="379" t="s">
        <v>1369</v>
      </c>
      <c r="BY5" s="379" t="s">
        <v>571</v>
      </c>
      <c r="BZ5" s="379" t="s">
        <v>222</v>
      </c>
      <c r="CA5" s="379" t="s">
        <v>1384</v>
      </c>
      <c r="CB5" s="379" t="s">
        <v>1385</v>
      </c>
      <c r="CC5" s="379"/>
      <c r="CD5" s="379" t="s">
        <v>1386</v>
      </c>
      <c r="CE5" s="379" t="s">
        <v>1387</v>
      </c>
      <c r="CF5" s="379" t="s">
        <v>1388</v>
      </c>
      <c r="CG5" s="379" t="s">
        <v>1389</v>
      </c>
      <c r="CH5" s="379" t="s">
        <v>1390</v>
      </c>
      <c r="CI5" s="379" t="s">
        <v>1391</v>
      </c>
      <c r="CJ5" s="379" t="s">
        <v>1392</v>
      </c>
      <c r="CK5" s="379" t="s">
        <v>1393</v>
      </c>
      <c r="CL5" s="379" t="s">
        <v>1394</v>
      </c>
      <c r="CM5" s="379" t="s">
        <v>1395</v>
      </c>
    </row>
    <row r="6" spans="1:94" ht="15" customHeight="1" x14ac:dyDescent="0.35">
      <c r="A6" s="15" t="str" cm="1">
        <f t="array" ref="A6">IFERROR(IF(INDEX(_xlfn.ANCHORARRAY($BK$4),ROW()-5,1)="","",INDEX(_xlfn.ANCHORARRAY($BK$4),ROW()-5,1)),"")</f>
        <v>Utility Service</v>
      </c>
      <c r="B6" s="362" t="str" cm="1">
        <f t="array" ref="B6">IFERROR(IF($A6="","",INDEX(_xlfn.ANCHORARRAY($BK$4),ROW()-5,5)),"")</f>
        <v>Source</v>
      </c>
      <c r="C6" s="181" cm="1">
        <f t="array" ref="C6">IFERROR(IF($A6="","",INDEX(_xlfn.ANCHORARRAY($BK$4),ROW()-5,7)),"")</f>
        <v>0</v>
      </c>
      <c r="D6" s="168" t="str" cm="1">
        <f t="array" ref="D6">IFERROR(IF($A6="","",INDEX(_xlfn.ANCHORARRAY($BK$4),ROW()-5,3)),"")</f>
        <v/>
      </c>
      <c r="E6" s="362" t="str" cm="1">
        <f t="array" ref="E6">IFERROR(IF($A6="","",INDEX(_xlfn.ANCHORARRAY($BK$4),ROW()-5,2)),"")</f>
        <v>—</v>
      </c>
      <c r="F6" s="168" t="str">
        <f t="shared" ref="F6:F69" si="0">IF($A6="","",IF($C6=0,IFERROR(_xlfn.XLOOKUP($A6,Util_Tags,Util_SCAEff),""),IFERROR(_xlfn.XLOOKUP($E6,$A$6:$A$255,$M$6:$M$255),"")))</f>
        <v/>
      </c>
      <c r="G6" s="362" t="str">
        <f t="shared" ref="G6:G69" si="1">IF($A6="","",IF($C6=0,"— utility service —",IF($BZ6="","⚠ no feeder data",MAX($BY6,1)&amp;"-"&amp;$BZ6&amp;" "&amp;$BW6&amp;", "&amp;TEXT($BV6,"#,##0")&amp;" ft, "&amp;$BX6)))</f>
        <v>— utility service —</v>
      </c>
      <c r="H6" s="182" t="str">
        <f t="shared" ref="H6:H69" si="2">IF(OR($A6="",$C6=0,$CH6="",$BV6="",$F6="",$CF6=""),"",$CG6*$BV6*$F6/($CH6*MAX($BY6,1)*$CF6))</f>
        <v/>
      </c>
      <c r="I6" s="182">
        <f t="shared" ref="I6:I69" si="3">IF($A6="","",IF($C6=0,1,IF($H6="","",1/(1+$H6))))</f>
        <v>1</v>
      </c>
      <c r="J6" s="168" t="str">
        <f>_xlfn.LET(_xlpm.v,_xlfn.LET(_xlpm.base,IF($A6="","",IF($C6=0,IFERROR(_xlfn.XLOOKUP($A6,Util_Tags,Util_SCAEff),""),IF(LEFT($A6,2)="T-",IF($CJ6="","",$CJ6/(1+IF($CL6="",0,$CL6))),IF(OR($F6="",$I6=""),"",$F6*$I6)))),_xlpm.gtag,IF(OR($A6="",NOT(OR($B6="ATS",$B6="MTS"))),"",IFERROR(_xlfn.XLOOKUP($A6,Dashboard!$A$101:$A$350,Dashboard!$L$101:$L$350,"")&amp;"","")),_xlpm.gkva,IF(_xlpm.gtag="",0,IFERROR(N(_xlfn.XLOOKUP(_xlpm.gtag,Generator!$B$53:$B$58,Generator!$S$53:$S$58,0)),0)),_xlpm.gxd,IF(_xlpm.gtag="",0,IFERROR(N(_xlfn.XLOOKUP(_xlpm.gtag,Generator!$B$53:$B$58,Generator!$U$53:$U$58,0)),0)),_xlpm.gamp,IF(OR(_xlpm.gkva=0,_xlpm.gxd=0,N($D6)=0),0,ROUND(_xlpm.gkva*1000/(IF(N($CB6)=1,1,SQRT(3))*$D6*_xlpm.gxd),0)),IF(OR(_xlpm.gamp=0,NOT(ISNUMBER(_xlpm.base))),_xlpm.base,MAX(_xlpm.base,_xlpm.gamp))),_xlpm.ulim,IF(OR($A6="",$B6&lt;&gt;"UPS"),"",IFERROR(IF(_xlfn.XLOOKUP($A6,UPS!$B$57:$B$64,UPS!$E$57:$E$64,"")="None",_xlfn.XLOOKUP($A6,UPS!$B$57:$B$64,UPS!$U$57:$U$64,""),""),"")),IF(AND(ISNUMBER(_xlpm.v),ISNUMBER(_xlpm.ulim)),MIN(_xlpm.v,_xlpm.ulim),_xlpm.v))</f>
        <v/>
      </c>
      <c r="K6" s="183"/>
      <c r="L6" s="168" t="str">
        <f t="shared" ref="L6:L69" si="4">IF(OR($A6="",$K6=""),"",$K6*IF($CM6&lt;&gt;"",$CM6,IF($B6="MCC",Cfg_MotorMultMCC,Cfg_MotorMult)))</f>
        <v/>
      </c>
      <c r="M6" s="168" t="str">
        <f t="shared" ref="M6:M69" si="5">IF(OR($A6="",$J6=""),"",$J6+IF($L6="",0,$L6))</f>
        <v/>
      </c>
      <c r="N6" s="246">
        <f>IF($A6="","",IF($C6=0,_xlfn.LET(_xlpm.x,IFERROR(_xlfn.XLOOKUP($A6,Util_Tags,Util_XR),""),IF(N(_xlpm.x)=0,Xfmr_DefXR,_xlpm.x)),IF(LEFT($A6,2)="T-",IFERROR(_xlfn.XLOOKUP($A6,Transformers!$A$6:$A$105,Transformers!$AH$6:$AH$105),Xfmr_DefXR),IFERROR(_xlfn.XLOOKUP($E6,$A$6:$A$255,$N$6:$N$255),Xfmr_DefXR))))</f>
        <v>15</v>
      </c>
      <c r="O6" s="168" t="str">
        <f t="shared" ref="O6:O69" si="6">IF(OR($A6="",$M6="",$N6=""),"",SQRT(2)*$M6*(1.02+0.98*EXP(-3/$N6)))</f>
        <v/>
      </c>
      <c r="P6" s="210" t="str">
        <f>IF($A6="","",IF(LEFT($A6,2)="T-",IF($CO6="","",_xlfn.LET(_xlpm.k,IFERROR(_xlfn.XLOOKUP($A6,Transformers!$A$6:$A$105,Transformers!$G$6:$G$105),""),_xlpm.sv,IFERROR(_xlfn.XLOOKUP($A6,Transformers!$A$6:$A$105,Transformers!$E$6:$E$105),""),IF(OR(NOT(ISNUMBER(_xlpm.k)),NOT(ISNUMBER(_xlpm.sv)),_xlpm.sv=0),"",_xlfn.LET(_xlpm.iInf,(_xlpm.k*1000/(_xlpm.sv/2))*100/$CO6,_xlpm.pri,IF(OR($CK6="",$CK6=0),"",$CK6/2),_xlpm.base,IF(_xlpm.pri="",_xlpm.iInf,_xlpm.iInf/(1+_xlpm.iInf/_xlpm.pri)),_xlpm.base+IF($L6="",0,$L6))))),IF($CP6="","",_xlfn.LET(_xlpm.pI,IFERROR(_xlfn.XLOOKUP($E6,$A$6:$A$255,$P$6:$P$255),""),IF(NOT(ISNUMBER(_xlpm.pI)),"",_xlpm.pI/(1+$CP6)+IF($L6="",0,$L6))))))</f>
        <v/>
      </c>
      <c r="Q6" s="210" t="str">
        <f t="shared" ref="Q6:Q69" si="7">IF(OR($A6="",$M6=""),"",MAX($M6,IF($P6="",0,$P6)))</f>
        <v/>
      </c>
      <c r="R6" s="168" t="str">
        <f>IF($A6="","",IF(OR($C6=0,LEFT($A6,2)="T-"),"",IFERROR(_xlfn.LET(_xlpm.v,_xlfn.XLOOKUP($A6,Dashboard!$A$101:$A$350,Dashboard!$K$101:$K$350),IF(ISNUMBER(_xlpm.v),_xlpm.v,"")),"")))</f>
        <v/>
      </c>
      <c r="S6" s="210" t="str">
        <f t="shared" ref="S6:S69" si="8">IF(OR($A6="",$R6="",$Q6=""),"",$R6-$Q6)</f>
        <v/>
      </c>
      <c r="T6" s="362" t="str">
        <f t="shared" ref="T6:T69" si="9">IF($A6="","",IF($C6=0,IF(IFERROR(_xlfn.XLOOKUP($A6,Util_Tags,Util_SCAEff),"")="","⚠ enter available fault current (Dashboard)","— utility source —"),IF($CI6&lt;&gt;"",$CI6,IF(AND($C6&gt;0,$BZ6=""),"⚠ feeder data missing",IF(AND($B6="MCC",$K6=""),"⚠ MCC: enter motor FLA",IF($M6="","⚠ fault not resolved",IF($R6="",IF(LEFT($A6,2)="T-","— transformer (no interrupting device)","⚠ enter device AIC"),IF($S6&lt;0,"FAIL — AIC below available fault",IF(AND($P6&lt;&gt;"",$P6&gt;$M6),"PASS — line-to-neutral fault governs","PASS")))))))))</f>
        <v>⚠ enter available fault current (Dashboard)</v>
      </c>
      <c r="U6" s="363"/>
      <c r="BV6" s="20" t="str">
        <f>IF($A6="","",IFERROR(_xlfn.XLOOKUP("F-"&amp;$A6,'Feeder Schedule'!$B$5:$B$254,'Feeder Schedule'!$H$5:$H$254),""))</f>
        <v/>
      </c>
      <c r="BW6" s="20" t="str">
        <f>IF($A6="","",IFERROR(_xlfn.XLOOKUP("F-"&amp;$A6,'Feeder Schedule'!$B$5:$B$254,'Feeder Schedule'!$BV$5:$BV$254),""))</f>
        <v/>
      </c>
      <c r="BX6" s="20" t="str">
        <f>IF($A6="","",IFERROR(_xlfn.LET(_xlpm.v,_xlfn.XLOOKUP("F-"&amp;$A6,'Feeder Schedule'!$B$5:$B$254,'Feeder Schedule'!$M$5:$M$254),IF(OR(_xlpm.v="",_xlpm.v=0),Cfg_Conduit,_xlpm.v)),""))</f>
        <v/>
      </c>
      <c r="BY6" s="20" t="str">
        <f>IF($A6="","",IFERROR(_xlfn.XLOOKUP("F-"&amp;$A6,'Feeder Schedule'!$B$5:$B$254,'Feeder Schedule'!$O$5:$O$254),""))</f>
        <v/>
      </c>
      <c r="BZ6" s="20" t="str">
        <f>IF($A6="","",IFERROR(_xlfn.XLOOKUP("F-"&amp;$A6,'Feeder Schedule'!$B$5:$B$254,'Feeder Schedule'!$CH$5:$CH$254),""))</f>
        <v/>
      </c>
      <c r="CA6" s="20" t="str">
        <f>IF($A6="","",IFERROR(_xlfn.XLOOKUP("F-"&amp;$A6,'Feeder Schedule'!$B$5:$B$254,'Feeder Schedule'!$F$5:$F$254),""))</f>
        <v/>
      </c>
      <c r="CB6" s="20" t="str">
        <f>IF($A6="","",IFERROR(_xlfn.XLOOKUP("F-"&amp;$A6,'Feeder Schedule'!$B$5:$B$254,'Feeder Schedule'!$G$5:$G$254),""))</f>
        <v/>
      </c>
      <c r="CD6" s="20" t="str" cm="1">
        <f t="array" ref="CD6">IFERROR(IF($A6="","",INDEX(_xlfn.ANCHORARRAY($BK$4),ROW()-5,6)),"")</f>
        <v/>
      </c>
      <c r="CE6" s="20" t="str">
        <f>IF($A6="","",IF(LEFT($A6,2)="T-",IFERROR(_xlfn.XLOOKUP($E6,$A$6:$A$255,$CD$6:$CD$255),""),$CD6))</f>
        <v/>
      </c>
      <c r="CF6" s="20" t="str">
        <f>IF(OR($A6="",$CB6="",$CA6=""),"",$CA6)</f>
        <v/>
      </c>
      <c r="CG6" s="20" t="str">
        <f t="shared" ref="CG6:CG69" si="10">IF(OR($A6="",$CB6=""),"",IF($CB6=1,2,SQRT3))</f>
        <v/>
      </c>
      <c r="CH6" s="20" t="str" cm="1">
        <f t="array" ref="CH6">IF(OR($A6="",$BZ6="",$BW6="",$BX6=""),"",_xlfn.LET(_xlpm.mag,IFERROR(_xlfn.XLOOKUP($BX6,Race_Raceway,Race_Mag),""),IF(_xlpm.mag="","",IFERROR(INDEX(Cond_Table,MATCH($BZ6,Cond_Size,0),IF(UPPER($BW6)="AL",IF(_xlpm.mag="Y",10,12),IF(_xlpm.mag="Y",9,11))),""))))</f>
        <v/>
      </c>
      <c r="CI6" s="20" t="str">
        <f t="shared" ref="CI6:CI69" si="11">IF(OR($A6="",$BX6=""),"",IF(IFERROR(_xlfn.XLOOKUP($BX6,Race_Raceway,Race_Mag),"")="","⚠ unrecognised raceway type: "&amp;$BX6,""))</f>
        <v/>
      </c>
      <c r="CJ6" s="20" t="str">
        <f>IF(OR($A6="",LEFT($A6,2)&lt;&gt;"T-"),"",IFERROR(_xlfn.LET(_xlpm.fla,_xlfn.XLOOKUP($A6,Transformers!$A$6:$A$105,Transformers!$AK$6:$AK$105),_xlpm.z,_xlfn.XLOOKUP($A6,Transformers!$A$6:$A$105,Transformers!$AX$6:$AX$105),IF(OR(_xlpm.fla="",_xlpm.z="",_xlpm.z=0),"",_xlpm.fla*100/_xlpm.z)),""))</f>
        <v/>
      </c>
      <c r="CK6" s="20" t="str">
        <f>IF(OR($A6="",LEFT($A6,2)&lt;&gt;"T-",$F6="",$I6="",$D6="",$CA6=""),"",$F6*$I6*$CA6/$D6)</f>
        <v/>
      </c>
      <c r="CL6" s="20" t="str">
        <f>IF(OR($CJ6="",$CK6="",$CK6=0),"",$CJ6/$CK6)</f>
        <v/>
      </c>
      <c r="CM6" s="373"/>
      <c r="CO6" s="20" t="str">
        <f>IF(OR($A6="",LEFT($A6,2)&lt;&gt;"T-"),"",_xlfn.LET(_xlpm.ph,IFERROR(_xlfn.XLOOKUP($A6,Transformers!$A$6:$A$105,Transformers!$C$6:$C$105),""),_xlpm.rr,IFERROR(_xlfn.XLOOKUP($A6,Transformers!$A$6:$A$105,Transformers!$AG$6:$AG$105),""),_xlpm.xx,IFERROR(_xlfn.XLOOKUP($A6,Transformers!$A$6:$A$105,Transformers!$AI$6:$AI$105),""),IF(OR(_xlpm.ph&lt;&gt;1,NOT(ISNUMBER(_xlpm.rr)),NOT(ISNUMBER(_xlpm.xx))),"",SQRT((1.5*_xlpm.rr)^2+(1.2*_xlpm.xx)^2))))</f>
        <v/>
      </c>
      <c r="CP6" s="20" t="str">
        <f>IF(OR($A6="",LEFT($A6,2)="T-"),"",_xlfn.LET(_xlpm.pI,IFERROR(_xlfn.XLOOKUP($E6,$A$6:$A$255,$P$6:$P$255),""),IF(OR(NOT(ISNUMBER(_xlpm.pI)),$CG6&lt;&gt;2,$BV6="",$CH6="",$CE6="",$CE6=0),"",2*$BV6*_xlpm.pI/($CH6*MAX($BY6,1)*$CE6))))</f>
        <v/>
      </c>
    </row>
    <row r="7" spans="1:94" ht="15" customHeight="1" x14ac:dyDescent="0.45">
      <c r="A7" s="275" t="str" cm="1">
        <f t="array" ref="A7">IFERROR(IF(INDEX(_xlfn.ANCHORARRAY($BK$4),ROW()-5,1)="","",INDEX(_xlfn.ANCHORARRAY($BK$4),ROW()-5,1)),"")</f>
        <v/>
      </c>
      <c r="B7" s="25" t="str" cm="1">
        <f t="array" ref="B7">IFERROR(IF($A7="","",INDEX(_xlfn.ANCHORARRAY($BK$4),ROW()-5,5)),"")</f>
        <v/>
      </c>
      <c r="C7" s="178" t="str" cm="1">
        <f t="array" ref="C7">IFERROR(IF($A7="","",INDEX(_xlfn.ANCHORARRAY($BK$4),ROW()-5,7)),"")</f>
        <v/>
      </c>
      <c r="D7" s="177" t="str" cm="1">
        <f t="array" ref="D7">IFERROR(IF($A7="","",INDEX(_xlfn.ANCHORARRAY($BK$4),ROW()-5,3)),"")</f>
        <v/>
      </c>
      <c r="E7" s="25" t="str" cm="1">
        <f t="array" ref="E7">IFERROR(IF($A7="","",INDEX(_xlfn.ANCHORARRAY($BK$4),ROW()-5,2)),"")</f>
        <v/>
      </c>
      <c r="F7" s="177" t="str">
        <f t="shared" si="0"/>
        <v/>
      </c>
      <c r="G7" s="275" t="str">
        <f t="shared" si="1"/>
        <v/>
      </c>
      <c r="H7" s="180" t="str">
        <f t="shared" si="2"/>
        <v/>
      </c>
      <c r="I7" s="180" t="str">
        <f t="shared" si="3"/>
        <v/>
      </c>
      <c r="J7" s="177" t="str">
        <f>_xlfn.LET(_xlpm.v,_xlfn.LET(_xlpm.base,IF($A7="","",IF($C7=0,IFERROR(_xlfn.XLOOKUP($A7,Util_Tags,Util_SCAEff),""),IF(LEFT($A7,2)="T-",IF($CJ7="","",$CJ7/(1+IF($CL7="",0,$CL7))),IF(OR($F7="",$I7=""),"",$F7*$I7)))),_xlpm.gtag,IF(OR($A7="",NOT(OR($B7="ATS",$B7="MTS"))),"",IFERROR(_xlfn.XLOOKUP($A7,Dashboard!$A$101:$A$350,Dashboard!$L$101:$L$350,"")&amp;"","")),_xlpm.gkva,IF(_xlpm.gtag="",0,IFERROR(N(_xlfn.XLOOKUP(_xlpm.gtag,Generator!$B$53:$B$58,Generator!$S$53:$S$58,0)),0)),_xlpm.gxd,IF(_xlpm.gtag="",0,IFERROR(N(_xlfn.XLOOKUP(_xlpm.gtag,Generator!$B$53:$B$58,Generator!$U$53:$U$58,0)),0)),_xlpm.gamp,IF(OR(_xlpm.gkva=0,_xlpm.gxd=0,N($D7)=0),0,ROUND(_xlpm.gkva*1000/(IF(N($CB7)=1,1,SQRT(3))*$D7*_xlpm.gxd),0)),IF(OR(_xlpm.gamp=0,NOT(ISNUMBER(_xlpm.base))),_xlpm.base,MAX(_xlpm.base,_xlpm.gamp))),_xlpm.ulim,IF(OR($A7="",$B7&lt;&gt;"UPS"),"",IFERROR(IF(_xlfn.XLOOKUP($A7,UPS!$B$57:$B$64,UPS!$E$57:$E$64,"")="None",_xlfn.XLOOKUP($A7,UPS!$B$57:$B$64,UPS!$U$57:$U$64,""),""),"")),IF(AND(ISNUMBER(_xlpm.v),ISNUMBER(_xlpm.ulim)),MIN(_xlpm.v,_xlpm.ulim),_xlpm.v))</f>
        <v/>
      </c>
      <c r="K7" s="176"/>
      <c r="L7" s="177" t="str">
        <f t="shared" si="4"/>
        <v/>
      </c>
      <c r="M7" s="177" t="str">
        <f t="shared" si="5"/>
        <v/>
      </c>
      <c r="N7" s="380" t="str">
        <f>IF($A7="","",IF($C7=0,_xlfn.LET(_xlpm.x,IFERROR(_xlfn.XLOOKUP($A7,Util_Tags,Util_XR),""),IF(N(_xlpm.x)=0,Xfmr_DefXR,_xlpm.x)),IF(LEFT($A7,2)="T-",IFERROR(_xlfn.XLOOKUP($A7,Transformers!$A$6:$A$105,Transformers!$AH$6:$AH$105),Xfmr_DefXR),IFERROR(_xlfn.XLOOKUP($E7,$A$6:$A$255,$N$6:$N$255),Xfmr_DefXR))))</f>
        <v/>
      </c>
      <c r="O7" s="177" t="str">
        <f t="shared" si="6"/>
        <v/>
      </c>
      <c r="P7" s="210" t="str">
        <f>IF($A7="","",IF(LEFT($A7,2)="T-",IF($CO7="","",_xlfn.LET(_xlpm.k,IFERROR(_xlfn.XLOOKUP($A7,Transformers!$A$6:$A$105,Transformers!$G$6:$G$105),""),_xlpm.sv,IFERROR(_xlfn.XLOOKUP($A7,Transformers!$A$6:$A$105,Transformers!$E$6:$E$105),""),IF(OR(NOT(ISNUMBER(_xlpm.k)),NOT(ISNUMBER(_xlpm.sv)),_xlpm.sv=0),"",_xlfn.LET(_xlpm.iInf,(_xlpm.k*1000/(_xlpm.sv/2))*100/$CO7,_xlpm.pri,IF(OR($CK7="",$CK7=0),"",$CK7/2),_xlpm.base,IF(_xlpm.pri="",_xlpm.iInf,_xlpm.iInf/(1+_xlpm.iInf/_xlpm.pri)),_xlpm.base+IF($L7="",0,$L7))))),IF($CP7="","",_xlfn.LET(_xlpm.pI,IFERROR(_xlfn.XLOOKUP($E7,$A$6:$A$255,$P$6:$P$255),""),IF(NOT(ISNUMBER(_xlpm.pI)),"",_xlpm.pI/(1+$CP7)+IF($L7="",0,$L7))))))</f>
        <v/>
      </c>
      <c r="Q7" s="210" t="str">
        <f t="shared" si="7"/>
        <v/>
      </c>
      <c r="R7" s="177" t="str">
        <f>IF($A7="","",IF(OR($C7=0,LEFT($A7,2)="T-"),"",IFERROR(_xlfn.LET(_xlpm.v,_xlfn.XLOOKUP($A7,Dashboard!$A$101:$A$350,Dashboard!$K$101:$K$350),IF(ISNUMBER(_xlpm.v),_xlpm.v,"")),"")))</f>
        <v/>
      </c>
      <c r="S7" s="211" t="str">
        <f t="shared" si="8"/>
        <v/>
      </c>
      <c r="T7" s="25" t="str">
        <f t="shared" si="9"/>
        <v/>
      </c>
      <c r="U7" s="364"/>
      <c r="BV7" s="20" t="str">
        <f>IF($A7="","",IFERROR(_xlfn.XLOOKUP("F-"&amp;$A7,'Feeder Schedule'!$B$5:$B$254,'Feeder Schedule'!$H$5:$H$254),""))</f>
        <v/>
      </c>
      <c r="BW7" s="20" t="str">
        <f>IF($A7="","",IFERROR(_xlfn.XLOOKUP("F-"&amp;$A7,'Feeder Schedule'!$B$5:$B$254,'Feeder Schedule'!$BV$5:$BV$254),""))</f>
        <v/>
      </c>
      <c r="BX7" s="20" t="str">
        <f>IF($A7="","",IFERROR(_xlfn.LET(_xlpm.v,_xlfn.XLOOKUP("F-"&amp;$A7,'Feeder Schedule'!$B$5:$B$254,'Feeder Schedule'!$M$5:$M$254),IF(OR(_xlpm.v="",_xlpm.v=0),Cfg_Conduit,_xlpm.v)),""))</f>
        <v/>
      </c>
      <c r="BY7" s="20" t="str">
        <f>IF($A7="","",IFERROR(_xlfn.XLOOKUP("F-"&amp;$A7,'Feeder Schedule'!$B$5:$B$254,'Feeder Schedule'!$O$5:$O$254),""))</f>
        <v/>
      </c>
      <c r="BZ7" s="20" t="str">
        <f>IF($A7="","",IFERROR(_xlfn.XLOOKUP("F-"&amp;$A7,'Feeder Schedule'!$B$5:$B$254,'Feeder Schedule'!$CH$5:$CH$254),""))</f>
        <v/>
      </c>
      <c r="CA7" s="20" t="str">
        <f>IF($A7="","",IFERROR(_xlfn.XLOOKUP("F-"&amp;$A7,'Feeder Schedule'!$B$5:$B$254,'Feeder Schedule'!$F$5:$F$254),""))</f>
        <v/>
      </c>
      <c r="CB7" s="20" t="str">
        <f>IF($A7="","",IFERROR(_xlfn.XLOOKUP("F-"&amp;$A7,'Feeder Schedule'!$B$5:$B$254,'Feeder Schedule'!$G$5:$G$254),""))</f>
        <v/>
      </c>
      <c r="CD7" s="20" t="str" cm="1">
        <f t="array" ref="CD7">IFERROR(IF($A7="","",INDEX(_xlfn.ANCHORARRAY($BK$4),ROW()-5,6)),"")</f>
        <v/>
      </c>
      <c r="CE7" s="20" t="str">
        <f t="shared" ref="CE7:CE70" si="12">IF($A7="","",IF(LEFT($A7,2)="T-",IFERROR(_xlfn.XLOOKUP($E7,$A$6:$A$255,$CD$6:$CD$255),""),$CD7))</f>
        <v/>
      </c>
      <c r="CF7" s="20" t="str">
        <f t="shared" ref="CF7:CF70" si="13">IF(OR($A7="",$CB7="",$CA7=""),"",$CA7)</f>
        <v/>
      </c>
      <c r="CG7" s="20" t="str">
        <f t="shared" si="10"/>
        <v/>
      </c>
      <c r="CH7" s="20" t="str" cm="1">
        <f t="array" ref="CH7">IF(OR($A7="",$BZ7="",$BW7="",$BX7=""),"",_xlfn.LET(_xlpm.mag,IFERROR(_xlfn.XLOOKUP($BX7,Race_Raceway,Race_Mag),""),IF(_xlpm.mag="","",IFERROR(INDEX(Cond_Table,MATCH($BZ7,Cond_Size,0),IF(UPPER($BW7)="AL",IF(_xlpm.mag="Y",10,12),IF(_xlpm.mag="Y",9,11))),""))))</f>
        <v/>
      </c>
      <c r="CI7" s="20" t="str">
        <f t="shared" si="11"/>
        <v/>
      </c>
      <c r="CJ7" s="20" t="str">
        <f>IF(OR($A7="",LEFT($A7,2)&lt;&gt;"T-"),"",IFERROR(_xlfn.LET(_xlpm.fla,_xlfn.XLOOKUP($A7,Transformers!$A$6:$A$105,Transformers!$AK$6:$AK$105),_xlpm.z,_xlfn.XLOOKUP($A7,Transformers!$A$6:$A$105,Transformers!$AX$6:$AX$105),IF(OR(_xlpm.fla="",_xlpm.z="",_xlpm.z=0),"",_xlpm.fla*100/_xlpm.z)),""))</f>
        <v/>
      </c>
      <c r="CK7" s="20" t="str">
        <f t="shared" ref="CK7:CK70" si="14">IF(OR($A7="",LEFT($A7,2)&lt;&gt;"T-",$F7="",$I7="",$D7="",$CA7=""),"",$F7*$I7*$CA7/$D7)</f>
        <v/>
      </c>
      <c r="CL7" s="20" t="str">
        <f t="shared" ref="CL7:CL70" si="15">IF(OR($CJ7="",$CK7="",$CK7=0),"",$CJ7/$CK7)</f>
        <v/>
      </c>
      <c r="CM7" s="373"/>
      <c r="CO7" s="20" t="str">
        <f>IF(OR($A7="",LEFT($A7,2)&lt;&gt;"T-"),"",_xlfn.LET(_xlpm.ph,IFERROR(_xlfn.XLOOKUP($A7,Transformers!$A$6:$A$105,Transformers!$C$6:$C$105),""),_xlpm.rr,IFERROR(_xlfn.XLOOKUP($A7,Transformers!$A$6:$A$105,Transformers!$AG$6:$AG$105),""),_xlpm.xx,IFERROR(_xlfn.XLOOKUP($A7,Transformers!$A$6:$A$105,Transformers!$AI$6:$AI$105),""),IF(OR(_xlpm.ph&lt;&gt;1,NOT(ISNUMBER(_xlpm.rr)),NOT(ISNUMBER(_xlpm.xx))),"",SQRT((1.5*_xlpm.rr)^2+(1.2*_xlpm.xx)^2))))</f>
        <v/>
      </c>
      <c r="CP7" s="20" t="str">
        <f t="shared" ref="CP7:CP70" si="16">IF(OR($A7="",LEFT($A7,2)="T-"),"",_xlfn.LET(_xlpm.pI,IFERROR(_xlfn.XLOOKUP($E7,$A$6:$A$255,$P$6:$P$255),""),IF(OR(NOT(ISNUMBER(_xlpm.pI)),$CG7&lt;&gt;2,$BV7="",$CH7="",$CE7="",$CE7=0),"",2*$BV7*_xlpm.pI/($CH7*MAX($BY7,1)*$CE7))))</f>
        <v/>
      </c>
    </row>
    <row r="8" spans="1:94" ht="15" customHeight="1" x14ac:dyDescent="0.45">
      <c r="A8" s="275" t="str" cm="1">
        <f t="array" ref="A8">IFERROR(IF(INDEX(_xlfn.ANCHORARRAY($BK$4),ROW()-5,1)="","",INDEX(_xlfn.ANCHORARRAY($BK$4),ROW()-5,1)),"")</f>
        <v/>
      </c>
      <c r="B8" s="25" t="str" cm="1">
        <f t="array" ref="B8">IFERROR(IF($A8="","",INDEX(_xlfn.ANCHORARRAY($BK$4),ROW()-5,5)),"")</f>
        <v/>
      </c>
      <c r="C8" s="178" t="str" cm="1">
        <f t="array" ref="C8">IFERROR(IF($A8="","",INDEX(_xlfn.ANCHORARRAY($BK$4),ROW()-5,7)),"")</f>
        <v/>
      </c>
      <c r="D8" s="177" t="str" cm="1">
        <f t="array" ref="D8">IFERROR(IF($A8="","",INDEX(_xlfn.ANCHORARRAY($BK$4),ROW()-5,3)),"")</f>
        <v/>
      </c>
      <c r="E8" s="25" t="str" cm="1">
        <f t="array" ref="E8">IFERROR(IF($A8="","",INDEX(_xlfn.ANCHORARRAY($BK$4),ROW()-5,2)),"")</f>
        <v/>
      </c>
      <c r="F8" s="177" t="str">
        <f t="shared" si="0"/>
        <v/>
      </c>
      <c r="G8" s="275" t="str">
        <f t="shared" si="1"/>
        <v/>
      </c>
      <c r="H8" s="180" t="str">
        <f t="shared" si="2"/>
        <v/>
      </c>
      <c r="I8" s="180" t="str">
        <f t="shared" si="3"/>
        <v/>
      </c>
      <c r="J8" s="177" t="str">
        <f>_xlfn.LET(_xlpm.v,_xlfn.LET(_xlpm.base,IF($A8="","",IF($C8=0,IFERROR(_xlfn.XLOOKUP($A8,Util_Tags,Util_SCAEff),""),IF(LEFT($A8,2)="T-",IF($CJ8="","",$CJ8/(1+IF($CL8="",0,$CL8))),IF(OR($F8="",$I8=""),"",$F8*$I8)))),_xlpm.gtag,IF(OR($A8="",NOT(OR($B8="ATS",$B8="MTS"))),"",IFERROR(_xlfn.XLOOKUP($A8,Dashboard!$A$101:$A$350,Dashboard!$L$101:$L$350,"")&amp;"","")),_xlpm.gkva,IF(_xlpm.gtag="",0,IFERROR(N(_xlfn.XLOOKUP(_xlpm.gtag,Generator!$B$53:$B$58,Generator!$S$53:$S$58,0)),0)),_xlpm.gxd,IF(_xlpm.gtag="",0,IFERROR(N(_xlfn.XLOOKUP(_xlpm.gtag,Generator!$B$53:$B$58,Generator!$U$53:$U$58,0)),0)),_xlpm.gamp,IF(OR(_xlpm.gkva=0,_xlpm.gxd=0,N($D8)=0),0,ROUND(_xlpm.gkva*1000/(IF(N($CB8)=1,1,SQRT(3))*$D8*_xlpm.gxd),0)),IF(OR(_xlpm.gamp=0,NOT(ISNUMBER(_xlpm.base))),_xlpm.base,MAX(_xlpm.base,_xlpm.gamp))),_xlpm.ulim,IF(OR($A8="",$B8&lt;&gt;"UPS"),"",IFERROR(IF(_xlfn.XLOOKUP($A8,UPS!$B$57:$B$64,UPS!$E$57:$E$64,"")="None",_xlfn.XLOOKUP($A8,UPS!$B$57:$B$64,UPS!$U$57:$U$64,""),""),"")),IF(AND(ISNUMBER(_xlpm.v),ISNUMBER(_xlpm.ulim)),MIN(_xlpm.v,_xlpm.ulim),_xlpm.v))</f>
        <v/>
      </c>
      <c r="K8" s="176"/>
      <c r="L8" s="177" t="str">
        <f t="shared" si="4"/>
        <v/>
      </c>
      <c r="M8" s="177" t="str">
        <f t="shared" si="5"/>
        <v/>
      </c>
      <c r="N8" s="380" t="str">
        <f>IF($A8="","",IF($C8=0,_xlfn.LET(_xlpm.x,IFERROR(_xlfn.XLOOKUP($A8,Util_Tags,Util_XR),""),IF(N(_xlpm.x)=0,Xfmr_DefXR,_xlpm.x)),IF(LEFT($A8,2)="T-",IFERROR(_xlfn.XLOOKUP($A8,Transformers!$A$6:$A$105,Transformers!$AH$6:$AH$105),Xfmr_DefXR),IFERROR(_xlfn.XLOOKUP($E8,$A$6:$A$255,$N$6:$N$255),Xfmr_DefXR))))</f>
        <v/>
      </c>
      <c r="O8" s="177" t="str">
        <f t="shared" si="6"/>
        <v/>
      </c>
      <c r="P8" s="210" t="str">
        <f>IF($A8="","",IF(LEFT($A8,2)="T-",IF($CO8="","",_xlfn.LET(_xlpm.k,IFERROR(_xlfn.XLOOKUP($A8,Transformers!$A$6:$A$105,Transformers!$G$6:$G$105),""),_xlpm.sv,IFERROR(_xlfn.XLOOKUP($A8,Transformers!$A$6:$A$105,Transformers!$E$6:$E$105),""),IF(OR(NOT(ISNUMBER(_xlpm.k)),NOT(ISNUMBER(_xlpm.sv)),_xlpm.sv=0),"",_xlfn.LET(_xlpm.iInf,(_xlpm.k*1000/(_xlpm.sv/2))*100/$CO8,_xlpm.pri,IF(OR($CK8="",$CK8=0),"",$CK8/2),_xlpm.base,IF(_xlpm.pri="",_xlpm.iInf,_xlpm.iInf/(1+_xlpm.iInf/_xlpm.pri)),_xlpm.base+IF($L8="",0,$L8))))),IF($CP8="","",_xlfn.LET(_xlpm.pI,IFERROR(_xlfn.XLOOKUP($E8,$A$6:$A$255,$P$6:$P$255),""),IF(NOT(ISNUMBER(_xlpm.pI)),"",_xlpm.pI/(1+$CP8)+IF($L8="",0,$L8))))))</f>
        <v/>
      </c>
      <c r="Q8" s="210" t="str">
        <f t="shared" si="7"/>
        <v/>
      </c>
      <c r="R8" s="177" t="str">
        <f>IF($A8="","",IF(OR($C8=0,LEFT($A8,2)="T-"),"",IFERROR(_xlfn.LET(_xlpm.v,_xlfn.XLOOKUP($A8,Dashboard!$A$101:$A$350,Dashboard!$K$101:$K$350),IF(ISNUMBER(_xlpm.v),_xlpm.v,"")),"")))</f>
        <v/>
      </c>
      <c r="S8" s="211" t="str">
        <f t="shared" si="8"/>
        <v/>
      </c>
      <c r="T8" s="25" t="str">
        <f t="shared" si="9"/>
        <v/>
      </c>
      <c r="U8" s="364"/>
      <c r="BV8" s="20" t="str">
        <f>IF($A8="","",IFERROR(_xlfn.XLOOKUP("F-"&amp;$A8,'Feeder Schedule'!$B$5:$B$254,'Feeder Schedule'!$H$5:$H$254),""))</f>
        <v/>
      </c>
      <c r="BW8" s="20" t="str">
        <f>IF($A8="","",IFERROR(_xlfn.XLOOKUP("F-"&amp;$A8,'Feeder Schedule'!$B$5:$B$254,'Feeder Schedule'!$BV$5:$BV$254),""))</f>
        <v/>
      </c>
      <c r="BX8" s="20" t="str">
        <f>IF($A8="","",IFERROR(_xlfn.LET(_xlpm.v,_xlfn.XLOOKUP("F-"&amp;$A8,'Feeder Schedule'!$B$5:$B$254,'Feeder Schedule'!$M$5:$M$254),IF(OR(_xlpm.v="",_xlpm.v=0),Cfg_Conduit,_xlpm.v)),""))</f>
        <v/>
      </c>
      <c r="BY8" s="20" t="str">
        <f>IF($A8="","",IFERROR(_xlfn.XLOOKUP("F-"&amp;$A8,'Feeder Schedule'!$B$5:$B$254,'Feeder Schedule'!$O$5:$O$254),""))</f>
        <v/>
      </c>
      <c r="BZ8" s="20" t="str">
        <f>IF($A8="","",IFERROR(_xlfn.XLOOKUP("F-"&amp;$A8,'Feeder Schedule'!$B$5:$B$254,'Feeder Schedule'!$CH$5:$CH$254),""))</f>
        <v/>
      </c>
      <c r="CA8" s="20" t="str">
        <f>IF($A8="","",IFERROR(_xlfn.XLOOKUP("F-"&amp;$A8,'Feeder Schedule'!$B$5:$B$254,'Feeder Schedule'!$F$5:$F$254),""))</f>
        <v/>
      </c>
      <c r="CB8" s="20" t="str">
        <f>IF($A8="","",IFERROR(_xlfn.XLOOKUP("F-"&amp;$A8,'Feeder Schedule'!$B$5:$B$254,'Feeder Schedule'!$G$5:$G$254),""))</f>
        <v/>
      </c>
      <c r="CD8" s="20" t="str" cm="1">
        <f t="array" ref="CD8">IFERROR(IF($A8="","",INDEX(_xlfn.ANCHORARRAY($BK$4),ROW()-5,6)),"")</f>
        <v/>
      </c>
      <c r="CE8" s="20" t="str">
        <f t="shared" si="12"/>
        <v/>
      </c>
      <c r="CF8" s="20" t="str">
        <f t="shared" si="13"/>
        <v/>
      </c>
      <c r="CG8" s="20" t="str">
        <f t="shared" si="10"/>
        <v/>
      </c>
      <c r="CH8" s="20" t="str" cm="1">
        <f t="array" ref="CH8">IF(OR($A8="",$BZ8="",$BW8="",$BX8=""),"",_xlfn.LET(_xlpm.mag,IFERROR(_xlfn.XLOOKUP($BX8,Race_Raceway,Race_Mag),""),IF(_xlpm.mag="","",IFERROR(INDEX(Cond_Table,MATCH($BZ8,Cond_Size,0),IF(UPPER($BW8)="AL",IF(_xlpm.mag="Y",10,12),IF(_xlpm.mag="Y",9,11))),""))))</f>
        <v/>
      </c>
      <c r="CI8" s="20" t="str">
        <f t="shared" si="11"/>
        <v/>
      </c>
      <c r="CJ8" s="20" t="str">
        <f>IF(OR($A8="",LEFT($A8,2)&lt;&gt;"T-"),"",IFERROR(_xlfn.LET(_xlpm.fla,_xlfn.XLOOKUP($A8,Transformers!$A$6:$A$105,Transformers!$AK$6:$AK$105),_xlpm.z,_xlfn.XLOOKUP($A8,Transformers!$A$6:$A$105,Transformers!$AX$6:$AX$105),IF(OR(_xlpm.fla="",_xlpm.z="",_xlpm.z=0),"",_xlpm.fla*100/_xlpm.z)),""))</f>
        <v/>
      </c>
      <c r="CK8" s="20" t="str">
        <f t="shared" si="14"/>
        <v/>
      </c>
      <c r="CL8" s="20" t="str">
        <f t="shared" si="15"/>
        <v/>
      </c>
      <c r="CM8" s="373"/>
      <c r="CO8" s="20" t="str">
        <f>IF(OR($A8="",LEFT($A8,2)&lt;&gt;"T-"),"",_xlfn.LET(_xlpm.ph,IFERROR(_xlfn.XLOOKUP($A8,Transformers!$A$6:$A$105,Transformers!$C$6:$C$105),""),_xlpm.rr,IFERROR(_xlfn.XLOOKUP($A8,Transformers!$A$6:$A$105,Transformers!$AG$6:$AG$105),""),_xlpm.xx,IFERROR(_xlfn.XLOOKUP($A8,Transformers!$A$6:$A$105,Transformers!$AI$6:$AI$105),""),IF(OR(_xlpm.ph&lt;&gt;1,NOT(ISNUMBER(_xlpm.rr)),NOT(ISNUMBER(_xlpm.xx))),"",SQRT((1.5*_xlpm.rr)^2+(1.2*_xlpm.xx)^2))))</f>
        <v/>
      </c>
      <c r="CP8" s="20" t="str">
        <f t="shared" si="16"/>
        <v/>
      </c>
    </row>
    <row r="9" spans="1:94" ht="15" customHeight="1" x14ac:dyDescent="0.45">
      <c r="A9" s="275" t="str" cm="1">
        <f t="array" ref="A9">IFERROR(IF(INDEX(_xlfn.ANCHORARRAY($BK$4),ROW()-5,1)="","",INDEX(_xlfn.ANCHORARRAY($BK$4),ROW()-5,1)),"")</f>
        <v/>
      </c>
      <c r="B9" s="25" t="str" cm="1">
        <f t="array" ref="B9">IFERROR(IF($A9="","",INDEX(_xlfn.ANCHORARRAY($BK$4),ROW()-5,5)),"")</f>
        <v/>
      </c>
      <c r="C9" s="178" t="str" cm="1">
        <f t="array" ref="C9">IFERROR(IF($A9="","",INDEX(_xlfn.ANCHORARRAY($BK$4),ROW()-5,7)),"")</f>
        <v/>
      </c>
      <c r="D9" s="177" t="str" cm="1">
        <f t="array" ref="D9">IFERROR(IF($A9="","",INDEX(_xlfn.ANCHORARRAY($BK$4),ROW()-5,3)),"")</f>
        <v/>
      </c>
      <c r="E9" s="25" t="str" cm="1">
        <f t="array" ref="E9">IFERROR(IF($A9="","",INDEX(_xlfn.ANCHORARRAY($BK$4),ROW()-5,2)),"")</f>
        <v/>
      </c>
      <c r="F9" s="177" t="str">
        <f t="shared" si="0"/>
        <v/>
      </c>
      <c r="G9" s="275" t="str">
        <f t="shared" si="1"/>
        <v/>
      </c>
      <c r="H9" s="180" t="str">
        <f t="shared" si="2"/>
        <v/>
      </c>
      <c r="I9" s="180" t="str">
        <f t="shared" si="3"/>
        <v/>
      </c>
      <c r="J9" s="177" t="str">
        <f>_xlfn.LET(_xlpm.v,_xlfn.LET(_xlpm.base,IF($A9="","",IF($C9=0,IFERROR(_xlfn.XLOOKUP($A9,Util_Tags,Util_SCAEff),""),IF(LEFT($A9,2)="T-",IF($CJ9="","",$CJ9/(1+IF($CL9="",0,$CL9))),IF(OR($F9="",$I9=""),"",$F9*$I9)))),_xlpm.gtag,IF(OR($A9="",NOT(OR($B9="ATS",$B9="MTS"))),"",IFERROR(_xlfn.XLOOKUP($A9,Dashboard!$A$101:$A$350,Dashboard!$L$101:$L$350,"")&amp;"","")),_xlpm.gkva,IF(_xlpm.gtag="",0,IFERROR(N(_xlfn.XLOOKUP(_xlpm.gtag,Generator!$B$53:$B$58,Generator!$S$53:$S$58,0)),0)),_xlpm.gxd,IF(_xlpm.gtag="",0,IFERROR(N(_xlfn.XLOOKUP(_xlpm.gtag,Generator!$B$53:$B$58,Generator!$U$53:$U$58,0)),0)),_xlpm.gamp,IF(OR(_xlpm.gkva=0,_xlpm.gxd=0,N($D9)=0),0,ROUND(_xlpm.gkva*1000/(IF(N($CB9)=1,1,SQRT(3))*$D9*_xlpm.gxd),0)),IF(OR(_xlpm.gamp=0,NOT(ISNUMBER(_xlpm.base))),_xlpm.base,MAX(_xlpm.base,_xlpm.gamp))),_xlpm.ulim,IF(OR($A9="",$B9&lt;&gt;"UPS"),"",IFERROR(IF(_xlfn.XLOOKUP($A9,UPS!$B$57:$B$64,UPS!$E$57:$E$64,"")="None",_xlfn.XLOOKUP($A9,UPS!$B$57:$B$64,UPS!$U$57:$U$64,""),""),"")),IF(AND(ISNUMBER(_xlpm.v),ISNUMBER(_xlpm.ulim)),MIN(_xlpm.v,_xlpm.ulim),_xlpm.v))</f>
        <v/>
      </c>
      <c r="K9" s="176"/>
      <c r="L9" s="177" t="str">
        <f t="shared" si="4"/>
        <v/>
      </c>
      <c r="M9" s="177" t="str">
        <f t="shared" si="5"/>
        <v/>
      </c>
      <c r="N9" s="380" t="str">
        <f>IF($A9="","",IF($C9=0,_xlfn.LET(_xlpm.x,IFERROR(_xlfn.XLOOKUP($A9,Util_Tags,Util_XR),""),IF(N(_xlpm.x)=0,Xfmr_DefXR,_xlpm.x)),IF(LEFT($A9,2)="T-",IFERROR(_xlfn.XLOOKUP($A9,Transformers!$A$6:$A$105,Transformers!$AH$6:$AH$105),Xfmr_DefXR),IFERROR(_xlfn.XLOOKUP($E9,$A$6:$A$255,$N$6:$N$255),Xfmr_DefXR))))</f>
        <v/>
      </c>
      <c r="O9" s="177" t="str">
        <f t="shared" si="6"/>
        <v/>
      </c>
      <c r="P9" s="210" t="str">
        <f>IF($A9="","",IF(LEFT($A9,2)="T-",IF($CO9="","",_xlfn.LET(_xlpm.k,IFERROR(_xlfn.XLOOKUP($A9,Transformers!$A$6:$A$105,Transformers!$G$6:$G$105),""),_xlpm.sv,IFERROR(_xlfn.XLOOKUP($A9,Transformers!$A$6:$A$105,Transformers!$E$6:$E$105),""),IF(OR(NOT(ISNUMBER(_xlpm.k)),NOT(ISNUMBER(_xlpm.sv)),_xlpm.sv=0),"",_xlfn.LET(_xlpm.iInf,(_xlpm.k*1000/(_xlpm.sv/2))*100/$CO9,_xlpm.pri,IF(OR($CK9="",$CK9=0),"",$CK9/2),_xlpm.base,IF(_xlpm.pri="",_xlpm.iInf,_xlpm.iInf/(1+_xlpm.iInf/_xlpm.pri)),_xlpm.base+IF($L9="",0,$L9))))),IF($CP9="","",_xlfn.LET(_xlpm.pI,IFERROR(_xlfn.XLOOKUP($E9,$A$6:$A$255,$P$6:$P$255),""),IF(NOT(ISNUMBER(_xlpm.pI)),"",_xlpm.pI/(1+$CP9)+IF($L9="",0,$L9))))))</f>
        <v/>
      </c>
      <c r="Q9" s="210" t="str">
        <f t="shared" si="7"/>
        <v/>
      </c>
      <c r="R9" s="177" t="str">
        <f>IF($A9="","",IF(OR($C9=0,LEFT($A9,2)="T-"),"",IFERROR(_xlfn.LET(_xlpm.v,_xlfn.XLOOKUP($A9,Dashboard!$A$101:$A$350,Dashboard!$K$101:$K$350),IF(ISNUMBER(_xlpm.v),_xlpm.v,"")),"")))</f>
        <v/>
      </c>
      <c r="S9" s="211" t="str">
        <f t="shared" si="8"/>
        <v/>
      </c>
      <c r="T9" s="25" t="str">
        <f t="shared" si="9"/>
        <v/>
      </c>
      <c r="U9" s="364"/>
      <c r="BV9" s="20" t="str">
        <f>IF($A9="","",IFERROR(_xlfn.XLOOKUP("F-"&amp;$A9,'Feeder Schedule'!$B$5:$B$254,'Feeder Schedule'!$H$5:$H$254),""))</f>
        <v/>
      </c>
      <c r="BW9" s="20" t="str">
        <f>IF($A9="","",IFERROR(_xlfn.XLOOKUP("F-"&amp;$A9,'Feeder Schedule'!$B$5:$B$254,'Feeder Schedule'!$BV$5:$BV$254),""))</f>
        <v/>
      </c>
      <c r="BX9" s="20" t="str">
        <f>IF($A9="","",IFERROR(_xlfn.LET(_xlpm.v,_xlfn.XLOOKUP("F-"&amp;$A9,'Feeder Schedule'!$B$5:$B$254,'Feeder Schedule'!$M$5:$M$254),IF(OR(_xlpm.v="",_xlpm.v=0),Cfg_Conduit,_xlpm.v)),""))</f>
        <v/>
      </c>
      <c r="BY9" s="20" t="str">
        <f>IF($A9="","",IFERROR(_xlfn.XLOOKUP("F-"&amp;$A9,'Feeder Schedule'!$B$5:$B$254,'Feeder Schedule'!$O$5:$O$254),""))</f>
        <v/>
      </c>
      <c r="BZ9" s="20" t="str">
        <f>IF($A9="","",IFERROR(_xlfn.XLOOKUP("F-"&amp;$A9,'Feeder Schedule'!$B$5:$B$254,'Feeder Schedule'!$CH$5:$CH$254),""))</f>
        <v/>
      </c>
      <c r="CA9" s="20" t="str">
        <f>IF($A9="","",IFERROR(_xlfn.XLOOKUP("F-"&amp;$A9,'Feeder Schedule'!$B$5:$B$254,'Feeder Schedule'!$F$5:$F$254),""))</f>
        <v/>
      </c>
      <c r="CB9" s="20" t="str">
        <f>IF($A9="","",IFERROR(_xlfn.XLOOKUP("F-"&amp;$A9,'Feeder Schedule'!$B$5:$B$254,'Feeder Schedule'!$G$5:$G$254),""))</f>
        <v/>
      </c>
      <c r="CD9" s="20" t="str" cm="1">
        <f t="array" ref="CD9">IFERROR(IF($A9="","",INDEX(_xlfn.ANCHORARRAY($BK$4),ROW()-5,6)),"")</f>
        <v/>
      </c>
      <c r="CE9" s="20" t="str">
        <f t="shared" si="12"/>
        <v/>
      </c>
      <c r="CF9" s="20" t="str">
        <f t="shared" si="13"/>
        <v/>
      </c>
      <c r="CG9" s="20" t="str">
        <f t="shared" si="10"/>
        <v/>
      </c>
      <c r="CH9" s="20" t="str" cm="1">
        <f t="array" ref="CH9">IF(OR($A9="",$BZ9="",$BW9="",$BX9=""),"",_xlfn.LET(_xlpm.mag,IFERROR(_xlfn.XLOOKUP($BX9,Race_Raceway,Race_Mag),""),IF(_xlpm.mag="","",IFERROR(INDEX(Cond_Table,MATCH($BZ9,Cond_Size,0),IF(UPPER($BW9)="AL",IF(_xlpm.mag="Y",10,12),IF(_xlpm.mag="Y",9,11))),""))))</f>
        <v/>
      </c>
      <c r="CI9" s="20" t="str">
        <f t="shared" si="11"/>
        <v/>
      </c>
      <c r="CJ9" s="20" t="str">
        <f>IF(OR($A9="",LEFT($A9,2)&lt;&gt;"T-"),"",IFERROR(_xlfn.LET(_xlpm.fla,_xlfn.XLOOKUP($A9,Transformers!$A$6:$A$105,Transformers!$AK$6:$AK$105),_xlpm.z,_xlfn.XLOOKUP($A9,Transformers!$A$6:$A$105,Transformers!$AX$6:$AX$105),IF(OR(_xlpm.fla="",_xlpm.z="",_xlpm.z=0),"",_xlpm.fla*100/_xlpm.z)),""))</f>
        <v/>
      </c>
      <c r="CK9" s="20" t="str">
        <f t="shared" si="14"/>
        <v/>
      </c>
      <c r="CL9" s="20" t="str">
        <f t="shared" si="15"/>
        <v/>
      </c>
      <c r="CM9" s="373"/>
      <c r="CO9" s="20" t="str">
        <f>IF(OR($A9="",LEFT($A9,2)&lt;&gt;"T-"),"",_xlfn.LET(_xlpm.ph,IFERROR(_xlfn.XLOOKUP($A9,Transformers!$A$6:$A$105,Transformers!$C$6:$C$105),""),_xlpm.rr,IFERROR(_xlfn.XLOOKUP($A9,Transformers!$A$6:$A$105,Transformers!$AG$6:$AG$105),""),_xlpm.xx,IFERROR(_xlfn.XLOOKUP($A9,Transformers!$A$6:$A$105,Transformers!$AI$6:$AI$105),""),IF(OR(_xlpm.ph&lt;&gt;1,NOT(ISNUMBER(_xlpm.rr)),NOT(ISNUMBER(_xlpm.xx))),"",SQRT((1.5*_xlpm.rr)^2+(1.2*_xlpm.xx)^2))))</f>
        <v/>
      </c>
      <c r="CP9" s="20" t="str">
        <f t="shared" si="16"/>
        <v/>
      </c>
    </row>
    <row r="10" spans="1:94" ht="15" customHeight="1" x14ac:dyDescent="0.45">
      <c r="A10" s="275" t="str" cm="1">
        <f t="array" ref="A10">IFERROR(IF(INDEX(_xlfn.ANCHORARRAY($BK$4),ROW()-5,1)="","",INDEX(_xlfn.ANCHORARRAY($BK$4),ROW()-5,1)),"")</f>
        <v/>
      </c>
      <c r="B10" s="25" t="str" cm="1">
        <f t="array" ref="B10">IFERROR(IF($A10="","",INDEX(_xlfn.ANCHORARRAY($BK$4),ROW()-5,5)),"")</f>
        <v/>
      </c>
      <c r="C10" s="178" t="str" cm="1">
        <f t="array" ref="C10">IFERROR(IF($A10="","",INDEX(_xlfn.ANCHORARRAY($BK$4),ROW()-5,7)),"")</f>
        <v/>
      </c>
      <c r="D10" s="177" t="str" cm="1">
        <f t="array" ref="D10">IFERROR(IF($A10="","",INDEX(_xlfn.ANCHORARRAY($BK$4),ROW()-5,3)),"")</f>
        <v/>
      </c>
      <c r="E10" s="25" t="str" cm="1">
        <f t="array" ref="E10">IFERROR(IF($A10="","",INDEX(_xlfn.ANCHORARRAY($BK$4),ROW()-5,2)),"")</f>
        <v/>
      </c>
      <c r="F10" s="177" t="str">
        <f t="shared" si="0"/>
        <v/>
      </c>
      <c r="G10" s="275" t="str">
        <f t="shared" si="1"/>
        <v/>
      </c>
      <c r="H10" s="180" t="str">
        <f t="shared" si="2"/>
        <v/>
      </c>
      <c r="I10" s="180" t="str">
        <f t="shared" si="3"/>
        <v/>
      </c>
      <c r="J10" s="177" t="str">
        <f>_xlfn.LET(_xlpm.v,_xlfn.LET(_xlpm.base,IF($A10="","",IF($C10=0,IFERROR(_xlfn.XLOOKUP($A10,Util_Tags,Util_SCAEff),""),IF(LEFT($A10,2)="T-",IF($CJ10="","",$CJ10/(1+IF($CL10="",0,$CL10))),IF(OR($F10="",$I10=""),"",$F10*$I10)))),_xlpm.gtag,IF(OR($A10="",NOT(OR($B10="ATS",$B10="MTS"))),"",IFERROR(_xlfn.XLOOKUP($A10,Dashboard!$A$101:$A$350,Dashboard!$L$101:$L$350,"")&amp;"","")),_xlpm.gkva,IF(_xlpm.gtag="",0,IFERROR(N(_xlfn.XLOOKUP(_xlpm.gtag,Generator!$B$53:$B$58,Generator!$S$53:$S$58,0)),0)),_xlpm.gxd,IF(_xlpm.gtag="",0,IFERROR(N(_xlfn.XLOOKUP(_xlpm.gtag,Generator!$B$53:$B$58,Generator!$U$53:$U$58,0)),0)),_xlpm.gamp,IF(OR(_xlpm.gkva=0,_xlpm.gxd=0,N($D10)=0),0,ROUND(_xlpm.gkva*1000/(IF(N($CB10)=1,1,SQRT(3))*$D10*_xlpm.gxd),0)),IF(OR(_xlpm.gamp=0,NOT(ISNUMBER(_xlpm.base))),_xlpm.base,MAX(_xlpm.base,_xlpm.gamp))),_xlpm.ulim,IF(OR($A10="",$B10&lt;&gt;"UPS"),"",IFERROR(IF(_xlfn.XLOOKUP($A10,UPS!$B$57:$B$64,UPS!$E$57:$E$64,"")="None",_xlfn.XLOOKUP($A10,UPS!$B$57:$B$64,UPS!$U$57:$U$64,""),""),"")),IF(AND(ISNUMBER(_xlpm.v),ISNUMBER(_xlpm.ulim)),MIN(_xlpm.v,_xlpm.ulim),_xlpm.v))</f>
        <v/>
      </c>
      <c r="K10" s="176"/>
      <c r="L10" s="177" t="str">
        <f t="shared" si="4"/>
        <v/>
      </c>
      <c r="M10" s="177" t="str">
        <f t="shared" si="5"/>
        <v/>
      </c>
      <c r="N10" s="380" t="str">
        <f>IF($A10="","",IF($C10=0,_xlfn.LET(_xlpm.x,IFERROR(_xlfn.XLOOKUP($A10,Util_Tags,Util_XR),""),IF(N(_xlpm.x)=0,Xfmr_DefXR,_xlpm.x)),IF(LEFT($A10,2)="T-",IFERROR(_xlfn.XLOOKUP($A10,Transformers!$A$6:$A$105,Transformers!$AH$6:$AH$105),Xfmr_DefXR),IFERROR(_xlfn.XLOOKUP($E10,$A$6:$A$255,$N$6:$N$255),Xfmr_DefXR))))</f>
        <v/>
      </c>
      <c r="O10" s="177" t="str">
        <f t="shared" si="6"/>
        <v/>
      </c>
      <c r="P10" s="210" t="str">
        <f>IF($A10="","",IF(LEFT($A10,2)="T-",IF($CO10="","",_xlfn.LET(_xlpm.k,IFERROR(_xlfn.XLOOKUP($A10,Transformers!$A$6:$A$105,Transformers!$G$6:$G$105),""),_xlpm.sv,IFERROR(_xlfn.XLOOKUP($A10,Transformers!$A$6:$A$105,Transformers!$E$6:$E$105),""),IF(OR(NOT(ISNUMBER(_xlpm.k)),NOT(ISNUMBER(_xlpm.sv)),_xlpm.sv=0),"",_xlfn.LET(_xlpm.iInf,(_xlpm.k*1000/(_xlpm.sv/2))*100/$CO10,_xlpm.pri,IF(OR($CK10="",$CK10=0),"",$CK10/2),_xlpm.base,IF(_xlpm.pri="",_xlpm.iInf,_xlpm.iInf/(1+_xlpm.iInf/_xlpm.pri)),_xlpm.base+IF($L10="",0,$L10))))),IF($CP10="","",_xlfn.LET(_xlpm.pI,IFERROR(_xlfn.XLOOKUP($E10,$A$6:$A$255,$P$6:$P$255),""),IF(NOT(ISNUMBER(_xlpm.pI)),"",_xlpm.pI/(1+$CP10)+IF($L10="",0,$L10))))))</f>
        <v/>
      </c>
      <c r="Q10" s="210" t="str">
        <f t="shared" si="7"/>
        <v/>
      </c>
      <c r="R10" s="177" t="str">
        <f>IF($A10="","",IF(OR($C10=0,LEFT($A10,2)="T-"),"",IFERROR(_xlfn.LET(_xlpm.v,_xlfn.XLOOKUP($A10,Dashboard!$A$101:$A$350,Dashboard!$K$101:$K$350),IF(ISNUMBER(_xlpm.v),_xlpm.v,"")),"")))</f>
        <v/>
      </c>
      <c r="S10" s="211" t="str">
        <f t="shared" si="8"/>
        <v/>
      </c>
      <c r="T10" s="25" t="str">
        <f t="shared" si="9"/>
        <v/>
      </c>
      <c r="U10" s="364"/>
      <c r="BV10" s="20" t="str">
        <f>IF($A10="","",IFERROR(_xlfn.XLOOKUP("F-"&amp;$A10,'Feeder Schedule'!$B$5:$B$254,'Feeder Schedule'!$H$5:$H$254),""))</f>
        <v/>
      </c>
      <c r="BW10" s="20" t="str">
        <f>IF($A10="","",IFERROR(_xlfn.XLOOKUP("F-"&amp;$A10,'Feeder Schedule'!$B$5:$B$254,'Feeder Schedule'!$BV$5:$BV$254),""))</f>
        <v/>
      </c>
      <c r="BX10" s="20" t="str">
        <f>IF($A10="","",IFERROR(_xlfn.LET(_xlpm.v,_xlfn.XLOOKUP("F-"&amp;$A10,'Feeder Schedule'!$B$5:$B$254,'Feeder Schedule'!$M$5:$M$254),IF(OR(_xlpm.v="",_xlpm.v=0),Cfg_Conduit,_xlpm.v)),""))</f>
        <v/>
      </c>
      <c r="BY10" s="20" t="str">
        <f>IF($A10="","",IFERROR(_xlfn.XLOOKUP("F-"&amp;$A10,'Feeder Schedule'!$B$5:$B$254,'Feeder Schedule'!$O$5:$O$254),""))</f>
        <v/>
      </c>
      <c r="BZ10" s="20" t="str">
        <f>IF($A10="","",IFERROR(_xlfn.XLOOKUP("F-"&amp;$A10,'Feeder Schedule'!$B$5:$B$254,'Feeder Schedule'!$CH$5:$CH$254),""))</f>
        <v/>
      </c>
      <c r="CA10" s="20" t="str">
        <f>IF($A10="","",IFERROR(_xlfn.XLOOKUP("F-"&amp;$A10,'Feeder Schedule'!$B$5:$B$254,'Feeder Schedule'!$F$5:$F$254),""))</f>
        <v/>
      </c>
      <c r="CB10" s="20" t="str">
        <f>IF($A10="","",IFERROR(_xlfn.XLOOKUP("F-"&amp;$A10,'Feeder Schedule'!$B$5:$B$254,'Feeder Schedule'!$G$5:$G$254),""))</f>
        <v/>
      </c>
      <c r="CD10" s="20" t="str" cm="1">
        <f t="array" ref="CD10">IFERROR(IF($A10="","",INDEX(_xlfn.ANCHORARRAY($BK$4),ROW()-5,6)),"")</f>
        <v/>
      </c>
      <c r="CE10" s="20" t="str">
        <f t="shared" si="12"/>
        <v/>
      </c>
      <c r="CF10" s="20" t="str">
        <f t="shared" si="13"/>
        <v/>
      </c>
      <c r="CG10" s="20" t="str">
        <f t="shared" si="10"/>
        <v/>
      </c>
      <c r="CH10" s="20" t="str" cm="1">
        <f t="array" ref="CH10">IF(OR($A10="",$BZ10="",$BW10="",$BX10=""),"",_xlfn.LET(_xlpm.mag,IFERROR(_xlfn.XLOOKUP($BX10,Race_Raceway,Race_Mag),""),IF(_xlpm.mag="","",IFERROR(INDEX(Cond_Table,MATCH($BZ10,Cond_Size,0),IF(UPPER($BW10)="AL",IF(_xlpm.mag="Y",10,12),IF(_xlpm.mag="Y",9,11))),""))))</f>
        <v/>
      </c>
      <c r="CI10" s="20" t="str">
        <f t="shared" si="11"/>
        <v/>
      </c>
      <c r="CJ10" s="20" t="str">
        <f>IF(OR($A10="",LEFT($A10,2)&lt;&gt;"T-"),"",IFERROR(_xlfn.LET(_xlpm.fla,_xlfn.XLOOKUP($A10,Transformers!$A$6:$A$105,Transformers!$AK$6:$AK$105),_xlpm.z,_xlfn.XLOOKUP($A10,Transformers!$A$6:$A$105,Transformers!$AX$6:$AX$105),IF(OR(_xlpm.fla="",_xlpm.z="",_xlpm.z=0),"",_xlpm.fla*100/_xlpm.z)),""))</f>
        <v/>
      </c>
      <c r="CK10" s="20" t="str">
        <f t="shared" si="14"/>
        <v/>
      </c>
      <c r="CL10" s="20" t="str">
        <f t="shared" si="15"/>
        <v/>
      </c>
      <c r="CM10" s="373"/>
      <c r="CO10" s="20" t="str">
        <f>IF(OR($A10="",LEFT($A10,2)&lt;&gt;"T-"),"",_xlfn.LET(_xlpm.ph,IFERROR(_xlfn.XLOOKUP($A10,Transformers!$A$6:$A$105,Transformers!$C$6:$C$105),""),_xlpm.rr,IFERROR(_xlfn.XLOOKUP($A10,Transformers!$A$6:$A$105,Transformers!$AG$6:$AG$105),""),_xlpm.xx,IFERROR(_xlfn.XLOOKUP($A10,Transformers!$A$6:$A$105,Transformers!$AI$6:$AI$105),""),IF(OR(_xlpm.ph&lt;&gt;1,NOT(ISNUMBER(_xlpm.rr)),NOT(ISNUMBER(_xlpm.xx))),"",SQRT((1.5*_xlpm.rr)^2+(1.2*_xlpm.xx)^2))))</f>
        <v/>
      </c>
      <c r="CP10" s="20" t="str">
        <f t="shared" si="16"/>
        <v/>
      </c>
    </row>
    <row r="11" spans="1:94" ht="15" customHeight="1" x14ac:dyDescent="0.45">
      <c r="A11" s="275" t="str" cm="1">
        <f t="array" ref="A11">IFERROR(IF(INDEX(_xlfn.ANCHORARRAY($BK$4),ROW()-5,1)="","",INDEX(_xlfn.ANCHORARRAY($BK$4),ROW()-5,1)),"")</f>
        <v/>
      </c>
      <c r="B11" s="25" t="str" cm="1">
        <f t="array" ref="B11">IFERROR(IF($A11="","",INDEX(_xlfn.ANCHORARRAY($BK$4),ROW()-5,5)),"")</f>
        <v/>
      </c>
      <c r="C11" s="178" t="str" cm="1">
        <f t="array" ref="C11">IFERROR(IF($A11="","",INDEX(_xlfn.ANCHORARRAY($BK$4),ROW()-5,7)),"")</f>
        <v/>
      </c>
      <c r="D11" s="177" t="str" cm="1">
        <f t="array" ref="D11">IFERROR(IF($A11="","",INDEX(_xlfn.ANCHORARRAY($BK$4),ROW()-5,3)),"")</f>
        <v/>
      </c>
      <c r="E11" s="25" t="str" cm="1">
        <f t="array" ref="E11">IFERROR(IF($A11="","",INDEX(_xlfn.ANCHORARRAY($BK$4),ROW()-5,2)),"")</f>
        <v/>
      </c>
      <c r="F11" s="177" t="str">
        <f t="shared" si="0"/>
        <v/>
      </c>
      <c r="G11" s="275" t="str">
        <f t="shared" si="1"/>
        <v/>
      </c>
      <c r="H11" s="180" t="str">
        <f t="shared" si="2"/>
        <v/>
      </c>
      <c r="I11" s="180" t="str">
        <f t="shared" si="3"/>
        <v/>
      </c>
      <c r="J11" s="177" t="str">
        <f>_xlfn.LET(_xlpm.v,_xlfn.LET(_xlpm.base,IF($A11="","",IF($C11=0,IFERROR(_xlfn.XLOOKUP($A11,Util_Tags,Util_SCAEff),""),IF(LEFT($A11,2)="T-",IF($CJ11="","",$CJ11/(1+IF($CL11="",0,$CL11))),IF(OR($F11="",$I11=""),"",$F11*$I11)))),_xlpm.gtag,IF(OR($A11="",NOT(OR($B11="ATS",$B11="MTS"))),"",IFERROR(_xlfn.XLOOKUP($A11,Dashboard!$A$101:$A$350,Dashboard!$L$101:$L$350,"")&amp;"","")),_xlpm.gkva,IF(_xlpm.gtag="",0,IFERROR(N(_xlfn.XLOOKUP(_xlpm.gtag,Generator!$B$53:$B$58,Generator!$S$53:$S$58,0)),0)),_xlpm.gxd,IF(_xlpm.gtag="",0,IFERROR(N(_xlfn.XLOOKUP(_xlpm.gtag,Generator!$B$53:$B$58,Generator!$U$53:$U$58,0)),0)),_xlpm.gamp,IF(OR(_xlpm.gkva=0,_xlpm.gxd=0,N($D11)=0),0,ROUND(_xlpm.gkva*1000/(IF(N($CB11)=1,1,SQRT(3))*$D11*_xlpm.gxd),0)),IF(OR(_xlpm.gamp=0,NOT(ISNUMBER(_xlpm.base))),_xlpm.base,MAX(_xlpm.base,_xlpm.gamp))),_xlpm.ulim,IF(OR($A11="",$B11&lt;&gt;"UPS"),"",IFERROR(IF(_xlfn.XLOOKUP($A11,UPS!$B$57:$B$64,UPS!$E$57:$E$64,"")="None",_xlfn.XLOOKUP($A11,UPS!$B$57:$B$64,UPS!$U$57:$U$64,""),""),"")),IF(AND(ISNUMBER(_xlpm.v),ISNUMBER(_xlpm.ulim)),MIN(_xlpm.v,_xlpm.ulim),_xlpm.v))</f>
        <v/>
      </c>
      <c r="K11" s="176"/>
      <c r="L11" s="177" t="str">
        <f t="shared" si="4"/>
        <v/>
      </c>
      <c r="M11" s="177" t="str">
        <f t="shared" si="5"/>
        <v/>
      </c>
      <c r="N11" s="380" t="str">
        <f>IF($A11="","",IF($C11=0,_xlfn.LET(_xlpm.x,IFERROR(_xlfn.XLOOKUP($A11,Util_Tags,Util_XR),""),IF(N(_xlpm.x)=0,Xfmr_DefXR,_xlpm.x)),IF(LEFT($A11,2)="T-",IFERROR(_xlfn.XLOOKUP($A11,Transformers!$A$6:$A$105,Transformers!$AH$6:$AH$105),Xfmr_DefXR),IFERROR(_xlfn.XLOOKUP($E11,$A$6:$A$255,$N$6:$N$255),Xfmr_DefXR))))</f>
        <v/>
      </c>
      <c r="O11" s="177" t="str">
        <f t="shared" si="6"/>
        <v/>
      </c>
      <c r="P11" s="210" t="str">
        <f>IF($A11="","",IF(LEFT($A11,2)="T-",IF($CO11="","",_xlfn.LET(_xlpm.k,IFERROR(_xlfn.XLOOKUP($A11,Transformers!$A$6:$A$105,Transformers!$G$6:$G$105),""),_xlpm.sv,IFERROR(_xlfn.XLOOKUP($A11,Transformers!$A$6:$A$105,Transformers!$E$6:$E$105),""),IF(OR(NOT(ISNUMBER(_xlpm.k)),NOT(ISNUMBER(_xlpm.sv)),_xlpm.sv=0),"",_xlfn.LET(_xlpm.iInf,(_xlpm.k*1000/(_xlpm.sv/2))*100/$CO11,_xlpm.pri,IF(OR($CK11="",$CK11=0),"",$CK11/2),_xlpm.base,IF(_xlpm.pri="",_xlpm.iInf,_xlpm.iInf/(1+_xlpm.iInf/_xlpm.pri)),_xlpm.base+IF($L11="",0,$L11))))),IF($CP11="","",_xlfn.LET(_xlpm.pI,IFERROR(_xlfn.XLOOKUP($E11,$A$6:$A$255,$P$6:$P$255),""),IF(NOT(ISNUMBER(_xlpm.pI)),"",_xlpm.pI/(1+$CP11)+IF($L11="",0,$L11))))))</f>
        <v/>
      </c>
      <c r="Q11" s="210" t="str">
        <f t="shared" si="7"/>
        <v/>
      </c>
      <c r="R11" s="177" t="str">
        <f>IF($A11="","",IF(OR($C11=0,LEFT($A11,2)="T-"),"",IFERROR(_xlfn.LET(_xlpm.v,_xlfn.XLOOKUP($A11,Dashboard!$A$101:$A$350,Dashboard!$K$101:$K$350),IF(ISNUMBER(_xlpm.v),_xlpm.v,"")),"")))</f>
        <v/>
      </c>
      <c r="S11" s="211" t="str">
        <f t="shared" si="8"/>
        <v/>
      </c>
      <c r="T11" s="25" t="str">
        <f t="shared" si="9"/>
        <v/>
      </c>
      <c r="U11" s="364"/>
      <c r="BV11" s="20" t="str">
        <f>IF($A11="","",IFERROR(_xlfn.XLOOKUP("F-"&amp;$A11,'Feeder Schedule'!$B$5:$B$254,'Feeder Schedule'!$H$5:$H$254),""))</f>
        <v/>
      </c>
      <c r="BW11" s="20" t="str">
        <f>IF($A11="","",IFERROR(_xlfn.XLOOKUP("F-"&amp;$A11,'Feeder Schedule'!$B$5:$B$254,'Feeder Schedule'!$BV$5:$BV$254),""))</f>
        <v/>
      </c>
      <c r="BX11" s="20" t="str">
        <f>IF($A11="","",IFERROR(_xlfn.LET(_xlpm.v,_xlfn.XLOOKUP("F-"&amp;$A11,'Feeder Schedule'!$B$5:$B$254,'Feeder Schedule'!$M$5:$M$254),IF(OR(_xlpm.v="",_xlpm.v=0),Cfg_Conduit,_xlpm.v)),""))</f>
        <v/>
      </c>
      <c r="BY11" s="20" t="str">
        <f>IF($A11="","",IFERROR(_xlfn.XLOOKUP("F-"&amp;$A11,'Feeder Schedule'!$B$5:$B$254,'Feeder Schedule'!$O$5:$O$254),""))</f>
        <v/>
      </c>
      <c r="BZ11" s="20" t="str">
        <f>IF($A11="","",IFERROR(_xlfn.XLOOKUP("F-"&amp;$A11,'Feeder Schedule'!$B$5:$B$254,'Feeder Schedule'!$CH$5:$CH$254),""))</f>
        <v/>
      </c>
      <c r="CA11" s="20" t="str">
        <f>IF($A11="","",IFERROR(_xlfn.XLOOKUP("F-"&amp;$A11,'Feeder Schedule'!$B$5:$B$254,'Feeder Schedule'!$F$5:$F$254),""))</f>
        <v/>
      </c>
      <c r="CB11" s="20" t="str">
        <f>IF($A11="","",IFERROR(_xlfn.XLOOKUP("F-"&amp;$A11,'Feeder Schedule'!$B$5:$B$254,'Feeder Schedule'!$G$5:$G$254),""))</f>
        <v/>
      </c>
      <c r="CD11" s="20" t="str" cm="1">
        <f t="array" ref="CD11">IFERROR(IF($A11="","",INDEX(_xlfn.ANCHORARRAY($BK$4),ROW()-5,6)),"")</f>
        <v/>
      </c>
      <c r="CE11" s="20" t="str">
        <f t="shared" si="12"/>
        <v/>
      </c>
      <c r="CF11" s="20" t="str">
        <f t="shared" si="13"/>
        <v/>
      </c>
      <c r="CG11" s="20" t="str">
        <f t="shared" si="10"/>
        <v/>
      </c>
      <c r="CH11" s="20" t="str" cm="1">
        <f t="array" ref="CH11">IF(OR($A11="",$BZ11="",$BW11="",$BX11=""),"",_xlfn.LET(_xlpm.mag,IFERROR(_xlfn.XLOOKUP($BX11,Race_Raceway,Race_Mag),""),IF(_xlpm.mag="","",IFERROR(INDEX(Cond_Table,MATCH($BZ11,Cond_Size,0),IF(UPPER($BW11)="AL",IF(_xlpm.mag="Y",10,12),IF(_xlpm.mag="Y",9,11))),""))))</f>
        <v/>
      </c>
      <c r="CI11" s="20" t="str">
        <f t="shared" si="11"/>
        <v/>
      </c>
      <c r="CJ11" s="20" t="str">
        <f>IF(OR($A11="",LEFT($A11,2)&lt;&gt;"T-"),"",IFERROR(_xlfn.LET(_xlpm.fla,_xlfn.XLOOKUP($A11,Transformers!$A$6:$A$105,Transformers!$AK$6:$AK$105),_xlpm.z,_xlfn.XLOOKUP($A11,Transformers!$A$6:$A$105,Transformers!$AX$6:$AX$105),IF(OR(_xlpm.fla="",_xlpm.z="",_xlpm.z=0),"",_xlpm.fla*100/_xlpm.z)),""))</f>
        <v/>
      </c>
      <c r="CK11" s="20" t="str">
        <f t="shared" si="14"/>
        <v/>
      </c>
      <c r="CL11" s="20" t="str">
        <f t="shared" si="15"/>
        <v/>
      </c>
      <c r="CM11" s="373"/>
      <c r="CO11" s="20" t="str">
        <f>IF(OR($A11="",LEFT($A11,2)&lt;&gt;"T-"),"",_xlfn.LET(_xlpm.ph,IFERROR(_xlfn.XLOOKUP($A11,Transformers!$A$6:$A$105,Transformers!$C$6:$C$105),""),_xlpm.rr,IFERROR(_xlfn.XLOOKUP($A11,Transformers!$A$6:$A$105,Transformers!$AG$6:$AG$105),""),_xlpm.xx,IFERROR(_xlfn.XLOOKUP($A11,Transformers!$A$6:$A$105,Transformers!$AI$6:$AI$105),""),IF(OR(_xlpm.ph&lt;&gt;1,NOT(ISNUMBER(_xlpm.rr)),NOT(ISNUMBER(_xlpm.xx))),"",SQRT((1.5*_xlpm.rr)^2+(1.2*_xlpm.xx)^2))))</f>
        <v/>
      </c>
      <c r="CP11" s="20" t="str">
        <f t="shared" si="16"/>
        <v/>
      </c>
    </row>
    <row r="12" spans="1:94" ht="15" customHeight="1" x14ac:dyDescent="0.45">
      <c r="A12" s="275" t="str" cm="1">
        <f t="array" ref="A12">IFERROR(IF(INDEX(_xlfn.ANCHORARRAY($BK$4),ROW()-5,1)="","",INDEX(_xlfn.ANCHORARRAY($BK$4),ROW()-5,1)),"")</f>
        <v/>
      </c>
      <c r="B12" s="25" t="str" cm="1">
        <f t="array" ref="B12">IFERROR(IF($A12="","",INDEX(_xlfn.ANCHORARRAY($BK$4),ROW()-5,5)),"")</f>
        <v/>
      </c>
      <c r="C12" s="178" t="str" cm="1">
        <f t="array" ref="C12">IFERROR(IF($A12="","",INDEX(_xlfn.ANCHORARRAY($BK$4),ROW()-5,7)),"")</f>
        <v/>
      </c>
      <c r="D12" s="177" t="str" cm="1">
        <f t="array" ref="D12">IFERROR(IF($A12="","",INDEX(_xlfn.ANCHORARRAY($BK$4),ROW()-5,3)),"")</f>
        <v/>
      </c>
      <c r="E12" s="25" t="str" cm="1">
        <f t="array" ref="E12">IFERROR(IF($A12="","",INDEX(_xlfn.ANCHORARRAY($BK$4),ROW()-5,2)),"")</f>
        <v/>
      </c>
      <c r="F12" s="177" t="str">
        <f t="shared" si="0"/>
        <v/>
      </c>
      <c r="G12" s="275" t="str">
        <f t="shared" si="1"/>
        <v/>
      </c>
      <c r="H12" s="180" t="str">
        <f t="shared" si="2"/>
        <v/>
      </c>
      <c r="I12" s="180" t="str">
        <f t="shared" si="3"/>
        <v/>
      </c>
      <c r="J12" s="177" t="str">
        <f>_xlfn.LET(_xlpm.v,_xlfn.LET(_xlpm.base,IF($A12="","",IF($C12=0,IFERROR(_xlfn.XLOOKUP($A12,Util_Tags,Util_SCAEff),""),IF(LEFT($A12,2)="T-",IF($CJ12="","",$CJ12/(1+IF($CL12="",0,$CL12))),IF(OR($F12="",$I12=""),"",$F12*$I12)))),_xlpm.gtag,IF(OR($A12="",NOT(OR($B12="ATS",$B12="MTS"))),"",IFERROR(_xlfn.XLOOKUP($A12,Dashboard!$A$101:$A$350,Dashboard!$L$101:$L$350,"")&amp;"","")),_xlpm.gkva,IF(_xlpm.gtag="",0,IFERROR(N(_xlfn.XLOOKUP(_xlpm.gtag,Generator!$B$53:$B$58,Generator!$S$53:$S$58,0)),0)),_xlpm.gxd,IF(_xlpm.gtag="",0,IFERROR(N(_xlfn.XLOOKUP(_xlpm.gtag,Generator!$B$53:$B$58,Generator!$U$53:$U$58,0)),0)),_xlpm.gamp,IF(OR(_xlpm.gkva=0,_xlpm.gxd=0,N($D12)=0),0,ROUND(_xlpm.gkva*1000/(IF(N($CB12)=1,1,SQRT(3))*$D12*_xlpm.gxd),0)),IF(OR(_xlpm.gamp=0,NOT(ISNUMBER(_xlpm.base))),_xlpm.base,MAX(_xlpm.base,_xlpm.gamp))),_xlpm.ulim,IF(OR($A12="",$B12&lt;&gt;"UPS"),"",IFERROR(IF(_xlfn.XLOOKUP($A12,UPS!$B$57:$B$64,UPS!$E$57:$E$64,"")="None",_xlfn.XLOOKUP($A12,UPS!$B$57:$B$64,UPS!$U$57:$U$64,""),""),"")),IF(AND(ISNUMBER(_xlpm.v),ISNUMBER(_xlpm.ulim)),MIN(_xlpm.v,_xlpm.ulim),_xlpm.v))</f>
        <v/>
      </c>
      <c r="K12" s="176"/>
      <c r="L12" s="177" t="str">
        <f t="shared" si="4"/>
        <v/>
      </c>
      <c r="M12" s="177" t="str">
        <f t="shared" si="5"/>
        <v/>
      </c>
      <c r="N12" s="380" t="str">
        <f>IF($A12="","",IF($C12=0,_xlfn.LET(_xlpm.x,IFERROR(_xlfn.XLOOKUP($A12,Util_Tags,Util_XR),""),IF(N(_xlpm.x)=0,Xfmr_DefXR,_xlpm.x)),IF(LEFT($A12,2)="T-",IFERROR(_xlfn.XLOOKUP($A12,Transformers!$A$6:$A$105,Transformers!$AH$6:$AH$105),Xfmr_DefXR),IFERROR(_xlfn.XLOOKUP($E12,$A$6:$A$255,$N$6:$N$255),Xfmr_DefXR))))</f>
        <v/>
      </c>
      <c r="O12" s="177" t="str">
        <f t="shared" si="6"/>
        <v/>
      </c>
      <c r="P12" s="210" t="str">
        <f>IF($A12="","",IF(LEFT($A12,2)="T-",IF($CO12="","",_xlfn.LET(_xlpm.k,IFERROR(_xlfn.XLOOKUP($A12,Transformers!$A$6:$A$105,Transformers!$G$6:$G$105),""),_xlpm.sv,IFERROR(_xlfn.XLOOKUP($A12,Transformers!$A$6:$A$105,Transformers!$E$6:$E$105),""),IF(OR(NOT(ISNUMBER(_xlpm.k)),NOT(ISNUMBER(_xlpm.sv)),_xlpm.sv=0),"",_xlfn.LET(_xlpm.iInf,(_xlpm.k*1000/(_xlpm.sv/2))*100/$CO12,_xlpm.pri,IF(OR($CK12="",$CK12=0),"",$CK12/2),_xlpm.base,IF(_xlpm.pri="",_xlpm.iInf,_xlpm.iInf/(1+_xlpm.iInf/_xlpm.pri)),_xlpm.base+IF($L12="",0,$L12))))),IF($CP12="","",_xlfn.LET(_xlpm.pI,IFERROR(_xlfn.XLOOKUP($E12,$A$6:$A$255,$P$6:$P$255),""),IF(NOT(ISNUMBER(_xlpm.pI)),"",_xlpm.pI/(1+$CP12)+IF($L12="",0,$L12))))))</f>
        <v/>
      </c>
      <c r="Q12" s="210" t="str">
        <f t="shared" si="7"/>
        <v/>
      </c>
      <c r="R12" s="177" t="str">
        <f>IF($A12="","",IF(OR($C12=0,LEFT($A12,2)="T-"),"",IFERROR(_xlfn.LET(_xlpm.v,_xlfn.XLOOKUP($A12,Dashboard!$A$101:$A$350,Dashboard!$K$101:$K$350),IF(ISNUMBER(_xlpm.v),_xlpm.v,"")),"")))</f>
        <v/>
      </c>
      <c r="S12" s="211" t="str">
        <f t="shared" si="8"/>
        <v/>
      </c>
      <c r="T12" s="25" t="str">
        <f t="shared" si="9"/>
        <v/>
      </c>
      <c r="U12" s="364"/>
      <c r="BV12" s="20" t="str">
        <f>IF($A12="","",IFERROR(_xlfn.XLOOKUP("F-"&amp;$A12,'Feeder Schedule'!$B$5:$B$254,'Feeder Schedule'!$H$5:$H$254),""))</f>
        <v/>
      </c>
      <c r="BW12" s="20" t="str">
        <f>IF($A12="","",IFERROR(_xlfn.XLOOKUP("F-"&amp;$A12,'Feeder Schedule'!$B$5:$B$254,'Feeder Schedule'!$BV$5:$BV$254),""))</f>
        <v/>
      </c>
      <c r="BX12" s="20" t="str">
        <f>IF($A12="","",IFERROR(_xlfn.LET(_xlpm.v,_xlfn.XLOOKUP("F-"&amp;$A12,'Feeder Schedule'!$B$5:$B$254,'Feeder Schedule'!$M$5:$M$254),IF(OR(_xlpm.v="",_xlpm.v=0),Cfg_Conduit,_xlpm.v)),""))</f>
        <v/>
      </c>
      <c r="BY12" s="20" t="str">
        <f>IF($A12="","",IFERROR(_xlfn.XLOOKUP("F-"&amp;$A12,'Feeder Schedule'!$B$5:$B$254,'Feeder Schedule'!$O$5:$O$254),""))</f>
        <v/>
      </c>
      <c r="BZ12" s="20" t="str">
        <f>IF($A12="","",IFERROR(_xlfn.XLOOKUP("F-"&amp;$A12,'Feeder Schedule'!$B$5:$B$254,'Feeder Schedule'!$CH$5:$CH$254),""))</f>
        <v/>
      </c>
      <c r="CA12" s="20" t="str">
        <f>IF($A12="","",IFERROR(_xlfn.XLOOKUP("F-"&amp;$A12,'Feeder Schedule'!$B$5:$B$254,'Feeder Schedule'!$F$5:$F$254),""))</f>
        <v/>
      </c>
      <c r="CB12" s="20" t="str">
        <f>IF($A12="","",IFERROR(_xlfn.XLOOKUP("F-"&amp;$A12,'Feeder Schedule'!$B$5:$B$254,'Feeder Schedule'!$G$5:$G$254),""))</f>
        <v/>
      </c>
      <c r="CD12" s="20" t="str" cm="1">
        <f t="array" ref="CD12">IFERROR(IF($A12="","",INDEX(_xlfn.ANCHORARRAY($BK$4),ROW()-5,6)),"")</f>
        <v/>
      </c>
      <c r="CE12" s="20" t="str">
        <f t="shared" si="12"/>
        <v/>
      </c>
      <c r="CF12" s="20" t="str">
        <f t="shared" si="13"/>
        <v/>
      </c>
      <c r="CG12" s="20" t="str">
        <f t="shared" si="10"/>
        <v/>
      </c>
      <c r="CH12" s="20" t="str" cm="1">
        <f t="array" ref="CH12">IF(OR($A12="",$BZ12="",$BW12="",$BX12=""),"",_xlfn.LET(_xlpm.mag,IFERROR(_xlfn.XLOOKUP($BX12,Race_Raceway,Race_Mag),""),IF(_xlpm.mag="","",IFERROR(INDEX(Cond_Table,MATCH($BZ12,Cond_Size,0),IF(UPPER($BW12)="AL",IF(_xlpm.mag="Y",10,12),IF(_xlpm.mag="Y",9,11))),""))))</f>
        <v/>
      </c>
      <c r="CI12" s="20" t="str">
        <f t="shared" si="11"/>
        <v/>
      </c>
      <c r="CJ12" s="20" t="str">
        <f>IF(OR($A12="",LEFT($A12,2)&lt;&gt;"T-"),"",IFERROR(_xlfn.LET(_xlpm.fla,_xlfn.XLOOKUP($A12,Transformers!$A$6:$A$105,Transformers!$AK$6:$AK$105),_xlpm.z,_xlfn.XLOOKUP($A12,Transformers!$A$6:$A$105,Transformers!$AX$6:$AX$105),IF(OR(_xlpm.fla="",_xlpm.z="",_xlpm.z=0),"",_xlpm.fla*100/_xlpm.z)),""))</f>
        <v/>
      </c>
      <c r="CK12" s="20" t="str">
        <f t="shared" si="14"/>
        <v/>
      </c>
      <c r="CL12" s="20" t="str">
        <f t="shared" si="15"/>
        <v/>
      </c>
      <c r="CM12" s="373"/>
      <c r="CO12" s="20" t="str">
        <f>IF(OR($A12="",LEFT($A12,2)&lt;&gt;"T-"),"",_xlfn.LET(_xlpm.ph,IFERROR(_xlfn.XLOOKUP($A12,Transformers!$A$6:$A$105,Transformers!$C$6:$C$105),""),_xlpm.rr,IFERROR(_xlfn.XLOOKUP($A12,Transformers!$A$6:$A$105,Transformers!$AG$6:$AG$105),""),_xlpm.xx,IFERROR(_xlfn.XLOOKUP($A12,Transformers!$A$6:$A$105,Transformers!$AI$6:$AI$105),""),IF(OR(_xlpm.ph&lt;&gt;1,NOT(ISNUMBER(_xlpm.rr)),NOT(ISNUMBER(_xlpm.xx))),"",SQRT((1.5*_xlpm.rr)^2+(1.2*_xlpm.xx)^2))))</f>
        <v/>
      </c>
      <c r="CP12" s="20" t="str">
        <f t="shared" si="16"/>
        <v/>
      </c>
    </row>
    <row r="13" spans="1:94" ht="15" customHeight="1" x14ac:dyDescent="0.45">
      <c r="A13" s="275" t="str" cm="1">
        <f t="array" ref="A13">IFERROR(IF(INDEX(_xlfn.ANCHORARRAY($BK$4),ROW()-5,1)="","",INDEX(_xlfn.ANCHORARRAY($BK$4),ROW()-5,1)),"")</f>
        <v/>
      </c>
      <c r="B13" s="25" t="str" cm="1">
        <f t="array" ref="B13">IFERROR(IF($A13="","",INDEX(_xlfn.ANCHORARRAY($BK$4),ROW()-5,5)),"")</f>
        <v/>
      </c>
      <c r="C13" s="178" t="str" cm="1">
        <f t="array" ref="C13">IFERROR(IF($A13="","",INDEX(_xlfn.ANCHORARRAY($BK$4),ROW()-5,7)),"")</f>
        <v/>
      </c>
      <c r="D13" s="177" t="str" cm="1">
        <f t="array" ref="D13">IFERROR(IF($A13="","",INDEX(_xlfn.ANCHORARRAY($BK$4),ROW()-5,3)),"")</f>
        <v/>
      </c>
      <c r="E13" s="25" t="str" cm="1">
        <f t="array" ref="E13">IFERROR(IF($A13="","",INDEX(_xlfn.ANCHORARRAY($BK$4),ROW()-5,2)),"")</f>
        <v/>
      </c>
      <c r="F13" s="177" t="str">
        <f t="shared" si="0"/>
        <v/>
      </c>
      <c r="G13" s="275" t="str">
        <f t="shared" si="1"/>
        <v/>
      </c>
      <c r="H13" s="180" t="str">
        <f t="shared" si="2"/>
        <v/>
      </c>
      <c r="I13" s="180" t="str">
        <f t="shared" si="3"/>
        <v/>
      </c>
      <c r="J13" s="177" t="str">
        <f>_xlfn.LET(_xlpm.v,_xlfn.LET(_xlpm.base,IF($A13="","",IF($C13=0,IFERROR(_xlfn.XLOOKUP($A13,Util_Tags,Util_SCAEff),""),IF(LEFT($A13,2)="T-",IF($CJ13="","",$CJ13/(1+IF($CL13="",0,$CL13))),IF(OR($F13="",$I13=""),"",$F13*$I13)))),_xlpm.gtag,IF(OR($A13="",NOT(OR($B13="ATS",$B13="MTS"))),"",IFERROR(_xlfn.XLOOKUP($A13,Dashboard!$A$101:$A$350,Dashboard!$L$101:$L$350,"")&amp;"","")),_xlpm.gkva,IF(_xlpm.gtag="",0,IFERROR(N(_xlfn.XLOOKUP(_xlpm.gtag,Generator!$B$53:$B$58,Generator!$S$53:$S$58,0)),0)),_xlpm.gxd,IF(_xlpm.gtag="",0,IFERROR(N(_xlfn.XLOOKUP(_xlpm.gtag,Generator!$B$53:$B$58,Generator!$U$53:$U$58,0)),0)),_xlpm.gamp,IF(OR(_xlpm.gkva=0,_xlpm.gxd=0,N($D13)=0),0,ROUND(_xlpm.gkva*1000/(IF(N($CB13)=1,1,SQRT(3))*$D13*_xlpm.gxd),0)),IF(OR(_xlpm.gamp=0,NOT(ISNUMBER(_xlpm.base))),_xlpm.base,MAX(_xlpm.base,_xlpm.gamp))),_xlpm.ulim,IF(OR($A13="",$B13&lt;&gt;"UPS"),"",IFERROR(IF(_xlfn.XLOOKUP($A13,UPS!$B$57:$B$64,UPS!$E$57:$E$64,"")="None",_xlfn.XLOOKUP($A13,UPS!$B$57:$B$64,UPS!$U$57:$U$64,""),""),"")),IF(AND(ISNUMBER(_xlpm.v),ISNUMBER(_xlpm.ulim)),MIN(_xlpm.v,_xlpm.ulim),_xlpm.v))</f>
        <v/>
      </c>
      <c r="K13" s="176"/>
      <c r="L13" s="177" t="str">
        <f t="shared" si="4"/>
        <v/>
      </c>
      <c r="M13" s="177" t="str">
        <f t="shared" si="5"/>
        <v/>
      </c>
      <c r="N13" s="380" t="str">
        <f>IF($A13="","",IF($C13=0,_xlfn.LET(_xlpm.x,IFERROR(_xlfn.XLOOKUP($A13,Util_Tags,Util_XR),""),IF(N(_xlpm.x)=0,Xfmr_DefXR,_xlpm.x)),IF(LEFT($A13,2)="T-",IFERROR(_xlfn.XLOOKUP($A13,Transformers!$A$6:$A$105,Transformers!$AH$6:$AH$105),Xfmr_DefXR),IFERROR(_xlfn.XLOOKUP($E13,$A$6:$A$255,$N$6:$N$255),Xfmr_DefXR))))</f>
        <v/>
      </c>
      <c r="O13" s="177" t="str">
        <f t="shared" si="6"/>
        <v/>
      </c>
      <c r="P13" s="210" t="str">
        <f>IF($A13="","",IF(LEFT($A13,2)="T-",IF($CO13="","",_xlfn.LET(_xlpm.k,IFERROR(_xlfn.XLOOKUP($A13,Transformers!$A$6:$A$105,Transformers!$G$6:$G$105),""),_xlpm.sv,IFERROR(_xlfn.XLOOKUP($A13,Transformers!$A$6:$A$105,Transformers!$E$6:$E$105),""),IF(OR(NOT(ISNUMBER(_xlpm.k)),NOT(ISNUMBER(_xlpm.sv)),_xlpm.sv=0),"",_xlfn.LET(_xlpm.iInf,(_xlpm.k*1000/(_xlpm.sv/2))*100/$CO13,_xlpm.pri,IF(OR($CK13="",$CK13=0),"",$CK13/2),_xlpm.base,IF(_xlpm.pri="",_xlpm.iInf,_xlpm.iInf/(1+_xlpm.iInf/_xlpm.pri)),_xlpm.base+IF($L13="",0,$L13))))),IF($CP13="","",_xlfn.LET(_xlpm.pI,IFERROR(_xlfn.XLOOKUP($E13,$A$6:$A$255,$P$6:$P$255),""),IF(NOT(ISNUMBER(_xlpm.pI)),"",_xlpm.pI/(1+$CP13)+IF($L13="",0,$L13))))))</f>
        <v/>
      </c>
      <c r="Q13" s="210" t="str">
        <f t="shared" si="7"/>
        <v/>
      </c>
      <c r="R13" s="177" t="str">
        <f>IF($A13="","",IF(OR($C13=0,LEFT($A13,2)="T-"),"",IFERROR(_xlfn.LET(_xlpm.v,_xlfn.XLOOKUP($A13,Dashboard!$A$101:$A$350,Dashboard!$K$101:$K$350),IF(ISNUMBER(_xlpm.v),_xlpm.v,"")),"")))</f>
        <v/>
      </c>
      <c r="S13" s="211" t="str">
        <f t="shared" si="8"/>
        <v/>
      </c>
      <c r="T13" s="25" t="str">
        <f t="shared" si="9"/>
        <v/>
      </c>
      <c r="U13" s="364"/>
      <c r="BV13" s="20" t="str">
        <f>IF($A13="","",IFERROR(_xlfn.XLOOKUP("F-"&amp;$A13,'Feeder Schedule'!$B$5:$B$254,'Feeder Schedule'!$H$5:$H$254),""))</f>
        <v/>
      </c>
      <c r="BW13" s="20" t="str">
        <f>IF($A13="","",IFERROR(_xlfn.XLOOKUP("F-"&amp;$A13,'Feeder Schedule'!$B$5:$B$254,'Feeder Schedule'!$BV$5:$BV$254),""))</f>
        <v/>
      </c>
      <c r="BX13" s="20" t="str">
        <f>IF($A13="","",IFERROR(_xlfn.LET(_xlpm.v,_xlfn.XLOOKUP("F-"&amp;$A13,'Feeder Schedule'!$B$5:$B$254,'Feeder Schedule'!$M$5:$M$254),IF(OR(_xlpm.v="",_xlpm.v=0),Cfg_Conduit,_xlpm.v)),""))</f>
        <v/>
      </c>
      <c r="BY13" s="20" t="str">
        <f>IF($A13="","",IFERROR(_xlfn.XLOOKUP("F-"&amp;$A13,'Feeder Schedule'!$B$5:$B$254,'Feeder Schedule'!$O$5:$O$254),""))</f>
        <v/>
      </c>
      <c r="BZ13" s="20" t="str">
        <f>IF($A13="","",IFERROR(_xlfn.XLOOKUP("F-"&amp;$A13,'Feeder Schedule'!$B$5:$B$254,'Feeder Schedule'!$CH$5:$CH$254),""))</f>
        <v/>
      </c>
      <c r="CA13" s="20" t="str">
        <f>IF($A13="","",IFERROR(_xlfn.XLOOKUP("F-"&amp;$A13,'Feeder Schedule'!$B$5:$B$254,'Feeder Schedule'!$F$5:$F$254),""))</f>
        <v/>
      </c>
      <c r="CB13" s="20" t="str">
        <f>IF($A13="","",IFERROR(_xlfn.XLOOKUP("F-"&amp;$A13,'Feeder Schedule'!$B$5:$B$254,'Feeder Schedule'!$G$5:$G$254),""))</f>
        <v/>
      </c>
      <c r="CD13" s="20" t="str" cm="1">
        <f t="array" ref="CD13">IFERROR(IF($A13="","",INDEX(_xlfn.ANCHORARRAY($BK$4),ROW()-5,6)),"")</f>
        <v/>
      </c>
      <c r="CE13" s="20" t="str">
        <f t="shared" si="12"/>
        <v/>
      </c>
      <c r="CF13" s="20" t="str">
        <f t="shared" si="13"/>
        <v/>
      </c>
      <c r="CG13" s="20" t="str">
        <f t="shared" si="10"/>
        <v/>
      </c>
      <c r="CH13" s="20" t="str" cm="1">
        <f t="array" ref="CH13">IF(OR($A13="",$BZ13="",$BW13="",$BX13=""),"",_xlfn.LET(_xlpm.mag,IFERROR(_xlfn.XLOOKUP($BX13,Race_Raceway,Race_Mag),""),IF(_xlpm.mag="","",IFERROR(INDEX(Cond_Table,MATCH($BZ13,Cond_Size,0),IF(UPPER($BW13)="AL",IF(_xlpm.mag="Y",10,12),IF(_xlpm.mag="Y",9,11))),""))))</f>
        <v/>
      </c>
      <c r="CI13" s="20" t="str">
        <f t="shared" si="11"/>
        <v/>
      </c>
      <c r="CJ13" s="20" t="str">
        <f>IF(OR($A13="",LEFT($A13,2)&lt;&gt;"T-"),"",IFERROR(_xlfn.LET(_xlpm.fla,_xlfn.XLOOKUP($A13,Transformers!$A$6:$A$105,Transformers!$AK$6:$AK$105),_xlpm.z,_xlfn.XLOOKUP($A13,Transformers!$A$6:$A$105,Transformers!$AX$6:$AX$105),IF(OR(_xlpm.fla="",_xlpm.z="",_xlpm.z=0),"",_xlpm.fla*100/_xlpm.z)),""))</f>
        <v/>
      </c>
      <c r="CK13" s="20" t="str">
        <f t="shared" si="14"/>
        <v/>
      </c>
      <c r="CL13" s="20" t="str">
        <f t="shared" si="15"/>
        <v/>
      </c>
      <c r="CM13" s="373"/>
      <c r="CO13" s="20" t="str">
        <f>IF(OR($A13="",LEFT($A13,2)&lt;&gt;"T-"),"",_xlfn.LET(_xlpm.ph,IFERROR(_xlfn.XLOOKUP($A13,Transformers!$A$6:$A$105,Transformers!$C$6:$C$105),""),_xlpm.rr,IFERROR(_xlfn.XLOOKUP($A13,Transformers!$A$6:$A$105,Transformers!$AG$6:$AG$105),""),_xlpm.xx,IFERROR(_xlfn.XLOOKUP($A13,Transformers!$A$6:$A$105,Transformers!$AI$6:$AI$105),""),IF(OR(_xlpm.ph&lt;&gt;1,NOT(ISNUMBER(_xlpm.rr)),NOT(ISNUMBER(_xlpm.xx))),"",SQRT((1.5*_xlpm.rr)^2+(1.2*_xlpm.xx)^2))))</f>
        <v/>
      </c>
      <c r="CP13" s="20" t="str">
        <f t="shared" si="16"/>
        <v/>
      </c>
    </row>
    <row r="14" spans="1:94" ht="15" customHeight="1" x14ac:dyDescent="0.45">
      <c r="A14" s="275" t="str" cm="1">
        <f t="array" ref="A14">IFERROR(IF(INDEX(_xlfn.ANCHORARRAY($BK$4),ROW()-5,1)="","",INDEX(_xlfn.ANCHORARRAY($BK$4),ROW()-5,1)),"")</f>
        <v/>
      </c>
      <c r="B14" s="25" t="str" cm="1">
        <f t="array" ref="B14">IFERROR(IF($A14="","",INDEX(_xlfn.ANCHORARRAY($BK$4),ROW()-5,5)),"")</f>
        <v/>
      </c>
      <c r="C14" s="178" t="str" cm="1">
        <f t="array" ref="C14">IFERROR(IF($A14="","",INDEX(_xlfn.ANCHORARRAY($BK$4),ROW()-5,7)),"")</f>
        <v/>
      </c>
      <c r="D14" s="177" t="str" cm="1">
        <f t="array" ref="D14">IFERROR(IF($A14="","",INDEX(_xlfn.ANCHORARRAY($BK$4),ROW()-5,3)),"")</f>
        <v/>
      </c>
      <c r="E14" s="25" t="str" cm="1">
        <f t="array" ref="E14">IFERROR(IF($A14="","",INDEX(_xlfn.ANCHORARRAY($BK$4),ROW()-5,2)),"")</f>
        <v/>
      </c>
      <c r="F14" s="177" t="str">
        <f t="shared" si="0"/>
        <v/>
      </c>
      <c r="G14" s="275" t="str">
        <f t="shared" si="1"/>
        <v/>
      </c>
      <c r="H14" s="180" t="str">
        <f t="shared" si="2"/>
        <v/>
      </c>
      <c r="I14" s="180" t="str">
        <f t="shared" si="3"/>
        <v/>
      </c>
      <c r="J14" s="177" t="str">
        <f>_xlfn.LET(_xlpm.v,_xlfn.LET(_xlpm.base,IF($A14="","",IF($C14=0,IFERROR(_xlfn.XLOOKUP($A14,Util_Tags,Util_SCAEff),""),IF(LEFT($A14,2)="T-",IF($CJ14="","",$CJ14/(1+IF($CL14="",0,$CL14))),IF(OR($F14="",$I14=""),"",$F14*$I14)))),_xlpm.gtag,IF(OR($A14="",NOT(OR($B14="ATS",$B14="MTS"))),"",IFERROR(_xlfn.XLOOKUP($A14,Dashboard!$A$101:$A$350,Dashboard!$L$101:$L$350,"")&amp;"","")),_xlpm.gkva,IF(_xlpm.gtag="",0,IFERROR(N(_xlfn.XLOOKUP(_xlpm.gtag,Generator!$B$53:$B$58,Generator!$S$53:$S$58,0)),0)),_xlpm.gxd,IF(_xlpm.gtag="",0,IFERROR(N(_xlfn.XLOOKUP(_xlpm.gtag,Generator!$B$53:$B$58,Generator!$U$53:$U$58,0)),0)),_xlpm.gamp,IF(OR(_xlpm.gkva=0,_xlpm.gxd=0,N($D14)=0),0,ROUND(_xlpm.gkva*1000/(IF(N($CB14)=1,1,SQRT(3))*$D14*_xlpm.gxd),0)),IF(OR(_xlpm.gamp=0,NOT(ISNUMBER(_xlpm.base))),_xlpm.base,MAX(_xlpm.base,_xlpm.gamp))),_xlpm.ulim,IF(OR($A14="",$B14&lt;&gt;"UPS"),"",IFERROR(IF(_xlfn.XLOOKUP($A14,UPS!$B$57:$B$64,UPS!$E$57:$E$64,"")="None",_xlfn.XLOOKUP($A14,UPS!$B$57:$B$64,UPS!$U$57:$U$64,""),""),"")),IF(AND(ISNUMBER(_xlpm.v),ISNUMBER(_xlpm.ulim)),MIN(_xlpm.v,_xlpm.ulim),_xlpm.v))</f>
        <v/>
      </c>
      <c r="K14" s="176"/>
      <c r="L14" s="177" t="str">
        <f t="shared" si="4"/>
        <v/>
      </c>
      <c r="M14" s="177" t="str">
        <f t="shared" si="5"/>
        <v/>
      </c>
      <c r="N14" s="380" t="str">
        <f>IF($A14="","",IF($C14=0,_xlfn.LET(_xlpm.x,IFERROR(_xlfn.XLOOKUP($A14,Util_Tags,Util_XR),""),IF(N(_xlpm.x)=0,Xfmr_DefXR,_xlpm.x)),IF(LEFT($A14,2)="T-",IFERROR(_xlfn.XLOOKUP($A14,Transformers!$A$6:$A$105,Transformers!$AH$6:$AH$105),Xfmr_DefXR),IFERROR(_xlfn.XLOOKUP($E14,$A$6:$A$255,$N$6:$N$255),Xfmr_DefXR))))</f>
        <v/>
      </c>
      <c r="O14" s="177" t="str">
        <f t="shared" si="6"/>
        <v/>
      </c>
      <c r="P14" s="210" t="str">
        <f>IF($A14="","",IF(LEFT($A14,2)="T-",IF($CO14="","",_xlfn.LET(_xlpm.k,IFERROR(_xlfn.XLOOKUP($A14,Transformers!$A$6:$A$105,Transformers!$G$6:$G$105),""),_xlpm.sv,IFERROR(_xlfn.XLOOKUP($A14,Transformers!$A$6:$A$105,Transformers!$E$6:$E$105),""),IF(OR(NOT(ISNUMBER(_xlpm.k)),NOT(ISNUMBER(_xlpm.sv)),_xlpm.sv=0),"",_xlfn.LET(_xlpm.iInf,(_xlpm.k*1000/(_xlpm.sv/2))*100/$CO14,_xlpm.pri,IF(OR($CK14="",$CK14=0),"",$CK14/2),_xlpm.base,IF(_xlpm.pri="",_xlpm.iInf,_xlpm.iInf/(1+_xlpm.iInf/_xlpm.pri)),_xlpm.base+IF($L14="",0,$L14))))),IF($CP14="","",_xlfn.LET(_xlpm.pI,IFERROR(_xlfn.XLOOKUP($E14,$A$6:$A$255,$P$6:$P$255),""),IF(NOT(ISNUMBER(_xlpm.pI)),"",_xlpm.pI/(1+$CP14)+IF($L14="",0,$L14))))))</f>
        <v/>
      </c>
      <c r="Q14" s="210" t="str">
        <f t="shared" si="7"/>
        <v/>
      </c>
      <c r="R14" s="177" t="str">
        <f>IF($A14="","",IF(OR($C14=0,LEFT($A14,2)="T-"),"",IFERROR(_xlfn.LET(_xlpm.v,_xlfn.XLOOKUP($A14,Dashboard!$A$101:$A$350,Dashboard!$K$101:$K$350),IF(ISNUMBER(_xlpm.v),_xlpm.v,"")),"")))</f>
        <v/>
      </c>
      <c r="S14" s="211" t="str">
        <f t="shared" si="8"/>
        <v/>
      </c>
      <c r="T14" s="25" t="str">
        <f t="shared" si="9"/>
        <v/>
      </c>
      <c r="U14" s="364"/>
      <c r="BV14" s="20" t="str">
        <f>IF($A14="","",IFERROR(_xlfn.XLOOKUP("F-"&amp;$A14,'Feeder Schedule'!$B$5:$B$254,'Feeder Schedule'!$H$5:$H$254),""))</f>
        <v/>
      </c>
      <c r="BW14" s="20" t="str">
        <f>IF($A14="","",IFERROR(_xlfn.XLOOKUP("F-"&amp;$A14,'Feeder Schedule'!$B$5:$B$254,'Feeder Schedule'!$BV$5:$BV$254),""))</f>
        <v/>
      </c>
      <c r="BX14" s="20" t="str">
        <f>IF($A14="","",IFERROR(_xlfn.LET(_xlpm.v,_xlfn.XLOOKUP("F-"&amp;$A14,'Feeder Schedule'!$B$5:$B$254,'Feeder Schedule'!$M$5:$M$254),IF(OR(_xlpm.v="",_xlpm.v=0),Cfg_Conduit,_xlpm.v)),""))</f>
        <v/>
      </c>
      <c r="BY14" s="20" t="str">
        <f>IF($A14="","",IFERROR(_xlfn.XLOOKUP("F-"&amp;$A14,'Feeder Schedule'!$B$5:$B$254,'Feeder Schedule'!$O$5:$O$254),""))</f>
        <v/>
      </c>
      <c r="BZ14" s="20" t="str">
        <f>IF($A14="","",IFERROR(_xlfn.XLOOKUP("F-"&amp;$A14,'Feeder Schedule'!$B$5:$B$254,'Feeder Schedule'!$CH$5:$CH$254),""))</f>
        <v/>
      </c>
      <c r="CA14" s="20" t="str">
        <f>IF($A14="","",IFERROR(_xlfn.XLOOKUP("F-"&amp;$A14,'Feeder Schedule'!$B$5:$B$254,'Feeder Schedule'!$F$5:$F$254),""))</f>
        <v/>
      </c>
      <c r="CB14" s="20" t="str">
        <f>IF($A14="","",IFERROR(_xlfn.XLOOKUP("F-"&amp;$A14,'Feeder Schedule'!$B$5:$B$254,'Feeder Schedule'!$G$5:$G$254),""))</f>
        <v/>
      </c>
      <c r="CD14" s="20" t="str" cm="1">
        <f t="array" ref="CD14">IFERROR(IF($A14="","",INDEX(_xlfn.ANCHORARRAY($BK$4),ROW()-5,6)),"")</f>
        <v/>
      </c>
      <c r="CE14" s="20" t="str">
        <f t="shared" si="12"/>
        <v/>
      </c>
      <c r="CF14" s="20" t="str">
        <f t="shared" si="13"/>
        <v/>
      </c>
      <c r="CG14" s="20" t="str">
        <f t="shared" si="10"/>
        <v/>
      </c>
      <c r="CH14" s="20" t="str" cm="1">
        <f t="array" ref="CH14">IF(OR($A14="",$BZ14="",$BW14="",$BX14=""),"",_xlfn.LET(_xlpm.mag,IFERROR(_xlfn.XLOOKUP($BX14,Race_Raceway,Race_Mag),""),IF(_xlpm.mag="","",IFERROR(INDEX(Cond_Table,MATCH($BZ14,Cond_Size,0),IF(UPPER($BW14)="AL",IF(_xlpm.mag="Y",10,12),IF(_xlpm.mag="Y",9,11))),""))))</f>
        <v/>
      </c>
      <c r="CI14" s="20" t="str">
        <f t="shared" si="11"/>
        <v/>
      </c>
      <c r="CJ14" s="20" t="str">
        <f>IF(OR($A14="",LEFT($A14,2)&lt;&gt;"T-"),"",IFERROR(_xlfn.LET(_xlpm.fla,_xlfn.XLOOKUP($A14,Transformers!$A$6:$A$105,Transformers!$AK$6:$AK$105),_xlpm.z,_xlfn.XLOOKUP($A14,Transformers!$A$6:$A$105,Transformers!$AX$6:$AX$105),IF(OR(_xlpm.fla="",_xlpm.z="",_xlpm.z=0),"",_xlpm.fla*100/_xlpm.z)),""))</f>
        <v/>
      </c>
      <c r="CK14" s="20" t="str">
        <f t="shared" si="14"/>
        <v/>
      </c>
      <c r="CL14" s="20" t="str">
        <f t="shared" si="15"/>
        <v/>
      </c>
      <c r="CM14" s="373"/>
      <c r="CO14" s="20" t="str">
        <f>IF(OR($A14="",LEFT($A14,2)&lt;&gt;"T-"),"",_xlfn.LET(_xlpm.ph,IFERROR(_xlfn.XLOOKUP($A14,Transformers!$A$6:$A$105,Transformers!$C$6:$C$105),""),_xlpm.rr,IFERROR(_xlfn.XLOOKUP($A14,Transformers!$A$6:$A$105,Transformers!$AG$6:$AG$105),""),_xlpm.xx,IFERROR(_xlfn.XLOOKUP($A14,Transformers!$A$6:$A$105,Transformers!$AI$6:$AI$105),""),IF(OR(_xlpm.ph&lt;&gt;1,NOT(ISNUMBER(_xlpm.rr)),NOT(ISNUMBER(_xlpm.xx))),"",SQRT((1.5*_xlpm.rr)^2+(1.2*_xlpm.xx)^2))))</f>
        <v/>
      </c>
      <c r="CP14" s="20" t="str">
        <f t="shared" si="16"/>
        <v/>
      </c>
    </row>
    <row r="15" spans="1:94" ht="15" customHeight="1" x14ac:dyDescent="0.45">
      <c r="A15" s="275" t="str" cm="1">
        <f t="array" ref="A15">IFERROR(IF(INDEX(_xlfn.ANCHORARRAY($BK$4),ROW()-5,1)="","",INDEX(_xlfn.ANCHORARRAY($BK$4),ROW()-5,1)),"")</f>
        <v/>
      </c>
      <c r="B15" s="25" t="str" cm="1">
        <f t="array" ref="B15">IFERROR(IF($A15="","",INDEX(_xlfn.ANCHORARRAY($BK$4),ROW()-5,5)),"")</f>
        <v/>
      </c>
      <c r="C15" s="178" t="str" cm="1">
        <f t="array" ref="C15">IFERROR(IF($A15="","",INDEX(_xlfn.ANCHORARRAY($BK$4),ROW()-5,7)),"")</f>
        <v/>
      </c>
      <c r="D15" s="177" t="str" cm="1">
        <f t="array" ref="D15">IFERROR(IF($A15="","",INDEX(_xlfn.ANCHORARRAY($BK$4),ROW()-5,3)),"")</f>
        <v/>
      </c>
      <c r="E15" s="25" t="str" cm="1">
        <f t="array" ref="E15">IFERROR(IF($A15="","",INDEX(_xlfn.ANCHORARRAY($BK$4),ROW()-5,2)),"")</f>
        <v/>
      </c>
      <c r="F15" s="177" t="str">
        <f t="shared" si="0"/>
        <v/>
      </c>
      <c r="G15" s="275" t="str">
        <f t="shared" si="1"/>
        <v/>
      </c>
      <c r="H15" s="180" t="str">
        <f t="shared" si="2"/>
        <v/>
      </c>
      <c r="I15" s="180" t="str">
        <f t="shared" si="3"/>
        <v/>
      </c>
      <c r="J15" s="177" t="str">
        <f>_xlfn.LET(_xlpm.v,_xlfn.LET(_xlpm.base,IF($A15="","",IF($C15=0,IFERROR(_xlfn.XLOOKUP($A15,Util_Tags,Util_SCAEff),""),IF(LEFT($A15,2)="T-",IF($CJ15="","",$CJ15/(1+IF($CL15="",0,$CL15))),IF(OR($F15="",$I15=""),"",$F15*$I15)))),_xlpm.gtag,IF(OR($A15="",NOT(OR($B15="ATS",$B15="MTS"))),"",IFERROR(_xlfn.XLOOKUP($A15,Dashboard!$A$101:$A$350,Dashboard!$L$101:$L$350,"")&amp;"","")),_xlpm.gkva,IF(_xlpm.gtag="",0,IFERROR(N(_xlfn.XLOOKUP(_xlpm.gtag,Generator!$B$53:$B$58,Generator!$S$53:$S$58,0)),0)),_xlpm.gxd,IF(_xlpm.gtag="",0,IFERROR(N(_xlfn.XLOOKUP(_xlpm.gtag,Generator!$B$53:$B$58,Generator!$U$53:$U$58,0)),0)),_xlpm.gamp,IF(OR(_xlpm.gkva=0,_xlpm.gxd=0,N($D15)=0),0,ROUND(_xlpm.gkva*1000/(IF(N($CB15)=1,1,SQRT(3))*$D15*_xlpm.gxd),0)),IF(OR(_xlpm.gamp=0,NOT(ISNUMBER(_xlpm.base))),_xlpm.base,MAX(_xlpm.base,_xlpm.gamp))),_xlpm.ulim,IF(OR($A15="",$B15&lt;&gt;"UPS"),"",IFERROR(IF(_xlfn.XLOOKUP($A15,UPS!$B$57:$B$64,UPS!$E$57:$E$64,"")="None",_xlfn.XLOOKUP($A15,UPS!$B$57:$B$64,UPS!$U$57:$U$64,""),""),"")),IF(AND(ISNUMBER(_xlpm.v),ISNUMBER(_xlpm.ulim)),MIN(_xlpm.v,_xlpm.ulim),_xlpm.v))</f>
        <v/>
      </c>
      <c r="K15" s="176"/>
      <c r="L15" s="177" t="str">
        <f t="shared" si="4"/>
        <v/>
      </c>
      <c r="M15" s="177" t="str">
        <f t="shared" si="5"/>
        <v/>
      </c>
      <c r="N15" s="380" t="str">
        <f>IF($A15="","",IF($C15=0,_xlfn.LET(_xlpm.x,IFERROR(_xlfn.XLOOKUP($A15,Util_Tags,Util_XR),""),IF(N(_xlpm.x)=0,Xfmr_DefXR,_xlpm.x)),IF(LEFT($A15,2)="T-",IFERROR(_xlfn.XLOOKUP($A15,Transformers!$A$6:$A$105,Transformers!$AH$6:$AH$105),Xfmr_DefXR),IFERROR(_xlfn.XLOOKUP($E15,$A$6:$A$255,$N$6:$N$255),Xfmr_DefXR))))</f>
        <v/>
      </c>
      <c r="O15" s="177" t="str">
        <f t="shared" si="6"/>
        <v/>
      </c>
      <c r="P15" s="210" t="str">
        <f>IF($A15="","",IF(LEFT($A15,2)="T-",IF($CO15="","",_xlfn.LET(_xlpm.k,IFERROR(_xlfn.XLOOKUP($A15,Transformers!$A$6:$A$105,Transformers!$G$6:$G$105),""),_xlpm.sv,IFERROR(_xlfn.XLOOKUP($A15,Transformers!$A$6:$A$105,Transformers!$E$6:$E$105),""),IF(OR(NOT(ISNUMBER(_xlpm.k)),NOT(ISNUMBER(_xlpm.sv)),_xlpm.sv=0),"",_xlfn.LET(_xlpm.iInf,(_xlpm.k*1000/(_xlpm.sv/2))*100/$CO15,_xlpm.pri,IF(OR($CK15="",$CK15=0),"",$CK15/2),_xlpm.base,IF(_xlpm.pri="",_xlpm.iInf,_xlpm.iInf/(1+_xlpm.iInf/_xlpm.pri)),_xlpm.base+IF($L15="",0,$L15))))),IF($CP15="","",_xlfn.LET(_xlpm.pI,IFERROR(_xlfn.XLOOKUP($E15,$A$6:$A$255,$P$6:$P$255),""),IF(NOT(ISNUMBER(_xlpm.pI)),"",_xlpm.pI/(1+$CP15)+IF($L15="",0,$L15))))))</f>
        <v/>
      </c>
      <c r="Q15" s="210" t="str">
        <f t="shared" si="7"/>
        <v/>
      </c>
      <c r="R15" s="177" t="str">
        <f>IF($A15="","",IF(OR($C15=0,LEFT($A15,2)="T-"),"",IFERROR(_xlfn.LET(_xlpm.v,_xlfn.XLOOKUP($A15,Dashboard!$A$101:$A$350,Dashboard!$K$101:$K$350),IF(ISNUMBER(_xlpm.v),_xlpm.v,"")),"")))</f>
        <v/>
      </c>
      <c r="S15" s="211" t="str">
        <f t="shared" si="8"/>
        <v/>
      </c>
      <c r="T15" s="25" t="str">
        <f t="shared" si="9"/>
        <v/>
      </c>
      <c r="U15" s="364"/>
      <c r="BV15" s="20" t="str">
        <f>IF($A15="","",IFERROR(_xlfn.XLOOKUP("F-"&amp;$A15,'Feeder Schedule'!$B$5:$B$254,'Feeder Schedule'!$H$5:$H$254),""))</f>
        <v/>
      </c>
      <c r="BW15" s="20" t="str">
        <f>IF($A15="","",IFERROR(_xlfn.XLOOKUP("F-"&amp;$A15,'Feeder Schedule'!$B$5:$B$254,'Feeder Schedule'!$BV$5:$BV$254),""))</f>
        <v/>
      </c>
      <c r="BX15" s="20" t="str">
        <f>IF($A15="","",IFERROR(_xlfn.LET(_xlpm.v,_xlfn.XLOOKUP("F-"&amp;$A15,'Feeder Schedule'!$B$5:$B$254,'Feeder Schedule'!$M$5:$M$254),IF(OR(_xlpm.v="",_xlpm.v=0),Cfg_Conduit,_xlpm.v)),""))</f>
        <v/>
      </c>
      <c r="BY15" s="20" t="str">
        <f>IF($A15="","",IFERROR(_xlfn.XLOOKUP("F-"&amp;$A15,'Feeder Schedule'!$B$5:$B$254,'Feeder Schedule'!$O$5:$O$254),""))</f>
        <v/>
      </c>
      <c r="BZ15" s="20" t="str">
        <f>IF($A15="","",IFERROR(_xlfn.XLOOKUP("F-"&amp;$A15,'Feeder Schedule'!$B$5:$B$254,'Feeder Schedule'!$CH$5:$CH$254),""))</f>
        <v/>
      </c>
      <c r="CA15" s="20" t="str">
        <f>IF($A15="","",IFERROR(_xlfn.XLOOKUP("F-"&amp;$A15,'Feeder Schedule'!$B$5:$B$254,'Feeder Schedule'!$F$5:$F$254),""))</f>
        <v/>
      </c>
      <c r="CB15" s="20" t="str">
        <f>IF($A15="","",IFERROR(_xlfn.XLOOKUP("F-"&amp;$A15,'Feeder Schedule'!$B$5:$B$254,'Feeder Schedule'!$G$5:$G$254),""))</f>
        <v/>
      </c>
      <c r="CD15" s="20" t="str" cm="1">
        <f t="array" ref="CD15">IFERROR(IF($A15="","",INDEX(_xlfn.ANCHORARRAY($BK$4),ROW()-5,6)),"")</f>
        <v/>
      </c>
      <c r="CE15" s="20" t="str">
        <f t="shared" si="12"/>
        <v/>
      </c>
      <c r="CF15" s="20" t="str">
        <f t="shared" si="13"/>
        <v/>
      </c>
      <c r="CG15" s="20" t="str">
        <f t="shared" si="10"/>
        <v/>
      </c>
      <c r="CH15" s="20" t="str" cm="1">
        <f t="array" ref="CH15">IF(OR($A15="",$BZ15="",$BW15="",$BX15=""),"",_xlfn.LET(_xlpm.mag,IFERROR(_xlfn.XLOOKUP($BX15,Race_Raceway,Race_Mag),""),IF(_xlpm.mag="","",IFERROR(INDEX(Cond_Table,MATCH($BZ15,Cond_Size,0),IF(UPPER($BW15)="AL",IF(_xlpm.mag="Y",10,12),IF(_xlpm.mag="Y",9,11))),""))))</f>
        <v/>
      </c>
      <c r="CI15" s="20" t="str">
        <f t="shared" si="11"/>
        <v/>
      </c>
      <c r="CJ15" s="20" t="str">
        <f>IF(OR($A15="",LEFT($A15,2)&lt;&gt;"T-"),"",IFERROR(_xlfn.LET(_xlpm.fla,_xlfn.XLOOKUP($A15,Transformers!$A$6:$A$105,Transformers!$AK$6:$AK$105),_xlpm.z,_xlfn.XLOOKUP($A15,Transformers!$A$6:$A$105,Transformers!$AX$6:$AX$105),IF(OR(_xlpm.fla="",_xlpm.z="",_xlpm.z=0),"",_xlpm.fla*100/_xlpm.z)),""))</f>
        <v/>
      </c>
      <c r="CK15" s="20" t="str">
        <f t="shared" si="14"/>
        <v/>
      </c>
      <c r="CL15" s="20" t="str">
        <f t="shared" si="15"/>
        <v/>
      </c>
      <c r="CM15" s="373"/>
      <c r="CO15" s="20" t="str">
        <f>IF(OR($A15="",LEFT($A15,2)&lt;&gt;"T-"),"",_xlfn.LET(_xlpm.ph,IFERROR(_xlfn.XLOOKUP($A15,Transformers!$A$6:$A$105,Transformers!$C$6:$C$105),""),_xlpm.rr,IFERROR(_xlfn.XLOOKUP($A15,Transformers!$A$6:$A$105,Transformers!$AG$6:$AG$105),""),_xlpm.xx,IFERROR(_xlfn.XLOOKUP($A15,Transformers!$A$6:$A$105,Transformers!$AI$6:$AI$105),""),IF(OR(_xlpm.ph&lt;&gt;1,NOT(ISNUMBER(_xlpm.rr)),NOT(ISNUMBER(_xlpm.xx))),"",SQRT((1.5*_xlpm.rr)^2+(1.2*_xlpm.xx)^2))))</f>
        <v/>
      </c>
      <c r="CP15" s="20" t="str">
        <f t="shared" si="16"/>
        <v/>
      </c>
    </row>
    <row r="16" spans="1:94" ht="15" customHeight="1" x14ac:dyDescent="0.45">
      <c r="A16" s="275" t="str" cm="1">
        <f t="array" ref="A16">IFERROR(IF(INDEX(_xlfn.ANCHORARRAY($BK$4),ROW()-5,1)="","",INDEX(_xlfn.ANCHORARRAY($BK$4),ROW()-5,1)),"")</f>
        <v/>
      </c>
      <c r="B16" s="25" t="str" cm="1">
        <f t="array" ref="B16">IFERROR(IF($A16="","",INDEX(_xlfn.ANCHORARRAY($BK$4),ROW()-5,5)),"")</f>
        <v/>
      </c>
      <c r="C16" s="178" t="str" cm="1">
        <f t="array" ref="C16">IFERROR(IF($A16="","",INDEX(_xlfn.ANCHORARRAY($BK$4),ROW()-5,7)),"")</f>
        <v/>
      </c>
      <c r="D16" s="177" t="str" cm="1">
        <f t="array" ref="D16">IFERROR(IF($A16="","",INDEX(_xlfn.ANCHORARRAY($BK$4),ROW()-5,3)),"")</f>
        <v/>
      </c>
      <c r="E16" s="25" t="str" cm="1">
        <f t="array" ref="E16">IFERROR(IF($A16="","",INDEX(_xlfn.ANCHORARRAY($BK$4),ROW()-5,2)),"")</f>
        <v/>
      </c>
      <c r="F16" s="177" t="str">
        <f t="shared" si="0"/>
        <v/>
      </c>
      <c r="G16" s="275" t="str">
        <f t="shared" si="1"/>
        <v/>
      </c>
      <c r="H16" s="180" t="str">
        <f t="shared" si="2"/>
        <v/>
      </c>
      <c r="I16" s="180" t="str">
        <f t="shared" si="3"/>
        <v/>
      </c>
      <c r="J16" s="177" t="str">
        <f>_xlfn.LET(_xlpm.v,_xlfn.LET(_xlpm.base,IF($A16="","",IF($C16=0,IFERROR(_xlfn.XLOOKUP($A16,Util_Tags,Util_SCAEff),""),IF(LEFT($A16,2)="T-",IF($CJ16="","",$CJ16/(1+IF($CL16="",0,$CL16))),IF(OR($F16="",$I16=""),"",$F16*$I16)))),_xlpm.gtag,IF(OR($A16="",NOT(OR($B16="ATS",$B16="MTS"))),"",IFERROR(_xlfn.XLOOKUP($A16,Dashboard!$A$101:$A$350,Dashboard!$L$101:$L$350,"")&amp;"","")),_xlpm.gkva,IF(_xlpm.gtag="",0,IFERROR(N(_xlfn.XLOOKUP(_xlpm.gtag,Generator!$B$53:$B$58,Generator!$S$53:$S$58,0)),0)),_xlpm.gxd,IF(_xlpm.gtag="",0,IFERROR(N(_xlfn.XLOOKUP(_xlpm.gtag,Generator!$B$53:$B$58,Generator!$U$53:$U$58,0)),0)),_xlpm.gamp,IF(OR(_xlpm.gkva=0,_xlpm.gxd=0,N($D16)=0),0,ROUND(_xlpm.gkva*1000/(IF(N($CB16)=1,1,SQRT(3))*$D16*_xlpm.gxd),0)),IF(OR(_xlpm.gamp=0,NOT(ISNUMBER(_xlpm.base))),_xlpm.base,MAX(_xlpm.base,_xlpm.gamp))),_xlpm.ulim,IF(OR($A16="",$B16&lt;&gt;"UPS"),"",IFERROR(IF(_xlfn.XLOOKUP($A16,UPS!$B$57:$B$64,UPS!$E$57:$E$64,"")="None",_xlfn.XLOOKUP($A16,UPS!$B$57:$B$64,UPS!$U$57:$U$64,""),""),"")),IF(AND(ISNUMBER(_xlpm.v),ISNUMBER(_xlpm.ulim)),MIN(_xlpm.v,_xlpm.ulim),_xlpm.v))</f>
        <v/>
      </c>
      <c r="K16" s="176"/>
      <c r="L16" s="177" t="str">
        <f t="shared" si="4"/>
        <v/>
      </c>
      <c r="M16" s="177" t="str">
        <f t="shared" si="5"/>
        <v/>
      </c>
      <c r="N16" s="380" t="str">
        <f>IF($A16="","",IF($C16=0,_xlfn.LET(_xlpm.x,IFERROR(_xlfn.XLOOKUP($A16,Util_Tags,Util_XR),""),IF(N(_xlpm.x)=0,Xfmr_DefXR,_xlpm.x)),IF(LEFT($A16,2)="T-",IFERROR(_xlfn.XLOOKUP($A16,Transformers!$A$6:$A$105,Transformers!$AH$6:$AH$105),Xfmr_DefXR),IFERROR(_xlfn.XLOOKUP($E16,$A$6:$A$255,$N$6:$N$255),Xfmr_DefXR))))</f>
        <v/>
      </c>
      <c r="O16" s="177" t="str">
        <f t="shared" si="6"/>
        <v/>
      </c>
      <c r="P16" s="210" t="str">
        <f>IF($A16="","",IF(LEFT($A16,2)="T-",IF($CO16="","",_xlfn.LET(_xlpm.k,IFERROR(_xlfn.XLOOKUP($A16,Transformers!$A$6:$A$105,Transformers!$G$6:$G$105),""),_xlpm.sv,IFERROR(_xlfn.XLOOKUP($A16,Transformers!$A$6:$A$105,Transformers!$E$6:$E$105),""),IF(OR(NOT(ISNUMBER(_xlpm.k)),NOT(ISNUMBER(_xlpm.sv)),_xlpm.sv=0),"",_xlfn.LET(_xlpm.iInf,(_xlpm.k*1000/(_xlpm.sv/2))*100/$CO16,_xlpm.pri,IF(OR($CK16="",$CK16=0),"",$CK16/2),_xlpm.base,IF(_xlpm.pri="",_xlpm.iInf,_xlpm.iInf/(1+_xlpm.iInf/_xlpm.pri)),_xlpm.base+IF($L16="",0,$L16))))),IF($CP16="","",_xlfn.LET(_xlpm.pI,IFERROR(_xlfn.XLOOKUP($E16,$A$6:$A$255,$P$6:$P$255),""),IF(NOT(ISNUMBER(_xlpm.pI)),"",_xlpm.pI/(1+$CP16)+IF($L16="",0,$L16))))))</f>
        <v/>
      </c>
      <c r="Q16" s="210" t="str">
        <f t="shared" si="7"/>
        <v/>
      </c>
      <c r="R16" s="177" t="str">
        <f>IF($A16="","",IF(OR($C16=0,LEFT($A16,2)="T-"),"",IFERROR(_xlfn.LET(_xlpm.v,_xlfn.XLOOKUP($A16,Dashboard!$A$101:$A$350,Dashboard!$K$101:$K$350),IF(ISNUMBER(_xlpm.v),_xlpm.v,"")),"")))</f>
        <v/>
      </c>
      <c r="S16" s="211" t="str">
        <f t="shared" si="8"/>
        <v/>
      </c>
      <c r="T16" s="25" t="str">
        <f t="shared" si="9"/>
        <v/>
      </c>
      <c r="U16" s="364"/>
      <c r="BV16" s="20" t="str">
        <f>IF($A16="","",IFERROR(_xlfn.XLOOKUP("F-"&amp;$A16,'Feeder Schedule'!$B$5:$B$254,'Feeder Schedule'!$H$5:$H$254),""))</f>
        <v/>
      </c>
      <c r="BW16" s="20" t="str">
        <f>IF($A16="","",IFERROR(_xlfn.XLOOKUP("F-"&amp;$A16,'Feeder Schedule'!$B$5:$B$254,'Feeder Schedule'!$BV$5:$BV$254),""))</f>
        <v/>
      </c>
      <c r="BX16" s="20" t="str">
        <f>IF($A16="","",IFERROR(_xlfn.LET(_xlpm.v,_xlfn.XLOOKUP("F-"&amp;$A16,'Feeder Schedule'!$B$5:$B$254,'Feeder Schedule'!$M$5:$M$254),IF(OR(_xlpm.v="",_xlpm.v=0),Cfg_Conduit,_xlpm.v)),""))</f>
        <v/>
      </c>
      <c r="BY16" s="20" t="str">
        <f>IF($A16="","",IFERROR(_xlfn.XLOOKUP("F-"&amp;$A16,'Feeder Schedule'!$B$5:$B$254,'Feeder Schedule'!$O$5:$O$254),""))</f>
        <v/>
      </c>
      <c r="BZ16" s="20" t="str">
        <f>IF($A16="","",IFERROR(_xlfn.XLOOKUP("F-"&amp;$A16,'Feeder Schedule'!$B$5:$B$254,'Feeder Schedule'!$CH$5:$CH$254),""))</f>
        <v/>
      </c>
      <c r="CA16" s="20" t="str">
        <f>IF($A16="","",IFERROR(_xlfn.XLOOKUP("F-"&amp;$A16,'Feeder Schedule'!$B$5:$B$254,'Feeder Schedule'!$F$5:$F$254),""))</f>
        <v/>
      </c>
      <c r="CB16" s="20" t="str">
        <f>IF($A16="","",IFERROR(_xlfn.XLOOKUP("F-"&amp;$A16,'Feeder Schedule'!$B$5:$B$254,'Feeder Schedule'!$G$5:$G$254),""))</f>
        <v/>
      </c>
      <c r="CD16" s="20" t="str" cm="1">
        <f t="array" ref="CD16">IFERROR(IF($A16="","",INDEX(_xlfn.ANCHORARRAY($BK$4),ROW()-5,6)),"")</f>
        <v/>
      </c>
      <c r="CE16" s="20" t="str">
        <f t="shared" si="12"/>
        <v/>
      </c>
      <c r="CF16" s="20" t="str">
        <f t="shared" si="13"/>
        <v/>
      </c>
      <c r="CG16" s="20" t="str">
        <f t="shared" si="10"/>
        <v/>
      </c>
      <c r="CH16" s="20" t="str" cm="1">
        <f t="array" ref="CH16">IF(OR($A16="",$BZ16="",$BW16="",$BX16=""),"",_xlfn.LET(_xlpm.mag,IFERROR(_xlfn.XLOOKUP($BX16,Race_Raceway,Race_Mag),""),IF(_xlpm.mag="","",IFERROR(INDEX(Cond_Table,MATCH($BZ16,Cond_Size,0),IF(UPPER($BW16)="AL",IF(_xlpm.mag="Y",10,12),IF(_xlpm.mag="Y",9,11))),""))))</f>
        <v/>
      </c>
      <c r="CI16" s="20" t="str">
        <f t="shared" si="11"/>
        <v/>
      </c>
      <c r="CJ16" s="20" t="str">
        <f>IF(OR($A16="",LEFT($A16,2)&lt;&gt;"T-"),"",IFERROR(_xlfn.LET(_xlpm.fla,_xlfn.XLOOKUP($A16,Transformers!$A$6:$A$105,Transformers!$AK$6:$AK$105),_xlpm.z,_xlfn.XLOOKUP($A16,Transformers!$A$6:$A$105,Transformers!$AX$6:$AX$105),IF(OR(_xlpm.fla="",_xlpm.z="",_xlpm.z=0),"",_xlpm.fla*100/_xlpm.z)),""))</f>
        <v/>
      </c>
      <c r="CK16" s="20" t="str">
        <f t="shared" si="14"/>
        <v/>
      </c>
      <c r="CL16" s="20" t="str">
        <f t="shared" si="15"/>
        <v/>
      </c>
      <c r="CM16" s="373"/>
      <c r="CO16" s="20" t="str">
        <f>IF(OR($A16="",LEFT($A16,2)&lt;&gt;"T-"),"",_xlfn.LET(_xlpm.ph,IFERROR(_xlfn.XLOOKUP($A16,Transformers!$A$6:$A$105,Transformers!$C$6:$C$105),""),_xlpm.rr,IFERROR(_xlfn.XLOOKUP($A16,Transformers!$A$6:$A$105,Transformers!$AG$6:$AG$105),""),_xlpm.xx,IFERROR(_xlfn.XLOOKUP($A16,Transformers!$A$6:$A$105,Transformers!$AI$6:$AI$105),""),IF(OR(_xlpm.ph&lt;&gt;1,NOT(ISNUMBER(_xlpm.rr)),NOT(ISNUMBER(_xlpm.xx))),"",SQRT((1.5*_xlpm.rr)^2+(1.2*_xlpm.xx)^2))))</f>
        <v/>
      </c>
      <c r="CP16" s="20" t="str">
        <f t="shared" si="16"/>
        <v/>
      </c>
    </row>
    <row r="17" spans="1:94" ht="15" customHeight="1" x14ac:dyDescent="0.45">
      <c r="A17" s="275" t="str" cm="1">
        <f t="array" ref="A17">IFERROR(IF(INDEX(_xlfn.ANCHORARRAY($BK$4),ROW()-5,1)="","",INDEX(_xlfn.ANCHORARRAY($BK$4),ROW()-5,1)),"")</f>
        <v/>
      </c>
      <c r="B17" s="25" t="str" cm="1">
        <f t="array" ref="B17">IFERROR(IF($A17="","",INDEX(_xlfn.ANCHORARRAY($BK$4),ROW()-5,5)),"")</f>
        <v/>
      </c>
      <c r="C17" s="178" t="str" cm="1">
        <f t="array" ref="C17">IFERROR(IF($A17="","",INDEX(_xlfn.ANCHORARRAY($BK$4),ROW()-5,7)),"")</f>
        <v/>
      </c>
      <c r="D17" s="177" t="str" cm="1">
        <f t="array" ref="D17">IFERROR(IF($A17="","",INDEX(_xlfn.ANCHORARRAY($BK$4),ROW()-5,3)),"")</f>
        <v/>
      </c>
      <c r="E17" s="25" t="str" cm="1">
        <f t="array" ref="E17">IFERROR(IF($A17="","",INDEX(_xlfn.ANCHORARRAY($BK$4),ROW()-5,2)),"")</f>
        <v/>
      </c>
      <c r="F17" s="177" t="str">
        <f t="shared" si="0"/>
        <v/>
      </c>
      <c r="G17" s="275" t="str">
        <f t="shared" si="1"/>
        <v/>
      </c>
      <c r="H17" s="180" t="str">
        <f t="shared" si="2"/>
        <v/>
      </c>
      <c r="I17" s="180" t="str">
        <f t="shared" si="3"/>
        <v/>
      </c>
      <c r="J17" s="177" t="str">
        <f>_xlfn.LET(_xlpm.v,_xlfn.LET(_xlpm.base,IF($A17="","",IF($C17=0,IFERROR(_xlfn.XLOOKUP($A17,Util_Tags,Util_SCAEff),""),IF(LEFT($A17,2)="T-",IF($CJ17="","",$CJ17/(1+IF($CL17="",0,$CL17))),IF(OR($F17="",$I17=""),"",$F17*$I17)))),_xlpm.gtag,IF(OR($A17="",NOT(OR($B17="ATS",$B17="MTS"))),"",IFERROR(_xlfn.XLOOKUP($A17,Dashboard!$A$101:$A$350,Dashboard!$L$101:$L$350,"")&amp;"","")),_xlpm.gkva,IF(_xlpm.gtag="",0,IFERROR(N(_xlfn.XLOOKUP(_xlpm.gtag,Generator!$B$53:$B$58,Generator!$S$53:$S$58,0)),0)),_xlpm.gxd,IF(_xlpm.gtag="",0,IFERROR(N(_xlfn.XLOOKUP(_xlpm.gtag,Generator!$B$53:$B$58,Generator!$U$53:$U$58,0)),0)),_xlpm.gamp,IF(OR(_xlpm.gkva=0,_xlpm.gxd=0,N($D17)=0),0,ROUND(_xlpm.gkva*1000/(IF(N($CB17)=1,1,SQRT(3))*$D17*_xlpm.gxd),0)),IF(OR(_xlpm.gamp=0,NOT(ISNUMBER(_xlpm.base))),_xlpm.base,MAX(_xlpm.base,_xlpm.gamp))),_xlpm.ulim,IF(OR($A17="",$B17&lt;&gt;"UPS"),"",IFERROR(IF(_xlfn.XLOOKUP($A17,UPS!$B$57:$B$64,UPS!$E$57:$E$64,"")="None",_xlfn.XLOOKUP($A17,UPS!$B$57:$B$64,UPS!$U$57:$U$64,""),""),"")),IF(AND(ISNUMBER(_xlpm.v),ISNUMBER(_xlpm.ulim)),MIN(_xlpm.v,_xlpm.ulim),_xlpm.v))</f>
        <v/>
      </c>
      <c r="K17" s="176"/>
      <c r="L17" s="177" t="str">
        <f t="shared" si="4"/>
        <v/>
      </c>
      <c r="M17" s="177" t="str">
        <f t="shared" si="5"/>
        <v/>
      </c>
      <c r="N17" s="380" t="str">
        <f>IF($A17="","",IF($C17=0,_xlfn.LET(_xlpm.x,IFERROR(_xlfn.XLOOKUP($A17,Util_Tags,Util_XR),""),IF(N(_xlpm.x)=0,Xfmr_DefXR,_xlpm.x)),IF(LEFT($A17,2)="T-",IFERROR(_xlfn.XLOOKUP($A17,Transformers!$A$6:$A$105,Transformers!$AH$6:$AH$105),Xfmr_DefXR),IFERROR(_xlfn.XLOOKUP($E17,$A$6:$A$255,$N$6:$N$255),Xfmr_DefXR))))</f>
        <v/>
      </c>
      <c r="O17" s="177" t="str">
        <f t="shared" si="6"/>
        <v/>
      </c>
      <c r="P17" s="210" t="str">
        <f>IF($A17="","",IF(LEFT($A17,2)="T-",IF($CO17="","",_xlfn.LET(_xlpm.k,IFERROR(_xlfn.XLOOKUP($A17,Transformers!$A$6:$A$105,Transformers!$G$6:$G$105),""),_xlpm.sv,IFERROR(_xlfn.XLOOKUP($A17,Transformers!$A$6:$A$105,Transformers!$E$6:$E$105),""),IF(OR(NOT(ISNUMBER(_xlpm.k)),NOT(ISNUMBER(_xlpm.sv)),_xlpm.sv=0),"",_xlfn.LET(_xlpm.iInf,(_xlpm.k*1000/(_xlpm.sv/2))*100/$CO17,_xlpm.pri,IF(OR($CK17="",$CK17=0),"",$CK17/2),_xlpm.base,IF(_xlpm.pri="",_xlpm.iInf,_xlpm.iInf/(1+_xlpm.iInf/_xlpm.pri)),_xlpm.base+IF($L17="",0,$L17))))),IF($CP17="","",_xlfn.LET(_xlpm.pI,IFERROR(_xlfn.XLOOKUP($E17,$A$6:$A$255,$P$6:$P$255),""),IF(NOT(ISNUMBER(_xlpm.pI)),"",_xlpm.pI/(1+$CP17)+IF($L17="",0,$L17))))))</f>
        <v/>
      </c>
      <c r="Q17" s="210" t="str">
        <f t="shared" si="7"/>
        <v/>
      </c>
      <c r="R17" s="177" t="str">
        <f>IF($A17="","",IF(OR($C17=0,LEFT($A17,2)="T-"),"",IFERROR(_xlfn.LET(_xlpm.v,_xlfn.XLOOKUP($A17,Dashboard!$A$101:$A$350,Dashboard!$K$101:$K$350),IF(ISNUMBER(_xlpm.v),_xlpm.v,"")),"")))</f>
        <v/>
      </c>
      <c r="S17" s="211" t="str">
        <f t="shared" si="8"/>
        <v/>
      </c>
      <c r="T17" s="25" t="str">
        <f t="shared" si="9"/>
        <v/>
      </c>
      <c r="U17" s="364"/>
      <c r="BV17" s="20" t="str">
        <f>IF($A17="","",IFERROR(_xlfn.XLOOKUP("F-"&amp;$A17,'Feeder Schedule'!$B$5:$B$254,'Feeder Schedule'!$H$5:$H$254),""))</f>
        <v/>
      </c>
      <c r="BW17" s="20" t="str">
        <f>IF($A17="","",IFERROR(_xlfn.XLOOKUP("F-"&amp;$A17,'Feeder Schedule'!$B$5:$B$254,'Feeder Schedule'!$BV$5:$BV$254),""))</f>
        <v/>
      </c>
      <c r="BX17" s="20" t="str">
        <f>IF($A17="","",IFERROR(_xlfn.LET(_xlpm.v,_xlfn.XLOOKUP("F-"&amp;$A17,'Feeder Schedule'!$B$5:$B$254,'Feeder Schedule'!$M$5:$M$254),IF(OR(_xlpm.v="",_xlpm.v=0),Cfg_Conduit,_xlpm.v)),""))</f>
        <v/>
      </c>
      <c r="BY17" s="20" t="str">
        <f>IF($A17="","",IFERROR(_xlfn.XLOOKUP("F-"&amp;$A17,'Feeder Schedule'!$B$5:$B$254,'Feeder Schedule'!$O$5:$O$254),""))</f>
        <v/>
      </c>
      <c r="BZ17" s="20" t="str">
        <f>IF($A17="","",IFERROR(_xlfn.XLOOKUP("F-"&amp;$A17,'Feeder Schedule'!$B$5:$B$254,'Feeder Schedule'!$CH$5:$CH$254),""))</f>
        <v/>
      </c>
      <c r="CA17" s="20" t="str">
        <f>IF($A17="","",IFERROR(_xlfn.XLOOKUP("F-"&amp;$A17,'Feeder Schedule'!$B$5:$B$254,'Feeder Schedule'!$F$5:$F$254),""))</f>
        <v/>
      </c>
      <c r="CB17" s="20" t="str">
        <f>IF($A17="","",IFERROR(_xlfn.XLOOKUP("F-"&amp;$A17,'Feeder Schedule'!$B$5:$B$254,'Feeder Schedule'!$G$5:$G$254),""))</f>
        <v/>
      </c>
      <c r="CD17" s="20" t="str" cm="1">
        <f t="array" ref="CD17">IFERROR(IF($A17="","",INDEX(_xlfn.ANCHORARRAY($BK$4),ROW()-5,6)),"")</f>
        <v/>
      </c>
      <c r="CE17" s="20" t="str">
        <f t="shared" si="12"/>
        <v/>
      </c>
      <c r="CF17" s="20" t="str">
        <f t="shared" si="13"/>
        <v/>
      </c>
      <c r="CG17" s="20" t="str">
        <f t="shared" si="10"/>
        <v/>
      </c>
      <c r="CH17" s="20" t="str" cm="1">
        <f t="array" ref="CH17">IF(OR($A17="",$BZ17="",$BW17="",$BX17=""),"",_xlfn.LET(_xlpm.mag,IFERROR(_xlfn.XLOOKUP($BX17,Race_Raceway,Race_Mag),""),IF(_xlpm.mag="","",IFERROR(INDEX(Cond_Table,MATCH($BZ17,Cond_Size,0),IF(UPPER($BW17)="AL",IF(_xlpm.mag="Y",10,12),IF(_xlpm.mag="Y",9,11))),""))))</f>
        <v/>
      </c>
      <c r="CI17" s="20" t="str">
        <f t="shared" si="11"/>
        <v/>
      </c>
      <c r="CJ17" s="20" t="str">
        <f>IF(OR($A17="",LEFT($A17,2)&lt;&gt;"T-"),"",IFERROR(_xlfn.LET(_xlpm.fla,_xlfn.XLOOKUP($A17,Transformers!$A$6:$A$105,Transformers!$AK$6:$AK$105),_xlpm.z,_xlfn.XLOOKUP($A17,Transformers!$A$6:$A$105,Transformers!$AX$6:$AX$105),IF(OR(_xlpm.fla="",_xlpm.z="",_xlpm.z=0),"",_xlpm.fla*100/_xlpm.z)),""))</f>
        <v/>
      </c>
      <c r="CK17" s="20" t="str">
        <f t="shared" si="14"/>
        <v/>
      </c>
      <c r="CL17" s="20" t="str">
        <f t="shared" si="15"/>
        <v/>
      </c>
      <c r="CM17" s="373"/>
      <c r="CO17" s="20" t="str">
        <f>IF(OR($A17="",LEFT($A17,2)&lt;&gt;"T-"),"",_xlfn.LET(_xlpm.ph,IFERROR(_xlfn.XLOOKUP($A17,Transformers!$A$6:$A$105,Transformers!$C$6:$C$105),""),_xlpm.rr,IFERROR(_xlfn.XLOOKUP($A17,Transformers!$A$6:$A$105,Transformers!$AG$6:$AG$105),""),_xlpm.xx,IFERROR(_xlfn.XLOOKUP($A17,Transformers!$A$6:$A$105,Transformers!$AI$6:$AI$105),""),IF(OR(_xlpm.ph&lt;&gt;1,NOT(ISNUMBER(_xlpm.rr)),NOT(ISNUMBER(_xlpm.xx))),"",SQRT((1.5*_xlpm.rr)^2+(1.2*_xlpm.xx)^2))))</f>
        <v/>
      </c>
      <c r="CP17" s="20" t="str">
        <f t="shared" si="16"/>
        <v/>
      </c>
    </row>
    <row r="18" spans="1:94" ht="15" customHeight="1" x14ac:dyDescent="0.45">
      <c r="A18" s="275" t="str" cm="1">
        <f t="array" ref="A18">IFERROR(IF(INDEX(_xlfn.ANCHORARRAY($BK$4),ROW()-5,1)="","",INDEX(_xlfn.ANCHORARRAY($BK$4),ROW()-5,1)),"")</f>
        <v/>
      </c>
      <c r="B18" s="25" t="str" cm="1">
        <f t="array" ref="B18">IFERROR(IF($A18="","",INDEX(_xlfn.ANCHORARRAY($BK$4),ROW()-5,5)),"")</f>
        <v/>
      </c>
      <c r="C18" s="178" t="str" cm="1">
        <f t="array" ref="C18">IFERROR(IF($A18="","",INDEX(_xlfn.ANCHORARRAY($BK$4),ROW()-5,7)),"")</f>
        <v/>
      </c>
      <c r="D18" s="177" t="str" cm="1">
        <f t="array" ref="D18">IFERROR(IF($A18="","",INDEX(_xlfn.ANCHORARRAY($BK$4),ROW()-5,3)),"")</f>
        <v/>
      </c>
      <c r="E18" s="25" t="str" cm="1">
        <f t="array" ref="E18">IFERROR(IF($A18="","",INDEX(_xlfn.ANCHORARRAY($BK$4),ROW()-5,2)),"")</f>
        <v/>
      </c>
      <c r="F18" s="177" t="str">
        <f t="shared" si="0"/>
        <v/>
      </c>
      <c r="G18" s="275" t="str">
        <f t="shared" si="1"/>
        <v/>
      </c>
      <c r="H18" s="180" t="str">
        <f t="shared" si="2"/>
        <v/>
      </c>
      <c r="I18" s="180" t="str">
        <f t="shared" si="3"/>
        <v/>
      </c>
      <c r="J18" s="177" t="str">
        <f>_xlfn.LET(_xlpm.v,_xlfn.LET(_xlpm.base,IF($A18="","",IF($C18=0,IFERROR(_xlfn.XLOOKUP($A18,Util_Tags,Util_SCAEff),""),IF(LEFT($A18,2)="T-",IF($CJ18="","",$CJ18/(1+IF($CL18="",0,$CL18))),IF(OR($F18="",$I18=""),"",$F18*$I18)))),_xlpm.gtag,IF(OR($A18="",NOT(OR($B18="ATS",$B18="MTS"))),"",IFERROR(_xlfn.XLOOKUP($A18,Dashboard!$A$101:$A$350,Dashboard!$L$101:$L$350,"")&amp;"","")),_xlpm.gkva,IF(_xlpm.gtag="",0,IFERROR(N(_xlfn.XLOOKUP(_xlpm.gtag,Generator!$B$53:$B$58,Generator!$S$53:$S$58,0)),0)),_xlpm.gxd,IF(_xlpm.gtag="",0,IFERROR(N(_xlfn.XLOOKUP(_xlpm.gtag,Generator!$B$53:$B$58,Generator!$U$53:$U$58,0)),0)),_xlpm.gamp,IF(OR(_xlpm.gkva=0,_xlpm.gxd=0,N($D18)=0),0,ROUND(_xlpm.gkva*1000/(IF(N($CB18)=1,1,SQRT(3))*$D18*_xlpm.gxd),0)),IF(OR(_xlpm.gamp=0,NOT(ISNUMBER(_xlpm.base))),_xlpm.base,MAX(_xlpm.base,_xlpm.gamp))),_xlpm.ulim,IF(OR($A18="",$B18&lt;&gt;"UPS"),"",IFERROR(IF(_xlfn.XLOOKUP($A18,UPS!$B$57:$B$64,UPS!$E$57:$E$64,"")="None",_xlfn.XLOOKUP($A18,UPS!$B$57:$B$64,UPS!$U$57:$U$64,""),""),"")),IF(AND(ISNUMBER(_xlpm.v),ISNUMBER(_xlpm.ulim)),MIN(_xlpm.v,_xlpm.ulim),_xlpm.v))</f>
        <v/>
      </c>
      <c r="K18" s="176"/>
      <c r="L18" s="177" t="str">
        <f t="shared" si="4"/>
        <v/>
      </c>
      <c r="M18" s="177" t="str">
        <f t="shared" si="5"/>
        <v/>
      </c>
      <c r="N18" s="380" t="str">
        <f>IF($A18="","",IF($C18=0,_xlfn.LET(_xlpm.x,IFERROR(_xlfn.XLOOKUP($A18,Util_Tags,Util_XR),""),IF(N(_xlpm.x)=0,Xfmr_DefXR,_xlpm.x)),IF(LEFT($A18,2)="T-",IFERROR(_xlfn.XLOOKUP($A18,Transformers!$A$6:$A$105,Transformers!$AH$6:$AH$105),Xfmr_DefXR),IFERROR(_xlfn.XLOOKUP($E18,$A$6:$A$255,$N$6:$N$255),Xfmr_DefXR))))</f>
        <v/>
      </c>
      <c r="O18" s="177" t="str">
        <f t="shared" si="6"/>
        <v/>
      </c>
      <c r="P18" s="210" t="str">
        <f>IF($A18="","",IF(LEFT($A18,2)="T-",IF($CO18="","",_xlfn.LET(_xlpm.k,IFERROR(_xlfn.XLOOKUP($A18,Transformers!$A$6:$A$105,Transformers!$G$6:$G$105),""),_xlpm.sv,IFERROR(_xlfn.XLOOKUP($A18,Transformers!$A$6:$A$105,Transformers!$E$6:$E$105),""),IF(OR(NOT(ISNUMBER(_xlpm.k)),NOT(ISNUMBER(_xlpm.sv)),_xlpm.sv=0),"",_xlfn.LET(_xlpm.iInf,(_xlpm.k*1000/(_xlpm.sv/2))*100/$CO18,_xlpm.pri,IF(OR($CK18="",$CK18=0),"",$CK18/2),_xlpm.base,IF(_xlpm.pri="",_xlpm.iInf,_xlpm.iInf/(1+_xlpm.iInf/_xlpm.pri)),_xlpm.base+IF($L18="",0,$L18))))),IF($CP18="","",_xlfn.LET(_xlpm.pI,IFERROR(_xlfn.XLOOKUP($E18,$A$6:$A$255,$P$6:$P$255),""),IF(NOT(ISNUMBER(_xlpm.pI)),"",_xlpm.pI/(1+$CP18)+IF($L18="",0,$L18))))))</f>
        <v/>
      </c>
      <c r="Q18" s="210" t="str">
        <f t="shared" si="7"/>
        <v/>
      </c>
      <c r="R18" s="177" t="str">
        <f>IF($A18="","",IF(OR($C18=0,LEFT($A18,2)="T-"),"",IFERROR(_xlfn.LET(_xlpm.v,_xlfn.XLOOKUP($A18,Dashboard!$A$101:$A$350,Dashboard!$K$101:$K$350),IF(ISNUMBER(_xlpm.v),_xlpm.v,"")),"")))</f>
        <v/>
      </c>
      <c r="S18" s="211" t="str">
        <f t="shared" si="8"/>
        <v/>
      </c>
      <c r="T18" s="25" t="str">
        <f t="shared" si="9"/>
        <v/>
      </c>
      <c r="U18" s="364"/>
      <c r="BV18" s="20" t="str">
        <f>IF($A18="","",IFERROR(_xlfn.XLOOKUP("F-"&amp;$A18,'Feeder Schedule'!$B$5:$B$254,'Feeder Schedule'!$H$5:$H$254),""))</f>
        <v/>
      </c>
      <c r="BW18" s="20" t="str">
        <f>IF($A18="","",IFERROR(_xlfn.XLOOKUP("F-"&amp;$A18,'Feeder Schedule'!$B$5:$B$254,'Feeder Schedule'!$BV$5:$BV$254),""))</f>
        <v/>
      </c>
      <c r="BX18" s="20" t="str">
        <f>IF($A18="","",IFERROR(_xlfn.LET(_xlpm.v,_xlfn.XLOOKUP("F-"&amp;$A18,'Feeder Schedule'!$B$5:$B$254,'Feeder Schedule'!$M$5:$M$254),IF(OR(_xlpm.v="",_xlpm.v=0),Cfg_Conduit,_xlpm.v)),""))</f>
        <v/>
      </c>
      <c r="BY18" s="20" t="str">
        <f>IF($A18="","",IFERROR(_xlfn.XLOOKUP("F-"&amp;$A18,'Feeder Schedule'!$B$5:$B$254,'Feeder Schedule'!$O$5:$O$254),""))</f>
        <v/>
      </c>
      <c r="BZ18" s="20" t="str">
        <f>IF($A18="","",IFERROR(_xlfn.XLOOKUP("F-"&amp;$A18,'Feeder Schedule'!$B$5:$B$254,'Feeder Schedule'!$CH$5:$CH$254),""))</f>
        <v/>
      </c>
      <c r="CA18" s="20" t="str">
        <f>IF($A18="","",IFERROR(_xlfn.XLOOKUP("F-"&amp;$A18,'Feeder Schedule'!$B$5:$B$254,'Feeder Schedule'!$F$5:$F$254),""))</f>
        <v/>
      </c>
      <c r="CB18" s="20" t="str">
        <f>IF($A18="","",IFERROR(_xlfn.XLOOKUP("F-"&amp;$A18,'Feeder Schedule'!$B$5:$B$254,'Feeder Schedule'!$G$5:$G$254),""))</f>
        <v/>
      </c>
      <c r="CD18" s="20" t="str" cm="1">
        <f t="array" ref="CD18">IFERROR(IF($A18="","",INDEX(_xlfn.ANCHORARRAY($BK$4),ROW()-5,6)),"")</f>
        <v/>
      </c>
      <c r="CE18" s="20" t="str">
        <f t="shared" si="12"/>
        <v/>
      </c>
      <c r="CF18" s="20" t="str">
        <f t="shared" si="13"/>
        <v/>
      </c>
      <c r="CG18" s="20" t="str">
        <f t="shared" si="10"/>
        <v/>
      </c>
      <c r="CH18" s="20" t="str" cm="1">
        <f t="array" ref="CH18">IF(OR($A18="",$BZ18="",$BW18="",$BX18=""),"",_xlfn.LET(_xlpm.mag,IFERROR(_xlfn.XLOOKUP($BX18,Race_Raceway,Race_Mag),""),IF(_xlpm.mag="","",IFERROR(INDEX(Cond_Table,MATCH($BZ18,Cond_Size,0),IF(UPPER($BW18)="AL",IF(_xlpm.mag="Y",10,12),IF(_xlpm.mag="Y",9,11))),""))))</f>
        <v/>
      </c>
      <c r="CI18" s="20" t="str">
        <f t="shared" si="11"/>
        <v/>
      </c>
      <c r="CJ18" s="20" t="str">
        <f>IF(OR($A18="",LEFT($A18,2)&lt;&gt;"T-"),"",IFERROR(_xlfn.LET(_xlpm.fla,_xlfn.XLOOKUP($A18,Transformers!$A$6:$A$105,Transformers!$AK$6:$AK$105),_xlpm.z,_xlfn.XLOOKUP($A18,Transformers!$A$6:$A$105,Transformers!$AX$6:$AX$105),IF(OR(_xlpm.fla="",_xlpm.z="",_xlpm.z=0),"",_xlpm.fla*100/_xlpm.z)),""))</f>
        <v/>
      </c>
      <c r="CK18" s="20" t="str">
        <f t="shared" si="14"/>
        <v/>
      </c>
      <c r="CL18" s="20" t="str">
        <f t="shared" si="15"/>
        <v/>
      </c>
      <c r="CM18" s="373"/>
      <c r="CO18" s="20" t="str">
        <f>IF(OR($A18="",LEFT($A18,2)&lt;&gt;"T-"),"",_xlfn.LET(_xlpm.ph,IFERROR(_xlfn.XLOOKUP($A18,Transformers!$A$6:$A$105,Transformers!$C$6:$C$105),""),_xlpm.rr,IFERROR(_xlfn.XLOOKUP($A18,Transformers!$A$6:$A$105,Transformers!$AG$6:$AG$105),""),_xlpm.xx,IFERROR(_xlfn.XLOOKUP($A18,Transformers!$A$6:$A$105,Transformers!$AI$6:$AI$105),""),IF(OR(_xlpm.ph&lt;&gt;1,NOT(ISNUMBER(_xlpm.rr)),NOT(ISNUMBER(_xlpm.xx))),"",SQRT((1.5*_xlpm.rr)^2+(1.2*_xlpm.xx)^2))))</f>
        <v/>
      </c>
      <c r="CP18" s="20" t="str">
        <f t="shared" si="16"/>
        <v/>
      </c>
    </row>
    <row r="19" spans="1:94" ht="15" customHeight="1" x14ac:dyDescent="0.45">
      <c r="A19" s="275" t="str" cm="1">
        <f t="array" ref="A19">IFERROR(IF(INDEX(_xlfn.ANCHORARRAY($BK$4),ROW()-5,1)="","",INDEX(_xlfn.ANCHORARRAY($BK$4),ROW()-5,1)),"")</f>
        <v/>
      </c>
      <c r="B19" s="25" t="str" cm="1">
        <f t="array" ref="B19">IFERROR(IF($A19="","",INDEX(_xlfn.ANCHORARRAY($BK$4),ROW()-5,5)),"")</f>
        <v/>
      </c>
      <c r="C19" s="178" t="str" cm="1">
        <f t="array" ref="C19">IFERROR(IF($A19="","",INDEX(_xlfn.ANCHORARRAY($BK$4),ROW()-5,7)),"")</f>
        <v/>
      </c>
      <c r="D19" s="177" t="str" cm="1">
        <f t="array" ref="D19">IFERROR(IF($A19="","",INDEX(_xlfn.ANCHORARRAY($BK$4),ROW()-5,3)),"")</f>
        <v/>
      </c>
      <c r="E19" s="25" t="str" cm="1">
        <f t="array" ref="E19">IFERROR(IF($A19="","",INDEX(_xlfn.ANCHORARRAY($BK$4),ROW()-5,2)),"")</f>
        <v/>
      </c>
      <c r="F19" s="177" t="str">
        <f t="shared" si="0"/>
        <v/>
      </c>
      <c r="G19" s="275" t="str">
        <f t="shared" si="1"/>
        <v/>
      </c>
      <c r="H19" s="180" t="str">
        <f t="shared" si="2"/>
        <v/>
      </c>
      <c r="I19" s="180" t="str">
        <f t="shared" si="3"/>
        <v/>
      </c>
      <c r="J19" s="177" t="str">
        <f>_xlfn.LET(_xlpm.v,_xlfn.LET(_xlpm.base,IF($A19="","",IF($C19=0,IFERROR(_xlfn.XLOOKUP($A19,Util_Tags,Util_SCAEff),""),IF(LEFT($A19,2)="T-",IF($CJ19="","",$CJ19/(1+IF($CL19="",0,$CL19))),IF(OR($F19="",$I19=""),"",$F19*$I19)))),_xlpm.gtag,IF(OR($A19="",NOT(OR($B19="ATS",$B19="MTS"))),"",IFERROR(_xlfn.XLOOKUP($A19,Dashboard!$A$101:$A$350,Dashboard!$L$101:$L$350,"")&amp;"","")),_xlpm.gkva,IF(_xlpm.gtag="",0,IFERROR(N(_xlfn.XLOOKUP(_xlpm.gtag,Generator!$B$53:$B$58,Generator!$S$53:$S$58,0)),0)),_xlpm.gxd,IF(_xlpm.gtag="",0,IFERROR(N(_xlfn.XLOOKUP(_xlpm.gtag,Generator!$B$53:$B$58,Generator!$U$53:$U$58,0)),0)),_xlpm.gamp,IF(OR(_xlpm.gkva=0,_xlpm.gxd=0,N($D19)=0),0,ROUND(_xlpm.gkva*1000/(IF(N($CB19)=1,1,SQRT(3))*$D19*_xlpm.gxd),0)),IF(OR(_xlpm.gamp=0,NOT(ISNUMBER(_xlpm.base))),_xlpm.base,MAX(_xlpm.base,_xlpm.gamp))),_xlpm.ulim,IF(OR($A19="",$B19&lt;&gt;"UPS"),"",IFERROR(IF(_xlfn.XLOOKUP($A19,UPS!$B$57:$B$64,UPS!$E$57:$E$64,"")="None",_xlfn.XLOOKUP($A19,UPS!$B$57:$B$64,UPS!$U$57:$U$64,""),""),"")),IF(AND(ISNUMBER(_xlpm.v),ISNUMBER(_xlpm.ulim)),MIN(_xlpm.v,_xlpm.ulim),_xlpm.v))</f>
        <v/>
      </c>
      <c r="K19" s="176"/>
      <c r="L19" s="177" t="str">
        <f t="shared" si="4"/>
        <v/>
      </c>
      <c r="M19" s="177" t="str">
        <f t="shared" si="5"/>
        <v/>
      </c>
      <c r="N19" s="380" t="str">
        <f>IF($A19="","",IF($C19=0,_xlfn.LET(_xlpm.x,IFERROR(_xlfn.XLOOKUP($A19,Util_Tags,Util_XR),""),IF(N(_xlpm.x)=0,Xfmr_DefXR,_xlpm.x)),IF(LEFT($A19,2)="T-",IFERROR(_xlfn.XLOOKUP($A19,Transformers!$A$6:$A$105,Transformers!$AH$6:$AH$105),Xfmr_DefXR),IFERROR(_xlfn.XLOOKUP($E19,$A$6:$A$255,$N$6:$N$255),Xfmr_DefXR))))</f>
        <v/>
      </c>
      <c r="O19" s="177" t="str">
        <f t="shared" si="6"/>
        <v/>
      </c>
      <c r="P19" s="210" t="str">
        <f>IF($A19="","",IF(LEFT($A19,2)="T-",IF($CO19="","",_xlfn.LET(_xlpm.k,IFERROR(_xlfn.XLOOKUP($A19,Transformers!$A$6:$A$105,Transformers!$G$6:$G$105),""),_xlpm.sv,IFERROR(_xlfn.XLOOKUP($A19,Transformers!$A$6:$A$105,Transformers!$E$6:$E$105),""),IF(OR(NOT(ISNUMBER(_xlpm.k)),NOT(ISNUMBER(_xlpm.sv)),_xlpm.sv=0),"",_xlfn.LET(_xlpm.iInf,(_xlpm.k*1000/(_xlpm.sv/2))*100/$CO19,_xlpm.pri,IF(OR($CK19="",$CK19=0),"",$CK19/2),_xlpm.base,IF(_xlpm.pri="",_xlpm.iInf,_xlpm.iInf/(1+_xlpm.iInf/_xlpm.pri)),_xlpm.base+IF($L19="",0,$L19))))),IF($CP19="","",_xlfn.LET(_xlpm.pI,IFERROR(_xlfn.XLOOKUP($E19,$A$6:$A$255,$P$6:$P$255),""),IF(NOT(ISNUMBER(_xlpm.pI)),"",_xlpm.pI/(1+$CP19)+IF($L19="",0,$L19))))))</f>
        <v/>
      </c>
      <c r="Q19" s="210" t="str">
        <f t="shared" si="7"/>
        <v/>
      </c>
      <c r="R19" s="177" t="str">
        <f>IF($A19="","",IF(OR($C19=0,LEFT($A19,2)="T-"),"",IFERROR(_xlfn.LET(_xlpm.v,_xlfn.XLOOKUP($A19,Dashboard!$A$101:$A$350,Dashboard!$K$101:$K$350),IF(ISNUMBER(_xlpm.v),_xlpm.v,"")),"")))</f>
        <v/>
      </c>
      <c r="S19" s="211" t="str">
        <f t="shared" si="8"/>
        <v/>
      </c>
      <c r="T19" s="25" t="str">
        <f t="shared" si="9"/>
        <v/>
      </c>
      <c r="U19" s="364"/>
      <c r="BV19" s="20" t="str">
        <f>IF($A19="","",IFERROR(_xlfn.XLOOKUP("F-"&amp;$A19,'Feeder Schedule'!$B$5:$B$254,'Feeder Schedule'!$H$5:$H$254),""))</f>
        <v/>
      </c>
      <c r="BW19" s="20" t="str">
        <f>IF($A19="","",IFERROR(_xlfn.XLOOKUP("F-"&amp;$A19,'Feeder Schedule'!$B$5:$B$254,'Feeder Schedule'!$BV$5:$BV$254),""))</f>
        <v/>
      </c>
      <c r="BX19" s="20" t="str">
        <f>IF($A19="","",IFERROR(_xlfn.LET(_xlpm.v,_xlfn.XLOOKUP("F-"&amp;$A19,'Feeder Schedule'!$B$5:$B$254,'Feeder Schedule'!$M$5:$M$254),IF(OR(_xlpm.v="",_xlpm.v=0),Cfg_Conduit,_xlpm.v)),""))</f>
        <v/>
      </c>
      <c r="BY19" s="20" t="str">
        <f>IF($A19="","",IFERROR(_xlfn.XLOOKUP("F-"&amp;$A19,'Feeder Schedule'!$B$5:$B$254,'Feeder Schedule'!$O$5:$O$254),""))</f>
        <v/>
      </c>
      <c r="BZ19" s="20" t="str">
        <f>IF($A19="","",IFERROR(_xlfn.XLOOKUP("F-"&amp;$A19,'Feeder Schedule'!$B$5:$B$254,'Feeder Schedule'!$CH$5:$CH$254),""))</f>
        <v/>
      </c>
      <c r="CA19" s="20" t="str">
        <f>IF($A19="","",IFERROR(_xlfn.XLOOKUP("F-"&amp;$A19,'Feeder Schedule'!$B$5:$B$254,'Feeder Schedule'!$F$5:$F$254),""))</f>
        <v/>
      </c>
      <c r="CB19" s="20" t="str">
        <f>IF($A19="","",IFERROR(_xlfn.XLOOKUP("F-"&amp;$A19,'Feeder Schedule'!$B$5:$B$254,'Feeder Schedule'!$G$5:$G$254),""))</f>
        <v/>
      </c>
      <c r="CD19" s="20" t="str" cm="1">
        <f t="array" ref="CD19">IFERROR(IF($A19="","",INDEX(_xlfn.ANCHORARRAY($BK$4),ROW()-5,6)),"")</f>
        <v/>
      </c>
      <c r="CE19" s="20" t="str">
        <f t="shared" si="12"/>
        <v/>
      </c>
      <c r="CF19" s="20" t="str">
        <f t="shared" si="13"/>
        <v/>
      </c>
      <c r="CG19" s="20" t="str">
        <f t="shared" si="10"/>
        <v/>
      </c>
      <c r="CH19" s="20" t="str" cm="1">
        <f t="array" ref="CH19">IF(OR($A19="",$BZ19="",$BW19="",$BX19=""),"",_xlfn.LET(_xlpm.mag,IFERROR(_xlfn.XLOOKUP($BX19,Race_Raceway,Race_Mag),""),IF(_xlpm.mag="","",IFERROR(INDEX(Cond_Table,MATCH($BZ19,Cond_Size,0),IF(UPPER($BW19)="AL",IF(_xlpm.mag="Y",10,12),IF(_xlpm.mag="Y",9,11))),""))))</f>
        <v/>
      </c>
      <c r="CI19" s="20" t="str">
        <f t="shared" si="11"/>
        <v/>
      </c>
      <c r="CJ19" s="20" t="str">
        <f>IF(OR($A19="",LEFT($A19,2)&lt;&gt;"T-"),"",IFERROR(_xlfn.LET(_xlpm.fla,_xlfn.XLOOKUP($A19,Transformers!$A$6:$A$105,Transformers!$AK$6:$AK$105),_xlpm.z,_xlfn.XLOOKUP($A19,Transformers!$A$6:$A$105,Transformers!$AX$6:$AX$105),IF(OR(_xlpm.fla="",_xlpm.z="",_xlpm.z=0),"",_xlpm.fla*100/_xlpm.z)),""))</f>
        <v/>
      </c>
      <c r="CK19" s="20" t="str">
        <f t="shared" si="14"/>
        <v/>
      </c>
      <c r="CL19" s="20" t="str">
        <f t="shared" si="15"/>
        <v/>
      </c>
      <c r="CM19" s="373"/>
      <c r="CO19" s="20" t="str">
        <f>IF(OR($A19="",LEFT($A19,2)&lt;&gt;"T-"),"",_xlfn.LET(_xlpm.ph,IFERROR(_xlfn.XLOOKUP($A19,Transformers!$A$6:$A$105,Transformers!$C$6:$C$105),""),_xlpm.rr,IFERROR(_xlfn.XLOOKUP($A19,Transformers!$A$6:$A$105,Transformers!$AG$6:$AG$105),""),_xlpm.xx,IFERROR(_xlfn.XLOOKUP($A19,Transformers!$A$6:$A$105,Transformers!$AI$6:$AI$105),""),IF(OR(_xlpm.ph&lt;&gt;1,NOT(ISNUMBER(_xlpm.rr)),NOT(ISNUMBER(_xlpm.xx))),"",SQRT((1.5*_xlpm.rr)^2+(1.2*_xlpm.xx)^2))))</f>
        <v/>
      </c>
      <c r="CP19" s="20" t="str">
        <f t="shared" si="16"/>
        <v/>
      </c>
    </row>
    <row r="20" spans="1:94" ht="15" customHeight="1" x14ac:dyDescent="0.45">
      <c r="A20" s="275" t="str" cm="1">
        <f t="array" ref="A20">IFERROR(IF(INDEX(_xlfn.ANCHORARRAY($BK$4),ROW()-5,1)="","",INDEX(_xlfn.ANCHORARRAY($BK$4),ROW()-5,1)),"")</f>
        <v/>
      </c>
      <c r="B20" s="25" t="str" cm="1">
        <f t="array" ref="B20">IFERROR(IF($A20="","",INDEX(_xlfn.ANCHORARRAY($BK$4),ROW()-5,5)),"")</f>
        <v/>
      </c>
      <c r="C20" s="178" t="str" cm="1">
        <f t="array" ref="C20">IFERROR(IF($A20="","",INDEX(_xlfn.ANCHORARRAY($BK$4),ROW()-5,7)),"")</f>
        <v/>
      </c>
      <c r="D20" s="177" t="str" cm="1">
        <f t="array" ref="D20">IFERROR(IF($A20="","",INDEX(_xlfn.ANCHORARRAY($BK$4),ROW()-5,3)),"")</f>
        <v/>
      </c>
      <c r="E20" s="25" t="str" cm="1">
        <f t="array" ref="E20">IFERROR(IF($A20="","",INDEX(_xlfn.ANCHORARRAY($BK$4),ROW()-5,2)),"")</f>
        <v/>
      </c>
      <c r="F20" s="177" t="str">
        <f t="shared" si="0"/>
        <v/>
      </c>
      <c r="G20" s="275" t="str">
        <f t="shared" si="1"/>
        <v/>
      </c>
      <c r="H20" s="180" t="str">
        <f t="shared" si="2"/>
        <v/>
      </c>
      <c r="I20" s="180" t="str">
        <f t="shared" si="3"/>
        <v/>
      </c>
      <c r="J20" s="177" t="str">
        <f>_xlfn.LET(_xlpm.v,_xlfn.LET(_xlpm.base,IF($A20="","",IF($C20=0,IFERROR(_xlfn.XLOOKUP($A20,Util_Tags,Util_SCAEff),""),IF(LEFT($A20,2)="T-",IF($CJ20="","",$CJ20/(1+IF($CL20="",0,$CL20))),IF(OR($F20="",$I20=""),"",$F20*$I20)))),_xlpm.gtag,IF(OR($A20="",NOT(OR($B20="ATS",$B20="MTS"))),"",IFERROR(_xlfn.XLOOKUP($A20,Dashboard!$A$101:$A$350,Dashboard!$L$101:$L$350,"")&amp;"","")),_xlpm.gkva,IF(_xlpm.gtag="",0,IFERROR(N(_xlfn.XLOOKUP(_xlpm.gtag,Generator!$B$53:$B$58,Generator!$S$53:$S$58,0)),0)),_xlpm.gxd,IF(_xlpm.gtag="",0,IFERROR(N(_xlfn.XLOOKUP(_xlpm.gtag,Generator!$B$53:$B$58,Generator!$U$53:$U$58,0)),0)),_xlpm.gamp,IF(OR(_xlpm.gkva=0,_xlpm.gxd=0,N($D20)=0),0,ROUND(_xlpm.gkva*1000/(IF(N($CB20)=1,1,SQRT(3))*$D20*_xlpm.gxd),0)),IF(OR(_xlpm.gamp=0,NOT(ISNUMBER(_xlpm.base))),_xlpm.base,MAX(_xlpm.base,_xlpm.gamp))),_xlpm.ulim,IF(OR($A20="",$B20&lt;&gt;"UPS"),"",IFERROR(IF(_xlfn.XLOOKUP($A20,UPS!$B$57:$B$64,UPS!$E$57:$E$64,"")="None",_xlfn.XLOOKUP($A20,UPS!$B$57:$B$64,UPS!$U$57:$U$64,""),""),"")),IF(AND(ISNUMBER(_xlpm.v),ISNUMBER(_xlpm.ulim)),MIN(_xlpm.v,_xlpm.ulim),_xlpm.v))</f>
        <v/>
      </c>
      <c r="K20" s="176"/>
      <c r="L20" s="177" t="str">
        <f t="shared" si="4"/>
        <v/>
      </c>
      <c r="M20" s="177" t="str">
        <f t="shared" si="5"/>
        <v/>
      </c>
      <c r="N20" s="380" t="str">
        <f>IF($A20="","",IF($C20=0,_xlfn.LET(_xlpm.x,IFERROR(_xlfn.XLOOKUP($A20,Util_Tags,Util_XR),""),IF(N(_xlpm.x)=0,Xfmr_DefXR,_xlpm.x)),IF(LEFT($A20,2)="T-",IFERROR(_xlfn.XLOOKUP($A20,Transformers!$A$6:$A$105,Transformers!$AH$6:$AH$105),Xfmr_DefXR),IFERROR(_xlfn.XLOOKUP($E20,$A$6:$A$255,$N$6:$N$255),Xfmr_DefXR))))</f>
        <v/>
      </c>
      <c r="O20" s="177" t="str">
        <f t="shared" si="6"/>
        <v/>
      </c>
      <c r="P20" s="210" t="str">
        <f>IF($A20="","",IF(LEFT($A20,2)="T-",IF($CO20="","",_xlfn.LET(_xlpm.k,IFERROR(_xlfn.XLOOKUP($A20,Transformers!$A$6:$A$105,Transformers!$G$6:$G$105),""),_xlpm.sv,IFERROR(_xlfn.XLOOKUP($A20,Transformers!$A$6:$A$105,Transformers!$E$6:$E$105),""),IF(OR(NOT(ISNUMBER(_xlpm.k)),NOT(ISNUMBER(_xlpm.sv)),_xlpm.sv=0),"",_xlfn.LET(_xlpm.iInf,(_xlpm.k*1000/(_xlpm.sv/2))*100/$CO20,_xlpm.pri,IF(OR($CK20="",$CK20=0),"",$CK20/2),_xlpm.base,IF(_xlpm.pri="",_xlpm.iInf,_xlpm.iInf/(1+_xlpm.iInf/_xlpm.pri)),_xlpm.base+IF($L20="",0,$L20))))),IF($CP20="","",_xlfn.LET(_xlpm.pI,IFERROR(_xlfn.XLOOKUP($E20,$A$6:$A$255,$P$6:$P$255),""),IF(NOT(ISNUMBER(_xlpm.pI)),"",_xlpm.pI/(1+$CP20)+IF($L20="",0,$L20))))))</f>
        <v/>
      </c>
      <c r="Q20" s="210" t="str">
        <f t="shared" si="7"/>
        <v/>
      </c>
      <c r="R20" s="177" t="str">
        <f>IF($A20="","",IF(OR($C20=0,LEFT($A20,2)="T-"),"",IFERROR(_xlfn.LET(_xlpm.v,_xlfn.XLOOKUP($A20,Dashboard!$A$101:$A$350,Dashboard!$K$101:$K$350),IF(ISNUMBER(_xlpm.v),_xlpm.v,"")),"")))</f>
        <v/>
      </c>
      <c r="S20" s="211" t="str">
        <f t="shared" si="8"/>
        <v/>
      </c>
      <c r="T20" s="25" t="str">
        <f t="shared" si="9"/>
        <v/>
      </c>
      <c r="U20" s="364"/>
      <c r="BV20" s="20" t="str">
        <f>IF($A20="","",IFERROR(_xlfn.XLOOKUP("F-"&amp;$A20,'Feeder Schedule'!$B$5:$B$254,'Feeder Schedule'!$H$5:$H$254),""))</f>
        <v/>
      </c>
      <c r="BW20" s="20" t="str">
        <f>IF($A20="","",IFERROR(_xlfn.XLOOKUP("F-"&amp;$A20,'Feeder Schedule'!$B$5:$B$254,'Feeder Schedule'!$BV$5:$BV$254),""))</f>
        <v/>
      </c>
      <c r="BX20" s="20" t="str">
        <f>IF($A20="","",IFERROR(_xlfn.LET(_xlpm.v,_xlfn.XLOOKUP("F-"&amp;$A20,'Feeder Schedule'!$B$5:$B$254,'Feeder Schedule'!$M$5:$M$254),IF(OR(_xlpm.v="",_xlpm.v=0),Cfg_Conduit,_xlpm.v)),""))</f>
        <v/>
      </c>
      <c r="BY20" s="20" t="str">
        <f>IF($A20="","",IFERROR(_xlfn.XLOOKUP("F-"&amp;$A20,'Feeder Schedule'!$B$5:$B$254,'Feeder Schedule'!$O$5:$O$254),""))</f>
        <v/>
      </c>
      <c r="BZ20" s="20" t="str">
        <f>IF($A20="","",IFERROR(_xlfn.XLOOKUP("F-"&amp;$A20,'Feeder Schedule'!$B$5:$B$254,'Feeder Schedule'!$CH$5:$CH$254),""))</f>
        <v/>
      </c>
      <c r="CA20" s="20" t="str">
        <f>IF($A20="","",IFERROR(_xlfn.XLOOKUP("F-"&amp;$A20,'Feeder Schedule'!$B$5:$B$254,'Feeder Schedule'!$F$5:$F$254),""))</f>
        <v/>
      </c>
      <c r="CB20" s="20" t="str">
        <f>IF($A20="","",IFERROR(_xlfn.XLOOKUP("F-"&amp;$A20,'Feeder Schedule'!$B$5:$B$254,'Feeder Schedule'!$G$5:$G$254),""))</f>
        <v/>
      </c>
      <c r="CD20" s="20" t="str" cm="1">
        <f t="array" ref="CD20">IFERROR(IF($A20="","",INDEX(_xlfn.ANCHORARRAY($BK$4),ROW()-5,6)),"")</f>
        <v/>
      </c>
      <c r="CE20" s="20" t="str">
        <f t="shared" si="12"/>
        <v/>
      </c>
      <c r="CF20" s="20" t="str">
        <f t="shared" si="13"/>
        <v/>
      </c>
      <c r="CG20" s="20" t="str">
        <f t="shared" si="10"/>
        <v/>
      </c>
      <c r="CH20" s="20" t="str" cm="1">
        <f t="array" ref="CH20">IF(OR($A20="",$BZ20="",$BW20="",$BX20=""),"",_xlfn.LET(_xlpm.mag,IFERROR(_xlfn.XLOOKUP($BX20,Race_Raceway,Race_Mag),""),IF(_xlpm.mag="","",IFERROR(INDEX(Cond_Table,MATCH($BZ20,Cond_Size,0),IF(UPPER($BW20)="AL",IF(_xlpm.mag="Y",10,12),IF(_xlpm.mag="Y",9,11))),""))))</f>
        <v/>
      </c>
      <c r="CI20" s="20" t="str">
        <f t="shared" si="11"/>
        <v/>
      </c>
      <c r="CJ20" s="20" t="str">
        <f>IF(OR($A20="",LEFT($A20,2)&lt;&gt;"T-"),"",IFERROR(_xlfn.LET(_xlpm.fla,_xlfn.XLOOKUP($A20,Transformers!$A$6:$A$105,Transformers!$AK$6:$AK$105),_xlpm.z,_xlfn.XLOOKUP($A20,Transformers!$A$6:$A$105,Transformers!$AX$6:$AX$105),IF(OR(_xlpm.fla="",_xlpm.z="",_xlpm.z=0),"",_xlpm.fla*100/_xlpm.z)),""))</f>
        <v/>
      </c>
      <c r="CK20" s="20" t="str">
        <f t="shared" si="14"/>
        <v/>
      </c>
      <c r="CL20" s="20" t="str">
        <f t="shared" si="15"/>
        <v/>
      </c>
      <c r="CM20" s="373"/>
      <c r="CO20" s="20" t="str">
        <f>IF(OR($A20="",LEFT($A20,2)&lt;&gt;"T-"),"",_xlfn.LET(_xlpm.ph,IFERROR(_xlfn.XLOOKUP($A20,Transformers!$A$6:$A$105,Transformers!$C$6:$C$105),""),_xlpm.rr,IFERROR(_xlfn.XLOOKUP($A20,Transformers!$A$6:$A$105,Transformers!$AG$6:$AG$105),""),_xlpm.xx,IFERROR(_xlfn.XLOOKUP($A20,Transformers!$A$6:$A$105,Transformers!$AI$6:$AI$105),""),IF(OR(_xlpm.ph&lt;&gt;1,NOT(ISNUMBER(_xlpm.rr)),NOT(ISNUMBER(_xlpm.xx))),"",SQRT((1.5*_xlpm.rr)^2+(1.2*_xlpm.xx)^2))))</f>
        <v/>
      </c>
      <c r="CP20" s="20" t="str">
        <f t="shared" si="16"/>
        <v/>
      </c>
    </row>
    <row r="21" spans="1:94" ht="15" customHeight="1" x14ac:dyDescent="0.45">
      <c r="A21" s="275" t="str" cm="1">
        <f t="array" ref="A21">IFERROR(IF(INDEX(_xlfn.ANCHORARRAY($BK$4),ROW()-5,1)="","",INDEX(_xlfn.ANCHORARRAY($BK$4),ROW()-5,1)),"")</f>
        <v/>
      </c>
      <c r="B21" s="25" t="str" cm="1">
        <f t="array" ref="B21">IFERROR(IF($A21="","",INDEX(_xlfn.ANCHORARRAY($BK$4),ROW()-5,5)),"")</f>
        <v/>
      </c>
      <c r="C21" s="178" t="str" cm="1">
        <f t="array" ref="C21">IFERROR(IF($A21="","",INDEX(_xlfn.ANCHORARRAY($BK$4),ROW()-5,7)),"")</f>
        <v/>
      </c>
      <c r="D21" s="177" t="str" cm="1">
        <f t="array" ref="D21">IFERROR(IF($A21="","",INDEX(_xlfn.ANCHORARRAY($BK$4),ROW()-5,3)),"")</f>
        <v/>
      </c>
      <c r="E21" s="25" t="str" cm="1">
        <f t="array" ref="E21">IFERROR(IF($A21="","",INDEX(_xlfn.ANCHORARRAY($BK$4),ROW()-5,2)),"")</f>
        <v/>
      </c>
      <c r="F21" s="177" t="str">
        <f t="shared" si="0"/>
        <v/>
      </c>
      <c r="G21" s="275" t="str">
        <f t="shared" si="1"/>
        <v/>
      </c>
      <c r="H21" s="180" t="str">
        <f t="shared" si="2"/>
        <v/>
      </c>
      <c r="I21" s="180" t="str">
        <f t="shared" si="3"/>
        <v/>
      </c>
      <c r="J21" s="177" t="str">
        <f>_xlfn.LET(_xlpm.v,_xlfn.LET(_xlpm.base,IF($A21="","",IF($C21=0,IFERROR(_xlfn.XLOOKUP($A21,Util_Tags,Util_SCAEff),""),IF(LEFT($A21,2)="T-",IF($CJ21="","",$CJ21/(1+IF($CL21="",0,$CL21))),IF(OR($F21="",$I21=""),"",$F21*$I21)))),_xlpm.gtag,IF(OR($A21="",NOT(OR($B21="ATS",$B21="MTS"))),"",IFERROR(_xlfn.XLOOKUP($A21,Dashboard!$A$101:$A$350,Dashboard!$L$101:$L$350,"")&amp;"","")),_xlpm.gkva,IF(_xlpm.gtag="",0,IFERROR(N(_xlfn.XLOOKUP(_xlpm.gtag,Generator!$B$53:$B$58,Generator!$S$53:$S$58,0)),0)),_xlpm.gxd,IF(_xlpm.gtag="",0,IFERROR(N(_xlfn.XLOOKUP(_xlpm.gtag,Generator!$B$53:$B$58,Generator!$U$53:$U$58,0)),0)),_xlpm.gamp,IF(OR(_xlpm.gkva=0,_xlpm.gxd=0,N($D21)=0),0,ROUND(_xlpm.gkva*1000/(IF(N($CB21)=1,1,SQRT(3))*$D21*_xlpm.gxd),0)),IF(OR(_xlpm.gamp=0,NOT(ISNUMBER(_xlpm.base))),_xlpm.base,MAX(_xlpm.base,_xlpm.gamp))),_xlpm.ulim,IF(OR($A21="",$B21&lt;&gt;"UPS"),"",IFERROR(IF(_xlfn.XLOOKUP($A21,UPS!$B$57:$B$64,UPS!$E$57:$E$64,"")="None",_xlfn.XLOOKUP($A21,UPS!$B$57:$B$64,UPS!$U$57:$U$64,""),""),"")),IF(AND(ISNUMBER(_xlpm.v),ISNUMBER(_xlpm.ulim)),MIN(_xlpm.v,_xlpm.ulim),_xlpm.v))</f>
        <v/>
      </c>
      <c r="K21" s="176"/>
      <c r="L21" s="177" t="str">
        <f t="shared" si="4"/>
        <v/>
      </c>
      <c r="M21" s="177" t="str">
        <f t="shared" si="5"/>
        <v/>
      </c>
      <c r="N21" s="380" t="str">
        <f>IF($A21="","",IF($C21=0,_xlfn.LET(_xlpm.x,IFERROR(_xlfn.XLOOKUP($A21,Util_Tags,Util_XR),""),IF(N(_xlpm.x)=0,Xfmr_DefXR,_xlpm.x)),IF(LEFT($A21,2)="T-",IFERROR(_xlfn.XLOOKUP($A21,Transformers!$A$6:$A$105,Transformers!$AH$6:$AH$105),Xfmr_DefXR),IFERROR(_xlfn.XLOOKUP($E21,$A$6:$A$255,$N$6:$N$255),Xfmr_DefXR))))</f>
        <v/>
      </c>
      <c r="O21" s="177" t="str">
        <f t="shared" si="6"/>
        <v/>
      </c>
      <c r="P21" s="210" t="str">
        <f>IF($A21="","",IF(LEFT($A21,2)="T-",IF($CO21="","",_xlfn.LET(_xlpm.k,IFERROR(_xlfn.XLOOKUP($A21,Transformers!$A$6:$A$105,Transformers!$G$6:$G$105),""),_xlpm.sv,IFERROR(_xlfn.XLOOKUP($A21,Transformers!$A$6:$A$105,Transformers!$E$6:$E$105),""),IF(OR(NOT(ISNUMBER(_xlpm.k)),NOT(ISNUMBER(_xlpm.sv)),_xlpm.sv=0),"",_xlfn.LET(_xlpm.iInf,(_xlpm.k*1000/(_xlpm.sv/2))*100/$CO21,_xlpm.pri,IF(OR($CK21="",$CK21=0),"",$CK21/2),_xlpm.base,IF(_xlpm.pri="",_xlpm.iInf,_xlpm.iInf/(1+_xlpm.iInf/_xlpm.pri)),_xlpm.base+IF($L21="",0,$L21))))),IF($CP21="","",_xlfn.LET(_xlpm.pI,IFERROR(_xlfn.XLOOKUP($E21,$A$6:$A$255,$P$6:$P$255),""),IF(NOT(ISNUMBER(_xlpm.pI)),"",_xlpm.pI/(1+$CP21)+IF($L21="",0,$L21))))))</f>
        <v/>
      </c>
      <c r="Q21" s="210" t="str">
        <f t="shared" si="7"/>
        <v/>
      </c>
      <c r="R21" s="177" t="str">
        <f>IF($A21="","",IF(OR($C21=0,LEFT($A21,2)="T-"),"",IFERROR(_xlfn.LET(_xlpm.v,_xlfn.XLOOKUP($A21,Dashboard!$A$101:$A$350,Dashboard!$K$101:$K$350),IF(ISNUMBER(_xlpm.v),_xlpm.v,"")),"")))</f>
        <v/>
      </c>
      <c r="S21" s="211" t="str">
        <f t="shared" si="8"/>
        <v/>
      </c>
      <c r="T21" s="25" t="str">
        <f t="shared" si="9"/>
        <v/>
      </c>
      <c r="U21" s="364"/>
      <c r="BV21" s="20" t="str">
        <f>IF($A21="","",IFERROR(_xlfn.XLOOKUP("F-"&amp;$A21,'Feeder Schedule'!$B$5:$B$254,'Feeder Schedule'!$H$5:$H$254),""))</f>
        <v/>
      </c>
      <c r="BW21" s="20" t="str">
        <f>IF($A21="","",IFERROR(_xlfn.XLOOKUP("F-"&amp;$A21,'Feeder Schedule'!$B$5:$B$254,'Feeder Schedule'!$BV$5:$BV$254),""))</f>
        <v/>
      </c>
      <c r="BX21" s="20" t="str">
        <f>IF($A21="","",IFERROR(_xlfn.LET(_xlpm.v,_xlfn.XLOOKUP("F-"&amp;$A21,'Feeder Schedule'!$B$5:$B$254,'Feeder Schedule'!$M$5:$M$254),IF(OR(_xlpm.v="",_xlpm.v=0),Cfg_Conduit,_xlpm.v)),""))</f>
        <v/>
      </c>
      <c r="BY21" s="20" t="str">
        <f>IF($A21="","",IFERROR(_xlfn.XLOOKUP("F-"&amp;$A21,'Feeder Schedule'!$B$5:$B$254,'Feeder Schedule'!$O$5:$O$254),""))</f>
        <v/>
      </c>
      <c r="BZ21" s="20" t="str">
        <f>IF($A21="","",IFERROR(_xlfn.XLOOKUP("F-"&amp;$A21,'Feeder Schedule'!$B$5:$B$254,'Feeder Schedule'!$CH$5:$CH$254),""))</f>
        <v/>
      </c>
      <c r="CA21" s="20" t="str">
        <f>IF($A21="","",IFERROR(_xlfn.XLOOKUP("F-"&amp;$A21,'Feeder Schedule'!$B$5:$B$254,'Feeder Schedule'!$F$5:$F$254),""))</f>
        <v/>
      </c>
      <c r="CB21" s="20" t="str">
        <f>IF($A21="","",IFERROR(_xlfn.XLOOKUP("F-"&amp;$A21,'Feeder Schedule'!$B$5:$B$254,'Feeder Schedule'!$G$5:$G$254),""))</f>
        <v/>
      </c>
      <c r="CD21" s="20" t="str" cm="1">
        <f t="array" ref="CD21">IFERROR(IF($A21="","",INDEX(_xlfn.ANCHORARRAY($BK$4),ROW()-5,6)),"")</f>
        <v/>
      </c>
      <c r="CE21" s="20" t="str">
        <f t="shared" si="12"/>
        <v/>
      </c>
      <c r="CF21" s="20" t="str">
        <f t="shared" si="13"/>
        <v/>
      </c>
      <c r="CG21" s="20" t="str">
        <f t="shared" si="10"/>
        <v/>
      </c>
      <c r="CH21" s="20" t="str" cm="1">
        <f t="array" ref="CH21">IF(OR($A21="",$BZ21="",$BW21="",$BX21=""),"",_xlfn.LET(_xlpm.mag,IFERROR(_xlfn.XLOOKUP($BX21,Race_Raceway,Race_Mag),""),IF(_xlpm.mag="","",IFERROR(INDEX(Cond_Table,MATCH($BZ21,Cond_Size,0),IF(UPPER($BW21)="AL",IF(_xlpm.mag="Y",10,12),IF(_xlpm.mag="Y",9,11))),""))))</f>
        <v/>
      </c>
      <c r="CI21" s="20" t="str">
        <f t="shared" si="11"/>
        <v/>
      </c>
      <c r="CJ21" s="20" t="str">
        <f>IF(OR($A21="",LEFT($A21,2)&lt;&gt;"T-"),"",IFERROR(_xlfn.LET(_xlpm.fla,_xlfn.XLOOKUP($A21,Transformers!$A$6:$A$105,Transformers!$AK$6:$AK$105),_xlpm.z,_xlfn.XLOOKUP($A21,Transformers!$A$6:$A$105,Transformers!$AX$6:$AX$105),IF(OR(_xlpm.fla="",_xlpm.z="",_xlpm.z=0),"",_xlpm.fla*100/_xlpm.z)),""))</f>
        <v/>
      </c>
      <c r="CK21" s="20" t="str">
        <f t="shared" si="14"/>
        <v/>
      </c>
      <c r="CL21" s="20" t="str">
        <f t="shared" si="15"/>
        <v/>
      </c>
      <c r="CM21" s="373"/>
      <c r="CO21" s="20" t="str">
        <f>IF(OR($A21="",LEFT($A21,2)&lt;&gt;"T-"),"",_xlfn.LET(_xlpm.ph,IFERROR(_xlfn.XLOOKUP($A21,Transformers!$A$6:$A$105,Transformers!$C$6:$C$105),""),_xlpm.rr,IFERROR(_xlfn.XLOOKUP($A21,Transformers!$A$6:$A$105,Transformers!$AG$6:$AG$105),""),_xlpm.xx,IFERROR(_xlfn.XLOOKUP($A21,Transformers!$A$6:$A$105,Transformers!$AI$6:$AI$105),""),IF(OR(_xlpm.ph&lt;&gt;1,NOT(ISNUMBER(_xlpm.rr)),NOT(ISNUMBER(_xlpm.xx))),"",SQRT((1.5*_xlpm.rr)^2+(1.2*_xlpm.xx)^2))))</f>
        <v/>
      </c>
      <c r="CP21" s="20" t="str">
        <f t="shared" si="16"/>
        <v/>
      </c>
    </row>
    <row r="22" spans="1:94" ht="15" customHeight="1" x14ac:dyDescent="0.45">
      <c r="A22" s="275" t="str" cm="1">
        <f t="array" ref="A22">IFERROR(IF(INDEX(_xlfn.ANCHORARRAY($BK$4),ROW()-5,1)="","",INDEX(_xlfn.ANCHORARRAY($BK$4),ROW()-5,1)),"")</f>
        <v/>
      </c>
      <c r="B22" s="25" t="str" cm="1">
        <f t="array" ref="B22">IFERROR(IF($A22="","",INDEX(_xlfn.ANCHORARRAY($BK$4),ROW()-5,5)),"")</f>
        <v/>
      </c>
      <c r="C22" s="178" t="str" cm="1">
        <f t="array" ref="C22">IFERROR(IF($A22="","",INDEX(_xlfn.ANCHORARRAY($BK$4),ROW()-5,7)),"")</f>
        <v/>
      </c>
      <c r="D22" s="177" t="str" cm="1">
        <f t="array" ref="D22">IFERROR(IF($A22="","",INDEX(_xlfn.ANCHORARRAY($BK$4),ROW()-5,3)),"")</f>
        <v/>
      </c>
      <c r="E22" s="25" t="str" cm="1">
        <f t="array" ref="E22">IFERROR(IF($A22="","",INDEX(_xlfn.ANCHORARRAY($BK$4),ROW()-5,2)),"")</f>
        <v/>
      </c>
      <c r="F22" s="177" t="str">
        <f t="shared" si="0"/>
        <v/>
      </c>
      <c r="G22" s="275" t="str">
        <f t="shared" si="1"/>
        <v/>
      </c>
      <c r="H22" s="180" t="str">
        <f t="shared" si="2"/>
        <v/>
      </c>
      <c r="I22" s="180" t="str">
        <f t="shared" si="3"/>
        <v/>
      </c>
      <c r="J22" s="177" t="str">
        <f>_xlfn.LET(_xlpm.v,_xlfn.LET(_xlpm.base,IF($A22="","",IF($C22=0,IFERROR(_xlfn.XLOOKUP($A22,Util_Tags,Util_SCAEff),""),IF(LEFT($A22,2)="T-",IF($CJ22="","",$CJ22/(1+IF($CL22="",0,$CL22))),IF(OR($F22="",$I22=""),"",$F22*$I22)))),_xlpm.gtag,IF(OR($A22="",NOT(OR($B22="ATS",$B22="MTS"))),"",IFERROR(_xlfn.XLOOKUP($A22,Dashboard!$A$101:$A$350,Dashboard!$L$101:$L$350,"")&amp;"","")),_xlpm.gkva,IF(_xlpm.gtag="",0,IFERROR(N(_xlfn.XLOOKUP(_xlpm.gtag,Generator!$B$53:$B$58,Generator!$S$53:$S$58,0)),0)),_xlpm.gxd,IF(_xlpm.gtag="",0,IFERROR(N(_xlfn.XLOOKUP(_xlpm.gtag,Generator!$B$53:$B$58,Generator!$U$53:$U$58,0)),0)),_xlpm.gamp,IF(OR(_xlpm.gkva=0,_xlpm.gxd=0,N($D22)=0),0,ROUND(_xlpm.gkva*1000/(IF(N($CB22)=1,1,SQRT(3))*$D22*_xlpm.gxd),0)),IF(OR(_xlpm.gamp=0,NOT(ISNUMBER(_xlpm.base))),_xlpm.base,MAX(_xlpm.base,_xlpm.gamp))),_xlpm.ulim,IF(OR($A22="",$B22&lt;&gt;"UPS"),"",IFERROR(IF(_xlfn.XLOOKUP($A22,UPS!$B$57:$B$64,UPS!$E$57:$E$64,"")="None",_xlfn.XLOOKUP($A22,UPS!$B$57:$B$64,UPS!$U$57:$U$64,""),""),"")),IF(AND(ISNUMBER(_xlpm.v),ISNUMBER(_xlpm.ulim)),MIN(_xlpm.v,_xlpm.ulim),_xlpm.v))</f>
        <v/>
      </c>
      <c r="K22" s="176"/>
      <c r="L22" s="177" t="str">
        <f t="shared" si="4"/>
        <v/>
      </c>
      <c r="M22" s="177" t="str">
        <f t="shared" si="5"/>
        <v/>
      </c>
      <c r="N22" s="380" t="str">
        <f>IF($A22="","",IF($C22=0,_xlfn.LET(_xlpm.x,IFERROR(_xlfn.XLOOKUP($A22,Util_Tags,Util_XR),""),IF(N(_xlpm.x)=0,Xfmr_DefXR,_xlpm.x)),IF(LEFT($A22,2)="T-",IFERROR(_xlfn.XLOOKUP($A22,Transformers!$A$6:$A$105,Transformers!$AH$6:$AH$105),Xfmr_DefXR),IFERROR(_xlfn.XLOOKUP($E22,$A$6:$A$255,$N$6:$N$255),Xfmr_DefXR))))</f>
        <v/>
      </c>
      <c r="O22" s="177" t="str">
        <f t="shared" si="6"/>
        <v/>
      </c>
      <c r="P22" s="210" t="str">
        <f>IF($A22="","",IF(LEFT($A22,2)="T-",IF($CO22="","",_xlfn.LET(_xlpm.k,IFERROR(_xlfn.XLOOKUP($A22,Transformers!$A$6:$A$105,Transformers!$G$6:$G$105),""),_xlpm.sv,IFERROR(_xlfn.XLOOKUP($A22,Transformers!$A$6:$A$105,Transformers!$E$6:$E$105),""),IF(OR(NOT(ISNUMBER(_xlpm.k)),NOT(ISNUMBER(_xlpm.sv)),_xlpm.sv=0),"",_xlfn.LET(_xlpm.iInf,(_xlpm.k*1000/(_xlpm.sv/2))*100/$CO22,_xlpm.pri,IF(OR($CK22="",$CK22=0),"",$CK22/2),_xlpm.base,IF(_xlpm.pri="",_xlpm.iInf,_xlpm.iInf/(1+_xlpm.iInf/_xlpm.pri)),_xlpm.base+IF($L22="",0,$L22))))),IF($CP22="","",_xlfn.LET(_xlpm.pI,IFERROR(_xlfn.XLOOKUP($E22,$A$6:$A$255,$P$6:$P$255),""),IF(NOT(ISNUMBER(_xlpm.pI)),"",_xlpm.pI/(1+$CP22)+IF($L22="",0,$L22))))))</f>
        <v/>
      </c>
      <c r="Q22" s="210" t="str">
        <f t="shared" si="7"/>
        <v/>
      </c>
      <c r="R22" s="177" t="str">
        <f>IF($A22="","",IF(OR($C22=0,LEFT($A22,2)="T-"),"",IFERROR(_xlfn.LET(_xlpm.v,_xlfn.XLOOKUP($A22,Dashboard!$A$101:$A$350,Dashboard!$K$101:$K$350),IF(ISNUMBER(_xlpm.v),_xlpm.v,"")),"")))</f>
        <v/>
      </c>
      <c r="S22" s="211" t="str">
        <f t="shared" si="8"/>
        <v/>
      </c>
      <c r="T22" s="25" t="str">
        <f t="shared" si="9"/>
        <v/>
      </c>
      <c r="U22" s="364"/>
      <c r="BV22" s="20" t="str">
        <f>IF($A22="","",IFERROR(_xlfn.XLOOKUP("F-"&amp;$A22,'Feeder Schedule'!$B$5:$B$254,'Feeder Schedule'!$H$5:$H$254),""))</f>
        <v/>
      </c>
      <c r="BW22" s="20" t="str">
        <f>IF($A22="","",IFERROR(_xlfn.XLOOKUP("F-"&amp;$A22,'Feeder Schedule'!$B$5:$B$254,'Feeder Schedule'!$BV$5:$BV$254),""))</f>
        <v/>
      </c>
      <c r="BX22" s="20" t="str">
        <f>IF($A22="","",IFERROR(_xlfn.LET(_xlpm.v,_xlfn.XLOOKUP("F-"&amp;$A22,'Feeder Schedule'!$B$5:$B$254,'Feeder Schedule'!$M$5:$M$254),IF(OR(_xlpm.v="",_xlpm.v=0),Cfg_Conduit,_xlpm.v)),""))</f>
        <v/>
      </c>
      <c r="BY22" s="20" t="str">
        <f>IF($A22="","",IFERROR(_xlfn.XLOOKUP("F-"&amp;$A22,'Feeder Schedule'!$B$5:$B$254,'Feeder Schedule'!$O$5:$O$254),""))</f>
        <v/>
      </c>
      <c r="BZ22" s="20" t="str">
        <f>IF($A22="","",IFERROR(_xlfn.XLOOKUP("F-"&amp;$A22,'Feeder Schedule'!$B$5:$B$254,'Feeder Schedule'!$CH$5:$CH$254),""))</f>
        <v/>
      </c>
      <c r="CA22" s="20" t="str">
        <f>IF($A22="","",IFERROR(_xlfn.XLOOKUP("F-"&amp;$A22,'Feeder Schedule'!$B$5:$B$254,'Feeder Schedule'!$F$5:$F$254),""))</f>
        <v/>
      </c>
      <c r="CB22" s="20" t="str">
        <f>IF($A22="","",IFERROR(_xlfn.XLOOKUP("F-"&amp;$A22,'Feeder Schedule'!$B$5:$B$254,'Feeder Schedule'!$G$5:$G$254),""))</f>
        <v/>
      </c>
      <c r="CD22" s="20" t="str" cm="1">
        <f t="array" ref="CD22">IFERROR(IF($A22="","",INDEX(_xlfn.ANCHORARRAY($BK$4),ROW()-5,6)),"")</f>
        <v/>
      </c>
      <c r="CE22" s="20" t="str">
        <f t="shared" si="12"/>
        <v/>
      </c>
      <c r="CF22" s="20" t="str">
        <f t="shared" si="13"/>
        <v/>
      </c>
      <c r="CG22" s="20" t="str">
        <f t="shared" si="10"/>
        <v/>
      </c>
      <c r="CH22" s="20" t="str" cm="1">
        <f t="array" ref="CH22">IF(OR($A22="",$BZ22="",$BW22="",$BX22=""),"",_xlfn.LET(_xlpm.mag,IFERROR(_xlfn.XLOOKUP($BX22,Race_Raceway,Race_Mag),""),IF(_xlpm.mag="","",IFERROR(INDEX(Cond_Table,MATCH($BZ22,Cond_Size,0),IF(UPPER($BW22)="AL",IF(_xlpm.mag="Y",10,12),IF(_xlpm.mag="Y",9,11))),""))))</f>
        <v/>
      </c>
      <c r="CI22" s="20" t="str">
        <f t="shared" si="11"/>
        <v/>
      </c>
      <c r="CJ22" s="20" t="str">
        <f>IF(OR($A22="",LEFT($A22,2)&lt;&gt;"T-"),"",IFERROR(_xlfn.LET(_xlpm.fla,_xlfn.XLOOKUP($A22,Transformers!$A$6:$A$105,Transformers!$AK$6:$AK$105),_xlpm.z,_xlfn.XLOOKUP($A22,Transformers!$A$6:$A$105,Transformers!$AX$6:$AX$105),IF(OR(_xlpm.fla="",_xlpm.z="",_xlpm.z=0),"",_xlpm.fla*100/_xlpm.z)),""))</f>
        <v/>
      </c>
      <c r="CK22" s="20" t="str">
        <f t="shared" si="14"/>
        <v/>
      </c>
      <c r="CL22" s="20" t="str">
        <f t="shared" si="15"/>
        <v/>
      </c>
      <c r="CM22" s="373"/>
      <c r="CO22" s="20" t="str">
        <f>IF(OR($A22="",LEFT($A22,2)&lt;&gt;"T-"),"",_xlfn.LET(_xlpm.ph,IFERROR(_xlfn.XLOOKUP($A22,Transformers!$A$6:$A$105,Transformers!$C$6:$C$105),""),_xlpm.rr,IFERROR(_xlfn.XLOOKUP($A22,Transformers!$A$6:$A$105,Transformers!$AG$6:$AG$105),""),_xlpm.xx,IFERROR(_xlfn.XLOOKUP($A22,Transformers!$A$6:$A$105,Transformers!$AI$6:$AI$105),""),IF(OR(_xlpm.ph&lt;&gt;1,NOT(ISNUMBER(_xlpm.rr)),NOT(ISNUMBER(_xlpm.xx))),"",SQRT((1.5*_xlpm.rr)^2+(1.2*_xlpm.xx)^2))))</f>
        <v/>
      </c>
      <c r="CP22" s="20" t="str">
        <f t="shared" si="16"/>
        <v/>
      </c>
    </row>
    <row r="23" spans="1:94" ht="15" customHeight="1" x14ac:dyDescent="0.45">
      <c r="A23" s="275" t="str" cm="1">
        <f t="array" ref="A23">IFERROR(IF(INDEX(_xlfn.ANCHORARRAY($BK$4),ROW()-5,1)="","",INDEX(_xlfn.ANCHORARRAY($BK$4),ROW()-5,1)),"")</f>
        <v/>
      </c>
      <c r="B23" s="25" t="str" cm="1">
        <f t="array" ref="B23">IFERROR(IF($A23="","",INDEX(_xlfn.ANCHORARRAY($BK$4),ROW()-5,5)),"")</f>
        <v/>
      </c>
      <c r="C23" s="178" t="str" cm="1">
        <f t="array" ref="C23">IFERROR(IF($A23="","",INDEX(_xlfn.ANCHORARRAY($BK$4),ROW()-5,7)),"")</f>
        <v/>
      </c>
      <c r="D23" s="177" t="str" cm="1">
        <f t="array" ref="D23">IFERROR(IF($A23="","",INDEX(_xlfn.ANCHORARRAY($BK$4),ROW()-5,3)),"")</f>
        <v/>
      </c>
      <c r="E23" s="25" t="str" cm="1">
        <f t="array" ref="E23">IFERROR(IF($A23="","",INDEX(_xlfn.ANCHORARRAY($BK$4),ROW()-5,2)),"")</f>
        <v/>
      </c>
      <c r="F23" s="177" t="str">
        <f t="shared" si="0"/>
        <v/>
      </c>
      <c r="G23" s="275" t="str">
        <f t="shared" si="1"/>
        <v/>
      </c>
      <c r="H23" s="180" t="str">
        <f t="shared" si="2"/>
        <v/>
      </c>
      <c r="I23" s="180" t="str">
        <f t="shared" si="3"/>
        <v/>
      </c>
      <c r="J23" s="177" t="str">
        <f>_xlfn.LET(_xlpm.v,_xlfn.LET(_xlpm.base,IF($A23="","",IF($C23=0,IFERROR(_xlfn.XLOOKUP($A23,Util_Tags,Util_SCAEff),""),IF(LEFT($A23,2)="T-",IF($CJ23="","",$CJ23/(1+IF($CL23="",0,$CL23))),IF(OR($F23="",$I23=""),"",$F23*$I23)))),_xlpm.gtag,IF(OR($A23="",NOT(OR($B23="ATS",$B23="MTS"))),"",IFERROR(_xlfn.XLOOKUP($A23,Dashboard!$A$101:$A$350,Dashboard!$L$101:$L$350,"")&amp;"","")),_xlpm.gkva,IF(_xlpm.gtag="",0,IFERROR(N(_xlfn.XLOOKUP(_xlpm.gtag,Generator!$B$53:$B$58,Generator!$S$53:$S$58,0)),0)),_xlpm.gxd,IF(_xlpm.gtag="",0,IFERROR(N(_xlfn.XLOOKUP(_xlpm.gtag,Generator!$B$53:$B$58,Generator!$U$53:$U$58,0)),0)),_xlpm.gamp,IF(OR(_xlpm.gkva=0,_xlpm.gxd=0,N($D23)=0),0,ROUND(_xlpm.gkva*1000/(IF(N($CB23)=1,1,SQRT(3))*$D23*_xlpm.gxd),0)),IF(OR(_xlpm.gamp=0,NOT(ISNUMBER(_xlpm.base))),_xlpm.base,MAX(_xlpm.base,_xlpm.gamp))),_xlpm.ulim,IF(OR($A23="",$B23&lt;&gt;"UPS"),"",IFERROR(IF(_xlfn.XLOOKUP($A23,UPS!$B$57:$B$64,UPS!$E$57:$E$64,"")="None",_xlfn.XLOOKUP($A23,UPS!$B$57:$B$64,UPS!$U$57:$U$64,""),""),"")),IF(AND(ISNUMBER(_xlpm.v),ISNUMBER(_xlpm.ulim)),MIN(_xlpm.v,_xlpm.ulim),_xlpm.v))</f>
        <v/>
      </c>
      <c r="K23" s="176"/>
      <c r="L23" s="177" t="str">
        <f t="shared" si="4"/>
        <v/>
      </c>
      <c r="M23" s="177" t="str">
        <f t="shared" si="5"/>
        <v/>
      </c>
      <c r="N23" s="380" t="str">
        <f>IF($A23="","",IF($C23=0,_xlfn.LET(_xlpm.x,IFERROR(_xlfn.XLOOKUP($A23,Util_Tags,Util_XR),""),IF(N(_xlpm.x)=0,Xfmr_DefXR,_xlpm.x)),IF(LEFT($A23,2)="T-",IFERROR(_xlfn.XLOOKUP($A23,Transformers!$A$6:$A$105,Transformers!$AH$6:$AH$105),Xfmr_DefXR),IFERROR(_xlfn.XLOOKUP($E23,$A$6:$A$255,$N$6:$N$255),Xfmr_DefXR))))</f>
        <v/>
      </c>
      <c r="O23" s="177" t="str">
        <f t="shared" si="6"/>
        <v/>
      </c>
      <c r="P23" s="210" t="str">
        <f>IF($A23="","",IF(LEFT($A23,2)="T-",IF($CO23="","",_xlfn.LET(_xlpm.k,IFERROR(_xlfn.XLOOKUP($A23,Transformers!$A$6:$A$105,Transformers!$G$6:$G$105),""),_xlpm.sv,IFERROR(_xlfn.XLOOKUP($A23,Transformers!$A$6:$A$105,Transformers!$E$6:$E$105),""),IF(OR(NOT(ISNUMBER(_xlpm.k)),NOT(ISNUMBER(_xlpm.sv)),_xlpm.sv=0),"",_xlfn.LET(_xlpm.iInf,(_xlpm.k*1000/(_xlpm.sv/2))*100/$CO23,_xlpm.pri,IF(OR($CK23="",$CK23=0),"",$CK23/2),_xlpm.base,IF(_xlpm.pri="",_xlpm.iInf,_xlpm.iInf/(1+_xlpm.iInf/_xlpm.pri)),_xlpm.base+IF($L23="",0,$L23))))),IF($CP23="","",_xlfn.LET(_xlpm.pI,IFERROR(_xlfn.XLOOKUP($E23,$A$6:$A$255,$P$6:$P$255),""),IF(NOT(ISNUMBER(_xlpm.pI)),"",_xlpm.pI/(1+$CP23)+IF($L23="",0,$L23))))))</f>
        <v/>
      </c>
      <c r="Q23" s="210" t="str">
        <f t="shared" si="7"/>
        <v/>
      </c>
      <c r="R23" s="177" t="str">
        <f>IF($A23="","",IF(OR($C23=0,LEFT($A23,2)="T-"),"",IFERROR(_xlfn.LET(_xlpm.v,_xlfn.XLOOKUP($A23,Dashboard!$A$101:$A$350,Dashboard!$K$101:$K$350),IF(ISNUMBER(_xlpm.v),_xlpm.v,"")),"")))</f>
        <v/>
      </c>
      <c r="S23" s="211" t="str">
        <f t="shared" si="8"/>
        <v/>
      </c>
      <c r="T23" s="25" t="str">
        <f t="shared" si="9"/>
        <v/>
      </c>
      <c r="U23" s="364"/>
      <c r="BV23" s="20" t="str">
        <f>IF($A23="","",IFERROR(_xlfn.XLOOKUP("F-"&amp;$A23,'Feeder Schedule'!$B$5:$B$254,'Feeder Schedule'!$H$5:$H$254),""))</f>
        <v/>
      </c>
      <c r="BW23" s="20" t="str">
        <f>IF($A23="","",IFERROR(_xlfn.XLOOKUP("F-"&amp;$A23,'Feeder Schedule'!$B$5:$B$254,'Feeder Schedule'!$BV$5:$BV$254),""))</f>
        <v/>
      </c>
      <c r="BX23" s="20" t="str">
        <f>IF($A23="","",IFERROR(_xlfn.LET(_xlpm.v,_xlfn.XLOOKUP("F-"&amp;$A23,'Feeder Schedule'!$B$5:$B$254,'Feeder Schedule'!$M$5:$M$254),IF(OR(_xlpm.v="",_xlpm.v=0),Cfg_Conduit,_xlpm.v)),""))</f>
        <v/>
      </c>
      <c r="BY23" s="20" t="str">
        <f>IF($A23="","",IFERROR(_xlfn.XLOOKUP("F-"&amp;$A23,'Feeder Schedule'!$B$5:$B$254,'Feeder Schedule'!$O$5:$O$254),""))</f>
        <v/>
      </c>
      <c r="BZ23" s="20" t="str">
        <f>IF($A23="","",IFERROR(_xlfn.XLOOKUP("F-"&amp;$A23,'Feeder Schedule'!$B$5:$B$254,'Feeder Schedule'!$CH$5:$CH$254),""))</f>
        <v/>
      </c>
      <c r="CA23" s="20" t="str">
        <f>IF($A23="","",IFERROR(_xlfn.XLOOKUP("F-"&amp;$A23,'Feeder Schedule'!$B$5:$B$254,'Feeder Schedule'!$F$5:$F$254),""))</f>
        <v/>
      </c>
      <c r="CB23" s="20" t="str">
        <f>IF($A23="","",IFERROR(_xlfn.XLOOKUP("F-"&amp;$A23,'Feeder Schedule'!$B$5:$B$254,'Feeder Schedule'!$G$5:$G$254),""))</f>
        <v/>
      </c>
      <c r="CD23" s="20" t="str" cm="1">
        <f t="array" ref="CD23">IFERROR(IF($A23="","",INDEX(_xlfn.ANCHORARRAY($BK$4),ROW()-5,6)),"")</f>
        <v/>
      </c>
      <c r="CE23" s="20" t="str">
        <f t="shared" si="12"/>
        <v/>
      </c>
      <c r="CF23" s="20" t="str">
        <f t="shared" si="13"/>
        <v/>
      </c>
      <c r="CG23" s="20" t="str">
        <f t="shared" si="10"/>
        <v/>
      </c>
      <c r="CH23" s="20" t="str" cm="1">
        <f t="array" ref="CH23">IF(OR($A23="",$BZ23="",$BW23="",$BX23=""),"",_xlfn.LET(_xlpm.mag,IFERROR(_xlfn.XLOOKUP($BX23,Race_Raceway,Race_Mag),""),IF(_xlpm.mag="","",IFERROR(INDEX(Cond_Table,MATCH($BZ23,Cond_Size,0),IF(UPPER($BW23)="AL",IF(_xlpm.mag="Y",10,12),IF(_xlpm.mag="Y",9,11))),""))))</f>
        <v/>
      </c>
      <c r="CI23" s="20" t="str">
        <f t="shared" si="11"/>
        <v/>
      </c>
      <c r="CJ23" s="20" t="str">
        <f>IF(OR($A23="",LEFT($A23,2)&lt;&gt;"T-"),"",IFERROR(_xlfn.LET(_xlpm.fla,_xlfn.XLOOKUP($A23,Transformers!$A$6:$A$105,Transformers!$AK$6:$AK$105),_xlpm.z,_xlfn.XLOOKUP($A23,Transformers!$A$6:$A$105,Transformers!$AX$6:$AX$105),IF(OR(_xlpm.fla="",_xlpm.z="",_xlpm.z=0),"",_xlpm.fla*100/_xlpm.z)),""))</f>
        <v/>
      </c>
      <c r="CK23" s="20" t="str">
        <f t="shared" si="14"/>
        <v/>
      </c>
      <c r="CL23" s="20" t="str">
        <f t="shared" si="15"/>
        <v/>
      </c>
      <c r="CM23" s="373"/>
      <c r="CO23" s="20" t="str">
        <f>IF(OR($A23="",LEFT($A23,2)&lt;&gt;"T-"),"",_xlfn.LET(_xlpm.ph,IFERROR(_xlfn.XLOOKUP($A23,Transformers!$A$6:$A$105,Transformers!$C$6:$C$105),""),_xlpm.rr,IFERROR(_xlfn.XLOOKUP($A23,Transformers!$A$6:$A$105,Transformers!$AG$6:$AG$105),""),_xlpm.xx,IFERROR(_xlfn.XLOOKUP($A23,Transformers!$A$6:$A$105,Transformers!$AI$6:$AI$105),""),IF(OR(_xlpm.ph&lt;&gt;1,NOT(ISNUMBER(_xlpm.rr)),NOT(ISNUMBER(_xlpm.xx))),"",SQRT((1.5*_xlpm.rr)^2+(1.2*_xlpm.xx)^2))))</f>
        <v/>
      </c>
      <c r="CP23" s="20" t="str">
        <f t="shared" si="16"/>
        <v/>
      </c>
    </row>
    <row r="24" spans="1:94" ht="15" customHeight="1" x14ac:dyDescent="0.45">
      <c r="A24" s="275" t="str" cm="1">
        <f t="array" ref="A24">IFERROR(IF(INDEX(_xlfn.ANCHORARRAY($BK$4),ROW()-5,1)="","",INDEX(_xlfn.ANCHORARRAY($BK$4),ROW()-5,1)),"")</f>
        <v/>
      </c>
      <c r="B24" s="25" t="str" cm="1">
        <f t="array" ref="B24">IFERROR(IF($A24="","",INDEX(_xlfn.ANCHORARRAY($BK$4),ROW()-5,5)),"")</f>
        <v/>
      </c>
      <c r="C24" s="178" t="str" cm="1">
        <f t="array" ref="C24">IFERROR(IF($A24="","",INDEX(_xlfn.ANCHORARRAY($BK$4),ROW()-5,7)),"")</f>
        <v/>
      </c>
      <c r="D24" s="177" t="str" cm="1">
        <f t="array" ref="D24">IFERROR(IF($A24="","",INDEX(_xlfn.ANCHORARRAY($BK$4),ROW()-5,3)),"")</f>
        <v/>
      </c>
      <c r="E24" s="25" t="str" cm="1">
        <f t="array" ref="E24">IFERROR(IF($A24="","",INDEX(_xlfn.ANCHORARRAY($BK$4),ROW()-5,2)),"")</f>
        <v/>
      </c>
      <c r="F24" s="177" t="str">
        <f t="shared" si="0"/>
        <v/>
      </c>
      <c r="G24" s="275" t="str">
        <f t="shared" si="1"/>
        <v/>
      </c>
      <c r="H24" s="180" t="str">
        <f t="shared" si="2"/>
        <v/>
      </c>
      <c r="I24" s="180" t="str">
        <f t="shared" si="3"/>
        <v/>
      </c>
      <c r="J24" s="177" t="str">
        <f>_xlfn.LET(_xlpm.v,_xlfn.LET(_xlpm.base,IF($A24="","",IF($C24=0,IFERROR(_xlfn.XLOOKUP($A24,Util_Tags,Util_SCAEff),""),IF(LEFT($A24,2)="T-",IF($CJ24="","",$CJ24/(1+IF($CL24="",0,$CL24))),IF(OR($F24="",$I24=""),"",$F24*$I24)))),_xlpm.gtag,IF(OR($A24="",NOT(OR($B24="ATS",$B24="MTS"))),"",IFERROR(_xlfn.XLOOKUP($A24,Dashboard!$A$101:$A$350,Dashboard!$L$101:$L$350,"")&amp;"","")),_xlpm.gkva,IF(_xlpm.gtag="",0,IFERROR(N(_xlfn.XLOOKUP(_xlpm.gtag,Generator!$B$53:$B$58,Generator!$S$53:$S$58,0)),0)),_xlpm.gxd,IF(_xlpm.gtag="",0,IFERROR(N(_xlfn.XLOOKUP(_xlpm.gtag,Generator!$B$53:$B$58,Generator!$U$53:$U$58,0)),0)),_xlpm.gamp,IF(OR(_xlpm.gkva=0,_xlpm.gxd=0,N($D24)=0),0,ROUND(_xlpm.gkva*1000/(IF(N($CB24)=1,1,SQRT(3))*$D24*_xlpm.gxd),0)),IF(OR(_xlpm.gamp=0,NOT(ISNUMBER(_xlpm.base))),_xlpm.base,MAX(_xlpm.base,_xlpm.gamp))),_xlpm.ulim,IF(OR($A24="",$B24&lt;&gt;"UPS"),"",IFERROR(IF(_xlfn.XLOOKUP($A24,UPS!$B$57:$B$64,UPS!$E$57:$E$64,"")="None",_xlfn.XLOOKUP($A24,UPS!$B$57:$B$64,UPS!$U$57:$U$64,""),""),"")),IF(AND(ISNUMBER(_xlpm.v),ISNUMBER(_xlpm.ulim)),MIN(_xlpm.v,_xlpm.ulim),_xlpm.v))</f>
        <v/>
      </c>
      <c r="K24" s="176"/>
      <c r="L24" s="177" t="str">
        <f t="shared" si="4"/>
        <v/>
      </c>
      <c r="M24" s="177" t="str">
        <f t="shared" si="5"/>
        <v/>
      </c>
      <c r="N24" s="380" t="str">
        <f>IF($A24="","",IF($C24=0,_xlfn.LET(_xlpm.x,IFERROR(_xlfn.XLOOKUP($A24,Util_Tags,Util_XR),""),IF(N(_xlpm.x)=0,Xfmr_DefXR,_xlpm.x)),IF(LEFT($A24,2)="T-",IFERROR(_xlfn.XLOOKUP($A24,Transformers!$A$6:$A$105,Transformers!$AH$6:$AH$105),Xfmr_DefXR),IFERROR(_xlfn.XLOOKUP($E24,$A$6:$A$255,$N$6:$N$255),Xfmr_DefXR))))</f>
        <v/>
      </c>
      <c r="O24" s="177" t="str">
        <f t="shared" si="6"/>
        <v/>
      </c>
      <c r="P24" s="210" t="str">
        <f>IF($A24="","",IF(LEFT($A24,2)="T-",IF($CO24="","",_xlfn.LET(_xlpm.k,IFERROR(_xlfn.XLOOKUP($A24,Transformers!$A$6:$A$105,Transformers!$G$6:$G$105),""),_xlpm.sv,IFERROR(_xlfn.XLOOKUP($A24,Transformers!$A$6:$A$105,Transformers!$E$6:$E$105),""),IF(OR(NOT(ISNUMBER(_xlpm.k)),NOT(ISNUMBER(_xlpm.sv)),_xlpm.sv=0),"",_xlfn.LET(_xlpm.iInf,(_xlpm.k*1000/(_xlpm.sv/2))*100/$CO24,_xlpm.pri,IF(OR($CK24="",$CK24=0),"",$CK24/2),_xlpm.base,IF(_xlpm.pri="",_xlpm.iInf,_xlpm.iInf/(1+_xlpm.iInf/_xlpm.pri)),_xlpm.base+IF($L24="",0,$L24))))),IF($CP24="","",_xlfn.LET(_xlpm.pI,IFERROR(_xlfn.XLOOKUP($E24,$A$6:$A$255,$P$6:$P$255),""),IF(NOT(ISNUMBER(_xlpm.pI)),"",_xlpm.pI/(1+$CP24)+IF($L24="",0,$L24))))))</f>
        <v/>
      </c>
      <c r="Q24" s="210" t="str">
        <f t="shared" si="7"/>
        <v/>
      </c>
      <c r="R24" s="177" t="str">
        <f>IF($A24="","",IF(OR($C24=0,LEFT($A24,2)="T-"),"",IFERROR(_xlfn.LET(_xlpm.v,_xlfn.XLOOKUP($A24,Dashboard!$A$101:$A$350,Dashboard!$K$101:$K$350),IF(ISNUMBER(_xlpm.v),_xlpm.v,"")),"")))</f>
        <v/>
      </c>
      <c r="S24" s="211" t="str">
        <f t="shared" si="8"/>
        <v/>
      </c>
      <c r="T24" s="25" t="str">
        <f t="shared" si="9"/>
        <v/>
      </c>
      <c r="U24" s="364"/>
      <c r="BV24" s="20" t="str">
        <f>IF($A24="","",IFERROR(_xlfn.XLOOKUP("F-"&amp;$A24,'Feeder Schedule'!$B$5:$B$254,'Feeder Schedule'!$H$5:$H$254),""))</f>
        <v/>
      </c>
      <c r="BW24" s="20" t="str">
        <f>IF($A24="","",IFERROR(_xlfn.XLOOKUP("F-"&amp;$A24,'Feeder Schedule'!$B$5:$B$254,'Feeder Schedule'!$BV$5:$BV$254),""))</f>
        <v/>
      </c>
      <c r="BX24" s="20" t="str">
        <f>IF($A24="","",IFERROR(_xlfn.LET(_xlpm.v,_xlfn.XLOOKUP("F-"&amp;$A24,'Feeder Schedule'!$B$5:$B$254,'Feeder Schedule'!$M$5:$M$254),IF(OR(_xlpm.v="",_xlpm.v=0),Cfg_Conduit,_xlpm.v)),""))</f>
        <v/>
      </c>
      <c r="BY24" s="20" t="str">
        <f>IF($A24="","",IFERROR(_xlfn.XLOOKUP("F-"&amp;$A24,'Feeder Schedule'!$B$5:$B$254,'Feeder Schedule'!$O$5:$O$254),""))</f>
        <v/>
      </c>
      <c r="BZ24" s="20" t="str">
        <f>IF($A24="","",IFERROR(_xlfn.XLOOKUP("F-"&amp;$A24,'Feeder Schedule'!$B$5:$B$254,'Feeder Schedule'!$CH$5:$CH$254),""))</f>
        <v/>
      </c>
      <c r="CA24" s="20" t="str">
        <f>IF($A24="","",IFERROR(_xlfn.XLOOKUP("F-"&amp;$A24,'Feeder Schedule'!$B$5:$B$254,'Feeder Schedule'!$F$5:$F$254),""))</f>
        <v/>
      </c>
      <c r="CB24" s="20" t="str">
        <f>IF($A24="","",IFERROR(_xlfn.XLOOKUP("F-"&amp;$A24,'Feeder Schedule'!$B$5:$B$254,'Feeder Schedule'!$G$5:$G$254),""))</f>
        <v/>
      </c>
      <c r="CD24" s="20" t="str" cm="1">
        <f t="array" ref="CD24">IFERROR(IF($A24="","",INDEX(_xlfn.ANCHORARRAY($BK$4),ROW()-5,6)),"")</f>
        <v/>
      </c>
      <c r="CE24" s="20" t="str">
        <f t="shared" si="12"/>
        <v/>
      </c>
      <c r="CF24" s="20" t="str">
        <f t="shared" si="13"/>
        <v/>
      </c>
      <c r="CG24" s="20" t="str">
        <f t="shared" si="10"/>
        <v/>
      </c>
      <c r="CH24" s="20" t="str" cm="1">
        <f t="array" ref="CH24">IF(OR($A24="",$BZ24="",$BW24="",$BX24=""),"",_xlfn.LET(_xlpm.mag,IFERROR(_xlfn.XLOOKUP($BX24,Race_Raceway,Race_Mag),""),IF(_xlpm.mag="","",IFERROR(INDEX(Cond_Table,MATCH($BZ24,Cond_Size,0),IF(UPPER($BW24)="AL",IF(_xlpm.mag="Y",10,12),IF(_xlpm.mag="Y",9,11))),""))))</f>
        <v/>
      </c>
      <c r="CI24" s="20" t="str">
        <f t="shared" si="11"/>
        <v/>
      </c>
      <c r="CJ24" s="20" t="str">
        <f>IF(OR($A24="",LEFT($A24,2)&lt;&gt;"T-"),"",IFERROR(_xlfn.LET(_xlpm.fla,_xlfn.XLOOKUP($A24,Transformers!$A$6:$A$105,Transformers!$AK$6:$AK$105),_xlpm.z,_xlfn.XLOOKUP($A24,Transformers!$A$6:$A$105,Transformers!$AX$6:$AX$105),IF(OR(_xlpm.fla="",_xlpm.z="",_xlpm.z=0),"",_xlpm.fla*100/_xlpm.z)),""))</f>
        <v/>
      </c>
      <c r="CK24" s="20" t="str">
        <f t="shared" si="14"/>
        <v/>
      </c>
      <c r="CL24" s="20" t="str">
        <f t="shared" si="15"/>
        <v/>
      </c>
      <c r="CM24" s="373"/>
      <c r="CO24" s="20" t="str">
        <f>IF(OR($A24="",LEFT($A24,2)&lt;&gt;"T-"),"",_xlfn.LET(_xlpm.ph,IFERROR(_xlfn.XLOOKUP($A24,Transformers!$A$6:$A$105,Transformers!$C$6:$C$105),""),_xlpm.rr,IFERROR(_xlfn.XLOOKUP($A24,Transformers!$A$6:$A$105,Transformers!$AG$6:$AG$105),""),_xlpm.xx,IFERROR(_xlfn.XLOOKUP($A24,Transformers!$A$6:$A$105,Transformers!$AI$6:$AI$105),""),IF(OR(_xlpm.ph&lt;&gt;1,NOT(ISNUMBER(_xlpm.rr)),NOT(ISNUMBER(_xlpm.xx))),"",SQRT((1.5*_xlpm.rr)^2+(1.2*_xlpm.xx)^2))))</f>
        <v/>
      </c>
      <c r="CP24" s="20" t="str">
        <f t="shared" si="16"/>
        <v/>
      </c>
    </row>
    <row r="25" spans="1:94" ht="15" customHeight="1" x14ac:dyDescent="0.45">
      <c r="A25" s="275" t="str" cm="1">
        <f t="array" ref="A25">IFERROR(IF(INDEX(_xlfn.ANCHORARRAY($BK$4),ROW()-5,1)="","",INDEX(_xlfn.ANCHORARRAY($BK$4),ROW()-5,1)),"")</f>
        <v/>
      </c>
      <c r="B25" s="25" t="str" cm="1">
        <f t="array" ref="B25">IFERROR(IF($A25="","",INDEX(_xlfn.ANCHORARRAY($BK$4),ROW()-5,5)),"")</f>
        <v/>
      </c>
      <c r="C25" s="178" t="str" cm="1">
        <f t="array" ref="C25">IFERROR(IF($A25="","",INDEX(_xlfn.ANCHORARRAY($BK$4),ROW()-5,7)),"")</f>
        <v/>
      </c>
      <c r="D25" s="177" t="str" cm="1">
        <f t="array" ref="D25">IFERROR(IF($A25="","",INDEX(_xlfn.ANCHORARRAY($BK$4),ROW()-5,3)),"")</f>
        <v/>
      </c>
      <c r="E25" s="25" t="str" cm="1">
        <f t="array" ref="E25">IFERROR(IF($A25="","",INDEX(_xlfn.ANCHORARRAY($BK$4),ROW()-5,2)),"")</f>
        <v/>
      </c>
      <c r="F25" s="177" t="str">
        <f t="shared" si="0"/>
        <v/>
      </c>
      <c r="G25" s="275" t="str">
        <f t="shared" si="1"/>
        <v/>
      </c>
      <c r="H25" s="180" t="str">
        <f t="shared" si="2"/>
        <v/>
      </c>
      <c r="I25" s="180" t="str">
        <f t="shared" si="3"/>
        <v/>
      </c>
      <c r="J25" s="177" t="str">
        <f>_xlfn.LET(_xlpm.v,_xlfn.LET(_xlpm.base,IF($A25="","",IF($C25=0,IFERROR(_xlfn.XLOOKUP($A25,Util_Tags,Util_SCAEff),""),IF(LEFT($A25,2)="T-",IF($CJ25="","",$CJ25/(1+IF($CL25="",0,$CL25))),IF(OR($F25="",$I25=""),"",$F25*$I25)))),_xlpm.gtag,IF(OR($A25="",NOT(OR($B25="ATS",$B25="MTS"))),"",IFERROR(_xlfn.XLOOKUP($A25,Dashboard!$A$101:$A$350,Dashboard!$L$101:$L$350,"")&amp;"","")),_xlpm.gkva,IF(_xlpm.gtag="",0,IFERROR(N(_xlfn.XLOOKUP(_xlpm.gtag,Generator!$B$53:$B$58,Generator!$S$53:$S$58,0)),0)),_xlpm.gxd,IF(_xlpm.gtag="",0,IFERROR(N(_xlfn.XLOOKUP(_xlpm.gtag,Generator!$B$53:$B$58,Generator!$U$53:$U$58,0)),0)),_xlpm.gamp,IF(OR(_xlpm.gkva=0,_xlpm.gxd=0,N($D25)=0),0,ROUND(_xlpm.gkva*1000/(IF(N($CB25)=1,1,SQRT(3))*$D25*_xlpm.gxd),0)),IF(OR(_xlpm.gamp=0,NOT(ISNUMBER(_xlpm.base))),_xlpm.base,MAX(_xlpm.base,_xlpm.gamp))),_xlpm.ulim,IF(OR($A25="",$B25&lt;&gt;"UPS"),"",IFERROR(IF(_xlfn.XLOOKUP($A25,UPS!$B$57:$B$64,UPS!$E$57:$E$64,"")="None",_xlfn.XLOOKUP($A25,UPS!$B$57:$B$64,UPS!$U$57:$U$64,""),""),"")),IF(AND(ISNUMBER(_xlpm.v),ISNUMBER(_xlpm.ulim)),MIN(_xlpm.v,_xlpm.ulim),_xlpm.v))</f>
        <v/>
      </c>
      <c r="K25" s="176"/>
      <c r="L25" s="177" t="str">
        <f t="shared" si="4"/>
        <v/>
      </c>
      <c r="M25" s="177" t="str">
        <f t="shared" si="5"/>
        <v/>
      </c>
      <c r="N25" s="380" t="str">
        <f>IF($A25="","",IF($C25=0,_xlfn.LET(_xlpm.x,IFERROR(_xlfn.XLOOKUP($A25,Util_Tags,Util_XR),""),IF(N(_xlpm.x)=0,Xfmr_DefXR,_xlpm.x)),IF(LEFT($A25,2)="T-",IFERROR(_xlfn.XLOOKUP($A25,Transformers!$A$6:$A$105,Transformers!$AH$6:$AH$105),Xfmr_DefXR),IFERROR(_xlfn.XLOOKUP($E25,$A$6:$A$255,$N$6:$N$255),Xfmr_DefXR))))</f>
        <v/>
      </c>
      <c r="O25" s="177" t="str">
        <f t="shared" si="6"/>
        <v/>
      </c>
      <c r="P25" s="210" t="str">
        <f>IF($A25="","",IF(LEFT($A25,2)="T-",IF($CO25="","",_xlfn.LET(_xlpm.k,IFERROR(_xlfn.XLOOKUP($A25,Transformers!$A$6:$A$105,Transformers!$G$6:$G$105),""),_xlpm.sv,IFERROR(_xlfn.XLOOKUP($A25,Transformers!$A$6:$A$105,Transformers!$E$6:$E$105),""),IF(OR(NOT(ISNUMBER(_xlpm.k)),NOT(ISNUMBER(_xlpm.sv)),_xlpm.sv=0),"",_xlfn.LET(_xlpm.iInf,(_xlpm.k*1000/(_xlpm.sv/2))*100/$CO25,_xlpm.pri,IF(OR($CK25="",$CK25=0),"",$CK25/2),_xlpm.base,IF(_xlpm.pri="",_xlpm.iInf,_xlpm.iInf/(1+_xlpm.iInf/_xlpm.pri)),_xlpm.base+IF($L25="",0,$L25))))),IF($CP25="","",_xlfn.LET(_xlpm.pI,IFERROR(_xlfn.XLOOKUP($E25,$A$6:$A$255,$P$6:$P$255),""),IF(NOT(ISNUMBER(_xlpm.pI)),"",_xlpm.pI/(1+$CP25)+IF($L25="",0,$L25))))))</f>
        <v/>
      </c>
      <c r="Q25" s="210" t="str">
        <f t="shared" si="7"/>
        <v/>
      </c>
      <c r="R25" s="177" t="str">
        <f>IF($A25="","",IF(OR($C25=0,LEFT($A25,2)="T-"),"",IFERROR(_xlfn.LET(_xlpm.v,_xlfn.XLOOKUP($A25,Dashboard!$A$101:$A$350,Dashboard!$K$101:$K$350),IF(ISNUMBER(_xlpm.v),_xlpm.v,"")),"")))</f>
        <v/>
      </c>
      <c r="S25" s="211" t="str">
        <f t="shared" si="8"/>
        <v/>
      </c>
      <c r="T25" s="25" t="str">
        <f t="shared" si="9"/>
        <v/>
      </c>
      <c r="U25" s="364"/>
      <c r="BV25" s="20" t="str">
        <f>IF($A25="","",IFERROR(_xlfn.XLOOKUP("F-"&amp;$A25,'Feeder Schedule'!$B$5:$B$254,'Feeder Schedule'!$H$5:$H$254),""))</f>
        <v/>
      </c>
      <c r="BW25" s="20" t="str">
        <f>IF($A25="","",IFERROR(_xlfn.XLOOKUP("F-"&amp;$A25,'Feeder Schedule'!$B$5:$B$254,'Feeder Schedule'!$BV$5:$BV$254),""))</f>
        <v/>
      </c>
      <c r="BX25" s="20" t="str">
        <f>IF($A25="","",IFERROR(_xlfn.LET(_xlpm.v,_xlfn.XLOOKUP("F-"&amp;$A25,'Feeder Schedule'!$B$5:$B$254,'Feeder Schedule'!$M$5:$M$254),IF(OR(_xlpm.v="",_xlpm.v=0),Cfg_Conduit,_xlpm.v)),""))</f>
        <v/>
      </c>
      <c r="BY25" s="20" t="str">
        <f>IF($A25="","",IFERROR(_xlfn.XLOOKUP("F-"&amp;$A25,'Feeder Schedule'!$B$5:$B$254,'Feeder Schedule'!$O$5:$O$254),""))</f>
        <v/>
      </c>
      <c r="BZ25" s="20" t="str">
        <f>IF($A25="","",IFERROR(_xlfn.XLOOKUP("F-"&amp;$A25,'Feeder Schedule'!$B$5:$B$254,'Feeder Schedule'!$CH$5:$CH$254),""))</f>
        <v/>
      </c>
      <c r="CA25" s="20" t="str">
        <f>IF($A25="","",IFERROR(_xlfn.XLOOKUP("F-"&amp;$A25,'Feeder Schedule'!$B$5:$B$254,'Feeder Schedule'!$F$5:$F$254),""))</f>
        <v/>
      </c>
      <c r="CB25" s="20" t="str">
        <f>IF($A25="","",IFERROR(_xlfn.XLOOKUP("F-"&amp;$A25,'Feeder Schedule'!$B$5:$B$254,'Feeder Schedule'!$G$5:$G$254),""))</f>
        <v/>
      </c>
      <c r="CD25" s="20" t="str" cm="1">
        <f t="array" ref="CD25">IFERROR(IF($A25="","",INDEX(_xlfn.ANCHORARRAY($BK$4),ROW()-5,6)),"")</f>
        <v/>
      </c>
      <c r="CE25" s="20" t="str">
        <f t="shared" si="12"/>
        <v/>
      </c>
      <c r="CF25" s="20" t="str">
        <f t="shared" si="13"/>
        <v/>
      </c>
      <c r="CG25" s="20" t="str">
        <f t="shared" si="10"/>
        <v/>
      </c>
      <c r="CH25" s="20" t="str" cm="1">
        <f t="array" ref="CH25">IF(OR($A25="",$BZ25="",$BW25="",$BX25=""),"",_xlfn.LET(_xlpm.mag,IFERROR(_xlfn.XLOOKUP($BX25,Race_Raceway,Race_Mag),""),IF(_xlpm.mag="","",IFERROR(INDEX(Cond_Table,MATCH($BZ25,Cond_Size,0),IF(UPPER($BW25)="AL",IF(_xlpm.mag="Y",10,12),IF(_xlpm.mag="Y",9,11))),""))))</f>
        <v/>
      </c>
      <c r="CI25" s="20" t="str">
        <f t="shared" si="11"/>
        <v/>
      </c>
      <c r="CJ25" s="20" t="str">
        <f>IF(OR($A25="",LEFT($A25,2)&lt;&gt;"T-"),"",IFERROR(_xlfn.LET(_xlpm.fla,_xlfn.XLOOKUP($A25,Transformers!$A$6:$A$105,Transformers!$AK$6:$AK$105),_xlpm.z,_xlfn.XLOOKUP($A25,Transformers!$A$6:$A$105,Transformers!$AX$6:$AX$105),IF(OR(_xlpm.fla="",_xlpm.z="",_xlpm.z=0),"",_xlpm.fla*100/_xlpm.z)),""))</f>
        <v/>
      </c>
      <c r="CK25" s="20" t="str">
        <f t="shared" si="14"/>
        <v/>
      </c>
      <c r="CL25" s="20" t="str">
        <f t="shared" si="15"/>
        <v/>
      </c>
      <c r="CM25" s="373"/>
      <c r="CO25" s="20" t="str">
        <f>IF(OR($A25="",LEFT($A25,2)&lt;&gt;"T-"),"",_xlfn.LET(_xlpm.ph,IFERROR(_xlfn.XLOOKUP($A25,Transformers!$A$6:$A$105,Transformers!$C$6:$C$105),""),_xlpm.rr,IFERROR(_xlfn.XLOOKUP($A25,Transformers!$A$6:$A$105,Transformers!$AG$6:$AG$105),""),_xlpm.xx,IFERROR(_xlfn.XLOOKUP($A25,Transformers!$A$6:$A$105,Transformers!$AI$6:$AI$105),""),IF(OR(_xlpm.ph&lt;&gt;1,NOT(ISNUMBER(_xlpm.rr)),NOT(ISNUMBER(_xlpm.xx))),"",SQRT((1.5*_xlpm.rr)^2+(1.2*_xlpm.xx)^2))))</f>
        <v/>
      </c>
      <c r="CP25" s="20" t="str">
        <f t="shared" si="16"/>
        <v/>
      </c>
    </row>
    <row r="26" spans="1:94" ht="15" customHeight="1" x14ac:dyDescent="0.45">
      <c r="A26" s="275" t="str" cm="1">
        <f t="array" ref="A26">IFERROR(IF(INDEX(_xlfn.ANCHORARRAY($BK$4),ROW()-5,1)="","",INDEX(_xlfn.ANCHORARRAY($BK$4),ROW()-5,1)),"")</f>
        <v/>
      </c>
      <c r="B26" s="25" t="str" cm="1">
        <f t="array" ref="B26">IFERROR(IF($A26="","",INDEX(_xlfn.ANCHORARRAY($BK$4),ROW()-5,5)),"")</f>
        <v/>
      </c>
      <c r="C26" s="178" t="str" cm="1">
        <f t="array" ref="C26">IFERROR(IF($A26="","",INDEX(_xlfn.ANCHORARRAY($BK$4),ROW()-5,7)),"")</f>
        <v/>
      </c>
      <c r="D26" s="177" t="str" cm="1">
        <f t="array" ref="D26">IFERROR(IF($A26="","",INDEX(_xlfn.ANCHORARRAY($BK$4),ROW()-5,3)),"")</f>
        <v/>
      </c>
      <c r="E26" s="25" t="str" cm="1">
        <f t="array" ref="E26">IFERROR(IF($A26="","",INDEX(_xlfn.ANCHORARRAY($BK$4),ROW()-5,2)),"")</f>
        <v/>
      </c>
      <c r="F26" s="177" t="str">
        <f t="shared" si="0"/>
        <v/>
      </c>
      <c r="G26" s="275" t="str">
        <f t="shared" si="1"/>
        <v/>
      </c>
      <c r="H26" s="180" t="str">
        <f t="shared" si="2"/>
        <v/>
      </c>
      <c r="I26" s="180" t="str">
        <f t="shared" si="3"/>
        <v/>
      </c>
      <c r="J26" s="177" t="str">
        <f>_xlfn.LET(_xlpm.v,_xlfn.LET(_xlpm.base,IF($A26="","",IF($C26=0,IFERROR(_xlfn.XLOOKUP($A26,Util_Tags,Util_SCAEff),""),IF(LEFT($A26,2)="T-",IF($CJ26="","",$CJ26/(1+IF($CL26="",0,$CL26))),IF(OR($F26="",$I26=""),"",$F26*$I26)))),_xlpm.gtag,IF(OR($A26="",NOT(OR($B26="ATS",$B26="MTS"))),"",IFERROR(_xlfn.XLOOKUP($A26,Dashboard!$A$101:$A$350,Dashboard!$L$101:$L$350,"")&amp;"","")),_xlpm.gkva,IF(_xlpm.gtag="",0,IFERROR(N(_xlfn.XLOOKUP(_xlpm.gtag,Generator!$B$53:$B$58,Generator!$S$53:$S$58,0)),0)),_xlpm.gxd,IF(_xlpm.gtag="",0,IFERROR(N(_xlfn.XLOOKUP(_xlpm.gtag,Generator!$B$53:$B$58,Generator!$U$53:$U$58,0)),0)),_xlpm.gamp,IF(OR(_xlpm.gkva=0,_xlpm.gxd=0,N($D26)=0),0,ROUND(_xlpm.gkva*1000/(IF(N($CB26)=1,1,SQRT(3))*$D26*_xlpm.gxd),0)),IF(OR(_xlpm.gamp=0,NOT(ISNUMBER(_xlpm.base))),_xlpm.base,MAX(_xlpm.base,_xlpm.gamp))),_xlpm.ulim,IF(OR($A26="",$B26&lt;&gt;"UPS"),"",IFERROR(IF(_xlfn.XLOOKUP($A26,UPS!$B$57:$B$64,UPS!$E$57:$E$64,"")="None",_xlfn.XLOOKUP($A26,UPS!$B$57:$B$64,UPS!$U$57:$U$64,""),""),"")),IF(AND(ISNUMBER(_xlpm.v),ISNUMBER(_xlpm.ulim)),MIN(_xlpm.v,_xlpm.ulim),_xlpm.v))</f>
        <v/>
      </c>
      <c r="K26" s="176"/>
      <c r="L26" s="177" t="str">
        <f t="shared" si="4"/>
        <v/>
      </c>
      <c r="M26" s="177" t="str">
        <f t="shared" si="5"/>
        <v/>
      </c>
      <c r="N26" s="380" t="str">
        <f>IF($A26="","",IF($C26=0,_xlfn.LET(_xlpm.x,IFERROR(_xlfn.XLOOKUP($A26,Util_Tags,Util_XR),""),IF(N(_xlpm.x)=0,Xfmr_DefXR,_xlpm.x)),IF(LEFT($A26,2)="T-",IFERROR(_xlfn.XLOOKUP($A26,Transformers!$A$6:$A$105,Transformers!$AH$6:$AH$105),Xfmr_DefXR),IFERROR(_xlfn.XLOOKUP($E26,$A$6:$A$255,$N$6:$N$255),Xfmr_DefXR))))</f>
        <v/>
      </c>
      <c r="O26" s="177" t="str">
        <f t="shared" si="6"/>
        <v/>
      </c>
      <c r="P26" s="210" t="str">
        <f>IF($A26="","",IF(LEFT($A26,2)="T-",IF($CO26="","",_xlfn.LET(_xlpm.k,IFERROR(_xlfn.XLOOKUP($A26,Transformers!$A$6:$A$105,Transformers!$G$6:$G$105),""),_xlpm.sv,IFERROR(_xlfn.XLOOKUP($A26,Transformers!$A$6:$A$105,Transformers!$E$6:$E$105),""),IF(OR(NOT(ISNUMBER(_xlpm.k)),NOT(ISNUMBER(_xlpm.sv)),_xlpm.sv=0),"",_xlfn.LET(_xlpm.iInf,(_xlpm.k*1000/(_xlpm.sv/2))*100/$CO26,_xlpm.pri,IF(OR($CK26="",$CK26=0),"",$CK26/2),_xlpm.base,IF(_xlpm.pri="",_xlpm.iInf,_xlpm.iInf/(1+_xlpm.iInf/_xlpm.pri)),_xlpm.base+IF($L26="",0,$L26))))),IF($CP26="","",_xlfn.LET(_xlpm.pI,IFERROR(_xlfn.XLOOKUP($E26,$A$6:$A$255,$P$6:$P$255),""),IF(NOT(ISNUMBER(_xlpm.pI)),"",_xlpm.pI/(1+$CP26)+IF($L26="",0,$L26))))))</f>
        <v/>
      </c>
      <c r="Q26" s="210" t="str">
        <f t="shared" si="7"/>
        <v/>
      </c>
      <c r="R26" s="177" t="str">
        <f>IF($A26="","",IF(OR($C26=0,LEFT($A26,2)="T-"),"",IFERROR(_xlfn.LET(_xlpm.v,_xlfn.XLOOKUP($A26,Dashboard!$A$101:$A$350,Dashboard!$K$101:$K$350),IF(ISNUMBER(_xlpm.v),_xlpm.v,"")),"")))</f>
        <v/>
      </c>
      <c r="S26" s="211" t="str">
        <f t="shared" si="8"/>
        <v/>
      </c>
      <c r="T26" s="25" t="str">
        <f t="shared" si="9"/>
        <v/>
      </c>
      <c r="U26" s="364"/>
      <c r="BV26" s="20" t="str">
        <f>IF($A26="","",IFERROR(_xlfn.XLOOKUP("F-"&amp;$A26,'Feeder Schedule'!$B$5:$B$254,'Feeder Schedule'!$H$5:$H$254),""))</f>
        <v/>
      </c>
      <c r="BW26" s="20" t="str">
        <f>IF($A26="","",IFERROR(_xlfn.XLOOKUP("F-"&amp;$A26,'Feeder Schedule'!$B$5:$B$254,'Feeder Schedule'!$BV$5:$BV$254),""))</f>
        <v/>
      </c>
      <c r="BX26" s="20" t="str">
        <f>IF($A26="","",IFERROR(_xlfn.LET(_xlpm.v,_xlfn.XLOOKUP("F-"&amp;$A26,'Feeder Schedule'!$B$5:$B$254,'Feeder Schedule'!$M$5:$M$254),IF(OR(_xlpm.v="",_xlpm.v=0),Cfg_Conduit,_xlpm.v)),""))</f>
        <v/>
      </c>
      <c r="BY26" s="20" t="str">
        <f>IF($A26="","",IFERROR(_xlfn.XLOOKUP("F-"&amp;$A26,'Feeder Schedule'!$B$5:$B$254,'Feeder Schedule'!$O$5:$O$254),""))</f>
        <v/>
      </c>
      <c r="BZ26" s="20" t="str">
        <f>IF($A26="","",IFERROR(_xlfn.XLOOKUP("F-"&amp;$A26,'Feeder Schedule'!$B$5:$B$254,'Feeder Schedule'!$CH$5:$CH$254),""))</f>
        <v/>
      </c>
      <c r="CA26" s="20" t="str">
        <f>IF($A26="","",IFERROR(_xlfn.XLOOKUP("F-"&amp;$A26,'Feeder Schedule'!$B$5:$B$254,'Feeder Schedule'!$F$5:$F$254),""))</f>
        <v/>
      </c>
      <c r="CB26" s="20" t="str">
        <f>IF($A26="","",IFERROR(_xlfn.XLOOKUP("F-"&amp;$A26,'Feeder Schedule'!$B$5:$B$254,'Feeder Schedule'!$G$5:$G$254),""))</f>
        <v/>
      </c>
      <c r="CD26" s="20" t="str" cm="1">
        <f t="array" ref="CD26">IFERROR(IF($A26="","",INDEX(_xlfn.ANCHORARRAY($BK$4),ROW()-5,6)),"")</f>
        <v/>
      </c>
      <c r="CE26" s="20" t="str">
        <f t="shared" si="12"/>
        <v/>
      </c>
      <c r="CF26" s="20" t="str">
        <f t="shared" si="13"/>
        <v/>
      </c>
      <c r="CG26" s="20" t="str">
        <f t="shared" si="10"/>
        <v/>
      </c>
      <c r="CH26" s="20" t="str" cm="1">
        <f t="array" ref="CH26">IF(OR($A26="",$BZ26="",$BW26="",$BX26=""),"",_xlfn.LET(_xlpm.mag,IFERROR(_xlfn.XLOOKUP($BX26,Race_Raceway,Race_Mag),""),IF(_xlpm.mag="","",IFERROR(INDEX(Cond_Table,MATCH($BZ26,Cond_Size,0),IF(UPPER($BW26)="AL",IF(_xlpm.mag="Y",10,12),IF(_xlpm.mag="Y",9,11))),""))))</f>
        <v/>
      </c>
      <c r="CI26" s="20" t="str">
        <f t="shared" si="11"/>
        <v/>
      </c>
      <c r="CJ26" s="20" t="str">
        <f>IF(OR($A26="",LEFT($A26,2)&lt;&gt;"T-"),"",IFERROR(_xlfn.LET(_xlpm.fla,_xlfn.XLOOKUP($A26,Transformers!$A$6:$A$105,Transformers!$AK$6:$AK$105),_xlpm.z,_xlfn.XLOOKUP($A26,Transformers!$A$6:$A$105,Transformers!$AX$6:$AX$105),IF(OR(_xlpm.fla="",_xlpm.z="",_xlpm.z=0),"",_xlpm.fla*100/_xlpm.z)),""))</f>
        <v/>
      </c>
      <c r="CK26" s="20" t="str">
        <f t="shared" si="14"/>
        <v/>
      </c>
      <c r="CL26" s="20" t="str">
        <f t="shared" si="15"/>
        <v/>
      </c>
      <c r="CM26" s="373"/>
      <c r="CO26" s="20" t="str">
        <f>IF(OR($A26="",LEFT($A26,2)&lt;&gt;"T-"),"",_xlfn.LET(_xlpm.ph,IFERROR(_xlfn.XLOOKUP($A26,Transformers!$A$6:$A$105,Transformers!$C$6:$C$105),""),_xlpm.rr,IFERROR(_xlfn.XLOOKUP($A26,Transformers!$A$6:$A$105,Transformers!$AG$6:$AG$105),""),_xlpm.xx,IFERROR(_xlfn.XLOOKUP($A26,Transformers!$A$6:$A$105,Transformers!$AI$6:$AI$105),""),IF(OR(_xlpm.ph&lt;&gt;1,NOT(ISNUMBER(_xlpm.rr)),NOT(ISNUMBER(_xlpm.xx))),"",SQRT((1.5*_xlpm.rr)^2+(1.2*_xlpm.xx)^2))))</f>
        <v/>
      </c>
      <c r="CP26" s="20" t="str">
        <f t="shared" si="16"/>
        <v/>
      </c>
    </row>
    <row r="27" spans="1:94" ht="15" customHeight="1" x14ac:dyDescent="0.45">
      <c r="A27" s="275" t="str" cm="1">
        <f t="array" ref="A27">IFERROR(IF(INDEX(_xlfn.ANCHORARRAY($BK$4),ROW()-5,1)="","",INDEX(_xlfn.ANCHORARRAY($BK$4),ROW()-5,1)),"")</f>
        <v/>
      </c>
      <c r="B27" s="25" t="str" cm="1">
        <f t="array" ref="B27">IFERROR(IF($A27="","",INDEX(_xlfn.ANCHORARRAY($BK$4),ROW()-5,5)),"")</f>
        <v/>
      </c>
      <c r="C27" s="178" t="str" cm="1">
        <f t="array" ref="C27">IFERROR(IF($A27="","",INDEX(_xlfn.ANCHORARRAY($BK$4),ROW()-5,7)),"")</f>
        <v/>
      </c>
      <c r="D27" s="177" t="str" cm="1">
        <f t="array" ref="D27">IFERROR(IF($A27="","",INDEX(_xlfn.ANCHORARRAY($BK$4),ROW()-5,3)),"")</f>
        <v/>
      </c>
      <c r="E27" s="25" t="str" cm="1">
        <f t="array" ref="E27">IFERROR(IF($A27="","",INDEX(_xlfn.ANCHORARRAY($BK$4),ROW()-5,2)),"")</f>
        <v/>
      </c>
      <c r="F27" s="177" t="str">
        <f t="shared" si="0"/>
        <v/>
      </c>
      <c r="G27" s="275" t="str">
        <f t="shared" si="1"/>
        <v/>
      </c>
      <c r="H27" s="180" t="str">
        <f t="shared" si="2"/>
        <v/>
      </c>
      <c r="I27" s="180" t="str">
        <f t="shared" si="3"/>
        <v/>
      </c>
      <c r="J27" s="177" t="str">
        <f>_xlfn.LET(_xlpm.v,_xlfn.LET(_xlpm.base,IF($A27="","",IF($C27=0,IFERROR(_xlfn.XLOOKUP($A27,Util_Tags,Util_SCAEff),""),IF(LEFT($A27,2)="T-",IF($CJ27="","",$CJ27/(1+IF($CL27="",0,$CL27))),IF(OR($F27="",$I27=""),"",$F27*$I27)))),_xlpm.gtag,IF(OR($A27="",NOT(OR($B27="ATS",$B27="MTS"))),"",IFERROR(_xlfn.XLOOKUP($A27,Dashboard!$A$101:$A$350,Dashboard!$L$101:$L$350,"")&amp;"","")),_xlpm.gkva,IF(_xlpm.gtag="",0,IFERROR(N(_xlfn.XLOOKUP(_xlpm.gtag,Generator!$B$53:$B$58,Generator!$S$53:$S$58,0)),0)),_xlpm.gxd,IF(_xlpm.gtag="",0,IFERROR(N(_xlfn.XLOOKUP(_xlpm.gtag,Generator!$B$53:$B$58,Generator!$U$53:$U$58,0)),0)),_xlpm.gamp,IF(OR(_xlpm.gkva=0,_xlpm.gxd=0,N($D27)=0),0,ROUND(_xlpm.gkva*1000/(IF(N($CB27)=1,1,SQRT(3))*$D27*_xlpm.gxd),0)),IF(OR(_xlpm.gamp=0,NOT(ISNUMBER(_xlpm.base))),_xlpm.base,MAX(_xlpm.base,_xlpm.gamp))),_xlpm.ulim,IF(OR($A27="",$B27&lt;&gt;"UPS"),"",IFERROR(IF(_xlfn.XLOOKUP($A27,UPS!$B$57:$B$64,UPS!$E$57:$E$64,"")="None",_xlfn.XLOOKUP($A27,UPS!$B$57:$B$64,UPS!$U$57:$U$64,""),""),"")),IF(AND(ISNUMBER(_xlpm.v),ISNUMBER(_xlpm.ulim)),MIN(_xlpm.v,_xlpm.ulim),_xlpm.v))</f>
        <v/>
      </c>
      <c r="K27" s="176"/>
      <c r="L27" s="177" t="str">
        <f t="shared" si="4"/>
        <v/>
      </c>
      <c r="M27" s="177" t="str">
        <f t="shared" si="5"/>
        <v/>
      </c>
      <c r="N27" s="380" t="str">
        <f>IF($A27="","",IF($C27=0,_xlfn.LET(_xlpm.x,IFERROR(_xlfn.XLOOKUP($A27,Util_Tags,Util_XR),""),IF(N(_xlpm.x)=0,Xfmr_DefXR,_xlpm.x)),IF(LEFT($A27,2)="T-",IFERROR(_xlfn.XLOOKUP($A27,Transformers!$A$6:$A$105,Transformers!$AH$6:$AH$105),Xfmr_DefXR),IFERROR(_xlfn.XLOOKUP($E27,$A$6:$A$255,$N$6:$N$255),Xfmr_DefXR))))</f>
        <v/>
      </c>
      <c r="O27" s="177" t="str">
        <f t="shared" si="6"/>
        <v/>
      </c>
      <c r="P27" s="210" t="str">
        <f>IF($A27="","",IF(LEFT($A27,2)="T-",IF($CO27="","",_xlfn.LET(_xlpm.k,IFERROR(_xlfn.XLOOKUP($A27,Transformers!$A$6:$A$105,Transformers!$G$6:$G$105),""),_xlpm.sv,IFERROR(_xlfn.XLOOKUP($A27,Transformers!$A$6:$A$105,Transformers!$E$6:$E$105),""),IF(OR(NOT(ISNUMBER(_xlpm.k)),NOT(ISNUMBER(_xlpm.sv)),_xlpm.sv=0),"",_xlfn.LET(_xlpm.iInf,(_xlpm.k*1000/(_xlpm.sv/2))*100/$CO27,_xlpm.pri,IF(OR($CK27="",$CK27=0),"",$CK27/2),_xlpm.base,IF(_xlpm.pri="",_xlpm.iInf,_xlpm.iInf/(1+_xlpm.iInf/_xlpm.pri)),_xlpm.base+IF($L27="",0,$L27))))),IF($CP27="","",_xlfn.LET(_xlpm.pI,IFERROR(_xlfn.XLOOKUP($E27,$A$6:$A$255,$P$6:$P$255),""),IF(NOT(ISNUMBER(_xlpm.pI)),"",_xlpm.pI/(1+$CP27)+IF($L27="",0,$L27))))))</f>
        <v/>
      </c>
      <c r="Q27" s="210" t="str">
        <f t="shared" si="7"/>
        <v/>
      </c>
      <c r="R27" s="177" t="str">
        <f>IF($A27="","",IF(OR($C27=0,LEFT($A27,2)="T-"),"",IFERROR(_xlfn.LET(_xlpm.v,_xlfn.XLOOKUP($A27,Dashboard!$A$101:$A$350,Dashboard!$K$101:$K$350),IF(ISNUMBER(_xlpm.v),_xlpm.v,"")),"")))</f>
        <v/>
      </c>
      <c r="S27" s="211" t="str">
        <f t="shared" si="8"/>
        <v/>
      </c>
      <c r="T27" s="25" t="str">
        <f t="shared" si="9"/>
        <v/>
      </c>
      <c r="U27" s="364"/>
      <c r="BV27" s="20" t="str">
        <f>IF($A27="","",IFERROR(_xlfn.XLOOKUP("F-"&amp;$A27,'Feeder Schedule'!$B$5:$B$254,'Feeder Schedule'!$H$5:$H$254),""))</f>
        <v/>
      </c>
      <c r="BW27" s="20" t="str">
        <f>IF($A27="","",IFERROR(_xlfn.XLOOKUP("F-"&amp;$A27,'Feeder Schedule'!$B$5:$B$254,'Feeder Schedule'!$BV$5:$BV$254),""))</f>
        <v/>
      </c>
      <c r="BX27" s="20" t="str">
        <f>IF($A27="","",IFERROR(_xlfn.LET(_xlpm.v,_xlfn.XLOOKUP("F-"&amp;$A27,'Feeder Schedule'!$B$5:$B$254,'Feeder Schedule'!$M$5:$M$254),IF(OR(_xlpm.v="",_xlpm.v=0),Cfg_Conduit,_xlpm.v)),""))</f>
        <v/>
      </c>
      <c r="BY27" s="20" t="str">
        <f>IF($A27="","",IFERROR(_xlfn.XLOOKUP("F-"&amp;$A27,'Feeder Schedule'!$B$5:$B$254,'Feeder Schedule'!$O$5:$O$254),""))</f>
        <v/>
      </c>
      <c r="BZ27" s="20" t="str">
        <f>IF($A27="","",IFERROR(_xlfn.XLOOKUP("F-"&amp;$A27,'Feeder Schedule'!$B$5:$B$254,'Feeder Schedule'!$CH$5:$CH$254),""))</f>
        <v/>
      </c>
      <c r="CA27" s="20" t="str">
        <f>IF($A27="","",IFERROR(_xlfn.XLOOKUP("F-"&amp;$A27,'Feeder Schedule'!$B$5:$B$254,'Feeder Schedule'!$F$5:$F$254),""))</f>
        <v/>
      </c>
      <c r="CB27" s="20" t="str">
        <f>IF($A27="","",IFERROR(_xlfn.XLOOKUP("F-"&amp;$A27,'Feeder Schedule'!$B$5:$B$254,'Feeder Schedule'!$G$5:$G$254),""))</f>
        <v/>
      </c>
      <c r="CD27" s="20" t="str" cm="1">
        <f t="array" ref="CD27">IFERROR(IF($A27="","",INDEX(_xlfn.ANCHORARRAY($BK$4),ROW()-5,6)),"")</f>
        <v/>
      </c>
      <c r="CE27" s="20" t="str">
        <f t="shared" si="12"/>
        <v/>
      </c>
      <c r="CF27" s="20" t="str">
        <f t="shared" si="13"/>
        <v/>
      </c>
      <c r="CG27" s="20" t="str">
        <f t="shared" si="10"/>
        <v/>
      </c>
      <c r="CH27" s="20" t="str" cm="1">
        <f t="array" ref="CH27">IF(OR($A27="",$BZ27="",$BW27="",$BX27=""),"",_xlfn.LET(_xlpm.mag,IFERROR(_xlfn.XLOOKUP($BX27,Race_Raceway,Race_Mag),""),IF(_xlpm.mag="","",IFERROR(INDEX(Cond_Table,MATCH($BZ27,Cond_Size,0),IF(UPPER($BW27)="AL",IF(_xlpm.mag="Y",10,12),IF(_xlpm.mag="Y",9,11))),""))))</f>
        <v/>
      </c>
      <c r="CI27" s="20" t="str">
        <f t="shared" si="11"/>
        <v/>
      </c>
      <c r="CJ27" s="20" t="str">
        <f>IF(OR($A27="",LEFT($A27,2)&lt;&gt;"T-"),"",IFERROR(_xlfn.LET(_xlpm.fla,_xlfn.XLOOKUP($A27,Transformers!$A$6:$A$105,Transformers!$AK$6:$AK$105),_xlpm.z,_xlfn.XLOOKUP($A27,Transformers!$A$6:$A$105,Transformers!$AX$6:$AX$105),IF(OR(_xlpm.fla="",_xlpm.z="",_xlpm.z=0),"",_xlpm.fla*100/_xlpm.z)),""))</f>
        <v/>
      </c>
      <c r="CK27" s="20" t="str">
        <f t="shared" si="14"/>
        <v/>
      </c>
      <c r="CL27" s="20" t="str">
        <f t="shared" si="15"/>
        <v/>
      </c>
      <c r="CM27" s="373"/>
      <c r="CO27" s="20" t="str">
        <f>IF(OR($A27="",LEFT($A27,2)&lt;&gt;"T-"),"",_xlfn.LET(_xlpm.ph,IFERROR(_xlfn.XLOOKUP($A27,Transformers!$A$6:$A$105,Transformers!$C$6:$C$105),""),_xlpm.rr,IFERROR(_xlfn.XLOOKUP($A27,Transformers!$A$6:$A$105,Transformers!$AG$6:$AG$105),""),_xlpm.xx,IFERROR(_xlfn.XLOOKUP($A27,Transformers!$A$6:$A$105,Transformers!$AI$6:$AI$105),""),IF(OR(_xlpm.ph&lt;&gt;1,NOT(ISNUMBER(_xlpm.rr)),NOT(ISNUMBER(_xlpm.xx))),"",SQRT((1.5*_xlpm.rr)^2+(1.2*_xlpm.xx)^2))))</f>
        <v/>
      </c>
      <c r="CP27" s="20" t="str">
        <f t="shared" si="16"/>
        <v/>
      </c>
    </row>
    <row r="28" spans="1:94" ht="15" customHeight="1" x14ac:dyDescent="0.45">
      <c r="A28" s="275" t="str" cm="1">
        <f t="array" ref="A28">IFERROR(IF(INDEX(_xlfn.ANCHORARRAY($BK$4),ROW()-5,1)="","",INDEX(_xlfn.ANCHORARRAY($BK$4),ROW()-5,1)),"")</f>
        <v/>
      </c>
      <c r="B28" s="25" t="str" cm="1">
        <f t="array" ref="B28">IFERROR(IF($A28="","",INDEX(_xlfn.ANCHORARRAY($BK$4),ROW()-5,5)),"")</f>
        <v/>
      </c>
      <c r="C28" s="178" t="str" cm="1">
        <f t="array" ref="C28">IFERROR(IF($A28="","",INDEX(_xlfn.ANCHORARRAY($BK$4),ROW()-5,7)),"")</f>
        <v/>
      </c>
      <c r="D28" s="177" t="str" cm="1">
        <f t="array" ref="D28">IFERROR(IF($A28="","",INDEX(_xlfn.ANCHORARRAY($BK$4),ROW()-5,3)),"")</f>
        <v/>
      </c>
      <c r="E28" s="25" t="str" cm="1">
        <f t="array" ref="E28">IFERROR(IF($A28="","",INDEX(_xlfn.ANCHORARRAY($BK$4),ROW()-5,2)),"")</f>
        <v/>
      </c>
      <c r="F28" s="177" t="str">
        <f t="shared" si="0"/>
        <v/>
      </c>
      <c r="G28" s="275" t="str">
        <f t="shared" si="1"/>
        <v/>
      </c>
      <c r="H28" s="180" t="str">
        <f t="shared" si="2"/>
        <v/>
      </c>
      <c r="I28" s="180" t="str">
        <f t="shared" si="3"/>
        <v/>
      </c>
      <c r="J28" s="177" t="str">
        <f>_xlfn.LET(_xlpm.v,_xlfn.LET(_xlpm.base,IF($A28="","",IF($C28=0,IFERROR(_xlfn.XLOOKUP($A28,Util_Tags,Util_SCAEff),""),IF(LEFT($A28,2)="T-",IF($CJ28="","",$CJ28/(1+IF($CL28="",0,$CL28))),IF(OR($F28="",$I28=""),"",$F28*$I28)))),_xlpm.gtag,IF(OR($A28="",NOT(OR($B28="ATS",$B28="MTS"))),"",IFERROR(_xlfn.XLOOKUP($A28,Dashboard!$A$101:$A$350,Dashboard!$L$101:$L$350,"")&amp;"","")),_xlpm.gkva,IF(_xlpm.gtag="",0,IFERROR(N(_xlfn.XLOOKUP(_xlpm.gtag,Generator!$B$53:$B$58,Generator!$S$53:$S$58,0)),0)),_xlpm.gxd,IF(_xlpm.gtag="",0,IFERROR(N(_xlfn.XLOOKUP(_xlpm.gtag,Generator!$B$53:$B$58,Generator!$U$53:$U$58,0)),0)),_xlpm.gamp,IF(OR(_xlpm.gkva=0,_xlpm.gxd=0,N($D28)=0),0,ROUND(_xlpm.gkva*1000/(IF(N($CB28)=1,1,SQRT(3))*$D28*_xlpm.gxd),0)),IF(OR(_xlpm.gamp=0,NOT(ISNUMBER(_xlpm.base))),_xlpm.base,MAX(_xlpm.base,_xlpm.gamp))),_xlpm.ulim,IF(OR($A28="",$B28&lt;&gt;"UPS"),"",IFERROR(IF(_xlfn.XLOOKUP($A28,UPS!$B$57:$B$64,UPS!$E$57:$E$64,"")="None",_xlfn.XLOOKUP($A28,UPS!$B$57:$B$64,UPS!$U$57:$U$64,""),""),"")),IF(AND(ISNUMBER(_xlpm.v),ISNUMBER(_xlpm.ulim)),MIN(_xlpm.v,_xlpm.ulim),_xlpm.v))</f>
        <v/>
      </c>
      <c r="K28" s="176"/>
      <c r="L28" s="177" t="str">
        <f t="shared" si="4"/>
        <v/>
      </c>
      <c r="M28" s="177" t="str">
        <f t="shared" si="5"/>
        <v/>
      </c>
      <c r="N28" s="380" t="str">
        <f>IF($A28="","",IF($C28=0,_xlfn.LET(_xlpm.x,IFERROR(_xlfn.XLOOKUP($A28,Util_Tags,Util_XR),""),IF(N(_xlpm.x)=0,Xfmr_DefXR,_xlpm.x)),IF(LEFT($A28,2)="T-",IFERROR(_xlfn.XLOOKUP($A28,Transformers!$A$6:$A$105,Transformers!$AH$6:$AH$105),Xfmr_DefXR),IFERROR(_xlfn.XLOOKUP($E28,$A$6:$A$255,$N$6:$N$255),Xfmr_DefXR))))</f>
        <v/>
      </c>
      <c r="O28" s="177" t="str">
        <f t="shared" si="6"/>
        <v/>
      </c>
      <c r="P28" s="210" t="str">
        <f>IF($A28="","",IF(LEFT($A28,2)="T-",IF($CO28="","",_xlfn.LET(_xlpm.k,IFERROR(_xlfn.XLOOKUP($A28,Transformers!$A$6:$A$105,Transformers!$G$6:$G$105),""),_xlpm.sv,IFERROR(_xlfn.XLOOKUP($A28,Transformers!$A$6:$A$105,Transformers!$E$6:$E$105),""),IF(OR(NOT(ISNUMBER(_xlpm.k)),NOT(ISNUMBER(_xlpm.sv)),_xlpm.sv=0),"",_xlfn.LET(_xlpm.iInf,(_xlpm.k*1000/(_xlpm.sv/2))*100/$CO28,_xlpm.pri,IF(OR($CK28="",$CK28=0),"",$CK28/2),_xlpm.base,IF(_xlpm.pri="",_xlpm.iInf,_xlpm.iInf/(1+_xlpm.iInf/_xlpm.pri)),_xlpm.base+IF($L28="",0,$L28))))),IF($CP28="","",_xlfn.LET(_xlpm.pI,IFERROR(_xlfn.XLOOKUP($E28,$A$6:$A$255,$P$6:$P$255),""),IF(NOT(ISNUMBER(_xlpm.pI)),"",_xlpm.pI/(1+$CP28)+IF($L28="",0,$L28))))))</f>
        <v/>
      </c>
      <c r="Q28" s="210" t="str">
        <f t="shared" si="7"/>
        <v/>
      </c>
      <c r="R28" s="177" t="str">
        <f>IF($A28="","",IF(OR($C28=0,LEFT($A28,2)="T-"),"",IFERROR(_xlfn.LET(_xlpm.v,_xlfn.XLOOKUP($A28,Dashboard!$A$101:$A$350,Dashboard!$K$101:$K$350),IF(ISNUMBER(_xlpm.v),_xlpm.v,"")),"")))</f>
        <v/>
      </c>
      <c r="S28" s="211" t="str">
        <f t="shared" si="8"/>
        <v/>
      </c>
      <c r="T28" s="25" t="str">
        <f t="shared" si="9"/>
        <v/>
      </c>
      <c r="U28" s="364"/>
      <c r="BV28" s="20" t="str">
        <f>IF($A28="","",IFERROR(_xlfn.XLOOKUP("F-"&amp;$A28,'Feeder Schedule'!$B$5:$B$254,'Feeder Schedule'!$H$5:$H$254),""))</f>
        <v/>
      </c>
      <c r="BW28" s="20" t="str">
        <f>IF($A28="","",IFERROR(_xlfn.XLOOKUP("F-"&amp;$A28,'Feeder Schedule'!$B$5:$B$254,'Feeder Schedule'!$BV$5:$BV$254),""))</f>
        <v/>
      </c>
      <c r="BX28" s="20" t="str">
        <f>IF($A28="","",IFERROR(_xlfn.LET(_xlpm.v,_xlfn.XLOOKUP("F-"&amp;$A28,'Feeder Schedule'!$B$5:$B$254,'Feeder Schedule'!$M$5:$M$254),IF(OR(_xlpm.v="",_xlpm.v=0),Cfg_Conduit,_xlpm.v)),""))</f>
        <v/>
      </c>
      <c r="BY28" s="20" t="str">
        <f>IF($A28="","",IFERROR(_xlfn.XLOOKUP("F-"&amp;$A28,'Feeder Schedule'!$B$5:$B$254,'Feeder Schedule'!$O$5:$O$254),""))</f>
        <v/>
      </c>
      <c r="BZ28" s="20" t="str">
        <f>IF($A28="","",IFERROR(_xlfn.XLOOKUP("F-"&amp;$A28,'Feeder Schedule'!$B$5:$B$254,'Feeder Schedule'!$CH$5:$CH$254),""))</f>
        <v/>
      </c>
      <c r="CA28" s="20" t="str">
        <f>IF($A28="","",IFERROR(_xlfn.XLOOKUP("F-"&amp;$A28,'Feeder Schedule'!$B$5:$B$254,'Feeder Schedule'!$F$5:$F$254),""))</f>
        <v/>
      </c>
      <c r="CB28" s="20" t="str">
        <f>IF($A28="","",IFERROR(_xlfn.XLOOKUP("F-"&amp;$A28,'Feeder Schedule'!$B$5:$B$254,'Feeder Schedule'!$G$5:$G$254),""))</f>
        <v/>
      </c>
      <c r="CD28" s="20" t="str" cm="1">
        <f t="array" ref="CD28">IFERROR(IF($A28="","",INDEX(_xlfn.ANCHORARRAY($BK$4),ROW()-5,6)),"")</f>
        <v/>
      </c>
      <c r="CE28" s="20" t="str">
        <f t="shared" si="12"/>
        <v/>
      </c>
      <c r="CF28" s="20" t="str">
        <f t="shared" si="13"/>
        <v/>
      </c>
      <c r="CG28" s="20" t="str">
        <f t="shared" si="10"/>
        <v/>
      </c>
      <c r="CH28" s="20" t="str" cm="1">
        <f t="array" ref="CH28">IF(OR($A28="",$BZ28="",$BW28="",$BX28=""),"",_xlfn.LET(_xlpm.mag,IFERROR(_xlfn.XLOOKUP($BX28,Race_Raceway,Race_Mag),""),IF(_xlpm.mag="","",IFERROR(INDEX(Cond_Table,MATCH($BZ28,Cond_Size,0),IF(UPPER($BW28)="AL",IF(_xlpm.mag="Y",10,12),IF(_xlpm.mag="Y",9,11))),""))))</f>
        <v/>
      </c>
      <c r="CI28" s="20" t="str">
        <f t="shared" si="11"/>
        <v/>
      </c>
      <c r="CJ28" s="20" t="str">
        <f>IF(OR($A28="",LEFT($A28,2)&lt;&gt;"T-"),"",IFERROR(_xlfn.LET(_xlpm.fla,_xlfn.XLOOKUP($A28,Transformers!$A$6:$A$105,Transformers!$AK$6:$AK$105),_xlpm.z,_xlfn.XLOOKUP($A28,Transformers!$A$6:$A$105,Transformers!$AX$6:$AX$105),IF(OR(_xlpm.fla="",_xlpm.z="",_xlpm.z=0),"",_xlpm.fla*100/_xlpm.z)),""))</f>
        <v/>
      </c>
      <c r="CK28" s="20" t="str">
        <f t="shared" si="14"/>
        <v/>
      </c>
      <c r="CL28" s="20" t="str">
        <f t="shared" si="15"/>
        <v/>
      </c>
      <c r="CM28" s="373"/>
      <c r="CO28" s="20" t="str">
        <f>IF(OR($A28="",LEFT($A28,2)&lt;&gt;"T-"),"",_xlfn.LET(_xlpm.ph,IFERROR(_xlfn.XLOOKUP($A28,Transformers!$A$6:$A$105,Transformers!$C$6:$C$105),""),_xlpm.rr,IFERROR(_xlfn.XLOOKUP($A28,Transformers!$A$6:$A$105,Transformers!$AG$6:$AG$105),""),_xlpm.xx,IFERROR(_xlfn.XLOOKUP($A28,Transformers!$A$6:$A$105,Transformers!$AI$6:$AI$105),""),IF(OR(_xlpm.ph&lt;&gt;1,NOT(ISNUMBER(_xlpm.rr)),NOT(ISNUMBER(_xlpm.xx))),"",SQRT((1.5*_xlpm.rr)^2+(1.2*_xlpm.xx)^2))))</f>
        <v/>
      </c>
      <c r="CP28" s="20" t="str">
        <f t="shared" si="16"/>
        <v/>
      </c>
    </row>
    <row r="29" spans="1:94" ht="15" customHeight="1" x14ac:dyDescent="0.45">
      <c r="A29" s="275" t="str" cm="1">
        <f t="array" ref="A29">IFERROR(IF(INDEX(_xlfn.ANCHORARRAY($BK$4),ROW()-5,1)="","",INDEX(_xlfn.ANCHORARRAY($BK$4),ROW()-5,1)),"")</f>
        <v/>
      </c>
      <c r="B29" s="25" t="str" cm="1">
        <f t="array" ref="B29">IFERROR(IF($A29="","",INDEX(_xlfn.ANCHORARRAY($BK$4),ROW()-5,5)),"")</f>
        <v/>
      </c>
      <c r="C29" s="178" t="str" cm="1">
        <f t="array" ref="C29">IFERROR(IF($A29="","",INDEX(_xlfn.ANCHORARRAY($BK$4),ROW()-5,7)),"")</f>
        <v/>
      </c>
      <c r="D29" s="177" t="str" cm="1">
        <f t="array" ref="D29">IFERROR(IF($A29="","",INDEX(_xlfn.ANCHORARRAY($BK$4),ROW()-5,3)),"")</f>
        <v/>
      </c>
      <c r="E29" s="25" t="str" cm="1">
        <f t="array" ref="E29">IFERROR(IF($A29="","",INDEX(_xlfn.ANCHORARRAY($BK$4),ROW()-5,2)),"")</f>
        <v/>
      </c>
      <c r="F29" s="177" t="str">
        <f t="shared" si="0"/>
        <v/>
      </c>
      <c r="G29" s="275" t="str">
        <f t="shared" si="1"/>
        <v/>
      </c>
      <c r="H29" s="180" t="str">
        <f t="shared" si="2"/>
        <v/>
      </c>
      <c r="I29" s="180" t="str">
        <f t="shared" si="3"/>
        <v/>
      </c>
      <c r="J29" s="177" t="str">
        <f>_xlfn.LET(_xlpm.v,_xlfn.LET(_xlpm.base,IF($A29="","",IF($C29=0,IFERROR(_xlfn.XLOOKUP($A29,Util_Tags,Util_SCAEff),""),IF(LEFT($A29,2)="T-",IF($CJ29="","",$CJ29/(1+IF($CL29="",0,$CL29))),IF(OR($F29="",$I29=""),"",$F29*$I29)))),_xlpm.gtag,IF(OR($A29="",NOT(OR($B29="ATS",$B29="MTS"))),"",IFERROR(_xlfn.XLOOKUP($A29,Dashboard!$A$101:$A$350,Dashboard!$L$101:$L$350,"")&amp;"","")),_xlpm.gkva,IF(_xlpm.gtag="",0,IFERROR(N(_xlfn.XLOOKUP(_xlpm.gtag,Generator!$B$53:$B$58,Generator!$S$53:$S$58,0)),0)),_xlpm.gxd,IF(_xlpm.gtag="",0,IFERROR(N(_xlfn.XLOOKUP(_xlpm.gtag,Generator!$B$53:$B$58,Generator!$U$53:$U$58,0)),0)),_xlpm.gamp,IF(OR(_xlpm.gkva=0,_xlpm.gxd=0,N($D29)=0),0,ROUND(_xlpm.gkva*1000/(IF(N($CB29)=1,1,SQRT(3))*$D29*_xlpm.gxd),0)),IF(OR(_xlpm.gamp=0,NOT(ISNUMBER(_xlpm.base))),_xlpm.base,MAX(_xlpm.base,_xlpm.gamp))),_xlpm.ulim,IF(OR($A29="",$B29&lt;&gt;"UPS"),"",IFERROR(IF(_xlfn.XLOOKUP($A29,UPS!$B$57:$B$64,UPS!$E$57:$E$64,"")="None",_xlfn.XLOOKUP($A29,UPS!$B$57:$B$64,UPS!$U$57:$U$64,""),""),"")),IF(AND(ISNUMBER(_xlpm.v),ISNUMBER(_xlpm.ulim)),MIN(_xlpm.v,_xlpm.ulim),_xlpm.v))</f>
        <v/>
      </c>
      <c r="K29" s="176"/>
      <c r="L29" s="177" t="str">
        <f t="shared" si="4"/>
        <v/>
      </c>
      <c r="M29" s="177" t="str">
        <f t="shared" si="5"/>
        <v/>
      </c>
      <c r="N29" s="380" t="str">
        <f>IF($A29="","",IF($C29=0,_xlfn.LET(_xlpm.x,IFERROR(_xlfn.XLOOKUP($A29,Util_Tags,Util_XR),""),IF(N(_xlpm.x)=0,Xfmr_DefXR,_xlpm.x)),IF(LEFT($A29,2)="T-",IFERROR(_xlfn.XLOOKUP($A29,Transformers!$A$6:$A$105,Transformers!$AH$6:$AH$105),Xfmr_DefXR),IFERROR(_xlfn.XLOOKUP($E29,$A$6:$A$255,$N$6:$N$255),Xfmr_DefXR))))</f>
        <v/>
      </c>
      <c r="O29" s="177" t="str">
        <f t="shared" si="6"/>
        <v/>
      </c>
      <c r="P29" s="210" t="str">
        <f>IF($A29="","",IF(LEFT($A29,2)="T-",IF($CO29="","",_xlfn.LET(_xlpm.k,IFERROR(_xlfn.XLOOKUP($A29,Transformers!$A$6:$A$105,Transformers!$G$6:$G$105),""),_xlpm.sv,IFERROR(_xlfn.XLOOKUP($A29,Transformers!$A$6:$A$105,Transformers!$E$6:$E$105),""),IF(OR(NOT(ISNUMBER(_xlpm.k)),NOT(ISNUMBER(_xlpm.sv)),_xlpm.sv=0),"",_xlfn.LET(_xlpm.iInf,(_xlpm.k*1000/(_xlpm.sv/2))*100/$CO29,_xlpm.pri,IF(OR($CK29="",$CK29=0),"",$CK29/2),_xlpm.base,IF(_xlpm.pri="",_xlpm.iInf,_xlpm.iInf/(1+_xlpm.iInf/_xlpm.pri)),_xlpm.base+IF($L29="",0,$L29))))),IF($CP29="","",_xlfn.LET(_xlpm.pI,IFERROR(_xlfn.XLOOKUP($E29,$A$6:$A$255,$P$6:$P$255),""),IF(NOT(ISNUMBER(_xlpm.pI)),"",_xlpm.pI/(1+$CP29)+IF($L29="",0,$L29))))))</f>
        <v/>
      </c>
      <c r="Q29" s="210" t="str">
        <f t="shared" si="7"/>
        <v/>
      </c>
      <c r="R29" s="177" t="str">
        <f>IF($A29="","",IF(OR($C29=0,LEFT($A29,2)="T-"),"",IFERROR(_xlfn.LET(_xlpm.v,_xlfn.XLOOKUP($A29,Dashboard!$A$101:$A$350,Dashboard!$K$101:$K$350),IF(ISNUMBER(_xlpm.v),_xlpm.v,"")),"")))</f>
        <v/>
      </c>
      <c r="S29" s="211" t="str">
        <f t="shared" si="8"/>
        <v/>
      </c>
      <c r="T29" s="25" t="str">
        <f t="shared" si="9"/>
        <v/>
      </c>
      <c r="U29" s="364"/>
      <c r="BV29" s="20" t="str">
        <f>IF($A29="","",IFERROR(_xlfn.XLOOKUP("F-"&amp;$A29,'Feeder Schedule'!$B$5:$B$254,'Feeder Schedule'!$H$5:$H$254),""))</f>
        <v/>
      </c>
      <c r="BW29" s="20" t="str">
        <f>IF($A29="","",IFERROR(_xlfn.XLOOKUP("F-"&amp;$A29,'Feeder Schedule'!$B$5:$B$254,'Feeder Schedule'!$BV$5:$BV$254),""))</f>
        <v/>
      </c>
      <c r="BX29" s="20" t="str">
        <f>IF($A29="","",IFERROR(_xlfn.LET(_xlpm.v,_xlfn.XLOOKUP("F-"&amp;$A29,'Feeder Schedule'!$B$5:$B$254,'Feeder Schedule'!$M$5:$M$254),IF(OR(_xlpm.v="",_xlpm.v=0),Cfg_Conduit,_xlpm.v)),""))</f>
        <v/>
      </c>
      <c r="BY29" s="20" t="str">
        <f>IF($A29="","",IFERROR(_xlfn.XLOOKUP("F-"&amp;$A29,'Feeder Schedule'!$B$5:$B$254,'Feeder Schedule'!$O$5:$O$254),""))</f>
        <v/>
      </c>
      <c r="BZ29" s="20" t="str">
        <f>IF($A29="","",IFERROR(_xlfn.XLOOKUP("F-"&amp;$A29,'Feeder Schedule'!$B$5:$B$254,'Feeder Schedule'!$CH$5:$CH$254),""))</f>
        <v/>
      </c>
      <c r="CA29" s="20" t="str">
        <f>IF($A29="","",IFERROR(_xlfn.XLOOKUP("F-"&amp;$A29,'Feeder Schedule'!$B$5:$B$254,'Feeder Schedule'!$F$5:$F$254),""))</f>
        <v/>
      </c>
      <c r="CB29" s="20" t="str">
        <f>IF($A29="","",IFERROR(_xlfn.XLOOKUP("F-"&amp;$A29,'Feeder Schedule'!$B$5:$B$254,'Feeder Schedule'!$G$5:$G$254),""))</f>
        <v/>
      </c>
      <c r="CD29" s="20" t="str" cm="1">
        <f t="array" ref="CD29">IFERROR(IF($A29="","",INDEX(_xlfn.ANCHORARRAY($BK$4),ROW()-5,6)),"")</f>
        <v/>
      </c>
      <c r="CE29" s="20" t="str">
        <f t="shared" si="12"/>
        <v/>
      </c>
      <c r="CF29" s="20" t="str">
        <f t="shared" si="13"/>
        <v/>
      </c>
      <c r="CG29" s="20" t="str">
        <f t="shared" si="10"/>
        <v/>
      </c>
      <c r="CH29" s="20" t="str" cm="1">
        <f t="array" ref="CH29">IF(OR($A29="",$BZ29="",$BW29="",$BX29=""),"",_xlfn.LET(_xlpm.mag,IFERROR(_xlfn.XLOOKUP($BX29,Race_Raceway,Race_Mag),""),IF(_xlpm.mag="","",IFERROR(INDEX(Cond_Table,MATCH($BZ29,Cond_Size,0),IF(UPPER($BW29)="AL",IF(_xlpm.mag="Y",10,12),IF(_xlpm.mag="Y",9,11))),""))))</f>
        <v/>
      </c>
      <c r="CI29" s="20" t="str">
        <f t="shared" si="11"/>
        <v/>
      </c>
      <c r="CJ29" s="20" t="str">
        <f>IF(OR($A29="",LEFT($A29,2)&lt;&gt;"T-"),"",IFERROR(_xlfn.LET(_xlpm.fla,_xlfn.XLOOKUP($A29,Transformers!$A$6:$A$105,Transformers!$AK$6:$AK$105),_xlpm.z,_xlfn.XLOOKUP($A29,Transformers!$A$6:$A$105,Transformers!$AX$6:$AX$105),IF(OR(_xlpm.fla="",_xlpm.z="",_xlpm.z=0),"",_xlpm.fla*100/_xlpm.z)),""))</f>
        <v/>
      </c>
      <c r="CK29" s="20" t="str">
        <f t="shared" si="14"/>
        <v/>
      </c>
      <c r="CL29" s="20" t="str">
        <f t="shared" si="15"/>
        <v/>
      </c>
      <c r="CM29" s="373"/>
      <c r="CO29" s="20" t="str">
        <f>IF(OR($A29="",LEFT($A29,2)&lt;&gt;"T-"),"",_xlfn.LET(_xlpm.ph,IFERROR(_xlfn.XLOOKUP($A29,Transformers!$A$6:$A$105,Transformers!$C$6:$C$105),""),_xlpm.rr,IFERROR(_xlfn.XLOOKUP($A29,Transformers!$A$6:$A$105,Transformers!$AG$6:$AG$105),""),_xlpm.xx,IFERROR(_xlfn.XLOOKUP($A29,Transformers!$A$6:$A$105,Transformers!$AI$6:$AI$105),""),IF(OR(_xlpm.ph&lt;&gt;1,NOT(ISNUMBER(_xlpm.rr)),NOT(ISNUMBER(_xlpm.xx))),"",SQRT((1.5*_xlpm.rr)^2+(1.2*_xlpm.xx)^2))))</f>
        <v/>
      </c>
      <c r="CP29" s="20" t="str">
        <f t="shared" si="16"/>
        <v/>
      </c>
    </row>
    <row r="30" spans="1:94" ht="15" customHeight="1" x14ac:dyDescent="0.45">
      <c r="A30" s="275" t="str" cm="1">
        <f t="array" ref="A30">IFERROR(IF(INDEX(_xlfn.ANCHORARRAY($BK$4),ROW()-5,1)="","",INDEX(_xlfn.ANCHORARRAY($BK$4),ROW()-5,1)),"")</f>
        <v/>
      </c>
      <c r="B30" s="25" t="str" cm="1">
        <f t="array" ref="B30">IFERROR(IF($A30="","",INDEX(_xlfn.ANCHORARRAY($BK$4),ROW()-5,5)),"")</f>
        <v/>
      </c>
      <c r="C30" s="178" t="str" cm="1">
        <f t="array" ref="C30">IFERROR(IF($A30="","",INDEX(_xlfn.ANCHORARRAY($BK$4),ROW()-5,7)),"")</f>
        <v/>
      </c>
      <c r="D30" s="177" t="str" cm="1">
        <f t="array" ref="D30">IFERROR(IF($A30="","",INDEX(_xlfn.ANCHORARRAY($BK$4),ROW()-5,3)),"")</f>
        <v/>
      </c>
      <c r="E30" s="25" t="str" cm="1">
        <f t="array" ref="E30">IFERROR(IF($A30="","",INDEX(_xlfn.ANCHORARRAY($BK$4),ROW()-5,2)),"")</f>
        <v/>
      </c>
      <c r="F30" s="177" t="str">
        <f t="shared" si="0"/>
        <v/>
      </c>
      <c r="G30" s="275" t="str">
        <f t="shared" si="1"/>
        <v/>
      </c>
      <c r="H30" s="180" t="str">
        <f t="shared" si="2"/>
        <v/>
      </c>
      <c r="I30" s="180" t="str">
        <f t="shared" si="3"/>
        <v/>
      </c>
      <c r="J30" s="177" t="str">
        <f>_xlfn.LET(_xlpm.v,_xlfn.LET(_xlpm.base,IF($A30="","",IF($C30=0,IFERROR(_xlfn.XLOOKUP($A30,Util_Tags,Util_SCAEff),""),IF(LEFT($A30,2)="T-",IF($CJ30="","",$CJ30/(1+IF($CL30="",0,$CL30))),IF(OR($F30="",$I30=""),"",$F30*$I30)))),_xlpm.gtag,IF(OR($A30="",NOT(OR($B30="ATS",$B30="MTS"))),"",IFERROR(_xlfn.XLOOKUP($A30,Dashboard!$A$101:$A$350,Dashboard!$L$101:$L$350,"")&amp;"","")),_xlpm.gkva,IF(_xlpm.gtag="",0,IFERROR(N(_xlfn.XLOOKUP(_xlpm.gtag,Generator!$B$53:$B$58,Generator!$S$53:$S$58,0)),0)),_xlpm.gxd,IF(_xlpm.gtag="",0,IFERROR(N(_xlfn.XLOOKUP(_xlpm.gtag,Generator!$B$53:$B$58,Generator!$U$53:$U$58,0)),0)),_xlpm.gamp,IF(OR(_xlpm.gkva=0,_xlpm.gxd=0,N($D30)=0),0,ROUND(_xlpm.gkva*1000/(IF(N($CB30)=1,1,SQRT(3))*$D30*_xlpm.gxd),0)),IF(OR(_xlpm.gamp=0,NOT(ISNUMBER(_xlpm.base))),_xlpm.base,MAX(_xlpm.base,_xlpm.gamp))),_xlpm.ulim,IF(OR($A30="",$B30&lt;&gt;"UPS"),"",IFERROR(IF(_xlfn.XLOOKUP($A30,UPS!$B$57:$B$64,UPS!$E$57:$E$64,"")="None",_xlfn.XLOOKUP($A30,UPS!$B$57:$B$64,UPS!$U$57:$U$64,""),""),"")),IF(AND(ISNUMBER(_xlpm.v),ISNUMBER(_xlpm.ulim)),MIN(_xlpm.v,_xlpm.ulim),_xlpm.v))</f>
        <v/>
      </c>
      <c r="K30" s="176"/>
      <c r="L30" s="177" t="str">
        <f t="shared" si="4"/>
        <v/>
      </c>
      <c r="M30" s="177" t="str">
        <f t="shared" si="5"/>
        <v/>
      </c>
      <c r="N30" s="380" t="str">
        <f>IF($A30="","",IF($C30=0,_xlfn.LET(_xlpm.x,IFERROR(_xlfn.XLOOKUP($A30,Util_Tags,Util_XR),""),IF(N(_xlpm.x)=0,Xfmr_DefXR,_xlpm.x)),IF(LEFT($A30,2)="T-",IFERROR(_xlfn.XLOOKUP($A30,Transformers!$A$6:$A$105,Transformers!$AH$6:$AH$105),Xfmr_DefXR),IFERROR(_xlfn.XLOOKUP($E30,$A$6:$A$255,$N$6:$N$255),Xfmr_DefXR))))</f>
        <v/>
      </c>
      <c r="O30" s="177" t="str">
        <f t="shared" si="6"/>
        <v/>
      </c>
      <c r="P30" s="210" t="str">
        <f>IF($A30="","",IF(LEFT($A30,2)="T-",IF($CO30="","",_xlfn.LET(_xlpm.k,IFERROR(_xlfn.XLOOKUP($A30,Transformers!$A$6:$A$105,Transformers!$G$6:$G$105),""),_xlpm.sv,IFERROR(_xlfn.XLOOKUP($A30,Transformers!$A$6:$A$105,Transformers!$E$6:$E$105),""),IF(OR(NOT(ISNUMBER(_xlpm.k)),NOT(ISNUMBER(_xlpm.sv)),_xlpm.sv=0),"",_xlfn.LET(_xlpm.iInf,(_xlpm.k*1000/(_xlpm.sv/2))*100/$CO30,_xlpm.pri,IF(OR($CK30="",$CK30=0),"",$CK30/2),_xlpm.base,IF(_xlpm.pri="",_xlpm.iInf,_xlpm.iInf/(1+_xlpm.iInf/_xlpm.pri)),_xlpm.base+IF($L30="",0,$L30))))),IF($CP30="","",_xlfn.LET(_xlpm.pI,IFERROR(_xlfn.XLOOKUP($E30,$A$6:$A$255,$P$6:$P$255),""),IF(NOT(ISNUMBER(_xlpm.pI)),"",_xlpm.pI/(1+$CP30)+IF($L30="",0,$L30))))))</f>
        <v/>
      </c>
      <c r="Q30" s="210" t="str">
        <f t="shared" si="7"/>
        <v/>
      </c>
      <c r="R30" s="177" t="str">
        <f>IF($A30="","",IF(OR($C30=0,LEFT($A30,2)="T-"),"",IFERROR(_xlfn.LET(_xlpm.v,_xlfn.XLOOKUP($A30,Dashboard!$A$101:$A$350,Dashboard!$K$101:$K$350),IF(ISNUMBER(_xlpm.v),_xlpm.v,"")),"")))</f>
        <v/>
      </c>
      <c r="S30" s="211" t="str">
        <f t="shared" si="8"/>
        <v/>
      </c>
      <c r="T30" s="25" t="str">
        <f t="shared" si="9"/>
        <v/>
      </c>
      <c r="U30" s="364"/>
      <c r="BV30" s="20" t="str">
        <f>IF($A30="","",IFERROR(_xlfn.XLOOKUP("F-"&amp;$A30,'Feeder Schedule'!$B$5:$B$254,'Feeder Schedule'!$H$5:$H$254),""))</f>
        <v/>
      </c>
      <c r="BW30" s="20" t="str">
        <f>IF($A30="","",IFERROR(_xlfn.XLOOKUP("F-"&amp;$A30,'Feeder Schedule'!$B$5:$B$254,'Feeder Schedule'!$BV$5:$BV$254),""))</f>
        <v/>
      </c>
      <c r="BX30" s="20" t="str">
        <f>IF($A30="","",IFERROR(_xlfn.LET(_xlpm.v,_xlfn.XLOOKUP("F-"&amp;$A30,'Feeder Schedule'!$B$5:$B$254,'Feeder Schedule'!$M$5:$M$254),IF(OR(_xlpm.v="",_xlpm.v=0),Cfg_Conduit,_xlpm.v)),""))</f>
        <v/>
      </c>
      <c r="BY30" s="20" t="str">
        <f>IF($A30="","",IFERROR(_xlfn.XLOOKUP("F-"&amp;$A30,'Feeder Schedule'!$B$5:$B$254,'Feeder Schedule'!$O$5:$O$254),""))</f>
        <v/>
      </c>
      <c r="BZ30" s="20" t="str">
        <f>IF($A30="","",IFERROR(_xlfn.XLOOKUP("F-"&amp;$A30,'Feeder Schedule'!$B$5:$B$254,'Feeder Schedule'!$CH$5:$CH$254),""))</f>
        <v/>
      </c>
      <c r="CA30" s="20" t="str">
        <f>IF($A30="","",IFERROR(_xlfn.XLOOKUP("F-"&amp;$A30,'Feeder Schedule'!$B$5:$B$254,'Feeder Schedule'!$F$5:$F$254),""))</f>
        <v/>
      </c>
      <c r="CB30" s="20" t="str">
        <f>IF($A30="","",IFERROR(_xlfn.XLOOKUP("F-"&amp;$A30,'Feeder Schedule'!$B$5:$B$254,'Feeder Schedule'!$G$5:$G$254),""))</f>
        <v/>
      </c>
      <c r="CD30" s="20" t="str" cm="1">
        <f t="array" ref="CD30">IFERROR(IF($A30="","",INDEX(_xlfn.ANCHORARRAY($BK$4),ROW()-5,6)),"")</f>
        <v/>
      </c>
      <c r="CE30" s="20" t="str">
        <f t="shared" si="12"/>
        <v/>
      </c>
      <c r="CF30" s="20" t="str">
        <f t="shared" si="13"/>
        <v/>
      </c>
      <c r="CG30" s="20" t="str">
        <f t="shared" si="10"/>
        <v/>
      </c>
      <c r="CH30" s="20" t="str" cm="1">
        <f t="array" ref="CH30">IF(OR($A30="",$BZ30="",$BW30="",$BX30=""),"",_xlfn.LET(_xlpm.mag,IFERROR(_xlfn.XLOOKUP($BX30,Race_Raceway,Race_Mag),""),IF(_xlpm.mag="","",IFERROR(INDEX(Cond_Table,MATCH($BZ30,Cond_Size,0),IF(UPPER($BW30)="AL",IF(_xlpm.mag="Y",10,12),IF(_xlpm.mag="Y",9,11))),""))))</f>
        <v/>
      </c>
      <c r="CI30" s="20" t="str">
        <f t="shared" si="11"/>
        <v/>
      </c>
      <c r="CJ30" s="20" t="str">
        <f>IF(OR($A30="",LEFT($A30,2)&lt;&gt;"T-"),"",IFERROR(_xlfn.LET(_xlpm.fla,_xlfn.XLOOKUP($A30,Transformers!$A$6:$A$105,Transformers!$AK$6:$AK$105),_xlpm.z,_xlfn.XLOOKUP($A30,Transformers!$A$6:$A$105,Transformers!$AX$6:$AX$105),IF(OR(_xlpm.fla="",_xlpm.z="",_xlpm.z=0),"",_xlpm.fla*100/_xlpm.z)),""))</f>
        <v/>
      </c>
      <c r="CK30" s="20" t="str">
        <f t="shared" si="14"/>
        <v/>
      </c>
      <c r="CL30" s="20" t="str">
        <f t="shared" si="15"/>
        <v/>
      </c>
      <c r="CM30" s="373"/>
      <c r="CO30" s="20" t="str">
        <f>IF(OR($A30="",LEFT($A30,2)&lt;&gt;"T-"),"",_xlfn.LET(_xlpm.ph,IFERROR(_xlfn.XLOOKUP($A30,Transformers!$A$6:$A$105,Transformers!$C$6:$C$105),""),_xlpm.rr,IFERROR(_xlfn.XLOOKUP($A30,Transformers!$A$6:$A$105,Transformers!$AG$6:$AG$105),""),_xlpm.xx,IFERROR(_xlfn.XLOOKUP($A30,Transformers!$A$6:$A$105,Transformers!$AI$6:$AI$105),""),IF(OR(_xlpm.ph&lt;&gt;1,NOT(ISNUMBER(_xlpm.rr)),NOT(ISNUMBER(_xlpm.xx))),"",SQRT((1.5*_xlpm.rr)^2+(1.2*_xlpm.xx)^2))))</f>
        <v/>
      </c>
      <c r="CP30" s="20" t="str">
        <f t="shared" si="16"/>
        <v/>
      </c>
    </row>
    <row r="31" spans="1:94" ht="15" customHeight="1" x14ac:dyDescent="0.45">
      <c r="A31" s="275" t="str" cm="1">
        <f t="array" ref="A31">IFERROR(IF(INDEX(_xlfn.ANCHORARRAY($BK$4),ROW()-5,1)="","",INDEX(_xlfn.ANCHORARRAY($BK$4),ROW()-5,1)),"")</f>
        <v/>
      </c>
      <c r="B31" s="25" t="str" cm="1">
        <f t="array" ref="B31">IFERROR(IF($A31="","",INDEX(_xlfn.ANCHORARRAY($BK$4),ROW()-5,5)),"")</f>
        <v/>
      </c>
      <c r="C31" s="178" t="str" cm="1">
        <f t="array" ref="C31">IFERROR(IF($A31="","",INDEX(_xlfn.ANCHORARRAY($BK$4),ROW()-5,7)),"")</f>
        <v/>
      </c>
      <c r="D31" s="177" t="str" cm="1">
        <f t="array" ref="D31">IFERROR(IF($A31="","",INDEX(_xlfn.ANCHORARRAY($BK$4),ROW()-5,3)),"")</f>
        <v/>
      </c>
      <c r="E31" s="25" t="str" cm="1">
        <f t="array" ref="E31">IFERROR(IF($A31="","",INDEX(_xlfn.ANCHORARRAY($BK$4),ROW()-5,2)),"")</f>
        <v/>
      </c>
      <c r="F31" s="177" t="str">
        <f t="shared" si="0"/>
        <v/>
      </c>
      <c r="G31" s="275" t="str">
        <f t="shared" si="1"/>
        <v/>
      </c>
      <c r="H31" s="180" t="str">
        <f t="shared" si="2"/>
        <v/>
      </c>
      <c r="I31" s="180" t="str">
        <f t="shared" si="3"/>
        <v/>
      </c>
      <c r="J31" s="177" t="str">
        <f>_xlfn.LET(_xlpm.v,_xlfn.LET(_xlpm.base,IF($A31="","",IF($C31=0,IFERROR(_xlfn.XLOOKUP($A31,Util_Tags,Util_SCAEff),""),IF(LEFT($A31,2)="T-",IF($CJ31="","",$CJ31/(1+IF($CL31="",0,$CL31))),IF(OR($F31="",$I31=""),"",$F31*$I31)))),_xlpm.gtag,IF(OR($A31="",NOT(OR($B31="ATS",$B31="MTS"))),"",IFERROR(_xlfn.XLOOKUP($A31,Dashboard!$A$101:$A$350,Dashboard!$L$101:$L$350,"")&amp;"","")),_xlpm.gkva,IF(_xlpm.gtag="",0,IFERROR(N(_xlfn.XLOOKUP(_xlpm.gtag,Generator!$B$53:$B$58,Generator!$S$53:$S$58,0)),0)),_xlpm.gxd,IF(_xlpm.gtag="",0,IFERROR(N(_xlfn.XLOOKUP(_xlpm.gtag,Generator!$B$53:$B$58,Generator!$U$53:$U$58,0)),0)),_xlpm.gamp,IF(OR(_xlpm.gkva=0,_xlpm.gxd=0,N($D31)=0),0,ROUND(_xlpm.gkva*1000/(IF(N($CB31)=1,1,SQRT(3))*$D31*_xlpm.gxd),0)),IF(OR(_xlpm.gamp=0,NOT(ISNUMBER(_xlpm.base))),_xlpm.base,MAX(_xlpm.base,_xlpm.gamp))),_xlpm.ulim,IF(OR($A31="",$B31&lt;&gt;"UPS"),"",IFERROR(IF(_xlfn.XLOOKUP($A31,UPS!$B$57:$B$64,UPS!$E$57:$E$64,"")="None",_xlfn.XLOOKUP($A31,UPS!$B$57:$B$64,UPS!$U$57:$U$64,""),""),"")),IF(AND(ISNUMBER(_xlpm.v),ISNUMBER(_xlpm.ulim)),MIN(_xlpm.v,_xlpm.ulim),_xlpm.v))</f>
        <v/>
      </c>
      <c r="K31" s="176"/>
      <c r="L31" s="177" t="str">
        <f t="shared" si="4"/>
        <v/>
      </c>
      <c r="M31" s="177" t="str">
        <f t="shared" si="5"/>
        <v/>
      </c>
      <c r="N31" s="380" t="str">
        <f>IF($A31="","",IF($C31=0,_xlfn.LET(_xlpm.x,IFERROR(_xlfn.XLOOKUP($A31,Util_Tags,Util_XR),""),IF(N(_xlpm.x)=0,Xfmr_DefXR,_xlpm.x)),IF(LEFT($A31,2)="T-",IFERROR(_xlfn.XLOOKUP($A31,Transformers!$A$6:$A$105,Transformers!$AH$6:$AH$105),Xfmr_DefXR),IFERROR(_xlfn.XLOOKUP($E31,$A$6:$A$255,$N$6:$N$255),Xfmr_DefXR))))</f>
        <v/>
      </c>
      <c r="O31" s="177" t="str">
        <f t="shared" si="6"/>
        <v/>
      </c>
      <c r="P31" s="210" t="str">
        <f>IF($A31="","",IF(LEFT($A31,2)="T-",IF($CO31="","",_xlfn.LET(_xlpm.k,IFERROR(_xlfn.XLOOKUP($A31,Transformers!$A$6:$A$105,Transformers!$G$6:$G$105),""),_xlpm.sv,IFERROR(_xlfn.XLOOKUP($A31,Transformers!$A$6:$A$105,Transformers!$E$6:$E$105),""),IF(OR(NOT(ISNUMBER(_xlpm.k)),NOT(ISNUMBER(_xlpm.sv)),_xlpm.sv=0),"",_xlfn.LET(_xlpm.iInf,(_xlpm.k*1000/(_xlpm.sv/2))*100/$CO31,_xlpm.pri,IF(OR($CK31="",$CK31=0),"",$CK31/2),_xlpm.base,IF(_xlpm.pri="",_xlpm.iInf,_xlpm.iInf/(1+_xlpm.iInf/_xlpm.pri)),_xlpm.base+IF($L31="",0,$L31))))),IF($CP31="","",_xlfn.LET(_xlpm.pI,IFERROR(_xlfn.XLOOKUP($E31,$A$6:$A$255,$P$6:$P$255),""),IF(NOT(ISNUMBER(_xlpm.pI)),"",_xlpm.pI/(1+$CP31)+IF($L31="",0,$L31))))))</f>
        <v/>
      </c>
      <c r="Q31" s="210" t="str">
        <f t="shared" si="7"/>
        <v/>
      </c>
      <c r="R31" s="177" t="str">
        <f>IF($A31="","",IF(OR($C31=0,LEFT($A31,2)="T-"),"",IFERROR(_xlfn.LET(_xlpm.v,_xlfn.XLOOKUP($A31,Dashboard!$A$101:$A$350,Dashboard!$K$101:$K$350),IF(ISNUMBER(_xlpm.v),_xlpm.v,"")),"")))</f>
        <v/>
      </c>
      <c r="S31" s="211" t="str">
        <f t="shared" si="8"/>
        <v/>
      </c>
      <c r="T31" s="25" t="str">
        <f t="shared" si="9"/>
        <v/>
      </c>
      <c r="U31" s="364"/>
      <c r="BV31" s="20" t="str">
        <f>IF($A31="","",IFERROR(_xlfn.XLOOKUP("F-"&amp;$A31,'Feeder Schedule'!$B$5:$B$254,'Feeder Schedule'!$H$5:$H$254),""))</f>
        <v/>
      </c>
      <c r="BW31" s="20" t="str">
        <f>IF($A31="","",IFERROR(_xlfn.XLOOKUP("F-"&amp;$A31,'Feeder Schedule'!$B$5:$B$254,'Feeder Schedule'!$BV$5:$BV$254),""))</f>
        <v/>
      </c>
      <c r="BX31" s="20" t="str">
        <f>IF($A31="","",IFERROR(_xlfn.LET(_xlpm.v,_xlfn.XLOOKUP("F-"&amp;$A31,'Feeder Schedule'!$B$5:$B$254,'Feeder Schedule'!$M$5:$M$254),IF(OR(_xlpm.v="",_xlpm.v=0),Cfg_Conduit,_xlpm.v)),""))</f>
        <v/>
      </c>
      <c r="BY31" s="20" t="str">
        <f>IF($A31="","",IFERROR(_xlfn.XLOOKUP("F-"&amp;$A31,'Feeder Schedule'!$B$5:$B$254,'Feeder Schedule'!$O$5:$O$254),""))</f>
        <v/>
      </c>
      <c r="BZ31" s="20" t="str">
        <f>IF($A31="","",IFERROR(_xlfn.XLOOKUP("F-"&amp;$A31,'Feeder Schedule'!$B$5:$B$254,'Feeder Schedule'!$CH$5:$CH$254),""))</f>
        <v/>
      </c>
      <c r="CA31" s="20" t="str">
        <f>IF($A31="","",IFERROR(_xlfn.XLOOKUP("F-"&amp;$A31,'Feeder Schedule'!$B$5:$B$254,'Feeder Schedule'!$F$5:$F$254),""))</f>
        <v/>
      </c>
      <c r="CB31" s="20" t="str">
        <f>IF($A31="","",IFERROR(_xlfn.XLOOKUP("F-"&amp;$A31,'Feeder Schedule'!$B$5:$B$254,'Feeder Schedule'!$G$5:$G$254),""))</f>
        <v/>
      </c>
      <c r="CD31" s="20" t="str" cm="1">
        <f t="array" ref="CD31">IFERROR(IF($A31="","",INDEX(_xlfn.ANCHORARRAY($BK$4),ROW()-5,6)),"")</f>
        <v/>
      </c>
      <c r="CE31" s="20" t="str">
        <f t="shared" si="12"/>
        <v/>
      </c>
      <c r="CF31" s="20" t="str">
        <f t="shared" si="13"/>
        <v/>
      </c>
      <c r="CG31" s="20" t="str">
        <f t="shared" si="10"/>
        <v/>
      </c>
      <c r="CH31" s="20" t="str" cm="1">
        <f t="array" ref="CH31">IF(OR($A31="",$BZ31="",$BW31="",$BX31=""),"",_xlfn.LET(_xlpm.mag,IFERROR(_xlfn.XLOOKUP($BX31,Race_Raceway,Race_Mag),""),IF(_xlpm.mag="","",IFERROR(INDEX(Cond_Table,MATCH($BZ31,Cond_Size,0),IF(UPPER($BW31)="AL",IF(_xlpm.mag="Y",10,12),IF(_xlpm.mag="Y",9,11))),""))))</f>
        <v/>
      </c>
      <c r="CI31" s="20" t="str">
        <f t="shared" si="11"/>
        <v/>
      </c>
      <c r="CJ31" s="20" t="str">
        <f>IF(OR($A31="",LEFT($A31,2)&lt;&gt;"T-"),"",IFERROR(_xlfn.LET(_xlpm.fla,_xlfn.XLOOKUP($A31,Transformers!$A$6:$A$105,Transformers!$AK$6:$AK$105),_xlpm.z,_xlfn.XLOOKUP($A31,Transformers!$A$6:$A$105,Transformers!$AX$6:$AX$105),IF(OR(_xlpm.fla="",_xlpm.z="",_xlpm.z=0),"",_xlpm.fla*100/_xlpm.z)),""))</f>
        <v/>
      </c>
      <c r="CK31" s="20" t="str">
        <f t="shared" si="14"/>
        <v/>
      </c>
      <c r="CL31" s="20" t="str">
        <f t="shared" si="15"/>
        <v/>
      </c>
      <c r="CM31" s="373"/>
      <c r="CO31" s="20" t="str">
        <f>IF(OR($A31="",LEFT($A31,2)&lt;&gt;"T-"),"",_xlfn.LET(_xlpm.ph,IFERROR(_xlfn.XLOOKUP($A31,Transformers!$A$6:$A$105,Transformers!$C$6:$C$105),""),_xlpm.rr,IFERROR(_xlfn.XLOOKUP($A31,Transformers!$A$6:$A$105,Transformers!$AG$6:$AG$105),""),_xlpm.xx,IFERROR(_xlfn.XLOOKUP($A31,Transformers!$A$6:$A$105,Transformers!$AI$6:$AI$105),""),IF(OR(_xlpm.ph&lt;&gt;1,NOT(ISNUMBER(_xlpm.rr)),NOT(ISNUMBER(_xlpm.xx))),"",SQRT((1.5*_xlpm.rr)^2+(1.2*_xlpm.xx)^2))))</f>
        <v/>
      </c>
      <c r="CP31" s="20" t="str">
        <f t="shared" si="16"/>
        <v/>
      </c>
    </row>
    <row r="32" spans="1:94" ht="15" customHeight="1" x14ac:dyDescent="0.45">
      <c r="A32" s="275" t="str" cm="1">
        <f t="array" ref="A32">IFERROR(IF(INDEX(_xlfn.ANCHORARRAY($BK$4),ROW()-5,1)="","",INDEX(_xlfn.ANCHORARRAY($BK$4),ROW()-5,1)),"")</f>
        <v/>
      </c>
      <c r="B32" s="25" t="str" cm="1">
        <f t="array" ref="B32">IFERROR(IF($A32="","",INDEX(_xlfn.ANCHORARRAY($BK$4),ROW()-5,5)),"")</f>
        <v/>
      </c>
      <c r="C32" s="178" t="str" cm="1">
        <f t="array" ref="C32">IFERROR(IF($A32="","",INDEX(_xlfn.ANCHORARRAY($BK$4),ROW()-5,7)),"")</f>
        <v/>
      </c>
      <c r="D32" s="177" t="str" cm="1">
        <f t="array" ref="D32">IFERROR(IF($A32="","",INDEX(_xlfn.ANCHORARRAY($BK$4),ROW()-5,3)),"")</f>
        <v/>
      </c>
      <c r="E32" s="25" t="str" cm="1">
        <f t="array" ref="E32">IFERROR(IF($A32="","",INDEX(_xlfn.ANCHORARRAY($BK$4),ROW()-5,2)),"")</f>
        <v/>
      </c>
      <c r="F32" s="177" t="str">
        <f t="shared" si="0"/>
        <v/>
      </c>
      <c r="G32" s="275" t="str">
        <f t="shared" si="1"/>
        <v/>
      </c>
      <c r="H32" s="180" t="str">
        <f t="shared" si="2"/>
        <v/>
      </c>
      <c r="I32" s="180" t="str">
        <f t="shared" si="3"/>
        <v/>
      </c>
      <c r="J32" s="177" t="str">
        <f>_xlfn.LET(_xlpm.v,_xlfn.LET(_xlpm.base,IF($A32="","",IF($C32=0,IFERROR(_xlfn.XLOOKUP($A32,Util_Tags,Util_SCAEff),""),IF(LEFT($A32,2)="T-",IF($CJ32="","",$CJ32/(1+IF($CL32="",0,$CL32))),IF(OR($F32="",$I32=""),"",$F32*$I32)))),_xlpm.gtag,IF(OR($A32="",NOT(OR($B32="ATS",$B32="MTS"))),"",IFERROR(_xlfn.XLOOKUP($A32,Dashboard!$A$101:$A$350,Dashboard!$L$101:$L$350,"")&amp;"","")),_xlpm.gkva,IF(_xlpm.gtag="",0,IFERROR(N(_xlfn.XLOOKUP(_xlpm.gtag,Generator!$B$53:$B$58,Generator!$S$53:$S$58,0)),0)),_xlpm.gxd,IF(_xlpm.gtag="",0,IFERROR(N(_xlfn.XLOOKUP(_xlpm.gtag,Generator!$B$53:$B$58,Generator!$U$53:$U$58,0)),0)),_xlpm.gamp,IF(OR(_xlpm.gkva=0,_xlpm.gxd=0,N($D32)=0),0,ROUND(_xlpm.gkva*1000/(IF(N($CB32)=1,1,SQRT(3))*$D32*_xlpm.gxd),0)),IF(OR(_xlpm.gamp=0,NOT(ISNUMBER(_xlpm.base))),_xlpm.base,MAX(_xlpm.base,_xlpm.gamp))),_xlpm.ulim,IF(OR($A32="",$B32&lt;&gt;"UPS"),"",IFERROR(IF(_xlfn.XLOOKUP($A32,UPS!$B$57:$B$64,UPS!$E$57:$E$64,"")="None",_xlfn.XLOOKUP($A32,UPS!$B$57:$B$64,UPS!$U$57:$U$64,""),""),"")),IF(AND(ISNUMBER(_xlpm.v),ISNUMBER(_xlpm.ulim)),MIN(_xlpm.v,_xlpm.ulim),_xlpm.v))</f>
        <v/>
      </c>
      <c r="K32" s="176"/>
      <c r="L32" s="177" t="str">
        <f t="shared" si="4"/>
        <v/>
      </c>
      <c r="M32" s="177" t="str">
        <f t="shared" si="5"/>
        <v/>
      </c>
      <c r="N32" s="380" t="str">
        <f>IF($A32="","",IF($C32=0,_xlfn.LET(_xlpm.x,IFERROR(_xlfn.XLOOKUP($A32,Util_Tags,Util_XR),""),IF(N(_xlpm.x)=0,Xfmr_DefXR,_xlpm.x)),IF(LEFT($A32,2)="T-",IFERROR(_xlfn.XLOOKUP($A32,Transformers!$A$6:$A$105,Transformers!$AH$6:$AH$105),Xfmr_DefXR),IFERROR(_xlfn.XLOOKUP($E32,$A$6:$A$255,$N$6:$N$255),Xfmr_DefXR))))</f>
        <v/>
      </c>
      <c r="O32" s="177" t="str">
        <f t="shared" si="6"/>
        <v/>
      </c>
      <c r="P32" s="210" t="str">
        <f>IF($A32="","",IF(LEFT($A32,2)="T-",IF($CO32="","",_xlfn.LET(_xlpm.k,IFERROR(_xlfn.XLOOKUP($A32,Transformers!$A$6:$A$105,Transformers!$G$6:$G$105),""),_xlpm.sv,IFERROR(_xlfn.XLOOKUP($A32,Transformers!$A$6:$A$105,Transformers!$E$6:$E$105),""),IF(OR(NOT(ISNUMBER(_xlpm.k)),NOT(ISNUMBER(_xlpm.sv)),_xlpm.sv=0),"",_xlfn.LET(_xlpm.iInf,(_xlpm.k*1000/(_xlpm.sv/2))*100/$CO32,_xlpm.pri,IF(OR($CK32="",$CK32=0),"",$CK32/2),_xlpm.base,IF(_xlpm.pri="",_xlpm.iInf,_xlpm.iInf/(1+_xlpm.iInf/_xlpm.pri)),_xlpm.base+IF($L32="",0,$L32))))),IF($CP32="","",_xlfn.LET(_xlpm.pI,IFERROR(_xlfn.XLOOKUP($E32,$A$6:$A$255,$P$6:$P$255),""),IF(NOT(ISNUMBER(_xlpm.pI)),"",_xlpm.pI/(1+$CP32)+IF($L32="",0,$L32))))))</f>
        <v/>
      </c>
      <c r="Q32" s="210" t="str">
        <f t="shared" si="7"/>
        <v/>
      </c>
      <c r="R32" s="177" t="str">
        <f>IF($A32="","",IF(OR($C32=0,LEFT($A32,2)="T-"),"",IFERROR(_xlfn.LET(_xlpm.v,_xlfn.XLOOKUP($A32,Dashboard!$A$101:$A$350,Dashboard!$K$101:$K$350),IF(ISNUMBER(_xlpm.v),_xlpm.v,"")),"")))</f>
        <v/>
      </c>
      <c r="S32" s="211" t="str">
        <f t="shared" si="8"/>
        <v/>
      </c>
      <c r="T32" s="25" t="str">
        <f t="shared" si="9"/>
        <v/>
      </c>
      <c r="U32" s="364"/>
      <c r="BV32" s="20" t="str">
        <f>IF($A32="","",IFERROR(_xlfn.XLOOKUP("F-"&amp;$A32,'Feeder Schedule'!$B$5:$B$254,'Feeder Schedule'!$H$5:$H$254),""))</f>
        <v/>
      </c>
      <c r="BW32" s="20" t="str">
        <f>IF($A32="","",IFERROR(_xlfn.XLOOKUP("F-"&amp;$A32,'Feeder Schedule'!$B$5:$B$254,'Feeder Schedule'!$BV$5:$BV$254),""))</f>
        <v/>
      </c>
      <c r="BX32" s="20" t="str">
        <f>IF($A32="","",IFERROR(_xlfn.LET(_xlpm.v,_xlfn.XLOOKUP("F-"&amp;$A32,'Feeder Schedule'!$B$5:$B$254,'Feeder Schedule'!$M$5:$M$254),IF(OR(_xlpm.v="",_xlpm.v=0),Cfg_Conduit,_xlpm.v)),""))</f>
        <v/>
      </c>
      <c r="BY32" s="20" t="str">
        <f>IF($A32="","",IFERROR(_xlfn.XLOOKUP("F-"&amp;$A32,'Feeder Schedule'!$B$5:$B$254,'Feeder Schedule'!$O$5:$O$254),""))</f>
        <v/>
      </c>
      <c r="BZ32" s="20" t="str">
        <f>IF($A32="","",IFERROR(_xlfn.XLOOKUP("F-"&amp;$A32,'Feeder Schedule'!$B$5:$B$254,'Feeder Schedule'!$CH$5:$CH$254),""))</f>
        <v/>
      </c>
      <c r="CA32" s="20" t="str">
        <f>IF($A32="","",IFERROR(_xlfn.XLOOKUP("F-"&amp;$A32,'Feeder Schedule'!$B$5:$B$254,'Feeder Schedule'!$F$5:$F$254),""))</f>
        <v/>
      </c>
      <c r="CB32" s="20" t="str">
        <f>IF($A32="","",IFERROR(_xlfn.XLOOKUP("F-"&amp;$A32,'Feeder Schedule'!$B$5:$B$254,'Feeder Schedule'!$G$5:$G$254),""))</f>
        <v/>
      </c>
      <c r="CD32" s="20" t="str" cm="1">
        <f t="array" ref="CD32">IFERROR(IF($A32="","",INDEX(_xlfn.ANCHORARRAY($BK$4),ROW()-5,6)),"")</f>
        <v/>
      </c>
      <c r="CE32" s="20" t="str">
        <f t="shared" si="12"/>
        <v/>
      </c>
      <c r="CF32" s="20" t="str">
        <f t="shared" si="13"/>
        <v/>
      </c>
      <c r="CG32" s="20" t="str">
        <f t="shared" si="10"/>
        <v/>
      </c>
      <c r="CH32" s="20" t="str" cm="1">
        <f t="array" ref="CH32">IF(OR($A32="",$BZ32="",$BW32="",$BX32=""),"",_xlfn.LET(_xlpm.mag,IFERROR(_xlfn.XLOOKUP($BX32,Race_Raceway,Race_Mag),""),IF(_xlpm.mag="","",IFERROR(INDEX(Cond_Table,MATCH($BZ32,Cond_Size,0),IF(UPPER($BW32)="AL",IF(_xlpm.mag="Y",10,12),IF(_xlpm.mag="Y",9,11))),""))))</f>
        <v/>
      </c>
      <c r="CI32" s="20" t="str">
        <f t="shared" si="11"/>
        <v/>
      </c>
      <c r="CJ32" s="20" t="str">
        <f>IF(OR($A32="",LEFT($A32,2)&lt;&gt;"T-"),"",IFERROR(_xlfn.LET(_xlpm.fla,_xlfn.XLOOKUP($A32,Transformers!$A$6:$A$105,Transformers!$AK$6:$AK$105),_xlpm.z,_xlfn.XLOOKUP($A32,Transformers!$A$6:$A$105,Transformers!$AX$6:$AX$105),IF(OR(_xlpm.fla="",_xlpm.z="",_xlpm.z=0),"",_xlpm.fla*100/_xlpm.z)),""))</f>
        <v/>
      </c>
      <c r="CK32" s="20" t="str">
        <f t="shared" si="14"/>
        <v/>
      </c>
      <c r="CL32" s="20" t="str">
        <f t="shared" si="15"/>
        <v/>
      </c>
      <c r="CM32" s="373"/>
      <c r="CO32" s="20" t="str">
        <f>IF(OR($A32="",LEFT($A32,2)&lt;&gt;"T-"),"",_xlfn.LET(_xlpm.ph,IFERROR(_xlfn.XLOOKUP($A32,Transformers!$A$6:$A$105,Transformers!$C$6:$C$105),""),_xlpm.rr,IFERROR(_xlfn.XLOOKUP($A32,Transformers!$A$6:$A$105,Transformers!$AG$6:$AG$105),""),_xlpm.xx,IFERROR(_xlfn.XLOOKUP($A32,Transformers!$A$6:$A$105,Transformers!$AI$6:$AI$105),""),IF(OR(_xlpm.ph&lt;&gt;1,NOT(ISNUMBER(_xlpm.rr)),NOT(ISNUMBER(_xlpm.xx))),"",SQRT((1.5*_xlpm.rr)^2+(1.2*_xlpm.xx)^2))))</f>
        <v/>
      </c>
      <c r="CP32" s="20" t="str">
        <f t="shared" si="16"/>
        <v/>
      </c>
    </row>
    <row r="33" spans="1:94" ht="15" customHeight="1" x14ac:dyDescent="0.45">
      <c r="A33" s="275" t="str" cm="1">
        <f t="array" ref="A33">IFERROR(IF(INDEX(_xlfn.ANCHORARRAY($BK$4),ROW()-5,1)="","",INDEX(_xlfn.ANCHORARRAY($BK$4),ROW()-5,1)),"")</f>
        <v/>
      </c>
      <c r="B33" s="25" t="str" cm="1">
        <f t="array" ref="B33">IFERROR(IF($A33="","",INDEX(_xlfn.ANCHORARRAY($BK$4),ROW()-5,5)),"")</f>
        <v/>
      </c>
      <c r="C33" s="178" t="str" cm="1">
        <f t="array" ref="C33">IFERROR(IF($A33="","",INDEX(_xlfn.ANCHORARRAY($BK$4),ROW()-5,7)),"")</f>
        <v/>
      </c>
      <c r="D33" s="177" t="str" cm="1">
        <f t="array" ref="D33">IFERROR(IF($A33="","",INDEX(_xlfn.ANCHORARRAY($BK$4),ROW()-5,3)),"")</f>
        <v/>
      </c>
      <c r="E33" s="25" t="str" cm="1">
        <f t="array" ref="E33">IFERROR(IF($A33="","",INDEX(_xlfn.ANCHORARRAY($BK$4),ROW()-5,2)),"")</f>
        <v/>
      </c>
      <c r="F33" s="177" t="str">
        <f t="shared" si="0"/>
        <v/>
      </c>
      <c r="G33" s="275" t="str">
        <f t="shared" si="1"/>
        <v/>
      </c>
      <c r="H33" s="180" t="str">
        <f t="shared" si="2"/>
        <v/>
      </c>
      <c r="I33" s="180" t="str">
        <f t="shared" si="3"/>
        <v/>
      </c>
      <c r="J33" s="177" t="str">
        <f>_xlfn.LET(_xlpm.v,_xlfn.LET(_xlpm.base,IF($A33="","",IF($C33=0,IFERROR(_xlfn.XLOOKUP($A33,Util_Tags,Util_SCAEff),""),IF(LEFT($A33,2)="T-",IF($CJ33="","",$CJ33/(1+IF($CL33="",0,$CL33))),IF(OR($F33="",$I33=""),"",$F33*$I33)))),_xlpm.gtag,IF(OR($A33="",NOT(OR($B33="ATS",$B33="MTS"))),"",IFERROR(_xlfn.XLOOKUP($A33,Dashboard!$A$101:$A$350,Dashboard!$L$101:$L$350,"")&amp;"","")),_xlpm.gkva,IF(_xlpm.gtag="",0,IFERROR(N(_xlfn.XLOOKUP(_xlpm.gtag,Generator!$B$53:$B$58,Generator!$S$53:$S$58,0)),0)),_xlpm.gxd,IF(_xlpm.gtag="",0,IFERROR(N(_xlfn.XLOOKUP(_xlpm.gtag,Generator!$B$53:$B$58,Generator!$U$53:$U$58,0)),0)),_xlpm.gamp,IF(OR(_xlpm.gkva=0,_xlpm.gxd=0,N($D33)=0),0,ROUND(_xlpm.gkva*1000/(IF(N($CB33)=1,1,SQRT(3))*$D33*_xlpm.gxd),0)),IF(OR(_xlpm.gamp=0,NOT(ISNUMBER(_xlpm.base))),_xlpm.base,MAX(_xlpm.base,_xlpm.gamp))),_xlpm.ulim,IF(OR($A33="",$B33&lt;&gt;"UPS"),"",IFERROR(IF(_xlfn.XLOOKUP($A33,UPS!$B$57:$B$64,UPS!$E$57:$E$64,"")="None",_xlfn.XLOOKUP($A33,UPS!$B$57:$B$64,UPS!$U$57:$U$64,""),""),"")),IF(AND(ISNUMBER(_xlpm.v),ISNUMBER(_xlpm.ulim)),MIN(_xlpm.v,_xlpm.ulim),_xlpm.v))</f>
        <v/>
      </c>
      <c r="K33" s="176"/>
      <c r="L33" s="177" t="str">
        <f t="shared" si="4"/>
        <v/>
      </c>
      <c r="M33" s="177" t="str">
        <f t="shared" si="5"/>
        <v/>
      </c>
      <c r="N33" s="380" t="str">
        <f>IF($A33="","",IF($C33=0,_xlfn.LET(_xlpm.x,IFERROR(_xlfn.XLOOKUP($A33,Util_Tags,Util_XR),""),IF(N(_xlpm.x)=0,Xfmr_DefXR,_xlpm.x)),IF(LEFT($A33,2)="T-",IFERROR(_xlfn.XLOOKUP($A33,Transformers!$A$6:$A$105,Transformers!$AH$6:$AH$105),Xfmr_DefXR),IFERROR(_xlfn.XLOOKUP($E33,$A$6:$A$255,$N$6:$N$255),Xfmr_DefXR))))</f>
        <v/>
      </c>
      <c r="O33" s="177" t="str">
        <f t="shared" si="6"/>
        <v/>
      </c>
      <c r="P33" s="210" t="str">
        <f>IF($A33="","",IF(LEFT($A33,2)="T-",IF($CO33="","",_xlfn.LET(_xlpm.k,IFERROR(_xlfn.XLOOKUP($A33,Transformers!$A$6:$A$105,Transformers!$G$6:$G$105),""),_xlpm.sv,IFERROR(_xlfn.XLOOKUP($A33,Transformers!$A$6:$A$105,Transformers!$E$6:$E$105),""),IF(OR(NOT(ISNUMBER(_xlpm.k)),NOT(ISNUMBER(_xlpm.sv)),_xlpm.sv=0),"",_xlfn.LET(_xlpm.iInf,(_xlpm.k*1000/(_xlpm.sv/2))*100/$CO33,_xlpm.pri,IF(OR($CK33="",$CK33=0),"",$CK33/2),_xlpm.base,IF(_xlpm.pri="",_xlpm.iInf,_xlpm.iInf/(1+_xlpm.iInf/_xlpm.pri)),_xlpm.base+IF($L33="",0,$L33))))),IF($CP33="","",_xlfn.LET(_xlpm.pI,IFERROR(_xlfn.XLOOKUP($E33,$A$6:$A$255,$P$6:$P$255),""),IF(NOT(ISNUMBER(_xlpm.pI)),"",_xlpm.pI/(1+$CP33)+IF($L33="",0,$L33))))))</f>
        <v/>
      </c>
      <c r="Q33" s="210" t="str">
        <f t="shared" si="7"/>
        <v/>
      </c>
      <c r="R33" s="177" t="str">
        <f>IF($A33="","",IF(OR($C33=0,LEFT($A33,2)="T-"),"",IFERROR(_xlfn.LET(_xlpm.v,_xlfn.XLOOKUP($A33,Dashboard!$A$101:$A$350,Dashboard!$K$101:$K$350),IF(ISNUMBER(_xlpm.v),_xlpm.v,"")),"")))</f>
        <v/>
      </c>
      <c r="S33" s="211" t="str">
        <f t="shared" si="8"/>
        <v/>
      </c>
      <c r="T33" s="25" t="str">
        <f t="shared" si="9"/>
        <v/>
      </c>
      <c r="U33" s="364"/>
      <c r="BV33" s="20" t="str">
        <f>IF($A33="","",IFERROR(_xlfn.XLOOKUP("F-"&amp;$A33,'Feeder Schedule'!$B$5:$B$254,'Feeder Schedule'!$H$5:$H$254),""))</f>
        <v/>
      </c>
      <c r="BW33" s="20" t="str">
        <f>IF($A33="","",IFERROR(_xlfn.XLOOKUP("F-"&amp;$A33,'Feeder Schedule'!$B$5:$B$254,'Feeder Schedule'!$BV$5:$BV$254),""))</f>
        <v/>
      </c>
      <c r="BX33" s="20" t="str">
        <f>IF($A33="","",IFERROR(_xlfn.LET(_xlpm.v,_xlfn.XLOOKUP("F-"&amp;$A33,'Feeder Schedule'!$B$5:$B$254,'Feeder Schedule'!$M$5:$M$254),IF(OR(_xlpm.v="",_xlpm.v=0),Cfg_Conduit,_xlpm.v)),""))</f>
        <v/>
      </c>
      <c r="BY33" s="20" t="str">
        <f>IF($A33="","",IFERROR(_xlfn.XLOOKUP("F-"&amp;$A33,'Feeder Schedule'!$B$5:$B$254,'Feeder Schedule'!$O$5:$O$254),""))</f>
        <v/>
      </c>
      <c r="BZ33" s="20" t="str">
        <f>IF($A33="","",IFERROR(_xlfn.XLOOKUP("F-"&amp;$A33,'Feeder Schedule'!$B$5:$B$254,'Feeder Schedule'!$CH$5:$CH$254),""))</f>
        <v/>
      </c>
      <c r="CA33" s="20" t="str">
        <f>IF($A33="","",IFERROR(_xlfn.XLOOKUP("F-"&amp;$A33,'Feeder Schedule'!$B$5:$B$254,'Feeder Schedule'!$F$5:$F$254),""))</f>
        <v/>
      </c>
      <c r="CB33" s="20" t="str">
        <f>IF($A33="","",IFERROR(_xlfn.XLOOKUP("F-"&amp;$A33,'Feeder Schedule'!$B$5:$B$254,'Feeder Schedule'!$G$5:$G$254),""))</f>
        <v/>
      </c>
      <c r="CD33" s="20" t="str" cm="1">
        <f t="array" ref="CD33">IFERROR(IF($A33="","",INDEX(_xlfn.ANCHORARRAY($BK$4),ROW()-5,6)),"")</f>
        <v/>
      </c>
      <c r="CE33" s="20" t="str">
        <f t="shared" si="12"/>
        <v/>
      </c>
      <c r="CF33" s="20" t="str">
        <f t="shared" si="13"/>
        <v/>
      </c>
      <c r="CG33" s="20" t="str">
        <f t="shared" si="10"/>
        <v/>
      </c>
      <c r="CH33" s="20" t="str" cm="1">
        <f t="array" ref="CH33">IF(OR($A33="",$BZ33="",$BW33="",$BX33=""),"",_xlfn.LET(_xlpm.mag,IFERROR(_xlfn.XLOOKUP($BX33,Race_Raceway,Race_Mag),""),IF(_xlpm.mag="","",IFERROR(INDEX(Cond_Table,MATCH($BZ33,Cond_Size,0),IF(UPPER($BW33)="AL",IF(_xlpm.mag="Y",10,12),IF(_xlpm.mag="Y",9,11))),""))))</f>
        <v/>
      </c>
      <c r="CI33" s="20" t="str">
        <f t="shared" si="11"/>
        <v/>
      </c>
      <c r="CJ33" s="20" t="str">
        <f>IF(OR($A33="",LEFT($A33,2)&lt;&gt;"T-"),"",IFERROR(_xlfn.LET(_xlpm.fla,_xlfn.XLOOKUP($A33,Transformers!$A$6:$A$105,Transformers!$AK$6:$AK$105),_xlpm.z,_xlfn.XLOOKUP($A33,Transformers!$A$6:$A$105,Transformers!$AX$6:$AX$105),IF(OR(_xlpm.fla="",_xlpm.z="",_xlpm.z=0),"",_xlpm.fla*100/_xlpm.z)),""))</f>
        <v/>
      </c>
      <c r="CK33" s="20" t="str">
        <f t="shared" si="14"/>
        <v/>
      </c>
      <c r="CL33" s="20" t="str">
        <f t="shared" si="15"/>
        <v/>
      </c>
      <c r="CM33" s="373"/>
      <c r="CO33" s="20" t="str">
        <f>IF(OR($A33="",LEFT($A33,2)&lt;&gt;"T-"),"",_xlfn.LET(_xlpm.ph,IFERROR(_xlfn.XLOOKUP($A33,Transformers!$A$6:$A$105,Transformers!$C$6:$C$105),""),_xlpm.rr,IFERROR(_xlfn.XLOOKUP($A33,Transformers!$A$6:$A$105,Transformers!$AG$6:$AG$105),""),_xlpm.xx,IFERROR(_xlfn.XLOOKUP($A33,Transformers!$A$6:$A$105,Transformers!$AI$6:$AI$105),""),IF(OR(_xlpm.ph&lt;&gt;1,NOT(ISNUMBER(_xlpm.rr)),NOT(ISNUMBER(_xlpm.xx))),"",SQRT((1.5*_xlpm.rr)^2+(1.2*_xlpm.xx)^2))))</f>
        <v/>
      </c>
      <c r="CP33" s="20" t="str">
        <f t="shared" si="16"/>
        <v/>
      </c>
    </row>
    <row r="34" spans="1:94" ht="15" customHeight="1" x14ac:dyDescent="0.45">
      <c r="A34" s="275" t="str" cm="1">
        <f t="array" ref="A34">IFERROR(IF(INDEX(_xlfn.ANCHORARRAY($BK$4),ROW()-5,1)="","",INDEX(_xlfn.ANCHORARRAY($BK$4),ROW()-5,1)),"")</f>
        <v/>
      </c>
      <c r="B34" s="25" t="str" cm="1">
        <f t="array" ref="B34">IFERROR(IF($A34="","",INDEX(_xlfn.ANCHORARRAY($BK$4),ROW()-5,5)),"")</f>
        <v/>
      </c>
      <c r="C34" s="178" t="str" cm="1">
        <f t="array" ref="C34">IFERROR(IF($A34="","",INDEX(_xlfn.ANCHORARRAY($BK$4),ROW()-5,7)),"")</f>
        <v/>
      </c>
      <c r="D34" s="177" t="str" cm="1">
        <f t="array" ref="D34">IFERROR(IF($A34="","",INDEX(_xlfn.ANCHORARRAY($BK$4),ROW()-5,3)),"")</f>
        <v/>
      </c>
      <c r="E34" s="25" t="str" cm="1">
        <f t="array" ref="E34">IFERROR(IF($A34="","",INDEX(_xlfn.ANCHORARRAY($BK$4),ROW()-5,2)),"")</f>
        <v/>
      </c>
      <c r="F34" s="177" t="str">
        <f t="shared" si="0"/>
        <v/>
      </c>
      <c r="G34" s="275" t="str">
        <f t="shared" si="1"/>
        <v/>
      </c>
      <c r="H34" s="180" t="str">
        <f t="shared" si="2"/>
        <v/>
      </c>
      <c r="I34" s="180" t="str">
        <f t="shared" si="3"/>
        <v/>
      </c>
      <c r="J34" s="177" t="str">
        <f>_xlfn.LET(_xlpm.v,_xlfn.LET(_xlpm.base,IF($A34="","",IF($C34=0,IFERROR(_xlfn.XLOOKUP($A34,Util_Tags,Util_SCAEff),""),IF(LEFT($A34,2)="T-",IF($CJ34="","",$CJ34/(1+IF($CL34="",0,$CL34))),IF(OR($F34="",$I34=""),"",$F34*$I34)))),_xlpm.gtag,IF(OR($A34="",NOT(OR($B34="ATS",$B34="MTS"))),"",IFERROR(_xlfn.XLOOKUP($A34,Dashboard!$A$101:$A$350,Dashboard!$L$101:$L$350,"")&amp;"","")),_xlpm.gkva,IF(_xlpm.gtag="",0,IFERROR(N(_xlfn.XLOOKUP(_xlpm.gtag,Generator!$B$53:$B$58,Generator!$S$53:$S$58,0)),0)),_xlpm.gxd,IF(_xlpm.gtag="",0,IFERROR(N(_xlfn.XLOOKUP(_xlpm.gtag,Generator!$B$53:$B$58,Generator!$U$53:$U$58,0)),0)),_xlpm.gamp,IF(OR(_xlpm.gkva=0,_xlpm.gxd=0,N($D34)=0),0,ROUND(_xlpm.gkva*1000/(IF(N($CB34)=1,1,SQRT(3))*$D34*_xlpm.gxd),0)),IF(OR(_xlpm.gamp=0,NOT(ISNUMBER(_xlpm.base))),_xlpm.base,MAX(_xlpm.base,_xlpm.gamp))),_xlpm.ulim,IF(OR($A34="",$B34&lt;&gt;"UPS"),"",IFERROR(IF(_xlfn.XLOOKUP($A34,UPS!$B$57:$B$64,UPS!$E$57:$E$64,"")="None",_xlfn.XLOOKUP($A34,UPS!$B$57:$B$64,UPS!$U$57:$U$64,""),""),"")),IF(AND(ISNUMBER(_xlpm.v),ISNUMBER(_xlpm.ulim)),MIN(_xlpm.v,_xlpm.ulim),_xlpm.v))</f>
        <v/>
      </c>
      <c r="K34" s="176"/>
      <c r="L34" s="177" t="str">
        <f t="shared" si="4"/>
        <v/>
      </c>
      <c r="M34" s="177" t="str">
        <f t="shared" si="5"/>
        <v/>
      </c>
      <c r="N34" s="380" t="str">
        <f>IF($A34="","",IF($C34=0,_xlfn.LET(_xlpm.x,IFERROR(_xlfn.XLOOKUP($A34,Util_Tags,Util_XR),""),IF(N(_xlpm.x)=0,Xfmr_DefXR,_xlpm.x)),IF(LEFT($A34,2)="T-",IFERROR(_xlfn.XLOOKUP($A34,Transformers!$A$6:$A$105,Transformers!$AH$6:$AH$105),Xfmr_DefXR),IFERROR(_xlfn.XLOOKUP($E34,$A$6:$A$255,$N$6:$N$255),Xfmr_DefXR))))</f>
        <v/>
      </c>
      <c r="O34" s="177" t="str">
        <f t="shared" si="6"/>
        <v/>
      </c>
      <c r="P34" s="210" t="str">
        <f>IF($A34="","",IF(LEFT($A34,2)="T-",IF($CO34="","",_xlfn.LET(_xlpm.k,IFERROR(_xlfn.XLOOKUP($A34,Transformers!$A$6:$A$105,Transformers!$G$6:$G$105),""),_xlpm.sv,IFERROR(_xlfn.XLOOKUP($A34,Transformers!$A$6:$A$105,Transformers!$E$6:$E$105),""),IF(OR(NOT(ISNUMBER(_xlpm.k)),NOT(ISNUMBER(_xlpm.sv)),_xlpm.sv=0),"",_xlfn.LET(_xlpm.iInf,(_xlpm.k*1000/(_xlpm.sv/2))*100/$CO34,_xlpm.pri,IF(OR($CK34="",$CK34=0),"",$CK34/2),_xlpm.base,IF(_xlpm.pri="",_xlpm.iInf,_xlpm.iInf/(1+_xlpm.iInf/_xlpm.pri)),_xlpm.base+IF($L34="",0,$L34))))),IF($CP34="","",_xlfn.LET(_xlpm.pI,IFERROR(_xlfn.XLOOKUP($E34,$A$6:$A$255,$P$6:$P$255),""),IF(NOT(ISNUMBER(_xlpm.pI)),"",_xlpm.pI/(1+$CP34)+IF($L34="",0,$L34))))))</f>
        <v/>
      </c>
      <c r="Q34" s="210" t="str">
        <f t="shared" si="7"/>
        <v/>
      </c>
      <c r="R34" s="177" t="str">
        <f>IF($A34="","",IF(OR($C34=0,LEFT($A34,2)="T-"),"",IFERROR(_xlfn.LET(_xlpm.v,_xlfn.XLOOKUP($A34,Dashboard!$A$101:$A$350,Dashboard!$K$101:$K$350),IF(ISNUMBER(_xlpm.v),_xlpm.v,"")),"")))</f>
        <v/>
      </c>
      <c r="S34" s="211" t="str">
        <f t="shared" si="8"/>
        <v/>
      </c>
      <c r="T34" s="25" t="str">
        <f t="shared" si="9"/>
        <v/>
      </c>
      <c r="U34" s="364"/>
      <c r="BV34" s="20" t="str">
        <f>IF($A34="","",IFERROR(_xlfn.XLOOKUP("F-"&amp;$A34,'Feeder Schedule'!$B$5:$B$254,'Feeder Schedule'!$H$5:$H$254),""))</f>
        <v/>
      </c>
      <c r="BW34" s="20" t="str">
        <f>IF($A34="","",IFERROR(_xlfn.XLOOKUP("F-"&amp;$A34,'Feeder Schedule'!$B$5:$B$254,'Feeder Schedule'!$BV$5:$BV$254),""))</f>
        <v/>
      </c>
      <c r="BX34" s="20" t="str">
        <f>IF($A34="","",IFERROR(_xlfn.LET(_xlpm.v,_xlfn.XLOOKUP("F-"&amp;$A34,'Feeder Schedule'!$B$5:$B$254,'Feeder Schedule'!$M$5:$M$254),IF(OR(_xlpm.v="",_xlpm.v=0),Cfg_Conduit,_xlpm.v)),""))</f>
        <v/>
      </c>
      <c r="BY34" s="20" t="str">
        <f>IF($A34="","",IFERROR(_xlfn.XLOOKUP("F-"&amp;$A34,'Feeder Schedule'!$B$5:$B$254,'Feeder Schedule'!$O$5:$O$254),""))</f>
        <v/>
      </c>
      <c r="BZ34" s="20" t="str">
        <f>IF($A34="","",IFERROR(_xlfn.XLOOKUP("F-"&amp;$A34,'Feeder Schedule'!$B$5:$B$254,'Feeder Schedule'!$CH$5:$CH$254),""))</f>
        <v/>
      </c>
      <c r="CA34" s="20" t="str">
        <f>IF($A34="","",IFERROR(_xlfn.XLOOKUP("F-"&amp;$A34,'Feeder Schedule'!$B$5:$B$254,'Feeder Schedule'!$F$5:$F$254),""))</f>
        <v/>
      </c>
      <c r="CB34" s="20" t="str">
        <f>IF($A34="","",IFERROR(_xlfn.XLOOKUP("F-"&amp;$A34,'Feeder Schedule'!$B$5:$B$254,'Feeder Schedule'!$G$5:$G$254),""))</f>
        <v/>
      </c>
      <c r="CD34" s="20" t="str" cm="1">
        <f t="array" ref="CD34">IFERROR(IF($A34="","",INDEX(_xlfn.ANCHORARRAY($BK$4),ROW()-5,6)),"")</f>
        <v/>
      </c>
      <c r="CE34" s="20" t="str">
        <f t="shared" si="12"/>
        <v/>
      </c>
      <c r="CF34" s="20" t="str">
        <f t="shared" si="13"/>
        <v/>
      </c>
      <c r="CG34" s="20" t="str">
        <f t="shared" si="10"/>
        <v/>
      </c>
      <c r="CH34" s="20" t="str" cm="1">
        <f t="array" ref="CH34">IF(OR($A34="",$BZ34="",$BW34="",$BX34=""),"",_xlfn.LET(_xlpm.mag,IFERROR(_xlfn.XLOOKUP($BX34,Race_Raceway,Race_Mag),""),IF(_xlpm.mag="","",IFERROR(INDEX(Cond_Table,MATCH($BZ34,Cond_Size,0),IF(UPPER($BW34)="AL",IF(_xlpm.mag="Y",10,12),IF(_xlpm.mag="Y",9,11))),""))))</f>
        <v/>
      </c>
      <c r="CI34" s="20" t="str">
        <f t="shared" si="11"/>
        <v/>
      </c>
      <c r="CJ34" s="20" t="str">
        <f>IF(OR($A34="",LEFT($A34,2)&lt;&gt;"T-"),"",IFERROR(_xlfn.LET(_xlpm.fla,_xlfn.XLOOKUP($A34,Transformers!$A$6:$A$105,Transformers!$AK$6:$AK$105),_xlpm.z,_xlfn.XLOOKUP($A34,Transformers!$A$6:$A$105,Transformers!$AX$6:$AX$105),IF(OR(_xlpm.fla="",_xlpm.z="",_xlpm.z=0),"",_xlpm.fla*100/_xlpm.z)),""))</f>
        <v/>
      </c>
      <c r="CK34" s="20" t="str">
        <f t="shared" si="14"/>
        <v/>
      </c>
      <c r="CL34" s="20" t="str">
        <f t="shared" si="15"/>
        <v/>
      </c>
      <c r="CM34" s="373"/>
      <c r="CO34" s="20" t="str">
        <f>IF(OR($A34="",LEFT($A34,2)&lt;&gt;"T-"),"",_xlfn.LET(_xlpm.ph,IFERROR(_xlfn.XLOOKUP($A34,Transformers!$A$6:$A$105,Transformers!$C$6:$C$105),""),_xlpm.rr,IFERROR(_xlfn.XLOOKUP($A34,Transformers!$A$6:$A$105,Transformers!$AG$6:$AG$105),""),_xlpm.xx,IFERROR(_xlfn.XLOOKUP($A34,Transformers!$A$6:$A$105,Transformers!$AI$6:$AI$105),""),IF(OR(_xlpm.ph&lt;&gt;1,NOT(ISNUMBER(_xlpm.rr)),NOT(ISNUMBER(_xlpm.xx))),"",SQRT((1.5*_xlpm.rr)^2+(1.2*_xlpm.xx)^2))))</f>
        <v/>
      </c>
      <c r="CP34" s="20" t="str">
        <f t="shared" si="16"/>
        <v/>
      </c>
    </row>
    <row r="35" spans="1:94" ht="15" customHeight="1" x14ac:dyDescent="0.45">
      <c r="A35" s="275" t="str" cm="1">
        <f t="array" ref="A35">IFERROR(IF(INDEX(_xlfn.ANCHORARRAY($BK$4),ROW()-5,1)="","",INDEX(_xlfn.ANCHORARRAY($BK$4),ROW()-5,1)),"")</f>
        <v/>
      </c>
      <c r="B35" s="25" t="str" cm="1">
        <f t="array" ref="B35">IFERROR(IF($A35="","",INDEX(_xlfn.ANCHORARRAY($BK$4),ROW()-5,5)),"")</f>
        <v/>
      </c>
      <c r="C35" s="178" t="str" cm="1">
        <f t="array" ref="C35">IFERROR(IF($A35="","",INDEX(_xlfn.ANCHORARRAY($BK$4),ROW()-5,7)),"")</f>
        <v/>
      </c>
      <c r="D35" s="177" t="str" cm="1">
        <f t="array" ref="D35">IFERROR(IF($A35="","",INDEX(_xlfn.ANCHORARRAY($BK$4),ROW()-5,3)),"")</f>
        <v/>
      </c>
      <c r="E35" s="25" t="str" cm="1">
        <f t="array" ref="E35">IFERROR(IF($A35="","",INDEX(_xlfn.ANCHORARRAY($BK$4),ROW()-5,2)),"")</f>
        <v/>
      </c>
      <c r="F35" s="177" t="str">
        <f t="shared" si="0"/>
        <v/>
      </c>
      <c r="G35" s="275" t="str">
        <f t="shared" si="1"/>
        <v/>
      </c>
      <c r="H35" s="180" t="str">
        <f t="shared" si="2"/>
        <v/>
      </c>
      <c r="I35" s="180" t="str">
        <f t="shared" si="3"/>
        <v/>
      </c>
      <c r="J35" s="177" t="str">
        <f>_xlfn.LET(_xlpm.v,_xlfn.LET(_xlpm.base,IF($A35="","",IF($C35=0,IFERROR(_xlfn.XLOOKUP($A35,Util_Tags,Util_SCAEff),""),IF(LEFT($A35,2)="T-",IF($CJ35="","",$CJ35/(1+IF($CL35="",0,$CL35))),IF(OR($F35="",$I35=""),"",$F35*$I35)))),_xlpm.gtag,IF(OR($A35="",NOT(OR($B35="ATS",$B35="MTS"))),"",IFERROR(_xlfn.XLOOKUP($A35,Dashboard!$A$101:$A$350,Dashboard!$L$101:$L$350,"")&amp;"","")),_xlpm.gkva,IF(_xlpm.gtag="",0,IFERROR(N(_xlfn.XLOOKUP(_xlpm.gtag,Generator!$B$53:$B$58,Generator!$S$53:$S$58,0)),0)),_xlpm.gxd,IF(_xlpm.gtag="",0,IFERROR(N(_xlfn.XLOOKUP(_xlpm.gtag,Generator!$B$53:$B$58,Generator!$U$53:$U$58,0)),0)),_xlpm.gamp,IF(OR(_xlpm.gkva=0,_xlpm.gxd=0,N($D35)=0),0,ROUND(_xlpm.gkva*1000/(IF(N($CB35)=1,1,SQRT(3))*$D35*_xlpm.gxd),0)),IF(OR(_xlpm.gamp=0,NOT(ISNUMBER(_xlpm.base))),_xlpm.base,MAX(_xlpm.base,_xlpm.gamp))),_xlpm.ulim,IF(OR($A35="",$B35&lt;&gt;"UPS"),"",IFERROR(IF(_xlfn.XLOOKUP($A35,UPS!$B$57:$B$64,UPS!$E$57:$E$64,"")="None",_xlfn.XLOOKUP($A35,UPS!$B$57:$B$64,UPS!$U$57:$U$64,""),""),"")),IF(AND(ISNUMBER(_xlpm.v),ISNUMBER(_xlpm.ulim)),MIN(_xlpm.v,_xlpm.ulim),_xlpm.v))</f>
        <v/>
      </c>
      <c r="K35" s="176"/>
      <c r="L35" s="177" t="str">
        <f t="shared" si="4"/>
        <v/>
      </c>
      <c r="M35" s="177" t="str">
        <f t="shared" si="5"/>
        <v/>
      </c>
      <c r="N35" s="380" t="str">
        <f>IF($A35="","",IF($C35=0,_xlfn.LET(_xlpm.x,IFERROR(_xlfn.XLOOKUP($A35,Util_Tags,Util_XR),""),IF(N(_xlpm.x)=0,Xfmr_DefXR,_xlpm.x)),IF(LEFT($A35,2)="T-",IFERROR(_xlfn.XLOOKUP($A35,Transformers!$A$6:$A$105,Transformers!$AH$6:$AH$105),Xfmr_DefXR),IFERROR(_xlfn.XLOOKUP($E35,$A$6:$A$255,$N$6:$N$255),Xfmr_DefXR))))</f>
        <v/>
      </c>
      <c r="O35" s="177" t="str">
        <f t="shared" si="6"/>
        <v/>
      </c>
      <c r="P35" s="210" t="str">
        <f>IF($A35="","",IF(LEFT($A35,2)="T-",IF($CO35="","",_xlfn.LET(_xlpm.k,IFERROR(_xlfn.XLOOKUP($A35,Transformers!$A$6:$A$105,Transformers!$G$6:$G$105),""),_xlpm.sv,IFERROR(_xlfn.XLOOKUP($A35,Transformers!$A$6:$A$105,Transformers!$E$6:$E$105),""),IF(OR(NOT(ISNUMBER(_xlpm.k)),NOT(ISNUMBER(_xlpm.sv)),_xlpm.sv=0),"",_xlfn.LET(_xlpm.iInf,(_xlpm.k*1000/(_xlpm.sv/2))*100/$CO35,_xlpm.pri,IF(OR($CK35="",$CK35=0),"",$CK35/2),_xlpm.base,IF(_xlpm.pri="",_xlpm.iInf,_xlpm.iInf/(1+_xlpm.iInf/_xlpm.pri)),_xlpm.base+IF($L35="",0,$L35))))),IF($CP35="","",_xlfn.LET(_xlpm.pI,IFERROR(_xlfn.XLOOKUP($E35,$A$6:$A$255,$P$6:$P$255),""),IF(NOT(ISNUMBER(_xlpm.pI)),"",_xlpm.pI/(1+$CP35)+IF($L35="",0,$L35))))))</f>
        <v/>
      </c>
      <c r="Q35" s="210" t="str">
        <f t="shared" si="7"/>
        <v/>
      </c>
      <c r="R35" s="177" t="str">
        <f>IF($A35="","",IF(OR($C35=0,LEFT($A35,2)="T-"),"",IFERROR(_xlfn.LET(_xlpm.v,_xlfn.XLOOKUP($A35,Dashboard!$A$101:$A$350,Dashboard!$K$101:$K$350),IF(ISNUMBER(_xlpm.v),_xlpm.v,"")),"")))</f>
        <v/>
      </c>
      <c r="S35" s="211" t="str">
        <f t="shared" si="8"/>
        <v/>
      </c>
      <c r="T35" s="25" t="str">
        <f t="shared" si="9"/>
        <v/>
      </c>
      <c r="U35" s="364"/>
      <c r="BV35" s="20" t="str">
        <f>IF($A35="","",IFERROR(_xlfn.XLOOKUP("F-"&amp;$A35,'Feeder Schedule'!$B$5:$B$254,'Feeder Schedule'!$H$5:$H$254),""))</f>
        <v/>
      </c>
      <c r="BW35" s="20" t="str">
        <f>IF($A35="","",IFERROR(_xlfn.XLOOKUP("F-"&amp;$A35,'Feeder Schedule'!$B$5:$B$254,'Feeder Schedule'!$BV$5:$BV$254),""))</f>
        <v/>
      </c>
      <c r="BX35" s="20" t="str">
        <f>IF($A35="","",IFERROR(_xlfn.LET(_xlpm.v,_xlfn.XLOOKUP("F-"&amp;$A35,'Feeder Schedule'!$B$5:$B$254,'Feeder Schedule'!$M$5:$M$254),IF(OR(_xlpm.v="",_xlpm.v=0),Cfg_Conduit,_xlpm.v)),""))</f>
        <v/>
      </c>
      <c r="BY35" s="20" t="str">
        <f>IF($A35="","",IFERROR(_xlfn.XLOOKUP("F-"&amp;$A35,'Feeder Schedule'!$B$5:$B$254,'Feeder Schedule'!$O$5:$O$254),""))</f>
        <v/>
      </c>
      <c r="BZ35" s="20" t="str">
        <f>IF($A35="","",IFERROR(_xlfn.XLOOKUP("F-"&amp;$A35,'Feeder Schedule'!$B$5:$B$254,'Feeder Schedule'!$CH$5:$CH$254),""))</f>
        <v/>
      </c>
      <c r="CA35" s="20" t="str">
        <f>IF($A35="","",IFERROR(_xlfn.XLOOKUP("F-"&amp;$A35,'Feeder Schedule'!$B$5:$B$254,'Feeder Schedule'!$F$5:$F$254),""))</f>
        <v/>
      </c>
      <c r="CB35" s="20" t="str">
        <f>IF($A35="","",IFERROR(_xlfn.XLOOKUP("F-"&amp;$A35,'Feeder Schedule'!$B$5:$B$254,'Feeder Schedule'!$G$5:$G$254),""))</f>
        <v/>
      </c>
      <c r="CD35" s="20" t="str" cm="1">
        <f t="array" ref="CD35">IFERROR(IF($A35="","",INDEX(_xlfn.ANCHORARRAY($BK$4),ROW()-5,6)),"")</f>
        <v/>
      </c>
      <c r="CE35" s="20" t="str">
        <f t="shared" si="12"/>
        <v/>
      </c>
      <c r="CF35" s="20" t="str">
        <f t="shared" si="13"/>
        <v/>
      </c>
      <c r="CG35" s="20" t="str">
        <f t="shared" si="10"/>
        <v/>
      </c>
      <c r="CH35" s="20" t="str" cm="1">
        <f t="array" ref="CH35">IF(OR($A35="",$BZ35="",$BW35="",$BX35=""),"",_xlfn.LET(_xlpm.mag,IFERROR(_xlfn.XLOOKUP($BX35,Race_Raceway,Race_Mag),""),IF(_xlpm.mag="","",IFERROR(INDEX(Cond_Table,MATCH($BZ35,Cond_Size,0),IF(UPPER($BW35)="AL",IF(_xlpm.mag="Y",10,12),IF(_xlpm.mag="Y",9,11))),""))))</f>
        <v/>
      </c>
      <c r="CI35" s="20" t="str">
        <f t="shared" si="11"/>
        <v/>
      </c>
      <c r="CJ35" s="20" t="str">
        <f>IF(OR($A35="",LEFT($A35,2)&lt;&gt;"T-"),"",IFERROR(_xlfn.LET(_xlpm.fla,_xlfn.XLOOKUP($A35,Transformers!$A$6:$A$105,Transformers!$AK$6:$AK$105),_xlpm.z,_xlfn.XLOOKUP($A35,Transformers!$A$6:$A$105,Transformers!$AX$6:$AX$105),IF(OR(_xlpm.fla="",_xlpm.z="",_xlpm.z=0),"",_xlpm.fla*100/_xlpm.z)),""))</f>
        <v/>
      </c>
      <c r="CK35" s="20" t="str">
        <f t="shared" si="14"/>
        <v/>
      </c>
      <c r="CL35" s="20" t="str">
        <f t="shared" si="15"/>
        <v/>
      </c>
      <c r="CM35" s="373"/>
      <c r="CO35" s="20" t="str">
        <f>IF(OR($A35="",LEFT($A35,2)&lt;&gt;"T-"),"",_xlfn.LET(_xlpm.ph,IFERROR(_xlfn.XLOOKUP($A35,Transformers!$A$6:$A$105,Transformers!$C$6:$C$105),""),_xlpm.rr,IFERROR(_xlfn.XLOOKUP($A35,Transformers!$A$6:$A$105,Transformers!$AG$6:$AG$105),""),_xlpm.xx,IFERROR(_xlfn.XLOOKUP($A35,Transformers!$A$6:$A$105,Transformers!$AI$6:$AI$105),""),IF(OR(_xlpm.ph&lt;&gt;1,NOT(ISNUMBER(_xlpm.rr)),NOT(ISNUMBER(_xlpm.xx))),"",SQRT((1.5*_xlpm.rr)^2+(1.2*_xlpm.xx)^2))))</f>
        <v/>
      </c>
      <c r="CP35" s="20" t="str">
        <f t="shared" si="16"/>
        <v/>
      </c>
    </row>
    <row r="36" spans="1:94" ht="15" customHeight="1" x14ac:dyDescent="0.45">
      <c r="A36" s="275" t="str" cm="1">
        <f t="array" ref="A36">IFERROR(IF(INDEX(_xlfn.ANCHORARRAY($BK$4),ROW()-5,1)="","",INDEX(_xlfn.ANCHORARRAY($BK$4),ROW()-5,1)),"")</f>
        <v/>
      </c>
      <c r="B36" s="25" t="str" cm="1">
        <f t="array" ref="B36">IFERROR(IF($A36="","",INDEX(_xlfn.ANCHORARRAY($BK$4),ROW()-5,5)),"")</f>
        <v/>
      </c>
      <c r="C36" s="178" t="str" cm="1">
        <f t="array" ref="C36">IFERROR(IF($A36="","",INDEX(_xlfn.ANCHORARRAY($BK$4),ROW()-5,7)),"")</f>
        <v/>
      </c>
      <c r="D36" s="177" t="str" cm="1">
        <f t="array" ref="D36">IFERROR(IF($A36="","",INDEX(_xlfn.ANCHORARRAY($BK$4),ROW()-5,3)),"")</f>
        <v/>
      </c>
      <c r="E36" s="25" t="str" cm="1">
        <f t="array" ref="E36">IFERROR(IF($A36="","",INDEX(_xlfn.ANCHORARRAY($BK$4),ROW()-5,2)),"")</f>
        <v/>
      </c>
      <c r="F36" s="177" t="str">
        <f t="shared" si="0"/>
        <v/>
      </c>
      <c r="G36" s="275" t="str">
        <f t="shared" si="1"/>
        <v/>
      </c>
      <c r="H36" s="180" t="str">
        <f t="shared" si="2"/>
        <v/>
      </c>
      <c r="I36" s="180" t="str">
        <f t="shared" si="3"/>
        <v/>
      </c>
      <c r="J36" s="177" t="str">
        <f>_xlfn.LET(_xlpm.v,_xlfn.LET(_xlpm.base,IF($A36="","",IF($C36=0,IFERROR(_xlfn.XLOOKUP($A36,Util_Tags,Util_SCAEff),""),IF(LEFT($A36,2)="T-",IF($CJ36="","",$CJ36/(1+IF($CL36="",0,$CL36))),IF(OR($F36="",$I36=""),"",$F36*$I36)))),_xlpm.gtag,IF(OR($A36="",NOT(OR($B36="ATS",$B36="MTS"))),"",IFERROR(_xlfn.XLOOKUP($A36,Dashboard!$A$101:$A$350,Dashboard!$L$101:$L$350,"")&amp;"","")),_xlpm.gkva,IF(_xlpm.gtag="",0,IFERROR(N(_xlfn.XLOOKUP(_xlpm.gtag,Generator!$B$53:$B$58,Generator!$S$53:$S$58,0)),0)),_xlpm.gxd,IF(_xlpm.gtag="",0,IFERROR(N(_xlfn.XLOOKUP(_xlpm.gtag,Generator!$B$53:$B$58,Generator!$U$53:$U$58,0)),0)),_xlpm.gamp,IF(OR(_xlpm.gkva=0,_xlpm.gxd=0,N($D36)=0),0,ROUND(_xlpm.gkva*1000/(IF(N($CB36)=1,1,SQRT(3))*$D36*_xlpm.gxd),0)),IF(OR(_xlpm.gamp=0,NOT(ISNUMBER(_xlpm.base))),_xlpm.base,MAX(_xlpm.base,_xlpm.gamp))),_xlpm.ulim,IF(OR($A36="",$B36&lt;&gt;"UPS"),"",IFERROR(IF(_xlfn.XLOOKUP($A36,UPS!$B$57:$B$64,UPS!$E$57:$E$64,"")="None",_xlfn.XLOOKUP($A36,UPS!$B$57:$B$64,UPS!$U$57:$U$64,""),""),"")),IF(AND(ISNUMBER(_xlpm.v),ISNUMBER(_xlpm.ulim)),MIN(_xlpm.v,_xlpm.ulim),_xlpm.v))</f>
        <v/>
      </c>
      <c r="K36" s="176"/>
      <c r="L36" s="177" t="str">
        <f t="shared" si="4"/>
        <v/>
      </c>
      <c r="M36" s="177" t="str">
        <f t="shared" si="5"/>
        <v/>
      </c>
      <c r="N36" s="380" t="str">
        <f>IF($A36="","",IF($C36=0,_xlfn.LET(_xlpm.x,IFERROR(_xlfn.XLOOKUP($A36,Util_Tags,Util_XR),""),IF(N(_xlpm.x)=0,Xfmr_DefXR,_xlpm.x)),IF(LEFT($A36,2)="T-",IFERROR(_xlfn.XLOOKUP($A36,Transformers!$A$6:$A$105,Transformers!$AH$6:$AH$105),Xfmr_DefXR),IFERROR(_xlfn.XLOOKUP($E36,$A$6:$A$255,$N$6:$N$255),Xfmr_DefXR))))</f>
        <v/>
      </c>
      <c r="O36" s="177" t="str">
        <f t="shared" si="6"/>
        <v/>
      </c>
      <c r="P36" s="210" t="str">
        <f>IF($A36="","",IF(LEFT($A36,2)="T-",IF($CO36="","",_xlfn.LET(_xlpm.k,IFERROR(_xlfn.XLOOKUP($A36,Transformers!$A$6:$A$105,Transformers!$G$6:$G$105),""),_xlpm.sv,IFERROR(_xlfn.XLOOKUP($A36,Transformers!$A$6:$A$105,Transformers!$E$6:$E$105),""),IF(OR(NOT(ISNUMBER(_xlpm.k)),NOT(ISNUMBER(_xlpm.sv)),_xlpm.sv=0),"",_xlfn.LET(_xlpm.iInf,(_xlpm.k*1000/(_xlpm.sv/2))*100/$CO36,_xlpm.pri,IF(OR($CK36="",$CK36=0),"",$CK36/2),_xlpm.base,IF(_xlpm.pri="",_xlpm.iInf,_xlpm.iInf/(1+_xlpm.iInf/_xlpm.pri)),_xlpm.base+IF($L36="",0,$L36))))),IF($CP36="","",_xlfn.LET(_xlpm.pI,IFERROR(_xlfn.XLOOKUP($E36,$A$6:$A$255,$P$6:$P$255),""),IF(NOT(ISNUMBER(_xlpm.pI)),"",_xlpm.pI/(1+$CP36)+IF($L36="",0,$L36))))))</f>
        <v/>
      </c>
      <c r="Q36" s="210" t="str">
        <f t="shared" si="7"/>
        <v/>
      </c>
      <c r="R36" s="177" t="str">
        <f>IF($A36="","",IF(OR($C36=0,LEFT($A36,2)="T-"),"",IFERROR(_xlfn.LET(_xlpm.v,_xlfn.XLOOKUP($A36,Dashboard!$A$101:$A$350,Dashboard!$K$101:$K$350),IF(ISNUMBER(_xlpm.v),_xlpm.v,"")),"")))</f>
        <v/>
      </c>
      <c r="S36" s="211" t="str">
        <f t="shared" si="8"/>
        <v/>
      </c>
      <c r="T36" s="25" t="str">
        <f t="shared" si="9"/>
        <v/>
      </c>
      <c r="U36" s="364"/>
      <c r="BV36" s="20" t="str">
        <f>IF($A36="","",IFERROR(_xlfn.XLOOKUP("F-"&amp;$A36,'Feeder Schedule'!$B$5:$B$254,'Feeder Schedule'!$H$5:$H$254),""))</f>
        <v/>
      </c>
      <c r="BW36" s="20" t="str">
        <f>IF($A36="","",IFERROR(_xlfn.XLOOKUP("F-"&amp;$A36,'Feeder Schedule'!$B$5:$B$254,'Feeder Schedule'!$BV$5:$BV$254),""))</f>
        <v/>
      </c>
      <c r="BX36" s="20" t="str">
        <f>IF($A36="","",IFERROR(_xlfn.LET(_xlpm.v,_xlfn.XLOOKUP("F-"&amp;$A36,'Feeder Schedule'!$B$5:$B$254,'Feeder Schedule'!$M$5:$M$254),IF(OR(_xlpm.v="",_xlpm.v=0),Cfg_Conduit,_xlpm.v)),""))</f>
        <v/>
      </c>
      <c r="BY36" s="20" t="str">
        <f>IF($A36="","",IFERROR(_xlfn.XLOOKUP("F-"&amp;$A36,'Feeder Schedule'!$B$5:$B$254,'Feeder Schedule'!$O$5:$O$254),""))</f>
        <v/>
      </c>
      <c r="BZ36" s="20" t="str">
        <f>IF($A36="","",IFERROR(_xlfn.XLOOKUP("F-"&amp;$A36,'Feeder Schedule'!$B$5:$B$254,'Feeder Schedule'!$CH$5:$CH$254),""))</f>
        <v/>
      </c>
      <c r="CA36" s="20" t="str">
        <f>IF($A36="","",IFERROR(_xlfn.XLOOKUP("F-"&amp;$A36,'Feeder Schedule'!$B$5:$B$254,'Feeder Schedule'!$F$5:$F$254),""))</f>
        <v/>
      </c>
      <c r="CB36" s="20" t="str">
        <f>IF($A36="","",IFERROR(_xlfn.XLOOKUP("F-"&amp;$A36,'Feeder Schedule'!$B$5:$B$254,'Feeder Schedule'!$G$5:$G$254),""))</f>
        <v/>
      </c>
      <c r="CD36" s="20" t="str" cm="1">
        <f t="array" ref="CD36">IFERROR(IF($A36="","",INDEX(_xlfn.ANCHORARRAY($BK$4),ROW()-5,6)),"")</f>
        <v/>
      </c>
      <c r="CE36" s="20" t="str">
        <f t="shared" si="12"/>
        <v/>
      </c>
      <c r="CF36" s="20" t="str">
        <f t="shared" si="13"/>
        <v/>
      </c>
      <c r="CG36" s="20" t="str">
        <f t="shared" si="10"/>
        <v/>
      </c>
      <c r="CH36" s="20" t="str" cm="1">
        <f t="array" ref="CH36">IF(OR($A36="",$BZ36="",$BW36="",$BX36=""),"",_xlfn.LET(_xlpm.mag,IFERROR(_xlfn.XLOOKUP($BX36,Race_Raceway,Race_Mag),""),IF(_xlpm.mag="","",IFERROR(INDEX(Cond_Table,MATCH($BZ36,Cond_Size,0),IF(UPPER($BW36)="AL",IF(_xlpm.mag="Y",10,12),IF(_xlpm.mag="Y",9,11))),""))))</f>
        <v/>
      </c>
      <c r="CI36" s="20" t="str">
        <f t="shared" si="11"/>
        <v/>
      </c>
      <c r="CJ36" s="20" t="str">
        <f>IF(OR($A36="",LEFT($A36,2)&lt;&gt;"T-"),"",IFERROR(_xlfn.LET(_xlpm.fla,_xlfn.XLOOKUP($A36,Transformers!$A$6:$A$105,Transformers!$AK$6:$AK$105),_xlpm.z,_xlfn.XLOOKUP($A36,Transformers!$A$6:$A$105,Transformers!$AX$6:$AX$105),IF(OR(_xlpm.fla="",_xlpm.z="",_xlpm.z=0),"",_xlpm.fla*100/_xlpm.z)),""))</f>
        <v/>
      </c>
      <c r="CK36" s="20" t="str">
        <f t="shared" si="14"/>
        <v/>
      </c>
      <c r="CL36" s="20" t="str">
        <f t="shared" si="15"/>
        <v/>
      </c>
      <c r="CM36" s="373"/>
      <c r="CO36" s="20" t="str">
        <f>IF(OR($A36="",LEFT($A36,2)&lt;&gt;"T-"),"",_xlfn.LET(_xlpm.ph,IFERROR(_xlfn.XLOOKUP($A36,Transformers!$A$6:$A$105,Transformers!$C$6:$C$105),""),_xlpm.rr,IFERROR(_xlfn.XLOOKUP($A36,Transformers!$A$6:$A$105,Transformers!$AG$6:$AG$105),""),_xlpm.xx,IFERROR(_xlfn.XLOOKUP($A36,Transformers!$A$6:$A$105,Transformers!$AI$6:$AI$105),""),IF(OR(_xlpm.ph&lt;&gt;1,NOT(ISNUMBER(_xlpm.rr)),NOT(ISNUMBER(_xlpm.xx))),"",SQRT((1.5*_xlpm.rr)^2+(1.2*_xlpm.xx)^2))))</f>
        <v/>
      </c>
      <c r="CP36" s="20" t="str">
        <f t="shared" si="16"/>
        <v/>
      </c>
    </row>
    <row r="37" spans="1:94" ht="15" customHeight="1" x14ac:dyDescent="0.45">
      <c r="A37" s="275" t="str" cm="1">
        <f t="array" ref="A37">IFERROR(IF(INDEX(_xlfn.ANCHORARRAY($BK$4),ROW()-5,1)="","",INDEX(_xlfn.ANCHORARRAY($BK$4),ROW()-5,1)),"")</f>
        <v/>
      </c>
      <c r="B37" s="25" t="str" cm="1">
        <f t="array" ref="B37">IFERROR(IF($A37="","",INDEX(_xlfn.ANCHORARRAY($BK$4),ROW()-5,5)),"")</f>
        <v/>
      </c>
      <c r="C37" s="178" t="str" cm="1">
        <f t="array" ref="C37">IFERROR(IF($A37="","",INDEX(_xlfn.ANCHORARRAY($BK$4),ROW()-5,7)),"")</f>
        <v/>
      </c>
      <c r="D37" s="177" t="str" cm="1">
        <f t="array" ref="D37">IFERROR(IF($A37="","",INDEX(_xlfn.ANCHORARRAY($BK$4),ROW()-5,3)),"")</f>
        <v/>
      </c>
      <c r="E37" s="25" t="str" cm="1">
        <f t="array" ref="E37">IFERROR(IF($A37="","",INDEX(_xlfn.ANCHORARRAY($BK$4),ROW()-5,2)),"")</f>
        <v/>
      </c>
      <c r="F37" s="177" t="str">
        <f t="shared" si="0"/>
        <v/>
      </c>
      <c r="G37" s="275" t="str">
        <f t="shared" si="1"/>
        <v/>
      </c>
      <c r="H37" s="180" t="str">
        <f t="shared" si="2"/>
        <v/>
      </c>
      <c r="I37" s="180" t="str">
        <f t="shared" si="3"/>
        <v/>
      </c>
      <c r="J37" s="177" t="str">
        <f>_xlfn.LET(_xlpm.v,_xlfn.LET(_xlpm.base,IF($A37="","",IF($C37=0,IFERROR(_xlfn.XLOOKUP($A37,Util_Tags,Util_SCAEff),""),IF(LEFT($A37,2)="T-",IF($CJ37="","",$CJ37/(1+IF($CL37="",0,$CL37))),IF(OR($F37="",$I37=""),"",$F37*$I37)))),_xlpm.gtag,IF(OR($A37="",NOT(OR($B37="ATS",$B37="MTS"))),"",IFERROR(_xlfn.XLOOKUP($A37,Dashboard!$A$101:$A$350,Dashboard!$L$101:$L$350,"")&amp;"","")),_xlpm.gkva,IF(_xlpm.gtag="",0,IFERROR(N(_xlfn.XLOOKUP(_xlpm.gtag,Generator!$B$53:$B$58,Generator!$S$53:$S$58,0)),0)),_xlpm.gxd,IF(_xlpm.gtag="",0,IFERROR(N(_xlfn.XLOOKUP(_xlpm.gtag,Generator!$B$53:$B$58,Generator!$U$53:$U$58,0)),0)),_xlpm.gamp,IF(OR(_xlpm.gkva=0,_xlpm.gxd=0,N($D37)=0),0,ROUND(_xlpm.gkva*1000/(IF(N($CB37)=1,1,SQRT(3))*$D37*_xlpm.gxd),0)),IF(OR(_xlpm.gamp=0,NOT(ISNUMBER(_xlpm.base))),_xlpm.base,MAX(_xlpm.base,_xlpm.gamp))),_xlpm.ulim,IF(OR($A37="",$B37&lt;&gt;"UPS"),"",IFERROR(IF(_xlfn.XLOOKUP($A37,UPS!$B$57:$B$64,UPS!$E$57:$E$64,"")="None",_xlfn.XLOOKUP($A37,UPS!$B$57:$B$64,UPS!$U$57:$U$64,""),""),"")),IF(AND(ISNUMBER(_xlpm.v),ISNUMBER(_xlpm.ulim)),MIN(_xlpm.v,_xlpm.ulim),_xlpm.v))</f>
        <v/>
      </c>
      <c r="K37" s="176"/>
      <c r="L37" s="177" t="str">
        <f t="shared" si="4"/>
        <v/>
      </c>
      <c r="M37" s="177" t="str">
        <f t="shared" si="5"/>
        <v/>
      </c>
      <c r="N37" s="380" t="str">
        <f>IF($A37="","",IF($C37=0,_xlfn.LET(_xlpm.x,IFERROR(_xlfn.XLOOKUP($A37,Util_Tags,Util_XR),""),IF(N(_xlpm.x)=0,Xfmr_DefXR,_xlpm.x)),IF(LEFT($A37,2)="T-",IFERROR(_xlfn.XLOOKUP($A37,Transformers!$A$6:$A$105,Transformers!$AH$6:$AH$105),Xfmr_DefXR),IFERROR(_xlfn.XLOOKUP($E37,$A$6:$A$255,$N$6:$N$255),Xfmr_DefXR))))</f>
        <v/>
      </c>
      <c r="O37" s="177" t="str">
        <f t="shared" si="6"/>
        <v/>
      </c>
      <c r="P37" s="210" t="str">
        <f>IF($A37="","",IF(LEFT($A37,2)="T-",IF($CO37="","",_xlfn.LET(_xlpm.k,IFERROR(_xlfn.XLOOKUP($A37,Transformers!$A$6:$A$105,Transformers!$G$6:$G$105),""),_xlpm.sv,IFERROR(_xlfn.XLOOKUP($A37,Transformers!$A$6:$A$105,Transformers!$E$6:$E$105),""),IF(OR(NOT(ISNUMBER(_xlpm.k)),NOT(ISNUMBER(_xlpm.sv)),_xlpm.sv=0),"",_xlfn.LET(_xlpm.iInf,(_xlpm.k*1000/(_xlpm.sv/2))*100/$CO37,_xlpm.pri,IF(OR($CK37="",$CK37=0),"",$CK37/2),_xlpm.base,IF(_xlpm.pri="",_xlpm.iInf,_xlpm.iInf/(1+_xlpm.iInf/_xlpm.pri)),_xlpm.base+IF($L37="",0,$L37))))),IF($CP37="","",_xlfn.LET(_xlpm.pI,IFERROR(_xlfn.XLOOKUP($E37,$A$6:$A$255,$P$6:$P$255),""),IF(NOT(ISNUMBER(_xlpm.pI)),"",_xlpm.pI/(1+$CP37)+IF($L37="",0,$L37))))))</f>
        <v/>
      </c>
      <c r="Q37" s="210" t="str">
        <f t="shared" si="7"/>
        <v/>
      </c>
      <c r="R37" s="177" t="str">
        <f>IF($A37="","",IF(OR($C37=0,LEFT($A37,2)="T-"),"",IFERROR(_xlfn.LET(_xlpm.v,_xlfn.XLOOKUP($A37,Dashboard!$A$101:$A$350,Dashboard!$K$101:$K$350),IF(ISNUMBER(_xlpm.v),_xlpm.v,"")),"")))</f>
        <v/>
      </c>
      <c r="S37" s="211" t="str">
        <f t="shared" si="8"/>
        <v/>
      </c>
      <c r="T37" s="25" t="str">
        <f t="shared" si="9"/>
        <v/>
      </c>
      <c r="U37" s="364"/>
      <c r="BV37" s="20" t="str">
        <f>IF($A37="","",IFERROR(_xlfn.XLOOKUP("F-"&amp;$A37,'Feeder Schedule'!$B$5:$B$254,'Feeder Schedule'!$H$5:$H$254),""))</f>
        <v/>
      </c>
      <c r="BW37" s="20" t="str">
        <f>IF($A37="","",IFERROR(_xlfn.XLOOKUP("F-"&amp;$A37,'Feeder Schedule'!$B$5:$B$254,'Feeder Schedule'!$BV$5:$BV$254),""))</f>
        <v/>
      </c>
      <c r="BX37" s="20" t="str">
        <f>IF($A37="","",IFERROR(_xlfn.LET(_xlpm.v,_xlfn.XLOOKUP("F-"&amp;$A37,'Feeder Schedule'!$B$5:$B$254,'Feeder Schedule'!$M$5:$M$254),IF(OR(_xlpm.v="",_xlpm.v=0),Cfg_Conduit,_xlpm.v)),""))</f>
        <v/>
      </c>
      <c r="BY37" s="20" t="str">
        <f>IF($A37="","",IFERROR(_xlfn.XLOOKUP("F-"&amp;$A37,'Feeder Schedule'!$B$5:$B$254,'Feeder Schedule'!$O$5:$O$254),""))</f>
        <v/>
      </c>
      <c r="BZ37" s="20" t="str">
        <f>IF($A37="","",IFERROR(_xlfn.XLOOKUP("F-"&amp;$A37,'Feeder Schedule'!$B$5:$B$254,'Feeder Schedule'!$CH$5:$CH$254),""))</f>
        <v/>
      </c>
      <c r="CA37" s="20" t="str">
        <f>IF($A37="","",IFERROR(_xlfn.XLOOKUP("F-"&amp;$A37,'Feeder Schedule'!$B$5:$B$254,'Feeder Schedule'!$F$5:$F$254),""))</f>
        <v/>
      </c>
      <c r="CB37" s="20" t="str">
        <f>IF($A37="","",IFERROR(_xlfn.XLOOKUP("F-"&amp;$A37,'Feeder Schedule'!$B$5:$B$254,'Feeder Schedule'!$G$5:$G$254),""))</f>
        <v/>
      </c>
      <c r="CD37" s="20" t="str" cm="1">
        <f t="array" ref="CD37">IFERROR(IF($A37="","",INDEX(_xlfn.ANCHORARRAY($BK$4),ROW()-5,6)),"")</f>
        <v/>
      </c>
      <c r="CE37" s="20" t="str">
        <f t="shared" si="12"/>
        <v/>
      </c>
      <c r="CF37" s="20" t="str">
        <f t="shared" si="13"/>
        <v/>
      </c>
      <c r="CG37" s="20" t="str">
        <f t="shared" si="10"/>
        <v/>
      </c>
      <c r="CH37" s="20" t="str" cm="1">
        <f t="array" ref="CH37">IF(OR($A37="",$BZ37="",$BW37="",$BX37=""),"",_xlfn.LET(_xlpm.mag,IFERROR(_xlfn.XLOOKUP($BX37,Race_Raceway,Race_Mag),""),IF(_xlpm.mag="","",IFERROR(INDEX(Cond_Table,MATCH($BZ37,Cond_Size,0),IF(UPPER($BW37)="AL",IF(_xlpm.mag="Y",10,12),IF(_xlpm.mag="Y",9,11))),""))))</f>
        <v/>
      </c>
      <c r="CI37" s="20" t="str">
        <f t="shared" si="11"/>
        <v/>
      </c>
      <c r="CJ37" s="20" t="str">
        <f>IF(OR($A37="",LEFT($A37,2)&lt;&gt;"T-"),"",IFERROR(_xlfn.LET(_xlpm.fla,_xlfn.XLOOKUP($A37,Transformers!$A$6:$A$105,Transformers!$AK$6:$AK$105),_xlpm.z,_xlfn.XLOOKUP($A37,Transformers!$A$6:$A$105,Transformers!$AX$6:$AX$105),IF(OR(_xlpm.fla="",_xlpm.z="",_xlpm.z=0),"",_xlpm.fla*100/_xlpm.z)),""))</f>
        <v/>
      </c>
      <c r="CK37" s="20" t="str">
        <f t="shared" si="14"/>
        <v/>
      </c>
      <c r="CL37" s="20" t="str">
        <f t="shared" si="15"/>
        <v/>
      </c>
      <c r="CM37" s="373"/>
      <c r="CO37" s="20" t="str">
        <f>IF(OR($A37="",LEFT($A37,2)&lt;&gt;"T-"),"",_xlfn.LET(_xlpm.ph,IFERROR(_xlfn.XLOOKUP($A37,Transformers!$A$6:$A$105,Transformers!$C$6:$C$105),""),_xlpm.rr,IFERROR(_xlfn.XLOOKUP($A37,Transformers!$A$6:$A$105,Transformers!$AG$6:$AG$105),""),_xlpm.xx,IFERROR(_xlfn.XLOOKUP($A37,Transformers!$A$6:$A$105,Transformers!$AI$6:$AI$105),""),IF(OR(_xlpm.ph&lt;&gt;1,NOT(ISNUMBER(_xlpm.rr)),NOT(ISNUMBER(_xlpm.xx))),"",SQRT((1.5*_xlpm.rr)^2+(1.2*_xlpm.xx)^2))))</f>
        <v/>
      </c>
      <c r="CP37" s="20" t="str">
        <f t="shared" si="16"/>
        <v/>
      </c>
    </row>
    <row r="38" spans="1:94" ht="15" customHeight="1" x14ac:dyDescent="0.45">
      <c r="A38" s="275" t="str" cm="1">
        <f t="array" ref="A38">IFERROR(IF(INDEX(_xlfn.ANCHORARRAY($BK$4),ROW()-5,1)="","",INDEX(_xlfn.ANCHORARRAY($BK$4),ROW()-5,1)),"")</f>
        <v/>
      </c>
      <c r="B38" s="25" t="str" cm="1">
        <f t="array" ref="B38">IFERROR(IF($A38="","",INDEX(_xlfn.ANCHORARRAY($BK$4),ROW()-5,5)),"")</f>
        <v/>
      </c>
      <c r="C38" s="178" t="str" cm="1">
        <f t="array" ref="C38">IFERROR(IF($A38="","",INDEX(_xlfn.ANCHORARRAY($BK$4),ROW()-5,7)),"")</f>
        <v/>
      </c>
      <c r="D38" s="177" t="str" cm="1">
        <f t="array" ref="D38">IFERROR(IF($A38="","",INDEX(_xlfn.ANCHORARRAY($BK$4),ROW()-5,3)),"")</f>
        <v/>
      </c>
      <c r="E38" s="25" t="str" cm="1">
        <f t="array" ref="E38">IFERROR(IF($A38="","",INDEX(_xlfn.ANCHORARRAY($BK$4),ROW()-5,2)),"")</f>
        <v/>
      </c>
      <c r="F38" s="177" t="str">
        <f t="shared" si="0"/>
        <v/>
      </c>
      <c r="G38" s="275" t="str">
        <f t="shared" si="1"/>
        <v/>
      </c>
      <c r="H38" s="180" t="str">
        <f t="shared" si="2"/>
        <v/>
      </c>
      <c r="I38" s="180" t="str">
        <f t="shared" si="3"/>
        <v/>
      </c>
      <c r="J38" s="177" t="str">
        <f>_xlfn.LET(_xlpm.v,_xlfn.LET(_xlpm.base,IF($A38="","",IF($C38=0,IFERROR(_xlfn.XLOOKUP($A38,Util_Tags,Util_SCAEff),""),IF(LEFT($A38,2)="T-",IF($CJ38="","",$CJ38/(1+IF($CL38="",0,$CL38))),IF(OR($F38="",$I38=""),"",$F38*$I38)))),_xlpm.gtag,IF(OR($A38="",NOT(OR($B38="ATS",$B38="MTS"))),"",IFERROR(_xlfn.XLOOKUP($A38,Dashboard!$A$101:$A$350,Dashboard!$L$101:$L$350,"")&amp;"","")),_xlpm.gkva,IF(_xlpm.gtag="",0,IFERROR(N(_xlfn.XLOOKUP(_xlpm.gtag,Generator!$B$53:$B$58,Generator!$S$53:$S$58,0)),0)),_xlpm.gxd,IF(_xlpm.gtag="",0,IFERROR(N(_xlfn.XLOOKUP(_xlpm.gtag,Generator!$B$53:$B$58,Generator!$U$53:$U$58,0)),0)),_xlpm.gamp,IF(OR(_xlpm.gkva=0,_xlpm.gxd=0,N($D38)=0),0,ROUND(_xlpm.gkva*1000/(IF(N($CB38)=1,1,SQRT(3))*$D38*_xlpm.gxd),0)),IF(OR(_xlpm.gamp=0,NOT(ISNUMBER(_xlpm.base))),_xlpm.base,MAX(_xlpm.base,_xlpm.gamp))),_xlpm.ulim,IF(OR($A38="",$B38&lt;&gt;"UPS"),"",IFERROR(IF(_xlfn.XLOOKUP($A38,UPS!$B$57:$B$64,UPS!$E$57:$E$64,"")="None",_xlfn.XLOOKUP($A38,UPS!$B$57:$B$64,UPS!$U$57:$U$64,""),""),"")),IF(AND(ISNUMBER(_xlpm.v),ISNUMBER(_xlpm.ulim)),MIN(_xlpm.v,_xlpm.ulim),_xlpm.v))</f>
        <v/>
      </c>
      <c r="K38" s="176"/>
      <c r="L38" s="177" t="str">
        <f t="shared" si="4"/>
        <v/>
      </c>
      <c r="M38" s="177" t="str">
        <f t="shared" si="5"/>
        <v/>
      </c>
      <c r="N38" s="380" t="str">
        <f>IF($A38="","",IF($C38=0,_xlfn.LET(_xlpm.x,IFERROR(_xlfn.XLOOKUP($A38,Util_Tags,Util_XR),""),IF(N(_xlpm.x)=0,Xfmr_DefXR,_xlpm.x)),IF(LEFT($A38,2)="T-",IFERROR(_xlfn.XLOOKUP($A38,Transformers!$A$6:$A$105,Transformers!$AH$6:$AH$105),Xfmr_DefXR),IFERROR(_xlfn.XLOOKUP($E38,$A$6:$A$255,$N$6:$N$255),Xfmr_DefXR))))</f>
        <v/>
      </c>
      <c r="O38" s="177" t="str">
        <f t="shared" si="6"/>
        <v/>
      </c>
      <c r="P38" s="210" t="str">
        <f>IF($A38="","",IF(LEFT($A38,2)="T-",IF($CO38="","",_xlfn.LET(_xlpm.k,IFERROR(_xlfn.XLOOKUP($A38,Transformers!$A$6:$A$105,Transformers!$G$6:$G$105),""),_xlpm.sv,IFERROR(_xlfn.XLOOKUP($A38,Transformers!$A$6:$A$105,Transformers!$E$6:$E$105),""),IF(OR(NOT(ISNUMBER(_xlpm.k)),NOT(ISNUMBER(_xlpm.sv)),_xlpm.sv=0),"",_xlfn.LET(_xlpm.iInf,(_xlpm.k*1000/(_xlpm.sv/2))*100/$CO38,_xlpm.pri,IF(OR($CK38="",$CK38=0),"",$CK38/2),_xlpm.base,IF(_xlpm.pri="",_xlpm.iInf,_xlpm.iInf/(1+_xlpm.iInf/_xlpm.pri)),_xlpm.base+IF($L38="",0,$L38))))),IF($CP38="","",_xlfn.LET(_xlpm.pI,IFERROR(_xlfn.XLOOKUP($E38,$A$6:$A$255,$P$6:$P$255),""),IF(NOT(ISNUMBER(_xlpm.pI)),"",_xlpm.pI/(1+$CP38)+IF($L38="",0,$L38))))))</f>
        <v/>
      </c>
      <c r="Q38" s="210" t="str">
        <f t="shared" si="7"/>
        <v/>
      </c>
      <c r="R38" s="177" t="str">
        <f>IF($A38="","",IF(OR($C38=0,LEFT($A38,2)="T-"),"",IFERROR(_xlfn.LET(_xlpm.v,_xlfn.XLOOKUP($A38,Dashboard!$A$101:$A$350,Dashboard!$K$101:$K$350),IF(ISNUMBER(_xlpm.v),_xlpm.v,"")),"")))</f>
        <v/>
      </c>
      <c r="S38" s="211" t="str">
        <f t="shared" si="8"/>
        <v/>
      </c>
      <c r="T38" s="25" t="str">
        <f t="shared" si="9"/>
        <v/>
      </c>
      <c r="U38" s="364"/>
      <c r="BV38" s="20" t="str">
        <f>IF($A38="","",IFERROR(_xlfn.XLOOKUP("F-"&amp;$A38,'Feeder Schedule'!$B$5:$B$254,'Feeder Schedule'!$H$5:$H$254),""))</f>
        <v/>
      </c>
      <c r="BW38" s="20" t="str">
        <f>IF($A38="","",IFERROR(_xlfn.XLOOKUP("F-"&amp;$A38,'Feeder Schedule'!$B$5:$B$254,'Feeder Schedule'!$BV$5:$BV$254),""))</f>
        <v/>
      </c>
      <c r="BX38" s="20" t="str">
        <f>IF($A38="","",IFERROR(_xlfn.LET(_xlpm.v,_xlfn.XLOOKUP("F-"&amp;$A38,'Feeder Schedule'!$B$5:$B$254,'Feeder Schedule'!$M$5:$M$254),IF(OR(_xlpm.v="",_xlpm.v=0),Cfg_Conduit,_xlpm.v)),""))</f>
        <v/>
      </c>
      <c r="BY38" s="20" t="str">
        <f>IF($A38="","",IFERROR(_xlfn.XLOOKUP("F-"&amp;$A38,'Feeder Schedule'!$B$5:$B$254,'Feeder Schedule'!$O$5:$O$254),""))</f>
        <v/>
      </c>
      <c r="BZ38" s="20" t="str">
        <f>IF($A38="","",IFERROR(_xlfn.XLOOKUP("F-"&amp;$A38,'Feeder Schedule'!$B$5:$B$254,'Feeder Schedule'!$CH$5:$CH$254),""))</f>
        <v/>
      </c>
      <c r="CA38" s="20" t="str">
        <f>IF($A38="","",IFERROR(_xlfn.XLOOKUP("F-"&amp;$A38,'Feeder Schedule'!$B$5:$B$254,'Feeder Schedule'!$F$5:$F$254),""))</f>
        <v/>
      </c>
      <c r="CB38" s="20" t="str">
        <f>IF($A38="","",IFERROR(_xlfn.XLOOKUP("F-"&amp;$A38,'Feeder Schedule'!$B$5:$B$254,'Feeder Schedule'!$G$5:$G$254),""))</f>
        <v/>
      </c>
      <c r="CD38" s="20" t="str" cm="1">
        <f t="array" ref="CD38">IFERROR(IF($A38="","",INDEX(_xlfn.ANCHORARRAY($BK$4),ROW()-5,6)),"")</f>
        <v/>
      </c>
      <c r="CE38" s="20" t="str">
        <f t="shared" si="12"/>
        <v/>
      </c>
      <c r="CF38" s="20" t="str">
        <f t="shared" si="13"/>
        <v/>
      </c>
      <c r="CG38" s="20" t="str">
        <f t="shared" si="10"/>
        <v/>
      </c>
      <c r="CH38" s="20" t="str" cm="1">
        <f t="array" ref="CH38">IF(OR($A38="",$BZ38="",$BW38="",$BX38=""),"",_xlfn.LET(_xlpm.mag,IFERROR(_xlfn.XLOOKUP($BX38,Race_Raceway,Race_Mag),""),IF(_xlpm.mag="","",IFERROR(INDEX(Cond_Table,MATCH($BZ38,Cond_Size,0),IF(UPPER($BW38)="AL",IF(_xlpm.mag="Y",10,12),IF(_xlpm.mag="Y",9,11))),""))))</f>
        <v/>
      </c>
      <c r="CI38" s="20" t="str">
        <f t="shared" si="11"/>
        <v/>
      </c>
      <c r="CJ38" s="20" t="str">
        <f>IF(OR($A38="",LEFT($A38,2)&lt;&gt;"T-"),"",IFERROR(_xlfn.LET(_xlpm.fla,_xlfn.XLOOKUP($A38,Transformers!$A$6:$A$105,Transformers!$AK$6:$AK$105),_xlpm.z,_xlfn.XLOOKUP($A38,Transformers!$A$6:$A$105,Transformers!$AX$6:$AX$105),IF(OR(_xlpm.fla="",_xlpm.z="",_xlpm.z=0),"",_xlpm.fla*100/_xlpm.z)),""))</f>
        <v/>
      </c>
      <c r="CK38" s="20" t="str">
        <f t="shared" si="14"/>
        <v/>
      </c>
      <c r="CL38" s="20" t="str">
        <f t="shared" si="15"/>
        <v/>
      </c>
      <c r="CM38" s="373"/>
      <c r="CO38" s="20" t="str">
        <f>IF(OR($A38="",LEFT($A38,2)&lt;&gt;"T-"),"",_xlfn.LET(_xlpm.ph,IFERROR(_xlfn.XLOOKUP($A38,Transformers!$A$6:$A$105,Transformers!$C$6:$C$105),""),_xlpm.rr,IFERROR(_xlfn.XLOOKUP($A38,Transformers!$A$6:$A$105,Transformers!$AG$6:$AG$105),""),_xlpm.xx,IFERROR(_xlfn.XLOOKUP($A38,Transformers!$A$6:$A$105,Transformers!$AI$6:$AI$105),""),IF(OR(_xlpm.ph&lt;&gt;1,NOT(ISNUMBER(_xlpm.rr)),NOT(ISNUMBER(_xlpm.xx))),"",SQRT((1.5*_xlpm.rr)^2+(1.2*_xlpm.xx)^2))))</f>
        <v/>
      </c>
      <c r="CP38" s="20" t="str">
        <f t="shared" si="16"/>
        <v/>
      </c>
    </row>
    <row r="39" spans="1:94" ht="15" customHeight="1" x14ac:dyDescent="0.45">
      <c r="A39" s="275" t="str" cm="1">
        <f t="array" ref="A39">IFERROR(IF(INDEX(_xlfn.ANCHORARRAY($BK$4),ROW()-5,1)="","",INDEX(_xlfn.ANCHORARRAY($BK$4),ROW()-5,1)),"")</f>
        <v/>
      </c>
      <c r="B39" s="25" t="str" cm="1">
        <f t="array" ref="B39">IFERROR(IF($A39="","",INDEX(_xlfn.ANCHORARRAY($BK$4),ROW()-5,5)),"")</f>
        <v/>
      </c>
      <c r="C39" s="178" t="str" cm="1">
        <f t="array" ref="C39">IFERROR(IF($A39="","",INDEX(_xlfn.ANCHORARRAY($BK$4),ROW()-5,7)),"")</f>
        <v/>
      </c>
      <c r="D39" s="177" t="str" cm="1">
        <f t="array" ref="D39">IFERROR(IF($A39="","",INDEX(_xlfn.ANCHORARRAY($BK$4),ROW()-5,3)),"")</f>
        <v/>
      </c>
      <c r="E39" s="25" t="str" cm="1">
        <f t="array" ref="E39">IFERROR(IF($A39="","",INDEX(_xlfn.ANCHORARRAY($BK$4),ROW()-5,2)),"")</f>
        <v/>
      </c>
      <c r="F39" s="177" t="str">
        <f t="shared" si="0"/>
        <v/>
      </c>
      <c r="G39" s="275" t="str">
        <f t="shared" si="1"/>
        <v/>
      </c>
      <c r="H39" s="180" t="str">
        <f t="shared" si="2"/>
        <v/>
      </c>
      <c r="I39" s="180" t="str">
        <f t="shared" si="3"/>
        <v/>
      </c>
      <c r="J39" s="177" t="str">
        <f>_xlfn.LET(_xlpm.v,_xlfn.LET(_xlpm.base,IF($A39="","",IF($C39=0,IFERROR(_xlfn.XLOOKUP($A39,Util_Tags,Util_SCAEff),""),IF(LEFT($A39,2)="T-",IF($CJ39="","",$CJ39/(1+IF($CL39="",0,$CL39))),IF(OR($F39="",$I39=""),"",$F39*$I39)))),_xlpm.gtag,IF(OR($A39="",NOT(OR($B39="ATS",$B39="MTS"))),"",IFERROR(_xlfn.XLOOKUP($A39,Dashboard!$A$101:$A$350,Dashboard!$L$101:$L$350,"")&amp;"","")),_xlpm.gkva,IF(_xlpm.gtag="",0,IFERROR(N(_xlfn.XLOOKUP(_xlpm.gtag,Generator!$B$53:$B$58,Generator!$S$53:$S$58,0)),0)),_xlpm.gxd,IF(_xlpm.gtag="",0,IFERROR(N(_xlfn.XLOOKUP(_xlpm.gtag,Generator!$B$53:$B$58,Generator!$U$53:$U$58,0)),0)),_xlpm.gamp,IF(OR(_xlpm.gkva=0,_xlpm.gxd=0,N($D39)=0),0,ROUND(_xlpm.gkva*1000/(IF(N($CB39)=1,1,SQRT(3))*$D39*_xlpm.gxd),0)),IF(OR(_xlpm.gamp=0,NOT(ISNUMBER(_xlpm.base))),_xlpm.base,MAX(_xlpm.base,_xlpm.gamp))),_xlpm.ulim,IF(OR($A39="",$B39&lt;&gt;"UPS"),"",IFERROR(IF(_xlfn.XLOOKUP($A39,UPS!$B$57:$B$64,UPS!$E$57:$E$64,"")="None",_xlfn.XLOOKUP($A39,UPS!$B$57:$B$64,UPS!$U$57:$U$64,""),""),"")),IF(AND(ISNUMBER(_xlpm.v),ISNUMBER(_xlpm.ulim)),MIN(_xlpm.v,_xlpm.ulim),_xlpm.v))</f>
        <v/>
      </c>
      <c r="K39" s="176"/>
      <c r="L39" s="177" t="str">
        <f t="shared" si="4"/>
        <v/>
      </c>
      <c r="M39" s="177" t="str">
        <f t="shared" si="5"/>
        <v/>
      </c>
      <c r="N39" s="380" t="str">
        <f>IF($A39="","",IF($C39=0,_xlfn.LET(_xlpm.x,IFERROR(_xlfn.XLOOKUP($A39,Util_Tags,Util_XR),""),IF(N(_xlpm.x)=0,Xfmr_DefXR,_xlpm.x)),IF(LEFT($A39,2)="T-",IFERROR(_xlfn.XLOOKUP($A39,Transformers!$A$6:$A$105,Transformers!$AH$6:$AH$105),Xfmr_DefXR),IFERROR(_xlfn.XLOOKUP($E39,$A$6:$A$255,$N$6:$N$255),Xfmr_DefXR))))</f>
        <v/>
      </c>
      <c r="O39" s="177" t="str">
        <f t="shared" si="6"/>
        <v/>
      </c>
      <c r="P39" s="210" t="str">
        <f>IF($A39="","",IF(LEFT($A39,2)="T-",IF($CO39="","",_xlfn.LET(_xlpm.k,IFERROR(_xlfn.XLOOKUP($A39,Transformers!$A$6:$A$105,Transformers!$G$6:$G$105),""),_xlpm.sv,IFERROR(_xlfn.XLOOKUP($A39,Transformers!$A$6:$A$105,Transformers!$E$6:$E$105),""),IF(OR(NOT(ISNUMBER(_xlpm.k)),NOT(ISNUMBER(_xlpm.sv)),_xlpm.sv=0),"",_xlfn.LET(_xlpm.iInf,(_xlpm.k*1000/(_xlpm.sv/2))*100/$CO39,_xlpm.pri,IF(OR($CK39="",$CK39=0),"",$CK39/2),_xlpm.base,IF(_xlpm.pri="",_xlpm.iInf,_xlpm.iInf/(1+_xlpm.iInf/_xlpm.pri)),_xlpm.base+IF($L39="",0,$L39))))),IF($CP39="","",_xlfn.LET(_xlpm.pI,IFERROR(_xlfn.XLOOKUP($E39,$A$6:$A$255,$P$6:$P$255),""),IF(NOT(ISNUMBER(_xlpm.pI)),"",_xlpm.pI/(1+$CP39)+IF($L39="",0,$L39))))))</f>
        <v/>
      </c>
      <c r="Q39" s="210" t="str">
        <f t="shared" si="7"/>
        <v/>
      </c>
      <c r="R39" s="177" t="str">
        <f>IF($A39="","",IF(OR($C39=0,LEFT($A39,2)="T-"),"",IFERROR(_xlfn.LET(_xlpm.v,_xlfn.XLOOKUP($A39,Dashboard!$A$101:$A$350,Dashboard!$K$101:$K$350),IF(ISNUMBER(_xlpm.v),_xlpm.v,"")),"")))</f>
        <v/>
      </c>
      <c r="S39" s="211" t="str">
        <f t="shared" si="8"/>
        <v/>
      </c>
      <c r="T39" s="25" t="str">
        <f t="shared" si="9"/>
        <v/>
      </c>
      <c r="U39" s="364"/>
      <c r="BV39" s="20" t="str">
        <f>IF($A39="","",IFERROR(_xlfn.XLOOKUP("F-"&amp;$A39,'Feeder Schedule'!$B$5:$B$254,'Feeder Schedule'!$H$5:$H$254),""))</f>
        <v/>
      </c>
      <c r="BW39" s="20" t="str">
        <f>IF($A39="","",IFERROR(_xlfn.XLOOKUP("F-"&amp;$A39,'Feeder Schedule'!$B$5:$B$254,'Feeder Schedule'!$BV$5:$BV$254),""))</f>
        <v/>
      </c>
      <c r="BX39" s="20" t="str">
        <f>IF($A39="","",IFERROR(_xlfn.LET(_xlpm.v,_xlfn.XLOOKUP("F-"&amp;$A39,'Feeder Schedule'!$B$5:$B$254,'Feeder Schedule'!$M$5:$M$254),IF(OR(_xlpm.v="",_xlpm.v=0),Cfg_Conduit,_xlpm.v)),""))</f>
        <v/>
      </c>
      <c r="BY39" s="20" t="str">
        <f>IF($A39="","",IFERROR(_xlfn.XLOOKUP("F-"&amp;$A39,'Feeder Schedule'!$B$5:$B$254,'Feeder Schedule'!$O$5:$O$254),""))</f>
        <v/>
      </c>
      <c r="BZ39" s="20" t="str">
        <f>IF($A39="","",IFERROR(_xlfn.XLOOKUP("F-"&amp;$A39,'Feeder Schedule'!$B$5:$B$254,'Feeder Schedule'!$CH$5:$CH$254),""))</f>
        <v/>
      </c>
      <c r="CA39" s="20" t="str">
        <f>IF($A39="","",IFERROR(_xlfn.XLOOKUP("F-"&amp;$A39,'Feeder Schedule'!$B$5:$B$254,'Feeder Schedule'!$F$5:$F$254),""))</f>
        <v/>
      </c>
      <c r="CB39" s="20" t="str">
        <f>IF($A39="","",IFERROR(_xlfn.XLOOKUP("F-"&amp;$A39,'Feeder Schedule'!$B$5:$B$254,'Feeder Schedule'!$G$5:$G$254),""))</f>
        <v/>
      </c>
      <c r="CD39" s="20" t="str" cm="1">
        <f t="array" ref="CD39">IFERROR(IF($A39="","",INDEX(_xlfn.ANCHORARRAY($BK$4),ROW()-5,6)),"")</f>
        <v/>
      </c>
      <c r="CE39" s="20" t="str">
        <f t="shared" si="12"/>
        <v/>
      </c>
      <c r="CF39" s="20" t="str">
        <f t="shared" si="13"/>
        <v/>
      </c>
      <c r="CG39" s="20" t="str">
        <f t="shared" si="10"/>
        <v/>
      </c>
      <c r="CH39" s="20" t="str" cm="1">
        <f t="array" ref="CH39">IF(OR($A39="",$BZ39="",$BW39="",$BX39=""),"",_xlfn.LET(_xlpm.mag,IFERROR(_xlfn.XLOOKUP($BX39,Race_Raceway,Race_Mag),""),IF(_xlpm.mag="","",IFERROR(INDEX(Cond_Table,MATCH($BZ39,Cond_Size,0),IF(UPPER($BW39)="AL",IF(_xlpm.mag="Y",10,12),IF(_xlpm.mag="Y",9,11))),""))))</f>
        <v/>
      </c>
      <c r="CI39" s="20" t="str">
        <f t="shared" si="11"/>
        <v/>
      </c>
      <c r="CJ39" s="20" t="str">
        <f>IF(OR($A39="",LEFT($A39,2)&lt;&gt;"T-"),"",IFERROR(_xlfn.LET(_xlpm.fla,_xlfn.XLOOKUP($A39,Transformers!$A$6:$A$105,Transformers!$AK$6:$AK$105),_xlpm.z,_xlfn.XLOOKUP($A39,Transformers!$A$6:$A$105,Transformers!$AX$6:$AX$105),IF(OR(_xlpm.fla="",_xlpm.z="",_xlpm.z=0),"",_xlpm.fla*100/_xlpm.z)),""))</f>
        <v/>
      </c>
      <c r="CK39" s="20" t="str">
        <f t="shared" si="14"/>
        <v/>
      </c>
      <c r="CL39" s="20" t="str">
        <f t="shared" si="15"/>
        <v/>
      </c>
      <c r="CM39" s="373"/>
      <c r="CO39" s="20" t="str">
        <f>IF(OR($A39="",LEFT($A39,2)&lt;&gt;"T-"),"",_xlfn.LET(_xlpm.ph,IFERROR(_xlfn.XLOOKUP($A39,Transformers!$A$6:$A$105,Transformers!$C$6:$C$105),""),_xlpm.rr,IFERROR(_xlfn.XLOOKUP($A39,Transformers!$A$6:$A$105,Transformers!$AG$6:$AG$105),""),_xlpm.xx,IFERROR(_xlfn.XLOOKUP($A39,Transformers!$A$6:$A$105,Transformers!$AI$6:$AI$105),""),IF(OR(_xlpm.ph&lt;&gt;1,NOT(ISNUMBER(_xlpm.rr)),NOT(ISNUMBER(_xlpm.xx))),"",SQRT((1.5*_xlpm.rr)^2+(1.2*_xlpm.xx)^2))))</f>
        <v/>
      </c>
      <c r="CP39" s="20" t="str">
        <f t="shared" si="16"/>
        <v/>
      </c>
    </row>
    <row r="40" spans="1:94" ht="15" customHeight="1" x14ac:dyDescent="0.45">
      <c r="A40" s="275" t="str" cm="1">
        <f t="array" ref="A40">IFERROR(IF(INDEX(_xlfn.ANCHORARRAY($BK$4),ROW()-5,1)="","",INDEX(_xlfn.ANCHORARRAY($BK$4),ROW()-5,1)),"")</f>
        <v/>
      </c>
      <c r="B40" s="25" t="str" cm="1">
        <f t="array" ref="B40">IFERROR(IF($A40="","",INDEX(_xlfn.ANCHORARRAY($BK$4),ROW()-5,5)),"")</f>
        <v/>
      </c>
      <c r="C40" s="178" t="str" cm="1">
        <f t="array" ref="C40">IFERROR(IF($A40="","",INDEX(_xlfn.ANCHORARRAY($BK$4),ROW()-5,7)),"")</f>
        <v/>
      </c>
      <c r="D40" s="177" t="str" cm="1">
        <f t="array" ref="D40">IFERROR(IF($A40="","",INDEX(_xlfn.ANCHORARRAY($BK$4),ROW()-5,3)),"")</f>
        <v/>
      </c>
      <c r="E40" s="25" t="str" cm="1">
        <f t="array" ref="E40">IFERROR(IF($A40="","",INDEX(_xlfn.ANCHORARRAY($BK$4),ROW()-5,2)),"")</f>
        <v/>
      </c>
      <c r="F40" s="177" t="str">
        <f t="shared" si="0"/>
        <v/>
      </c>
      <c r="G40" s="275" t="str">
        <f t="shared" si="1"/>
        <v/>
      </c>
      <c r="H40" s="180" t="str">
        <f t="shared" si="2"/>
        <v/>
      </c>
      <c r="I40" s="180" t="str">
        <f t="shared" si="3"/>
        <v/>
      </c>
      <c r="J40" s="177" t="str">
        <f>_xlfn.LET(_xlpm.v,_xlfn.LET(_xlpm.base,IF($A40="","",IF($C40=0,IFERROR(_xlfn.XLOOKUP($A40,Util_Tags,Util_SCAEff),""),IF(LEFT($A40,2)="T-",IF($CJ40="","",$CJ40/(1+IF($CL40="",0,$CL40))),IF(OR($F40="",$I40=""),"",$F40*$I40)))),_xlpm.gtag,IF(OR($A40="",NOT(OR($B40="ATS",$B40="MTS"))),"",IFERROR(_xlfn.XLOOKUP($A40,Dashboard!$A$101:$A$350,Dashboard!$L$101:$L$350,"")&amp;"","")),_xlpm.gkva,IF(_xlpm.gtag="",0,IFERROR(N(_xlfn.XLOOKUP(_xlpm.gtag,Generator!$B$53:$B$58,Generator!$S$53:$S$58,0)),0)),_xlpm.gxd,IF(_xlpm.gtag="",0,IFERROR(N(_xlfn.XLOOKUP(_xlpm.gtag,Generator!$B$53:$B$58,Generator!$U$53:$U$58,0)),0)),_xlpm.gamp,IF(OR(_xlpm.gkva=0,_xlpm.gxd=0,N($D40)=0),0,ROUND(_xlpm.gkva*1000/(IF(N($CB40)=1,1,SQRT(3))*$D40*_xlpm.gxd),0)),IF(OR(_xlpm.gamp=0,NOT(ISNUMBER(_xlpm.base))),_xlpm.base,MAX(_xlpm.base,_xlpm.gamp))),_xlpm.ulim,IF(OR($A40="",$B40&lt;&gt;"UPS"),"",IFERROR(IF(_xlfn.XLOOKUP($A40,UPS!$B$57:$B$64,UPS!$E$57:$E$64,"")="None",_xlfn.XLOOKUP($A40,UPS!$B$57:$B$64,UPS!$U$57:$U$64,""),""),"")),IF(AND(ISNUMBER(_xlpm.v),ISNUMBER(_xlpm.ulim)),MIN(_xlpm.v,_xlpm.ulim),_xlpm.v))</f>
        <v/>
      </c>
      <c r="K40" s="176"/>
      <c r="L40" s="177" t="str">
        <f t="shared" si="4"/>
        <v/>
      </c>
      <c r="M40" s="177" t="str">
        <f t="shared" si="5"/>
        <v/>
      </c>
      <c r="N40" s="380" t="str">
        <f>IF($A40="","",IF($C40=0,_xlfn.LET(_xlpm.x,IFERROR(_xlfn.XLOOKUP($A40,Util_Tags,Util_XR),""),IF(N(_xlpm.x)=0,Xfmr_DefXR,_xlpm.x)),IF(LEFT($A40,2)="T-",IFERROR(_xlfn.XLOOKUP($A40,Transformers!$A$6:$A$105,Transformers!$AH$6:$AH$105),Xfmr_DefXR),IFERROR(_xlfn.XLOOKUP($E40,$A$6:$A$255,$N$6:$N$255),Xfmr_DefXR))))</f>
        <v/>
      </c>
      <c r="O40" s="177" t="str">
        <f t="shared" si="6"/>
        <v/>
      </c>
      <c r="P40" s="210" t="str">
        <f>IF($A40="","",IF(LEFT($A40,2)="T-",IF($CO40="","",_xlfn.LET(_xlpm.k,IFERROR(_xlfn.XLOOKUP($A40,Transformers!$A$6:$A$105,Transformers!$G$6:$G$105),""),_xlpm.sv,IFERROR(_xlfn.XLOOKUP($A40,Transformers!$A$6:$A$105,Transformers!$E$6:$E$105),""),IF(OR(NOT(ISNUMBER(_xlpm.k)),NOT(ISNUMBER(_xlpm.sv)),_xlpm.sv=0),"",_xlfn.LET(_xlpm.iInf,(_xlpm.k*1000/(_xlpm.sv/2))*100/$CO40,_xlpm.pri,IF(OR($CK40="",$CK40=0),"",$CK40/2),_xlpm.base,IF(_xlpm.pri="",_xlpm.iInf,_xlpm.iInf/(1+_xlpm.iInf/_xlpm.pri)),_xlpm.base+IF($L40="",0,$L40))))),IF($CP40="","",_xlfn.LET(_xlpm.pI,IFERROR(_xlfn.XLOOKUP($E40,$A$6:$A$255,$P$6:$P$255),""),IF(NOT(ISNUMBER(_xlpm.pI)),"",_xlpm.pI/(1+$CP40)+IF($L40="",0,$L40))))))</f>
        <v/>
      </c>
      <c r="Q40" s="210" t="str">
        <f t="shared" si="7"/>
        <v/>
      </c>
      <c r="R40" s="177" t="str">
        <f>IF($A40="","",IF(OR($C40=0,LEFT($A40,2)="T-"),"",IFERROR(_xlfn.LET(_xlpm.v,_xlfn.XLOOKUP($A40,Dashboard!$A$101:$A$350,Dashboard!$K$101:$K$350),IF(ISNUMBER(_xlpm.v),_xlpm.v,"")),"")))</f>
        <v/>
      </c>
      <c r="S40" s="211" t="str">
        <f t="shared" si="8"/>
        <v/>
      </c>
      <c r="T40" s="25" t="str">
        <f t="shared" si="9"/>
        <v/>
      </c>
      <c r="U40" s="364"/>
      <c r="BV40" s="20" t="str">
        <f>IF($A40="","",IFERROR(_xlfn.XLOOKUP("F-"&amp;$A40,'Feeder Schedule'!$B$5:$B$254,'Feeder Schedule'!$H$5:$H$254),""))</f>
        <v/>
      </c>
      <c r="BW40" s="20" t="str">
        <f>IF($A40="","",IFERROR(_xlfn.XLOOKUP("F-"&amp;$A40,'Feeder Schedule'!$B$5:$B$254,'Feeder Schedule'!$BV$5:$BV$254),""))</f>
        <v/>
      </c>
      <c r="BX40" s="20" t="str">
        <f>IF($A40="","",IFERROR(_xlfn.LET(_xlpm.v,_xlfn.XLOOKUP("F-"&amp;$A40,'Feeder Schedule'!$B$5:$B$254,'Feeder Schedule'!$M$5:$M$254),IF(OR(_xlpm.v="",_xlpm.v=0),Cfg_Conduit,_xlpm.v)),""))</f>
        <v/>
      </c>
      <c r="BY40" s="20" t="str">
        <f>IF($A40="","",IFERROR(_xlfn.XLOOKUP("F-"&amp;$A40,'Feeder Schedule'!$B$5:$B$254,'Feeder Schedule'!$O$5:$O$254),""))</f>
        <v/>
      </c>
      <c r="BZ40" s="20" t="str">
        <f>IF($A40="","",IFERROR(_xlfn.XLOOKUP("F-"&amp;$A40,'Feeder Schedule'!$B$5:$B$254,'Feeder Schedule'!$CH$5:$CH$254),""))</f>
        <v/>
      </c>
      <c r="CA40" s="20" t="str">
        <f>IF($A40="","",IFERROR(_xlfn.XLOOKUP("F-"&amp;$A40,'Feeder Schedule'!$B$5:$B$254,'Feeder Schedule'!$F$5:$F$254),""))</f>
        <v/>
      </c>
      <c r="CB40" s="20" t="str">
        <f>IF($A40="","",IFERROR(_xlfn.XLOOKUP("F-"&amp;$A40,'Feeder Schedule'!$B$5:$B$254,'Feeder Schedule'!$G$5:$G$254),""))</f>
        <v/>
      </c>
      <c r="CD40" s="20" t="str" cm="1">
        <f t="array" ref="CD40">IFERROR(IF($A40="","",INDEX(_xlfn.ANCHORARRAY($BK$4),ROW()-5,6)),"")</f>
        <v/>
      </c>
      <c r="CE40" s="20" t="str">
        <f t="shared" si="12"/>
        <v/>
      </c>
      <c r="CF40" s="20" t="str">
        <f t="shared" si="13"/>
        <v/>
      </c>
      <c r="CG40" s="20" t="str">
        <f t="shared" si="10"/>
        <v/>
      </c>
      <c r="CH40" s="20" t="str" cm="1">
        <f t="array" ref="CH40">IF(OR($A40="",$BZ40="",$BW40="",$BX40=""),"",_xlfn.LET(_xlpm.mag,IFERROR(_xlfn.XLOOKUP($BX40,Race_Raceway,Race_Mag),""),IF(_xlpm.mag="","",IFERROR(INDEX(Cond_Table,MATCH($BZ40,Cond_Size,0),IF(UPPER($BW40)="AL",IF(_xlpm.mag="Y",10,12),IF(_xlpm.mag="Y",9,11))),""))))</f>
        <v/>
      </c>
      <c r="CI40" s="20" t="str">
        <f t="shared" si="11"/>
        <v/>
      </c>
      <c r="CJ40" s="20" t="str">
        <f>IF(OR($A40="",LEFT($A40,2)&lt;&gt;"T-"),"",IFERROR(_xlfn.LET(_xlpm.fla,_xlfn.XLOOKUP($A40,Transformers!$A$6:$A$105,Transformers!$AK$6:$AK$105),_xlpm.z,_xlfn.XLOOKUP($A40,Transformers!$A$6:$A$105,Transformers!$AX$6:$AX$105),IF(OR(_xlpm.fla="",_xlpm.z="",_xlpm.z=0),"",_xlpm.fla*100/_xlpm.z)),""))</f>
        <v/>
      </c>
      <c r="CK40" s="20" t="str">
        <f t="shared" si="14"/>
        <v/>
      </c>
      <c r="CL40" s="20" t="str">
        <f t="shared" si="15"/>
        <v/>
      </c>
      <c r="CM40" s="373"/>
      <c r="CO40" s="20" t="str">
        <f>IF(OR($A40="",LEFT($A40,2)&lt;&gt;"T-"),"",_xlfn.LET(_xlpm.ph,IFERROR(_xlfn.XLOOKUP($A40,Transformers!$A$6:$A$105,Transformers!$C$6:$C$105),""),_xlpm.rr,IFERROR(_xlfn.XLOOKUP($A40,Transformers!$A$6:$A$105,Transformers!$AG$6:$AG$105),""),_xlpm.xx,IFERROR(_xlfn.XLOOKUP($A40,Transformers!$A$6:$A$105,Transformers!$AI$6:$AI$105),""),IF(OR(_xlpm.ph&lt;&gt;1,NOT(ISNUMBER(_xlpm.rr)),NOT(ISNUMBER(_xlpm.xx))),"",SQRT((1.5*_xlpm.rr)^2+(1.2*_xlpm.xx)^2))))</f>
        <v/>
      </c>
      <c r="CP40" s="20" t="str">
        <f t="shared" si="16"/>
        <v/>
      </c>
    </row>
    <row r="41" spans="1:94" ht="15" customHeight="1" x14ac:dyDescent="0.45">
      <c r="A41" s="275" t="str" cm="1">
        <f t="array" ref="A41">IFERROR(IF(INDEX(_xlfn.ANCHORARRAY($BK$4),ROW()-5,1)="","",INDEX(_xlfn.ANCHORARRAY($BK$4),ROW()-5,1)),"")</f>
        <v/>
      </c>
      <c r="B41" s="25" t="str" cm="1">
        <f t="array" ref="B41">IFERROR(IF($A41="","",INDEX(_xlfn.ANCHORARRAY($BK$4),ROW()-5,5)),"")</f>
        <v/>
      </c>
      <c r="C41" s="178" t="str" cm="1">
        <f t="array" ref="C41">IFERROR(IF($A41="","",INDEX(_xlfn.ANCHORARRAY($BK$4),ROW()-5,7)),"")</f>
        <v/>
      </c>
      <c r="D41" s="177" t="str" cm="1">
        <f t="array" ref="D41">IFERROR(IF($A41="","",INDEX(_xlfn.ANCHORARRAY($BK$4),ROW()-5,3)),"")</f>
        <v/>
      </c>
      <c r="E41" s="25" t="str" cm="1">
        <f t="array" ref="E41">IFERROR(IF($A41="","",INDEX(_xlfn.ANCHORARRAY($BK$4),ROW()-5,2)),"")</f>
        <v/>
      </c>
      <c r="F41" s="177" t="str">
        <f t="shared" si="0"/>
        <v/>
      </c>
      <c r="G41" s="275" t="str">
        <f t="shared" si="1"/>
        <v/>
      </c>
      <c r="H41" s="180" t="str">
        <f t="shared" si="2"/>
        <v/>
      </c>
      <c r="I41" s="180" t="str">
        <f t="shared" si="3"/>
        <v/>
      </c>
      <c r="J41" s="177" t="str">
        <f>_xlfn.LET(_xlpm.v,_xlfn.LET(_xlpm.base,IF($A41="","",IF($C41=0,IFERROR(_xlfn.XLOOKUP($A41,Util_Tags,Util_SCAEff),""),IF(LEFT($A41,2)="T-",IF($CJ41="","",$CJ41/(1+IF($CL41="",0,$CL41))),IF(OR($F41="",$I41=""),"",$F41*$I41)))),_xlpm.gtag,IF(OR($A41="",NOT(OR($B41="ATS",$B41="MTS"))),"",IFERROR(_xlfn.XLOOKUP($A41,Dashboard!$A$101:$A$350,Dashboard!$L$101:$L$350,"")&amp;"","")),_xlpm.gkva,IF(_xlpm.gtag="",0,IFERROR(N(_xlfn.XLOOKUP(_xlpm.gtag,Generator!$B$53:$B$58,Generator!$S$53:$S$58,0)),0)),_xlpm.gxd,IF(_xlpm.gtag="",0,IFERROR(N(_xlfn.XLOOKUP(_xlpm.gtag,Generator!$B$53:$B$58,Generator!$U$53:$U$58,0)),0)),_xlpm.gamp,IF(OR(_xlpm.gkva=0,_xlpm.gxd=0,N($D41)=0),0,ROUND(_xlpm.gkva*1000/(IF(N($CB41)=1,1,SQRT(3))*$D41*_xlpm.gxd),0)),IF(OR(_xlpm.gamp=0,NOT(ISNUMBER(_xlpm.base))),_xlpm.base,MAX(_xlpm.base,_xlpm.gamp))),_xlpm.ulim,IF(OR($A41="",$B41&lt;&gt;"UPS"),"",IFERROR(IF(_xlfn.XLOOKUP($A41,UPS!$B$57:$B$64,UPS!$E$57:$E$64,"")="None",_xlfn.XLOOKUP($A41,UPS!$B$57:$B$64,UPS!$U$57:$U$64,""),""),"")),IF(AND(ISNUMBER(_xlpm.v),ISNUMBER(_xlpm.ulim)),MIN(_xlpm.v,_xlpm.ulim),_xlpm.v))</f>
        <v/>
      </c>
      <c r="K41" s="176"/>
      <c r="L41" s="177" t="str">
        <f t="shared" si="4"/>
        <v/>
      </c>
      <c r="M41" s="177" t="str">
        <f t="shared" si="5"/>
        <v/>
      </c>
      <c r="N41" s="380" t="str">
        <f>IF($A41="","",IF($C41=0,_xlfn.LET(_xlpm.x,IFERROR(_xlfn.XLOOKUP($A41,Util_Tags,Util_XR),""),IF(N(_xlpm.x)=0,Xfmr_DefXR,_xlpm.x)),IF(LEFT($A41,2)="T-",IFERROR(_xlfn.XLOOKUP($A41,Transformers!$A$6:$A$105,Transformers!$AH$6:$AH$105),Xfmr_DefXR),IFERROR(_xlfn.XLOOKUP($E41,$A$6:$A$255,$N$6:$N$255),Xfmr_DefXR))))</f>
        <v/>
      </c>
      <c r="O41" s="177" t="str">
        <f t="shared" si="6"/>
        <v/>
      </c>
      <c r="P41" s="210" t="str">
        <f>IF($A41="","",IF(LEFT($A41,2)="T-",IF($CO41="","",_xlfn.LET(_xlpm.k,IFERROR(_xlfn.XLOOKUP($A41,Transformers!$A$6:$A$105,Transformers!$G$6:$G$105),""),_xlpm.sv,IFERROR(_xlfn.XLOOKUP($A41,Transformers!$A$6:$A$105,Transformers!$E$6:$E$105),""),IF(OR(NOT(ISNUMBER(_xlpm.k)),NOT(ISNUMBER(_xlpm.sv)),_xlpm.sv=0),"",_xlfn.LET(_xlpm.iInf,(_xlpm.k*1000/(_xlpm.sv/2))*100/$CO41,_xlpm.pri,IF(OR($CK41="",$CK41=0),"",$CK41/2),_xlpm.base,IF(_xlpm.pri="",_xlpm.iInf,_xlpm.iInf/(1+_xlpm.iInf/_xlpm.pri)),_xlpm.base+IF($L41="",0,$L41))))),IF($CP41="","",_xlfn.LET(_xlpm.pI,IFERROR(_xlfn.XLOOKUP($E41,$A$6:$A$255,$P$6:$P$255),""),IF(NOT(ISNUMBER(_xlpm.pI)),"",_xlpm.pI/(1+$CP41)+IF($L41="",0,$L41))))))</f>
        <v/>
      </c>
      <c r="Q41" s="210" t="str">
        <f t="shared" si="7"/>
        <v/>
      </c>
      <c r="R41" s="177" t="str">
        <f>IF($A41="","",IF(OR($C41=0,LEFT($A41,2)="T-"),"",IFERROR(_xlfn.LET(_xlpm.v,_xlfn.XLOOKUP($A41,Dashboard!$A$101:$A$350,Dashboard!$K$101:$K$350),IF(ISNUMBER(_xlpm.v),_xlpm.v,"")),"")))</f>
        <v/>
      </c>
      <c r="S41" s="211" t="str">
        <f t="shared" si="8"/>
        <v/>
      </c>
      <c r="T41" s="25" t="str">
        <f t="shared" si="9"/>
        <v/>
      </c>
      <c r="U41" s="364"/>
      <c r="BV41" s="20" t="str">
        <f>IF($A41="","",IFERROR(_xlfn.XLOOKUP("F-"&amp;$A41,'Feeder Schedule'!$B$5:$B$254,'Feeder Schedule'!$H$5:$H$254),""))</f>
        <v/>
      </c>
      <c r="BW41" s="20" t="str">
        <f>IF($A41="","",IFERROR(_xlfn.XLOOKUP("F-"&amp;$A41,'Feeder Schedule'!$B$5:$B$254,'Feeder Schedule'!$BV$5:$BV$254),""))</f>
        <v/>
      </c>
      <c r="BX41" s="20" t="str">
        <f>IF($A41="","",IFERROR(_xlfn.LET(_xlpm.v,_xlfn.XLOOKUP("F-"&amp;$A41,'Feeder Schedule'!$B$5:$B$254,'Feeder Schedule'!$M$5:$M$254),IF(OR(_xlpm.v="",_xlpm.v=0),Cfg_Conduit,_xlpm.v)),""))</f>
        <v/>
      </c>
      <c r="BY41" s="20" t="str">
        <f>IF($A41="","",IFERROR(_xlfn.XLOOKUP("F-"&amp;$A41,'Feeder Schedule'!$B$5:$B$254,'Feeder Schedule'!$O$5:$O$254),""))</f>
        <v/>
      </c>
      <c r="BZ41" s="20" t="str">
        <f>IF($A41="","",IFERROR(_xlfn.XLOOKUP("F-"&amp;$A41,'Feeder Schedule'!$B$5:$B$254,'Feeder Schedule'!$CH$5:$CH$254),""))</f>
        <v/>
      </c>
      <c r="CA41" s="20" t="str">
        <f>IF($A41="","",IFERROR(_xlfn.XLOOKUP("F-"&amp;$A41,'Feeder Schedule'!$B$5:$B$254,'Feeder Schedule'!$F$5:$F$254),""))</f>
        <v/>
      </c>
      <c r="CB41" s="20" t="str">
        <f>IF($A41="","",IFERROR(_xlfn.XLOOKUP("F-"&amp;$A41,'Feeder Schedule'!$B$5:$B$254,'Feeder Schedule'!$G$5:$G$254),""))</f>
        <v/>
      </c>
      <c r="CD41" s="20" t="str" cm="1">
        <f t="array" ref="CD41">IFERROR(IF($A41="","",INDEX(_xlfn.ANCHORARRAY($BK$4),ROW()-5,6)),"")</f>
        <v/>
      </c>
      <c r="CE41" s="20" t="str">
        <f t="shared" si="12"/>
        <v/>
      </c>
      <c r="CF41" s="20" t="str">
        <f t="shared" si="13"/>
        <v/>
      </c>
      <c r="CG41" s="20" t="str">
        <f t="shared" si="10"/>
        <v/>
      </c>
      <c r="CH41" s="20" t="str" cm="1">
        <f t="array" ref="CH41">IF(OR($A41="",$BZ41="",$BW41="",$BX41=""),"",_xlfn.LET(_xlpm.mag,IFERROR(_xlfn.XLOOKUP($BX41,Race_Raceway,Race_Mag),""),IF(_xlpm.mag="","",IFERROR(INDEX(Cond_Table,MATCH($BZ41,Cond_Size,0),IF(UPPER($BW41)="AL",IF(_xlpm.mag="Y",10,12),IF(_xlpm.mag="Y",9,11))),""))))</f>
        <v/>
      </c>
      <c r="CI41" s="20" t="str">
        <f t="shared" si="11"/>
        <v/>
      </c>
      <c r="CJ41" s="20" t="str">
        <f>IF(OR($A41="",LEFT($A41,2)&lt;&gt;"T-"),"",IFERROR(_xlfn.LET(_xlpm.fla,_xlfn.XLOOKUP($A41,Transformers!$A$6:$A$105,Transformers!$AK$6:$AK$105),_xlpm.z,_xlfn.XLOOKUP($A41,Transformers!$A$6:$A$105,Transformers!$AX$6:$AX$105),IF(OR(_xlpm.fla="",_xlpm.z="",_xlpm.z=0),"",_xlpm.fla*100/_xlpm.z)),""))</f>
        <v/>
      </c>
      <c r="CK41" s="20" t="str">
        <f t="shared" si="14"/>
        <v/>
      </c>
      <c r="CL41" s="20" t="str">
        <f t="shared" si="15"/>
        <v/>
      </c>
      <c r="CM41" s="373"/>
      <c r="CO41" s="20" t="str">
        <f>IF(OR($A41="",LEFT($A41,2)&lt;&gt;"T-"),"",_xlfn.LET(_xlpm.ph,IFERROR(_xlfn.XLOOKUP($A41,Transformers!$A$6:$A$105,Transformers!$C$6:$C$105),""),_xlpm.rr,IFERROR(_xlfn.XLOOKUP($A41,Transformers!$A$6:$A$105,Transformers!$AG$6:$AG$105),""),_xlpm.xx,IFERROR(_xlfn.XLOOKUP($A41,Transformers!$A$6:$A$105,Transformers!$AI$6:$AI$105),""),IF(OR(_xlpm.ph&lt;&gt;1,NOT(ISNUMBER(_xlpm.rr)),NOT(ISNUMBER(_xlpm.xx))),"",SQRT((1.5*_xlpm.rr)^2+(1.2*_xlpm.xx)^2))))</f>
        <v/>
      </c>
      <c r="CP41" s="20" t="str">
        <f t="shared" si="16"/>
        <v/>
      </c>
    </row>
    <row r="42" spans="1:94" ht="15" customHeight="1" x14ac:dyDescent="0.45">
      <c r="A42" s="275" t="str" cm="1">
        <f t="array" ref="A42">IFERROR(IF(INDEX(_xlfn.ANCHORARRAY($BK$4),ROW()-5,1)="","",INDEX(_xlfn.ANCHORARRAY($BK$4),ROW()-5,1)),"")</f>
        <v/>
      </c>
      <c r="B42" s="25" t="str" cm="1">
        <f t="array" ref="B42">IFERROR(IF($A42="","",INDEX(_xlfn.ANCHORARRAY($BK$4),ROW()-5,5)),"")</f>
        <v/>
      </c>
      <c r="C42" s="178" t="str" cm="1">
        <f t="array" ref="C42">IFERROR(IF($A42="","",INDEX(_xlfn.ANCHORARRAY($BK$4),ROW()-5,7)),"")</f>
        <v/>
      </c>
      <c r="D42" s="177" t="str" cm="1">
        <f t="array" ref="D42">IFERROR(IF($A42="","",INDEX(_xlfn.ANCHORARRAY($BK$4),ROW()-5,3)),"")</f>
        <v/>
      </c>
      <c r="E42" s="25" t="str" cm="1">
        <f t="array" ref="E42">IFERROR(IF($A42="","",INDEX(_xlfn.ANCHORARRAY($BK$4),ROW()-5,2)),"")</f>
        <v/>
      </c>
      <c r="F42" s="177" t="str">
        <f t="shared" si="0"/>
        <v/>
      </c>
      <c r="G42" s="275" t="str">
        <f t="shared" si="1"/>
        <v/>
      </c>
      <c r="H42" s="180" t="str">
        <f t="shared" si="2"/>
        <v/>
      </c>
      <c r="I42" s="180" t="str">
        <f t="shared" si="3"/>
        <v/>
      </c>
      <c r="J42" s="177" t="str">
        <f>_xlfn.LET(_xlpm.v,_xlfn.LET(_xlpm.base,IF($A42="","",IF($C42=0,IFERROR(_xlfn.XLOOKUP($A42,Util_Tags,Util_SCAEff),""),IF(LEFT($A42,2)="T-",IF($CJ42="","",$CJ42/(1+IF($CL42="",0,$CL42))),IF(OR($F42="",$I42=""),"",$F42*$I42)))),_xlpm.gtag,IF(OR($A42="",NOT(OR($B42="ATS",$B42="MTS"))),"",IFERROR(_xlfn.XLOOKUP($A42,Dashboard!$A$101:$A$350,Dashboard!$L$101:$L$350,"")&amp;"","")),_xlpm.gkva,IF(_xlpm.gtag="",0,IFERROR(N(_xlfn.XLOOKUP(_xlpm.gtag,Generator!$B$53:$B$58,Generator!$S$53:$S$58,0)),0)),_xlpm.gxd,IF(_xlpm.gtag="",0,IFERROR(N(_xlfn.XLOOKUP(_xlpm.gtag,Generator!$B$53:$B$58,Generator!$U$53:$U$58,0)),0)),_xlpm.gamp,IF(OR(_xlpm.gkva=0,_xlpm.gxd=0,N($D42)=0),0,ROUND(_xlpm.gkva*1000/(IF(N($CB42)=1,1,SQRT(3))*$D42*_xlpm.gxd),0)),IF(OR(_xlpm.gamp=0,NOT(ISNUMBER(_xlpm.base))),_xlpm.base,MAX(_xlpm.base,_xlpm.gamp))),_xlpm.ulim,IF(OR($A42="",$B42&lt;&gt;"UPS"),"",IFERROR(IF(_xlfn.XLOOKUP($A42,UPS!$B$57:$B$64,UPS!$E$57:$E$64,"")="None",_xlfn.XLOOKUP($A42,UPS!$B$57:$B$64,UPS!$U$57:$U$64,""),""),"")),IF(AND(ISNUMBER(_xlpm.v),ISNUMBER(_xlpm.ulim)),MIN(_xlpm.v,_xlpm.ulim),_xlpm.v))</f>
        <v/>
      </c>
      <c r="K42" s="176"/>
      <c r="L42" s="177" t="str">
        <f t="shared" si="4"/>
        <v/>
      </c>
      <c r="M42" s="177" t="str">
        <f t="shared" si="5"/>
        <v/>
      </c>
      <c r="N42" s="380" t="str">
        <f>IF($A42="","",IF($C42=0,_xlfn.LET(_xlpm.x,IFERROR(_xlfn.XLOOKUP($A42,Util_Tags,Util_XR),""),IF(N(_xlpm.x)=0,Xfmr_DefXR,_xlpm.x)),IF(LEFT($A42,2)="T-",IFERROR(_xlfn.XLOOKUP($A42,Transformers!$A$6:$A$105,Transformers!$AH$6:$AH$105),Xfmr_DefXR),IFERROR(_xlfn.XLOOKUP($E42,$A$6:$A$255,$N$6:$N$255),Xfmr_DefXR))))</f>
        <v/>
      </c>
      <c r="O42" s="177" t="str">
        <f t="shared" si="6"/>
        <v/>
      </c>
      <c r="P42" s="210" t="str">
        <f>IF($A42="","",IF(LEFT($A42,2)="T-",IF($CO42="","",_xlfn.LET(_xlpm.k,IFERROR(_xlfn.XLOOKUP($A42,Transformers!$A$6:$A$105,Transformers!$G$6:$G$105),""),_xlpm.sv,IFERROR(_xlfn.XLOOKUP($A42,Transformers!$A$6:$A$105,Transformers!$E$6:$E$105),""),IF(OR(NOT(ISNUMBER(_xlpm.k)),NOT(ISNUMBER(_xlpm.sv)),_xlpm.sv=0),"",_xlfn.LET(_xlpm.iInf,(_xlpm.k*1000/(_xlpm.sv/2))*100/$CO42,_xlpm.pri,IF(OR($CK42="",$CK42=0),"",$CK42/2),_xlpm.base,IF(_xlpm.pri="",_xlpm.iInf,_xlpm.iInf/(1+_xlpm.iInf/_xlpm.pri)),_xlpm.base+IF($L42="",0,$L42))))),IF($CP42="","",_xlfn.LET(_xlpm.pI,IFERROR(_xlfn.XLOOKUP($E42,$A$6:$A$255,$P$6:$P$255),""),IF(NOT(ISNUMBER(_xlpm.pI)),"",_xlpm.pI/(1+$CP42)+IF($L42="",0,$L42))))))</f>
        <v/>
      </c>
      <c r="Q42" s="210" t="str">
        <f t="shared" si="7"/>
        <v/>
      </c>
      <c r="R42" s="177" t="str">
        <f>IF($A42="","",IF(OR($C42=0,LEFT($A42,2)="T-"),"",IFERROR(_xlfn.LET(_xlpm.v,_xlfn.XLOOKUP($A42,Dashboard!$A$101:$A$350,Dashboard!$K$101:$K$350),IF(ISNUMBER(_xlpm.v),_xlpm.v,"")),"")))</f>
        <v/>
      </c>
      <c r="S42" s="211" t="str">
        <f t="shared" si="8"/>
        <v/>
      </c>
      <c r="T42" s="25" t="str">
        <f t="shared" si="9"/>
        <v/>
      </c>
      <c r="U42" s="364"/>
      <c r="BV42" s="20" t="str">
        <f>IF($A42="","",IFERROR(_xlfn.XLOOKUP("F-"&amp;$A42,'Feeder Schedule'!$B$5:$B$254,'Feeder Schedule'!$H$5:$H$254),""))</f>
        <v/>
      </c>
      <c r="BW42" s="20" t="str">
        <f>IF($A42="","",IFERROR(_xlfn.XLOOKUP("F-"&amp;$A42,'Feeder Schedule'!$B$5:$B$254,'Feeder Schedule'!$BV$5:$BV$254),""))</f>
        <v/>
      </c>
      <c r="BX42" s="20" t="str">
        <f>IF($A42="","",IFERROR(_xlfn.LET(_xlpm.v,_xlfn.XLOOKUP("F-"&amp;$A42,'Feeder Schedule'!$B$5:$B$254,'Feeder Schedule'!$M$5:$M$254),IF(OR(_xlpm.v="",_xlpm.v=0),Cfg_Conduit,_xlpm.v)),""))</f>
        <v/>
      </c>
      <c r="BY42" s="20" t="str">
        <f>IF($A42="","",IFERROR(_xlfn.XLOOKUP("F-"&amp;$A42,'Feeder Schedule'!$B$5:$B$254,'Feeder Schedule'!$O$5:$O$254),""))</f>
        <v/>
      </c>
      <c r="BZ42" s="20" t="str">
        <f>IF($A42="","",IFERROR(_xlfn.XLOOKUP("F-"&amp;$A42,'Feeder Schedule'!$B$5:$B$254,'Feeder Schedule'!$CH$5:$CH$254),""))</f>
        <v/>
      </c>
      <c r="CA42" s="20" t="str">
        <f>IF($A42="","",IFERROR(_xlfn.XLOOKUP("F-"&amp;$A42,'Feeder Schedule'!$B$5:$B$254,'Feeder Schedule'!$F$5:$F$254),""))</f>
        <v/>
      </c>
      <c r="CB42" s="20" t="str">
        <f>IF($A42="","",IFERROR(_xlfn.XLOOKUP("F-"&amp;$A42,'Feeder Schedule'!$B$5:$B$254,'Feeder Schedule'!$G$5:$G$254),""))</f>
        <v/>
      </c>
      <c r="CD42" s="20" t="str" cm="1">
        <f t="array" ref="CD42">IFERROR(IF($A42="","",INDEX(_xlfn.ANCHORARRAY($BK$4),ROW()-5,6)),"")</f>
        <v/>
      </c>
      <c r="CE42" s="20" t="str">
        <f t="shared" si="12"/>
        <v/>
      </c>
      <c r="CF42" s="20" t="str">
        <f t="shared" si="13"/>
        <v/>
      </c>
      <c r="CG42" s="20" t="str">
        <f t="shared" si="10"/>
        <v/>
      </c>
      <c r="CH42" s="20" t="str" cm="1">
        <f t="array" ref="CH42">IF(OR($A42="",$BZ42="",$BW42="",$BX42=""),"",_xlfn.LET(_xlpm.mag,IFERROR(_xlfn.XLOOKUP($BX42,Race_Raceway,Race_Mag),""),IF(_xlpm.mag="","",IFERROR(INDEX(Cond_Table,MATCH($BZ42,Cond_Size,0),IF(UPPER($BW42)="AL",IF(_xlpm.mag="Y",10,12),IF(_xlpm.mag="Y",9,11))),""))))</f>
        <v/>
      </c>
      <c r="CI42" s="20" t="str">
        <f t="shared" si="11"/>
        <v/>
      </c>
      <c r="CJ42" s="20" t="str">
        <f>IF(OR($A42="",LEFT($A42,2)&lt;&gt;"T-"),"",IFERROR(_xlfn.LET(_xlpm.fla,_xlfn.XLOOKUP($A42,Transformers!$A$6:$A$105,Transformers!$AK$6:$AK$105),_xlpm.z,_xlfn.XLOOKUP($A42,Transformers!$A$6:$A$105,Transformers!$AX$6:$AX$105),IF(OR(_xlpm.fla="",_xlpm.z="",_xlpm.z=0),"",_xlpm.fla*100/_xlpm.z)),""))</f>
        <v/>
      </c>
      <c r="CK42" s="20" t="str">
        <f t="shared" si="14"/>
        <v/>
      </c>
      <c r="CL42" s="20" t="str">
        <f t="shared" si="15"/>
        <v/>
      </c>
      <c r="CM42" s="373"/>
      <c r="CO42" s="20" t="str">
        <f>IF(OR($A42="",LEFT($A42,2)&lt;&gt;"T-"),"",_xlfn.LET(_xlpm.ph,IFERROR(_xlfn.XLOOKUP($A42,Transformers!$A$6:$A$105,Transformers!$C$6:$C$105),""),_xlpm.rr,IFERROR(_xlfn.XLOOKUP($A42,Transformers!$A$6:$A$105,Transformers!$AG$6:$AG$105),""),_xlpm.xx,IFERROR(_xlfn.XLOOKUP($A42,Transformers!$A$6:$A$105,Transformers!$AI$6:$AI$105),""),IF(OR(_xlpm.ph&lt;&gt;1,NOT(ISNUMBER(_xlpm.rr)),NOT(ISNUMBER(_xlpm.xx))),"",SQRT((1.5*_xlpm.rr)^2+(1.2*_xlpm.xx)^2))))</f>
        <v/>
      </c>
      <c r="CP42" s="20" t="str">
        <f t="shared" si="16"/>
        <v/>
      </c>
    </row>
    <row r="43" spans="1:94" ht="15" customHeight="1" x14ac:dyDescent="0.45">
      <c r="A43" s="275" t="str" cm="1">
        <f t="array" ref="A43">IFERROR(IF(INDEX(_xlfn.ANCHORARRAY($BK$4),ROW()-5,1)="","",INDEX(_xlfn.ANCHORARRAY($BK$4),ROW()-5,1)),"")</f>
        <v/>
      </c>
      <c r="B43" s="25" t="str" cm="1">
        <f t="array" ref="B43">IFERROR(IF($A43="","",INDEX(_xlfn.ANCHORARRAY($BK$4),ROW()-5,5)),"")</f>
        <v/>
      </c>
      <c r="C43" s="178" t="str" cm="1">
        <f t="array" ref="C43">IFERROR(IF($A43="","",INDEX(_xlfn.ANCHORARRAY($BK$4),ROW()-5,7)),"")</f>
        <v/>
      </c>
      <c r="D43" s="177" t="str" cm="1">
        <f t="array" ref="D43">IFERROR(IF($A43="","",INDEX(_xlfn.ANCHORARRAY($BK$4),ROW()-5,3)),"")</f>
        <v/>
      </c>
      <c r="E43" s="25" t="str" cm="1">
        <f t="array" ref="E43">IFERROR(IF($A43="","",INDEX(_xlfn.ANCHORARRAY($BK$4),ROW()-5,2)),"")</f>
        <v/>
      </c>
      <c r="F43" s="177" t="str">
        <f t="shared" si="0"/>
        <v/>
      </c>
      <c r="G43" s="275" t="str">
        <f t="shared" si="1"/>
        <v/>
      </c>
      <c r="H43" s="180" t="str">
        <f t="shared" si="2"/>
        <v/>
      </c>
      <c r="I43" s="180" t="str">
        <f t="shared" si="3"/>
        <v/>
      </c>
      <c r="J43" s="177" t="str">
        <f>_xlfn.LET(_xlpm.v,_xlfn.LET(_xlpm.base,IF($A43="","",IF($C43=0,IFERROR(_xlfn.XLOOKUP($A43,Util_Tags,Util_SCAEff),""),IF(LEFT($A43,2)="T-",IF($CJ43="","",$CJ43/(1+IF($CL43="",0,$CL43))),IF(OR($F43="",$I43=""),"",$F43*$I43)))),_xlpm.gtag,IF(OR($A43="",NOT(OR($B43="ATS",$B43="MTS"))),"",IFERROR(_xlfn.XLOOKUP($A43,Dashboard!$A$101:$A$350,Dashboard!$L$101:$L$350,"")&amp;"","")),_xlpm.gkva,IF(_xlpm.gtag="",0,IFERROR(N(_xlfn.XLOOKUP(_xlpm.gtag,Generator!$B$53:$B$58,Generator!$S$53:$S$58,0)),0)),_xlpm.gxd,IF(_xlpm.gtag="",0,IFERROR(N(_xlfn.XLOOKUP(_xlpm.gtag,Generator!$B$53:$B$58,Generator!$U$53:$U$58,0)),0)),_xlpm.gamp,IF(OR(_xlpm.gkva=0,_xlpm.gxd=0,N($D43)=0),0,ROUND(_xlpm.gkva*1000/(IF(N($CB43)=1,1,SQRT(3))*$D43*_xlpm.gxd),0)),IF(OR(_xlpm.gamp=0,NOT(ISNUMBER(_xlpm.base))),_xlpm.base,MAX(_xlpm.base,_xlpm.gamp))),_xlpm.ulim,IF(OR($A43="",$B43&lt;&gt;"UPS"),"",IFERROR(IF(_xlfn.XLOOKUP($A43,UPS!$B$57:$B$64,UPS!$E$57:$E$64,"")="None",_xlfn.XLOOKUP($A43,UPS!$B$57:$B$64,UPS!$U$57:$U$64,""),""),"")),IF(AND(ISNUMBER(_xlpm.v),ISNUMBER(_xlpm.ulim)),MIN(_xlpm.v,_xlpm.ulim),_xlpm.v))</f>
        <v/>
      </c>
      <c r="K43" s="176"/>
      <c r="L43" s="177" t="str">
        <f t="shared" si="4"/>
        <v/>
      </c>
      <c r="M43" s="177" t="str">
        <f t="shared" si="5"/>
        <v/>
      </c>
      <c r="N43" s="380" t="str">
        <f>IF($A43="","",IF($C43=0,_xlfn.LET(_xlpm.x,IFERROR(_xlfn.XLOOKUP($A43,Util_Tags,Util_XR),""),IF(N(_xlpm.x)=0,Xfmr_DefXR,_xlpm.x)),IF(LEFT($A43,2)="T-",IFERROR(_xlfn.XLOOKUP($A43,Transformers!$A$6:$A$105,Transformers!$AH$6:$AH$105),Xfmr_DefXR),IFERROR(_xlfn.XLOOKUP($E43,$A$6:$A$255,$N$6:$N$255),Xfmr_DefXR))))</f>
        <v/>
      </c>
      <c r="O43" s="177" t="str">
        <f t="shared" si="6"/>
        <v/>
      </c>
      <c r="P43" s="210" t="str">
        <f>IF($A43="","",IF(LEFT($A43,2)="T-",IF($CO43="","",_xlfn.LET(_xlpm.k,IFERROR(_xlfn.XLOOKUP($A43,Transformers!$A$6:$A$105,Transformers!$G$6:$G$105),""),_xlpm.sv,IFERROR(_xlfn.XLOOKUP($A43,Transformers!$A$6:$A$105,Transformers!$E$6:$E$105),""),IF(OR(NOT(ISNUMBER(_xlpm.k)),NOT(ISNUMBER(_xlpm.sv)),_xlpm.sv=0),"",_xlfn.LET(_xlpm.iInf,(_xlpm.k*1000/(_xlpm.sv/2))*100/$CO43,_xlpm.pri,IF(OR($CK43="",$CK43=0),"",$CK43/2),_xlpm.base,IF(_xlpm.pri="",_xlpm.iInf,_xlpm.iInf/(1+_xlpm.iInf/_xlpm.pri)),_xlpm.base+IF($L43="",0,$L43))))),IF($CP43="","",_xlfn.LET(_xlpm.pI,IFERROR(_xlfn.XLOOKUP($E43,$A$6:$A$255,$P$6:$P$255),""),IF(NOT(ISNUMBER(_xlpm.pI)),"",_xlpm.pI/(1+$CP43)+IF($L43="",0,$L43))))))</f>
        <v/>
      </c>
      <c r="Q43" s="210" t="str">
        <f t="shared" si="7"/>
        <v/>
      </c>
      <c r="R43" s="177" t="str">
        <f>IF($A43="","",IF(OR($C43=0,LEFT($A43,2)="T-"),"",IFERROR(_xlfn.LET(_xlpm.v,_xlfn.XLOOKUP($A43,Dashboard!$A$101:$A$350,Dashboard!$K$101:$K$350),IF(ISNUMBER(_xlpm.v),_xlpm.v,"")),"")))</f>
        <v/>
      </c>
      <c r="S43" s="211" t="str">
        <f t="shared" si="8"/>
        <v/>
      </c>
      <c r="T43" s="25" t="str">
        <f t="shared" si="9"/>
        <v/>
      </c>
      <c r="U43" s="364"/>
      <c r="BV43" s="20" t="str">
        <f>IF($A43="","",IFERROR(_xlfn.XLOOKUP("F-"&amp;$A43,'Feeder Schedule'!$B$5:$B$254,'Feeder Schedule'!$H$5:$H$254),""))</f>
        <v/>
      </c>
      <c r="BW43" s="20" t="str">
        <f>IF($A43="","",IFERROR(_xlfn.XLOOKUP("F-"&amp;$A43,'Feeder Schedule'!$B$5:$B$254,'Feeder Schedule'!$BV$5:$BV$254),""))</f>
        <v/>
      </c>
      <c r="BX43" s="20" t="str">
        <f>IF($A43="","",IFERROR(_xlfn.LET(_xlpm.v,_xlfn.XLOOKUP("F-"&amp;$A43,'Feeder Schedule'!$B$5:$B$254,'Feeder Schedule'!$M$5:$M$254),IF(OR(_xlpm.v="",_xlpm.v=0),Cfg_Conduit,_xlpm.v)),""))</f>
        <v/>
      </c>
      <c r="BY43" s="20" t="str">
        <f>IF($A43="","",IFERROR(_xlfn.XLOOKUP("F-"&amp;$A43,'Feeder Schedule'!$B$5:$B$254,'Feeder Schedule'!$O$5:$O$254),""))</f>
        <v/>
      </c>
      <c r="BZ43" s="20" t="str">
        <f>IF($A43="","",IFERROR(_xlfn.XLOOKUP("F-"&amp;$A43,'Feeder Schedule'!$B$5:$B$254,'Feeder Schedule'!$CH$5:$CH$254),""))</f>
        <v/>
      </c>
      <c r="CA43" s="20" t="str">
        <f>IF($A43="","",IFERROR(_xlfn.XLOOKUP("F-"&amp;$A43,'Feeder Schedule'!$B$5:$B$254,'Feeder Schedule'!$F$5:$F$254),""))</f>
        <v/>
      </c>
      <c r="CB43" s="20" t="str">
        <f>IF($A43="","",IFERROR(_xlfn.XLOOKUP("F-"&amp;$A43,'Feeder Schedule'!$B$5:$B$254,'Feeder Schedule'!$G$5:$G$254),""))</f>
        <v/>
      </c>
      <c r="CD43" s="20" t="str" cm="1">
        <f t="array" ref="CD43">IFERROR(IF($A43="","",INDEX(_xlfn.ANCHORARRAY($BK$4),ROW()-5,6)),"")</f>
        <v/>
      </c>
      <c r="CE43" s="20" t="str">
        <f t="shared" si="12"/>
        <v/>
      </c>
      <c r="CF43" s="20" t="str">
        <f t="shared" si="13"/>
        <v/>
      </c>
      <c r="CG43" s="20" t="str">
        <f t="shared" si="10"/>
        <v/>
      </c>
      <c r="CH43" s="20" t="str" cm="1">
        <f t="array" ref="CH43">IF(OR($A43="",$BZ43="",$BW43="",$BX43=""),"",_xlfn.LET(_xlpm.mag,IFERROR(_xlfn.XLOOKUP($BX43,Race_Raceway,Race_Mag),""),IF(_xlpm.mag="","",IFERROR(INDEX(Cond_Table,MATCH($BZ43,Cond_Size,0),IF(UPPER($BW43)="AL",IF(_xlpm.mag="Y",10,12),IF(_xlpm.mag="Y",9,11))),""))))</f>
        <v/>
      </c>
      <c r="CI43" s="20" t="str">
        <f t="shared" si="11"/>
        <v/>
      </c>
      <c r="CJ43" s="20" t="str">
        <f>IF(OR($A43="",LEFT($A43,2)&lt;&gt;"T-"),"",IFERROR(_xlfn.LET(_xlpm.fla,_xlfn.XLOOKUP($A43,Transformers!$A$6:$A$105,Transformers!$AK$6:$AK$105),_xlpm.z,_xlfn.XLOOKUP($A43,Transformers!$A$6:$A$105,Transformers!$AX$6:$AX$105),IF(OR(_xlpm.fla="",_xlpm.z="",_xlpm.z=0),"",_xlpm.fla*100/_xlpm.z)),""))</f>
        <v/>
      </c>
      <c r="CK43" s="20" t="str">
        <f t="shared" si="14"/>
        <v/>
      </c>
      <c r="CL43" s="20" t="str">
        <f t="shared" si="15"/>
        <v/>
      </c>
      <c r="CM43" s="373"/>
      <c r="CO43" s="20" t="str">
        <f>IF(OR($A43="",LEFT($A43,2)&lt;&gt;"T-"),"",_xlfn.LET(_xlpm.ph,IFERROR(_xlfn.XLOOKUP($A43,Transformers!$A$6:$A$105,Transformers!$C$6:$C$105),""),_xlpm.rr,IFERROR(_xlfn.XLOOKUP($A43,Transformers!$A$6:$A$105,Transformers!$AG$6:$AG$105),""),_xlpm.xx,IFERROR(_xlfn.XLOOKUP($A43,Transformers!$A$6:$A$105,Transformers!$AI$6:$AI$105),""),IF(OR(_xlpm.ph&lt;&gt;1,NOT(ISNUMBER(_xlpm.rr)),NOT(ISNUMBER(_xlpm.xx))),"",SQRT((1.5*_xlpm.rr)^2+(1.2*_xlpm.xx)^2))))</f>
        <v/>
      </c>
      <c r="CP43" s="20" t="str">
        <f t="shared" si="16"/>
        <v/>
      </c>
    </row>
    <row r="44" spans="1:94" ht="15" customHeight="1" x14ac:dyDescent="0.45">
      <c r="A44" s="275" t="str" cm="1">
        <f t="array" ref="A44">IFERROR(IF(INDEX(_xlfn.ANCHORARRAY($BK$4),ROW()-5,1)="","",INDEX(_xlfn.ANCHORARRAY($BK$4),ROW()-5,1)),"")</f>
        <v/>
      </c>
      <c r="B44" s="25" t="str" cm="1">
        <f t="array" ref="B44">IFERROR(IF($A44="","",INDEX(_xlfn.ANCHORARRAY($BK$4),ROW()-5,5)),"")</f>
        <v/>
      </c>
      <c r="C44" s="178" t="str" cm="1">
        <f t="array" ref="C44">IFERROR(IF($A44="","",INDEX(_xlfn.ANCHORARRAY($BK$4),ROW()-5,7)),"")</f>
        <v/>
      </c>
      <c r="D44" s="177" t="str" cm="1">
        <f t="array" ref="D44">IFERROR(IF($A44="","",INDEX(_xlfn.ANCHORARRAY($BK$4),ROW()-5,3)),"")</f>
        <v/>
      </c>
      <c r="E44" s="25" t="str" cm="1">
        <f t="array" ref="E44">IFERROR(IF($A44="","",INDEX(_xlfn.ANCHORARRAY($BK$4),ROW()-5,2)),"")</f>
        <v/>
      </c>
      <c r="F44" s="177" t="str">
        <f t="shared" si="0"/>
        <v/>
      </c>
      <c r="G44" s="275" t="str">
        <f t="shared" si="1"/>
        <v/>
      </c>
      <c r="H44" s="180" t="str">
        <f t="shared" si="2"/>
        <v/>
      </c>
      <c r="I44" s="180" t="str">
        <f t="shared" si="3"/>
        <v/>
      </c>
      <c r="J44" s="177" t="str">
        <f>_xlfn.LET(_xlpm.v,_xlfn.LET(_xlpm.base,IF($A44="","",IF($C44=0,IFERROR(_xlfn.XLOOKUP($A44,Util_Tags,Util_SCAEff),""),IF(LEFT($A44,2)="T-",IF($CJ44="","",$CJ44/(1+IF($CL44="",0,$CL44))),IF(OR($F44="",$I44=""),"",$F44*$I44)))),_xlpm.gtag,IF(OR($A44="",NOT(OR($B44="ATS",$B44="MTS"))),"",IFERROR(_xlfn.XLOOKUP($A44,Dashboard!$A$101:$A$350,Dashboard!$L$101:$L$350,"")&amp;"","")),_xlpm.gkva,IF(_xlpm.gtag="",0,IFERROR(N(_xlfn.XLOOKUP(_xlpm.gtag,Generator!$B$53:$B$58,Generator!$S$53:$S$58,0)),0)),_xlpm.gxd,IF(_xlpm.gtag="",0,IFERROR(N(_xlfn.XLOOKUP(_xlpm.gtag,Generator!$B$53:$B$58,Generator!$U$53:$U$58,0)),0)),_xlpm.gamp,IF(OR(_xlpm.gkva=0,_xlpm.gxd=0,N($D44)=0),0,ROUND(_xlpm.gkva*1000/(IF(N($CB44)=1,1,SQRT(3))*$D44*_xlpm.gxd),0)),IF(OR(_xlpm.gamp=0,NOT(ISNUMBER(_xlpm.base))),_xlpm.base,MAX(_xlpm.base,_xlpm.gamp))),_xlpm.ulim,IF(OR($A44="",$B44&lt;&gt;"UPS"),"",IFERROR(IF(_xlfn.XLOOKUP($A44,UPS!$B$57:$B$64,UPS!$E$57:$E$64,"")="None",_xlfn.XLOOKUP($A44,UPS!$B$57:$B$64,UPS!$U$57:$U$64,""),""),"")),IF(AND(ISNUMBER(_xlpm.v),ISNUMBER(_xlpm.ulim)),MIN(_xlpm.v,_xlpm.ulim),_xlpm.v))</f>
        <v/>
      </c>
      <c r="K44" s="176"/>
      <c r="L44" s="177" t="str">
        <f t="shared" si="4"/>
        <v/>
      </c>
      <c r="M44" s="177" t="str">
        <f t="shared" si="5"/>
        <v/>
      </c>
      <c r="N44" s="380" t="str">
        <f>IF($A44="","",IF($C44=0,_xlfn.LET(_xlpm.x,IFERROR(_xlfn.XLOOKUP($A44,Util_Tags,Util_XR),""),IF(N(_xlpm.x)=0,Xfmr_DefXR,_xlpm.x)),IF(LEFT($A44,2)="T-",IFERROR(_xlfn.XLOOKUP($A44,Transformers!$A$6:$A$105,Transformers!$AH$6:$AH$105),Xfmr_DefXR),IFERROR(_xlfn.XLOOKUP($E44,$A$6:$A$255,$N$6:$N$255),Xfmr_DefXR))))</f>
        <v/>
      </c>
      <c r="O44" s="177" t="str">
        <f t="shared" si="6"/>
        <v/>
      </c>
      <c r="P44" s="210" t="str">
        <f>IF($A44="","",IF(LEFT($A44,2)="T-",IF($CO44="","",_xlfn.LET(_xlpm.k,IFERROR(_xlfn.XLOOKUP($A44,Transformers!$A$6:$A$105,Transformers!$G$6:$G$105),""),_xlpm.sv,IFERROR(_xlfn.XLOOKUP($A44,Transformers!$A$6:$A$105,Transformers!$E$6:$E$105),""),IF(OR(NOT(ISNUMBER(_xlpm.k)),NOT(ISNUMBER(_xlpm.sv)),_xlpm.sv=0),"",_xlfn.LET(_xlpm.iInf,(_xlpm.k*1000/(_xlpm.sv/2))*100/$CO44,_xlpm.pri,IF(OR($CK44="",$CK44=0),"",$CK44/2),_xlpm.base,IF(_xlpm.pri="",_xlpm.iInf,_xlpm.iInf/(1+_xlpm.iInf/_xlpm.pri)),_xlpm.base+IF($L44="",0,$L44))))),IF($CP44="","",_xlfn.LET(_xlpm.pI,IFERROR(_xlfn.XLOOKUP($E44,$A$6:$A$255,$P$6:$P$255),""),IF(NOT(ISNUMBER(_xlpm.pI)),"",_xlpm.pI/(1+$CP44)+IF($L44="",0,$L44))))))</f>
        <v/>
      </c>
      <c r="Q44" s="210" t="str">
        <f t="shared" si="7"/>
        <v/>
      </c>
      <c r="R44" s="177" t="str">
        <f>IF($A44="","",IF(OR($C44=0,LEFT($A44,2)="T-"),"",IFERROR(_xlfn.LET(_xlpm.v,_xlfn.XLOOKUP($A44,Dashboard!$A$101:$A$350,Dashboard!$K$101:$K$350),IF(ISNUMBER(_xlpm.v),_xlpm.v,"")),"")))</f>
        <v/>
      </c>
      <c r="S44" s="211" t="str">
        <f t="shared" si="8"/>
        <v/>
      </c>
      <c r="T44" s="25" t="str">
        <f t="shared" si="9"/>
        <v/>
      </c>
      <c r="U44" s="364"/>
      <c r="BV44" s="20" t="str">
        <f>IF($A44="","",IFERROR(_xlfn.XLOOKUP("F-"&amp;$A44,'Feeder Schedule'!$B$5:$B$254,'Feeder Schedule'!$H$5:$H$254),""))</f>
        <v/>
      </c>
      <c r="BW44" s="20" t="str">
        <f>IF($A44="","",IFERROR(_xlfn.XLOOKUP("F-"&amp;$A44,'Feeder Schedule'!$B$5:$B$254,'Feeder Schedule'!$BV$5:$BV$254),""))</f>
        <v/>
      </c>
      <c r="BX44" s="20" t="str">
        <f>IF($A44="","",IFERROR(_xlfn.LET(_xlpm.v,_xlfn.XLOOKUP("F-"&amp;$A44,'Feeder Schedule'!$B$5:$B$254,'Feeder Schedule'!$M$5:$M$254),IF(OR(_xlpm.v="",_xlpm.v=0),Cfg_Conduit,_xlpm.v)),""))</f>
        <v/>
      </c>
      <c r="BY44" s="20" t="str">
        <f>IF($A44="","",IFERROR(_xlfn.XLOOKUP("F-"&amp;$A44,'Feeder Schedule'!$B$5:$B$254,'Feeder Schedule'!$O$5:$O$254),""))</f>
        <v/>
      </c>
      <c r="BZ44" s="20" t="str">
        <f>IF($A44="","",IFERROR(_xlfn.XLOOKUP("F-"&amp;$A44,'Feeder Schedule'!$B$5:$B$254,'Feeder Schedule'!$CH$5:$CH$254),""))</f>
        <v/>
      </c>
      <c r="CA44" s="20" t="str">
        <f>IF($A44="","",IFERROR(_xlfn.XLOOKUP("F-"&amp;$A44,'Feeder Schedule'!$B$5:$B$254,'Feeder Schedule'!$F$5:$F$254),""))</f>
        <v/>
      </c>
      <c r="CB44" s="20" t="str">
        <f>IF($A44="","",IFERROR(_xlfn.XLOOKUP("F-"&amp;$A44,'Feeder Schedule'!$B$5:$B$254,'Feeder Schedule'!$G$5:$G$254),""))</f>
        <v/>
      </c>
      <c r="CD44" s="20" t="str" cm="1">
        <f t="array" ref="CD44">IFERROR(IF($A44="","",INDEX(_xlfn.ANCHORARRAY($BK$4),ROW()-5,6)),"")</f>
        <v/>
      </c>
      <c r="CE44" s="20" t="str">
        <f t="shared" si="12"/>
        <v/>
      </c>
      <c r="CF44" s="20" t="str">
        <f t="shared" si="13"/>
        <v/>
      </c>
      <c r="CG44" s="20" t="str">
        <f t="shared" si="10"/>
        <v/>
      </c>
      <c r="CH44" s="20" t="str" cm="1">
        <f t="array" ref="CH44">IF(OR($A44="",$BZ44="",$BW44="",$BX44=""),"",_xlfn.LET(_xlpm.mag,IFERROR(_xlfn.XLOOKUP($BX44,Race_Raceway,Race_Mag),""),IF(_xlpm.mag="","",IFERROR(INDEX(Cond_Table,MATCH($BZ44,Cond_Size,0),IF(UPPER($BW44)="AL",IF(_xlpm.mag="Y",10,12),IF(_xlpm.mag="Y",9,11))),""))))</f>
        <v/>
      </c>
      <c r="CI44" s="20" t="str">
        <f t="shared" si="11"/>
        <v/>
      </c>
      <c r="CJ44" s="20" t="str">
        <f>IF(OR($A44="",LEFT($A44,2)&lt;&gt;"T-"),"",IFERROR(_xlfn.LET(_xlpm.fla,_xlfn.XLOOKUP($A44,Transformers!$A$6:$A$105,Transformers!$AK$6:$AK$105),_xlpm.z,_xlfn.XLOOKUP($A44,Transformers!$A$6:$A$105,Transformers!$AX$6:$AX$105),IF(OR(_xlpm.fla="",_xlpm.z="",_xlpm.z=0),"",_xlpm.fla*100/_xlpm.z)),""))</f>
        <v/>
      </c>
      <c r="CK44" s="20" t="str">
        <f t="shared" si="14"/>
        <v/>
      </c>
      <c r="CL44" s="20" t="str">
        <f t="shared" si="15"/>
        <v/>
      </c>
      <c r="CM44" s="373"/>
      <c r="CO44" s="20" t="str">
        <f>IF(OR($A44="",LEFT($A44,2)&lt;&gt;"T-"),"",_xlfn.LET(_xlpm.ph,IFERROR(_xlfn.XLOOKUP($A44,Transformers!$A$6:$A$105,Transformers!$C$6:$C$105),""),_xlpm.rr,IFERROR(_xlfn.XLOOKUP($A44,Transformers!$A$6:$A$105,Transformers!$AG$6:$AG$105),""),_xlpm.xx,IFERROR(_xlfn.XLOOKUP($A44,Transformers!$A$6:$A$105,Transformers!$AI$6:$AI$105),""),IF(OR(_xlpm.ph&lt;&gt;1,NOT(ISNUMBER(_xlpm.rr)),NOT(ISNUMBER(_xlpm.xx))),"",SQRT((1.5*_xlpm.rr)^2+(1.2*_xlpm.xx)^2))))</f>
        <v/>
      </c>
      <c r="CP44" s="20" t="str">
        <f t="shared" si="16"/>
        <v/>
      </c>
    </row>
    <row r="45" spans="1:94" ht="15" customHeight="1" x14ac:dyDescent="0.45">
      <c r="A45" s="275" t="str" cm="1">
        <f t="array" ref="A45">IFERROR(IF(INDEX(_xlfn.ANCHORARRAY($BK$4),ROW()-5,1)="","",INDEX(_xlfn.ANCHORARRAY($BK$4),ROW()-5,1)),"")</f>
        <v/>
      </c>
      <c r="B45" s="25" t="str" cm="1">
        <f t="array" ref="B45">IFERROR(IF($A45="","",INDEX(_xlfn.ANCHORARRAY($BK$4),ROW()-5,5)),"")</f>
        <v/>
      </c>
      <c r="C45" s="178" t="str" cm="1">
        <f t="array" ref="C45">IFERROR(IF($A45="","",INDEX(_xlfn.ANCHORARRAY($BK$4),ROW()-5,7)),"")</f>
        <v/>
      </c>
      <c r="D45" s="177" t="str" cm="1">
        <f t="array" ref="D45">IFERROR(IF($A45="","",INDEX(_xlfn.ANCHORARRAY($BK$4),ROW()-5,3)),"")</f>
        <v/>
      </c>
      <c r="E45" s="25" t="str" cm="1">
        <f t="array" ref="E45">IFERROR(IF($A45="","",INDEX(_xlfn.ANCHORARRAY($BK$4),ROW()-5,2)),"")</f>
        <v/>
      </c>
      <c r="F45" s="177" t="str">
        <f t="shared" si="0"/>
        <v/>
      </c>
      <c r="G45" s="275" t="str">
        <f t="shared" si="1"/>
        <v/>
      </c>
      <c r="H45" s="180" t="str">
        <f t="shared" si="2"/>
        <v/>
      </c>
      <c r="I45" s="180" t="str">
        <f t="shared" si="3"/>
        <v/>
      </c>
      <c r="J45" s="177" t="str">
        <f>_xlfn.LET(_xlpm.v,_xlfn.LET(_xlpm.base,IF($A45="","",IF($C45=0,IFERROR(_xlfn.XLOOKUP($A45,Util_Tags,Util_SCAEff),""),IF(LEFT($A45,2)="T-",IF($CJ45="","",$CJ45/(1+IF($CL45="",0,$CL45))),IF(OR($F45="",$I45=""),"",$F45*$I45)))),_xlpm.gtag,IF(OR($A45="",NOT(OR($B45="ATS",$B45="MTS"))),"",IFERROR(_xlfn.XLOOKUP($A45,Dashboard!$A$101:$A$350,Dashboard!$L$101:$L$350,"")&amp;"","")),_xlpm.gkva,IF(_xlpm.gtag="",0,IFERROR(N(_xlfn.XLOOKUP(_xlpm.gtag,Generator!$B$53:$B$58,Generator!$S$53:$S$58,0)),0)),_xlpm.gxd,IF(_xlpm.gtag="",0,IFERROR(N(_xlfn.XLOOKUP(_xlpm.gtag,Generator!$B$53:$B$58,Generator!$U$53:$U$58,0)),0)),_xlpm.gamp,IF(OR(_xlpm.gkva=0,_xlpm.gxd=0,N($D45)=0),0,ROUND(_xlpm.gkva*1000/(IF(N($CB45)=1,1,SQRT(3))*$D45*_xlpm.gxd),0)),IF(OR(_xlpm.gamp=0,NOT(ISNUMBER(_xlpm.base))),_xlpm.base,MAX(_xlpm.base,_xlpm.gamp))),_xlpm.ulim,IF(OR($A45="",$B45&lt;&gt;"UPS"),"",IFERROR(IF(_xlfn.XLOOKUP($A45,UPS!$B$57:$B$64,UPS!$E$57:$E$64,"")="None",_xlfn.XLOOKUP($A45,UPS!$B$57:$B$64,UPS!$U$57:$U$64,""),""),"")),IF(AND(ISNUMBER(_xlpm.v),ISNUMBER(_xlpm.ulim)),MIN(_xlpm.v,_xlpm.ulim),_xlpm.v))</f>
        <v/>
      </c>
      <c r="K45" s="176"/>
      <c r="L45" s="177" t="str">
        <f t="shared" si="4"/>
        <v/>
      </c>
      <c r="M45" s="177" t="str">
        <f t="shared" si="5"/>
        <v/>
      </c>
      <c r="N45" s="380" t="str">
        <f>IF($A45="","",IF($C45=0,_xlfn.LET(_xlpm.x,IFERROR(_xlfn.XLOOKUP($A45,Util_Tags,Util_XR),""),IF(N(_xlpm.x)=0,Xfmr_DefXR,_xlpm.x)),IF(LEFT($A45,2)="T-",IFERROR(_xlfn.XLOOKUP($A45,Transformers!$A$6:$A$105,Transformers!$AH$6:$AH$105),Xfmr_DefXR),IFERROR(_xlfn.XLOOKUP($E45,$A$6:$A$255,$N$6:$N$255),Xfmr_DefXR))))</f>
        <v/>
      </c>
      <c r="O45" s="177" t="str">
        <f t="shared" si="6"/>
        <v/>
      </c>
      <c r="P45" s="210" t="str">
        <f>IF($A45="","",IF(LEFT($A45,2)="T-",IF($CO45="","",_xlfn.LET(_xlpm.k,IFERROR(_xlfn.XLOOKUP($A45,Transformers!$A$6:$A$105,Transformers!$G$6:$G$105),""),_xlpm.sv,IFERROR(_xlfn.XLOOKUP($A45,Transformers!$A$6:$A$105,Transformers!$E$6:$E$105),""),IF(OR(NOT(ISNUMBER(_xlpm.k)),NOT(ISNUMBER(_xlpm.sv)),_xlpm.sv=0),"",_xlfn.LET(_xlpm.iInf,(_xlpm.k*1000/(_xlpm.sv/2))*100/$CO45,_xlpm.pri,IF(OR($CK45="",$CK45=0),"",$CK45/2),_xlpm.base,IF(_xlpm.pri="",_xlpm.iInf,_xlpm.iInf/(1+_xlpm.iInf/_xlpm.pri)),_xlpm.base+IF($L45="",0,$L45))))),IF($CP45="","",_xlfn.LET(_xlpm.pI,IFERROR(_xlfn.XLOOKUP($E45,$A$6:$A$255,$P$6:$P$255),""),IF(NOT(ISNUMBER(_xlpm.pI)),"",_xlpm.pI/(1+$CP45)+IF($L45="",0,$L45))))))</f>
        <v/>
      </c>
      <c r="Q45" s="210" t="str">
        <f t="shared" si="7"/>
        <v/>
      </c>
      <c r="R45" s="177" t="str">
        <f>IF($A45="","",IF(OR($C45=0,LEFT($A45,2)="T-"),"",IFERROR(_xlfn.LET(_xlpm.v,_xlfn.XLOOKUP($A45,Dashboard!$A$101:$A$350,Dashboard!$K$101:$K$350),IF(ISNUMBER(_xlpm.v),_xlpm.v,"")),"")))</f>
        <v/>
      </c>
      <c r="S45" s="211" t="str">
        <f t="shared" si="8"/>
        <v/>
      </c>
      <c r="T45" s="25" t="str">
        <f t="shared" si="9"/>
        <v/>
      </c>
      <c r="U45" s="364"/>
      <c r="BV45" s="20" t="str">
        <f>IF($A45="","",IFERROR(_xlfn.XLOOKUP("F-"&amp;$A45,'Feeder Schedule'!$B$5:$B$254,'Feeder Schedule'!$H$5:$H$254),""))</f>
        <v/>
      </c>
      <c r="BW45" s="20" t="str">
        <f>IF($A45="","",IFERROR(_xlfn.XLOOKUP("F-"&amp;$A45,'Feeder Schedule'!$B$5:$B$254,'Feeder Schedule'!$BV$5:$BV$254),""))</f>
        <v/>
      </c>
      <c r="BX45" s="20" t="str">
        <f>IF($A45="","",IFERROR(_xlfn.LET(_xlpm.v,_xlfn.XLOOKUP("F-"&amp;$A45,'Feeder Schedule'!$B$5:$B$254,'Feeder Schedule'!$M$5:$M$254),IF(OR(_xlpm.v="",_xlpm.v=0),Cfg_Conduit,_xlpm.v)),""))</f>
        <v/>
      </c>
      <c r="BY45" s="20" t="str">
        <f>IF($A45="","",IFERROR(_xlfn.XLOOKUP("F-"&amp;$A45,'Feeder Schedule'!$B$5:$B$254,'Feeder Schedule'!$O$5:$O$254),""))</f>
        <v/>
      </c>
      <c r="BZ45" s="20" t="str">
        <f>IF($A45="","",IFERROR(_xlfn.XLOOKUP("F-"&amp;$A45,'Feeder Schedule'!$B$5:$B$254,'Feeder Schedule'!$CH$5:$CH$254),""))</f>
        <v/>
      </c>
      <c r="CA45" s="20" t="str">
        <f>IF($A45="","",IFERROR(_xlfn.XLOOKUP("F-"&amp;$A45,'Feeder Schedule'!$B$5:$B$254,'Feeder Schedule'!$F$5:$F$254),""))</f>
        <v/>
      </c>
      <c r="CB45" s="20" t="str">
        <f>IF($A45="","",IFERROR(_xlfn.XLOOKUP("F-"&amp;$A45,'Feeder Schedule'!$B$5:$B$254,'Feeder Schedule'!$G$5:$G$254),""))</f>
        <v/>
      </c>
      <c r="CD45" s="20" t="str" cm="1">
        <f t="array" ref="CD45">IFERROR(IF($A45="","",INDEX(_xlfn.ANCHORARRAY($BK$4),ROW()-5,6)),"")</f>
        <v/>
      </c>
      <c r="CE45" s="20" t="str">
        <f t="shared" si="12"/>
        <v/>
      </c>
      <c r="CF45" s="20" t="str">
        <f t="shared" si="13"/>
        <v/>
      </c>
      <c r="CG45" s="20" t="str">
        <f t="shared" si="10"/>
        <v/>
      </c>
      <c r="CH45" s="20" t="str" cm="1">
        <f t="array" ref="CH45">IF(OR($A45="",$BZ45="",$BW45="",$BX45=""),"",_xlfn.LET(_xlpm.mag,IFERROR(_xlfn.XLOOKUP($BX45,Race_Raceway,Race_Mag),""),IF(_xlpm.mag="","",IFERROR(INDEX(Cond_Table,MATCH($BZ45,Cond_Size,0),IF(UPPER($BW45)="AL",IF(_xlpm.mag="Y",10,12),IF(_xlpm.mag="Y",9,11))),""))))</f>
        <v/>
      </c>
      <c r="CI45" s="20" t="str">
        <f t="shared" si="11"/>
        <v/>
      </c>
      <c r="CJ45" s="20" t="str">
        <f>IF(OR($A45="",LEFT($A45,2)&lt;&gt;"T-"),"",IFERROR(_xlfn.LET(_xlpm.fla,_xlfn.XLOOKUP($A45,Transformers!$A$6:$A$105,Transformers!$AK$6:$AK$105),_xlpm.z,_xlfn.XLOOKUP($A45,Transformers!$A$6:$A$105,Transformers!$AX$6:$AX$105),IF(OR(_xlpm.fla="",_xlpm.z="",_xlpm.z=0),"",_xlpm.fla*100/_xlpm.z)),""))</f>
        <v/>
      </c>
      <c r="CK45" s="20" t="str">
        <f t="shared" si="14"/>
        <v/>
      </c>
      <c r="CL45" s="20" t="str">
        <f t="shared" si="15"/>
        <v/>
      </c>
      <c r="CM45" s="373"/>
      <c r="CO45" s="20" t="str">
        <f>IF(OR($A45="",LEFT($A45,2)&lt;&gt;"T-"),"",_xlfn.LET(_xlpm.ph,IFERROR(_xlfn.XLOOKUP($A45,Transformers!$A$6:$A$105,Transformers!$C$6:$C$105),""),_xlpm.rr,IFERROR(_xlfn.XLOOKUP($A45,Transformers!$A$6:$A$105,Transformers!$AG$6:$AG$105),""),_xlpm.xx,IFERROR(_xlfn.XLOOKUP($A45,Transformers!$A$6:$A$105,Transformers!$AI$6:$AI$105),""),IF(OR(_xlpm.ph&lt;&gt;1,NOT(ISNUMBER(_xlpm.rr)),NOT(ISNUMBER(_xlpm.xx))),"",SQRT((1.5*_xlpm.rr)^2+(1.2*_xlpm.xx)^2))))</f>
        <v/>
      </c>
      <c r="CP45" s="20" t="str">
        <f t="shared" si="16"/>
        <v/>
      </c>
    </row>
    <row r="46" spans="1:94" ht="15" customHeight="1" x14ac:dyDescent="0.45">
      <c r="A46" s="275" t="str" cm="1">
        <f t="array" ref="A46">IFERROR(IF(INDEX(_xlfn.ANCHORARRAY($BK$4),ROW()-5,1)="","",INDEX(_xlfn.ANCHORARRAY($BK$4),ROW()-5,1)),"")</f>
        <v/>
      </c>
      <c r="B46" s="25" t="str" cm="1">
        <f t="array" ref="B46">IFERROR(IF($A46="","",INDEX(_xlfn.ANCHORARRAY($BK$4),ROW()-5,5)),"")</f>
        <v/>
      </c>
      <c r="C46" s="178" t="str" cm="1">
        <f t="array" ref="C46">IFERROR(IF($A46="","",INDEX(_xlfn.ANCHORARRAY($BK$4),ROW()-5,7)),"")</f>
        <v/>
      </c>
      <c r="D46" s="177" t="str" cm="1">
        <f t="array" ref="D46">IFERROR(IF($A46="","",INDEX(_xlfn.ANCHORARRAY($BK$4),ROW()-5,3)),"")</f>
        <v/>
      </c>
      <c r="E46" s="25" t="str" cm="1">
        <f t="array" ref="E46">IFERROR(IF($A46="","",INDEX(_xlfn.ANCHORARRAY($BK$4),ROW()-5,2)),"")</f>
        <v/>
      </c>
      <c r="F46" s="177" t="str">
        <f t="shared" si="0"/>
        <v/>
      </c>
      <c r="G46" s="275" t="str">
        <f t="shared" si="1"/>
        <v/>
      </c>
      <c r="H46" s="180" t="str">
        <f t="shared" si="2"/>
        <v/>
      </c>
      <c r="I46" s="180" t="str">
        <f t="shared" si="3"/>
        <v/>
      </c>
      <c r="J46" s="177" t="str">
        <f>_xlfn.LET(_xlpm.v,_xlfn.LET(_xlpm.base,IF($A46="","",IF($C46=0,IFERROR(_xlfn.XLOOKUP($A46,Util_Tags,Util_SCAEff),""),IF(LEFT($A46,2)="T-",IF($CJ46="","",$CJ46/(1+IF($CL46="",0,$CL46))),IF(OR($F46="",$I46=""),"",$F46*$I46)))),_xlpm.gtag,IF(OR($A46="",NOT(OR($B46="ATS",$B46="MTS"))),"",IFERROR(_xlfn.XLOOKUP($A46,Dashboard!$A$101:$A$350,Dashboard!$L$101:$L$350,"")&amp;"","")),_xlpm.gkva,IF(_xlpm.gtag="",0,IFERROR(N(_xlfn.XLOOKUP(_xlpm.gtag,Generator!$B$53:$B$58,Generator!$S$53:$S$58,0)),0)),_xlpm.gxd,IF(_xlpm.gtag="",0,IFERROR(N(_xlfn.XLOOKUP(_xlpm.gtag,Generator!$B$53:$B$58,Generator!$U$53:$U$58,0)),0)),_xlpm.gamp,IF(OR(_xlpm.gkva=0,_xlpm.gxd=0,N($D46)=0),0,ROUND(_xlpm.gkva*1000/(IF(N($CB46)=1,1,SQRT(3))*$D46*_xlpm.gxd),0)),IF(OR(_xlpm.gamp=0,NOT(ISNUMBER(_xlpm.base))),_xlpm.base,MAX(_xlpm.base,_xlpm.gamp))),_xlpm.ulim,IF(OR($A46="",$B46&lt;&gt;"UPS"),"",IFERROR(IF(_xlfn.XLOOKUP($A46,UPS!$B$57:$B$64,UPS!$E$57:$E$64,"")="None",_xlfn.XLOOKUP($A46,UPS!$B$57:$B$64,UPS!$U$57:$U$64,""),""),"")),IF(AND(ISNUMBER(_xlpm.v),ISNUMBER(_xlpm.ulim)),MIN(_xlpm.v,_xlpm.ulim),_xlpm.v))</f>
        <v/>
      </c>
      <c r="K46" s="176"/>
      <c r="L46" s="177" t="str">
        <f t="shared" si="4"/>
        <v/>
      </c>
      <c r="M46" s="177" t="str">
        <f t="shared" si="5"/>
        <v/>
      </c>
      <c r="N46" s="380" t="str">
        <f>IF($A46="","",IF($C46=0,_xlfn.LET(_xlpm.x,IFERROR(_xlfn.XLOOKUP($A46,Util_Tags,Util_XR),""),IF(N(_xlpm.x)=0,Xfmr_DefXR,_xlpm.x)),IF(LEFT($A46,2)="T-",IFERROR(_xlfn.XLOOKUP($A46,Transformers!$A$6:$A$105,Transformers!$AH$6:$AH$105),Xfmr_DefXR),IFERROR(_xlfn.XLOOKUP($E46,$A$6:$A$255,$N$6:$N$255),Xfmr_DefXR))))</f>
        <v/>
      </c>
      <c r="O46" s="177" t="str">
        <f t="shared" si="6"/>
        <v/>
      </c>
      <c r="P46" s="210" t="str">
        <f>IF($A46="","",IF(LEFT($A46,2)="T-",IF($CO46="","",_xlfn.LET(_xlpm.k,IFERROR(_xlfn.XLOOKUP($A46,Transformers!$A$6:$A$105,Transformers!$G$6:$G$105),""),_xlpm.sv,IFERROR(_xlfn.XLOOKUP($A46,Transformers!$A$6:$A$105,Transformers!$E$6:$E$105),""),IF(OR(NOT(ISNUMBER(_xlpm.k)),NOT(ISNUMBER(_xlpm.sv)),_xlpm.sv=0),"",_xlfn.LET(_xlpm.iInf,(_xlpm.k*1000/(_xlpm.sv/2))*100/$CO46,_xlpm.pri,IF(OR($CK46="",$CK46=0),"",$CK46/2),_xlpm.base,IF(_xlpm.pri="",_xlpm.iInf,_xlpm.iInf/(1+_xlpm.iInf/_xlpm.pri)),_xlpm.base+IF($L46="",0,$L46))))),IF($CP46="","",_xlfn.LET(_xlpm.pI,IFERROR(_xlfn.XLOOKUP($E46,$A$6:$A$255,$P$6:$P$255),""),IF(NOT(ISNUMBER(_xlpm.pI)),"",_xlpm.pI/(1+$CP46)+IF($L46="",0,$L46))))))</f>
        <v/>
      </c>
      <c r="Q46" s="210" t="str">
        <f t="shared" si="7"/>
        <v/>
      </c>
      <c r="R46" s="177" t="str">
        <f>IF($A46="","",IF(OR($C46=0,LEFT($A46,2)="T-"),"",IFERROR(_xlfn.LET(_xlpm.v,_xlfn.XLOOKUP($A46,Dashboard!$A$101:$A$350,Dashboard!$K$101:$K$350),IF(ISNUMBER(_xlpm.v),_xlpm.v,"")),"")))</f>
        <v/>
      </c>
      <c r="S46" s="211" t="str">
        <f t="shared" si="8"/>
        <v/>
      </c>
      <c r="T46" s="25" t="str">
        <f t="shared" si="9"/>
        <v/>
      </c>
      <c r="U46" s="364"/>
      <c r="BV46" s="20" t="str">
        <f>IF($A46="","",IFERROR(_xlfn.XLOOKUP("F-"&amp;$A46,'Feeder Schedule'!$B$5:$B$254,'Feeder Schedule'!$H$5:$H$254),""))</f>
        <v/>
      </c>
      <c r="BW46" s="20" t="str">
        <f>IF($A46="","",IFERROR(_xlfn.XLOOKUP("F-"&amp;$A46,'Feeder Schedule'!$B$5:$B$254,'Feeder Schedule'!$BV$5:$BV$254),""))</f>
        <v/>
      </c>
      <c r="BX46" s="20" t="str">
        <f>IF($A46="","",IFERROR(_xlfn.LET(_xlpm.v,_xlfn.XLOOKUP("F-"&amp;$A46,'Feeder Schedule'!$B$5:$B$254,'Feeder Schedule'!$M$5:$M$254),IF(OR(_xlpm.v="",_xlpm.v=0),Cfg_Conduit,_xlpm.v)),""))</f>
        <v/>
      </c>
      <c r="BY46" s="20" t="str">
        <f>IF($A46="","",IFERROR(_xlfn.XLOOKUP("F-"&amp;$A46,'Feeder Schedule'!$B$5:$B$254,'Feeder Schedule'!$O$5:$O$254),""))</f>
        <v/>
      </c>
      <c r="BZ46" s="20" t="str">
        <f>IF($A46="","",IFERROR(_xlfn.XLOOKUP("F-"&amp;$A46,'Feeder Schedule'!$B$5:$B$254,'Feeder Schedule'!$CH$5:$CH$254),""))</f>
        <v/>
      </c>
      <c r="CA46" s="20" t="str">
        <f>IF($A46="","",IFERROR(_xlfn.XLOOKUP("F-"&amp;$A46,'Feeder Schedule'!$B$5:$B$254,'Feeder Schedule'!$F$5:$F$254),""))</f>
        <v/>
      </c>
      <c r="CB46" s="20" t="str">
        <f>IF($A46="","",IFERROR(_xlfn.XLOOKUP("F-"&amp;$A46,'Feeder Schedule'!$B$5:$B$254,'Feeder Schedule'!$G$5:$G$254),""))</f>
        <v/>
      </c>
      <c r="CD46" s="20" t="str" cm="1">
        <f t="array" ref="CD46">IFERROR(IF($A46="","",INDEX(_xlfn.ANCHORARRAY($BK$4),ROW()-5,6)),"")</f>
        <v/>
      </c>
      <c r="CE46" s="20" t="str">
        <f t="shared" si="12"/>
        <v/>
      </c>
      <c r="CF46" s="20" t="str">
        <f t="shared" si="13"/>
        <v/>
      </c>
      <c r="CG46" s="20" t="str">
        <f t="shared" si="10"/>
        <v/>
      </c>
      <c r="CH46" s="20" t="str" cm="1">
        <f t="array" ref="CH46">IF(OR($A46="",$BZ46="",$BW46="",$BX46=""),"",_xlfn.LET(_xlpm.mag,IFERROR(_xlfn.XLOOKUP($BX46,Race_Raceway,Race_Mag),""),IF(_xlpm.mag="","",IFERROR(INDEX(Cond_Table,MATCH($BZ46,Cond_Size,0),IF(UPPER($BW46)="AL",IF(_xlpm.mag="Y",10,12),IF(_xlpm.mag="Y",9,11))),""))))</f>
        <v/>
      </c>
      <c r="CI46" s="20" t="str">
        <f t="shared" si="11"/>
        <v/>
      </c>
      <c r="CJ46" s="20" t="str">
        <f>IF(OR($A46="",LEFT($A46,2)&lt;&gt;"T-"),"",IFERROR(_xlfn.LET(_xlpm.fla,_xlfn.XLOOKUP($A46,Transformers!$A$6:$A$105,Transformers!$AK$6:$AK$105),_xlpm.z,_xlfn.XLOOKUP($A46,Transformers!$A$6:$A$105,Transformers!$AX$6:$AX$105),IF(OR(_xlpm.fla="",_xlpm.z="",_xlpm.z=0),"",_xlpm.fla*100/_xlpm.z)),""))</f>
        <v/>
      </c>
      <c r="CK46" s="20" t="str">
        <f t="shared" si="14"/>
        <v/>
      </c>
      <c r="CL46" s="20" t="str">
        <f t="shared" si="15"/>
        <v/>
      </c>
      <c r="CM46" s="373"/>
      <c r="CO46" s="20" t="str">
        <f>IF(OR($A46="",LEFT($A46,2)&lt;&gt;"T-"),"",_xlfn.LET(_xlpm.ph,IFERROR(_xlfn.XLOOKUP($A46,Transformers!$A$6:$A$105,Transformers!$C$6:$C$105),""),_xlpm.rr,IFERROR(_xlfn.XLOOKUP($A46,Transformers!$A$6:$A$105,Transformers!$AG$6:$AG$105),""),_xlpm.xx,IFERROR(_xlfn.XLOOKUP($A46,Transformers!$A$6:$A$105,Transformers!$AI$6:$AI$105),""),IF(OR(_xlpm.ph&lt;&gt;1,NOT(ISNUMBER(_xlpm.rr)),NOT(ISNUMBER(_xlpm.xx))),"",SQRT((1.5*_xlpm.rr)^2+(1.2*_xlpm.xx)^2))))</f>
        <v/>
      </c>
      <c r="CP46" s="20" t="str">
        <f t="shared" si="16"/>
        <v/>
      </c>
    </row>
    <row r="47" spans="1:94" ht="15" customHeight="1" x14ac:dyDescent="0.45">
      <c r="A47" s="275" t="str" cm="1">
        <f t="array" ref="A47">IFERROR(IF(INDEX(_xlfn.ANCHORARRAY($BK$4),ROW()-5,1)="","",INDEX(_xlfn.ANCHORARRAY($BK$4),ROW()-5,1)),"")</f>
        <v/>
      </c>
      <c r="B47" s="25" t="str" cm="1">
        <f t="array" ref="B47">IFERROR(IF($A47="","",INDEX(_xlfn.ANCHORARRAY($BK$4),ROW()-5,5)),"")</f>
        <v/>
      </c>
      <c r="C47" s="178" t="str" cm="1">
        <f t="array" ref="C47">IFERROR(IF($A47="","",INDEX(_xlfn.ANCHORARRAY($BK$4),ROW()-5,7)),"")</f>
        <v/>
      </c>
      <c r="D47" s="177" t="str" cm="1">
        <f t="array" ref="D47">IFERROR(IF($A47="","",INDEX(_xlfn.ANCHORARRAY($BK$4),ROW()-5,3)),"")</f>
        <v/>
      </c>
      <c r="E47" s="25" t="str" cm="1">
        <f t="array" ref="E47">IFERROR(IF($A47="","",INDEX(_xlfn.ANCHORARRAY($BK$4),ROW()-5,2)),"")</f>
        <v/>
      </c>
      <c r="F47" s="177" t="str">
        <f t="shared" si="0"/>
        <v/>
      </c>
      <c r="G47" s="275" t="str">
        <f t="shared" si="1"/>
        <v/>
      </c>
      <c r="H47" s="180" t="str">
        <f t="shared" si="2"/>
        <v/>
      </c>
      <c r="I47" s="180" t="str">
        <f t="shared" si="3"/>
        <v/>
      </c>
      <c r="J47" s="177" t="str">
        <f>_xlfn.LET(_xlpm.v,_xlfn.LET(_xlpm.base,IF($A47="","",IF($C47=0,IFERROR(_xlfn.XLOOKUP($A47,Util_Tags,Util_SCAEff),""),IF(LEFT($A47,2)="T-",IF($CJ47="","",$CJ47/(1+IF($CL47="",0,$CL47))),IF(OR($F47="",$I47=""),"",$F47*$I47)))),_xlpm.gtag,IF(OR($A47="",NOT(OR($B47="ATS",$B47="MTS"))),"",IFERROR(_xlfn.XLOOKUP($A47,Dashboard!$A$101:$A$350,Dashboard!$L$101:$L$350,"")&amp;"","")),_xlpm.gkva,IF(_xlpm.gtag="",0,IFERROR(N(_xlfn.XLOOKUP(_xlpm.gtag,Generator!$B$53:$B$58,Generator!$S$53:$S$58,0)),0)),_xlpm.gxd,IF(_xlpm.gtag="",0,IFERROR(N(_xlfn.XLOOKUP(_xlpm.gtag,Generator!$B$53:$B$58,Generator!$U$53:$U$58,0)),0)),_xlpm.gamp,IF(OR(_xlpm.gkva=0,_xlpm.gxd=0,N($D47)=0),0,ROUND(_xlpm.gkva*1000/(IF(N($CB47)=1,1,SQRT(3))*$D47*_xlpm.gxd),0)),IF(OR(_xlpm.gamp=0,NOT(ISNUMBER(_xlpm.base))),_xlpm.base,MAX(_xlpm.base,_xlpm.gamp))),_xlpm.ulim,IF(OR($A47="",$B47&lt;&gt;"UPS"),"",IFERROR(IF(_xlfn.XLOOKUP($A47,UPS!$B$57:$B$64,UPS!$E$57:$E$64,"")="None",_xlfn.XLOOKUP($A47,UPS!$B$57:$B$64,UPS!$U$57:$U$64,""),""),"")),IF(AND(ISNUMBER(_xlpm.v),ISNUMBER(_xlpm.ulim)),MIN(_xlpm.v,_xlpm.ulim),_xlpm.v))</f>
        <v/>
      </c>
      <c r="K47" s="176"/>
      <c r="L47" s="177" t="str">
        <f t="shared" si="4"/>
        <v/>
      </c>
      <c r="M47" s="177" t="str">
        <f t="shared" si="5"/>
        <v/>
      </c>
      <c r="N47" s="380" t="str">
        <f>IF($A47="","",IF($C47=0,_xlfn.LET(_xlpm.x,IFERROR(_xlfn.XLOOKUP($A47,Util_Tags,Util_XR),""),IF(N(_xlpm.x)=0,Xfmr_DefXR,_xlpm.x)),IF(LEFT($A47,2)="T-",IFERROR(_xlfn.XLOOKUP($A47,Transformers!$A$6:$A$105,Transformers!$AH$6:$AH$105),Xfmr_DefXR),IFERROR(_xlfn.XLOOKUP($E47,$A$6:$A$255,$N$6:$N$255),Xfmr_DefXR))))</f>
        <v/>
      </c>
      <c r="O47" s="177" t="str">
        <f t="shared" si="6"/>
        <v/>
      </c>
      <c r="P47" s="210" t="str">
        <f>IF($A47="","",IF(LEFT($A47,2)="T-",IF($CO47="","",_xlfn.LET(_xlpm.k,IFERROR(_xlfn.XLOOKUP($A47,Transformers!$A$6:$A$105,Transformers!$G$6:$G$105),""),_xlpm.sv,IFERROR(_xlfn.XLOOKUP($A47,Transformers!$A$6:$A$105,Transformers!$E$6:$E$105),""),IF(OR(NOT(ISNUMBER(_xlpm.k)),NOT(ISNUMBER(_xlpm.sv)),_xlpm.sv=0),"",_xlfn.LET(_xlpm.iInf,(_xlpm.k*1000/(_xlpm.sv/2))*100/$CO47,_xlpm.pri,IF(OR($CK47="",$CK47=0),"",$CK47/2),_xlpm.base,IF(_xlpm.pri="",_xlpm.iInf,_xlpm.iInf/(1+_xlpm.iInf/_xlpm.pri)),_xlpm.base+IF($L47="",0,$L47))))),IF($CP47="","",_xlfn.LET(_xlpm.pI,IFERROR(_xlfn.XLOOKUP($E47,$A$6:$A$255,$P$6:$P$255),""),IF(NOT(ISNUMBER(_xlpm.pI)),"",_xlpm.pI/(1+$CP47)+IF($L47="",0,$L47))))))</f>
        <v/>
      </c>
      <c r="Q47" s="210" t="str">
        <f t="shared" si="7"/>
        <v/>
      </c>
      <c r="R47" s="177" t="str">
        <f>IF($A47="","",IF(OR($C47=0,LEFT($A47,2)="T-"),"",IFERROR(_xlfn.LET(_xlpm.v,_xlfn.XLOOKUP($A47,Dashboard!$A$101:$A$350,Dashboard!$K$101:$K$350),IF(ISNUMBER(_xlpm.v),_xlpm.v,"")),"")))</f>
        <v/>
      </c>
      <c r="S47" s="211" t="str">
        <f t="shared" si="8"/>
        <v/>
      </c>
      <c r="T47" s="25" t="str">
        <f t="shared" si="9"/>
        <v/>
      </c>
      <c r="U47" s="364"/>
      <c r="BV47" s="20" t="str">
        <f>IF($A47="","",IFERROR(_xlfn.XLOOKUP("F-"&amp;$A47,'Feeder Schedule'!$B$5:$B$254,'Feeder Schedule'!$H$5:$H$254),""))</f>
        <v/>
      </c>
      <c r="BW47" s="20" t="str">
        <f>IF($A47="","",IFERROR(_xlfn.XLOOKUP("F-"&amp;$A47,'Feeder Schedule'!$B$5:$B$254,'Feeder Schedule'!$BV$5:$BV$254),""))</f>
        <v/>
      </c>
      <c r="BX47" s="20" t="str">
        <f>IF($A47="","",IFERROR(_xlfn.LET(_xlpm.v,_xlfn.XLOOKUP("F-"&amp;$A47,'Feeder Schedule'!$B$5:$B$254,'Feeder Schedule'!$M$5:$M$254),IF(OR(_xlpm.v="",_xlpm.v=0),Cfg_Conduit,_xlpm.v)),""))</f>
        <v/>
      </c>
      <c r="BY47" s="20" t="str">
        <f>IF($A47="","",IFERROR(_xlfn.XLOOKUP("F-"&amp;$A47,'Feeder Schedule'!$B$5:$B$254,'Feeder Schedule'!$O$5:$O$254),""))</f>
        <v/>
      </c>
      <c r="BZ47" s="20" t="str">
        <f>IF($A47="","",IFERROR(_xlfn.XLOOKUP("F-"&amp;$A47,'Feeder Schedule'!$B$5:$B$254,'Feeder Schedule'!$CH$5:$CH$254),""))</f>
        <v/>
      </c>
      <c r="CA47" s="20" t="str">
        <f>IF($A47="","",IFERROR(_xlfn.XLOOKUP("F-"&amp;$A47,'Feeder Schedule'!$B$5:$B$254,'Feeder Schedule'!$F$5:$F$254),""))</f>
        <v/>
      </c>
      <c r="CB47" s="20" t="str">
        <f>IF($A47="","",IFERROR(_xlfn.XLOOKUP("F-"&amp;$A47,'Feeder Schedule'!$B$5:$B$254,'Feeder Schedule'!$G$5:$G$254),""))</f>
        <v/>
      </c>
      <c r="CD47" s="20" t="str" cm="1">
        <f t="array" ref="CD47">IFERROR(IF($A47="","",INDEX(_xlfn.ANCHORARRAY($BK$4),ROW()-5,6)),"")</f>
        <v/>
      </c>
      <c r="CE47" s="20" t="str">
        <f t="shared" si="12"/>
        <v/>
      </c>
      <c r="CF47" s="20" t="str">
        <f t="shared" si="13"/>
        <v/>
      </c>
      <c r="CG47" s="20" t="str">
        <f t="shared" si="10"/>
        <v/>
      </c>
      <c r="CH47" s="20" t="str" cm="1">
        <f t="array" ref="CH47">IF(OR($A47="",$BZ47="",$BW47="",$BX47=""),"",_xlfn.LET(_xlpm.mag,IFERROR(_xlfn.XLOOKUP($BX47,Race_Raceway,Race_Mag),""),IF(_xlpm.mag="","",IFERROR(INDEX(Cond_Table,MATCH($BZ47,Cond_Size,0),IF(UPPER($BW47)="AL",IF(_xlpm.mag="Y",10,12),IF(_xlpm.mag="Y",9,11))),""))))</f>
        <v/>
      </c>
      <c r="CI47" s="20" t="str">
        <f t="shared" si="11"/>
        <v/>
      </c>
      <c r="CJ47" s="20" t="str">
        <f>IF(OR($A47="",LEFT($A47,2)&lt;&gt;"T-"),"",IFERROR(_xlfn.LET(_xlpm.fla,_xlfn.XLOOKUP($A47,Transformers!$A$6:$A$105,Transformers!$AK$6:$AK$105),_xlpm.z,_xlfn.XLOOKUP($A47,Transformers!$A$6:$A$105,Transformers!$AX$6:$AX$105),IF(OR(_xlpm.fla="",_xlpm.z="",_xlpm.z=0),"",_xlpm.fla*100/_xlpm.z)),""))</f>
        <v/>
      </c>
      <c r="CK47" s="20" t="str">
        <f t="shared" si="14"/>
        <v/>
      </c>
      <c r="CL47" s="20" t="str">
        <f t="shared" si="15"/>
        <v/>
      </c>
      <c r="CM47" s="373"/>
      <c r="CO47" s="20" t="str">
        <f>IF(OR($A47="",LEFT($A47,2)&lt;&gt;"T-"),"",_xlfn.LET(_xlpm.ph,IFERROR(_xlfn.XLOOKUP($A47,Transformers!$A$6:$A$105,Transformers!$C$6:$C$105),""),_xlpm.rr,IFERROR(_xlfn.XLOOKUP($A47,Transformers!$A$6:$A$105,Transformers!$AG$6:$AG$105),""),_xlpm.xx,IFERROR(_xlfn.XLOOKUP($A47,Transformers!$A$6:$A$105,Transformers!$AI$6:$AI$105),""),IF(OR(_xlpm.ph&lt;&gt;1,NOT(ISNUMBER(_xlpm.rr)),NOT(ISNUMBER(_xlpm.xx))),"",SQRT((1.5*_xlpm.rr)^2+(1.2*_xlpm.xx)^2))))</f>
        <v/>
      </c>
      <c r="CP47" s="20" t="str">
        <f t="shared" si="16"/>
        <v/>
      </c>
    </row>
    <row r="48" spans="1:94" ht="15" customHeight="1" x14ac:dyDescent="0.45">
      <c r="A48" s="275" t="str" cm="1">
        <f t="array" ref="A48">IFERROR(IF(INDEX(_xlfn.ANCHORARRAY($BK$4),ROW()-5,1)="","",INDEX(_xlfn.ANCHORARRAY($BK$4),ROW()-5,1)),"")</f>
        <v/>
      </c>
      <c r="B48" s="25" t="str" cm="1">
        <f t="array" ref="B48">IFERROR(IF($A48="","",INDEX(_xlfn.ANCHORARRAY($BK$4),ROW()-5,5)),"")</f>
        <v/>
      </c>
      <c r="C48" s="178" t="str" cm="1">
        <f t="array" ref="C48">IFERROR(IF($A48="","",INDEX(_xlfn.ANCHORARRAY($BK$4),ROW()-5,7)),"")</f>
        <v/>
      </c>
      <c r="D48" s="177" t="str" cm="1">
        <f t="array" ref="D48">IFERROR(IF($A48="","",INDEX(_xlfn.ANCHORARRAY($BK$4),ROW()-5,3)),"")</f>
        <v/>
      </c>
      <c r="E48" s="25" t="str" cm="1">
        <f t="array" ref="E48">IFERROR(IF($A48="","",INDEX(_xlfn.ANCHORARRAY($BK$4),ROW()-5,2)),"")</f>
        <v/>
      </c>
      <c r="F48" s="177" t="str">
        <f t="shared" si="0"/>
        <v/>
      </c>
      <c r="G48" s="275" t="str">
        <f t="shared" si="1"/>
        <v/>
      </c>
      <c r="H48" s="180" t="str">
        <f t="shared" si="2"/>
        <v/>
      </c>
      <c r="I48" s="180" t="str">
        <f t="shared" si="3"/>
        <v/>
      </c>
      <c r="J48" s="177" t="str">
        <f>_xlfn.LET(_xlpm.v,_xlfn.LET(_xlpm.base,IF($A48="","",IF($C48=0,IFERROR(_xlfn.XLOOKUP($A48,Util_Tags,Util_SCAEff),""),IF(LEFT($A48,2)="T-",IF($CJ48="","",$CJ48/(1+IF($CL48="",0,$CL48))),IF(OR($F48="",$I48=""),"",$F48*$I48)))),_xlpm.gtag,IF(OR($A48="",NOT(OR($B48="ATS",$B48="MTS"))),"",IFERROR(_xlfn.XLOOKUP($A48,Dashboard!$A$101:$A$350,Dashboard!$L$101:$L$350,"")&amp;"","")),_xlpm.gkva,IF(_xlpm.gtag="",0,IFERROR(N(_xlfn.XLOOKUP(_xlpm.gtag,Generator!$B$53:$B$58,Generator!$S$53:$S$58,0)),0)),_xlpm.gxd,IF(_xlpm.gtag="",0,IFERROR(N(_xlfn.XLOOKUP(_xlpm.gtag,Generator!$B$53:$B$58,Generator!$U$53:$U$58,0)),0)),_xlpm.gamp,IF(OR(_xlpm.gkva=0,_xlpm.gxd=0,N($D48)=0),0,ROUND(_xlpm.gkva*1000/(IF(N($CB48)=1,1,SQRT(3))*$D48*_xlpm.gxd),0)),IF(OR(_xlpm.gamp=0,NOT(ISNUMBER(_xlpm.base))),_xlpm.base,MAX(_xlpm.base,_xlpm.gamp))),_xlpm.ulim,IF(OR($A48="",$B48&lt;&gt;"UPS"),"",IFERROR(IF(_xlfn.XLOOKUP($A48,UPS!$B$57:$B$64,UPS!$E$57:$E$64,"")="None",_xlfn.XLOOKUP($A48,UPS!$B$57:$B$64,UPS!$U$57:$U$64,""),""),"")),IF(AND(ISNUMBER(_xlpm.v),ISNUMBER(_xlpm.ulim)),MIN(_xlpm.v,_xlpm.ulim),_xlpm.v))</f>
        <v/>
      </c>
      <c r="K48" s="176"/>
      <c r="L48" s="177" t="str">
        <f t="shared" si="4"/>
        <v/>
      </c>
      <c r="M48" s="177" t="str">
        <f t="shared" si="5"/>
        <v/>
      </c>
      <c r="N48" s="380" t="str">
        <f>IF($A48="","",IF($C48=0,_xlfn.LET(_xlpm.x,IFERROR(_xlfn.XLOOKUP($A48,Util_Tags,Util_XR),""),IF(N(_xlpm.x)=0,Xfmr_DefXR,_xlpm.x)),IF(LEFT($A48,2)="T-",IFERROR(_xlfn.XLOOKUP($A48,Transformers!$A$6:$A$105,Transformers!$AH$6:$AH$105),Xfmr_DefXR),IFERROR(_xlfn.XLOOKUP($E48,$A$6:$A$255,$N$6:$N$255),Xfmr_DefXR))))</f>
        <v/>
      </c>
      <c r="O48" s="177" t="str">
        <f t="shared" si="6"/>
        <v/>
      </c>
      <c r="P48" s="210" t="str">
        <f>IF($A48="","",IF(LEFT($A48,2)="T-",IF($CO48="","",_xlfn.LET(_xlpm.k,IFERROR(_xlfn.XLOOKUP($A48,Transformers!$A$6:$A$105,Transformers!$G$6:$G$105),""),_xlpm.sv,IFERROR(_xlfn.XLOOKUP($A48,Transformers!$A$6:$A$105,Transformers!$E$6:$E$105),""),IF(OR(NOT(ISNUMBER(_xlpm.k)),NOT(ISNUMBER(_xlpm.sv)),_xlpm.sv=0),"",_xlfn.LET(_xlpm.iInf,(_xlpm.k*1000/(_xlpm.sv/2))*100/$CO48,_xlpm.pri,IF(OR($CK48="",$CK48=0),"",$CK48/2),_xlpm.base,IF(_xlpm.pri="",_xlpm.iInf,_xlpm.iInf/(1+_xlpm.iInf/_xlpm.pri)),_xlpm.base+IF($L48="",0,$L48))))),IF($CP48="","",_xlfn.LET(_xlpm.pI,IFERROR(_xlfn.XLOOKUP($E48,$A$6:$A$255,$P$6:$P$255),""),IF(NOT(ISNUMBER(_xlpm.pI)),"",_xlpm.pI/(1+$CP48)+IF($L48="",0,$L48))))))</f>
        <v/>
      </c>
      <c r="Q48" s="210" t="str">
        <f t="shared" si="7"/>
        <v/>
      </c>
      <c r="R48" s="177" t="str">
        <f>IF($A48="","",IF(OR($C48=0,LEFT($A48,2)="T-"),"",IFERROR(_xlfn.LET(_xlpm.v,_xlfn.XLOOKUP($A48,Dashboard!$A$101:$A$350,Dashboard!$K$101:$K$350),IF(ISNUMBER(_xlpm.v),_xlpm.v,"")),"")))</f>
        <v/>
      </c>
      <c r="S48" s="211" t="str">
        <f t="shared" si="8"/>
        <v/>
      </c>
      <c r="T48" s="25" t="str">
        <f t="shared" si="9"/>
        <v/>
      </c>
      <c r="U48" s="364"/>
      <c r="BV48" s="20" t="str">
        <f>IF($A48="","",IFERROR(_xlfn.XLOOKUP("F-"&amp;$A48,'Feeder Schedule'!$B$5:$B$254,'Feeder Schedule'!$H$5:$H$254),""))</f>
        <v/>
      </c>
      <c r="BW48" s="20" t="str">
        <f>IF($A48="","",IFERROR(_xlfn.XLOOKUP("F-"&amp;$A48,'Feeder Schedule'!$B$5:$B$254,'Feeder Schedule'!$BV$5:$BV$254),""))</f>
        <v/>
      </c>
      <c r="BX48" s="20" t="str">
        <f>IF($A48="","",IFERROR(_xlfn.LET(_xlpm.v,_xlfn.XLOOKUP("F-"&amp;$A48,'Feeder Schedule'!$B$5:$B$254,'Feeder Schedule'!$M$5:$M$254),IF(OR(_xlpm.v="",_xlpm.v=0),Cfg_Conduit,_xlpm.v)),""))</f>
        <v/>
      </c>
      <c r="BY48" s="20" t="str">
        <f>IF($A48="","",IFERROR(_xlfn.XLOOKUP("F-"&amp;$A48,'Feeder Schedule'!$B$5:$B$254,'Feeder Schedule'!$O$5:$O$254),""))</f>
        <v/>
      </c>
      <c r="BZ48" s="20" t="str">
        <f>IF($A48="","",IFERROR(_xlfn.XLOOKUP("F-"&amp;$A48,'Feeder Schedule'!$B$5:$B$254,'Feeder Schedule'!$CH$5:$CH$254),""))</f>
        <v/>
      </c>
      <c r="CA48" s="20" t="str">
        <f>IF($A48="","",IFERROR(_xlfn.XLOOKUP("F-"&amp;$A48,'Feeder Schedule'!$B$5:$B$254,'Feeder Schedule'!$F$5:$F$254),""))</f>
        <v/>
      </c>
      <c r="CB48" s="20" t="str">
        <f>IF($A48="","",IFERROR(_xlfn.XLOOKUP("F-"&amp;$A48,'Feeder Schedule'!$B$5:$B$254,'Feeder Schedule'!$G$5:$G$254),""))</f>
        <v/>
      </c>
      <c r="CD48" s="20" t="str" cm="1">
        <f t="array" ref="CD48">IFERROR(IF($A48="","",INDEX(_xlfn.ANCHORARRAY($BK$4),ROW()-5,6)),"")</f>
        <v/>
      </c>
      <c r="CE48" s="20" t="str">
        <f t="shared" si="12"/>
        <v/>
      </c>
      <c r="CF48" s="20" t="str">
        <f t="shared" si="13"/>
        <v/>
      </c>
      <c r="CG48" s="20" t="str">
        <f t="shared" si="10"/>
        <v/>
      </c>
      <c r="CH48" s="20" t="str" cm="1">
        <f t="array" ref="CH48">IF(OR($A48="",$BZ48="",$BW48="",$BX48=""),"",_xlfn.LET(_xlpm.mag,IFERROR(_xlfn.XLOOKUP($BX48,Race_Raceway,Race_Mag),""),IF(_xlpm.mag="","",IFERROR(INDEX(Cond_Table,MATCH($BZ48,Cond_Size,0),IF(UPPER($BW48)="AL",IF(_xlpm.mag="Y",10,12),IF(_xlpm.mag="Y",9,11))),""))))</f>
        <v/>
      </c>
      <c r="CI48" s="20" t="str">
        <f t="shared" si="11"/>
        <v/>
      </c>
      <c r="CJ48" s="20" t="str">
        <f>IF(OR($A48="",LEFT($A48,2)&lt;&gt;"T-"),"",IFERROR(_xlfn.LET(_xlpm.fla,_xlfn.XLOOKUP($A48,Transformers!$A$6:$A$105,Transformers!$AK$6:$AK$105),_xlpm.z,_xlfn.XLOOKUP($A48,Transformers!$A$6:$A$105,Transformers!$AX$6:$AX$105),IF(OR(_xlpm.fla="",_xlpm.z="",_xlpm.z=0),"",_xlpm.fla*100/_xlpm.z)),""))</f>
        <v/>
      </c>
      <c r="CK48" s="20" t="str">
        <f t="shared" si="14"/>
        <v/>
      </c>
      <c r="CL48" s="20" t="str">
        <f t="shared" si="15"/>
        <v/>
      </c>
      <c r="CM48" s="373"/>
      <c r="CO48" s="20" t="str">
        <f>IF(OR($A48="",LEFT($A48,2)&lt;&gt;"T-"),"",_xlfn.LET(_xlpm.ph,IFERROR(_xlfn.XLOOKUP($A48,Transformers!$A$6:$A$105,Transformers!$C$6:$C$105),""),_xlpm.rr,IFERROR(_xlfn.XLOOKUP($A48,Transformers!$A$6:$A$105,Transformers!$AG$6:$AG$105),""),_xlpm.xx,IFERROR(_xlfn.XLOOKUP($A48,Transformers!$A$6:$A$105,Transformers!$AI$6:$AI$105),""),IF(OR(_xlpm.ph&lt;&gt;1,NOT(ISNUMBER(_xlpm.rr)),NOT(ISNUMBER(_xlpm.xx))),"",SQRT((1.5*_xlpm.rr)^2+(1.2*_xlpm.xx)^2))))</f>
        <v/>
      </c>
      <c r="CP48" s="20" t="str">
        <f t="shared" si="16"/>
        <v/>
      </c>
    </row>
    <row r="49" spans="1:94" ht="15" customHeight="1" x14ac:dyDescent="0.45">
      <c r="A49" s="275" t="str" cm="1">
        <f t="array" ref="A49">IFERROR(IF(INDEX(_xlfn.ANCHORARRAY($BK$4),ROW()-5,1)="","",INDEX(_xlfn.ANCHORARRAY($BK$4),ROW()-5,1)),"")</f>
        <v/>
      </c>
      <c r="B49" s="25" t="str" cm="1">
        <f t="array" ref="B49">IFERROR(IF($A49="","",INDEX(_xlfn.ANCHORARRAY($BK$4),ROW()-5,5)),"")</f>
        <v/>
      </c>
      <c r="C49" s="178" t="str" cm="1">
        <f t="array" ref="C49">IFERROR(IF($A49="","",INDEX(_xlfn.ANCHORARRAY($BK$4),ROW()-5,7)),"")</f>
        <v/>
      </c>
      <c r="D49" s="177" t="str" cm="1">
        <f t="array" ref="D49">IFERROR(IF($A49="","",INDEX(_xlfn.ANCHORARRAY($BK$4),ROW()-5,3)),"")</f>
        <v/>
      </c>
      <c r="E49" s="25" t="str" cm="1">
        <f t="array" ref="E49">IFERROR(IF($A49="","",INDEX(_xlfn.ANCHORARRAY($BK$4),ROW()-5,2)),"")</f>
        <v/>
      </c>
      <c r="F49" s="177" t="str">
        <f t="shared" si="0"/>
        <v/>
      </c>
      <c r="G49" s="275" t="str">
        <f t="shared" si="1"/>
        <v/>
      </c>
      <c r="H49" s="180" t="str">
        <f t="shared" si="2"/>
        <v/>
      </c>
      <c r="I49" s="180" t="str">
        <f t="shared" si="3"/>
        <v/>
      </c>
      <c r="J49" s="177" t="str">
        <f>_xlfn.LET(_xlpm.v,_xlfn.LET(_xlpm.base,IF($A49="","",IF($C49=0,IFERROR(_xlfn.XLOOKUP($A49,Util_Tags,Util_SCAEff),""),IF(LEFT($A49,2)="T-",IF($CJ49="","",$CJ49/(1+IF($CL49="",0,$CL49))),IF(OR($F49="",$I49=""),"",$F49*$I49)))),_xlpm.gtag,IF(OR($A49="",NOT(OR($B49="ATS",$B49="MTS"))),"",IFERROR(_xlfn.XLOOKUP($A49,Dashboard!$A$101:$A$350,Dashboard!$L$101:$L$350,"")&amp;"","")),_xlpm.gkva,IF(_xlpm.gtag="",0,IFERROR(N(_xlfn.XLOOKUP(_xlpm.gtag,Generator!$B$53:$B$58,Generator!$S$53:$S$58,0)),0)),_xlpm.gxd,IF(_xlpm.gtag="",0,IFERROR(N(_xlfn.XLOOKUP(_xlpm.gtag,Generator!$B$53:$B$58,Generator!$U$53:$U$58,0)),0)),_xlpm.gamp,IF(OR(_xlpm.gkva=0,_xlpm.gxd=0,N($D49)=0),0,ROUND(_xlpm.gkva*1000/(IF(N($CB49)=1,1,SQRT(3))*$D49*_xlpm.gxd),0)),IF(OR(_xlpm.gamp=0,NOT(ISNUMBER(_xlpm.base))),_xlpm.base,MAX(_xlpm.base,_xlpm.gamp))),_xlpm.ulim,IF(OR($A49="",$B49&lt;&gt;"UPS"),"",IFERROR(IF(_xlfn.XLOOKUP($A49,UPS!$B$57:$B$64,UPS!$E$57:$E$64,"")="None",_xlfn.XLOOKUP($A49,UPS!$B$57:$B$64,UPS!$U$57:$U$64,""),""),"")),IF(AND(ISNUMBER(_xlpm.v),ISNUMBER(_xlpm.ulim)),MIN(_xlpm.v,_xlpm.ulim),_xlpm.v))</f>
        <v/>
      </c>
      <c r="K49" s="176"/>
      <c r="L49" s="177" t="str">
        <f t="shared" si="4"/>
        <v/>
      </c>
      <c r="M49" s="177" t="str">
        <f t="shared" si="5"/>
        <v/>
      </c>
      <c r="N49" s="380" t="str">
        <f>IF($A49="","",IF($C49=0,_xlfn.LET(_xlpm.x,IFERROR(_xlfn.XLOOKUP($A49,Util_Tags,Util_XR),""),IF(N(_xlpm.x)=0,Xfmr_DefXR,_xlpm.x)),IF(LEFT($A49,2)="T-",IFERROR(_xlfn.XLOOKUP($A49,Transformers!$A$6:$A$105,Transformers!$AH$6:$AH$105),Xfmr_DefXR),IFERROR(_xlfn.XLOOKUP($E49,$A$6:$A$255,$N$6:$N$255),Xfmr_DefXR))))</f>
        <v/>
      </c>
      <c r="O49" s="177" t="str">
        <f t="shared" si="6"/>
        <v/>
      </c>
      <c r="P49" s="210" t="str">
        <f>IF($A49="","",IF(LEFT($A49,2)="T-",IF($CO49="","",_xlfn.LET(_xlpm.k,IFERROR(_xlfn.XLOOKUP($A49,Transformers!$A$6:$A$105,Transformers!$G$6:$G$105),""),_xlpm.sv,IFERROR(_xlfn.XLOOKUP($A49,Transformers!$A$6:$A$105,Transformers!$E$6:$E$105),""),IF(OR(NOT(ISNUMBER(_xlpm.k)),NOT(ISNUMBER(_xlpm.sv)),_xlpm.sv=0),"",_xlfn.LET(_xlpm.iInf,(_xlpm.k*1000/(_xlpm.sv/2))*100/$CO49,_xlpm.pri,IF(OR($CK49="",$CK49=0),"",$CK49/2),_xlpm.base,IF(_xlpm.pri="",_xlpm.iInf,_xlpm.iInf/(1+_xlpm.iInf/_xlpm.pri)),_xlpm.base+IF($L49="",0,$L49))))),IF($CP49="","",_xlfn.LET(_xlpm.pI,IFERROR(_xlfn.XLOOKUP($E49,$A$6:$A$255,$P$6:$P$255),""),IF(NOT(ISNUMBER(_xlpm.pI)),"",_xlpm.pI/(1+$CP49)+IF($L49="",0,$L49))))))</f>
        <v/>
      </c>
      <c r="Q49" s="210" t="str">
        <f t="shared" si="7"/>
        <v/>
      </c>
      <c r="R49" s="177" t="str">
        <f>IF($A49="","",IF(OR($C49=0,LEFT($A49,2)="T-"),"",IFERROR(_xlfn.LET(_xlpm.v,_xlfn.XLOOKUP($A49,Dashboard!$A$101:$A$350,Dashboard!$K$101:$K$350),IF(ISNUMBER(_xlpm.v),_xlpm.v,"")),"")))</f>
        <v/>
      </c>
      <c r="S49" s="211" t="str">
        <f t="shared" si="8"/>
        <v/>
      </c>
      <c r="T49" s="25" t="str">
        <f t="shared" si="9"/>
        <v/>
      </c>
      <c r="U49" s="364"/>
      <c r="BV49" s="20" t="str">
        <f>IF($A49="","",IFERROR(_xlfn.XLOOKUP("F-"&amp;$A49,'Feeder Schedule'!$B$5:$B$254,'Feeder Schedule'!$H$5:$H$254),""))</f>
        <v/>
      </c>
      <c r="BW49" s="20" t="str">
        <f>IF($A49="","",IFERROR(_xlfn.XLOOKUP("F-"&amp;$A49,'Feeder Schedule'!$B$5:$B$254,'Feeder Schedule'!$BV$5:$BV$254),""))</f>
        <v/>
      </c>
      <c r="BX49" s="20" t="str">
        <f>IF($A49="","",IFERROR(_xlfn.LET(_xlpm.v,_xlfn.XLOOKUP("F-"&amp;$A49,'Feeder Schedule'!$B$5:$B$254,'Feeder Schedule'!$M$5:$M$254),IF(OR(_xlpm.v="",_xlpm.v=0),Cfg_Conduit,_xlpm.v)),""))</f>
        <v/>
      </c>
      <c r="BY49" s="20" t="str">
        <f>IF($A49="","",IFERROR(_xlfn.XLOOKUP("F-"&amp;$A49,'Feeder Schedule'!$B$5:$B$254,'Feeder Schedule'!$O$5:$O$254),""))</f>
        <v/>
      </c>
      <c r="BZ49" s="20" t="str">
        <f>IF($A49="","",IFERROR(_xlfn.XLOOKUP("F-"&amp;$A49,'Feeder Schedule'!$B$5:$B$254,'Feeder Schedule'!$CH$5:$CH$254),""))</f>
        <v/>
      </c>
      <c r="CA49" s="20" t="str">
        <f>IF($A49="","",IFERROR(_xlfn.XLOOKUP("F-"&amp;$A49,'Feeder Schedule'!$B$5:$B$254,'Feeder Schedule'!$F$5:$F$254),""))</f>
        <v/>
      </c>
      <c r="CB49" s="20" t="str">
        <f>IF($A49="","",IFERROR(_xlfn.XLOOKUP("F-"&amp;$A49,'Feeder Schedule'!$B$5:$B$254,'Feeder Schedule'!$G$5:$G$254),""))</f>
        <v/>
      </c>
      <c r="CD49" s="20" t="str" cm="1">
        <f t="array" ref="CD49">IFERROR(IF($A49="","",INDEX(_xlfn.ANCHORARRAY($BK$4),ROW()-5,6)),"")</f>
        <v/>
      </c>
      <c r="CE49" s="20" t="str">
        <f t="shared" si="12"/>
        <v/>
      </c>
      <c r="CF49" s="20" t="str">
        <f t="shared" si="13"/>
        <v/>
      </c>
      <c r="CG49" s="20" t="str">
        <f t="shared" si="10"/>
        <v/>
      </c>
      <c r="CH49" s="20" t="str" cm="1">
        <f t="array" ref="CH49">IF(OR($A49="",$BZ49="",$BW49="",$BX49=""),"",_xlfn.LET(_xlpm.mag,IFERROR(_xlfn.XLOOKUP($BX49,Race_Raceway,Race_Mag),""),IF(_xlpm.mag="","",IFERROR(INDEX(Cond_Table,MATCH($BZ49,Cond_Size,0),IF(UPPER($BW49)="AL",IF(_xlpm.mag="Y",10,12),IF(_xlpm.mag="Y",9,11))),""))))</f>
        <v/>
      </c>
      <c r="CI49" s="20" t="str">
        <f t="shared" si="11"/>
        <v/>
      </c>
      <c r="CJ49" s="20" t="str">
        <f>IF(OR($A49="",LEFT($A49,2)&lt;&gt;"T-"),"",IFERROR(_xlfn.LET(_xlpm.fla,_xlfn.XLOOKUP($A49,Transformers!$A$6:$A$105,Transformers!$AK$6:$AK$105),_xlpm.z,_xlfn.XLOOKUP($A49,Transformers!$A$6:$A$105,Transformers!$AX$6:$AX$105),IF(OR(_xlpm.fla="",_xlpm.z="",_xlpm.z=0),"",_xlpm.fla*100/_xlpm.z)),""))</f>
        <v/>
      </c>
      <c r="CK49" s="20" t="str">
        <f t="shared" si="14"/>
        <v/>
      </c>
      <c r="CL49" s="20" t="str">
        <f t="shared" si="15"/>
        <v/>
      </c>
      <c r="CM49" s="373"/>
      <c r="CO49" s="20" t="str">
        <f>IF(OR($A49="",LEFT($A49,2)&lt;&gt;"T-"),"",_xlfn.LET(_xlpm.ph,IFERROR(_xlfn.XLOOKUP($A49,Transformers!$A$6:$A$105,Transformers!$C$6:$C$105),""),_xlpm.rr,IFERROR(_xlfn.XLOOKUP($A49,Transformers!$A$6:$A$105,Transformers!$AG$6:$AG$105),""),_xlpm.xx,IFERROR(_xlfn.XLOOKUP($A49,Transformers!$A$6:$A$105,Transformers!$AI$6:$AI$105),""),IF(OR(_xlpm.ph&lt;&gt;1,NOT(ISNUMBER(_xlpm.rr)),NOT(ISNUMBER(_xlpm.xx))),"",SQRT((1.5*_xlpm.rr)^2+(1.2*_xlpm.xx)^2))))</f>
        <v/>
      </c>
      <c r="CP49" s="20" t="str">
        <f t="shared" si="16"/>
        <v/>
      </c>
    </row>
    <row r="50" spans="1:94" ht="15" customHeight="1" x14ac:dyDescent="0.45">
      <c r="A50" s="275" t="str" cm="1">
        <f t="array" ref="A50">IFERROR(IF(INDEX(_xlfn.ANCHORARRAY($BK$4),ROW()-5,1)="","",INDEX(_xlfn.ANCHORARRAY($BK$4),ROW()-5,1)),"")</f>
        <v/>
      </c>
      <c r="B50" s="25" t="str" cm="1">
        <f t="array" ref="B50">IFERROR(IF($A50="","",INDEX(_xlfn.ANCHORARRAY($BK$4),ROW()-5,5)),"")</f>
        <v/>
      </c>
      <c r="C50" s="178" t="str" cm="1">
        <f t="array" ref="C50">IFERROR(IF($A50="","",INDEX(_xlfn.ANCHORARRAY($BK$4),ROW()-5,7)),"")</f>
        <v/>
      </c>
      <c r="D50" s="177" t="str" cm="1">
        <f t="array" ref="D50">IFERROR(IF($A50="","",INDEX(_xlfn.ANCHORARRAY($BK$4),ROW()-5,3)),"")</f>
        <v/>
      </c>
      <c r="E50" s="25" t="str" cm="1">
        <f t="array" ref="E50">IFERROR(IF($A50="","",INDEX(_xlfn.ANCHORARRAY($BK$4),ROW()-5,2)),"")</f>
        <v/>
      </c>
      <c r="F50" s="177" t="str">
        <f t="shared" si="0"/>
        <v/>
      </c>
      <c r="G50" s="275" t="str">
        <f t="shared" si="1"/>
        <v/>
      </c>
      <c r="H50" s="180" t="str">
        <f t="shared" si="2"/>
        <v/>
      </c>
      <c r="I50" s="180" t="str">
        <f t="shared" si="3"/>
        <v/>
      </c>
      <c r="J50" s="177" t="str">
        <f>_xlfn.LET(_xlpm.v,_xlfn.LET(_xlpm.base,IF($A50="","",IF($C50=0,IFERROR(_xlfn.XLOOKUP($A50,Util_Tags,Util_SCAEff),""),IF(LEFT($A50,2)="T-",IF($CJ50="","",$CJ50/(1+IF($CL50="",0,$CL50))),IF(OR($F50="",$I50=""),"",$F50*$I50)))),_xlpm.gtag,IF(OR($A50="",NOT(OR($B50="ATS",$B50="MTS"))),"",IFERROR(_xlfn.XLOOKUP($A50,Dashboard!$A$101:$A$350,Dashboard!$L$101:$L$350,"")&amp;"","")),_xlpm.gkva,IF(_xlpm.gtag="",0,IFERROR(N(_xlfn.XLOOKUP(_xlpm.gtag,Generator!$B$53:$B$58,Generator!$S$53:$S$58,0)),0)),_xlpm.gxd,IF(_xlpm.gtag="",0,IFERROR(N(_xlfn.XLOOKUP(_xlpm.gtag,Generator!$B$53:$B$58,Generator!$U$53:$U$58,0)),0)),_xlpm.gamp,IF(OR(_xlpm.gkva=0,_xlpm.gxd=0,N($D50)=0),0,ROUND(_xlpm.gkva*1000/(IF(N($CB50)=1,1,SQRT(3))*$D50*_xlpm.gxd),0)),IF(OR(_xlpm.gamp=0,NOT(ISNUMBER(_xlpm.base))),_xlpm.base,MAX(_xlpm.base,_xlpm.gamp))),_xlpm.ulim,IF(OR($A50="",$B50&lt;&gt;"UPS"),"",IFERROR(IF(_xlfn.XLOOKUP($A50,UPS!$B$57:$B$64,UPS!$E$57:$E$64,"")="None",_xlfn.XLOOKUP($A50,UPS!$B$57:$B$64,UPS!$U$57:$U$64,""),""),"")),IF(AND(ISNUMBER(_xlpm.v),ISNUMBER(_xlpm.ulim)),MIN(_xlpm.v,_xlpm.ulim),_xlpm.v))</f>
        <v/>
      </c>
      <c r="K50" s="176"/>
      <c r="L50" s="177" t="str">
        <f t="shared" si="4"/>
        <v/>
      </c>
      <c r="M50" s="177" t="str">
        <f t="shared" si="5"/>
        <v/>
      </c>
      <c r="N50" s="380" t="str">
        <f>IF($A50="","",IF($C50=0,_xlfn.LET(_xlpm.x,IFERROR(_xlfn.XLOOKUP($A50,Util_Tags,Util_XR),""),IF(N(_xlpm.x)=0,Xfmr_DefXR,_xlpm.x)),IF(LEFT($A50,2)="T-",IFERROR(_xlfn.XLOOKUP($A50,Transformers!$A$6:$A$105,Transformers!$AH$6:$AH$105),Xfmr_DefXR),IFERROR(_xlfn.XLOOKUP($E50,$A$6:$A$255,$N$6:$N$255),Xfmr_DefXR))))</f>
        <v/>
      </c>
      <c r="O50" s="177" t="str">
        <f t="shared" si="6"/>
        <v/>
      </c>
      <c r="P50" s="210" t="str">
        <f>IF($A50="","",IF(LEFT($A50,2)="T-",IF($CO50="","",_xlfn.LET(_xlpm.k,IFERROR(_xlfn.XLOOKUP($A50,Transformers!$A$6:$A$105,Transformers!$G$6:$G$105),""),_xlpm.sv,IFERROR(_xlfn.XLOOKUP($A50,Transformers!$A$6:$A$105,Transformers!$E$6:$E$105),""),IF(OR(NOT(ISNUMBER(_xlpm.k)),NOT(ISNUMBER(_xlpm.sv)),_xlpm.sv=0),"",_xlfn.LET(_xlpm.iInf,(_xlpm.k*1000/(_xlpm.sv/2))*100/$CO50,_xlpm.pri,IF(OR($CK50="",$CK50=0),"",$CK50/2),_xlpm.base,IF(_xlpm.pri="",_xlpm.iInf,_xlpm.iInf/(1+_xlpm.iInf/_xlpm.pri)),_xlpm.base+IF($L50="",0,$L50))))),IF($CP50="","",_xlfn.LET(_xlpm.pI,IFERROR(_xlfn.XLOOKUP($E50,$A$6:$A$255,$P$6:$P$255),""),IF(NOT(ISNUMBER(_xlpm.pI)),"",_xlpm.pI/(1+$CP50)+IF($L50="",0,$L50))))))</f>
        <v/>
      </c>
      <c r="Q50" s="210" t="str">
        <f t="shared" si="7"/>
        <v/>
      </c>
      <c r="R50" s="177" t="str">
        <f>IF($A50="","",IF(OR($C50=0,LEFT($A50,2)="T-"),"",IFERROR(_xlfn.LET(_xlpm.v,_xlfn.XLOOKUP($A50,Dashboard!$A$101:$A$350,Dashboard!$K$101:$K$350),IF(ISNUMBER(_xlpm.v),_xlpm.v,"")),"")))</f>
        <v/>
      </c>
      <c r="S50" s="211" t="str">
        <f t="shared" si="8"/>
        <v/>
      </c>
      <c r="T50" s="25" t="str">
        <f t="shared" si="9"/>
        <v/>
      </c>
      <c r="U50" s="364"/>
      <c r="BV50" s="20" t="str">
        <f>IF($A50="","",IFERROR(_xlfn.XLOOKUP("F-"&amp;$A50,'Feeder Schedule'!$B$5:$B$254,'Feeder Schedule'!$H$5:$H$254),""))</f>
        <v/>
      </c>
      <c r="BW50" s="20" t="str">
        <f>IF($A50="","",IFERROR(_xlfn.XLOOKUP("F-"&amp;$A50,'Feeder Schedule'!$B$5:$B$254,'Feeder Schedule'!$BV$5:$BV$254),""))</f>
        <v/>
      </c>
      <c r="BX50" s="20" t="str">
        <f>IF($A50="","",IFERROR(_xlfn.LET(_xlpm.v,_xlfn.XLOOKUP("F-"&amp;$A50,'Feeder Schedule'!$B$5:$B$254,'Feeder Schedule'!$M$5:$M$254),IF(OR(_xlpm.v="",_xlpm.v=0),Cfg_Conduit,_xlpm.v)),""))</f>
        <v/>
      </c>
      <c r="BY50" s="20" t="str">
        <f>IF($A50="","",IFERROR(_xlfn.XLOOKUP("F-"&amp;$A50,'Feeder Schedule'!$B$5:$B$254,'Feeder Schedule'!$O$5:$O$254),""))</f>
        <v/>
      </c>
      <c r="BZ50" s="20" t="str">
        <f>IF($A50="","",IFERROR(_xlfn.XLOOKUP("F-"&amp;$A50,'Feeder Schedule'!$B$5:$B$254,'Feeder Schedule'!$CH$5:$CH$254),""))</f>
        <v/>
      </c>
      <c r="CA50" s="20" t="str">
        <f>IF($A50="","",IFERROR(_xlfn.XLOOKUP("F-"&amp;$A50,'Feeder Schedule'!$B$5:$B$254,'Feeder Schedule'!$F$5:$F$254),""))</f>
        <v/>
      </c>
      <c r="CB50" s="20" t="str">
        <f>IF($A50="","",IFERROR(_xlfn.XLOOKUP("F-"&amp;$A50,'Feeder Schedule'!$B$5:$B$254,'Feeder Schedule'!$G$5:$G$254),""))</f>
        <v/>
      </c>
      <c r="CD50" s="20" t="str" cm="1">
        <f t="array" ref="CD50">IFERROR(IF($A50="","",INDEX(_xlfn.ANCHORARRAY($BK$4),ROW()-5,6)),"")</f>
        <v/>
      </c>
      <c r="CE50" s="20" t="str">
        <f t="shared" si="12"/>
        <v/>
      </c>
      <c r="CF50" s="20" t="str">
        <f t="shared" si="13"/>
        <v/>
      </c>
      <c r="CG50" s="20" t="str">
        <f t="shared" si="10"/>
        <v/>
      </c>
      <c r="CH50" s="20" t="str" cm="1">
        <f t="array" ref="CH50">IF(OR($A50="",$BZ50="",$BW50="",$BX50=""),"",_xlfn.LET(_xlpm.mag,IFERROR(_xlfn.XLOOKUP($BX50,Race_Raceway,Race_Mag),""),IF(_xlpm.mag="","",IFERROR(INDEX(Cond_Table,MATCH($BZ50,Cond_Size,0),IF(UPPER($BW50)="AL",IF(_xlpm.mag="Y",10,12),IF(_xlpm.mag="Y",9,11))),""))))</f>
        <v/>
      </c>
      <c r="CI50" s="20" t="str">
        <f t="shared" si="11"/>
        <v/>
      </c>
      <c r="CJ50" s="20" t="str">
        <f>IF(OR($A50="",LEFT($A50,2)&lt;&gt;"T-"),"",IFERROR(_xlfn.LET(_xlpm.fla,_xlfn.XLOOKUP($A50,Transformers!$A$6:$A$105,Transformers!$AK$6:$AK$105),_xlpm.z,_xlfn.XLOOKUP($A50,Transformers!$A$6:$A$105,Transformers!$AX$6:$AX$105),IF(OR(_xlpm.fla="",_xlpm.z="",_xlpm.z=0),"",_xlpm.fla*100/_xlpm.z)),""))</f>
        <v/>
      </c>
      <c r="CK50" s="20" t="str">
        <f t="shared" si="14"/>
        <v/>
      </c>
      <c r="CL50" s="20" t="str">
        <f t="shared" si="15"/>
        <v/>
      </c>
      <c r="CM50" s="373"/>
      <c r="CO50" s="20" t="str">
        <f>IF(OR($A50="",LEFT($A50,2)&lt;&gt;"T-"),"",_xlfn.LET(_xlpm.ph,IFERROR(_xlfn.XLOOKUP($A50,Transformers!$A$6:$A$105,Transformers!$C$6:$C$105),""),_xlpm.rr,IFERROR(_xlfn.XLOOKUP($A50,Transformers!$A$6:$A$105,Transformers!$AG$6:$AG$105),""),_xlpm.xx,IFERROR(_xlfn.XLOOKUP($A50,Transformers!$A$6:$A$105,Transformers!$AI$6:$AI$105),""),IF(OR(_xlpm.ph&lt;&gt;1,NOT(ISNUMBER(_xlpm.rr)),NOT(ISNUMBER(_xlpm.xx))),"",SQRT((1.5*_xlpm.rr)^2+(1.2*_xlpm.xx)^2))))</f>
        <v/>
      </c>
      <c r="CP50" s="20" t="str">
        <f t="shared" si="16"/>
        <v/>
      </c>
    </row>
    <row r="51" spans="1:94" ht="15" customHeight="1" x14ac:dyDescent="0.45">
      <c r="A51" s="275" t="str" cm="1">
        <f t="array" ref="A51">IFERROR(IF(INDEX(_xlfn.ANCHORARRAY($BK$4),ROW()-5,1)="","",INDEX(_xlfn.ANCHORARRAY($BK$4),ROW()-5,1)),"")</f>
        <v/>
      </c>
      <c r="B51" s="25" t="str" cm="1">
        <f t="array" ref="B51">IFERROR(IF($A51="","",INDEX(_xlfn.ANCHORARRAY($BK$4),ROW()-5,5)),"")</f>
        <v/>
      </c>
      <c r="C51" s="178" t="str" cm="1">
        <f t="array" ref="C51">IFERROR(IF($A51="","",INDEX(_xlfn.ANCHORARRAY($BK$4),ROW()-5,7)),"")</f>
        <v/>
      </c>
      <c r="D51" s="177" t="str" cm="1">
        <f t="array" ref="D51">IFERROR(IF($A51="","",INDEX(_xlfn.ANCHORARRAY($BK$4),ROW()-5,3)),"")</f>
        <v/>
      </c>
      <c r="E51" s="25" t="str" cm="1">
        <f t="array" ref="E51">IFERROR(IF($A51="","",INDEX(_xlfn.ANCHORARRAY($BK$4),ROW()-5,2)),"")</f>
        <v/>
      </c>
      <c r="F51" s="177" t="str">
        <f t="shared" si="0"/>
        <v/>
      </c>
      <c r="G51" s="275" t="str">
        <f t="shared" si="1"/>
        <v/>
      </c>
      <c r="H51" s="180" t="str">
        <f t="shared" si="2"/>
        <v/>
      </c>
      <c r="I51" s="180" t="str">
        <f t="shared" si="3"/>
        <v/>
      </c>
      <c r="J51" s="177" t="str">
        <f>_xlfn.LET(_xlpm.v,_xlfn.LET(_xlpm.base,IF($A51="","",IF($C51=0,IFERROR(_xlfn.XLOOKUP($A51,Util_Tags,Util_SCAEff),""),IF(LEFT($A51,2)="T-",IF($CJ51="","",$CJ51/(1+IF($CL51="",0,$CL51))),IF(OR($F51="",$I51=""),"",$F51*$I51)))),_xlpm.gtag,IF(OR($A51="",NOT(OR($B51="ATS",$B51="MTS"))),"",IFERROR(_xlfn.XLOOKUP($A51,Dashboard!$A$101:$A$350,Dashboard!$L$101:$L$350,"")&amp;"","")),_xlpm.gkva,IF(_xlpm.gtag="",0,IFERROR(N(_xlfn.XLOOKUP(_xlpm.gtag,Generator!$B$53:$B$58,Generator!$S$53:$S$58,0)),0)),_xlpm.gxd,IF(_xlpm.gtag="",0,IFERROR(N(_xlfn.XLOOKUP(_xlpm.gtag,Generator!$B$53:$B$58,Generator!$U$53:$U$58,0)),0)),_xlpm.gamp,IF(OR(_xlpm.gkva=0,_xlpm.gxd=0,N($D51)=0),0,ROUND(_xlpm.gkva*1000/(IF(N($CB51)=1,1,SQRT(3))*$D51*_xlpm.gxd),0)),IF(OR(_xlpm.gamp=0,NOT(ISNUMBER(_xlpm.base))),_xlpm.base,MAX(_xlpm.base,_xlpm.gamp))),_xlpm.ulim,IF(OR($A51="",$B51&lt;&gt;"UPS"),"",IFERROR(IF(_xlfn.XLOOKUP($A51,UPS!$B$57:$B$64,UPS!$E$57:$E$64,"")="None",_xlfn.XLOOKUP($A51,UPS!$B$57:$B$64,UPS!$U$57:$U$64,""),""),"")),IF(AND(ISNUMBER(_xlpm.v),ISNUMBER(_xlpm.ulim)),MIN(_xlpm.v,_xlpm.ulim),_xlpm.v))</f>
        <v/>
      </c>
      <c r="K51" s="176"/>
      <c r="L51" s="177" t="str">
        <f t="shared" si="4"/>
        <v/>
      </c>
      <c r="M51" s="177" t="str">
        <f t="shared" si="5"/>
        <v/>
      </c>
      <c r="N51" s="380" t="str">
        <f>IF($A51="","",IF($C51=0,_xlfn.LET(_xlpm.x,IFERROR(_xlfn.XLOOKUP($A51,Util_Tags,Util_XR),""),IF(N(_xlpm.x)=0,Xfmr_DefXR,_xlpm.x)),IF(LEFT($A51,2)="T-",IFERROR(_xlfn.XLOOKUP($A51,Transformers!$A$6:$A$105,Transformers!$AH$6:$AH$105),Xfmr_DefXR),IFERROR(_xlfn.XLOOKUP($E51,$A$6:$A$255,$N$6:$N$255),Xfmr_DefXR))))</f>
        <v/>
      </c>
      <c r="O51" s="177" t="str">
        <f t="shared" si="6"/>
        <v/>
      </c>
      <c r="P51" s="210" t="str">
        <f>IF($A51="","",IF(LEFT($A51,2)="T-",IF($CO51="","",_xlfn.LET(_xlpm.k,IFERROR(_xlfn.XLOOKUP($A51,Transformers!$A$6:$A$105,Transformers!$G$6:$G$105),""),_xlpm.sv,IFERROR(_xlfn.XLOOKUP($A51,Transformers!$A$6:$A$105,Transformers!$E$6:$E$105),""),IF(OR(NOT(ISNUMBER(_xlpm.k)),NOT(ISNUMBER(_xlpm.sv)),_xlpm.sv=0),"",_xlfn.LET(_xlpm.iInf,(_xlpm.k*1000/(_xlpm.sv/2))*100/$CO51,_xlpm.pri,IF(OR($CK51="",$CK51=0),"",$CK51/2),_xlpm.base,IF(_xlpm.pri="",_xlpm.iInf,_xlpm.iInf/(1+_xlpm.iInf/_xlpm.pri)),_xlpm.base+IF($L51="",0,$L51))))),IF($CP51="","",_xlfn.LET(_xlpm.pI,IFERROR(_xlfn.XLOOKUP($E51,$A$6:$A$255,$P$6:$P$255),""),IF(NOT(ISNUMBER(_xlpm.pI)),"",_xlpm.pI/(1+$CP51)+IF($L51="",0,$L51))))))</f>
        <v/>
      </c>
      <c r="Q51" s="210" t="str">
        <f t="shared" si="7"/>
        <v/>
      </c>
      <c r="R51" s="177" t="str">
        <f>IF($A51="","",IF(OR($C51=0,LEFT($A51,2)="T-"),"",IFERROR(_xlfn.LET(_xlpm.v,_xlfn.XLOOKUP($A51,Dashboard!$A$101:$A$350,Dashboard!$K$101:$K$350),IF(ISNUMBER(_xlpm.v),_xlpm.v,"")),"")))</f>
        <v/>
      </c>
      <c r="S51" s="211" t="str">
        <f t="shared" si="8"/>
        <v/>
      </c>
      <c r="T51" s="25" t="str">
        <f t="shared" si="9"/>
        <v/>
      </c>
      <c r="U51" s="364"/>
      <c r="BV51" s="20" t="str">
        <f>IF($A51="","",IFERROR(_xlfn.XLOOKUP("F-"&amp;$A51,'Feeder Schedule'!$B$5:$B$254,'Feeder Schedule'!$H$5:$H$254),""))</f>
        <v/>
      </c>
      <c r="BW51" s="20" t="str">
        <f>IF($A51="","",IFERROR(_xlfn.XLOOKUP("F-"&amp;$A51,'Feeder Schedule'!$B$5:$B$254,'Feeder Schedule'!$BV$5:$BV$254),""))</f>
        <v/>
      </c>
      <c r="BX51" s="20" t="str">
        <f>IF($A51="","",IFERROR(_xlfn.LET(_xlpm.v,_xlfn.XLOOKUP("F-"&amp;$A51,'Feeder Schedule'!$B$5:$B$254,'Feeder Schedule'!$M$5:$M$254),IF(OR(_xlpm.v="",_xlpm.v=0),Cfg_Conduit,_xlpm.v)),""))</f>
        <v/>
      </c>
      <c r="BY51" s="20" t="str">
        <f>IF($A51="","",IFERROR(_xlfn.XLOOKUP("F-"&amp;$A51,'Feeder Schedule'!$B$5:$B$254,'Feeder Schedule'!$O$5:$O$254),""))</f>
        <v/>
      </c>
      <c r="BZ51" s="20" t="str">
        <f>IF($A51="","",IFERROR(_xlfn.XLOOKUP("F-"&amp;$A51,'Feeder Schedule'!$B$5:$B$254,'Feeder Schedule'!$CH$5:$CH$254),""))</f>
        <v/>
      </c>
      <c r="CA51" s="20" t="str">
        <f>IF($A51="","",IFERROR(_xlfn.XLOOKUP("F-"&amp;$A51,'Feeder Schedule'!$B$5:$B$254,'Feeder Schedule'!$F$5:$F$254),""))</f>
        <v/>
      </c>
      <c r="CB51" s="20" t="str">
        <f>IF($A51="","",IFERROR(_xlfn.XLOOKUP("F-"&amp;$A51,'Feeder Schedule'!$B$5:$B$254,'Feeder Schedule'!$G$5:$G$254),""))</f>
        <v/>
      </c>
      <c r="CD51" s="20" t="str" cm="1">
        <f t="array" ref="CD51">IFERROR(IF($A51="","",INDEX(_xlfn.ANCHORARRAY($BK$4),ROW()-5,6)),"")</f>
        <v/>
      </c>
      <c r="CE51" s="20" t="str">
        <f t="shared" si="12"/>
        <v/>
      </c>
      <c r="CF51" s="20" t="str">
        <f t="shared" si="13"/>
        <v/>
      </c>
      <c r="CG51" s="20" t="str">
        <f t="shared" si="10"/>
        <v/>
      </c>
      <c r="CH51" s="20" t="str" cm="1">
        <f t="array" ref="CH51">IF(OR($A51="",$BZ51="",$BW51="",$BX51=""),"",_xlfn.LET(_xlpm.mag,IFERROR(_xlfn.XLOOKUP($BX51,Race_Raceway,Race_Mag),""),IF(_xlpm.mag="","",IFERROR(INDEX(Cond_Table,MATCH($BZ51,Cond_Size,0),IF(UPPER($BW51)="AL",IF(_xlpm.mag="Y",10,12),IF(_xlpm.mag="Y",9,11))),""))))</f>
        <v/>
      </c>
      <c r="CI51" s="20" t="str">
        <f t="shared" si="11"/>
        <v/>
      </c>
      <c r="CJ51" s="20" t="str">
        <f>IF(OR($A51="",LEFT($A51,2)&lt;&gt;"T-"),"",IFERROR(_xlfn.LET(_xlpm.fla,_xlfn.XLOOKUP($A51,Transformers!$A$6:$A$105,Transformers!$AK$6:$AK$105),_xlpm.z,_xlfn.XLOOKUP($A51,Transformers!$A$6:$A$105,Transformers!$AX$6:$AX$105),IF(OR(_xlpm.fla="",_xlpm.z="",_xlpm.z=0),"",_xlpm.fla*100/_xlpm.z)),""))</f>
        <v/>
      </c>
      <c r="CK51" s="20" t="str">
        <f t="shared" si="14"/>
        <v/>
      </c>
      <c r="CL51" s="20" t="str">
        <f t="shared" si="15"/>
        <v/>
      </c>
      <c r="CM51" s="373"/>
      <c r="CO51" s="20" t="str">
        <f>IF(OR($A51="",LEFT($A51,2)&lt;&gt;"T-"),"",_xlfn.LET(_xlpm.ph,IFERROR(_xlfn.XLOOKUP($A51,Transformers!$A$6:$A$105,Transformers!$C$6:$C$105),""),_xlpm.rr,IFERROR(_xlfn.XLOOKUP($A51,Transformers!$A$6:$A$105,Transformers!$AG$6:$AG$105),""),_xlpm.xx,IFERROR(_xlfn.XLOOKUP($A51,Transformers!$A$6:$A$105,Transformers!$AI$6:$AI$105),""),IF(OR(_xlpm.ph&lt;&gt;1,NOT(ISNUMBER(_xlpm.rr)),NOT(ISNUMBER(_xlpm.xx))),"",SQRT((1.5*_xlpm.rr)^2+(1.2*_xlpm.xx)^2))))</f>
        <v/>
      </c>
      <c r="CP51" s="20" t="str">
        <f t="shared" si="16"/>
        <v/>
      </c>
    </row>
    <row r="52" spans="1:94" ht="15" customHeight="1" x14ac:dyDescent="0.45">
      <c r="A52" s="275" t="str" cm="1">
        <f t="array" ref="A52">IFERROR(IF(INDEX(_xlfn.ANCHORARRAY($BK$4),ROW()-5,1)="","",INDEX(_xlfn.ANCHORARRAY($BK$4),ROW()-5,1)),"")</f>
        <v/>
      </c>
      <c r="B52" s="25" t="str" cm="1">
        <f t="array" ref="B52">IFERROR(IF($A52="","",INDEX(_xlfn.ANCHORARRAY($BK$4),ROW()-5,5)),"")</f>
        <v/>
      </c>
      <c r="C52" s="178" t="str" cm="1">
        <f t="array" ref="C52">IFERROR(IF($A52="","",INDEX(_xlfn.ANCHORARRAY($BK$4),ROW()-5,7)),"")</f>
        <v/>
      </c>
      <c r="D52" s="177" t="str" cm="1">
        <f t="array" ref="D52">IFERROR(IF($A52="","",INDEX(_xlfn.ANCHORARRAY($BK$4),ROW()-5,3)),"")</f>
        <v/>
      </c>
      <c r="E52" s="25" t="str" cm="1">
        <f t="array" ref="E52">IFERROR(IF($A52="","",INDEX(_xlfn.ANCHORARRAY($BK$4),ROW()-5,2)),"")</f>
        <v/>
      </c>
      <c r="F52" s="177" t="str">
        <f t="shared" si="0"/>
        <v/>
      </c>
      <c r="G52" s="275" t="str">
        <f t="shared" si="1"/>
        <v/>
      </c>
      <c r="H52" s="180" t="str">
        <f t="shared" si="2"/>
        <v/>
      </c>
      <c r="I52" s="180" t="str">
        <f t="shared" si="3"/>
        <v/>
      </c>
      <c r="J52" s="177" t="str">
        <f>_xlfn.LET(_xlpm.v,_xlfn.LET(_xlpm.base,IF($A52="","",IF($C52=0,IFERROR(_xlfn.XLOOKUP($A52,Util_Tags,Util_SCAEff),""),IF(LEFT($A52,2)="T-",IF($CJ52="","",$CJ52/(1+IF($CL52="",0,$CL52))),IF(OR($F52="",$I52=""),"",$F52*$I52)))),_xlpm.gtag,IF(OR($A52="",NOT(OR($B52="ATS",$B52="MTS"))),"",IFERROR(_xlfn.XLOOKUP($A52,Dashboard!$A$101:$A$350,Dashboard!$L$101:$L$350,"")&amp;"","")),_xlpm.gkva,IF(_xlpm.gtag="",0,IFERROR(N(_xlfn.XLOOKUP(_xlpm.gtag,Generator!$B$53:$B$58,Generator!$S$53:$S$58,0)),0)),_xlpm.gxd,IF(_xlpm.gtag="",0,IFERROR(N(_xlfn.XLOOKUP(_xlpm.gtag,Generator!$B$53:$B$58,Generator!$U$53:$U$58,0)),0)),_xlpm.gamp,IF(OR(_xlpm.gkva=0,_xlpm.gxd=0,N($D52)=0),0,ROUND(_xlpm.gkva*1000/(IF(N($CB52)=1,1,SQRT(3))*$D52*_xlpm.gxd),0)),IF(OR(_xlpm.gamp=0,NOT(ISNUMBER(_xlpm.base))),_xlpm.base,MAX(_xlpm.base,_xlpm.gamp))),_xlpm.ulim,IF(OR($A52="",$B52&lt;&gt;"UPS"),"",IFERROR(IF(_xlfn.XLOOKUP($A52,UPS!$B$57:$B$64,UPS!$E$57:$E$64,"")="None",_xlfn.XLOOKUP($A52,UPS!$B$57:$B$64,UPS!$U$57:$U$64,""),""),"")),IF(AND(ISNUMBER(_xlpm.v),ISNUMBER(_xlpm.ulim)),MIN(_xlpm.v,_xlpm.ulim),_xlpm.v))</f>
        <v/>
      </c>
      <c r="K52" s="176"/>
      <c r="L52" s="177" t="str">
        <f t="shared" si="4"/>
        <v/>
      </c>
      <c r="M52" s="177" t="str">
        <f t="shared" si="5"/>
        <v/>
      </c>
      <c r="N52" s="380" t="str">
        <f>IF($A52="","",IF($C52=0,_xlfn.LET(_xlpm.x,IFERROR(_xlfn.XLOOKUP($A52,Util_Tags,Util_XR),""),IF(N(_xlpm.x)=0,Xfmr_DefXR,_xlpm.x)),IF(LEFT($A52,2)="T-",IFERROR(_xlfn.XLOOKUP($A52,Transformers!$A$6:$A$105,Transformers!$AH$6:$AH$105),Xfmr_DefXR),IFERROR(_xlfn.XLOOKUP($E52,$A$6:$A$255,$N$6:$N$255),Xfmr_DefXR))))</f>
        <v/>
      </c>
      <c r="O52" s="177" t="str">
        <f t="shared" si="6"/>
        <v/>
      </c>
      <c r="P52" s="210" t="str">
        <f>IF($A52="","",IF(LEFT($A52,2)="T-",IF($CO52="","",_xlfn.LET(_xlpm.k,IFERROR(_xlfn.XLOOKUP($A52,Transformers!$A$6:$A$105,Transformers!$G$6:$G$105),""),_xlpm.sv,IFERROR(_xlfn.XLOOKUP($A52,Transformers!$A$6:$A$105,Transformers!$E$6:$E$105),""),IF(OR(NOT(ISNUMBER(_xlpm.k)),NOT(ISNUMBER(_xlpm.sv)),_xlpm.sv=0),"",_xlfn.LET(_xlpm.iInf,(_xlpm.k*1000/(_xlpm.sv/2))*100/$CO52,_xlpm.pri,IF(OR($CK52="",$CK52=0),"",$CK52/2),_xlpm.base,IF(_xlpm.pri="",_xlpm.iInf,_xlpm.iInf/(1+_xlpm.iInf/_xlpm.pri)),_xlpm.base+IF($L52="",0,$L52))))),IF($CP52="","",_xlfn.LET(_xlpm.pI,IFERROR(_xlfn.XLOOKUP($E52,$A$6:$A$255,$P$6:$P$255),""),IF(NOT(ISNUMBER(_xlpm.pI)),"",_xlpm.pI/(1+$CP52)+IF($L52="",0,$L52))))))</f>
        <v/>
      </c>
      <c r="Q52" s="210" t="str">
        <f t="shared" si="7"/>
        <v/>
      </c>
      <c r="R52" s="177" t="str">
        <f>IF($A52="","",IF(OR($C52=0,LEFT($A52,2)="T-"),"",IFERROR(_xlfn.LET(_xlpm.v,_xlfn.XLOOKUP($A52,Dashboard!$A$101:$A$350,Dashboard!$K$101:$K$350),IF(ISNUMBER(_xlpm.v),_xlpm.v,"")),"")))</f>
        <v/>
      </c>
      <c r="S52" s="211" t="str">
        <f t="shared" si="8"/>
        <v/>
      </c>
      <c r="T52" s="25" t="str">
        <f t="shared" si="9"/>
        <v/>
      </c>
      <c r="U52" s="364"/>
      <c r="BV52" s="20" t="str">
        <f>IF($A52="","",IFERROR(_xlfn.XLOOKUP("F-"&amp;$A52,'Feeder Schedule'!$B$5:$B$254,'Feeder Schedule'!$H$5:$H$254),""))</f>
        <v/>
      </c>
      <c r="BW52" s="20" t="str">
        <f>IF($A52="","",IFERROR(_xlfn.XLOOKUP("F-"&amp;$A52,'Feeder Schedule'!$B$5:$B$254,'Feeder Schedule'!$BV$5:$BV$254),""))</f>
        <v/>
      </c>
      <c r="BX52" s="20" t="str">
        <f>IF($A52="","",IFERROR(_xlfn.LET(_xlpm.v,_xlfn.XLOOKUP("F-"&amp;$A52,'Feeder Schedule'!$B$5:$B$254,'Feeder Schedule'!$M$5:$M$254),IF(OR(_xlpm.v="",_xlpm.v=0),Cfg_Conduit,_xlpm.v)),""))</f>
        <v/>
      </c>
      <c r="BY52" s="20" t="str">
        <f>IF($A52="","",IFERROR(_xlfn.XLOOKUP("F-"&amp;$A52,'Feeder Schedule'!$B$5:$B$254,'Feeder Schedule'!$O$5:$O$254),""))</f>
        <v/>
      </c>
      <c r="BZ52" s="20" t="str">
        <f>IF($A52="","",IFERROR(_xlfn.XLOOKUP("F-"&amp;$A52,'Feeder Schedule'!$B$5:$B$254,'Feeder Schedule'!$CH$5:$CH$254),""))</f>
        <v/>
      </c>
      <c r="CA52" s="20" t="str">
        <f>IF($A52="","",IFERROR(_xlfn.XLOOKUP("F-"&amp;$A52,'Feeder Schedule'!$B$5:$B$254,'Feeder Schedule'!$F$5:$F$254),""))</f>
        <v/>
      </c>
      <c r="CB52" s="20" t="str">
        <f>IF($A52="","",IFERROR(_xlfn.XLOOKUP("F-"&amp;$A52,'Feeder Schedule'!$B$5:$B$254,'Feeder Schedule'!$G$5:$G$254),""))</f>
        <v/>
      </c>
      <c r="CD52" s="20" t="str" cm="1">
        <f t="array" ref="CD52">IFERROR(IF($A52="","",INDEX(_xlfn.ANCHORARRAY($BK$4),ROW()-5,6)),"")</f>
        <v/>
      </c>
      <c r="CE52" s="20" t="str">
        <f t="shared" si="12"/>
        <v/>
      </c>
      <c r="CF52" s="20" t="str">
        <f t="shared" si="13"/>
        <v/>
      </c>
      <c r="CG52" s="20" t="str">
        <f t="shared" si="10"/>
        <v/>
      </c>
      <c r="CH52" s="20" t="str" cm="1">
        <f t="array" ref="CH52">IF(OR($A52="",$BZ52="",$BW52="",$BX52=""),"",_xlfn.LET(_xlpm.mag,IFERROR(_xlfn.XLOOKUP($BX52,Race_Raceway,Race_Mag),""),IF(_xlpm.mag="","",IFERROR(INDEX(Cond_Table,MATCH($BZ52,Cond_Size,0),IF(UPPER($BW52)="AL",IF(_xlpm.mag="Y",10,12),IF(_xlpm.mag="Y",9,11))),""))))</f>
        <v/>
      </c>
      <c r="CI52" s="20" t="str">
        <f t="shared" si="11"/>
        <v/>
      </c>
      <c r="CJ52" s="20" t="str">
        <f>IF(OR($A52="",LEFT($A52,2)&lt;&gt;"T-"),"",IFERROR(_xlfn.LET(_xlpm.fla,_xlfn.XLOOKUP($A52,Transformers!$A$6:$A$105,Transformers!$AK$6:$AK$105),_xlpm.z,_xlfn.XLOOKUP($A52,Transformers!$A$6:$A$105,Transformers!$AX$6:$AX$105),IF(OR(_xlpm.fla="",_xlpm.z="",_xlpm.z=0),"",_xlpm.fla*100/_xlpm.z)),""))</f>
        <v/>
      </c>
      <c r="CK52" s="20" t="str">
        <f t="shared" si="14"/>
        <v/>
      </c>
      <c r="CL52" s="20" t="str">
        <f t="shared" si="15"/>
        <v/>
      </c>
      <c r="CM52" s="373"/>
      <c r="CO52" s="20" t="str">
        <f>IF(OR($A52="",LEFT($A52,2)&lt;&gt;"T-"),"",_xlfn.LET(_xlpm.ph,IFERROR(_xlfn.XLOOKUP($A52,Transformers!$A$6:$A$105,Transformers!$C$6:$C$105),""),_xlpm.rr,IFERROR(_xlfn.XLOOKUP($A52,Transformers!$A$6:$A$105,Transformers!$AG$6:$AG$105),""),_xlpm.xx,IFERROR(_xlfn.XLOOKUP($A52,Transformers!$A$6:$A$105,Transformers!$AI$6:$AI$105),""),IF(OR(_xlpm.ph&lt;&gt;1,NOT(ISNUMBER(_xlpm.rr)),NOT(ISNUMBER(_xlpm.xx))),"",SQRT((1.5*_xlpm.rr)^2+(1.2*_xlpm.xx)^2))))</f>
        <v/>
      </c>
      <c r="CP52" s="20" t="str">
        <f t="shared" si="16"/>
        <v/>
      </c>
    </row>
    <row r="53" spans="1:94" ht="15" customHeight="1" x14ac:dyDescent="0.45">
      <c r="A53" s="275" t="str" cm="1">
        <f t="array" ref="A53">IFERROR(IF(INDEX(_xlfn.ANCHORARRAY($BK$4),ROW()-5,1)="","",INDEX(_xlfn.ANCHORARRAY($BK$4),ROW()-5,1)),"")</f>
        <v/>
      </c>
      <c r="B53" s="25" t="str" cm="1">
        <f t="array" ref="B53">IFERROR(IF($A53="","",INDEX(_xlfn.ANCHORARRAY($BK$4),ROW()-5,5)),"")</f>
        <v/>
      </c>
      <c r="C53" s="178" t="str" cm="1">
        <f t="array" ref="C53">IFERROR(IF($A53="","",INDEX(_xlfn.ANCHORARRAY($BK$4),ROW()-5,7)),"")</f>
        <v/>
      </c>
      <c r="D53" s="177" t="str" cm="1">
        <f t="array" ref="D53">IFERROR(IF($A53="","",INDEX(_xlfn.ANCHORARRAY($BK$4),ROW()-5,3)),"")</f>
        <v/>
      </c>
      <c r="E53" s="25" t="str" cm="1">
        <f t="array" ref="E53">IFERROR(IF($A53="","",INDEX(_xlfn.ANCHORARRAY($BK$4),ROW()-5,2)),"")</f>
        <v/>
      </c>
      <c r="F53" s="177" t="str">
        <f t="shared" si="0"/>
        <v/>
      </c>
      <c r="G53" s="275" t="str">
        <f t="shared" si="1"/>
        <v/>
      </c>
      <c r="H53" s="180" t="str">
        <f t="shared" si="2"/>
        <v/>
      </c>
      <c r="I53" s="180" t="str">
        <f t="shared" si="3"/>
        <v/>
      </c>
      <c r="J53" s="177" t="str">
        <f>_xlfn.LET(_xlpm.v,_xlfn.LET(_xlpm.base,IF($A53="","",IF($C53=0,IFERROR(_xlfn.XLOOKUP($A53,Util_Tags,Util_SCAEff),""),IF(LEFT($A53,2)="T-",IF($CJ53="","",$CJ53/(1+IF($CL53="",0,$CL53))),IF(OR($F53="",$I53=""),"",$F53*$I53)))),_xlpm.gtag,IF(OR($A53="",NOT(OR($B53="ATS",$B53="MTS"))),"",IFERROR(_xlfn.XLOOKUP($A53,Dashboard!$A$101:$A$350,Dashboard!$L$101:$L$350,"")&amp;"","")),_xlpm.gkva,IF(_xlpm.gtag="",0,IFERROR(N(_xlfn.XLOOKUP(_xlpm.gtag,Generator!$B$53:$B$58,Generator!$S$53:$S$58,0)),0)),_xlpm.gxd,IF(_xlpm.gtag="",0,IFERROR(N(_xlfn.XLOOKUP(_xlpm.gtag,Generator!$B$53:$B$58,Generator!$U$53:$U$58,0)),0)),_xlpm.gamp,IF(OR(_xlpm.gkva=0,_xlpm.gxd=0,N($D53)=0),0,ROUND(_xlpm.gkva*1000/(IF(N($CB53)=1,1,SQRT(3))*$D53*_xlpm.gxd),0)),IF(OR(_xlpm.gamp=0,NOT(ISNUMBER(_xlpm.base))),_xlpm.base,MAX(_xlpm.base,_xlpm.gamp))),_xlpm.ulim,IF(OR($A53="",$B53&lt;&gt;"UPS"),"",IFERROR(IF(_xlfn.XLOOKUP($A53,UPS!$B$57:$B$64,UPS!$E$57:$E$64,"")="None",_xlfn.XLOOKUP($A53,UPS!$B$57:$B$64,UPS!$U$57:$U$64,""),""),"")),IF(AND(ISNUMBER(_xlpm.v),ISNUMBER(_xlpm.ulim)),MIN(_xlpm.v,_xlpm.ulim),_xlpm.v))</f>
        <v/>
      </c>
      <c r="K53" s="176"/>
      <c r="L53" s="177" t="str">
        <f t="shared" si="4"/>
        <v/>
      </c>
      <c r="M53" s="177" t="str">
        <f t="shared" si="5"/>
        <v/>
      </c>
      <c r="N53" s="380" t="str">
        <f>IF($A53="","",IF($C53=0,_xlfn.LET(_xlpm.x,IFERROR(_xlfn.XLOOKUP($A53,Util_Tags,Util_XR),""),IF(N(_xlpm.x)=0,Xfmr_DefXR,_xlpm.x)),IF(LEFT($A53,2)="T-",IFERROR(_xlfn.XLOOKUP($A53,Transformers!$A$6:$A$105,Transformers!$AH$6:$AH$105),Xfmr_DefXR),IFERROR(_xlfn.XLOOKUP($E53,$A$6:$A$255,$N$6:$N$255),Xfmr_DefXR))))</f>
        <v/>
      </c>
      <c r="O53" s="177" t="str">
        <f t="shared" si="6"/>
        <v/>
      </c>
      <c r="P53" s="210" t="str">
        <f>IF($A53="","",IF(LEFT($A53,2)="T-",IF($CO53="","",_xlfn.LET(_xlpm.k,IFERROR(_xlfn.XLOOKUP($A53,Transformers!$A$6:$A$105,Transformers!$G$6:$G$105),""),_xlpm.sv,IFERROR(_xlfn.XLOOKUP($A53,Transformers!$A$6:$A$105,Transformers!$E$6:$E$105),""),IF(OR(NOT(ISNUMBER(_xlpm.k)),NOT(ISNUMBER(_xlpm.sv)),_xlpm.sv=0),"",_xlfn.LET(_xlpm.iInf,(_xlpm.k*1000/(_xlpm.sv/2))*100/$CO53,_xlpm.pri,IF(OR($CK53="",$CK53=0),"",$CK53/2),_xlpm.base,IF(_xlpm.pri="",_xlpm.iInf,_xlpm.iInf/(1+_xlpm.iInf/_xlpm.pri)),_xlpm.base+IF($L53="",0,$L53))))),IF($CP53="","",_xlfn.LET(_xlpm.pI,IFERROR(_xlfn.XLOOKUP($E53,$A$6:$A$255,$P$6:$P$255),""),IF(NOT(ISNUMBER(_xlpm.pI)),"",_xlpm.pI/(1+$CP53)+IF($L53="",0,$L53))))))</f>
        <v/>
      </c>
      <c r="Q53" s="210" t="str">
        <f t="shared" si="7"/>
        <v/>
      </c>
      <c r="R53" s="177" t="str">
        <f>IF($A53="","",IF(OR($C53=0,LEFT($A53,2)="T-"),"",IFERROR(_xlfn.LET(_xlpm.v,_xlfn.XLOOKUP($A53,Dashboard!$A$101:$A$350,Dashboard!$K$101:$K$350),IF(ISNUMBER(_xlpm.v),_xlpm.v,"")),"")))</f>
        <v/>
      </c>
      <c r="S53" s="211" t="str">
        <f t="shared" si="8"/>
        <v/>
      </c>
      <c r="T53" s="25" t="str">
        <f t="shared" si="9"/>
        <v/>
      </c>
      <c r="U53" s="364"/>
      <c r="BV53" s="20" t="str">
        <f>IF($A53="","",IFERROR(_xlfn.XLOOKUP("F-"&amp;$A53,'Feeder Schedule'!$B$5:$B$254,'Feeder Schedule'!$H$5:$H$254),""))</f>
        <v/>
      </c>
      <c r="BW53" s="20" t="str">
        <f>IF($A53="","",IFERROR(_xlfn.XLOOKUP("F-"&amp;$A53,'Feeder Schedule'!$B$5:$B$254,'Feeder Schedule'!$BV$5:$BV$254),""))</f>
        <v/>
      </c>
      <c r="BX53" s="20" t="str">
        <f>IF($A53="","",IFERROR(_xlfn.LET(_xlpm.v,_xlfn.XLOOKUP("F-"&amp;$A53,'Feeder Schedule'!$B$5:$B$254,'Feeder Schedule'!$M$5:$M$254),IF(OR(_xlpm.v="",_xlpm.v=0),Cfg_Conduit,_xlpm.v)),""))</f>
        <v/>
      </c>
      <c r="BY53" s="20" t="str">
        <f>IF($A53="","",IFERROR(_xlfn.XLOOKUP("F-"&amp;$A53,'Feeder Schedule'!$B$5:$B$254,'Feeder Schedule'!$O$5:$O$254),""))</f>
        <v/>
      </c>
      <c r="BZ53" s="20" t="str">
        <f>IF($A53="","",IFERROR(_xlfn.XLOOKUP("F-"&amp;$A53,'Feeder Schedule'!$B$5:$B$254,'Feeder Schedule'!$CH$5:$CH$254),""))</f>
        <v/>
      </c>
      <c r="CA53" s="20" t="str">
        <f>IF($A53="","",IFERROR(_xlfn.XLOOKUP("F-"&amp;$A53,'Feeder Schedule'!$B$5:$B$254,'Feeder Schedule'!$F$5:$F$254),""))</f>
        <v/>
      </c>
      <c r="CB53" s="20" t="str">
        <f>IF($A53="","",IFERROR(_xlfn.XLOOKUP("F-"&amp;$A53,'Feeder Schedule'!$B$5:$B$254,'Feeder Schedule'!$G$5:$G$254),""))</f>
        <v/>
      </c>
      <c r="CD53" s="20" t="str" cm="1">
        <f t="array" ref="CD53">IFERROR(IF($A53="","",INDEX(_xlfn.ANCHORARRAY($BK$4),ROW()-5,6)),"")</f>
        <v/>
      </c>
      <c r="CE53" s="20" t="str">
        <f t="shared" si="12"/>
        <v/>
      </c>
      <c r="CF53" s="20" t="str">
        <f t="shared" si="13"/>
        <v/>
      </c>
      <c r="CG53" s="20" t="str">
        <f t="shared" si="10"/>
        <v/>
      </c>
      <c r="CH53" s="20" t="str" cm="1">
        <f t="array" ref="CH53">IF(OR($A53="",$BZ53="",$BW53="",$BX53=""),"",_xlfn.LET(_xlpm.mag,IFERROR(_xlfn.XLOOKUP($BX53,Race_Raceway,Race_Mag),""),IF(_xlpm.mag="","",IFERROR(INDEX(Cond_Table,MATCH($BZ53,Cond_Size,0),IF(UPPER($BW53)="AL",IF(_xlpm.mag="Y",10,12),IF(_xlpm.mag="Y",9,11))),""))))</f>
        <v/>
      </c>
      <c r="CI53" s="20" t="str">
        <f t="shared" si="11"/>
        <v/>
      </c>
      <c r="CJ53" s="20" t="str">
        <f>IF(OR($A53="",LEFT($A53,2)&lt;&gt;"T-"),"",IFERROR(_xlfn.LET(_xlpm.fla,_xlfn.XLOOKUP($A53,Transformers!$A$6:$A$105,Transformers!$AK$6:$AK$105),_xlpm.z,_xlfn.XLOOKUP($A53,Transformers!$A$6:$A$105,Transformers!$AX$6:$AX$105),IF(OR(_xlpm.fla="",_xlpm.z="",_xlpm.z=0),"",_xlpm.fla*100/_xlpm.z)),""))</f>
        <v/>
      </c>
      <c r="CK53" s="20" t="str">
        <f t="shared" si="14"/>
        <v/>
      </c>
      <c r="CL53" s="20" t="str">
        <f t="shared" si="15"/>
        <v/>
      </c>
      <c r="CM53" s="373"/>
      <c r="CO53" s="20" t="str">
        <f>IF(OR($A53="",LEFT($A53,2)&lt;&gt;"T-"),"",_xlfn.LET(_xlpm.ph,IFERROR(_xlfn.XLOOKUP($A53,Transformers!$A$6:$A$105,Transformers!$C$6:$C$105),""),_xlpm.rr,IFERROR(_xlfn.XLOOKUP($A53,Transformers!$A$6:$A$105,Transformers!$AG$6:$AG$105),""),_xlpm.xx,IFERROR(_xlfn.XLOOKUP($A53,Transformers!$A$6:$A$105,Transformers!$AI$6:$AI$105),""),IF(OR(_xlpm.ph&lt;&gt;1,NOT(ISNUMBER(_xlpm.rr)),NOT(ISNUMBER(_xlpm.xx))),"",SQRT((1.5*_xlpm.rr)^2+(1.2*_xlpm.xx)^2))))</f>
        <v/>
      </c>
      <c r="CP53" s="20" t="str">
        <f t="shared" si="16"/>
        <v/>
      </c>
    </row>
    <row r="54" spans="1:94" ht="15" customHeight="1" x14ac:dyDescent="0.45">
      <c r="A54" s="275" t="str" cm="1">
        <f t="array" ref="A54">IFERROR(IF(INDEX(_xlfn.ANCHORARRAY($BK$4),ROW()-5,1)="","",INDEX(_xlfn.ANCHORARRAY($BK$4),ROW()-5,1)),"")</f>
        <v/>
      </c>
      <c r="B54" s="25" t="str" cm="1">
        <f t="array" ref="B54">IFERROR(IF($A54="","",INDEX(_xlfn.ANCHORARRAY($BK$4),ROW()-5,5)),"")</f>
        <v/>
      </c>
      <c r="C54" s="178" t="str" cm="1">
        <f t="array" ref="C54">IFERROR(IF($A54="","",INDEX(_xlfn.ANCHORARRAY($BK$4),ROW()-5,7)),"")</f>
        <v/>
      </c>
      <c r="D54" s="177" t="str" cm="1">
        <f t="array" ref="D54">IFERROR(IF($A54="","",INDEX(_xlfn.ANCHORARRAY($BK$4),ROW()-5,3)),"")</f>
        <v/>
      </c>
      <c r="E54" s="25" t="str" cm="1">
        <f t="array" ref="E54">IFERROR(IF($A54="","",INDEX(_xlfn.ANCHORARRAY($BK$4),ROW()-5,2)),"")</f>
        <v/>
      </c>
      <c r="F54" s="177" t="str">
        <f t="shared" si="0"/>
        <v/>
      </c>
      <c r="G54" s="275" t="str">
        <f t="shared" si="1"/>
        <v/>
      </c>
      <c r="H54" s="180" t="str">
        <f t="shared" si="2"/>
        <v/>
      </c>
      <c r="I54" s="180" t="str">
        <f t="shared" si="3"/>
        <v/>
      </c>
      <c r="J54" s="177" t="str">
        <f>_xlfn.LET(_xlpm.v,_xlfn.LET(_xlpm.base,IF($A54="","",IF($C54=0,IFERROR(_xlfn.XLOOKUP($A54,Util_Tags,Util_SCAEff),""),IF(LEFT($A54,2)="T-",IF($CJ54="","",$CJ54/(1+IF($CL54="",0,$CL54))),IF(OR($F54="",$I54=""),"",$F54*$I54)))),_xlpm.gtag,IF(OR($A54="",NOT(OR($B54="ATS",$B54="MTS"))),"",IFERROR(_xlfn.XLOOKUP($A54,Dashboard!$A$101:$A$350,Dashboard!$L$101:$L$350,"")&amp;"","")),_xlpm.gkva,IF(_xlpm.gtag="",0,IFERROR(N(_xlfn.XLOOKUP(_xlpm.gtag,Generator!$B$53:$B$58,Generator!$S$53:$S$58,0)),0)),_xlpm.gxd,IF(_xlpm.gtag="",0,IFERROR(N(_xlfn.XLOOKUP(_xlpm.gtag,Generator!$B$53:$B$58,Generator!$U$53:$U$58,0)),0)),_xlpm.gamp,IF(OR(_xlpm.gkva=0,_xlpm.gxd=0,N($D54)=0),0,ROUND(_xlpm.gkva*1000/(IF(N($CB54)=1,1,SQRT(3))*$D54*_xlpm.gxd),0)),IF(OR(_xlpm.gamp=0,NOT(ISNUMBER(_xlpm.base))),_xlpm.base,MAX(_xlpm.base,_xlpm.gamp))),_xlpm.ulim,IF(OR($A54="",$B54&lt;&gt;"UPS"),"",IFERROR(IF(_xlfn.XLOOKUP($A54,UPS!$B$57:$B$64,UPS!$E$57:$E$64,"")="None",_xlfn.XLOOKUP($A54,UPS!$B$57:$B$64,UPS!$U$57:$U$64,""),""),"")),IF(AND(ISNUMBER(_xlpm.v),ISNUMBER(_xlpm.ulim)),MIN(_xlpm.v,_xlpm.ulim),_xlpm.v))</f>
        <v/>
      </c>
      <c r="K54" s="176"/>
      <c r="L54" s="177" t="str">
        <f t="shared" si="4"/>
        <v/>
      </c>
      <c r="M54" s="177" t="str">
        <f t="shared" si="5"/>
        <v/>
      </c>
      <c r="N54" s="380" t="str">
        <f>IF($A54="","",IF($C54=0,_xlfn.LET(_xlpm.x,IFERROR(_xlfn.XLOOKUP($A54,Util_Tags,Util_XR),""),IF(N(_xlpm.x)=0,Xfmr_DefXR,_xlpm.x)),IF(LEFT($A54,2)="T-",IFERROR(_xlfn.XLOOKUP($A54,Transformers!$A$6:$A$105,Transformers!$AH$6:$AH$105),Xfmr_DefXR),IFERROR(_xlfn.XLOOKUP($E54,$A$6:$A$255,$N$6:$N$255),Xfmr_DefXR))))</f>
        <v/>
      </c>
      <c r="O54" s="177" t="str">
        <f t="shared" si="6"/>
        <v/>
      </c>
      <c r="P54" s="210" t="str">
        <f>IF($A54="","",IF(LEFT($A54,2)="T-",IF($CO54="","",_xlfn.LET(_xlpm.k,IFERROR(_xlfn.XLOOKUP($A54,Transformers!$A$6:$A$105,Transformers!$G$6:$G$105),""),_xlpm.sv,IFERROR(_xlfn.XLOOKUP($A54,Transformers!$A$6:$A$105,Transformers!$E$6:$E$105),""),IF(OR(NOT(ISNUMBER(_xlpm.k)),NOT(ISNUMBER(_xlpm.sv)),_xlpm.sv=0),"",_xlfn.LET(_xlpm.iInf,(_xlpm.k*1000/(_xlpm.sv/2))*100/$CO54,_xlpm.pri,IF(OR($CK54="",$CK54=0),"",$CK54/2),_xlpm.base,IF(_xlpm.pri="",_xlpm.iInf,_xlpm.iInf/(1+_xlpm.iInf/_xlpm.pri)),_xlpm.base+IF($L54="",0,$L54))))),IF($CP54="","",_xlfn.LET(_xlpm.pI,IFERROR(_xlfn.XLOOKUP($E54,$A$6:$A$255,$P$6:$P$255),""),IF(NOT(ISNUMBER(_xlpm.pI)),"",_xlpm.pI/(1+$CP54)+IF($L54="",0,$L54))))))</f>
        <v/>
      </c>
      <c r="Q54" s="210" t="str">
        <f t="shared" si="7"/>
        <v/>
      </c>
      <c r="R54" s="177" t="str">
        <f>IF($A54="","",IF(OR($C54=0,LEFT($A54,2)="T-"),"",IFERROR(_xlfn.LET(_xlpm.v,_xlfn.XLOOKUP($A54,Dashboard!$A$101:$A$350,Dashboard!$K$101:$K$350),IF(ISNUMBER(_xlpm.v),_xlpm.v,"")),"")))</f>
        <v/>
      </c>
      <c r="S54" s="211" t="str">
        <f t="shared" si="8"/>
        <v/>
      </c>
      <c r="T54" s="25" t="str">
        <f t="shared" si="9"/>
        <v/>
      </c>
      <c r="U54" s="364"/>
      <c r="BV54" s="20" t="str">
        <f>IF($A54="","",IFERROR(_xlfn.XLOOKUP("F-"&amp;$A54,'Feeder Schedule'!$B$5:$B$254,'Feeder Schedule'!$H$5:$H$254),""))</f>
        <v/>
      </c>
      <c r="BW54" s="20" t="str">
        <f>IF($A54="","",IFERROR(_xlfn.XLOOKUP("F-"&amp;$A54,'Feeder Schedule'!$B$5:$B$254,'Feeder Schedule'!$BV$5:$BV$254),""))</f>
        <v/>
      </c>
      <c r="BX54" s="20" t="str">
        <f>IF($A54="","",IFERROR(_xlfn.LET(_xlpm.v,_xlfn.XLOOKUP("F-"&amp;$A54,'Feeder Schedule'!$B$5:$B$254,'Feeder Schedule'!$M$5:$M$254),IF(OR(_xlpm.v="",_xlpm.v=0),Cfg_Conduit,_xlpm.v)),""))</f>
        <v/>
      </c>
      <c r="BY54" s="20" t="str">
        <f>IF($A54="","",IFERROR(_xlfn.XLOOKUP("F-"&amp;$A54,'Feeder Schedule'!$B$5:$B$254,'Feeder Schedule'!$O$5:$O$254),""))</f>
        <v/>
      </c>
      <c r="BZ54" s="20" t="str">
        <f>IF($A54="","",IFERROR(_xlfn.XLOOKUP("F-"&amp;$A54,'Feeder Schedule'!$B$5:$B$254,'Feeder Schedule'!$CH$5:$CH$254),""))</f>
        <v/>
      </c>
      <c r="CA54" s="20" t="str">
        <f>IF($A54="","",IFERROR(_xlfn.XLOOKUP("F-"&amp;$A54,'Feeder Schedule'!$B$5:$B$254,'Feeder Schedule'!$F$5:$F$254),""))</f>
        <v/>
      </c>
      <c r="CB54" s="20" t="str">
        <f>IF($A54="","",IFERROR(_xlfn.XLOOKUP("F-"&amp;$A54,'Feeder Schedule'!$B$5:$B$254,'Feeder Schedule'!$G$5:$G$254),""))</f>
        <v/>
      </c>
      <c r="CD54" s="20" t="str" cm="1">
        <f t="array" ref="CD54">IFERROR(IF($A54="","",INDEX(_xlfn.ANCHORARRAY($BK$4),ROW()-5,6)),"")</f>
        <v/>
      </c>
      <c r="CE54" s="20" t="str">
        <f t="shared" si="12"/>
        <v/>
      </c>
      <c r="CF54" s="20" t="str">
        <f t="shared" si="13"/>
        <v/>
      </c>
      <c r="CG54" s="20" t="str">
        <f t="shared" si="10"/>
        <v/>
      </c>
      <c r="CH54" s="20" t="str" cm="1">
        <f t="array" ref="CH54">IF(OR($A54="",$BZ54="",$BW54="",$BX54=""),"",_xlfn.LET(_xlpm.mag,IFERROR(_xlfn.XLOOKUP($BX54,Race_Raceway,Race_Mag),""),IF(_xlpm.mag="","",IFERROR(INDEX(Cond_Table,MATCH($BZ54,Cond_Size,0),IF(UPPER($BW54)="AL",IF(_xlpm.mag="Y",10,12),IF(_xlpm.mag="Y",9,11))),""))))</f>
        <v/>
      </c>
      <c r="CI54" s="20" t="str">
        <f t="shared" si="11"/>
        <v/>
      </c>
      <c r="CJ54" s="20" t="str">
        <f>IF(OR($A54="",LEFT($A54,2)&lt;&gt;"T-"),"",IFERROR(_xlfn.LET(_xlpm.fla,_xlfn.XLOOKUP($A54,Transformers!$A$6:$A$105,Transformers!$AK$6:$AK$105),_xlpm.z,_xlfn.XLOOKUP($A54,Transformers!$A$6:$A$105,Transformers!$AX$6:$AX$105),IF(OR(_xlpm.fla="",_xlpm.z="",_xlpm.z=0),"",_xlpm.fla*100/_xlpm.z)),""))</f>
        <v/>
      </c>
      <c r="CK54" s="20" t="str">
        <f t="shared" si="14"/>
        <v/>
      </c>
      <c r="CL54" s="20" t="str">
        <f t="shared" si="15"/>
        <v/>
      </c>
      <c r="CM54" s="373"/>
      <c r="CO54" s="20" t="str">
        <f>IF(OR($A54="",LEFT($A54,2)&lt;&gt;"T-"),"",_xlfn.LET(_xlpm.ph,IFERROR(_xlfn.XLOOKUP($A54,Transformers!$A$6:$A$105,Transformers!$C$6:$C$105),""),_xlpm.rr,IFERROR(_xlfn.XLOOKUP($A54,Transformers!$A$6:$A$105,Transformers!$AG$6:$AG$105),""),_xlpm.xx,IFERROR(_xlfn.XLOOKUP($A54,Transformers!$A$6:$A$105,Transformers!$AI$6:$AI$105),""),IF(OR(_xlpm.ph&lt;&gt;1,NOT(ISNUMBER(_xlpm.rr)),NOT(ISNUMBER(_xlpm.xx))),"",SQRT((1.5*_xlpm.rr)^2+(1.2*_xlpm.xx)^2))))</f>
        <v/>
      </c>
      <c r="CP54" s="20" t="str">
        <f t="shared" si="16"/>
        <v/>
      </c>
    </row>
    <row r="55" spans="1:94" ht="15" customHeight="1" x14ac:dyDescent="0.45">
      <c r="A55" s="275" t="str" cm="1">
        <f t="array" ref="A55">IFERROR(IF(INDEX(_xlfn.ANCHORARRAY($BK$4),ROW()-5,1)="","",INDEX(_xlfn.ANCHORARRAY($BK$4),ROW()-5,1)),"")</f>
        <v/>
      </c>
      <c r="B55" s="25" t="str" cm="1">
        <f t="array" ref="B55">IFERROR(IF($A55="","",INDEX(_xlfn.ANCHORARRAY($BK$4),ROW()-5,5)),"")</f>
        <v/>
      </c>
      <c r="C55" s="178" t="str" cm="1">
        <f t="array" ref="C55">IFERROR(IF($A55="","",INDEX(_xlfn.ANCHORARRAY($BK$4),ROW()-5,7)),"")</f>
        <v/>
      </c>
      <c r="D55" s="177" t="str" cm="1">
        <f t="array" ref="D55">IFERROR(IF($A55="","",INDEX(_xlfn.ANCHORARRAY($BK$4),ROW()-5,3)),"")</f>
        <v/>
      </c>
      <c r="E55" s="25" t="str" cm="1">
        <f t="array" ref="E55">IFERROR(IF($A55="","",INDEX(_xlfn.ANCHORARRAY($BK$4),ROW()-5,2)),"")</f>
        <v/>
      </c>
      <c r="F55" s="177" t="str">
        <f t="shared" si="0"/>
        <v/>
      </c>
      <c r="G55" s="275" t="str">
        <f t="shared" si="1"/>
        <v/>
      </c>
      <c r="H55" s="180" t="str">
        <f t="shared" si="2"/>
        <v/>
      </c>
      <c r="I55" s="180" t="str">
        <f t="shared" si="3"/>
        <v/>
      </c>
      <c r="J55" s="177" t="str">
        <f>_xlfn.LET(_xlpm.v,_xlfn.LET(_xlpm.base,IF($A55="","",IF($C55=0,IFERROR(_xlfn.XLOOKUP($A55,Util_Tags,Util_SCAEff),""),IF(LEFT($A55,2)="T-",IF($CJ55="","",$CJ55/(1+IF($CL55="",0,$CL55))),IF(OR($F55="",$I55=""),"",$F55*$I55)))),_xlpm.gtag,IF(OR($A55="",NOT(OR($B55="ATS",$B55="MTS"))),"",IFERROR(_xlfn.XLOOKUP($A55,Dashboard!$A$101:$A$350,Dashboard!$L$101:$L$350,"")&amp;"","")),_xlpm.gkva,IF(_xlpm.gtag="",0,IFERROR(N(_xlfn.XLOOKUP(_xlpm.gtag,Generator!$B$53:$B$58,Generator!$S$53:$S$58,0)),0)),_xlpm.gxd,IF(_xlpm.gtag="",0,IFERROR(N(_xlfn.XLOOKUP(_xlpm.gtag,Generator!$B$53:$B$58,Generator!$U$53:$U$58,0)),0)),_xlpm.gamp,IF(OR(_xlpm.gkva=0,_xlpm.gxd=0,N($D55)=0),0,ROUND(_xlpm.gkva*1000/(IF(N($CB55)=1,1,SQRT(3))*$D55*_xlpm.gxd),0)),IF(OR(_xlpm.gamp=0,NOT(ISNUMBER(_xlpm.base))),_xlpm.base,MAX(_xlpm.base,_xlpm.gamp))),_xlpm.ulim,IF(OR($A55="",$B55&lt;&gt;"UPS"),"",IFERROR(IF(_xlfn.XLOOKUP($A55,UPS!$B$57:$B$64,UPS!$E$57:$E$64,"")="None",_xlfn.XLOOKUP($A55,UPS!$B$57:$B$64,UPS!$U$57:$U$64,""),""),"")),IF(AND(ISNUMBER(_xlpm.v),ISNUMBER(_xlpm.ulim)),MIN(_xlpm.v,_xlpm.ulim),_xlpm.v))</f>
        <v/>
      </c>
      <c r="K55" s="176"/>
      <c r="L55" s="177" t="str">
        <f t="shared" si="4"/>
        <v/>
      </c>
      <c r="M55" s="177" t="str">
        <f t="shared" si="5"/>
        <v/>
      </c>
      <c r="N55" s="380" t="str">
        <f>IF($A55="","",IF($C55=0,_xlfn.LET(_xlpm.x,IFERROR(_xlfn.XLOOKUP($A55,Util_Tags,Util_XR),""),IF(N(_xlpm.x)=0,Xfmr_DefXR,_xlpm.x)),IF(LEFT($A55,2)="T-",IFERROR(_xlfn.XLOOKUP($A55,Transformers!$A$6:$A$105,Transformers!$AH$6:$AH$105),Xfmr_DefXR),IFERROR(_xlfn.XLOOKUP($E55,$A$6:$A$255,$N$6:$N$255),Xfmr_DefXR))))</f>
        <v/>
      </c>
      <c r="O55" s="177" t="str">
        <f t="shared" si="6"/>
        <v/>
      </c>
      <c r="P55" s="210" t="str">
        <f>IF($A55="","",IF(LEFT($A55,2)="T-",IF($CO55="","",_xlfn.LET(_xlpm.k,IFERROR(_xlfn.XLOOKUP($A55,Transformers!$A$6:$A$105,Transformers!$G$6:$G$105),""),_xlpm.sv,IFERROR(_xlfn.XLOOKUP($A55,Transformers!$A$6:$A$105,Transformers!$E$6:$E$105),""),IF(OR(NOT(ISNUMBER(_xlpm.k)),NOT(ISNUMBER(_xlpm.sv)),_xlpm.sv=0),"",_xlfn.LET(_xlpm.iInf,(_xlpm.k*1000/(_xlpm.sv/2))*100/$CO55,_xlpm.pri,IF(OR($CK55="",$CK55=0),"",$CK55/2),_xlpm.base,IF(_xlpm.pri="",_xlpm.iInf,_xlpm.iInf/(1+_xlpm.iInf/_xlpm.pri)),_xlpm.base+IF($L55="",0,$L55))))),IF($CP55="","",_xlfn.LET(_xlpm.pI,IFERROR(_xlfn.XLOOKUP($E55,$A$6:$A$255,$P$6:$P$255),""),IF(NOT(ISNUMBER(_xlpm.pI)),"",_xlpm.pI/(1+$CP55)+IF($L55="",0,$L55))))))</f>
        <v/>
      </c>
      <c r="Q55" s="210" t="str">
        <f t="shared" si="7"/>
        <v/>
      </c>
      <c r="R55" s="177" t="str">
        <f>IF($A55="","",IF(OR($C55=0,LEFT($A55,2)="T-"),"",IFERROR(_xlfn.LET(_xlpm.v,_xlfn.XLOOKUP($A55,Dashboard!$A$101:$A$350,Dashboard!$K$101:$K$350),IF(ISNUMBER(_xlpm.v),_xlpm.v,"")),"")))</f>
        <v/>
      </c>
      <c r="S55" s="211" t="str">
        <f t="shared" si="8"/>
        <v/>
      </c>
      <c r="T55" s="25" t="str">
        <f t="shared" si="9"/>
        <v/>
      </c>
      <c r="U55" s="364"/>
      <c r="BV55" s="20" t="str">
        <f>IF($A55="","",IFERROR(_xlfn.XLOOKUP("F-"&amp;$A55,'Feeder Schedule'!$B$5:$B$254,'Feeder Schedule'!$H$5:$H$254),""))</f>
        <v/>
      </c>
      <c r="BW55" s="20" t="str">
        <f>IF($A55="","",IFERROR(_xlfn.XLOOKUP("F-"&amp;$A55,'Feeder Schedule'!$B$5:$B$254,'Feeder Schedule'!$BV$5:$BV$254),""))</f>
        <v/>
      </c>
      <c r="BX55" s="20" t="str">
        <f>IF($A55="","",IFERROR(_xlfn.LET(_xlpm.v,_xlfn.XLOOKUP("F-"&amp;$A55,'Feeder Schedule'!$B$5:$B$254,'Feeder Schedule'!$M$5:$M$254),IF(OR(_xlpm.v="",_xlpm.v=0),Cfg_Conduit,_xlpm.v)),""))</f>
        <v/>
      </c>
      <c r="BY55" s="20" t="str">
        <f>IF($A55="","",IFERROR(_xlfn.XLOOKUP("F-"&amp;$A55,'Feeder Schedule'!$B$5:$B$254,'Feeder Schedule'!$O$5:$O$254),""))</f>
        <v/>
      </c>
      <c r="BZ55" s="20" t="str">
        <f>IF($A55="","",IFERROR(_xlfn.XLOOKUP("F-"&amp;$A55,'Feeder Schedule'!$B$5:$B$254,'Feeder Schedule'!$CH$5:$CH$254),""))</f>
        <v/>
      </c>
      <c r="CA55" s="20" t="str">
        <f>IF($A55="","",IFERROR(_xlfn.XLOOKUP("F-"&amp;$A55,'Feeder Schedule'!$B$5:$B$254,'Feeder Schedule'!$F$5:$F$254),""))</f>
        <v/>
      </c>
      <c r="CB55" s="20" t="str">
        <f>IF($A55="","",IFERROR(_xlfn.XLOOKUP("F-"&amp;$A55,'Feeder Schedule'!$B$5:$B$254,'Feeder Schedule'!$G$5:$G$254),""))</f>
        <v/>
      </c>
      <c r="CD55" s="20" t="str" cm="1">
        <f t="array" ref="CD55">IFERROR(IF($A55="","",INDEX(_xlfn.ANCHORARRAY($BK$4),ROW()-5,6)),"")</f>
        <v/>
      </c>
      <c r="CE55" s="20" t="str">
        <f t="shared" si="12"/>
        <v/>
      </c>
      <c r="CF55" s="20" t="str">
        <f t="shared" si="13"/>
        <v/>
      </c>
      <c r="CG55" s="20" t="str">
        <f t="shared" si="10"/>
        <v/>
      </c>
      <c r="CH55" s="20" t="str" cm="1">
        <f t="array" ref="CH55">IF(OR($A55="",$BZ55="",$BW55="",$BX55=""),"",_xlfn.LET(_xlpm.mag,IFERROR(_xlfn.XLOOKUP($BX55,Race_Raceway,Race_Mag),""),IF(_xlpm.mag="","",IFERROR(INDEX(Cond_Table,MATCH($BZ55,Cond_Size,0),IF(UPPER($BW55)="AL",IF(_xlpm.mag="Y",10,12),IF(_xlpm.mag="Y",9,11))),""))))</f>
        <v/>
      </c>
      <c r="CI55" s="20" t="str">
        <f t="shared" si="11"/>
        <v/>
      </c>
      <c r="CJ55" s="20" t="str">
        <f>IF(OR($A55="",LEFT($A55,2)&lt;&gt;"T-"),"",IFERROR(_xlfn.LET(_xlpm.fla,_xlfn.XLOOKUP($A55,Transformers!$A$6:$A$105,Transformers!$AK$6:$AK$105),_xlpm.z,_xlfn.XLOOKUP($A55,Transformers!$A$6:$A$105,Transformers!$AX$6:$AX$105),IF(OR(_xlpm.fla="",_xlpm.z="",_xlpm.z=0),"",_xlpm.fla*100/_xlpm.z)),""))</f>
        <v/>
      </c>
      <c r="CK55" s="20" t="str">
        <f t="shared" si="14"/>
        <v/>
      </c>
      <c r="CL55" s="20" t="str">
        <f t="shared" si="15"/>
        <v/>
      </c>
      <c r="CM55" s="373"/>
      <c r="CO55" s="20" t="str">
        <f>IF(OR($A55="",LEFT($A55,2)&lt;&gt;"T-"),"",_xlfn.LET(_xlpm.ph,IFERROR(_xlfn.XLOOKUP($A55,Transformers!$A$6:$A$105,Transformers!$C$6:$C$105),""),_xlpm.rr,IFERROR(_xlfn.XLOOKUP($A55,Transformers!$A$6:$A$105,Transformers!$AG$6:$AG$105),""),_xlpm.xx,IFERROR(_xlfn.XLOOKUP($A55,Transformers!$A$6:$A$105,Transformers!$AI$6:$AI$105),""),IF(OR(_xlpm.ph&lt;&gt;1,NOT(ISNUMBER(_xlpm.rr)),NOT(ISNUMBER(_xlpm.xx))),"",SQRT((1.5*_xlpm.rr)^2+(1.2*_xlpm.xx)^2))))</f>
        <v/>
      </c>
      <c r="CP55" s="20" t="str">
        <f t="shared" si="16"/>
        <v/>
      </c>
    </row>
    <row r="56" spans="1:94" ht="15" customHeight="1" x14ac:dyDescent="0.45">
      <c r="A56" s="275" t="str" cm="1">
        <f t="array" ref="A56">IFERROR(IF(INDEX(_xlfn.ANCHORARRAY($BK$4),ROW()-5,1)="","",INDEX(_xlfn.ANCHORARRAY($BK$4),ROW()-5,1)),"")</f>
        <v/>
      </c>
      <c r="B56" s="25" t="str" cm="1">
        <f t="array" ref="B56">IFERROR(IF($A56="","",INDEX(_xlfn.ANCHORARRAY($BK$4),ROW()-5,5)),"")</f>
        <v/>
      </c>
      <c r="C56" s="178" t="str" cm="1">
        <f t="array" ref="C56">IFERROR(IF($A56="","",INDEX(_xlfn.ANCHORARRAY($BK$4),ROW()-5,7)),"")</f>
        <v/>
      </c>
      <c r="D56" s="177" t="str" cm="1">
        <f t="array" ref="D56">IFERROR(IF($A56="","",INDEX(_xlfn.ANCHORARRAY($BK$4),ROW()-5,3)),"")</f>
        <v/>
      </c>
      <c r="E56" s="25" t="str" cm="1">
        <f t="array" ref="E56">IFERROR(IF($A56="","",INDEX(_xlfn.ANCHORARRAY($BK$4),ROW()-5,2)),"")</f>
        <v/>
      </c>
      <c r="F56" s="177" t="str">
        <f t="shared" si="0"/>
        <v/>
      </c>
      <c r="G56" s="275" t="str">
        <f t="shared" si="1"/>
        <v/>
      </c>
      <c r="H56" s="180" t="str">
        <f t="shared" si="2"/>
        <v/>
      </c>
      <c r="I56" s="180" t="str">
        <f t="shared" si="3"/>
        <v/>
      </c>
      <c r="J56" s="177" t="str">
        <f>_xlfn.LET(_xlpm.v,_xlfn.LET(_xlpm.base,IF($A56="","",IF($C56=0,IFERROR(_xlfn.XLOOKUP($A56,Util_Tags,Util_SCAEff),""),IF(LEFT($A56,2)="T-",IF($CJ56="","",$CJ56/(1+IF($CL56="",0,$CL56))),IF(OR($F56="",$I56=""),"",$F56*$I56)))),_xlpm.gtag,IF(OR($A56="",NOT(OR($B56="ATS",$B56="MTS"))),"",IFERROR(_xlfn.XLOOKUP($A56,Dashboard!$A$101:$A$350,Dashboard!$L$101:$L$350,"")&amp;"","")),_xlpm.gkva,IF(_xlpm.gtag="",0,IFERROR(N(_xlfn.XLOOKUP(_xlpm.gtag,Generator!$B$53:$B$58,Generator!$S$53:$S$58,0)),0)),_xlpm.gxd,IF(_xlpm.gtag="",0,IFERROR(N(_xlfn.XLOOKUP(_xlpm.gtag,Generator!$B$53:$B$58,Generator!$U$53:$U$58,0)),0)),_xlpm.gamp,IF(OR(_xlpm.gkva=0,_xlpm.gxd=0,N($D56)=0),0,ROUND(_xlpm.gkva*1000/(IF(N($CB56)=1,1,SQRT(3))*$D56*_xlpm.gxd),0)),IF(OR(_xlpm.gamp=0,NOT(ISNUMBER(_xlpm.base))),_xlpm.base,MAX(_xlpm.base,_xlpm.gamp))),_xlpm.ulim,IF(OR($A56="",$B56&lt;&gt;"UPS"),"",IFERROR(IF(_xlfn.XLOOKUP($A56,UPS!$B$57:$B$64,UPS!$E$57:$E$64,"")="None",_xlfn.XLOOKUP($A56,UPS!$B$57:$B$64,UPS!$U$57:$U$64,""),""),"")),IF(AND(ISNUMBER(_xlpm.v),ISNUMBER(_xlpm.ulim)),MIN(_xlpm.v,_xlpm.ulim),_xlpm.v))</f>
        <v/>
      </c>
      <c r="K56" s="176"/>
      <c r="L56" s="177" t="str">
        <f t="shared" si="4"/>
        <v/>
      </c>
      <c r="M56" s="177" t="str">
        <f t="shared" si="5"/>
        <v/>
      </c>
      <c r="N56" s="380" t="str">
        <f>IF($A56="","",IF($C56=0,_xlfn.LET(_xlpm.x,IFERROR(_xlfn.XLOOKUP($A56,Util_Tags,Util_XR),""),IF(N(_xlpm.x)=0,Xfmr_DefXR,_xlpm.x)),IF(LEFT($A56,2)="T-",IFERROR(_xlfn.XLOOKUP($A56,Transformers!$A$6:$A$105,Transformers!$AH$6:$AH$105),Xfmr_DefXR),IFERROR(_xlfn.XLOOKUP($E56,$A$6:$A$255,$N$6:$N$255),Xfmr_DefXR))))</f>
        <v/>
      </c>
      <c r="O56" s="177" t="str">
        <f t="shared" si="6"/>
        <v/>
      </c>
      <c r="P56" s="210" t="str">
        <f>IF($A56="","",IF(LEFT($A56,2)="T-",IF($CO56="","",_xlfn.LET(_xlpm.k,IFERROR(_xlfn.XLOOKUP($A56,Transformers!$A$6:$A$105,Transformers!$G$6:$G$105),""),_xlpm.sv,IFERROR(_xlfn.XLOOKUP($A56,Transformers!$A$6:$A$105,Transformers!$E$6:$E$105),""),IF(OR(NOT(ISNUMBER(_xlpm.k)),NOT(ISNUMBER(_xlpm.sv)),_xlpm.sv=0),"",_xlfn.LET(_xlpm.iInf,(_xlpm.k*1000/(_xlpm.sv/2))*100/$CO56,_xlpm.pri,IF(OR($CK56="",$CK56=0),"",$CK56/2),_xlpm.base,IF(_xlpm.pri="",_xlpm.iInf,_xlpm.iInf/(1+_xlpm.iInf/_xlpm.pri)),_xlpm.base+IF($L56="",0,$L56))))),IF($CP56="","",_xlfn.LET(_xlpm.pI,IFERROR(_xlfn.XLOOKUP($E56,$A$6:$A$255,$P$6:$P$255),""),IF(NOT(ISNUMBER(_xlpm.pI)),"",_xlpm.pI/(1+$CP56)+IF($L56="",0,$L56))))))</f>
        <v/>
      </c>
      <c r="Q56" s="210" t="str">
        <f t="shared" si="7"/>
        <v/>
      </c>
      <c r="R56" s="177" t="str">
        <f>IF($A56="","",IF(OR($C56=0,LEFT($A56,2)="T-"),"",IFERROR(_xlfn.LET(_xlpm.v,_xlfn.XLOOKUP($A56,Dashboard!$A$101:$A$350,Dashboard!$K$101:$K$350),IF(ISNUMBER(_xlpm.v),_xlpm.v,"")),"")))</f>
        <v/>
      </c>
      <c r="S56" s="211" t="str">
        <f t="shared" si="8"/>
        <v/>
      </c>
      <c r="T56" s="25" t="str">
        <f t="shared" si="9"/>
        <v/>
      </c>
      <c r="U56" s="364"/>
      <c r="BV56" s="20" t="str">
        <f>IF($A56="","",IFERROR(_xlfn.XLOOKUP("F-"&amp;$A56,'Feeder Schedule'!$B$5:$B$254,'Feeder Schedule'!$H$5:$H$254),""))</f>
        <v/>
      </c>
      <c r="BW56" s="20" t="str">
        <f>IF($A56="","",IFERROR(_xlfn.XLOOKUP("F-"&amp;$A56,'Feeder Schedule'!$B$5:$B$254,'Feeder Schedule'!$BV$5:$BV$254),""))</f>
        <v/>
      </c>
      <c r="BX56" s="20" t="str">
        <f>IF($A56="","",IFERROR(_xlfn.LET(_xlpm.v,_xlfn.XLOOKUP("F-"&amp;$A56,'Feeder Schedule'!$B$5:$B$254,'Feeder Schedule'!$M$5:$M$254),IF(OR(_xlpm.v="",_xlpm.v=0),Cfg_Conduit,_xlpm.v)),""))</f>
        <v/>
      </c>
      <c r="BY56" s="20" t="str">
        <f>IF($A56="","",IFERROR(_xlfn.XLOOKUP("F-"&amp;$A56,'Feeder Schedule'!$B$5:$B$254,'Feeder Schedule'!$O$5:$O$254),""))</f>
        <v/>
      </c>
      <c r="BZ56" s="20" t="str">
        <f>IF($A56="","",IFERROR(_xlfn.XLOOKUP("F-"&amp;$A56,'Feeder Schedule'!$B$5:$B$254,'Feeder Schedule'!$CH$5:$CH$254),""))</f>
        <v/>
      </c>
      <c r="CA56" s="20" t="str">
        <f>IF($A56="","",IFERROR(_xlfn.XLOOKUP("F-"&amp;$A56,'Feeder Schedule'!$B$5:$B$254,'Feeder Schedule'!$F$5:$F$254),""))</f>
        <v/>
      </c>
      <c r="CB56" s="20" t="str">
        <f>IF($A56="","",IFERROR(_xlfn.XLOOKUP("F-"&amp;$A56,'Feeder Schedule'!$B$5:$B$254,'Feeder Schedule'!$G$5:$G$254),""))</f>
        <v/>
      </c>
      <c r="CD56" s="20" t="str" cm="1">
        <f t="array" ref="CD56">IFERROR(IF($A56="","",INDEX(_xlfn.ANCHORARRAY($BK$4),ROW()-5,6)),"")</f>
        <v/>
      </c>
      <c r="CE56" s="20" t="str">
        <f t="shared" si="12"/>
        <v/>
      </c>
      <c r="CF56" s="20" t="str">
        <f t="shared" si="13"/>
        <v/>
      </c>
      <c r="CG56" s="20" t="str">
        <f t="shared" si="10"/>
        <v/>
      </c>
      <c r="CH56" s="20" t="str" cm="1">
        <f t="array" ref="CH56">IF(OR($A56="",$BZ56="",$BW56="",$BX56=""),"",_xlfn.LET(_xlpm.mag,IFERROR(_xlfn.XLOOKUP($BX56,Race_Raceway,Race_Mag),""),IF(_xlpm.mag="","",IFERROR(INDEX(Cond_Table,MATCH($BZ56,Cond_Size,0),IF(UPPER($BW56)="AL",IF(_xlpm.mag="Y",10,12),IF(_xlpm.mag="Y",9,11))),""))))</f>
        <v/>
      </c>
      <c r="CI56" s="20" t="str">
        <f t="shared" si="11"/>
        <v/>
      </c>
      <c r="CJ56" s="20" t="str">
        <f>IF(OR($A56="",LEFT($A56,2)&lt;&gt;"T-"),"",IFERROR(_xlfn.LET(_xlpm.fla,_xlfn.XLOOKUP($A56,Transformers!$A$6:$A$105,Transformers!$AK$6:$AK$105),_xlpm.z,_xlfn.XLOOKUP($A56,Transformers!$A$6:$A$105,Transformers!$AX$6:$AX$105),IF(OR(_xlpm.fla="",_xlpm.z="",_xlpm.z=0),"",_xlpm.fla*100/_xlpm.z)),""))</f>
        <v/>
      </c>
      <c r="CK56" s="20" t="str">
        <f t="shared" si="14"/>
        <v/>
      </c>
      <c r="CL56" s="20" t="str">
        <f t="shared" si="15"/>
        <v/>
      </c>
      <c r="CM56" s="373"/>
      <c r="CO56" s="20" t="str">
        <f>IF(OR($A56="",LEFT($A56,2)&lt;&gt;"T-"),"",_xlfn.LET(_xlpm.ph,IFERROR(_xlfn.XLOOKUP($A56,Transformers!$A$6:$A$105,Transformers!$C$6:$C$105),""),_xlpm.rr,IFERROR(_xlfn.XLOOKUP($A56,Transformers!$A$6:$A$105,Transformers!$AG$6:$AG$105),""),_xlpm.xx,IFERROR(_xlfn.XLOOKUP($A56,Transformers!$A$6:$A$105,Transformers!$AI$6:$AI$105),""),IF(OR(_xlpm.ph&lt;&gt;1,NOT(ISNUMBER(_xlpm.rr)),NOT(ISNUMBER(_xlpm.xx))),"",SQRT((1.5*_xlpm.rr)^2+(1.2*_xlpm.xx)^2))))</f>
        <v/>
      </c>
      <c r="CP56" s="20" t="str">
        <f t="shared" si="16"/>
        <v/>
      </c>
    </row>
    <row r="57" spans="1:94" ht="15" customHeight="1" x14ac:dyDescent="0.45">
      <c r="A57" s="275" t="str" cm="1">
        <f t="array" ref="A57">IFERROR(IF(INDEX(_xlfn.ANCHORARRAY($BK$4),ROW()-5,1)="","",INDEX(_xlfn.ANCHORARRAY($BK$4),ROW()-5,1)),"")</f>
        <v/>
      </c>
      <c r="B57" s="25" t="str" cm="1">
        <f t="array" ref="B57">IFERROR(IF($A57="","",INDEX(_xlfn.ANCHORARRAY($BK$4),ROW()-5,5)),"")</f>
        <v/>
      </c>
      <c r="C57" s="178" t="str" cm="1">
        <f t="array" ref="C57">IFERROR(IF($A57="","",INDEX(_xlfn.ANCHORARRAY($BK$4),ROW()-5,7)),"")</f>
        <v/>
      </c>
      <c r="D57" s="177" t="str" cm="1">
        <f t="array" ref="D57">IFERROR(IF($A57="","",INDEX(_xlfn.ANCHORARRAY($BK$4),ROW()-5,3)),"")</f>
        <v/>
      </c>
      <c r="E57" s="25" t="str" cm="1">
        <f t="array" ref="E57">IFERROR(IF($A57="","",INDEX(_xlfn.ANCHORARRAY($BK$4),ROW()-5,2)),"")</f>
        <v/>
      </c>
      <c r="F57" s="177" t="str">
        <f t="shared" si="0"/>
        <v/>
      </c>
      <c r="G57" s="275" t="str">
        <f t="shared" si="1"/>
        <v/>
      </c>
      <c r="H57" s="180" t="str">
        <f t="shared" si="2"/>
        <v/>
      </c>
      <c r="I57" s="180" t="str">
        <f t="shared" si="3"/>
        <v/>
      </c>
      <c r="J57" s="177" t="str">
        <f>_xlfn.LET(_xlpm.v,_xlfn.LET(_xlpm.base,IF($A57="","",IF($C57=0,IFERROR(_xlfn.XLOOKUP($A57,Util_Tags,Util_SCAEff),""),IF(LEFT($A57,2)="T-",IF($CJ57="","",$CJ57/(1+IF($CL57="",0,$CL57))),IF(OR($F57="",$I57=""),"",$F57*$I57)))),_xlpm.gtag,IF(OR($A57="",NOT(OR($B57="ATS",$B57="MTS"))),"",IFERROR(_xlfn.XLOOKUP($A57,Dashboard!$A$101:$A$350,Dashboard!$L$101:$L$350,"")&amp;"","")),_xlpm.gkva,IF(_xlpm.gtag="",0,IFERROR(N(_xlfn.XLOOKUP(_xlpm.gtag,Generator!$B$53:$B$58,Generator!$S$53:$S$58,0)),0)),_xlpm.gxd,IF(_xlpm.gtag="",0,IFERROR(N(_xlfn.XLOOKUP(_xlpm.gtag,Generator!$B$53:$B$58,Generator!$U$53:$U$58,0)),0)),_xlpm.gamp,IF(OR(_xlpm.gkva=0,_xlpm.gxd=0,N($D57)=0),0,ROUND(_xlpm.gkva*1000/(IF(N($CB57)=1,1,SQRT(3))*$D57*_xlpm.gxd),0)),IF(OR(_xlpm.gamp=0,NOT(ISNUMBER(_xlpm.base))),_xlpm.base,MAX(_xlpm.base,_xlpm.gamp))),_xlpm.ulim,IF(OR($A57="",$B57&lt;&gt;"UPS"),"",IFERROR(IF(_xlfn.XLOOKUP($A57,UPS!$B$57:$B$64,UPS!$E$57:$E$64,"")="None",_xlfn.XLOOKUP($A57,UPS!$B$57:$B$64,UPS!$U$57:$U$64,""),""),"")),IF(AND(ISNUMBER(_xlpm.v),ISNUMBER(_xlpm.ulim)),MIN(_xlpm.v,_xlpm.ulim),_xlpm.v))</f>
        <v/>
      </c>
      <c r="K57" s="176"/>
      <c r="L57" s="177" t="str">
        <f t="shared" si="4"/>
        <v/>
      </c>
      <c r="M57" s="177" t="str">
        <f t="shared" si="5"/>
        <v/>
      </c>
      <c r="N57" s="380" t="str">
        <f>IF($A57="","",IF($C57=0,_xlfn.LET(_xlpm.x,IFERROR(_xlfn.XLOOKUP($A57,Util_Tags,Util_XR),""),IF(N(_xlpm.x)=0,Xfmr_DefXR,_xlpm.x)),IF(LEFT($A57,2)="T-",IFERROR(_xlfn.XLOOKUP($A57,Transformers!$A$6:$A$105,Transformers!$AH$6:$AH$105),Xfmr_DefXR),IFERROR(_xlfn.XLOOKUP($E57,$A$6:$A$255,$N$6:$N$255),Xfmr_DefXR))))</f>
        <v/>
      </c>
      <c r="O57" s="177" t="str">
        <f t="shared" si="6"/>
        <v/>
      </c>
      <c r="P57" s="210" t="str">
        <f>IF($A57="","",IF(LEFT($A57,2)="T-",IF($CO57="","",_xlfn.LET(_xlpm.k,IFERROR(_xlfn.XLOOKUP($A57,Transformers!$A$6:$A$105,Transformers!$G$6:$G$105),""),_xlpm.sv,IFERROR(_xlfn.XLOOKUP($A57,Transformers!$A$6:$A$105,Transformers!$E$6:$E$105),""),IF(OR(NOT(ISNUMBER(_xlpm.k)),NOT(ISNUMBER(_xlpm.sv)),_xlpm.sv=0),"",_xlfn.LET(_xlpm.iInf,(_xlpm.k*1000/(_xlpm.sv/2))*100/$CO57,_xlpm.pri,IF(OR($CK57="",$CK57=0),"",$CK57/2),_xlpm.base,IF(_xlpm.pri="",_xlpm.iInf,_xlpm.iInf/(1+_xlpm.iInf/_xlpm.pri)),_xlpm.base+IF($L57="",0,$L57))))),IF($CP57="","",_xlfn.LET(_xlpm.pI,IFERROR(_xlfn.XLOOKUP($E57,$A$6:$A$255,$P$6:$P$255),""),IF(NOT(ISNUMBER(_xlpm.pI)),"",_xlpm.pI/(1+$CP57)+IF($L57="",0,$L57))))))</f>
        <v/>
      </c>
      <c r="Q57" s="210" t="str">
        <f t="shared" si="7"/>
        <v/>
      </c>
      <c r="R57" s="177" t="str">
        <f>IF($A57="","",IF(OR($C57=0,LEFT($A57,2)="T-"),"",IFERROR(_xlfn.LET(_xlpm.v,_xlfn.XLOOKUP($A57,Dashboard!$A$101:$A$350,Dashboard!$K$101:$K$350),IF(ISNUMBER(_xlpm.v),_xlpm.v,"")),"")))</f>
        <v/>
      </c>
      <c r="S57" s="211" t="str">
        <f t="shared" si="8"/>
        <v/>
      </c>
      <c r="T57" s="25" t="str">
        <f t="shared" si="9"/>
        <v/>
      </c>
      <c r="U57" s="364"/>
      <c r="BV57" s="20" t="str">
        <f>IF($A57="","",IFERROR(_xlfn.XLOOKUP("F-"&amp;$A57,'Feeder Schedule'!$B$5:$B$254,'Feeder Schedule'!$H$5:$H$254),""))</f>
        <v/>
      </c>
      <c r="BW57" s="20" t="str">
        <f>IF($A57="","",IFERROR(_xlfn.XLOOKUP("F-"&amp;$A57,'Feeder Schedule'!$B$5:$B$254,'Feeder Schedule'!$BV$5:$BV$254),""))</f>
        <v/>
      </c>
      <c r="BX57" s="20" t="str">
        <f>IF($A57="","",IFERROR(_xlfn.LET(_xlpm.v,_xlfn.XLOOKUP("F-"&amp;$A57,'Feeder Schedule'!$B$5:$B$254,'Feeder Schedule'!$M$5:$M$254),IF(OR(_xlpm.v="",_xlpm.v=0),Cfg_Conduit,_xlpm.v)),""))</f>
        <v/>
      </c>
      <c r="BY57" s="20" t="str">
        <f>IF($A57="","",IFERROR(_xlfn.XLOOKUP("F-"&amp;$A57,'Feeder Schedule'!$B$5:$B$254,'Feeder Schedule'!$O$5:$O$254),""))</f>
        <v/>
      </c>
      <c r="BZ57" s="20" t="str">
        <f>IF($A57="","",IFERROR(_xlfn.XLOOKUP("F-"&amp;$A57,'Feeder Schedule'!$B$5:$B$254,'Feeder Schedule'!$CH$5:$CH$254),""))</f>
        <v/>
      </c>
      <c r="CA57" s="20" t="str">
        <f>IF($A57="","",IFERROR(_xlfn.XLOOKUP("F-"&amp;$A57,'Feeder Schedule'!$B$5:$B$254,'Feeder Schedule'!$F$5:$F$254),""))</f>
        <v/>
      </c>
      <c r="CB57" s="20" t="str">
        <f>IF($A57="","",IFERROR(_xlfn.XLOOKUP("F-"&amp;$A57,'Feeder Schedule'!$B$5:$B$254,'Feeder Schedule'!$G$5:$G$254),""))</f>
        <v/>
      </c>
      <c r="CD57" s="20" t="str" cm="1">
        <f t="array" ref="CD57">IFERROR(IF($A57="","",INDEX(_xlfn.ANCHORARRAY($BK$4),ROW()-5,6)),"")</f>
        <v/>
      </c>
      <c r="CE57" s="20" t="str">
        <f t="shared" si="12"/>
        <v/>
      </c>
      <c r="CF57" s="20" t="str">
        <f t="shared" si="13"/>
        <v/>
      </c>
      <c r="CG57" s="20" t="str">
        <f t="shared" si="10"/>
        <v/>
      </c>
      <c r="CH57" s="20" t="str" cm="1">
        <f t="array" ref="CH57">IF(OR($A57="",$BZ57="",$BW57="",$BX57=""),"",_xlfn.LET(_xlpm.mag,IFERROR(_xlfn.XLOOKUP($BX57,Race_Raceway,Race_Mag),""),IF(_xlpm.mag="","",IFERROR(INDEX(Cond_Table,MATCH($BZ57,Cond_Size,0),IF(UPPER($BW57)="AL",IF(_xlpm.mag="Y",10,12),IF(_xlpm.mag="Y",9,11))),""))))</f>
        <v/>
      </c>
      <c r="CI57" s="20" t="str">
        <f t="shared" si="11"/>
        <v/>
      </c>
      <c r="CJ57" s="20" t="str">
        <f>IF(OR($A57="",LEFT($A57,2)&lt;&gt;"T-"),"",IFERROR(_xlfn.LET(_xlpm.fla,_xlfn.XLOOKUP($A57,Transformers!$A$6:$A$105,Transformers!$AK$6:$AK$105),_xlpm.z,_xlfn.XLOOKUP($A57,Transformers!$A$6:$A$105,Transformers!$AX$6:$AX$105),IF(OR(_xlpm.fla="",_xlpm.z="",_xlpm.z=0),"",_xlpm.fla*100/_xlpm.z)),""))</f>
        <v/>
      </c>
      <c r="CK57" s="20" t="str">
        <f t="shared" si="14"/>
        <v/>
      </c>
      <c r="CL57" s="20" t="str">
        <f t="shared" si="15"/>
        <v/>
      </c>
      <c r="CM57" s="373"/>
      <c r="CO57" s="20" t="str">
        <f>IF(OR($A57="",LEFT($A57,2)&lt;&gt;"T-"),"",_xlfn.LET(_xlpm.ph,IFERROR(_xlfn.XLOOKUP($A57,Transformers!$A$6:$A$105,Transformers!$C$6:$C$105),""),_xlpm.rr,IFERROR(_xlfn.XLOOKUP($A57,Transformers!$A$6:$A$105,Transformers!$AG$6:$AG$105),""),_xlpm.xx,IFERROR(_xlfn.XLOOKUP($A57,Transformers!$A$6:$A$105,Transformers!$AI$6:$AI$105),""),IF(OR(_xlpm.ph&lt;&gt;1,NOT(ISNUMBER(_xlpm.rr)),NOT(ISNUMBER(_xlpm.xx))),"",SQRT((1.5*_xlpm.rr)^2+(1.2*_xlpm.xx)^2))))</f>
        <v/>
      </c>
      <c r="CP57" s="20" t="str">
        <f t="shared" si="16"/>
        <v/>
      </c>
    </row>
    <row r="58" spans="1:94" ht="15" customHeight="1" x14ac:dyDescent="0.45">
      <c r="A58" s="275" t="str" cm="1">
        <f t="array" ref="A58">IFERROR(IF(INDEX(_xlfn.ANCHORARRAY($BK$4),ROW()-5,1)="","",INDEX(_xlfn.ANCHORARRAY($BK$4),ROW()-5,1)),"")</f>
        <v/>
      </c>
      <c r="B58" s="25" t="str" cm="1">
        <f t="array" ref="B58">IFERROR(IF($A58="","",INDEX(_xlfn.ANCHORARRAY($BK$4),ROW()-5,5)),"")</f>
        <v/>
      </c>
      <c r="C58" s="178" t="str" cm="1">
        <f t="array" ref="C58">IFERROR(IF($A58="","",INDEX(_xlfn.ANCHORARRAY($BK$4),ROW()-5,7)),"")</f>
        <v/>
      </c>
      <c r="D58" s="177" t="str" cm="1">
        <f t="array" ref="D58">IFERROR(IF($A58="","",INDEX(_xlfn.ANCHORARRAY($BK$4),ROW()-5,3)),"")</f>
        <v/>
      </c>
      <c r="E58" s="25" t="str" cm="1">
        <f t="array" ref="E58">IFERROR(IF($A58="","",INDEX(_xlfn.ANCHORARRAY($BK$4),ROW()-5,2)),"")</f>
        <v/>
      </c>
      <c r="F58" s="177" t="str">
        <f t="shared" si="0"/>
        <v/>
      </c>
      <c r="G58" s="275" t="str">
        <f t="shared" si="1"/>
        <v/>
      </c>
      <c r="H58" s="180" t="str">
        <f t="shared" si="2"/>
        <v/>
      </c>
      <c r="I58" s="180" t="str">
        <f t="shared" si="3"/>
        <v/>
      </c>
      <c r="J58" s="177" t="str">
        <f>_xlfn.LET(_xlpm.v,_xlfn.LET(_xlpm.base,IF($A58="","",IF($C58=0,IFERROR(_xlfn.XLOOKUP($A58,Util_Tags,Util_SCAEff),""),IF(LEFT($A58,2)="T-",IF($CJ58="","",$CJ58/(1+IF($CL58="",0,$CL58))),IF(OR($F58="",$I58=""),"",$F58*$I58)))),_xlpm.gtag,IF(OR($A58="",NOT(OR($B58="ATS",$B58="MTS"))),"",IFERROR(_xlfn.XLOOKUP($A58,Dashboard!$A$101:$A$350,Dashboard!$L$101:$L$350,"")&amp;"","")),_xlpm.gkva,IF(_xlpm.gtag="",0,IFERROR(N(_xlfn.XLOOKUP(_xlpm.gtag,Generator!$B$53:$B$58,Generator!$S$53:$S$58,0)),0)),_xlpm.gxd,IF(_xlpm.gtag="",0,IFERROR(N(_xlfn.XLOOKUP(_xlpm.gtag,Generator!$B$53:$B$58,Generator!$U$53:$U$58,0)),0)),_xlpm.gamp,IF(OR(_xlpm.gkva=0,_xlpm.gxd=0,N($D58)=0),0,ROUND(_xlpm.gkva*1000/(IF(N($CB58)=1,1,SQRT(3))*$D58*_xlpm.gxd),0)),IF(OR(_xlpm.gamp=0,NOT(ISNUMBER(_xlpm.base))),_xlpm.base,MAX(_xlpm.base,_xlpm.gamp))),_xlpm.ulim,IF(OR($A58="",$B58&lt;&gt;"UPS"),"",IFERROR(IF(_xlfn.XLOOKUP($A58,UPS!$B$57:$B$64,UPS!$E$57:$E$64,"")="None",_xlfn.XLOOKUP($A58,UPS!$B$57:$B$64,UPS!$U$57:$U$64,""),""),"")),IF(AND(ISNUMBER(_xlpm.v),ISNUMBER(_xlpm.ulim)),MIN(_xlpm.v,_xlpm.ulim),_xlpm.v))</f>
        <v/>
      </c>
      <c r="K58" s="176"/>
      <c r="L58" s="177" t="str">
        <f t="shared" si="4"/>
        <v/>
      </c>
      <c r="M58" s="177" t="str">
        <f t="shared" si="5"/>
        <v/>
      </c>
      <c r="N58" s="380" t="str">
        <f>IF($A58="","",IF($C58=0,_xlfn.LET(_xlpm.x,IFERROR(_xlfn.XLOOKUP($A58,Util_Tags,Util_XR),""),IF(N(_xlpm.x)=0,Xfmr_DefXR,_xlpm.x)),IF(LEFT($A58,2)="T-",IFERROR(_xlfn.XLOOKUP($A58,Transformers!$A$6:$A$105,Transformers!$AH$6:$AH$105),Xfmr_DefXR),IFERROR(_xlfn.XLOOKUP($E58,$A$6:$A$255,$N$6:$N$255),Xfmr_DefXR))))</f>
        <v/>
      </c>
      <c r="O58" s="177" t="str">
        <f t="shared" si="6"/>
        <v/>
      </c>
      <c r="P58" s="210" t="str">
        <f>IF($A58="","",IF(LEFT($A58,2)="T-",IF($CO58="","",_xlfn.LET(_xlpm.k,IFERROR(_xlfn.XLOOKUP($A58,Transformers!$A$6:$A$105,Transformers!$G$6:$G$105),""),_xlpm.sv,IFERROR(_xlfn.XLOOKUP($A58,Transformers!$A$6:$A$105,Transformers!$E$6:$E$105),""),IF(OR(NOT(ISNUMBER(_xlpm.k)),NOT(ISNUMBER(_xlpm.sv)),_xlpm.sv=0),"",_xlfn.LET(_xlpm.iInf,(_xlpm.k*1000/(_xlpm.sv/2))*100/$CO58,_xlpm.pri,IF(OR($CK58="",$CK58=0),"",$CK58/2),_xlpm.base,IF(_xlpm.pri="",_xlpm.iInf,_xlpm.iInf/(1+_xlpm.iInf/_xlpm.pri)),_xlpm.base+IF($L58="",0,$L58))))),IF($CP58="","",_xlfn.LET(_xlpm.pI,IFERROR(_xlfn.XLOOKUP($E58,$A$6:$A$255,$P$6:$P$255),""),IF(NOT(ISNUMBER(_xlpm.pI)),"",_xlpm.pI/(1+$CP58)+IF($L58="",0,$L58))))))</f>
        <v/>
      </c>
      <c r="Q58" s="210" t="str">
        <f t="shared" si="7"/>
        <v/>
      </c>
      <c r="R58" s="177" t="str">
        <f>IF($A58="","",IF(OR($C58=0,LEFT($A58,2)="T-"),"",IFERROR(_xlfn.LET(_xlpm.v,_xlfn.XLOOKUP($A58,Dashboard!$A$101:$A$350,Dashboard!$K$101:$K$350),IF(ISNUMBER(_xlpm.v),_xlpm.v,"")),"")))</f>
        <v/>
      </c>
      <c r="S58" s="211" t="str">
        <f t="shared" si="8"/>
        <v/>
      </c>
      <c r="T58" s="25" t="str">
        <f t="shared" si="9"/>
        <v/>
      </c>
      <c r="U58" s="364"/>
      <c r="BV58" s="20" t="str">
        <f>IF($A58="","",IFERROR(_xlfn.XLOOKUP("F-"&amp;$A58,'Feeder Schedule'!$B$5:$B$254,'Feeder Schedule'!$H$5:$H$254),""))</f>
        <v/>
      </c>
      <c r="BW58" s="20" t="str">
        <f>IF($A58="","",IFERROR(_xlfn.XLOOKUP("F-"&amp;$A58,'Feeder Schedule'!$B$5:$B$254,'Feeder Schedule'!$BV$5:$BV$254),""))</f>
        <v/>
      </c>
      <c r="BX58" s="20" t="str">
        <f>IF($A58="","",IFERROR(_xlfn.LET(_xlpm.v,_xlfn.XLOOKUP("F-"&amp;$A58,'Feeder Schedule'!$B$5:$B$254,'Feeder Schedule'!$M$5:$M$254),IF(OR(_xlpm.v="",_xlpm.v=0),Cfg_Conduit,_xlpm.v)),""))</f>
        <v/>
      </c>
      <c r="BY58" s="20" t="str">
        <f>IF($A58="","",IFERROR(_xlfn.XLOOKUP("F-"&amp;$A58,'Feeder Schedule'!$B$5:$B$254,'Feeder Schedule'!$O$5:$O$254),""))</f>
        <v/>
      </c>
      <c r="BZ58" s="20" t="str">
        <f>IF($A58="","",IFERROR(_xlfn.XLOOKUP("F-"&amp;$A58,'Feeder Schedule'!$B$5:$B$254,'Feeder Schedule'!$CH$5:$CH$254),""))</f>
        <v/>
      </c>
      <c r="CA58" s="20" t="str">
        <f>IF($A58="","",IFERROR(_xlfn.XLOOKUP("F-"&amp;$A58,'Feeder Schedule'!$B$5:$B$254,'Feeder Schedule'!$F$5:$F$254),""))</f>
        <v/>
      </c>
      <c r="CB58" s="20" t="str">
        <f>IF($A58="","",IFERROR(_xlfn.XLOOKUP("F-"&amp;$A58,'Feeder Schedule'!$B$5:$B$254,'Feeder Schedule'!$G$5:$G$254),""))</f>
        <v/>
      </c>
      <c r="CD58" s="20" t="str" cm="1">
        <f t="array" ref="CD58">IFERROR(IF($A58="","",INDEX(_xlfn.ANCHORARRAY($BK$4),ROW()-5,6)),"")</f>
        <v/>
      </c>
      <c r="CE58" s="20" t="str">
        <f t="shared" si="12"/>
        <v/>
      </c>
      <c r="CF58" s="20" t="str">
        <f t="shared" si="13"/>
        <v/>
      </c>
      <c r="CG58" s="20" t="str">
        <f t="shared" si="10"/>
        <v/>
      </c>
      <c r="CH58" s="20" t="str" cm="1">
        <f t="array" ref="CH58">IF(OR($A58="",$BZ58="",$BW58="",$BX58=""),"",_xlfn.LET(_xlpm.mag,IFERROR(_xlfn.XLOOKUP($BX58,Race_Raceway,Race_Mag),""),IF(_xlpm.mag="","",IFERROR(INDEX(Cond_Table,MATCH($BZ58,Cond_Size,0),IF(UPPER($BW58)="AL",IF(_xlpm.mag="Y",10,12),IF(_xlpm.mag="Y",9,11))),""))))</f>
        <v/>
      </c>
      <c r="CI58" s="20" t="str">
        <f t="shared" si="11"/>
        <v/>
      </c>
      <c r="CJ58" s="20" t="str">
        <f>IF(OR($A58="",LEFT($A58,2)&lt;&gt;"T-"),"",IFERROR(_xlfn.LET(_xlpm.fla,_xlfn.XLOOKUP($A58,Transformers!$A$6:$A$105,Transformers!$AK$6:$AK$105),_xlpm.z,_xlfn.XLOOKUP($A58,Transformers!$A$6:$A$105,Transformers!$AX$6:$AX$105),IF(OR(_xlpm.fla="",_xlpm.z="",_xlpm.z=0),"",_xlpm.fla*100/_xlpm.z)),""))</f>
        <v/>
      </c>
      <c r="CK58" s="20" t="str">
        <f t="shared" si="14"/>
        <v/>
      </c>
      <c r="CL58" s="20" t="str">
        <f t="shared" si="15"/>
        <v/>
      </c>
      <c r="CM58" s="373"/>
      <c r="CO58" s="20" t="str">
        <f>IF(OR($A58="",LEFT($A58,2)&lt;&gt;"T-"),"",_xlfn.LET(_xlpm.ph,IFERROR(_xlfn.XLOOKUP($A58,Transformers!$A$6:$A$105,Transformers!$C$6:$C$105),""),_xlpm.rr,IFERROR(_xlfn.XLOOKUP($A58,Transformers!$A$6:$A$105,Transformers!$AG$6:$AG$105),""),_xlpm.xx,IFERROR(_xlfn.XLOOKUP($A58,Transformers!$A$6:$A$105,Transformers!$AI$6:$AI$105),""),IF(OR(_xlpm.ph&lt;&gt;1,NOT(ISNUMBER(_xlpm.rr)),NOT(ISNUMBER(_xlpm.xx))),"",SQRT((1.5*_xlpm.rr)^2+(1.2*_xlpm.xx)^2))))</f>
        <v/>
      </c>
      <c r="CP58" s="20" t="str">
        <f t="shared" si="16"/>
        <v/>
      </c>
    </row>
    <row r="59" spans="1:94" ht="15" customHeight="1" x14ac:dyDescent="0.45">
      <c r="A59" s="275" t="str" cm="1">
        <f t="array" ref="A59">IFERROR(IF(INDEX(_xlfn.ANCHORARRAY($BK$4),ROW()-5,1)="","",INDEX(_xlfn.ANCHORARRAY($BK$4),ROW()-5,1)),"")</f>
        <v/>
      </c>
      <c r="B59" s="25" t="str" cm="1">
        <f t="array" ref="B59">IFERROR(IF($A59="","",INDEX(_xlfn.ANCHORARRAY($BK$4),ROW()-5,5)),"")</f>
        <v/>
      </c>
      <c r="C59" s="178" t="str" cm="1">
        <f t="array" ref="C59">IFERROR(IF($A59="","",INDEX(_xlfn.ANCHORARRAY($BK$4),ROW()-5,7)),"")</f>
        <v/>
      </c>
      <c r="D59" s="177" t="str" cm="1">
        <f t="array" ref="D59">IFERROR(IF($A59="","",INDEX(_xlfn.ANCHORARRAY($BK$4),ROW()-5,3)),"")</f>
        <v/>
      </c>
      <c r="E59" s="25" t="str" cm="1">
        <f t="array" ref="E59">IFERROR(IF($A59="","",INDEX(_xlfn.ANCHORARRAY($BK$4),ROW()-5,2)),"")</f>
        <v/>
      </c>
      <c r="F59" s="177" t="str">
        <f t="shared" si="0"/>
        <v/>
      </c>
      <c r="G59" s="275" t="str">
        <f t="shared" si="1"/>
        <v/>
      </c>
      <c r="H59" s="180" t="str">
        <f t="shared" si="2"/>
        <v/>
      </c>
      <c r="I59" s="180" t="str">
        <f t="shared" si="3"/>
        <v/>
      </c>
      <c r="J59" s="177" t="str">
        <f>_xlfn.LET(_xlpm.v,_xlfn.LET(_xlpm.base,IF($A59="","",IF($C59=0,IFERROR(_xlfn.XLOOKUP($A59,Util_Tags,Util_SCAEff),""),IF(LEFT($A59,2)="T-",IF($CJ59="","",$CJ59/(1+IF($CL59="",0,$CL59))),IF(OR($F59="",$I59=""),"",$F59*$I59)))),_xlpm.gtag,IF(OR($A59="",NOT(OR($B59="ATS",$B59="MTS"))),"",IFERROR(_xlfn.XLOOKUP($A59,Dashboard!$A$101:$A$350,Dashboard!$L$101:$L$350,"")&amp;"","")),_xlpm.gkva,IF(_xlpm.gtag="",0,IFERROR(N(_xlfn.XLOOKUP(_xlpm.gtag,Generator!$B$53:$B$58,Generator!$S$53:$S$58,0)),0)),_xlpm.gxd,IF(_xlpm.gtag="",0,IFERROR(N(_xlfn.XLOOKUP(_xlpm.gtag,Generator!$B$53:$B$58,Generator!$U$53:$U$58,0)),0)),_xlpm.gamp,IF(OR(_xlpm.gkva=0,_xlpm.gxd=0,N($D59)=0),0,ROUND(_xlpm.gkva*1000/(IF(N($CB59)=1,1,SQRT(3))*$D59*_xlpm.gxd),0)),IF(OR(_xlpm.gamp=0,NOT(ISNUMBER(_xlpm.base))),_xlpm.base,MAX(_xlpm.base,_xlpm.gamp))),_xlpm.ulim,IF(OR($A59="",$B59&lt;&gt;"UPS"),"",IFERROR(IF(_xlfn.XLOOKUP($A59,UPS!$B$57:$B$64,UPS!$E$57:$E$64,"")="None",_xlfn.XLOOKUP($A59,UPS!$B$57:$B$64,UPS!$U$57:$U$64,""),""),"")),IF(AND(ISNUMBER(_xlpm.v),ISNUMBER(_xlpm.ulim)),MIN(_xlpm.v,_xlpm.ulim),_xlpm.v))</f>
        <v/>
      </c>
      <c r="K59" s="176"/>
      <c r="L59" s="177" t="str">
        <f t="shared" si="4"/>
        <v/>
      </c>
      <c r="M59" s="177" t="str">
        <f t="shared" si="5"/>
        <v/>
      </c>
      <c r="N59" s="380" t="str">
        <f>IF($A59="","",IF($C59=0,_xlfn.LET(_xlpm.x,IFERROR(_xlfn.XLOOKUP($A59,Util_Tags,Util_XR),""),IF(N(_xlpm.x)=0,Xfmr_DefXR,_xlpm.x)),IF(LEFT($A59,2)="T-",IFERROR(_xlfn.XLOOKUP($A59,Transformers!$A$6:$A$105,Transformers!$AH$6:$AH$105),Xfmr_DefXR),IFERROR(_xlfn.XLOOKUP($E59,$A$6:$A$255,$N$6:$N$255),Xfmr_DefXR))))</f>
        <v/>
      </c>
      <c r="O59" s="177" t="str">
        <f t="shared" si="6"/>
        <v/>
      </c>
      <c r="P59" s="210" t="str">
        <f>IF($A59="","",IF(LEFT($A59,2)="T-",IF($CO59="","",_xlfn.LET(_xlpm.k,IFERROR(_xlfn.XLOOKUP($A59,Transformers!$A$6:$A$105,Transformers!$G$6:$G$105),""),_xlpm.sv,IFERROR(_xlfn.XLOOKUP($A59,Transformers!$A$6:$A$105,Transformers!$E$6:$E$105),""),IF(OR(NOT(ISNUMBER(_xlpm.k)),NOT(ISNUMBER(_xlpm.sv)),_xlpm.sv=0),"",_xlfn.LET(_xlpm.iInf,(_xlpm.k*1000/(_xlpm.sv/2))*100/$CO59,_xlpm.pri,IF(OR($CK59="",$CK59=0),"",$CK59/2),_xlpm.base,IF(_xlpm.pri="",_xlpm.iInf,_xlpm.iInf/(1+_xlpm.iInf/_xlpm.pri)),_xlpm.base+IF($L59="",0,$L59))))),IF($CP59="","",_xlfn.LET(_xlpm.pI,IFERROR(_xlfn.XLOOKUP($E59,$A$6:$A$255,$P$6:$P$255),""),IF(NOT(ISNUMBER(_xlpm.pI)),"",_xlpm.pI/(1+$CP59)+IF($L59="",0,$L59))))))</f>
        <v/>
      </c>
      <c r="Q59" s="210" t="str">
        <f t="shared" si="7"/>
        <v/>
      </c>
      <c r="R59" s="177" t="str">
        <f>IF($A59="","",IF(OR($C59=0,LEFT($A59,2)="T-"),"",IFERROR(_xlfn.LET(_xlpm.v,_xlfn.XLOOKUP($A59,Dashboard!$A$101:$A$350,Dashboard!$K$101:$K$350),IF(ISNUMBER(_xlpm.v),_xlpm.v,"")),"")))</f>
        <v/>
      </c>
      <c r="S59" s="211" t="str">
        <f t="shared" si="8"/>
        <v/>
      </c>
      <c r="T59" s="25" t="str">
        <f t="shared" si="9"/>
        <v/>
      </c>
      <c r="U59" s="364"/>
      <c r="BV59" s="20" t="str">
        <f>IF($A59="","",IFERROR(_xlfn.XLOOKUP("F-"&amp;$A59,'Feeder Schedule'!$B$5:$B$254,'Feeder Schedule'!$H$5:$H$254),""))</f>
        <v/>
      </c>
      <c r="BW59" s="20" t="str">
        <f>IF($A59="","",IFERROR(_xlfn.XLOOKUP("F-"&amp;$A59,'Feeder Schedule'!$B$5:$B$254,'Feeder Schedule'!$BV$5:$BV$254),""))</f>
        <v/>
      </c>
      <c r="BX59" s="20" t="str">
        <f>IF($A59="","",IFERROR(_xlfn.LET(_xlpm.v,_xlfn.XLOOKUP("F-"&amp;$A59,'Feeder Schedule'!$B$5:$B$254,'Feeder Schedule'!$M$5:$M$254),IF(OR(_xlpm.v="",_xlpm.v=0),Cfg_Conduit,_xlpm.v)),""))</f>
        <v/>
      </c>
      <c r="BY59" s="20" t="str">
        <f>IF($A59="","",IFERROR(_xlfn.XLOOKUP("F-"&amp;$A59,'Feeder Schedule'!$B$5:$B$254,'Feeder Schedule'!$O$5:$O$254),""))</f>
        <v/>
      </c>
      <c r="BZ59" s="20" t="str">
        <f>IF($A59="","",IFERROR(_xlfn.XLOOKUP("F-"&amp;$A59,'Feeder Schedule'!$B$5:$B$254,'Feeder Schedule'!$CH$5:$CH$254),""))</f>
        <v/>
      </c>
      <c r="CA59" s="20" t="str">
        <f>IF($A59="","",IFERROR(_xlfn.XLOOKUP("F-"&amp;$A59,'Feeder Schedule'!$B$5:$B$254,'Feeder Schedule'!$F$5:$F$254),""))</f>
        <v/>
      </c>
      <c r="CB59" s="20" t="str">
        <f>IF($A59="","",IFERROR(_xlfn.XLOOKUP("F-"&amp;$A59,'Feeder Schedule'!$B$5:$B$254,'Feeder Schedule'!$G$5:$G$254),""))</f>
        <v/>
      </c>
      <c r="CD59" s="20" t="str" cm="1">
        <f t="array" ref="CD59">IFERROR(IF($A59="","",INDEX(_xlfn.ANCHORARRAY($BK$4),ROW()-5,6)),"")</f>
        <v/>
      </c>
      <c r="CE59" s="20" t="str">
        <f t="shared" si="12"/>
        <v/>
      </c>
      <c r="CF59" s="20" t="str">
        <f t="shared" si="13"/>
        <v/>
      </c>
      <c r="CG59" s="20" t="str">
        <f t="shared" si="10"/>
        <v/>
      </c>
      <c r="CH59" s="20" t="str" cm="1">
        <f t="array" ref="CH59">IF(OR($A59="",$BZ59="",$BW59="",$BX59=""),"",_xlfn.LET(_xlpm.mag,IFERROR(_xlfn.XLOOKUP($BX59,Race_Raceway,Race_Mag),""),IF(_xlpm.mag="","",IFERROR(INDEX(Cond_Table,MATCH($BZ59,Cond_Size,0),IF(UPPER($BW59)="AL",IF(_xlpm.mag="Y",10,12),IF(_xlpm.mag="Y",9,11))),""))))</f>
        <v/>
      </c>
      <c r="CI59" s="20" t="str">
        <f t="shared" si="11"/>
        <v/>
      </c>
      <c r="CJ59" s="20" t="str">
        <f>IF(OR($A59="",LEFT($A59,2)&lt;&gt;"T-"),"",IFERROR(_xlfn.LET(_xlpm.fla,_xlfn.XLOOKUP($A59,Transformers!$A$6:$A$105,Transformers!$AK$6:$AK$105),_xlpm.z,_xlfn.XLOOKUP($A59,Transformers!$A$6:$A$105,Transformers!$AX$6:$AX$105),IF(OR(_xlpm.fla="",_xlpm.z="",_xlpm.z=0),"",_xlpm.fla*100/_xlpm.z)),""))</f>
        <v/>
      </c>
      <c r="CK59" s="20" t="str">
        <f t="shared" si="14"/>
        <v/>
      </c>
      <c r="CL59" s="20" t="str">
        <f t="shared" si="15"/>
        <v/>
      </c>
      <c r="CM59" s="373"/>
      <c r="CO59" s="20" t="str">
        <f>IF(OR($A59="",LEFT($A59,2)&lt;&gt;"T-"),"",_xlfn.LET(_xlpm.ph,IFERROR(_xlfn.XLOOKUP($A59,Transformers!$A$6:$A$105,Transformers!$C$6:$C$105),""),_xlpm.rr,IFERROR(_xlfn.XLOOKUP($A59,Transformers!$A$6:$A$105,Transformers!$AG$6:$AG$105),""),_xlpm.xx,IFERROR(_xlfn.XLOOKUP($A59,Transformers!$A$6:$A$105,Transformers!$AI$6:$AI$105),""),IF(OR(_xlpm.ph&lt;&gt;1,NOT(ISNUMBER(_xlpm.rr)),NOT(ISNUMBER(_xlpm.xx))),"",SQRT((1.5*_xlpm.rr)^2+(1.2*_xlpm.xx)^2))))</f>
        <v/>
      </c>
      <c r="CP59" s="20" t="str">
        <f t="shared" si="16"/>
        <v/>
      </c>
    </row>
    <row r="60" spans="1:94" ht="15" customHeight="1" x14ac:dyDescent="0.45">
      <c r="A60" s="275" t="str" cm="1">
        <f t="array" ref="A60">IFERROR(IF(INDEX(_xlfn.ANCHORARRAY($BK$4),ROW()-5,1)="","",INDEX(_xlfn.ANCHORARRAY($BK$4),ROW()-5,1)),"")</f>
        <v/>
      </c>
      <c r="B60" s="25" t="str" cm="1">
        <f t="array" ref="B60">IFERROR(IF($A60="","",INDEX(_xlfn.ANCHORARRAY($BK$4),ROW()-5,5)),"")</f>
        <v/>
      </c>
      <c r="C60" s="178" t="str" cm="1">
        <f t="array" ref="C60">IFERROR(IF($A60="","",INDEX(_xlfn.ANCHORARRAY($BK$4),ROW()-5,7)),"")</f>
        <v/>
      </c>
      <c r="D60" s="177" t="str" cm="1">
        <f t="array" ref="D60">IFERROR(IF($A60="","",INDEX(_xlfn.ANCHORARRAY($BK$4),ROW()-5,3)),"")</f>
        <v/>
      </c>
      <c r="E60" s="25" t="str" cm="1">
        <f t="array" ref="E60">IFERROR(IF($A60="","",INDEX(_xlfn.ANCHORARRAY($BK$4),ROW()-5,2)),"")</f>
        <v/>
      </c>
      <c r="F60" s="177" t="str">
        <f t="shared" si="0"/>
        <v/>
      </c>
      <c r="G60" s="275" t="str">
        <f t="shared" si="1"/>
        <v/>
      </c>
      <c r="H60" s="180" t="str">
        <f t="shared" si="2"/>
        <v/>
      </c>
      <c r="I60" s="180" t="str">
        <f t="shared" si="3"/>
        <v/>
      </c>
      <c r="J60" s="177" t="str">
        <f>_xlfn.LET(_xlpm.v,_xlfn.LET(_xlpm.base,IF($A60="","",IF($C60=0,IFERROR(_xlfn.XLOOKUP($A60,Util_Tags,Util_SCAEff),""),IF(LEFT($A60,2)="T-",IF($CJ60="","",$CJ60/(1+IF($CL60="",0,$CL60))),IF(OR($F60="",$I60=""),"",$F60*$I60)))),_xlpm.gtag,IF(OR($A60="",NOT(OR($B60="ATS",$B60="MTS"))),"",IFERROR(_xlfn.XLOOKUP($A60,Dashboard!$A$101:$A$350,Dashboard!$L$101:$L$350,"")&amp;"","")),_xlpm.gkva,IF(_xlpm.gtag="",0,IFERROR(N(_xlfn.XLOOKUP(_xlpm.gtag,Generator!$B$53:$B$58,Generator!$S$53:$S$58,0)),0)),_xlpm.gxd,IF(_xlpm.gtag="",0,IFERROR(N(_xlfn.XLOOKUP(_xlpm.gtag,Generator!$B$53:$B$58,Generator!$U$53:$U$58,0)),0)),_xlpm.gamp,IF(OR(_xlpm.gkva=0,_xlpm.gxd=0,N($D60)=0),0,ROUND(_xlpm.gkva*1000/(IF(N($CB60)=1,1,SQRT(3))*$D60*_xlpm.gxd),0)),IF(OR(_xlpm.gamp=0,NOT(ISNUMBER(_xlpm.base))),_xlpm.base,MAX(_xlpm.base,_xlpm.gamp))),_xlpm.ulim,IF(OR($A60="",$B60&lt;&gt;"UPS"),"",IFERROR(IF(_xlfn.XLOOKUP($A60,UPS!$B$57:$B$64,UPS!$E$57:$E$64,"")="None",_xlfn.XLOOKUP($A60,UPS!$B$57:$B$64,UPS!$U$57:$U$64,""),""),"")),IF(AND(ISNUMBER(_xlpm.v),ISNUMBER(_xlpm.ulim)),MIN(_xlpm.v,_xlpm.ulim),_xlpm.v))</f>
        <v/>
      </c>
      <c r="K60" s="176"/>
      <c r="L60" s="177" t="str">
        <f t="shared" si="4"/>
        <v/>
      </c>
      <c r="M60" s="177" t="str">
        <f t="shared" si="5"/>
        <v/>
      </c>
      <c r="N60" s="380" t="str">
        <f>IF($A60="","",IF($C60=0,_xlfn.LET(_xlpm.x,IFERROR(_xlfn.XLOOKUP($A60,Util_Tags,Util_XR),""),IF(N(_xlpm.x)=0,Xfmr_DefXR,_xlpm.x)),IF(LEFT($A60,2)="T-",IFERROR(_xlfn.XLOOKUP($A60,Transformers!$A$6:$A$105,Transformers!$AH$6:$AH$105),Xfmr_DefXR),IFERROR(_xlfn.XLOOKUP($E60,$A$6:$A$255,$N$6:$N$255),Xfmr_DefXR))))</f>
        <v/>
      </c>
      <c r="O60" s="177" t="str">
        <f t="shared" si="6"/>
        <v/>
      </c>
      <c r="P60" s="210" t="str">
        <f>IF($A60="","",IF(LEFT($A60,2)="T-",IF($CO60="","",_xlfn.LET(_xlpm.k,IFERROR(_xlfn.XLOOKUP($A60,Transformers!$A$6:$A$105,Transformers!$G$6:$G$105),""),_xlpm.sv,IFERROR(_xlfn.XLOOKUP($A60,Transformers!$A$6:$A$105,Transformers!$E$6:$E$105),""),IF(OR(NOT(ISNUMBER(_xlpm.k)),NOT(ISNUMBER(_xlpm.sv)),_xlpm.sv=0),"",_xlfn.LET(_xlpm.iInf,(_xlpm.k*1000/(_xlpm.sv/2))*100/$CO60,_xlpm.pri,IF(OR($CK60="",$CK60=0),"",$CK60/2),_xlpm.base,IF(_xlpm.pri="",_xlpm.iInf,_xlpm.iInf/(1+_xlpm.iInf/_xlpm.pri)),_xlpm.base+IF($L60="",0,$L60))))),IF($CP60="","",_xlfn.LET(_xlpm.pI,IFERROR(_xlfn.XLOOKUP($E60,$A$6:$A$255,$P$6:$P$255),""),IF(NOT(ISNUMBER(_xlpm.pI)),"",_xlpm.pI/(1+$CP60)+IF($L60="",0,$L60))))))</f>
        <v/>
      </c>
      <c r="Q60" s="210" t="str">
        <f t="shared" si="7"/>
        <v/>
      </c>
      <c r="R60" s="177" t="str">
        <f>IF($A60="","",IF(OR($C60=0,LEFT($A60,2)="T-"),"",IFERROR(_xlfn.LET(_xlpm.v,_xlfn.XLOOKUP($A60,Dashboard!$A$101:$A$350,Dashboard!$K$101:$K$350),IF(ISNUMBER(_xlpm.v),_xlpm.v,"")),"")))</f>
        <v/>
      </c>
      <c r="S60" s="211" t="str">
        <f t="shared" si="8"/>
        <v/>
      </c>
      <c r="T60" s="25" t="str">
        <f t="shared" si="9"/>
        <v/>
      </c>
      <c r="U60" s="364"/>
      <c r="BV60" s="20" t="str">
        <f>IF($A60="","",IFERROR(_xlfn.XLOOKUP("F-"&amp;$A60,'Feeder Schedule'!$B$5:$B$254,'Feeder Schedule'!$H$5:$H$254),""))</f>
        <v/>
      </c>
      <c r="BW60" s="20" t="str">
        <f>IF($A60="","",IFERROR(_xlfn.XLOOKUP("F-"&amp;$A60,'Feeder Schedule'!$B$5:$B$254,'Feeder Schedule'!$BV$5:$BV$254),""))</f>
        <v/>
      </c>
      <c r="BX60" s="20" t="str">
        <f>IF($A60="","",IFERROR(_xlfn.LET(_xlpm.v,_xlfn.XLOOKUP("F-"&amp;$A60,'Feeder Schedule'!$B$5:$B$254,'Feeder Schedule'!$M$5:$M$254),IF(OR(_xlpm.v="",_xlpm.v=0),Cfg_Conduit,_xlpm.v)),""))</f>
        <v/>
      </c>
      <c r="BY60" s="20" t="str">
        <f>IF($A60="","",IFERROR(_xlfn.XLOOKUP("F-"&amp;$A60,'Feeder Schedule'!$B$5:$B$254,'Feeder Schedule'!$O$5:$O$254),""))</f>
        <v/>
      </c>
      <c r="BZ60" s="20" t="str">
        <f>IF($A60="","",IFERROR(_xlfn.XLOOKUP("F-"&amp;$A60,'Feeder Schedule'!$B$5:$B$254,'Feeder Schedule'!$CH$5:$CH$254),""))</f>
        <v/>
      </c>
      <c r="CA60" s="20" t="str">
        <f>IF($A60="","",IFERROR(_xlfn.XLOOKUP("F-"&amp;$A60,'Feeder Schedule'!$B$5:$B$254,'Feeder Schedule'!$F$5:$F$254),""))</f>
        <v/>
      </c>
      <c r="CB60" s="20" t="str">
        <f>IF($A60="","",IFERROR(_xlfn.XLOOKUP("F-"&amp;$A60,'Feeder Schedule'!$B$5:$B$254,'Feeder Schedule'!$G$5:$G$254),""))</f>
        <v/>
      </c>
      <c r="CD60" s="20" t="str" cm="1">
        <f t="array" ref="CD60">IFERROR(IF($A60="","",INDEX(_xlfn.ANCHORARRAY($BK$4),ROW()-5,6)),"")</f>
        <v/>
      </c>
      <c r="CE60" s="20" t="str">
        <f t="shared" si="12"/>
        <v/>
      </c>
      <c r="CF60" s="20" t="str">
        <f t="shared" si="13"/>
        <v/>
      </c>
      <c r="CG60" s="20" t="str">
        <f t="shared" si="10"/>
        <v/>
      </c>
      <c r="CH60" s="20" t="str" cm="1">
        <f t="array" ref="CH60">IF(OR($A60="",$BZ60="",$BW60="",$BX60=""),"",_xlfn.LET(_xlpm.mag,IFERROR(_xlfn.XLOOKUP($BX60,Race_Raceway,Race_Mag),""),IF(_xlpm.mag="","",IFERROR(INDEX(Cond_Table,MATCH($BZ60,Cond_Size,0),IF(UPPER($BW60)="AL",IF(_xlpm.mag="Y",10,12),IF(_xlpm.mag="Y",9,11))),""))))</f>
        <v/>
      </c>
      <c r="CI60" s="20" t="str">
        <f t="shared" si="11"/>
        <v/>
      </c>
      <c r="CJ60" s="20" t="str">
        <f>IF(OR($A60="",LEFT($A60,2)&lt;&gt;"T-"),"",IFERROR(_xlfn.LET(_xlpm.fla,_xlfn.XLOOKUP($A60,Transformers!$A$6:$A$105,Transformers!$AK$6:$AK$105),_xlpm.z,_xlfn.XLOOKUP($A60,Transformers!$A$6:$A$105,Transformers!$AX$6:$AX$105),IF(OR(_xlpm.fla="",_xlpm.z="",_xlpm.z=0),"",_xlpm.fla*100/_xlpm.z)),""))</f>
        <v/>
      </c>
      <c r="CK60" s="20" t="str">
        <f t="shared" si="14"/>
        <v/>
      </c>
      <c r="CL60" s="20" t="str">
        <f t="shared" si="15"/>
        <v/>
      </c>
      <c r="CM60" s="373"/>
      <c r="CO60" s="20" t="str">
        <f>IF(OR($A60="",LEFT($A60,2)&lt;&gt;"T-"),"",_xlfn.LET(_xlpm.ph,IFERROR(_xlfn.XLOOKUP($A60,Transformers!$A$6:$A$105,Transformers!$C$6:$C$105),""),_xlpm.rr,IFERROR(_xlfn.XLOOKUP($A60,Transformers!$A$6:$A$105,Transformers!$AG$6:$AG$105),""),_xlpm.xx,IFERROR(_xlfn.XLOOKUP($A60,Transformers!$A$6:$A$105,Transformers!$AI$6:$AI$105),""),IF(OR(_xlpm.ph&lt;&gt;1,NOT(ISNUMBER(_xlpm.rr)),NOT(ISNUMBER(_xlpm.xx))),"",SQRT((1.5*_xlpm.rr)^2+(1.2*_xlpm.xx)^2))))</f>
        <v/>
      </c>
      <c r="CP60" s="20" t="str">
        <f t="shared" si="16"/>
        <v/>
      </c>
    </row>
    <row r="61" spans="1:94" ht="15" customHeight="1" x14ac:dyDescent="0.45">
      <c r="A61" s="275" t="str" cm="1">
        <f t="array" ref="A61">IFERROR(IF(INDEX(_xlfn.ANCHORARRAY($BK$4),ROW()-5,1)="","",INDEX(_xlfn.ANCHORARRAY($BK$4),ROW()-5,1)),"")</f>
        <v/>
      </c>
      <c r="B61" s="25" t="str" cm="1">
        <f t="array" ref="B61">IFERROR(IF($A61="","",INDEX(_xlfn.ANCHORARRAY($BK$4),ROW()-5,5)),"")</f>
        <v/>
      </c>
      <c r="C61" s="178" t="str" cm="1">
        <f t="array" ref="C61">IFERROR(IF($A61="","",INDEX(_xlfn.ANCHORARRAY($BK$4),ROW()-5,7)),"")</f>
        <v/>
      </c>
      <c r="D61" s="177" t="str" cm="1">
        <f t="array" ref="D61">IFERROR(IF($A61="","",INDEX(_xlfn.ANCHORARRAY($BK$4),ROW()-5,3)),"")</f>
        <v/>
      </c>
      <c r="E61" s="25" t="str" cm="1">
        <f t="array" ref="E61">IFERROR(IF($A61="","",INDEX(_xlfn.ANCHORARRAY($BK$4),ROW()-5,2)),"")</f>
        <v/>
      </c>
      <c r="F61" s="177" t="str">
        <f t="shared" si="0"/>
        <v/>
      </c>
      <c r="G61" s="275" t="str">
        <f t="shared" si="1"/>
        <v/>
      </c>
      <c r="H61" s="180" t="str">
        <f t="shared" si="2"/>
        <v/>
      </c>
      <c r="I61" s="180" t="str">
        <f t="shared" si="3"/>
        <v/>
      </c>
      <c r="J61" s="177" t="str">
        <f>_xlfn.LET(_xlpm.v,_xlfn.LET(_xlpm.base,IF($A61="","",IF($C61=0,IFERROR(_xlfn.XLOOKUP($A61,Util_Tags,Util_SCAEff),""),IF(LEFT($A61,2)="T-",IF($CJ61="","",$CJ61/(1+IF($CL61="",0,$CL61))),IF(OR($F61="",$I61=""),"",$F61*$I61)))),_xlpm.gtag,IF(OR($A61="",NOT(OR($B61="ATS",$B61="MTS"))),"",IFERROR(_xlfn.XLOOKUP($A61,Dashboard!$A$101:$A$350,Dashboard!$L$101:$L$350,"")&amp;"","")),_xlpm.gkva,IF(_xlpm.gtag="",0,IFERROR(N(_xlfn.XLOOKUP(_xlpm.gtag,Generator!$B$53:$B$58,Generator!$S$53:$S$58,0)),0)),_xlpm.gxd,IF(_xlpm.gtag="",0,IFERROR(N(_xlfn.XLOOKUP(_xlpm.gtag,Generator!$B$53:$B$58,Generator!$U$53:$U$58,0)),0)),_xlpm.gamp,IF(OR(_xlpm.gkva=0,_xlpm.gxd=0,N($D61)=0),0,ROUND(_xlpm.gkva*1000/(IF(N($CB61)=1,1,SQRT(3))*$D61*_xlpm.gxd),0)),IF(OR(_xlpm.gamp=0,NOT(ISNUMBER(_xlpm.base))),_xlpm.base,MAX(_xlpm.base,_xlpm.gamp))),_xlpm.ulim,IF(OR($A61="",$B61&lt;&gt;"UPS"),"",IFERROR(IF(_xlfn.XLOOKUP($A61,UPS!$B$57:$B$64,UPS!$E$57:$E$64,"")="None",_xlfn.XLOOKUP($A61,UPS!$B$57:$B$64,UPS!$U$57:$U$64,""),""),"")),IF(AND(ISNUMBER(_xlpm.v),ISNUMBER(_xlpm.ulim)),MIN(_xlpm.v,_xlpm.ulim),_xlpm.v))</f>
        <v/>
      </c>
      <c r="K61" s="176"/>
      <c r="L61" s="177" t="str">
        <f t="shared" si="4"/>
        <v/>
      </c>
      <c r="M61" s="177" t="str">
        <f t="shared" si="5"/>
        <v/>
      </c>
      <c r="N61" s="380" t="str">
        <f>IF($A61="","",IF($C61=0,_xlfn.LET(_xlpm.x,IFERROR(_xlfn.XLOOKUP($A61,Util_Tags,Util_XR),""),IF(N(_xlpm.x)=0,Xfmr_DefXR,_xlpm.x)),IF(LEFT($A61,2)="T-",IFERROR(_xlfn.XLOOKUP($A61,Transformers!$A$6:$A$105,Transformers!$AH$6:$AH$105),Xfmr_DefXR),IFERROR(_xlfn.XLOOKUP($E61,$A$6:$A$255,$N$6:$N$255),Xfmr_DefXR))))</f>
        <v/>
      </c>
      <c r="O61" s="177" t="str">
        <f t="shared" si="6"/>
        <v/>
      </c>
      <c r="P61" s="210" t="str">
        <f>IF($A61="","",IF(LEFT($A61,2)="T-",IF($CO61="","",_xlfn.LET(_xlpm.k,IFERROR(_xlfn.XLOOKUP($A61,Transformers!$A$6:$A$105,Transformers!$G$6:$G$105),""),_xlpm.sv,IFERROR(_xlfn.XLOOKUP($A61,Transformers!$A$6:$A$105,Transformers!$E$6:$E$105),""),IF(OR(NOT(ISNUMBER(_xlpm.k)),NOT(ISNUMBER(_xlpm.sv)),_xlpm.sv=0),"",_xlfn.LET(_xlpm.iInf,(_xlpm.k*1000/(_xlpm.sv/2))*100/$CO61,_xlpm.pri,IF(OR($CK61="",$CK61=0),"",$CK61/2),_xlpm.base,IF(_xlpm.pri="",_xlpm.iInf,_xlpm.iInf/(1+_xlpm.iInf/_xlpm.pri)),_xlpm.base+IF($L61="",0,$L61))))),IF($CP61="","",_xlfn.LET(_xlpm.pI,IFERROR(_xlfn.XLOOKUP($E61,$A$6:$A$255,$P$6:$P$255),""),IF(NOT(ISNUMBER(_xlpm.pI)),"",_xlpm.pI/(1+$CP61)+IF($L61="",0,$L61))))))</f>
        <v/>
      </c>
      <c r="Q61" s="210" t="str">
        <f t="shared" si="7"/>
        <v/>
      </c>
      <c r="R61" s="177" t="str">
        <f>IF($A61="","",IF(OR($C61=0,LEFT($A61,2)="T-"),"",IFERROR(_xlfn.LET(_xlpm.v,_xlfn.XLOOKUP($A61,Dashboard!$A$101:$A$350,Dashboard!$K$101:$K$350),IF(ISNUMBER(_xlpm.v),_xlpm.v,"")),"")))</f>
        <v/>
      </c>
      <c r="S61" s="211" t="str">
        <f t="shared" si="8"/>
        <v/>
      </c>
      <c r="T61" s="25" t="str">
        <f t="shared" si="9"/>
        <v/>
      </c>
      <c r="U61" s="364"/>
      <c r="BV61" s="20" t="str">
        <f>IF($A61="","",IFERROR(_xlfn.XLOOKUP("F-"&amp;$A61,'Feeder Schedule'!$B$5:$B$254,'Feeder Schedule'!$H$5:$H$254),""))</f>
        <v/>
      </c>
      <c r="BW61" s="20" t="str">
        <f>IF($A61="","",IFERROR(_xlfn.XLOOKUP("F-"&amp;$A61,'Feeder Schedule'!$B$5:$B$254,'Feeder Schedule'!$BV$5:$BV$254),""))</f>
        <v/>
      </c>
      <c r="BX61" s="20" t="str">
        <f>IF($A61="","",IFERROR(_xlfn.LET(_xlpm.v,_xlfn.XLOOKUP("F-"&amp;$A61,'Feeder Schedule'!$B$5:$B$254,'Feeder Schedule'!$M$5:$M$254),IF(OR(_xlpm.v="",_xlpm.v=0),Cfg_Conduit,_xlpm.v)),""))</f>
        <v/>
      </c>
      <c r="BY61" s="20" t="str">
        <f>IF($A61="","",IFERROR(_xlfn.XLOOKUP("F-"&amp;$A61,'Feeder Schedule'!$B$5:$B$254,'Feeder Schedule'!$O$5:$O$254),""))</f>
        <v/>
      </c>
      <c r="BZ61" s="20" t="str">
        <f>IF($A61="","",IFERROR(_xlfn.XLOOKUP("F-"&amp;$A61,'Feeder Schedule'!$B$5:$B$254,'Feeder Schedule'!$CH$5:$CH$254),""))</f>
        <v/>
      </c>
      <c r="CA61" s="20" t="str">
        <f>IF($A61="","",IFERROR(_xlfn.XLOOKUP("F-"&amp;$A61,'Feeder Schedule'!$B$5:$B$254,'Feeder Schedule'!$F$5:$F$254),""))</f>
        <v/>
      </c>
      <c r="CB61" s="20" t="str">
        <f>IF($A61="","",IFERROR(_xlfn.XLOOKUP("F-"&amp;$A61,'Feeder Schedule'!$B$5:$B$254,'Feeder Schedule'!$G$5:$G$254),""))</f>
        <v/>
      </c>
      <c r="CD61" s="20" t="str" cm="1">
        <f t="array" ref="CD61">IFERROR(IF($A61="","",INDEX(_xlfn.ANCHORARRAY($BK$4),ROW()-5,6)),"")</f>
        <v/>
      </c>
      <c r="CE61" s="20" t="str">
        <f t="shared" si="12"/>
        <v/>
      </c>
      <c r="CF61" s="20" t="str">
        <f t="shared" si="13"/>
        <v/>
      </c>
      <c r="CG61" s="20" t="str">
        <f t="shared" si="10"/>
        <v/>
      </c>
      <c r="CH61" s="20" t="str" cm="1">
        <f t="array" ref="CH61">IF(OR($A61="",$BZ61="",$BW61="",$BX61=""),"",_xlfn.LET(_xlpm.mag,IFERROR(_xlfn.XLOOKUP($BX61,Race_Raceway,Race_Mag),""),IF(_xlpm.mag="","",IFERROR(INDEX(Cond_Table,MATCH($BZ61,Cond_Size,0),IF(UPPER($BW61)="AL",IF(_xlpm.mag="Y",10,12),IF(_xlpm.mag="Y",9,11))),""))))</f>
        <v/>
      </c>
      <c r="CI61" s="20" t="str">
        <f t="shared" si="11"/>
        <v/>
      </c>
      <c r="CJ61" s="20" t="str">
        <f>IF(OR($A61="",LEFT($A61,2)&lt;&gt;"T-"),"",IFERROR(_xlfn.LET(_xlpm.fla,_xlfn.XLOOKUP($A61,Transformers!$A$6:$A$105,Transformers!$AK$6:$AK$105),_xlpm.z,_xlfn.XLOOKUP($A61,Transformers!$A$6:$A$105,Transformers!$AX$6:$AX$105),IF(OR(_xlpm.fla="",_xlpm.z="",_xlpm.z=0),"",_xlpm.fla*100/_xlpm.z)),""))</f>
        <v/>
      </c>
      <c r="CK61" s="20" t="str">
        <f t="shared" si="14"/>
        <v/>
      </c>
      <c r="CL61" s="20" t="str">
        <f t="shared" si="15"/>
        <v/>
      </c>
      <c r="CM61" s="373"/>
      <c r="CO61" s="20" t="str">
        <f>IF(OR($A61="",LEFT($A61,2)&lt;&gt;"T-"),"",_xlfn.LET(_xlpm.ph,IFERROR(_xlfn.XLOOKUP($A61,Transformers!$A$6:$A$105,Transformers!$C$6:$C$105),""),_xlpm.rr,IFERROR(_xlfn.XLOOKUP($A61,Transformers!$A$6:$A$105,Transformers!$AG$6:$AG$105),""),_xlpm.xx,IFERROR(_xlfn.XLOOKUP($A61,Transformers!$A$6:$A$105,Transformers!$AI$6:$AI$105),""),IF(OR(_xlpm.ph&lt;&gt;1,NOT(ISNUMBER(_xlpm.rr)),NOT(ISNUMBER(_xlpm.xx))),"",SQRT((1.5*_xlpm.rr)^2+(1.2*_xlpm.xx)^2))))</f>
        <v/>
      </c>
      <c r="CP61" s="20" t="str">
        <f t="shared" si="16"/>
        <v/>
      </c>
    </row>
    <row r="62" spans="1:94" ht="15" customHeight="1" x14ac:dyDescent="0.45">
      <c r="A62" s="275" t="str" cm="1">
        <f t="array" ref="A62">IFERROR(IF(INDEX(_xlfn.ANCHORARRAY($BK$4),ROW()-5,1)="","",INDEX(_xlfn.ANCHORARRAY($BK$4),ROW()-5,1)),"")</f>
        <v/>
      </c>
      <c r="B62" s="25" t="str" cm="1">
        <f t="array" ref="B62">IFERROR(IF($A62="","",INDEX(_xlfn.ANCHORARRAY($BK$4),ROW()-5,5)),"")</f>
        <v/>
      </c>
      <c r="C62" s="178" t="str" cm="1">
        <f t="array" ref="C62">IFERROR(IF($A62="","",INDEX(_xlfn.ANCHORARRAY($BK$4),ROW()-5,7)),"")</f>
        <v/>
      </c>
      <c r="D62" s="177" t="str" cm="1">
        <f t="array" ref="D62">IFERROR(IF($A62="","",INDEX(_xlfn.ANCHORARRAY($BK$4),ROW()-5,3)),"")</f>
        <v/>
      </c>
      <c r="E62" s="25" t="str" cm="1">
        <f t="array" ref="E62">IFERROR(IF($A62="","",INDEX(_xlfn.ANCHORARRAY($BK$4),ROW()-5,2)),"")</f>
        <v/>
      </c>
      <c r="F62" s="177" t="str">
        <f t="shared" si="0"/>
        <v/>
      </c>
      <c r="G62" s="275" t="str">
        <f t="shared" si="1"/>
        <v/>
      </c>
      <c r="H62" s="180" t="str">
        <f t="shared" si="2"/>
        <v/>
      </c>
      <c r="I62" s="180" t="str">
        <f t="shared" si="3"/>
        <v/>
      </c>
      <c r="J62" s="177" t="str">
        <f>_xlfn.LET(_xlpm.v,_xlfn.LET(_xlpm.base,IF($A62="","",IF($C62=0,IFERROR(_xlfn.XLOOKUP($A62,Util_Tags,Util_SCAEff),""),IF(LEFT($A62,2)="T-",IF($CJ62="","",$CJ62/(1+IF($CL62="",0,$CL62))),IF(OR($F62="",$I62=""),"",$F62*$I62)))),_xlpm.gtag,IF(OR($A62="",NOT(OR($B62="ATS",$B62="MTS"))),"",IFERROR(_xlfn.XLOOKUP($A62,Dashboard!$A$101:$A$350,Dashboard!$L$101:$L$350,"")&amp;"","")),_xlpm.gkva,IF(_xlpm.gtag="",0,IFERROR(N(_xlfn.XLOOKUP(_xlpm.gtag,Generator!$B$53:$B$58,Generator!$S$53:$S$58,0)),0)),_xlpm.gxd,IF(_xlpm.gtag="",0,IFERROR(N(_xlfn.XLOOKUP(_xlpm.gtag,Generator!$B$53:$B$58,Generator!$U$53:$U$58,0)),0)),_xlpm.gamp,IF(OR(_xlpm.gkva=0,_xlpm.gxd=0,N($D62)=0),0,ROUND(_xlpm.gkva*1000/(IF(N($CB62)=1,1,SQRT(3))*$D62*_xlpm.gxd),0)),IF(OR(_xlpm.gamp=0,NOT(ISNUMBER(_xlpm.base))),_xlpm.base,MAX(_xlpm.base,_xlpm.gamp))),_xlpm.ulim,IF(OR($A62="",$B62&lt;&gt;"UPS"),"",IFERROR(IF(_xlfn.XLOOKUP($A62,UPS!$B$57:$B$64,UPS!$E$57:$E$64,"")="None",_xlfn.XLOOKUP($A62,UPS!$B$57:$B$64,UPS!$U$57:$U$64,""),""),"")),IF(AND(ISNUMBER(_xlpm.v),ISNUMBER(_xlpm.ulim)),MIN(_xlpm.v,_xlpm.ulim),_xlpm.v))</f>
        <v/>
      </c>
      <c r="K62" s="176"/>
      <c r="L62" s="177" t="str">
        <f t="shared" si="4"/>
        <v/>
      </c>
      <c r="M62" s="177" t="str">
        <f t="shared" si="5"/>
        <v/>
      </c>
      <c r="N62" s="380" t="str">
        <f>IF($A62="","",IF($C62=0,_xlfn.LET(_xlpm.x,IFERROR(_xlfn.XLOOKUP($A62,Util_Tags,Util_XR),""),IF(N(_xlpm.x)=0,Xfmr_DefXR,_xlpm.x)),IF(LEFT($A62,2)="T-",IFERROR(_xlfn.XLOOKUP($A62,Transformers!$A$6:$A$105,Transformers!$AH$6:$AH$105),Xfmr_DefXR),IFERROR(_xlfn.XLOOKUP($E62,$A$6:$A$255,$N$6:$N$255),Xfmr_DefXR))))</f>
        <v/>
      </c>
      <c r="O62" s="177" t="str">
        <f t="shared" si="6"/>
        <v/>
      </c>
      <c r="P62" s="210" t="str">
        <f>IF($A62="","",IF(LEFT($A62,2)="T-",IF($CO62="","",_xlfn.LET(_xlpm.k,IFERROR(_xlfn.XLOOKUP($A62,Transformers!$A$6:$A$105,Transformers!$G$6:$G$105),""),_xlpm.sv,IFERROR(_xlfn.XLOOKUP($A62,Transformers!$A$6:$A$105,Transformers!$E$6:$E$105),""),IF(OR(NOT(ISNUMBER(_xlpm.k)),NOT(ISNUMBER(_xlpm.sv)),_xlpm.sv=0),"",_xlfn.LET(_xlpm.iInf,(_xlpm.k*1000/(_xlpm.sv/2))*100/$CO62,_xlpm.pri,IF(OR($CK62="",$CK62=0),"",$CK62/2),_xlpm.base,IF(_xlpm.pri="",_xlpm.iInf,_xlpm.iInf/(1+_xlpm.iInf/_xlpm.pri)),_xlpm.base+IF($L62="",0,$L62))))),IF($CP62="","",_xlfn.LET(_xlpm.pI,IFERROR(_xlfn.XLOOKUP($E62,$A$6:$A$255,$P$6:$P$255),""),IF(NOT(ISNUMBER(_xlpm.pI)),"",_xlpm.pI/(1+$CP62)+IF($L62="",0,$L62))))))</f>
        <v/>
      </c>
      <c r="Q62" s="210" t="str">
        <f t="shared" si="7"/>
        <v/>
      </c>
      <c r="R62" s="177" t="str">
        <f>IF($A62="","",IF(OR($C62=0,LEFT($A62,2)="T-"),"",IFERROR(_xlfn.LET(_xlpm.v,_xlfn.XLOOKUP($A62,Dashboard!$A$101:$A$350,Dashboard!$K$101:$K$350),IF(ISNUMBER(_xlpm.v),_xlpm.v,"")),"")))</f>
        <v/>
      </c>
      <c r="S62" s="211" t="str">
        <f t="shared" si="8"/>
        <v/>
      </c>
      <c r="T62" s="25" t="str">
        <f t="shared" si="9"/>
        <v/>
      </c>
      <c r="U62" s="364"/>
      <c r="BV62" s="20" t="str">
        <f>IF($A62="","",IFERROR(_xlfn.XLOOKUP("F-"&amp;$A62,'Feeder Schedule'!$B$5:$B$254,'Feeder Schedule'!$H$5:$H$254),""))</f>
        <v/>
      </c>
      <c r="BW62" s="20" t="str">
        <f>IF($A62="","",IFERROR(_xlfn.XLOOKUP("F-"&amp;$A62,'Feeder Schedule'!$B$5:$B$254,'Feeder Schedule'!$BV$5:$BV$254),""))</f>
        <v/>
      </c>
      <c r="BX62" s="20" t="str">
        <f>IF($A62="","",IFERROR(_xlfn.LET(_xlpm.v,_xlfn.XLOOKUP("F-"&amp;$A62,'Feeder Schedule'!$B$5:$B$254,'Feeder Schedule'!$M$5:$M$254),IF(OR(_xlpm.v="",_xlpm.v=0),Cfg_Conduit,_xlpm.v)),""))</f>
        <v/>
      </c>
      <c r="BY62" s="20" t="str">
        <f>IF($A62="","",IFERROR(_xlfn.XLOOKUP("F-"&amp;$A62,'Feeder Schedule'!$B$5:$B$254,'Feeder Schedule'!$O$5:$O$254),""))</f>
        <v/>
      </c>
      <c r="BZ62" s="20" t="str">
        <f>IF($A62="","",IFERROR(_xlfn.XLOOKUP("F-"&amp;$A62,'Feeder Schedule'!$B$5:$B$254,'Feeder Schedule'!$CH$5:$CH$254),""))</f>
        <v/>
      </c>
      <c r="CA62" s="20" t="str">
        <f>IF($A62="","",IFERROR(_xlfn.XLOOKUP("F-"&amp;$A62,'Feeder Schedule'!$B$5:$B$254,'Feeder Schedule'!$F$5:$F$254),""))</f>
        <v/>
      </c>
      <c r="CB62" s="20" t="str">
        <f>IF($A62="","",IFERROR(_xlfn.XLOOKUP("F-"&amp;$A62,'Feeder Schedule'!$B$5:$B$254,'Feeder Schedule'!$G$5:$G$254),""))</f>
        <v/>
      </c>
      <c r="CD62" s="20" t="str" cm="1">
        <f t="array" ref="CD62">IFERROR(IF($A62="","",INDEX(_xlfn.ANCHORARRAY($BK$4),ROW()-5,6)),"")</f>
        <v/>
      </c>
      <c r="CE62" s="20" t="str">
        <f t="shared" si="12"/>
        <v/>
      </c>
      <c r="CF62" s="20" t="str">
        <f t="shared" si="13"/>
        <v/>
      </c>
      <c r="CG62" s="20" t="str">
        <f t="shared" si="10"/>
        <v/>
      </c>
      <c r="CH62" s="20" t="str" cm="1">
        <f t="array" ref="CH62">IF(OR($A62="",$BZ62="",$BW62="",$BX62=""),"",_xlfn.LET(_xlpm.mag,IFERROR(_xlfn.XLOOKUP($BX62,Race_Raceway,Race_Mag),""),IF(_xlpm.mag="","",IFERROR(INDEX(Cond_Table,MATCH($BZ62,Cond_Size,0),IF(UPPER($BW62)="AL",IF(_xlpm.mag="Y",10,12),IF(_xlpm.mag="Y",9,11))),""))))</f>
        <v/>
      </c>
      <c r="CI62" s="20" t="str">
        <f t="shared" si="11"/>
        <v/>
      </c>
      <c r="CJ62" s="20" t="str">
        <f>IF(OR($A62="",LEFT($A62,2)&lt;&gt;"T-"),"",IFERROR(_xlfn.LET(_xlpm.fla,_xlfn.XLOOKUP($A62,Transformers!$A$6:$A$105,Transformers!$AK$6:$AK$105),_xlpm.z,_xlfn.XLOOKUP($A62,Transformers!$A$6:$A$105,Transformers!$AX$6:$AX$105),IF(OR(_xlpm.fla="",_xlpm.z="",_xlpm.z=0),"",_xlpm.fla*100/_xlpm.z)),""))</f>
        <v/>
      </c>
      <c r="CK62" s="20" t="str">
        <f t="shared" si="14"/>
        <v/>
      </c>
      <c r="CL62" s="20" t="str">
        <f t="shared" si="15"/>
        <v/>
      </c>
      <c r="CM62" s="373"/>
      <c r="CO62" s="20" t="str">
        <f>IF(OR($A62="",LEFT($A62,2)&lt;&gt;"T-"),"",_xlfn.LET(_xlpm.ph,IFERROR(_xlfn.XLOOKUP($A62,Transformers!$A$6:$A$105,Transformers!$C$6:$C$105),""),_xlpm.rr,IFERROR(_xlfn.XLOOKUP($A62,Transformers!$A$6:$A$105,Transformers!$AG$6:$AG$105),""),_xlpm.xx,IFERROR(_xlfn.XLOOKUP($A62,Transformers!$A$6:$A$105,Transformers!$AI$6:$AI$105),""),IF(OR(_xlpm.ph&lt;&gt;1,NOT(ISNUMBER(_xlpm.rr)),NOT(ISNUMBER(_xlpm.xx))),"",SQRT((1.5*_xlpm.rr)^2+(1.2*_xlpm.xx)^2))))</f>
        <v/>
      </c>
      <c r="CP62" s="20" t="str">
        <f t="shared" si="16"/>
        <v/>
      </c>
    </row>
    <row r="63" spans="1:94" ht="15" customHeight="1" x14ac:dyDescent="0.45">
      <c r="A63" s="275" t="str" cm="1">
        <f t="array" ref="A63">IFERROR(IF(INDEX(_xlfn.ANCHORARRAY($BK$4),ROW()-5,1)="","",INDEX(_xlfn.ANCHORARRAY($BK$4),ROW()-5,1)),"")</f>
        <v/>
      </c>
      <c r="B63" s="25" t="str" cm="1">
        <f t="array" ref="B63">IFERROR(IF($A63="","",INDEX(_xlfn.ANCHORARRAY($BK$4),ROW()-5,5)),"")</f>
        <v/>
      </c>
      <c r="C63" s="178" t="str" cm="1">
        <f t="array" ref="C63">IFERROR(IF($A63="","",INDEX(_xlfn.ANCHORARRAY($BK$4),ROW()-5,7)),"")</f>
        <v/>
      </c>
      <c r="D63" s="177" t="str" cm="1">
        <f t="array" ref="D63">IFERROR(IF($A63="","",INDEX(_xlfn.ANCHORARRAY($BK$4),ROW()-5,3)),"")</f>
        <v/>
      </c>
      <c r="E63" s="25" t="str" cm="1">
        <f t="array" ref="E63">IFERROR(IF($A63="","",INDEX(_xlfn.ANCHORARRAY($BK$4),ROW()-5,2)),"")</f>
        <v/>
      </c>
      <c r="F63" s="177" t="str">
        <f t="shared" si="0"/>
        <v/>
      </c>
      <c r="G63" s="275" t="str">
        <f t="shared" si="1"/>
        <v/>
      </c>
      <c r="H63" s="180" t="str">
        <f t="shared" si="2"/>
        <v/>
      </c>
      <c r="I63" s="180" t="str">
        <f t="shared" si="3"/>
        <v/>
      </c>
      <c r="J63" s="177" t="str">
        <f>_xlfn.LET(_xlpm.v,_xlfn.LET(_xlpm.base,IF($A63="","",IF($C63=0,IFERROR(_xlfn.XLOOKUP($A63,Util_Tags,Util_SCAEff),""),IF(LEFT($A63,2)="T-",IF($CJ63="","",$CJ63/(1+IF($CL63="",0,$CL63))),IF(OR($F63="",$I63=""),"",$F63*$I63)))),_xlpm.gtag,IF(OR($A63="",NOT(OR($B63="ATS",$B63="MTS"))),"",IFERROR(_xlfn.XLOOKUP($A63,Dashboard!$A$101:$A$350,Dashboard!$L$101:$L$350,"")&amp;"","")),_xlpm.gkva,IF(_xlpm.gtag="",0,IFERROR(N(_xlfn.XLOOKUP(_xlpm.gtag,Generator!$B$53:$B$58,Generator!$S$53:$S$58,0)),0)),_xlpm.gxd,IF(_xlpm.gtag="",0,IFERROR(N(_xlfn.XLOOKUP(_xlpm.gtag,Generator!$B$53:$B$58,Generator!$U$53:$U$58,0)),0)),_xlpm.gamp,IF(OR(_xlpm.gkva=0,_xlpm.gxd=0,N($D63)=0),0,ROUND(_xlpm.gkva*1000/(IF(N($CB63)=1,1,SQRT(3))*$D63*_xlpm.gxd),0)),IF(OR(_xlpm.gamp=0,NOT(ISNUMBER(_xlpm.base))),_xlpm.base,MAX(_xlpm.base,_xlpm.gamp))),_xlpm.ulim,IF(OR($A63="",$B63&lt;&gt;"UPS"),"",IFERROR(IF(_xlfn.XLOOKUP($A63,UPS!$B$57:$B$64,UPS!$E$57:$E$64,"")="None",_xlfn.XLOOKUP($A63,UPS!$B$57:$B$64,UPS!$U$57:$U$64,""),""),"")),IF(AND(ISNUMBER(_xlpm.v),ISNUMBER(_xlpm.ulim)),MIN(_xlpm.v,_xlpm.ulim),_xlpm.v))</f>
        <v/>
      </c>
      <c r="K63" s="176"/>
      <c r="L63" s="177" t="str">
        <f t="shared" si="4"/>
        <v/>
      </c>
      <c r="M63" s="177" t="str">
        <f t="shared" si="5"/>
        <v/>
      </c>
      <c r="N63" s="380" t="str">
        <f>IF($A63="","",IF($C63=0,_xlfn.LET(_xlpm.x,IFERROR(_xlfn.XLOOKUP($A63,Util_Tags,Util_XR),""),IF(N(_xlpm.x)=0,Xfmr_DefXR,_xlpm.x)),IF(LEFT($A63,2)="T-",IFERROR(_xlfn.XLOOKUP($A63,Transformers!$A$6:$A$105,Transformers!$AH$6:$AH$105),Xfmr_DefXR),IFERROR(_xlfn.XLOOKUP($E63,$A$6:$A$255,$N$6:$N$255),Xfmr_DefXR))))</f>
        <v/>
      </c>
      <c r="O63" s="177" t="str">
        <f t="shared" si="6"/>
        <v/>
      </c>
      <c r="P63" s="210" t="str">
        <f>IF($A63="","",IF(LEFT($A63,2)="T-",IF($CO63="","",_xlfn.LET(_xlpm.k,IFERROR(_xlfn.XLOOKUP($A63,Transformers!$A$6:$A$105,Transformers!$G$6:$G$105),""),_xlpm.sv,IFERROR(_xlfn.XLOOKUP($A63,Transformers!$A$6:$A$105,Transformers!$E$6:$E$105),""),IF(OR(NOT(ISNUMBER(_xlpm.k)),NOT(ISNUMBER(_xlpm.sv)),_xlpm.sv=0),"",_xlfn.LET(_xlpm.iInf,(_xlpm.k*1000/(_xlpm.sv/2))*100/$CO63,_xlpm.pri,IF(OR($CK63="",$CK63=0),"",$CK63/2),_xlpm.base,IF(_xlpm.pri="",_xlpm.iInf,_xlpm.iInf/(1+_xlpm.iInf/_xlpm.pri)),_xlpm.base+IF($L63="",0,$L63))))),IF($CP63="","",_xlfn.LET(_xlpm.pI,IFERROR(_xlfn.XLOOKUP($E63,$A$6:$A$255,$P$6:$P$255),""),IF(NOT(ISNUMBER(_xlpm.pI)),"",_xlpm.pI/(1+$CP63)+IF($L63="",0,$L63))))))</f>
        <v/>
      </c>
      <c r="Q63" s="210" t="str">
        <f t="shared" si="7"/>
        <v/>
      </c>
      <c r="R63" s="177" t="str">
        <f>IF($A63="","",IF(OR($C63=0,LEFT($A63,2)="T-"),"",IFERROR(_xlfn.LET(_xlpm.v,_xlfn.XLOOKUP($A63,Dashboard!$A$101:$A$350,Dashboard!$K$101:$K$350),IF(ISNUMBER(_xlpm.v),_xlpm.v,"")),"")))</f>
        <v/>
      </c>
      <c r="S63" s="211" t="str">
        <f t="shared" si="8"/>
        <v/>
      </c>
      <c r="T63" s="25" t="str">
        <f t="shared" si="9"/>
        <v/>
      </c>
      <c r="U63" s="364"/>
      <c r="BV63" s="20" t="str">
        <f>IF($A63="","",IFERROR(_xlfn.XLOOKUP("F-"&amp;$A63,'Feeder Schedule'!$B$5:$B$254,'Feeder Schedule'!$H$5:$H$254),""))</f>
        <v/>
      </c>
      <c r="BW63" s="20" t="str">
        <f>IF($A63="","",IFERROR(_xlfn.XLOOKUP("F-"&amp;$A63,'Feeder Schedule'!$B$5:$B$254,'Feeder Schedule'!$BV$5:$BV$254),""))</f>
        <v/>
      </c>
      <c r="BX63" s="20" t="str">
        <f>IF($A63="","",IFERROR(_xlfn.LET(_xlpm.v,_xlfn.XLOOKUP("F-"&amp;$A63,'Feeder Schedule'!$B$5:$B$254,'Feeder Schedule'!$M$5:$M$254),IF(OR(_xlpm.v="",_xlpm.v=0),Cfg_Conduit,_xlpm.v)),""))</f>
        <v/>
      </c>
      <c r="BY63" s="20" t="str">
        <f>IF($A63="","",IFERROR(_xlfn.XLOOKUP("F-"&amp;$A63,'Feeder Schedule'!$B$5:$B$254,'Feeder Schedule'!$O$5:$O$254),""))</f>
        <v/>
      </c>
      <c r="BZ63" s="20" t="str">
        <f>IF($A63="","",IFERROR(_xlfn.XLOOKUP("F-"&amp;$A63,'Feeder Schedule'!$B$5:$B$254,'Feeder Schedule'!$CH$5:$CH$254),""))</f>
        <v/>
      </c>
      <c r="CA63" s="20" t="str">
        <f>IF($A63="","",IFERROR(_xlfn.XLOOKUP("F-"&amp;$A63,'Feeder Schedule'!$B$5:$B$254,'Feeder Schedule'!$F$5:$F$254),""))</f>
        <v/>
      </c>
      <c r="CB63" s="20" t="str">
        <f>IF($A63="","",IFERROR(_xlfn.XLOOKUP("F-"&amp;$A63,'Feeder Schedule'!$B$5:$B$254,'Feeder Schedule'!$G$5:$G$254),""))</f>
        <v/>
      </c>
      <c r="CD63" s="20" t="str" cm="1">
        <f t="array" ref="CD63">IFERROR(IF($A63="","",INDEX(_xlfn.ANCHORARRAY($BK$4),ROW()-5,6)),"")</f>
        <v/>
      </c>
      <c r="CE63" s="20" t="str">
        <f t="shared" si="12"/>
        <v/>
      </c>
      <c r="CF63" s="20" t="str">
        <f t="shared" si="13"/>
        <v/>
      </c>
      <c r="CG63" s="20" t="str">
        <f t="shared" si="10"/>
        <v/>
      </c>
      <c r="CH63" s="20" t="str" cm="1">
        <f t="array" ref="CH63">IF(OR($A63="",$BZ63="",$BW63="",$BX63=""),"",_xlfn.LET(_xlpm.mag,IFERROR(_xlfn.XLOOKUP($BX63,Race_Raceway,Race_Mag),""),IF(_xlpm.mag="","",IFERROR(INDEX(Cond_Table,MATCH($BZ63,Cond_Size,0),IF(UPPER($BW63)="AL",IF(_xlpm.mag="Y",10,12),IF(_xlpm.mag="Y",9,11))),""))))</f>
        <v/>
      </c>
      <c r="CI63" s="20" t="str">
        <f t="shared" si="11"/>
        <v/>
      </c>
      <c r="CJ63" s="20" t="str">
        <f>IF(OR($A63="",LEFT($A63,2)&lt;&gt;"T-"),"",IFERROR(_xlfn.LET(_xlpm.fla,_xlfn.XLOOKUP($A63,Transformers!$A$6:$A$105,Transformers!$AK$6:$AK$105),_xlpm.z,_xlfn.XLOOKUP($A63,Transformers!$A$6:$A$105,Transformers!$AX$6:$AX$105),IF(OR(_xlpm.fla="",_xlpm.z="",_xlpm.z=0),"",_xlpm.fla*100/_xlpm.z)),""))</f>
        <v/>
      </c>
      <c r="CK63" s="20" t="str">
        <f t="shared" si="14"/>
        <v/>
      </c>
      <c r="CL63" s="20" t="str">
        <f t="shared" si="15"/>
        <v/>
      </c>
      <c r="CM63" s="373"/>
      <c r="CO63" s="20" t="str">
        <f>IF(OR($A63="",LEFT($A63,2)&lt;&gt;"T-"),"",_xlfn.LET(_xlpm.ph,IFERROR(_xlfn.XLOOKUP($A63,Transformers!$A$6:$A$105,Transformers!$C$6:$C$105),""),_xlpm.rr,IFERROR(_xlfn.XLOOKUP($A63,Transformers!$A$6:$A$105,Transformers!$AG$6:$AG$105),""),_xlpm.xx,IFERROR(_xlfn.XLOOKUP($A63,Transformers!$A$6:$A$105,Transformers!$AI$6:$AI$105),""),IF(OR(_xlpm.ph&lt;&gt;1,NOT(ISNUMBER(_xlpm.rr)),NOT(ISNUMBER(_xlpm.xx))),"",SQRT((1.5*_xlpm.rr)^2+(1.2*_xlpm.xx)^2))))</f>
        <v/>
      </c>
      <c r="CP63" s="20" t="str">
        <f t="shared" si="16"/>
        <v/>
      </c>
    </row>
    <row r="64" spans="1:94" ht="15" customHeight="1" x14ac:dyDescent="0.45">
      <c r="A64" s="275" t="str" cm="1">
        <f t="array" ref="A64">IFERROR(IF(INDEX(_xlfn.ANCHORARRAY($BK$4),ROW()-5,1)="","",INDEX(_xlfn.ANCHORARRAY($BK$4),ROW()-5,1)),"")</f>
        <v/>
      </c>
      <c r="B64" s="25" t="str" cm="1">
        <f t="array" ref="B64">IFERROR(IF($A64="","",INDEX(_xlfn.ANCHORARRAY($BK$4),ROW()-5,5)),"")</f>
        <v/>
      </c>
      <c r="C64" s="178" t="str" cm="1">
        <f t="array" ref="C64">IFERROR(IF($A64="","",INDEX(_xlfn.ANCHORARRAY($BK$4),ROW()-5,7)),"")</f>
        <v/>
      </c>
      <c r="D64" s="177" t="str" cm="1">
        <f t="array" ref="D64">IFERROR(IF($A64="","",INDEX(_xlfn.ANCHORARRAY($BK$4),ROW()-5,3)),"")</f>
        <v/>
      </c>
      <c r="E64" s="25" t="str" cm="1">
        <f t="array" ref="E64">IFERROR(IF($A64="","",INDEX(_xlfn.ANCHORARRAY($BK$4),ROW()-5,2)),"")</f>
        <v/>
      </c>
      <c r="F64" s="177" t="str">
        <f t="shared" si="0"/>
        <v/>
      </c>
      <c r="G64" s="275" t="str">
        <f t="shared" si="1"/>
        <v/>
      </c>
      <c r="H64" s="180" t="str">
        <f t="shared" si="2"/>
        <v/>
      </c>
      <c r="I64" s="180" t="str">
        <f t="shared" si="3"/>
        <v/>
      </c>
      <c r="J64" s="177" t="str">
        <f>_xlfn.LET(_xlpm.v,_xlfn.LET(_xlpm.base,IF($A64="","",IF($C64=0,IFERROR(_xlfn.XLOOKUP($A64,Util_Tags,Util_SCAEff),""),IF(LEFT($A64,2)="T-",IF($CJ64="","",$CJ64/(1+IF($CL64="",0,$CL64))),IF(OR($F64="",$I64=""),"",$F64*$I64)))),_xlpm.gtag,IF(OR($A64="",NOT(OR($B64="ATS",$B64="MTS"))),"",IFERROR(_xlfn.XLOOKUP($A64,Dashboard!$A$101:$A$350,Dashboard!$L$101:$L$350,"")&amp;"","")),_xlpm.gkva,IF(_xlpm.gtag="",0,IFERROR(N(_xlfn.XLOOKUP(_xlpm.gtag,Generator!$B$53:$B$58,Generator!$S$53:$S$58,0)),0)),_xlpm.gxd,IF(_xlpm.gtag="",0,IFERROR(N(_xlfn.XLOOKUP(_xlpm.gtag,Generator!$B$53:$B$58,Generator!$U$53:$U$58,0)),0)),_xlpm.gamp,IF(OR(_xlpm.gkva=0,_xlpm.gxd=0,N($D64)=0),0,ROUND(_xlpm.gkva*1000/(IF(N($CB64)=1,1,SQRT(3))*$D64*_xlpm.gxd),0)),IF(OR(_xlpm.gamp=0,NOT(ISNUMBER(_xlpm.base))),_xlpm.base,MAX(_xlpm.base,_xlpm.gamp))),_xlpm.ulim,IF(OR($A64="",$B64&lt;&gt;"UPS"),"",IFERROR(IF(_xlfn.XLOOKUP($A64,UPS!$B$57:$B$64,UPS!$E$57:$E$64,"")="None",_xlfn.XLOOKUP($A64,UPS!$B$57:$B$64,UPS!$U$57:$U$64,""),""),"")),IF(AND(ISNUMBER(_xlpm.v),ISNUMBER(_xlpm.ulim)),MIN(_xlpm.v,_xlpm.ulim),_xlpm.v))</f>
        <v/>
      </c>
      <c r="K64" s="176"/>
      <c r="L64" s="177" t="str">
        <f t="shared" si="4"/>
        <v/>
      </c>
      <c r="M64" s="177" t="str">
        <f t="shared" si="5"/>
        <v/>
      </c>
      <c r="N64" s="380" t="str">
        <f>IF($A64="","",IF($C64=0,_xlfn.LET(_xlpm.x,IFERROR(_xlfn.XLOOKUP($A64,Util_Tags,Util_XR),""),IF(N(_xlpm.x)=0,Xfmr_DefXR,_xlpm.x)),IF(LEFT($A64,2)="T-",IFERROR(_xlfn.XLOOKUP($A64,Transformers!$A$6:$A$105,Transformers!$AH$6:$AH$105),Xfmr_DefXR),IFERROR(_xlfn.XLOOKUP($E64,$A$6:$A$255,$N$6:$N$255),Xfmr_DefXR))))</f>
        <v/>
      </c>
      <c r="O64" s="177" t="str">
        <f t="shared" si="6"/>
        <v/>
      </c>
      <c r="P64" s="210" t="str">
        <f>IF($A64="","",IF(LEFT($A64,2)="T-",IF($CO64="","",_xlfn.LET(_xlpm.k,IFERROR(_xlfn.XLOOKUP($A64,Transformers!$A$6:$A$105,Transformers!$G$6:$G$105),""),_xlpm.sv,IFERROR(_xlfn.XLOOKUP($A64,Transformers!$A$6:$A$105,Transformers!$E$6:$E$105),""),IF(OR(NOT(ISNUMBER(_xlpm.k)),NOT(ISNUMBER(_xlpm.sv)),_xlpm.sv=0),"",_xlfn.LET(_xlpm.iInf,(_xlpm.k*1000/(_xlpm.sv/2))*100/$CO64,_xlpm.pri,IF(OR($CK64="",$CK64=0),"",$CK64/2),_xlpm.base,IF(_xlpm.pri="",_xlpm.iInf,_xlpm.iInf/(1+_xlpm.iInf/_xlpm.pri)),_xlpm.base+IF($L64="",0,$L64))))),IF($CP64="","",_xlfn.LET(_xlpm.pI,IFERROR(_xlfn.XLOOKUP($E64,$A$6:$A$255,$P$6:$P$255),""),IF(NOT(ISNUMBER(_xlpm.pI)),"",_xlpm.pI/(1+$CP64)+IF($L64="",0,$L64))))))</f>
        <v/>
      </c>
      <c r="Q64" s="210" t="str">
        <f t="shared" si="7"/>
        <v/>
      </c>
      <c r="R64" s="177" t="str">
        <f>IF($A64="","",IF(OR($C64=0,LEFT($A64,2)="T-"),"",IFERROR(_xlfn.LET(_xlpm.v,_xlfn.XLOOKUP($A64,Dashboard!$A$101:$A$350,Dashboard!$K$101:$K$350),IF(ISNUMBER(_xlpm.v),_xlpm.v,"")),"")))</f>
        <v/>
      </c>
      <c r="S64" s="211" t="str">
        <f t="shared" si="8"/>
        <v/>
      </c>
      <c r="T64" s="25" t="str">
        <f t="shared" si="9"/>
        <v/>
      </c>
      <c r="U64" s="364"/>
      <c r="BV64" s="20" t="str">
        <f>IF($A64="","",IFERROR(_xlfn.XLOOKUP("F-"&amp;$A64,'Feeder Schedule'!$B$5:$B$254,'Feeder Schedule'!$H$5:$H$254),""))</f>
        <v/>
      </c>
      <c r="BW64" s="20" t="str">
        <f>IF($A64="","",IFERROR(_xlfn.XLOOKUP("F-"&amp;$A64,'Feeder Schedule'!$B$5:$B$254,'Feeder Schedule'!$BV$5:$BV$254),""))</f>
        <v/>
      </c>
      <c r="BX64" s="20" t="str">
        <f>IF($A64="","",IFERROR(_xlfn.LET(_xlpm.v,_xlfn.XLOOKUP("F-"&amp;$A64,'Feeder Schedule'!$B$5:$B$254,'Feeder Schedule'!$M$5:$M$254),IF(OR(_xlpm.v="",_xlpm.v=0),Cfg_Conduit,_xlpm.v)),""))</f>
        <v/>
      </c>
      <c r="BY64" s="20" t="str">
        <f>IF($A64="","",IFERROR(_xlfn.XLOOKUP("F-"&amp;$A64,'Feeder Schedule'!$B$5:$B$254,'Feeder Schedule'!$O$5:$O$254),""))</f>
        <v/>
      </c>
      <c r="BZ64" s="20" t="str">
        <f>IF($A64="","",IFERROR(_xlfn.XLOOKUP("F-"&amp;$A64,'Feeder Schedule'!$B$5:$B$254,'Feeder Schedule'!$CH$5:$CH$254),""))</f>
        <v/>
      </c>
      <c r="CA64" s="20" t="str">
        <f>IF($A64="","",IFERROR(_xlfn.XLOOKUP("F-"&amp;$A64,'Feeder Schedule'!$B$5:$B$254,'Feeder Schedule'!$F$5:$F$254),""))</f>
        <v/>
      </c>
      <c r="CB64" s="20" t="str">
        <f>IF($A64="","",IFERROR(_xlfn.XLOOKUP("F-"&amp;$A64,'Feeder Schedule'!$B$5:$B$254,'Feeder Schedule'!$G$5:$G$254),""))</f>
        <v/>
      </c>
      <c r="CD64" s="20" t="str" cm="1">
        <f t="array" ref="CD64">IFERROR(IF($A64="","",INDEX(_xlfn.ANCHORARRAY($BK$4),ROW()-5,6)),"")</f>
        <v/>
      </c>
      <c r="CE64" s="20" t="str">
        <f t="shared" si="12"/>
        <v/>
      </c>
      <c r="CF64" s="20" t="str">
        <f t="shared" si="13"/>
        <v/>
      </c>
      <c r="CG64" s="20" t="str">
        <f t="shared" si="10"/>
        <v/>
      </c>
      <c r="CH64" s="20" t="str" cm="1">
        <f t="array" ref="CH64">IF(OR($A64="",$BZ64="",$BW64="",$BX64=""),"",_xlfn.LET(_xlpm.mag,IFERROR(_xlfn.XLOOKUP($BX64,Race_Raceway,Race_Mag),""),IF(_xlpm.mag="","",IFERROR(INDEX(Cond_Table,MATCH($BZ64,Cond_Size,0),IF(UPPER($BW64)="AL",IF(_xlpm.mag="Y",10,12),IF(_xlpm.mag="Y",9,11))),""))))</f>
        <v/>
      </c>
      <c r="CI64" s="20" t="str">
        <f t="shared" si="11"/>
        <v/>
      </c>
      <c r="CJ64" s="20" t="str">
        <f>IF(OR($A64="",LEFT($A64,2)&lt;&gt;"T-"),"",IFERROR(_xlfn.LET(_xlpm.fla,_xlfn.XLOOKUP($A64,Transformers!$A$6:$A$105,Transformers!$AK$6:$AK$105),_xlpm.z,_xlfn.XLOOKUP($A64,Transformers!$A$6:$A$105,Transformers!$AX$6:$AX$105),IF(OR(_xlpm.fla="",_xlpm.z="",_xlpm.z=0),"",_xlpm.fla*100/_xlpm.z)),""))</f>
        <v/>
      </c>
      <c r="CK64" s="20" t="str">
        <f t="shared" si="14"/>
        <v/>
      </c>
      <c r="CL64" s="20" t="str">
        <f t="shared" si="15"/>
        <v/>
      </c>
      <c r="CM64" s="373"/>
      <c r="CO64" s="20" t="str">
        <f>IF(OR($A64="",LEFT($A64,2)&lt;&gt;"T-"),"",_xlfn.LET(_xlpm.ph,IFERROR(_xlfn.XLOOKUP($A64,Transformers!$A$6:$A$105,Transformers!$C$6:$C$105),""),_xlpm.rr,IFERROR(_xlfn.XLOOKUP($A64,Transformers!$A$6:$A$105,Transformers!$AG$6:$AG$105),""),_xlpm.xx,IFERROR(_xlfn.XLOOKUP($A64,Transformers!$A$6:$A$105,Transformers!$AI$6:$AI$105),""),IF(OR(_xlpm.ph&lt;&gt;1,NOT(ISNUMBER(_xlpm.rr)),NOT(ISNUMBER(_xlpm.xx))),"",SQRT((1.5*_xlpm.rr)^2+(1.2*_xlpm.xx)^2))))</f>
        <v/>
      </c>
      <c r="CP64" s="20" t="str">
        <f t="shared" si="16"/>
        <v/>
      </c>
    </row>
    <row r="65" spans="1:94" ht="15" customHeight="1" x14ac:dyDescent="0.45">
      <c r="A65" s="275" t="str" cm="1">
        <f t="array" ref="A65">IFERROR(IF(INDEX(_xlfn.ANCHORARRAY($BK$4),ROW()-5,1)="","",INDEX(_xlfn.ANCHORARRAY($BK$4),ROW()-5,1)),"")</f>
        <v/>
      </c>
      <c r="B65" s="25" t="str" cm="1">
        <f t="array" ref="B65">IFERROR(IF($A65="","",INDEX(_xlfn.ANCHORARRAY($BK$4),ROW()-5,5)),"")</f>
        <v/>
      </c>
      <c r="C65" s="178" t="str" cm="1">
        <f t="array" ref="C65">IFERROR(IF($A65="","",INDEX(_xlfn.ANCHORARRAY($BK$4),ROW()-5,7)),"")</f>
        <v/>
      </c>
      <c r="D65" s="177" t="str" cm="1">
        <f t="array" ref="D65">IFERROR(IF($A65="","",INDEX(_xlfn.ANCHORARRAY($BK$4),ROW()-5,3)),"")</f>
        <v/>
      </c>
      <c r="E65" s="25" t="str" cm="1">
        <f t="array" ref="E65">IFERROR(IF($A65="","",INDEX(_xlfn.ANCHORARRAY($BK$4),ROW()-5,2)),"")</f>
        <v/>
      </c>
      <c r="F65" s="177" t="str">
        <f t="shared" si="0"/>
        <v/>
      </c>
      <c r="G65" s="275" t="str">
        <f t="shared" si="1"/>
        <v/>
      </c>
      <c r="H65" s="180" t="str">
        <f t="shared" si="2"/>
        <v/>
      </c>
      <c r="I65" s="180" t="str">
        <f t="shared" si="3"/>
        <v/>
      </c>
      <c r="J65" s="177" t="str">
        <f>_xlfn.LET(_xlpm.v,_xlfn.LET(_xlpm.base,IF($A65="","",IF($C65=0,IFERROR(_xlfn.XLOOKUP($A65,Util_Tags,Util_SCAEff),""),IF(LEFT($A65,2)="T-",IF($CJ65="","",$CJ65/(1+IF($CL65="",0,$CL65))),IF(OR($F65="",$I65=""),"",$F65*$I65)))),_xlpm.gtag,IF(OR($A65="",NOT(OR($B65="ATS",$B65="MTS"))),"",IFERROR(_xlfn.XLOOKUP($A65,Dashboard!$A$101:$A$350,Dashboard!$L$101:$L$350,"")&amp;"","")),_xlpm.gkva,IF(_xlpm.gtag="",0,IFERROR(N(_xlfn.XLOOKUP(_xlpm.gtag,Generator!$B$53:$B$58,Generator!$S$53:$S$58,0)),0)),_xlpm.gxd,IF(_xlpm.gtag="",0,IFERROR(N(_xlfn.XLOOKUP(_xlpm.gtag,Generator!$B$53:$B$58,Generator!$U$53:$U$58,0)),0)),_xlpm.gamp,IF(OR(_xlpm.gkva=0,_xlpm.gxd=0,N($D65)=0),0,ROUND(_xlpm.gkva*1000/(IF(N($CB65)=1,1,SQRT(3))*$D65*_xlpm.gxd),0)),IF(OR(_xlpm.gamp=0,NOT(ISNUMBER(_xlpm.base))),_xlpm.base,MAX(_xlpm.base,_xlpm.gamp))),_xlpm.ulim,IF(OR($A65="",$B65&lt;&gt;"UPS"),"",IFERROR(IF(_xlfn.XLOOKUP($A65,UPS!$B$57:$B$64,UPS!$E$57:$E$64,"")="None",_xlfn.XLOOKUP($A65,UPS!$B$57:$B$64,UPS!$U$57:$U$64,""),""),"")),IF(AND(ISNUMBER(_xlpm.v),ISNUMBER(_xlpm.ulim)),MIN(_xlpm.v,_xlpm.ulim),_xlpm.v))</f>
        <v/>
      </c>
      <c r="K65" s="176"/>
      <c r="L65" s="177" t="str">
        <f t="shared" si="4"/>
        <v/>
      </c>
      <c r="M65" s="177" t="str">
        <f t="shared" si="5"/>
        <v/>
      </c>
      <c r="N65" s="380" t="str">
        <f>IF($A65="","",IF($C65=0,_xlfn.LET(_xlpm.x,IFERROR(_xlfn.XLOOKUP($A65,Util_Tags,Util_XR),""),IF(N(_xlpm.x)=0,Xfmr_DefXR,_xlpm.x)),IF(LEFT($A65,2)="T-",IFERROR(_xlfn.XLOOKUP($A65,Transformers!$A$6:$A$105,Transformers!$AH$6:$AH$105),Xfmr_DefXR),IFERROR(_xlfn.XLOOKUP($E65,$A$6:$A$255,$N$6:$N$255),Xfmr_DefXR))))</f>
        <v/>
      </c>
      <c r="O65" s="177" t="str">
        <f t="shared" si="6"/>
        <v/>
      </c>
      <c r="P65" s="210" t="str">
        <f>IF($A65="","",IF(LEFT($A65,2)="T-",IF($CO65="","",_xlfn.LET(_xlpm.k,IFERROR(_xlfn.XLOOKUP($A65,Transformers!$A$6:$A$105,Transformers!$G$6:$G$105),""),_xlpm.sv,IFERROR(_xlfn.XLOOKUP($A65,Transformers!$A$6:$A$105,Transformers!$E$6:$E$105),""),IF(OR(NOT(ISNUMBER(_xlpm.k)),NOT(ISNUMBER(_xlpm.sv)),_xlpm.sv=0),"",_xlfn.LET(_xlpm.iInf,(_xlpm.k*1000/(_xlpm.sv/2))*100/$CO65,_xlpm.pri,IF(OR($CK65="",$CK65=0),"",$CK65/2),_xlpm.base,IF(_xlpm.pri="",_xlpm.iInf,_xlpm.iInf/(1+_xlpm.iInf/_xlpm.pri)),_xlpm.base+IF($L65="",0,$L65))))),IF($CP65="","",_xlfn.LET(_xlpm.pI,IFERROR(_xlfn.XLOOKUP($E65,$A$6:$A$255,$P$6:$P$255),""),IF(NOT(ISNUMBER(_xlpm.pI)),"",_xlpm.pI/(1+$CP65)+IF($L65="",0,$L65))))))</f>
        <v/>
      </c>
      <c r="Q65" s="210" t="str">
        <f t="shared" si="7"/>
        <v/>
      </c>
      <c r="R65" s="177" t="str">
        <f>IF($A65="","",IF(OR($C65=0,LEFT($A65,2)="T-"),"",IFERROR(_xlfn.LET(_xlpm.v,_xlfn.XLOOKUP($A65,Dashboard!$A$101:$A$350,Dashboard!$K$101:$K$350),IF(ISNUMBER(_xlpm.v),_xlpm.v,"")),"")))</f>
        <v/>
      </c>
      <c r="S65" s="211" t="str">
        <f t="shared" si="8"/>
        <v/>
      </c>
      <c r="T65" s="25" t="str">
        <f t="shared" si="9"/>
        <v/>
      </c>
      <c r="U65" s="364"/>
      <c r="BV65" s="20" t="str">
        <f>IF($A65="","",IFERROR(_xlfn.XLOOKUP("F-"&amp;$A65,'Feeder Schedule'!$B$5:$B$254,'Feeder Schedule'!$H$5:$H$254),""))</f>
        <v/>
      </c>
      <c r="BW65" s="20" t="str">
        <f>IF($A65="","",IFERROR(_xlfn.XLOOKUP("F-"&amp;$A65,'Feeder Schedule'!$B$5:$B$254,'Feeder Schedule'!$BV$5:$BV$254),""))</f>
        <v/>
      </c>
      <c r="BX65" s="20" t="str">
        <f>IF($A65="","",IFERROR(_xlfn.LET(_xlpm.v,_xlfn.XLOOKUP("F-"&amp;$A65,'Feeder Schedule'!$B$5:$B$254,'Feeder Schedule'!$M$5:$M$254),IF(OR(_xlpm.v="",_xlpm.v=0),Cfg_Conduit,_xlpm.v)),""))</f>
        <v/>
      </c>
      <c r="BY65" s="20" t="str">
        <f>IF($A65="","",IFERROR(_xlfn.XLOOKUP("F-"&amp;$A65,'Feeder Schedule'!$B$5:$B$254,'Feeder Schedule'!$O$5:$O$254),""))</f>
        <v/>
      </c>
      <c r="BZ65" s="20" t="str">
        <f>IF($A65="","",IFERROR(_xlfn.XLOOKUP("F-"&amp;$A65,'Feeder Schedule'!$B$5:$B$254,'Feeder Schedule'!$CH$5:$CH$254),""))</f>
        <v/>
      </c>
      <c r="CA65" s="20" t="str">
        <f>IF($A65="","",IFERROR(_xlfn.XLOOKUP("F-"&amp;$A65,'Feeder Schedule'!$B$5:$B$254,'Feeder Schedule'!$F$5:$F$254),""))</f>
        <v/>
      </c>
      <c r="CB65" s="20" t="str">
        <f>IF($A65="","",IFERROR(_xlfn.XLOOKUP("F-"&amp;$A65,'Feeder Schedule'!$B$5:$B$254,'Feeder Schedule'!$G$5:$G$254),""))</f>
        <v/>
      </c>
      <c r="CD65" s="20" t="str" cm="1">
        <f t="array" ref="CD65">IFERROR(IF($A65="","",INDEX(_xlfn.ANCHORARRAY($BK$4),ROW()-5,6)),"")</f>
        <v/>
      </c>
      <c r="CE65" s="20" t="str">
        <f t="shared" si="12"/>
        <v/>
      </c>
      <c r="CF65" s="20" t="str">
        <f t="shared" si="13"/>
        <v/>
      </c>
      <c r="CG65" s="20" t="str">
        <f t="shared" si="10"/>
        <v/>
      </c>
      <c r="CH65" s="20" t="str" cm="1">
        <f t="array" ref="CH65">IF(OR($A65="",$BZ65="",$BW65="",$BX65=""),"",_xlfn.LET(_xlpm.mag,IFERROR(_xlfn.XLOOKUP($BX65,Race_Raceway,Race_Mag),""),IF(_xlpm.mag="","",IFERROR(INDEX(Cond_Table,MATCH($BZ65,Cond_Size,0),IF(UPPER($BW65)="AL",IF(_xlpm.mag="Y",10,12),IF(_xlpm.mag="Y",9,11))),""))))</f>
        <v/>
      </c>
      <c r="CI65" s="20" t="str">
        <f t="shared" si="11"/>
        <v/>
      </c>
      <c r="CJ65" s="20" t="str">
        <f>IF(OR($A65="",LEFT($A65,2)&lt;&gt;"T-"),"",IFERROR(_xlfn.LET(_xlpm.fla,_xlfn.XLOOKUP($A65,Transformers!$A$6:$A$105,Transformers!$AK$6:$AK$105),_xlpm.z,_xlfn.XLOOKUP($A65,Transformers!$A$6:$A$105,Transformers!$AX$6:$AX$105),IF(OR(_xlpm.fla="",_xlpm.z="",_xlpm.z=0),"",_xlpm.fla*100/_xlpm.z)),""))</f>
        <v/>
      </c>
      <c r="CK65" s="20" t="str">
        <f t="shared" si="14"/>
        <v/>
      </c>
      <c r="CL65" s="20" t="str">
        <f t="shared" si="15"/>
        <v/>
      </c>
      <c r="CM65" s="373"/>
      <c r="CO65" s="20" t="str">
        <f>IF(OR($A65="",LEFT($A65,2)&lt;&gt;"T-"),"",_xlfn.LET(_xlpm.ph,IFERROR(_xlfn.XLOOKUP($A65,Transformers!$A$6:$A$105,Transformers!$C$6:$C$105),""),_xlpm.rr,IFERROR(_xlfn.XLOOKUP($A65,Transformers!$A$6:$A$105,Transformers!$AG$6:$AG$105),""),_xlpm.xx,IFERROR(_xlfn.XLOOKUP($A65,Transformers!$A$6:$A$105,Transformers!$AI$6:$AI$105),""),IF(OR(_xlpm.ph&lt;&gt;1,NOT(ISNUMBER(_xlpm.rr)),NOT(ISNUMBER(_xlpm.xx))),"",SQRT((1.5*_xlpm.rr)^2+(1.2*_xlpm.xx)^2))))</f>
        <v/>
      </c>
      <c r="CP65" s="20" t="str">
        <f t="shared" si="16"/>
        <v/>
      </c>
    </row>
    <row r="66" spans="1:94" ht="15" customHeight="1" x14ac:dyDescent="0.45">
      <c r="A66" s="275" t="str" cm="1">
        <f t="array" ref="A66">IFERROR(IF(INDEX(_xlfn.ANCHORARRAY($BK$4),ROW()-5,1)="","",INDEX(_xlfn.ANCHORARRAY($BK$4),ROW()-5,1)),"")</f>
        <v/>
      </c>
      <c r="B66" s="25" t="str" cm="1">
        <f t="array" ref="B66">IFERROR(IF($A66="","",INDEX(_xlfn.ANCHORARRAY($BK$4),ROW()-5,5)),"")</f>
        <v/>
      </c>
      <c r="C66" s="178" t="str" cm="1">
        <f t="array" ref="C66">IFERROR(IF($A66="","",INDEX(_xlfn.ANCHORARRAY($BK$4),ROW()-5,7)),"")</f>
        <v/>
      </c>
      <c r="D66" s="177" t="str" cm="1">
        <f t="array" ref="D66">IFERROR(IF($A66="","",INDEX(_xlfn.ANCHORARRAY($BK$4),ROW()-5,3)),"")</f>
        <v/>
      </c>
      <c r="E66" s="25" t="str" cm="1">
        <f t="array" ref="E66">IFERROR(IF($A66="","",INDEX(_xlfn.ANCHORARRAY($BK$4),ROW()-5,2)),"")</f>
        <v/>
      </c>
      <c r="F66" s="177" t="str">
        <f t="shared" si="0"/>
        <v/>
      </c>
      <c r="G66" s="275" t="str">
        <f t="shared" si="1"/>
        <v/>
      </c>
      <c r="H66" s="180" t="str">
        <f t="shared" si="2"/>
        <v/>
      </c>
      <c r="I66" s="180" t="str">
        <f t="shared" si="3"/>
        <v/>
      </c>
      <c r="J66" s="177" t="str">
        <f>_xlfn.LET(_xlpm.v,_xlfn.LET(_xlpm.base,IF($A66="","",IF($C66=0,IFERROR(_xlfn.XLOOKUP($A66,Util_Tags,Util_SCAEff),""),IF(LEFT($A66,2)="T-",IF($CJ66="","",$CJ66/(1+IF($CL66="",0,$CL66))),IF(OR($F66="",$I66=""),"",$F66*$I66)))),_xlpm.gtag,IF(OR($A66="",NOT(OR($B66="ATS",$B66="MTS"))),"",IFERROR(_xlfn.XLOOKUP($A66,Dashboard!$A$101:$A$350,Dashboard!$L$101:$L$350,"")&amp;"","")),_xlpm.gkva,IF(_xlpm.gtag="",0,IFERROR(N(_xlfn.XLOOKUP(_xlpm.gtag,Generator!$B$53:$B$58,Generator!$S$53:$S$58,0)),0)),_xlpm.gxd,IF(_xlpm.gtag="",0,IFERROR(N(_xlfn.XLOOKUP(_xlpm.gtag,Generator!$B$53:$B$58,Generator!$U$53:$U$58,0)),0)),_xlpm.gamp,IF(OR(_xlpm.gkva=0,_xlpm.gxd=0,N($D66)=0),0,ROUND(_xlpm.gkva*1000/(IF(N($CB66)=1,1,SQRT(3))*$D66*_xlpm.gxd),0)),IF(OR(_xlpm.gamp=0,NOT(ISNUMBER(_xlpm.base))),_xlpm.base,MAX(_xlpm.base,_xlpm.gamp))),_xlpm.ulim,IF(OR($A66="",$B66&lt;&gt;"UPS"),"",IFERROR(IF(_xlfn.XLOOKUP($A66,UPS!$B$57:$B$64,UPS!$E$57:$E$64,"")="None",_xlfn.XLOOKUP($A66,UPS!$B$57:$B$64,UPS!$U$57:$U$64,""),""),"")),IF(AND(ISNUMBER(_xlpm.v),ISNUMBER(_xlpm.ulim)),MIN(_xlpm.v,_xlpm.ulim),_xlpm.v))</f>
        <v/>
      </c>
      <c r="K66" s="176"/>
      <c r="L66" s="177" t="str">
        <f t="shared" si="4"/>
        <v/>
      </c>
      <c r="M66" s="177" t="str">
        <f t="shared" si="5"/>
        <v/>
      </c>
      <c r="N66" s="380" t="str">
        <f>IF($A66="","",IF($C66=0,_xlfn.LET(_xlpm.x,IFERROR(_xlfn.XLOOKUP($A66,Util_Tags,Util_XR),""),IF(N(_xlpm.x)=0,Xfmr_DefXR,_xlpm.x)),IF(LEFT($A66,2)="T-",IFERROR(_xlfn.XLOOKUP($A66,Transformers!$A$6:$A$105,Transformers!$AH$6:$AH$105),Xfmr_DefXR),IFERROR(_xlfn.XLOOKUP($E66,$A$6:$A$255,$N$6:$N$255),Xfmr_DefXR))))</f>
        <v/>
      </c>
      <c r="O66" s="177" t="str">
        <f t="shared" si="6"/>
        <v/>
      </c>
      <c r="P66" s="210" t="str">
        <f>IF($A66="","",IF(LEFT($A66,2)="T-",IF($CO66="","",_xlfn.LET(_xlpm.k,IFERROR(_xlfn.XLOOKUP($A66,Transformers!$A$6:$A$105,Transformers!$G$6:$G$105),""),_xlpm.sv,IFERROR(_xlfn.XLOOKUP($A66,Transformers!$A$6:$A$105,Transformers!$E$6:$E$105),""),IF(OR(NOT(ISNUMBER(_xlpm.k)),NOT(ISNUMBER(_xlpm.sv)),_xlpm.sv=0),"",_xlfn.LET(_xlpm.iInf,(_xlpm.k*1000/(_xlpm.sv/2))*100/$CO66,_xlpm.pri,IF(OR($CK66="",$CK66=0),"",$CK66/2),_xlpm.base,IF(_xlpm.pri="",_xlpm.iInf,_xlpm.iInf/(1+_xlpm.iInf/_xlpm.pri)),_xlpm.base+IF($L66="",0,$L66))))),IF($CP66="","",_xlfn.LET(_xlpm.pI,IFERROR(_xlfn.XLOOKUP($E66,$A$6:$A$255,$P$6:$P$255),""),IF(NOT(ISNUMBER(_xlpm.pI)),"",_xlpm.pI/(1+$CP66)+IF($L66="",0,$L66))))))</f>
        <v/>
      </c>
      <c r="Q66" s="210" t="str">
        <f t="shared" si="7"/>
        <v/>
      </c>
      <c r="R66" s="177" t="str">
        <f>IF($A66="","",IF(OR($C66=0,LEFT($A66,2)="T-"),"",IFERROR(_xlfn.LET(_xlpm.v,_xlfn.XLOOKUP($A66,Dashboard!$A$101:$A$350,Dashboard!$K$101:$K$350),IF(ISNUMBER(_xlpm.v),_xlpm.v,"")),"")))</f>
        <v/>
      </c>
      <c r="S66" s="211" t="str">
        <f t="shared" si="8"/>
        <v/>
      </c>
      <c r="T66" s="25" t="str">
        <f t="shared" si="9"/>
        <v/>
      </c>
      <c r="U66" s="364"/>
      <c r="BV66" s="20" t="str">
        <f>IF($A66="","",IFERROR(_xlfn.XLOOKUP("F-"&amp;$A66,'Feeder Schedule'!$B$5:$B$254,'Feeder Schedule'!$H$5:$H$254),""))</f>
        <v/>
      </c>
      <c r="BW66" s="20" t="str">
        <f>IF($A66="","",IFERROR(_xlfn.XLOOKUP("F-"&amp;$A66,'Feeder Schedule'!$B$5:$B$254,'Feeder Schedule'!$BV$5:$BV$254),""))</f>
        <v/>
      </c>
      <c r="BX66" s="20" t="str">
        <f>IF($A66="","",IFERROR(_xlfn.LET(_xlpm.v,_xlfn.XLOOKUP("F-"&amp;$A66,'Feeder Schedule'!$B$5:$B$254,'Feeder Schedule'!$M$5:$M$254),IF(OR(_xlpm.v="",_xlpm.v=0),Cfg_Conduit,_xlpm.v)),""))</f>
        <v/>
      </c>
      <c r="BY66" s="20" t="str">
        <f>IF($A66="","",IFERROR(_xlfn.XLOOKUP("F-"&amp;$A66,'Feeder Schedule'!$B$5:$B$254,'Feeder Schedule'!$O$5:$O$254),""))</f>
        <v/>
      </c>
      <c r="BZ66" s="20" t="str">
        <f>IF($A66="","",IFERROR(_xlfn.XLOOKUP("F-"&amp;$A66,'Feeder Schedule'!$B$5:$B$254,'Feeder Schedule'!$CH$5:$CH$254),""))</f>
        <v/>
      </c>
      <c r="CA66" s="20" t="str">
        <f>IF($A66="","",IFERROR(_xlfn.XLOOKUP("F-"&amp;$A66,'Feeder Schedule'!$B$5:$B$254,'Feeder Schedule'!$F$5:$F$254),""))</f>
        <v/>
      </c>
      <c r="CB66" s="20" t="str">
        <f>IF($A66="","",IFERROR(_xlfn.XLOOKUP("F-"&amp;$A66,'Feeder Schedule'!$B$5:$B$254,'Feeder Schedule'!$G$5:$G$254),""))</f>
        <v/>
      </c>
      <c r="CD66" s="20" t="str" cm="1">
        <f t="array" ref="CD66">IFERROR(IF($A66="","",INDEX(_xlfn.ANCHORARRAY($BK$4),ROW()-5,6)),"")</f>
        <v/>
      </c>
      <c r="CE66" s="20" t="str">
        <f t="shared" si="12"/>
        <v/>
      </c>
      <c r="CF66" s="20" t="str">
        <f t="shared" si="13"/>
        <v/>
      </c>
      <c r="CG66" s="20" t="str">
        <f t="shared" si="10"/>
        <v/>
      </c>
      <c r="CH66" s="20" t="str" cm="1">
        <f t="array" ref="CH66">IF(OR($A66="",$BZ66="",$BW66="",$BX66=""),"",_xlfn.LET(_xlpm.mag,IFERROR(_xlfn.XLOOKUP($BX66,Race_Raceway,Race_Mag),""),IF(_xlpm.mag="","",IFERROR(INDEX(Cond_Table,MATCH($BZ66,Cond_Size,0),IF(UPPER($BW66)="AL",IF(_xlpm.mag="Y",10,12),IF(_xlpm.mag="Y",9,11))),""))))</f>
        <v/>
      </c>
      <c r="CI66" s="20" t="str">
        <f t="shared" si="11"/>
        <v/>
      </c>
      <c r="CJ66" s="20" t="str">
        <f>IF(OR($A66="",LEFT($A66,2)&lt;&gt;"T-"),"",IFERROR(_xlfn.LET(_xlpm.fla,_xlfn.XLOOKUP($A66,Transformers!$A$6:$A$105,Transformers!$AK$6:$AK$105),_xlpm.z,_xlfn.XLOOKUP($A66,Transformers!$A$6:$A$105,Transformers!$AX$6:$AX$105),IF(OR(_xlpm.fla="",_xlpm.z="",_xlpm.z=0),"",_xlpm.fla*100/_xlpm.z)),""))</f>
        <v/>
      </c>
      <c r="CK66" s="20" t="str">
        <f t="shared" si="14"/>
        <v/>
      </c>
      <c r="CL66" s="20" t="str">
        <f t="shared" si="15"/>
        <v/>
      </c>
      <c r="CM66" s="373"/>
      <c r="CO66" s="20" t="str">
        <f>IF(OR($A66="",LEFT($A66,2)&lt;&gt;"T-"),"",_xlfn.LET(_xlpm.ph,IFERROR(_xlfn.XLOOKUP($A66,Transformers!$A$6:$A$105,Transformers!$C$6:$C$105),""),_xlpm.rr,IFERROR(_xlfn.XLOOKUP($A66,Transformers!$A$6:$A$105,Transformers!$AG$6:$AG$105),""),_xlpm.xx,IFERROR(_xlfn.XLOOKUP($A66,Transformers!$A$6:$A$105,Transformers!$AI$6:$AI$105),""),IF(OR(_xlpm.ph&lt;&gt;1,NOT(ISNUMBER(_xlpm.rr)),NOT(ISNUMBER(_xlpm.xx))),"",SQRT((1.5*_xlpm.rr)^2+(1.2*_xlpm.xx)^2))))</f>
        <v/>
      </c>
      <c r="CP66" s="20" t="str">
        <f t="shared" si="16"/>
        <v/>
      </c>
    </row>
    <row r="67" spans="1:94" ht="15" customHeight="1" x14ac:dyDescent="0.45">
      <c r="A67" s="275" t="str" cm="1">
        <f t="array" ref="A67">IFERROR(IF(INDEX(_xlfn.ANCHORARRAY($BK$4),ROW()-5,1)="","",INDEX(_xlfn.ANCHORARRAY($BK$4),ROW()-5,1)),"")</f>
        <v/>
      </c>
      <c r="B67" s="25" t="str" cm="1">
        <f t="array" ref="B67">IFERROR(IF($A67="","",INDEX(_xlfn.ANCHORARRAY($BK$4),ROW()-5,5)),"")</f>
        <v/>
      </c>
      <c r="C67" s="178" t="str" cm="1">
        <f t="array" ref="C67">IFERROR(IF($A67="","",INDEX(_xlfn.ANCHORARRAY($BK$4),ROW()-5,7)),"")</f>
        <v/>
      </c>
      <c r="D67" s="177" t="str" cm="1">
        <f t="array" ref="D67">IFERROR(IF($A67="","",INDEX(_xlfn.ANCHORARRAY($BK$4),ROW()-5,3)),"")</f>
        <v/>
      </c>
      <c r="E67" s="25" t="str" cm="1">
        <f t="array" ref="E67">IFERROR(IF($A67="","",INDEX(_xlfn.ANCHORARRAY($BK$4),ROW()-5,2)),"")</f>
        <v/>
      </c>
      <c r="F67" s="177" t="str">
        <f t="shared" si="0"/>
        <v/>
      </c>
      <c r="G67" s="275" t="str">
        <f t="shared" si="1"/>
        <v/>
      </c>
      <c r="H67" s="180" t="str">
        <f t="shared" si="2"/>
        <v/>
      </c>
      <c r="I67" s="180" t="str">
        <f t="shared" si="3"/>
        <v/>
      </c>
      <c r="J67" s="177" t="str">
        <f>_xlfn.LET(_xlpm.v,_xlfn.LET(_xlpm.base,IF($A67="","",IF($C67=0,IFERROR(_xlfn.XLOOKUP($A67,Util_Tags,Util_SCAEff),""),IF(LEFT($A67,2)="T-",IF($CJ67="","",$CJ67/(1+IF($CL67="",0,$CL67))),IF(OR($F67="",$I67=""),"",$F67*$I67)))),_xlpm.gtag,IF(OR($A67="",NOT(OR($B67="ATS",$B67="MTS"))),"",IFERROR(_xlfn.XLOOKUP($A67,Dashboard!$A$101:$A$350,Dashboard!$L$101:$L$350,"")&amp;"","")),_xlpm.gkva,IF(_xlpm.gtag="",0,IFERROR(N(_xlfn.XLOOKUP(_xlpm.gtag,Generator!$B$53:$B$58,Generator!$S$53:$S$58,0)),0)),_xlpm.gxd,IF(_xlpm.gtag="",0,IFERROR(N(_xlfn.XLOOKUP(_xlpm.gtag,Generator!$B$53:$B$58,Generator!$U$53:$U$58,0)),0)),_xlpm.gamp,IF(OR(_xlpm.gkva=0,_xlpm.gxd=0,N($D67)=0),0,ROUND(_xlpm.gkva*1000/(IF(N($CB67)=1,1,SQRT(3))*$D67*_xlpm.gxd),0)),IF(OR(_xlpm.gamp=0,NOT(ISNUMBER(_xlpm.base))),_xlpm.base,MAX(_xlpm.base,_xlpm.gamp))),_xlpm.ulim,IF(OR($A67="",$B67&lt;&gt;"UPS"),"",IFERROR(IF(_xlfn.XLOOKUP($A67,UPS!$B$57:$B$64,UPS!$E$57:$E$64,"")="None",_xlfn.XLOOKUP($A67,UPS!$B$57:$B$64,UPS!$U$57:$U$64,""),""),"")),IF(AND(ISNUMBER(_xlpm.v),ISNUMBER(_xlpm.ulim)),MIN(_xlpm.v,_xlpm.ulim),_xlpm.v))</f>
        <v/>
      </c>
      <c r="K67" s="176"/>
      <c r="L67" s="177" t="str">
        <f t="shared" si="4"/>
        <v/>
      </c>
      <c r="M67" s="177" t="str">
        <f t="shared" si="5"/>
        <v/>
      </c>
      <c r="N67" s="380" t="str">
        <f>IF($A67="","",IF($C67=0,_xlfn.LET(_xlpm.x,IFERROR(_xlfn.XLOOKUP($A67,Util_Tags,Util_XR),""),IF(N(_xlpm.x)=0,Xfmr_DefXR,_xlpm.x)),IF(LEFT($A67,2)="T-",IFERROR(_xlfn.XLOOKUP($A67,Transformers!$A$6:$A$105,Transformers!$AH$6:$AH$105),Xfmr_DefXR),IFERROR(_xlfn.XLOOKUP($E67,$A$6:$A$255,$N$6:$N$255),Xfmr_DefXR))))</f>
        <v/>
      </c>
      <c r="O67" s="177" t="str">
        <f t="shared" si="6"/>
        <v/>
      </c>
      <c r="P67" s="210" t="str">
        <f>IF($A67="","",IF(LEFT($A67,2)="T-",IF($CO67="","",_xlfn.LET(_xlpm.k,IFERROR(_xlfn.XLOOKUP($A67,Transformers!$A$6:$A$105,Transformers!$G$6:$G$105),""),_xlpm.sv,IFERROR(_xlfn.XLOOKUP($A67,Transformers!$A$6:$A$105,Transformers!$E$6:$E$105),""),IF(OR(NOT(ISNUMBER(_xlpm.k)),NOT(ISNUMBER(_xlpm.sv)),_xlpm.sv=0),"",_xlfn.LET(_xlpm.iInf,(_xlpm.k*1000/(_xlpm.sv/2))*100/$CO67,_xlpm.pri,IF(OR($CK67="",$CK67=0),"",$CK67/2),_xlpm.base,IF(_xlpm.pri="",_xlpm.iInf,_xlpm.iInf/(1+_xlpm.iInf/_xlpm.pri)),_xlpm.base+IF($L67="",0,$L67))))),IF($CP67="","",_xlfn.LET(_xlpm.pI,IFERROR(_xlfn.XLOOKUP($E67,$A$6:$A$255,$P$6:$P$255),""),IF(NOT(ISNUMBER(_xlpm.pI)),"",_xlpm.pI/(1+$CP67)+IF($L67="",0,$L67))))))</f>
        <v/>
      </c>
      <c r="Q67" s="210" t="str">
        <f t="shared" si="7"/>
        <v/>
      </c>
      <c r="R67" s="177" t="str">
        <f>IF($A67="","",IF(OR($C67=0,LEFT($A67,2)="T-"),"",IFERROR(_xlfn.LET(_xlpm.v,_xlfn.XLOOKUP($A67,Dashboard!$A$101:$A$350,Dashboard!$K$101:$K$350),IF(ISNUMBER(_xlpm.v),_xlpm.v,"")),"")))</f>
        <v/>
      </c>
      <c r="S67" s="211" t="str">
        <f t="shared" si="8"/>
        <v/>
      </c>
      <c r="T67" s="25" t="str">
        <f t="shared" si="9"/>
        <v/>
      </c>
      <c r="U67" s="364"/>
      <c r="BV67" s="20" t="str">
        <f>IF($A67="","",IFERROR(_xlfn.XLOOKUP("F-"&amp;$A67,'Feeder Schedule'!$B$5:$B$254,'Feeder Schedule'!$H$5:$H$254),""))</f>
        <v/>
      </c>
      <c r="BW67" s="20" t="str">
        <f>IF($A67="","",IFERROR(_xlfn.XLOOKUP("F-"&amp;$A67,'Feeder Schedule'!$B$5:$B$254,'Feeder Schedule'!$BV$5:$BV$254),""))</f>
        <v/>
      </c>
      <c r="BX67" s="20" t="str">
        <f>IF($A67="","",IFERROR(_xlfn.LET(_xlpm.v,_xlfn.XLOOKUP("F-"&amp;$A67,'Feeder Schedule'!$B$5:$B$254,'Feeder Schedule'!$M$5:$M$254),IF(OR(_xlpm.v="",_xlpm.v=0),Cfg_Conduit,_xlpm.v)),""))</f>
        <v/>
      </c>
      <c r="BY67" s="20" t="str">
        <f>IF($A67="","",IFERROR(_xlfn.XLOOKUP("F-"&amp;$A67,'Feeder Schedule'!$B$5:$B$254,'Feeder Schedule'!$O$5:$O$254),""))</f>
        <v/>
      </c>
      <c r="BZ67" s="20" t="str">
        <f>IF($A67="","",IFERROR(_xlfn.XLOOKUP("F-"&amp;$A67,'Feeder Schedule'!$B$5:$B$254,'Feeder Schedule'!$CH$5:$CH$254),""))</f>
        <v/>
      </c>
      <c r="CA67" s="20" t="str">
        <f>IF($A67="","",IFERROR(_xlfn.XLOOKUP("F-"&amp;$A67,'Feeder Schedule'!$B$5:$B$254,'Feeder Schedule'!$F$5:$F$254),""))</f>
        <v/>
      </c>
      <c r="CB67" s="20" t="str">
        <f>IF($A67="","",IFERROR(_xlfn.XLOOKUP("F-"&amp;$A67,'Feeder Schedule'!$B$5:$B$254,'Feeder Schedule'!$G$5:$G$254),""))</f>
        <v/>
      </c>
      <c r="CD67" s="20" t="str" cm="1">
        <f t="array" ref="CD67">IFERROR(IF($A67="","",INDEX(_xlfn.ANCHORARRAY($BK$4),ROW()-5,6)),"")</f>
        <v/>
      </c>
      <c r="CE67" s="20" t="str">
        <f t="shared" si="12"/>
        <v/>
      </c>
      <c r="CF67" s="20" t="str">
        <f t="shared" si="13"/>
        <v/>
      </c>
      <c r="CG67" s="20" t="str">
        <f t="shared" si="10"/>
        <v/>
      </c>
      <c r="CH67" s="20" t="str" cm="1">
        <f t="array" ref="CH67">IF(OR($A67="",$BZ67="",$BW67="",$BX67=""),"",_xlfn.LET(_xlpm.mag,IFERROR(_xlfn.XLOOKUP($BX67,Race_Raceway,Race_Mag),""),IF(_xlpm.mag="","",IFERROR(INDEX(Cond_Table,MATCH($BZ67,Cond_Size,0),IF(UPPER($BW67)="AL",IF(_xlpm.mag="Y",10,12),IF(_xlpm.mag="Y",9,11))),""))))</f>
        <v/>
      </c>
      <c r="CI67" s="20" t="str">
        <f t="shared" si="11"/>
        <v/>
      </c>
      <c r="CJ67" s="20" t="str">
        <f>IF(OR($A67="",LEFT($A67,2)&lt;&gt;"T-"),"",IFERROR(_xlfn.LET(_xlpm.fla,_xlfn.XLOOKUP($A67,Transformers!$A$6:$A$105,Transformers!$AK$6:$AK$105),_xlpm.z,_xlfn.XLOOKUP($A67,Transformers!$A$6:$A$105,Transformers!$AX$6:$AX$105),IF(OR(_xlpm.fla="",_xlpm.z="",_xlpm.z=0),"",_xlpm.fla*100/_xlpm.z)),""))</f>
        <v/>
      </c>
      <c r="CK67" s="20" t="str">
        <f t="shared" si="14"/>
        <v/>
      </c>
      <c r="CL67" s="20" t="str">
        <f t="shared" si="15"/>
        <v/>
      </c>
      <c r="CM67" s="373"/>
      <c r="CO67" s="20" t="str">
        <f>IF(OR($A67="",LEFT($A67,2)&lt;&gt;"T-"),"",_xlfn.LET(_xlpm.ph,IFERROR(_xlfn.XLOOKUP($A67,Transformers!$A$6:$A$105,Transformers!$C$6:$C$105),""),_xlpm.rr,IFERROR(_xlfn.XLOOKUP($A67,Transformers!$A$6:$A$105,Transformers!$AG$6:$AG$105),""),_xlpm.xx,IFERROR(_xlfn.XLOOKUP($A67,Transformers!$A$6:$A$105,Transformers!$AI$6:$AI$105),""),IF(OR(_xlpm.ph&lt;&gt;1,NOT(ISNUMBER(_xlpm.rr)),NOT(ISNUMBER(_xlpm.xx))),"",SQRT((1.5*_xlpm.rr)^2+(1.2*_xlpm.xx)^2))))</f>
        <v/>
      </c>
      <c r="CP67" s="20" t="str">
        <f t="shared" si="16"/>
        <v/>
      </c>
    </row>
    <row r="68" spans="1:94" ht="15" customHeight="1" x14ac:dyDescent="0.45">
      <c r="A68" s="275" t="str" cm="1">
        <f t="array" ref="A68">IFERROR(IF(INDEX(_xlfn.ANCHORARRAY($BK$4),ROW()-5,1)="","",INDEX(_xlfn.ANCHORARRAY($BK$4),ROW()-5,1)),"")</f>
        <v/>
      </c>
      <c r="B68" s="25" t="str" cm="1">
        <f t="array" ref="B68">IFERROR(IF($A68="","",INDEX(_xlfn.ANCHORARRAY($BK$4),ROW()-5,5)),"")</f>
        <v/>
      </c>
      <c r="C68" s="178" t="str" cm="1">
        <f t="array" ref="C68">IFERROR(IF($A68="","",INDEX(_xlfn.ANCHORARRAY($BK$4),ROW()-5,7)),"")</f>
        <v/>
      </c>
      <c r="D68" s="177" t="str" cm="1">
        <f t="array" ref="D68">IFERROR(IF($A68="","",INDEX(_xlfn.ANCHORARRAY($BK$4),ROW()-5,3)),"")</f>
        <v/>
      </c>
      <c r="E68" s="25" t="str" cm="1">
        <f t="array" ref="E68">IFERROR(IF($A68="","",INDEX(_xlfn.ANCHORARRAY($BK$4),ROW()-5,2)),"")</f>
        <v/>
      </c>
      <c r="F68" s="177" t="str">
        <f t="shared" si="0"/>
        <v/>
      </c>
      <c r="G68" s="275" t="str">
        <f t="shared" si="1"/>
        <v/>
      </c>
      <c r="H68" s="180" t="str">
        <f t="shared" si="2"/>
        <v/>
      </c>
      <c r="I68" s="180" t="str">
        <f t="shared" si="3"/>
        <v/>
      </c>
      <c r="J68" s="177" t="str">
        <f>_xlfn.LET(_xlpm.v,_xlfn.LET(_xlpm.base,IF($A68="","",IF($C68=0,IFERROR(_xlfn.XLOOKUP($A68,Util_Tags,Util_SCAEff),""),IF(LEFT($A68,2)="T-",IF($CJ68="","",$CJ68/(1+IF($CL68="",0,$CL68))),IF(OR($F68="",$I68=""),"",$F68*$I68)))),_xlpm.gtag,IF(OR($A68="",NOT(OR($B68="ATS",$B68="MTS"))),"",IFERROR(_xlfn.XLOOKUP($A68,Dashboard!$A$101:$A$350,Dashboard!$L$101:$L$350,"")&amp;"","")),_xlpm.gkva,IF(_xlpm.gtag="",0,IFERROR(N(_xlfn.XLOOKUP(_xlpm.gtag,Generator!$B$53:$B$58,Generator!$S$53:$S$58,0)),0)),_xlpm.gxd,IF(_xlpm.gtag="",0,IFERROR(N(_xlfn.XLOOKUP(_xlpm.gtag,Generator!$B$53:$B$58,Generator!$U$53:$U$58,0)),0)),_xlpm.gamp,IF(OR(_xlpm.gkva=0,_xlpm.gxd=0,N($D68)=0),0,ROUND(_xlpm.gkva*1000/(IF(N($CB68)=1,1,SQRT(3))*$D68*_xlpm.gxd),0)),IF(OR(_xlpm.gamp=0,NOT(ISNUMBER(_xlpm.base))),_xlpm.base,MAX(_xlpm.base,_xlpm.gamp))),_xlpm.ulim,IF(OR($A68="",$B68&lt;&gt;"UPS"),"",IFERROR(IF(_xlfn.XLOOKUP($A68,UPS!$B$57:$B$64,UPS!$E$57:$E$64,"")="None",_xlfn.XLOOKUP($A68,UPS!$B$57:$B$64,UPS!$U$57:$U$64,""),""),"")),IF(AND(ISNUMBER(_xlpm.v),ISNUMBER(_xlpm.ulim)),MIN(_xlpm.v,_xlpm.ulim),_xlpm.v))</f>
        <v/>
      </c>
      <c r="K68" s="176"/>
      <c r="L68" s="177" t="str">
        <f t="shared" si="4"/>
        <v/>
      </c>
      <c r="M68" s="177" t="str">
        <f t="shared" si="5"/>
        <v/>
      </c>
      <c r="N68" s="380" t="str">
        <f>IF($A68="","",IF($C68=0,_xlfn.LET(_xlpm.x,IFERROR(_xlfn.XLOOKUP($A68,Util_Tags,Util_XR),""),IF(N(_xlpm.x)=0,Xfmr_DefXR,_xlpm.x)),IF(LEFT($A68,2)="T-",IFERROR(_xlfn.XLOOKUP($A68,Transformers!$A$6:$A$105,Transformers!$AH$6:$AH$105),Xfmr_DefXR),IFERROR(_xlfn.XLOOKUP($E68,$A$6:$A$255,$N$6:$N$255),Xfmr_DefXR))))</f>
        <v/>
      </c>
      <c r="O68" s="177" t="str">
        <f t="shared" si="6"/>
        <v/>
      </c>
      <c r="P68" s="210" t="str">
        <f>IF($A68="","",IF(LEFT($A68,2)="T-",IF($CO68="","",_xlfn.LET(_xlpm.k,IFERROR(_xlfn.XLOOKUP($A68,Transformers!$A$6:$A$105,Transformers!$G$6:$G$105),""),_xlpm.sv,IFERROR(_xlfn.XLOOKUP($A68,Transformers!$A$6:$A$105,Transformers!$E$6:$E$105),""),IF(OR(NOT(ISNUMBER(_xlpm.k)),NOT(ISNUMBER(_xlpm.sv)),_xlpm.sv=0),"",_xlfn.LET(_xlpm.iInf,(_xlpm.k*1000/(_xlpm.sv/2))*100/$CO68,_xlpm.pri,IF(OR($CK68="",$CK68=0),"",$CK68/2),_xlpm.base,IF(_xlpm.pri="",_xlpm.iInf,_xlpm.iInf/(1+_xlpm.iInf/_xlpm.pri)),_xlpm.base+IF($L68="",0,$L68))))),IF($CP68="","",_xlfn.LET(_xlpm.pI,IFERROR(_xlfn.XLOOKUP($E68,$A$6:$A$255,$P$6:$P$255),""),IF(NOT(ISNUMBER(_xlpm.pI)),"",_xlpm.pI/(1+$CP68)+IF($L68="",0,$L68))))))</f>
        <v/>
      </c>
      <c r="Q68" s="210" t="str">
        <f t="shared" si="7"/>
        <v/>
      </c>
      <c r="R68" s="177" t="str">
        <f>IF($A68="","",IF(OR($C68=0,LEFT($A68,2)="T-"),"",IFERROR(_xlfn.LET(_xlpm.v,_xlfn.XLOOKUP($A68,Dashboard!$A$101:$A$350,Dashboard!$K$101:$K$350),IF(ISNUMBER(_xlpm.v),_xlpm.v,"")),"")))</f>
        <v/>
      </c>
      <c r="S68" s="211" t="str">
        <f t="shared" si="8"/>
        <v/>
      </c>
      <c r="T68" s="25" t="str">
        <f t="shared" si="9"/>
        <v/>
      </c>
      <c r="U68" s="364"/>
      <c r="BV68" s="20" t="str">
        <f>IF($A68="","",IFERROR(_xlfn.XLOOKUP("F-"&amp;$A68,'Feeder Schedule'!$B$5:$B$254,'Feeder Schedule'!$H$5:$H$254),""))</f>
        <v/>
      </c>
      <c r="BW68" s="20" t="str">
        <f>IF($A68="","",IFERROR(_xlfn.XLOOKUP("F-"&amp;$A68,'Feeder Schedule'!$B$5:$B$254,'Feeder Schedule'!$BV$5:$BV$254),""))</f>
        <v/>
      </c>
      <c r="BX68" s="20" t="str">
        <f>IF($A68="","",IFERROR(_xlfn.LET(_xlpm.v,_xlfn.XLOOKUP("F-"&amp;$A68,'Feeder Schedule'!$B$5:$B$254,'Feeder Schedule'!$M$5:$M$254),IF(OR(_xlpm.v="",_xlpm.v=0),Cfg_Conduit,_xlpm.v)),""))</f>
        <v/>
      </c>
      <c r="BY68" s="20" t="str">
        <f>IF($A68="","",IFERROR(_xlfn.XLOOKUP("F-"&amp;$A68,'Feeder Schedule'!$B$5:$B$254,'Feeder Schedule'!$O$5:$O$254),""))</f>
        <v/>
      </c>
      <c r="BZ68" s="20" t="str">
        <f>IF($A68="","",IFERROR(_xlfn.XLOOKUP("F-"&amp;$A68,'Feeder Schedule'!$B$5:$B$254,'Feeder Schedule'!$CH$5:$CH$254),""))</f>
        <v/>
      </c>
      <c r="CA68" s="20" t="str">
        <f>IF($A68="","",IFERROR(_xlfn.XLOOKUP("F-"&amp;$A68,'Feeder Schedule'!$B$5:$B$254,'Feeder Schedule'!$F$5:$F$254),""))</f>
        <v/>
      </c>
      <c r="CB68" s="20" t="str">
        <f>IF($A68="","",IFERROR(_xlfn.XLOOKUP("F-"&amp;$A68,'Feeder Schedule'!$B$5:$B$254,'Feeder Schedule'!$G$5:$G$254),""))</f>
        <v/>
      </c>
      <c r="CD68" s="20" t="str" cm="1">
        <f t="array" ref="CD68">IFERROR(IF($A68="","",INDEX(_xlfn.ANCHORARRAY($BK$4),ROW()-5,6)),"")</f>
        <v/>
      </c>
      <c r="CE68" s="20" t="str">
        <f t="shared" si="12"/>
        <v/>
      </c>
      <c r="CF68" s="20" t="str">
        <f t="shared" si="13"/>
        <v/>
      </c>
      <c r="CG68" s="20" t="str">
        <f t="shared" si="10"/>
        <v/>
      </c>
      <c r="CH68" s="20" t="str" cm="1">
        <f t="array" ref="CH68">IF(OR($A68="",$BZ68="",$BW68="",$BX68=""),"",_xlfn.LET(_xlpm.mag,IFERROR(_xlfn.XLOOKUP($BX68,Race_Raceway,Race_Mag),""),IF(_xlpm.mag="","",IFERROR(INDEX(Cond_Table,MATCH($BZ68,Cond_Size,0),IF(UPPER($BW68)="AL",IF(_xlpm.mag="Y",10,12),IF(_xlpm.mag="Y",9,11))),""))))</f>
        <v/>
      </c>
      <c r="CI68" s="20" t="str">
        <f t="shared" si="11"/>
        <v/>
      </c>
      <c r="CJ68" s="20" t="str">
        <f>IF(OR($A68="",LEFT($A68,2)&lt;&gt;"T-"),"",IFERROR(_xlfn.LET(_xlpm.fla,_xlfn.XLOOKUP($A68,Transformers!$A$6:$A$105,Transformers!$AK$6:$AK$105),_xlpm.z,_xlfn.XLOOKUP($A68,Transformers!$A$6:$A$105,Transformers!$AX$6:$AX$105),IF(OR(_xlpm.fla="",_xlpm.z="",_xlpm.z=0),"",_xlpm.fla*100/_xlpm.z)),""))</f>
        <v/>
      </c>
      <c r="CK68" s="20" t="str">
        <f t="shared" si="14"/>
        <v/>
      </c>
      <c r="CL68" s="20" t="str">
        <f t="shared" si="15"/>
        <v/>
      </c>
      <c r="CM68" s="373"/>
      <c r="CO68" s="20" t="str">
        <f>IF(OR($A68="",LEFT($A68,2)&lt;&gt;"T-"),"",_xlfn.LET(_xlpm.ph,IFERROR(_xlfn.XLOOKUP($A68,Transformers!$A$6:$A$105,Transformers!$C$6:$C$105),""),_xlpm.rr,IFERROR(_xlfn.XLOOKUP($A68,Transformers!$A$6:$A$105,Transformers!$AG$6:$AG$105),""),_xlpm.xx,IFERROR(_xlfn.XLOOKUP($A68,Transformers!$A$6:$A$105,Transformers!$AI$6:$AI$105),""),IF(OR(_xlpm.ph&lt;&gt;1,NOT(ISNUMBER(_xlpm.rr)),NOT(ISNUMBER(_xlpm.xx))),"",SQRT((1.5*_xlpm.rr)^2+(1.2*_xlpm.xx)^2))))</f>
        <v/>
      </c>
      <c r="CP68" s="20" t="str">
        <f t="shared" si="16"/>
        <v/>
      </c>
    </row>
    <row r="69" spans="1:94" ht="15" customHeight="1" x14ac:dyDescent="0.45">
      <c r="A69" s="275" t="str" cm="1">
        <f t="array" ref="A69">IFERROR(IF(INDEX(_xlfn.ANCHORARRAY($BK$4),ROW()-5,1)="","",INDEX(_xlfn.ANCHORARRAY($BK$4),ROW()-5,1)),"")</f>
        <v/>
      </c>
      <c r="B69" s="25" t="str" cm="1">
        <f t="array" ref="B69">IFERROR(IF($A69="","",INDEX(_xlfn.ANCHORARRAY($BK$4),ROW()-5,5)),"")</f>
        <v/>
      </c>
      <c r="C69" s="178" t="str" cm="1">
        <f t="array" ref="C69">IFERROR(IF($A69="","",INDEX(_xlfn.ANCHORARRAY($BK$4),ROW()-5,7)),"")</f>
        <v/>
      </c>
      <c r="D69" s="177" t="str" cm="1">
        <f t="array" ref="D69">IFERROR(IF($A69="","",INDEX(_xlfn.ANCHORARRAY($BK$4),ROW()-5,3)),"")</f>
        <v/>
      </c>
      <c r="E69" s="25" t="str" cm="1">
        <f t="array" ref="E69">IFERROR(IF($A69="","",INDEX(_xlfn.ANCHORARRAY($BK$4),ROW()-5,2)),"")</f>
        <v/>
      </c>
      <c r="F69" s="177" t="str">
        <f t="shared" si="0"/>
        <v/>
      </c>
      <c r="G69" s="275" t="str">
        <f t="shared" si="1"/>
        <v/>
      </c>
      <c r="H69" s="180" t="str">
        <f t="shared" si="2"/>
        <v/>
      </c>
      <c r="I69" s="180" t="str">
        <f t="shared" si="3"/>
        <v/>
      </c>
      <c r="J69" s="177" t="str">
        <f>_xlfn.LET(_xlpm.v,_xlfn.LET(_xlpm.base,IF($A69="","",IF($C69=0,IFERROR(_xlfn.XLOOKUP($A69,Util_Tags,Util_SCAEff),""),IF(LEFT($A69,2)="T-",IF($CJ69="","",$CJ69/(1+IF($CL69="",0,$CL69))),IF(OR($F69="",$I69=""),"",$F69*$I69)))),_xlpm.gtag,IF(OR($A69="",NOT(OR($B69="ATS",$B69="MTS"))),"",IFERROR(_xlfn.XLOOKUP($A69,Dashboard!$A$101:$A$350,Dashboard!$L$101:$L$350,"")&amp;"","")),_xlpm.gkva,IF(_xlpm.gtag="",0,IFERROR(N(_xlfn.XLOOKUP(_xlpm.gtag,Generator!$B$53:$B$58,Generator!$S$53:$S$58,0)),0)),_xlpm.gxd,IF(_xlpm.gtag="",0,IFERROR(N(_xlfn.XLOOKUP(_xlpm.gtag,Generator!$B$53:$B$58,Generator!$U$53:$U$58,0)),0)),_xlpm.gamp,IF(OR(_xlpm.gkva=0,_xlpm.gxd=0,N($D69)=0),0,ROUND(_xlpm.gkva*1000/(IF(N($CB69)=1,1,SQRT(3))*$D69*_xlpm.gxd),0)),IF(OR(_xlpm.gamp=0,NOT(ISNUMBER(_xlpm.base))),_xlpm.base,MAX(_xlpm.base,_xlpm.gamp))),_xlpm.ulim,IF(OR($A69="",$B69&lt;&gt;"UPS"),"",IFERROR(IF(_xlfn.XLOOKUP($A69,UPS!$B$57:$B$64,UPS!$E$57:$E$64,"")="None",_xlfn.XLOOKUP($A69,UPS!$B$57:$B$64,UPS!$U$57:$U$64,""),""),"")),IF(AND(ISNUMBER(_xlpm.v),ISNUMBER(_xlpm.ulim)),MIN(_xlpm.v,_xlpm.ulim),_xlpm.v))</f>
        <v/>
      </c>
      <c r="K69" s="176"/>
      <c r="L69" s="177" t="str">
        <f t="shared" si="4"/>
        <v/>
      </c>
      <c r="M69" s="177" t="str">
        <f t="shared" si="5"/>
        <v/>
      </c>
      <c r="N69" s="380" t="str">
        <f>IF($A69="","",IF($C69=0,_xlfn.LET(_xlpm.x,IFERROR(_xlfn.XLOOKUP($A69,Util_Tags,Util_XR),""),IF(N(_xlpm.x)=0,Xfmr_DefXR,_xlpm.x)),IF(LEFT($A69,2)="T-",IFERROR(_xlfn.XLOOKUP($A69,Transformers!$A$6:$A$105,Transformers!$AH$6:$AH$105),Xfmr_DefXR),IFERROR(_xlfn.XLOOKUP($E69,$A$6:$A$255,$N$6:$N$255),Xfmr_DefXR))))</f>
        <v/>
      </c>
      <c r="O69" s="177" t="str">
        <f t="shared" si="6"/>
        <v/>
      </c>
      <c r="P69" s="210" t="str">
        <f>IF($A69="","",IF(LEFT($A69,2)="T-",IF($CO69="","",_xlfn.LET(_xlpm.k,IFERROR(_xlfn.XLOOKUP($A69,Transformers!$A$6:$A$105,Transformers!$G$6:$G$105),""),_xlpm.sv,IFERROR(_xlfn.XLOOKUP($A69,Transformers!$A$6:$A$105,Transformers!$E$6:$E$105),""),IF(OR(NOT(ISNUMBER(_xlpm.k)),NOT(ISNUMBER(_xlpm.sv)),_xlpm.sv=0),"",_xlfn.LET(_xlpm.iInf,(_xlpm.k*1000/(_xlpm.sv/2))*100/$CO69,_xlpm.pri,IF(OR($CK69="",$CK69=0),"",$CK69/2),_xlpm.base,IF(_xlpm.pri="",_xlpm.iInf,_xlpm.iInf/(1+_xlpm.iInf/_xlpm.pri)),_xlpm.base+IF($L69="",0,$L69))))),IF($CP69="","",_xlfn.LET(_xlpm.pI,IFERROR(_xlfn.XLOOKUP($E69,$A$6:$A$255,$P$6:$P$255),""),IF(NOT(ISNUMBER(_xlpm.pI)),"",_xlpm.pI/(1+$CP69)+IF($L69="",0,$L69))))))</f>
        <v/>
      </c>
      <c r="Q69" s="210" t="str">
        <f t="shared" si="7"/>
        <v/>
      </c>
      <c r="R69" s="177" t="str">
        <f>IF($A69="","",IF(OR($C69=0,LEFT($A69,2)="T-"),"",IFERROR(_xlfn.LET(_xlpm.v,_xlfn.XLOOKUP($A69,Dashboard!$A$101:$A$350,Dashboard!$K$101:$K$350),IF(ISNUMBER(_xlpm.v),_xlpm.v,"")),"")))</f>
        <v/>
      </c>
      <c r="S69" s="211" t="str">
        <f t="shared" si="8"/>
        <v/>
      </c>
      <c r="T69" s="25" t="str">
        <f t="shared" si="9"/>
        <v/>
      </c>
      <c r="U69" s="364"/>
      <c r="BV69" s="20" t="str">
        <f>IF($A69="","",IFERROR(_xlfn.XLOOKUP("F-"&amp;$A69,'Feeder Schedule'!$B$5:$B$254,'Feeder Schedule'!$H$5:$H$254),""))</f>
        <v/>
      </c>
      <c r="BW69" s="20" t="str">
        <f>IF($A69="","",IFERROR(_xlfn.XLOOKUP("F-"&amp;$A69,'Feeder Schedule'!$B$5:$B$254,'Feeder Schedule'!$BV$5:$BV$254),""))</f>
        <v/>
      </c>
      <c r="BX69" s="20" t="str">
        <f>IF($A69="","",IFERROR(_xlfn.LET(_xlpm.v,_xlfn.XLOOKUP("F-"&amp;$A69,'Feeder Schedule'!$B$5:$B$254,'Feeder Schedule'!$M$5:$M$254),IF(OR(_xlpm.v="",_xlpm.v=0),Cfg_Conduit,_xlpm.v)),""))</f>
        <v/>
      </c>
      <c r="BY69" s="20" t="str">
        <f>IF($A69="","",IFERROR(_xlfn.XLOOKUP("F-"&amp;$A69,'Feeder Schedule'!$B$5:$B$254,'Feeder Schedule'!$O$5:$O$254),""))</f>
        <v/>
      </c>
      <c r="BZ69" s="20" t="str">
        <f>IF($A69="","",IFERROR(_xlfn.XLOOKUP("F-"&amp;$A69,'Feeder Schedule'!$B$5:$B$254,'Feeder Schedule'!$CH$5:$CH$254),""))</f>
        <v/>
      </c>
      <c r="CA69" s="20" t="str">
        <f>IF($A69="","",IFERROR(_xlfn.XLOOKUP("F-"&amp;$A69,'Feeder Schedule'!$B$5:$B$254,'Feeder Schedule'!$F$5:$F$254),""))</f>
        <v/>
      </c>
      <c r="CB69" s="20" t="str">
        <f>IF($A69="","",IFERROR(_xlfn.XLOOKUP("F-"&amp;$A69,'Feeder Schedule'!$B$5:$B$254,'Feeder Schedule'!$G$5:$G$254),""))</f>
        <v/>
      </c>
      <c r="CD69" s="20" t="str" cm="1">
        <f t="array" ref="CD69">IFERROR(IF($A69="","",INDEX(_xlfn.ANCHORARRAY($BK$4),ROW()-5,6)),"")</f>
        <v/>
      </c>
      <c r="CE69" s="20" t="str">
        <f t="shared" si="12"/>
        <v/>
      </c>
      <c r="CF69" s="20" t="str">
        <f t="shared" si="13"/>
        <v/>
      </c>
      <c r="CG69" s="20" t="str">
        <f t="shared" si="10"/>
        <v/>
      </c>
      <c r="CH69" s="20" t="str" cm="1">
        <f t="array" ref="CH69">IF(OR($A69="",$BZ69="",$BW69="",$BX69=""),"",_xlfn.LET(_xlpm.mag,IFERROR(_xlfn.XLOOKUP($BX69,Race_Raceway,Race_Mag),""),IF(_xlpm.mag="","",IFERROR(INDEX(Cond_Table,MATCH($BZ69,Cond_Size,0),IF(UPPER($BW69)="AL",IF(_xlpm.mag="Y",10,12),IF(_xlpm.mag="Y",9,11))),""))))</f>
        <v/>
      </c>
      <c r="CI69" s="20" t="str">
        <f t="shared" si="11"/>
        <v/>
      </c>
      <c r="CJ69" s="20" t="str">
        <f>IF(OR($A69="",LEFT($A69,2)&lt;&gt;"T-"),"",IFERROR(_xlfn.LET(_xlpm.fla,_xlfn.XLOOKUP($A69,Transformers!$A$6:$A$105,Transformers!$AK$6:$AK$105),_xlpm.z,_xlfn.XLOOKUP($A69,Transformers!$A$6:$A$105,Transformers!$AX$6:$AX$105),IF(OR(_xlpm.fla="",_xlpm.z="",_xlpm.z=0),"",_xlpm.fla*100/_xlpm.z)),""))</f>
        <v/>
      </c>
      <c r="CK69" s="20" t="str">
        <f t="shared" si="14"/>
        <v/>
      </c>
      <c r="CL69" s="20" t="str">
        <f t="shared" si="15"/>
        <v/>
      </c>
      <c r="CM69" s="373"/>
      <c r="CO69" s="20" t="str">
        <f>IF(OR($A69="",LEFT($A69,2)&lt;&gt;"T-"),"",_xlfn.LET(_xlpm.ph,IFERROR(_xlfn.XLOOKUP($A69,Transformers!$A$6:$A$105,Transformers!$C$6:$C$105),""),_xlpm.rr,IFERROR(_xlfn.XLOOKUP($A69,Transformers!$A$6:$A$105,Transformers!$AG$6:$AG$105),""),_xlpm.xx,IFERROR(_xlfn.XLOOKUP($A69,Transformers!$A$6:$A$105,Transformers!$AI$6:$AI$105),""),IF(OR(_xlpm.ph&lt;&gt;1,NOT(ISNUMBER(_xlpm.rr)),NOT(ISNUMBER(_xlpm.xx))),"",SQRT((1.5*_xlpm.rr)^2+(1.2*_xlpm.xx)^2))))</f>
        <v/>
      </c>
      <c r="CP69" s="20" t="str">
        <f t="shared" si="16"/>
        <v/>
      </c>
    </row>
    <row r="70" spans="1:94" ht="15" customHeight="1" x14ac:dyDescent="0.45">
      <c r="A70" s="275" t="str" cm="1">
        <f t="array" ref="A70">IFERROR(IF(INDEX(_xlfn.ANCHORARRAY($BK$4),ROW()-5,1)="","",INDEX(_xlfn.ANCHORARRAY($BK$4),ROW()-5,1)),"")</f>
        <v/>
      </c>
      <c r="B70" s="25" t="str" cm="1">
        <f t="array" ref="B70">IFERROR(IF($A70="","",INDEX(_xlfn.ANCHORARRAY($BK$4),ROW()-5,5)),"")</f>
        <v/>
      </c>
      <c r="C70" s="178" t="str" cm="1">
        <f t="array" ref="C70">IFERROR(IF($A70="","",INDEX(_xlfn.ANCHORARRAY($BK$4),ROW()-5,7)),"")</f>
        <v/>
      </c>
      <c r="D70" s="177" t="str" cm="1">
        <f t="array" ref="D70">IFERROR(IF($A70="","",INDEX(_xlfn.ANCHORARRAY($BK$4),ROW()-5,3)),"")</f>
        <v/>
      </c>
      <c r="E70" s="25" t="str" cm="1">
        <f t="array" ref="E70">IFERROR(IF($A70="","",INDEX(_xlfn.ANCHORARRAY($BK$4),ROW()-5,2)),"")</f>
        <v/>
      </c>
      <c r="F70" s="177" t="str">
        <f t="shared" ref="F70:F133" si="17">IF($A70="","",IF($C70=0,IFERROR(_xlfn.XLOOKUP($A70,Util_Tags,Util_SCAEff),""),IFERROR(_xlfn.XLOOKUP($E70,$A$6:$A$255,$M$6:$M$255),"")))</f>
        <v/>
      </c>
      <c r="G70" s="275" t="str">
        <f t="shared" ref="G70:G133" si="18">IF($A70="","",IF($C70=0,"— utility service —",IF($BZ70="","⚠ no feeder data",MAX($BY70,1)&amp;"-"&amp;$BZ70&amp;" "&amp;$BW70&amp;", "&amp;TEXT($BV70,"#,##0")&amp;" ft, "&amp;$BX70)))</f>
        <v/>
      </c>
      <c r="H70" s="180" t="str">
        <f t="shared" ref="H70:H133" si="19">IF(OR($A70="",$C70=0,$CH70="",$BV70="",$F70="",$CF70=""),"",$CG70*$BV70*$F70/($CH70*MAX($BY70,1)*$CF70))</f>
        <v/>
      </c>
      <c r="I70" s="180" t="str">
        <f t="shared" ref="I70:I133" si="20">IF($A70="","",IF($C70=0,1,IF($H70="","",1/(1+$H70))))</f>
        <v/>
      </c>
      <c r="J70" s="177" t="str">
        <f>_xlfn.LET(_xlpm.v,_xlfn.LET(_xlpm.base,IF($A70="","",IF($C70=0,IFERROR(_xlfn.XLOOKUP($A70,Util_Tags,Util_SCAEff),""),IF(LEFT($A70,2)="T-",IF($CJ70="","",$CJ70/(1+IF($CL70="",0,$CL70))),IF(OR($F70="",$I70=""),"",$F70*$I70)))),_xlpm.gtag,IF(OR($A70="",NOT(OR($B70="ATS",$B70="MTS"))),"",IFERROR(_xlfn.XLOOKUP($A70,Dashboard!$A$101:$A$350,Dashboard!$L$101:$L$350,"")&amp;"","")),_xlpm.gkva,IF(_xlpm.gtag="",0,IFERROR(N(_xlfn.XLOOKUP(_xlpm.gtag,Generator!$B$53:$B$58,Generator!$S$53:$S$58,0)),0)),_xlpm.gxd,IF(_xlpm.gtag="",0,IFERROR(N(_xlfn.XLOOKUP(_xlpm.gtag,Generator!$B$53:$B$58,Generator!$U$53:$U$58,0)),0)),_xlpm.gamp,IF(OR(_xlpm.gkva=0,_xlpm.gxd=0,N($D70)=0),0,ROUND(_xlpm.gkva*1000/(IF(N($CB70)=1,1,SQRT(3))*$D70*_xlpm.gxd),0)),IF(OR(_xlpm.gamp=0,NOT(ISNUMBER(_xlpm.base))),_xlpm.base,MAX(_xlpm.base,_xlpm.gamp))),_xlpm.ulim,IF(OR($A70="",$B70&lt;&gt;"UPS"),"",IFERROR(IF(_xlfn.XLOOKUP($A70,UPS!$B$57:$B$64,UPS!$E$57:$E$64,"")="None",_xlfn.XLOOKUP($A70,UPS!$B$57:$B$64,UPS!$U$57:$U$64,""),""),"")),IF(AND(ISNUMBER(_xlpm.v),ISNUMBER(_xlpm.ulim)),MIN(_xlpm.v,_xlpm.ulim),_xlpm.v))</f>
        <v/>
      </c>
      <c r="K70" s="176"/>
      <c r="L70" s="177" t="str">
        <f t="shared" ref="L70:L133" si="21">IF(OR($A70="",$K70=""),"",$K70*IF($CM70&lt;&gt;"",$CM70,IF($B70="MCC",Cfg_MotorMultMCC,Cfg_MotorMult)))</f>
        <v/>
      </c>
      <c r="M70" s="177" t="str">
        <f t="shared" ref="M70:M133" si="22">IF(OR($A70="",$J70=""),"",$J70+IF($L70="",0,$L70))</f>
        <v/>
      </c>
      <c r="N70" s="380" t="str">
        <f>IF($A70="","",IF($C70=0,_xlfn.LET(_xlpm.x,IFERROR(_xlfn.XLOOKUP($A70,Util_Tags,Util_XR),""),IF(N(_xlpm.x)=0,Xfmr_DefXR,_xlpm.x)),IF(LEFT($A70,2)="T-",IFERROR(_xlfn.XLOOKUP($A70,Transformers!$A$6:$A$105,Transformers!$AH$6:$AH$105),Xfmr_DefXR),IFERROR(_xlfn.XLOOKUP($E70,$A$6:$A$255,$N$6:$N$255),Xfmr_DefXR))))</f>
        <v/>
      </c>
      <c r="O70" s="177" t="str">
        <f t="shared" ref="O70:O133" si="23">IF(OR($A70="",$M70="",$N70=""),"",SQRT(2)*$M70*(1.02+0.98*EXP(-3/$N70)))</f>
        <v/>
      </c>
      <c r="P70" s="210" t="str">
        <f>IF($A70="","",IF(LEFT($A70,2)="T-",IF($CO70="","",_xlfn.LET(_xlpm.k,IFERROR(_xlfn.XLOOKUP($A70,Transformers!$A$6:$A$105,Transformers!$G$6:$G$105),""),_xlpm.sv,IFERROR(_xlfn.XLOOKUP($A70,Transformers!$A$6:$A$105,Transformers!$E$6:$E$105),""),IF(OR(NOT(ISNUMBER(_xlpm.k)),NOT(ISNUMBER(_xlpm.sv)),_xlpm.sv=0),"",_xlfn.LET(_xlpm.iInf,(_xlpm.k*1000/(_xlpm.sv/2))*100/$CO70,_xlpm.pri,IF(OR($CK70="",$CK70=0),"",$CK70/2),_xlpm.base,IF(_xlpm.pri="",_xlpm.iInf,_xlpm.iInf/(1+_xlpm.iInf/_xlpm.pri)),_xlpm.base+IF($L70="",0,$L70))))),IF($CP70="","",_xlfn.LET(_xlpm.pI,IFERROR(_xlfn.XLOOKUP($E70,$A$6:$A$255,$P$6:$P$255),""),IF(NOT(ISNUMBER(_xlpm.pI)),"",_xlpm.pI/(1+$CP70)+IF($L70="",0,$L70))))))</f>
        <v/>
      </c>
      <c r="Q70" s="210" t="str">
        <f t="shared" ref="Q70:Q133" si="24">IF(OR($A70="",$M70=""),"",MAX($M70,IF($P70="",0,$P70)))</f>
        <v/>
      </c>
      <c r="R70" s="177" t="str">
        <f>IF($A70="","",IF(OR($C70=0,LEFT($A70,2)="T-"),"",IFERROR(_xlfn.LET(_xlpm.v,_xlfn.XLOOKUP($A70,Dashboard!$A$101:$A$350,Dashboard!$K$101:$K$350),IF(ISNUMBER(_xlpm.v),_xlpm.v,"")),"")))</f>
        <v/>
      </c>
      <c r="S70" s="211" t="str">
        <f t="shared" ref="S70:S133" si="25">IF(OR($A70="",$R70="",$Q70=""),"",$R70-$Q70)</f>
        <v/>
      </c>
      <c r="T70" s="25" t="str">
        <f t="shared" ref="T70:T133" si="26">IF($A70="","",IF($C70=0,IF(IFERROR(_xlfn.XLOOKUP($A70,Util_Tags,Util_SCAEff),"")="","⚠ enter available fault current (Dashboard)","— utility source —"),IF($CI70&lt;&gt;"",$CI70,IF(AND($C70&gt;0,$BZ70=""),"⚠ feeder data missing",IF(AND($B70="MCC",$K70=""),"⚠ MCC: enter motor FLA",IF($M70="","⚠ fault not resolved",IF($R70="",IF(LEFT($A70,2)="T-","— transformer (no interrupting device)","⚠ enter device AIC"),IF($S70&lt;0,"FAIL — AIC below available fault",IF(AND($P70&lt;&gt;"",$P70&gt;$M70),"PASS — line-to-neutral fault governs","PASS")))))))))</f>
        <v/>
      </c>
      <c r="U70" s="364"/>
      <c r="BV70" s="20" t="str">
        <f>IF($A70="","",IFERROR(_xlfn.XLOOKUP("F-"&amp;$A70,'Feeder Schedule'!$B$5:$B$254,'Feeder Schedule'!$H$5:$H$254),""))</f>
        <v/>
      </c>
      <c r="BW70" s="20" t="str">
        <f>IF($A70="","",IFERROR(_xlfn.XLOOKUP("F-"&amp;$A70,'Feeder Schedule'!$B$5:$B$254,'Feeder Schedule'!$BV$5:$BV$254),""))</f>
        <v/>
      </c>
      <c r="BX70" s="20" t="str">
        <f>IF($A70="","",IFERROR(_xlfn.LET(_xlpm.v,_xlfn.XLOOKUP("F-"&amp;$A70,'Feeder Schedule'!$B$5:$B$254,'Feeder Schedule'!$M$5:$M$254),IF(OR(_xlpm.v="",_xlpm.v=0),Cfg_Conduit,_xlpm.v)),""))</f>
        <v/>
      </c>
      <c r="BY70" s="20" t="str">
        <f>IF($A70="","",IFERROR(_xlfn.XLOOKUP("F-"&amp;$A70,'Feeder Schedule'!$B$5:$B$254,'Feeder Schedule'!$O$5:$O$254),""))</f>
        <v/>
      </c>
      <c r="BZ70" s="20" t="str">
        <f>IF($A70="","",IFERROR(_xlfn.XLOOKUP("F-"&amp;$A70,'Feeder Schedule'!$B$5:$B$254,'Feeder Schedule'!$CH$5:$CH$254),""))</f>
        <v/>
      </c>
      <c r="CA70" s="20" t="str">
        <f>IF($A70="","",IFERROR(_xlfn.XLOOKUP("F-"&amp;$A70,'Feeder Schedule'!$B$5:$B$254,'Feeder Schedule'!$F$5:$F$254),""))</f>
        <v/>
      </c>
      <c r="CB70" s="20" t="str">
        <f>IF($A70="","",IFERROR(_xlfn.XLOOKUP("F-"&amp;$A70,'Feeder Schedule'!$B$5:$B$254,'Feeder Schedule'!$G$5:$G$254),""))</f>
        <v/>
      </c>
      <c r="CD70" s="20" t="str" cm="1">
        <f t="array" ref="CD70">IFERROR(IF($A70="","",INDEX(_xlfn.ANCHORARRAY($BK$4),ROW()-5,6)),"")</f>
        <v/>
      </c>
      <c r="CE70" s="20" t="str">
        <f t="shared" si="12"/>
        <v/>
      </c>
      <c r="CF70" s="20" t="str">
        <f t="shared" si="13"/>
        <v/>
      </c>
      <c r="CG70" s="20" t="str">
        <f t="shared" ref="CG70:CG133" si="27">IF(OR($A70="",$CB70=""),"",IF($CB70=1,2,SQRT3))</f>
        <v/>
      </c>
      <c r="CH70" s="20" t="str" cm="1">
        <f t="array" ref="CH70">IF(OR($A70="",$BZ70="",$BW70="",$BX70=""),"",_xlfn.LET(_xlpm.mag,IFERROR(_xlfn.XLOOKUP($BX70,Race_Raceway,Race_Mag),""),IF(_xlpm.mag="","",IFERROR(INDEX(Cond_Table,MATCH($BZ70,Cond_Size,0),IF(UPPER($BW70)="AL",IF(_xlpm.mag="Y",10,12),IF(_xlpm.mag="Y",9,11))),""))))</f>
        <v/>
      </c>
      <c r="CI70" s="20" t="str">
        <f t="shared" ref="CI70:CI133" si="28">IF(OR($A70="",$BX70=""),"",IF(IFERROR(_xlfn.XLOOKUP($BX70,Race_Raceway,Race_Mag),"")="","⚠ unrecognised raceway type: "&amp;$BX70,""))</f>
        <v/>
      </c>
      <c r="CJ70" s="20" t="str">
        <f>IF(OR($A70="",LEFT($A70,2)&lt;&gt;"T-"),"",IFERROR(_xlfn.LET(_xlpm.fla,_xlfn.XLOOKUP($A70,Transformers!$A$6:$A$105,Transformers!$AK$6:$AK$105),_xlpm.z,_xlfn.XLOOKUP($A70,Transformers!$A$6:$A$105,Transformers!$AX$6:$AX$105),IF(OR(_xlpm.fla="",_xlpm.z="",_xlpm.z=0),"",_xlpm.fla*100/_xlpm.z)),""))</f>
        <v/>
      </c>
      <c r="CK70" s="20" t="str">
        <f t="shared" si="14"/>
        <v/>
      </c>
      <c r="CL70" s="20" t="str">
        <f t="shared" si="15"/>
        <v/>
      </c>
      <c r="CM70" s="373"/>
      <c r="CO70" s="20" t="str">
        <f>IF(OR($A70="",LEFT($A70,2)&lt;&gt;"T-"),"",_xlfn.LET(_xlpm.ph,IFERROR(_xlfn.XLOOKUP($A70,Transformers!$A$6:$A$105,Transformers!$C$6:$C$105),""),_xlpm.rr,IFERROR(_xlfn.XLOOKUP($A70,Transformers!$A$6:$A$105,Transformers!$AG$6:$AG$105),""),_xlpm.xx,IFERROR(_xlfn.XLOOKUP($A70,Transformers!$A$6:$A$105,Transformers!$AI$6:$AI$105),""),IF(OR(_xlpm.ph&lt;&gt;1,NOT(ISNUMBER(_xlpm.rr)),NOT(ISNUMBER(_xlpm.xx))),"",SQRT((1.5*_xlpm.rr)^2+(1.2*_xlpm.xx)^2))))</f>
        <v/>
      </c>
      <c r="CP70" s="20" t="str">
        <f t="shared" si="16"/>
        <v/>
      </c>
    </row>
    <row r="71" spans="1:94" ht="15" customHeight="1" x14ac:dyDescent="0.45">
      <c r="A71" s="275" t="str" cm="1">
        <f t="array" ref="A71">IFERROR(IF(INDEX(_xlfn.ANCHORARRAY($BK$4),ROW()-5,1)="","",INDEX(_xlfn.ANCHORARRAY($BK$4),ROW()-5,1)),"")</f>
        <v/>
      </c>
      <c r="B71" s="25" t="str" cm="1">
        <f t="array" ref="B71">IFERROR(IF($A71="","",INDEX(_xlfn.ANCHORARRAY($BK$4),ROW()-5,5)),"")</f>
        <v/>
      </c>
      <c r="C71" s="178" t="str" cm="1">
        <f t="array" ref="C71">IFERROR(IF($A71="","",INDEX(_xlfn.ANCHORARRAY($BK$4),ROW()-5,7)),"")</f>
        <v/>
      </c>
      <c r="D71" s="177" t="str" cm="1">
        <f t="array" ref="D71">IFERROR(IF($A71="","",INDEX(_xlfn.ANCHORARRAY($BK$4),ROW()-5,3)),"")</f>
        <v/>
      </c>
      <c r="E71" s="25" t="str" cm="1">
        <f t="array" ref="E71">IFERROR(IF($A71="","",INDEX(_xlfn.ANCHORARRAY($BK$4),ROW()-5,2)),"")</f>
        <v/>
      </c>
      <c r="F71" s="177" t="str">
        <f t="shared" si="17"/>
        <v/>
      </c>
      <c r="G71" s="275" t="str">
        <f t="shared" si="18"/>
        <v/>
      </c>
      <c r="H71" s="180" t="str">
        <f t="shared" si="19"/>
        <v/>
      </c>
      <c r="I71" s="180" t="str">
        <f t="shared" si="20"/>
        <v/>
      </c>
      <c r="J71" s="177" t="str">
        <f>_xlfn.LET(_xlpm.v,_xlfn.LET(_xlpm.base,IF($A71="","",IF($C71=0,IFERROR(_xlfn.XLOOKUP($A71,Util_Tags,Util_SCAEff),""),IF(LEFT($A71,2)="T-",IF($CJ71="","",$CJ71/(1+IF($CL71="",0,$CL71))),IF(OR($F71="",$I71=""),"",$F71*$I71)))),_xlpm.gtag,IF(OR($A71="",NOT(OR($B71="ATS",$B71="MTS"))),"",IFERROR(_xlfn.XLOOKUP($A71,Dashboard!$A$101:$A$350,Dashboard!$L$101:$L$350,"")&amp;"","")),_xlpm.gkva,IF(_xlpm.gtag="",0,IFERROR(N(_xlfn.XLOOKUP(_xlpm.gtag,Generator!$B$53:$B$58,Generator!$S$53:$S$58,0)),0)),_xlpm.gxd,IF(_xlpm.gtag="",0,IFERROR(N(_xlfn.XLOOKUP(_xlpm.gtag,Generator!$B$53:$B$58,Generator!$U$53:$U$58,0)),0)),_xlpm.gamp,IF(OR(_xlpm.gkva=0,_xlpm.gxd=0,N($D71)=0),0,ROUND(_xlpm.gkva*1000/(IF(N($CB71)=1,1,SQRT(3))*$D71*_xlpm.gxd),0)),IF(OR(_xlpm.gamp=0,NOT(ISNUMBER(_xlpm.base))),_xlpm.base,MAX(_xlpm.base,_xlpm.gamp))),_xlpm.ulim,IF(OR($A71="",$B71&lt;&gt;"UPS"),"",IFERROR(IF(_xlfn.XLOOKUP($A71,UPS!$B$57:$B$64,UPS!$E$57:$E$64,"")="None",_xlfn.XLOOKUP($A71,UPS!$B$57:$B$64,UPS!$U$57:$U$64,""),""),"")),IF(AND(ISNUMBER(_xlpm.v),ISNUMBER(_xlpm.ulim)),MIN(_xlpm.v,_xlpm.ulim),_xlpm.v))</f>
        <v/>
      </c>
      <c r="K71" s="176"/>
      <c r="L71" s="177" t="str">
        <f t="shared" si="21"/>
        <v/>
      </c>
      <c r="M71" s="177" t="str">
        <f t="shared" si="22"/>
        <v/>
      </c>
      <c r="N71" s="380" t="str">
        <f>IF($A71="","",IF($C71=0,_xlfn.LET(_xlpm.x,IFERROR(_xlfn.XLOOKUP($A71,Util_Tags,Util_XR),""),IF(N(_xlpm.x)=0,Xfmr_DefXR,_xlpm.x)),IF(LEFT($A71,2)="T-",IFERROR(_xlfn.XLOOKUP($A71,Transformers!$A$6:$A$105,Transformers!$AH$6:$AH$105),Xfmr_DefXR),IFERROR(_xlfn.XLOOKUP($E71,$A$6:$A$255,$N$6:$N$255),Xfmr_DefXR))))</f>
        <v/>
      </c>
      <c r="O71" s="177" t="str">
        <f t="shared" si="23"/>
        <v/>
      </c>
      <c r="P71" s="210" t="str">
        <f>IF($A71="","",IF(LEFT($A71,2)="T-",IF($CO71="","",_xlfn.LET(_xlpm.k,IFERROR(_xlfn.XLOOKUP($A71,Transformers!$A$6:$A$105,Transformers!$G$6:$G$105),""),_xlpm.sv,IFERROR(_xlfn.XLOOKUP($A71,Transformers!$A$6:$A$105,Transformers!$E$6:$E$105),""),IF(OR(NOT(ISNUMBER(_xlpm.k)),NOT(ISNUMBER(_xlpm.sv)),_xlpm.sv=0),"",_xlfn.LET(_xlpm.iInf,(_xlpm.k*1000/(_xlpm.sv/2))*100/$CO71,_xlpm.pri,IF(OR($CK71="",$CK71=0),"",$CK71/2),_xlpm.base,IF(_xlpm.pri="",_xlpm.iInf,_xlpm.iInf/(1+_xlpm.iInf/_xlpm.pri)),_xlpm.base+IF($L71="",0,$L71))))),IF($CP71="","",_xlfn.LET(_xlpm.pI,IFERROR(_xlfn.XLOOKUP($E71,$A$6:$A$255,$P$6:$P$255),""),IF(NOT(ISNUMBER(_xlpm.pI)),"",_xlpm.pI/(1+$CP71)+IF($L71="",0,$L71))))))</f>
        <v/>
      </c>
      <c r="Q71" s="210" t="str">
        <f t="shared" si="24"/>
        <v/>
      </c>
      <c r="R71" s="177" t="str">
        <f>IF($A71="","",IF(OR($C71=0,LEFT($A71,2)="T-"),"",IFERROR(_xlfn.LET(_xlpm.v,_xlfn.XLOOKUP($A71,Dashboard!$A$101:$A$350,Dashboard!$K$101:$K$350),IF(ISNUMBER(_xlpm.v),_xlpm.v,"")),"")))</f>
        <v/>
      </c>
      <c r="S71" s="211" t="str">
        <f t="shared" si="25"/>
        <v/>
      </c>
      <c r="T71" s="25" t="str">
        <f t="shared" si="26"/>
        <v/>
      </c>
      <c r="U71" s="364"/>
      <c r="BV71" s="20" t="str">
        <f>IF($A71="","",IFERROR(_xlfn.XLOOKUP("F-"&amp;$A71,'Feeder Schedule'!$B$5:$B$254,'Feeder Schedule'!$H$5:$H$254),""))</f>
        <v/>
      </c>
      <c r="BW71" s="20" t="str">
        <f>IF($A71="","",IFERROR(_xlfn.XLOOKUP("F-"&amp;$A71,'Feeder Schedule'!$B$5:$B$254,'Feeder Schedule'!$BV$5:$BV$254),""))</f>
        <v/>
      </c>
      <c r="BX71" s="20" t="str">
        <f>IF($A71="","",IFERROR(_xlfn.LET(_xlpm.v,_xlfn.XLOOKUP("F-"&amp;$A71,'Feeder Schedule'!$B$5:$B$254,'Feeder Schedule'!$M$5:$M$254),IF(OR(_xlpm.v="",_xlpm.v=0),Cfg_Conduit,_xlpm.v)),""))</f>
        <v/>
      </c>
      <c r="BY71" s="20" t="str">
        <f>IF($A71="","",IFERROR(_xlfn.XLOOKUP("F-"&amp;$A71,'Feeder Schedule'!$B$5:$B$254,'Feeder Schedule'!$O$5:$O$254),""))</f>
        <v/>
      </c>
      <c r="BZ71" s="20" t="str">
        <f>IF($A71="","",IFERROR(_xlfn.XLOOKUP("F-"&amp;$A71,'Feeder Schedule'!$B$5:$B$254,'Feeder Schedule'!$CH$5:$CH$254),""))</f>
        <v/>
      </c>
      <c r="CA71" s="20" t="str">
        <f>IF($A71="","",IFERROR(_xlfn.XLOOKUP("F-"&amp;$A71,'Feeder Schedule'!$B$5:$B$254,'Feeder Schedule'!$F$5:$F$254),""))</f>
        <v/>
      </c>
      <c r="CB71" s="20" t="str">
        <f>IF($A71="","",IFERROR(_xlfn.XLOOKUP("F-"&amp;$A71,'Feeder Schedule'!$B$5:$B$254,'Feeder Schedule'!$G$5:$G$254),""))</f>
        <v/>
      </c>
      <c r="CD71" s="20" t="str" cm="1">
        <f t="array" ref="CD71">IFERROR(IF($A71="","",INDEX(_xlfn.ANCHORARRAY($BK$4),ROW()-5,6)),"")</f>
        <v/>
      </c>
      <c r="CE71" s="20" t="str">
        <f t="shared" ref="CE71:CE134" si="29">IF($A71="","",IF(LEFT($A71,2)="T-",IFERROR(_xlfn.XLOOKUP($E71,$A$6:$A$255,$CD$6:$CD$255),""),$CD71))</f>
        <v/>
      </c>
      <c r="CF71" s="20" t="str">
        <f t="shared" ref="CF71:CF134" si="30">IF(OR($A71="",$CB71="",$CA71=""),"",$CA71)</f>
        <v/>
      </c>
      <c r="CG71" s="20" t="str">
        <f t="shared" si="27"/>
        <v/>
      </c>
      <c r="CH71" s="20" t="str" cm="1">
        <f t="array" ref="CH71">IF(OR($A71="",$BZ71="",$BW71="",$BX71=""),"",_xlfn.LET(_xlpm.mag,IFERROR(_xlfn.XLOOKUP($BX71,Race_Raceway,Race_Mag),""),IF(_xlpm.mag="","",IFERROR(INDEX(Cond_Table,MATCH($BZ71,Cond_Size,0),IF(UPPER($BW71)="AL",IF(_xlpm.mag="Y",10,12),IF(_xlpm.mag="Y",9,11))),""))))</f>
        <v/>
      </c>
      <c r="CI71" s="20" t="str">
        <f t="shared" si="28"/>
        <v/>
      </c>
      <c r="CJ71" s="20" t="str">
        <f>IF(OR($A71="",LEFT($A71,2)&lt;&gt;"T-"),"",IFERROR(_xlfn.LET(_xlpm.fla,_xlfn.XLOOKUP($A71,Transformers!$A$6:$A$105,Transformers!$AK$6:$AK$105),_xlpm.z,_xlfn.XLOOKUP($A71,Transformers!$A$6:$A$105,Transformers!$AX$6:$AX$105),IF(OR(_xlpm.fla="",_xlpm.z="",_xlpm.z=0),"",_xlpm.fla*100/_xlpm.z)),""))</f>
        <v/>
      </c>
      <c r="CK71" s="20" t="str">
        <f t="shared" ref="CK71:CK134" si="31">IF(OR($A71="",LEFT($A71,2)&lt;&gt;"T-",$F71="",$I71="",$D71="",$CA71=""),"",$F71*$I71*$CA71/$D71)</f>
        <v/>
      </c>
      <c r="CL71" s="20" t="str">
        <f t="shared" ref="CL71:CL134" si="32">IF(OR($CJ71="",$CK71="",$CK71=0),"",$CJ71/$CK71)</f>
        <v/>
      </c>
      <c r="CM71" s="373"/>
      <c r="CO71" s="20" t="str">
        <f>IF(OR($A71="",LEFT($A71,2)&lt;&gt;"T-"),"",_xlfn.LET(_xlpm.ph,IFERROR(_xlfn.XLOOKUP($A71,Transformers!$A$6:$A$105,Transformers!$C$6:$C$105),""),_xlpm.rr,IFERROR(_xlfn.XLOOKUP($A71,Transformers!$A$6:$A$105,Transformers!$AG$6:$AG$105),""),_xlpm.xx,IFERROR(_xlfn.XLOOKUP($A71,Transformers!$A$6:$A$105,Transformers!$AI$6:$AI$105),""),IF(OR(_xlpm.ph&lt;&gt;1,NOT(ISNUMBER(_xlpm.rr)),NOT(ISNUMBER(_xlpm.xx))),"",SQRT((1.5*_xlpm.rr)^2+(1.2*_xlpm.xx)^2))))</f>
        <v/>
      </c>
      <c r="CP71" s="20" t="str">
        <f t="shared" ref="CP71:CP134" si="33">IF(OR($A71="",LEFT($A71,2)="T-"),"",_xlfn.LET(_xlpm.pI,IFERROR(_xlfn.XLOOKUP($E71,$A$6:$A$255,$P$6:$P$255),""),IF(OR(NOT(ISNUMBER(_xlpm.pI)),$CG71&lt;&gt;2,$BV71="",$CH71="",$CE71="",$CE71=0),"",2*$BV71*_xlpm.pI/($CH71*MAX($BY71,1)*$CE71))))</f>
        <v/>
      </c>
    </row>
    <row r="72" spans="1:94" ht="15" customHeight="1" x14ac:dyDescent="0.45">
      <c r="A72" s="275" t="str" cm="1">
        <f t="array" ref="A72">IFERROR(IF(INDEX(_xlfn.ANCHORARRAY($BK$4),ROW()-5,1)="","",INDEX(_xlfn.ANCHORARRAY($BK$4),ROW()-5,1)),"")</f>
        <v/>
      </c>
      <c r="B72" s="25" t="str" cm="1">
        <f t="array" ref="B72">IFERROR(IF($A72="","",INDEX(_xlfn.ANCHORARRAY($BK$4),ROW()-5,5)),"")</f>
        <v/>
      </c>
      <c r="C72" s="178" t="str" cm="1">
        <f t="array" ref="C72">IFERROR(IF($A72="","",INDEX(_xlfn.ANCHORARRAY($BK$4),ROW()-5,7)),"")</f>
        <v/>
      </c>
      <c r="D72" s="177" t="str" cm="1">
        <f t="array" ref="D72">IFERROR(IF($A72="","",INDEX(_xlfn.ANCHORARRAY($BK$4),ROW()-5,3)),"")</f>
        <v/>
      </c>
      <c r="E72" s="25" t="str" cm="1">
        <f t="array" ref="E72">IFERROR(IF($A72="","",INDEX(_xlfn.ANCHORARRAY($BK$4),ROW()-5,2)),"")</f>
        <v/>
      </c>
      <c r="F72" s="177" t="str">
        <f t="shared" si="17"/>
        <v/>
      </c>
      <c r="G72" s="275" t="str">
        <f t="shared" si="18"/>
        <v/>
      </c>
      <c r="H72" s="180" t="str">
        <f t="shared" si="19"/>
        <v/>
      </c>
      <c r="I72" s="180" t="str">
        <f t="shared" si="20"/>
        <v/>
      </c>
      <c r="J72" s="177" t="str">
        <f>_xlfn.LET(_xlpm.v,_xlfn.LET(_xlpm.base,IF($A72="","",IF($C72=0,IFERROR(_xlfn.XLOOKUP($A72,Util_Tags,Util_SCAEff),""),IF(LEFT($A72,2)="T-",IF($CJ72="","",$CJ72/(1+IF($CL72="",0,$CL72))),IF(OR($F72="",$I72=""),"",$F72*$I72)))),_xlpm.gtag,IF(OR($A72="",NOT(OR($B72="ATS",$B72="MTS"))),"",IFERROR(_xlfn.XLOOKUP($A72,Dashboard!$A$101:$A$350,Dashboard!$L$101:$L$350,"")&amp;"","")),_xlpm.gkva,IF(_xlpm.gtag="",0,IFERROR(N(_xlfn.XLOOKUP(_xlpm.gtag,Generator!$B$53:$B$58,Generator!$S$53:$S$58,0)),0)),_xlpm.gxd,IF(_xlpm.gtag="",0,IFERROR(N(_xlfn.XLOOKUP(_xlpm.gtag,Generator!$B$53:$B$58,Generator!$U$53:$U$58,0)),0)),_xlpm.gamp,IF(OR(_xlpm.gkva=0,_xlpm.gxd=0,N($D72)=0),0,ROUND(_xlpm.gkva*1000/(IF(N($CB72)=1,1,SQRT(3))*$D72*_xlpm.gxd),0)),IF(OR(_xlpm.gamp=0,NOT(ISNUMBER(_xlpm.base))),_xlpm.base,MAX(_xlpm.base,_xlpm.gamp))),_xlpm.ulim,IF(OR($A72="",$B72&lt;&gt;"UPS"),"",IFERROR(IF(_xlfn.XLOOKUP($A72,UPS!$B$57:$B$64,UPS!$E$57:$E$64,"")="None",_xlfn.XLOOKUP($A72,UPS!$B$57:$B$64,UPS!$U$57:$U$64,""),""),"")),IF(AND(ISNUMBER(_xlpm.v),ISNUMBER(_xlpm.ulim)),MIN(_xlpm.v,_xlpm.ulim),_xlpm.v))</f>
        <v/>
      </c>
      <c r="K72" s="176"/>
      <c r="L72" s="177" t="str">
        <f t="shared" si="21"/>
        <v/>
      </c>
      <c r="M72" s="177" t="str">
        <f t="shared" si="22"/>
        <v/>
      </c>
      <c r="N72" s="380" t="str">
        <f>IF($A72="","",IF($C72=0,_xlfn.LET(_xlpm.x,IFERROR(_xlfn.XLOOKUP($A72,Util_Tags,Util_XR),""),IF(N(_xlpm.x)=0,Xfmr_DefXR,_xlpm.x)),IF(LEFT($A72,2)="T-",IFERROR(_xlfn.XLOOKUP($A72,Transformers!$A$6:$A$105,Transformers!$AH$6:$AH$105),Xfmr_DefXR),IFERROR(_xlfn.XLOOKUP($E72,$A$6:$A$255,$N$6:$N$255),Xfmr_DefXR))))</f>
        <v/>
      </c>
      <c r="O72" s="177" t="str">
        <f t="shared" si="23"/>
        <v/>
      </c>
      <c r="P72" s="210" t="str">
        <f>IF($A72="","",IF(LEFT($A72,2)="T-",IF($CO72="","",_xlfn.LET(_xlpm.k,IFERROR(_xlfn.XLOOKUP($A72,Transformers!$A$6:$A$105,Transformers!$G$6:$G$105),""),_xlpm.sv,IFERROR(_xlfn.XLOOKUP($A72,Transformers!$A$6:$A$105,Transformers!$E$6:$E$105),""),IF(OR(NOT(ISNUMBER(_xlpm.k)),NOT(ISNUMBER(_xlpm.sv)),_xlpm.sv=0),"",_xlfn.LET(_xlpm.iInf,(_xlpm.k*1000/(_xlpm.sv/2))*100/$CO72,_xlpm.pri,IF(OR($CK72="",$CK72=0),"",$CK72/2),_xlpm.base,IF(_xlpm.pri="",_xlpm.iInf,_xlpm.iInf/(1+_xlpm.iInf/_xlpm.pri)),_xlpm.base+IF($L72="",0,$L72))))),IF($CP72="","",_xlfn.LET(_xlpm.pI,IFERROR(_xlfn.XLOOKUP($E72,$A$6:$A$255,$P$6:$P$255),""),IF(NOT(ISNUMBER(_xlpm.pI)),"",_xlpm.pI/(1+$CP72)+IF($L72="",0,$L72))))))</f>
        <v/>
      </c>
      <c r="Q72" s="210" t="str">
        <f t="shared" si="24"/>
        <v/>
      </c>
      <c r="R72" s="177" t="str">
        <f>IF($A72="","",IF(OR($C72=0,LEFT($A72,2)="T-"),"",IFERROR(_xlfn.LET(_xlpm.v,_xlfn.XLOOKUP($A72,Dashboard!$A$101:$A$350,Dashboard!$K$101:$K$350),IF(ISNUMBER(_xlpm.v),_xlpm.v,"")),"")))</f>
        <v/>
      </c>
      <c r="S72" s="211" t="str">
        <f t="shared" si="25"/>
        <v/>
      </c>
      <c r="T72" s="25" t="str">
        <f t="shared" si="26"/>
        <v/>
      </c>
      <c r="U72" s="364"/>
      <c r="BV72" s="20" t="str">
        <f>IF($A72="","",IFERROR(_xlfn.XLOOKUP("F-"&amp;$A72,'Feeder Schedule'!$B$5:$B$254,'Feeder Schedule'!$H$5:$H$254),""))</f>
        <v/>
      </c>
      <c r="BW72" s="20" t="str">
        <f>IF($A72="","",IFERROR(_xlfn.XLOOKUP("F-"&amp;$A72,'Feeder Schedule'!$B$5:$B$254,'Feeder Schedule'!$BV$5:$BV$254),""))</f>
        <v/>
      </c>
      <c r="BX72" s="20" t="str">
        <f>IF($A72="","",IFERROR(_xlfn.LET(_xlpm.v,_xlfn.XLOOKUP("F-"&amp;$A72,'Feeder Schedule'!$B$5:$B$254,'Feeder Schedule'!$M$5:$M$254),IF(OR(_xlpm.v="",_xlpm.v=0),Cfg_Conduit,_xlpm.v)),""))</f>
        <v/>
      </c>
      <c r="BY72" s="20" t="str">
        <f>IF($A72="","",IFERROR(_xlfn.XLOOKUP("F-"&amp;$A72,'Feeder Schedule'!$B$5:$B$254,'Feeder Schedule'!$O$5:$O$254),""))</f>
        <v/>
      </c>
      <c r="BZ72" s="20" t="str">
        <f>IF($A72="","",IFERROR(_xlfn.XLOOKUP("F-"&amp;$A72,'Feeder Schedule'!$B$5:$B$254,'Feeder Schedule'!$CH$5:$CH$254),""))</f>
        <v/>
      </c>
      <c r="CA72" s="20" t="str">
        <f>IF($A72="","",IFERROR(_xlfn.XLOOKUP("F-"&amp;$A72,'Feeder Schedule'!$B$5:$B$254,'Feeder Schedule'!$F$5:$F$254),""))</f>
        <v/>
      </c>
      <c r="CB72" s="20" t="str">
        <f>IF($A72="","",IFERROR(_xlfn.XLOOKUP("F-"&amp;$A72,'Feeder Schedule'!$B$5:$B$254,'Feeder Schedule'!$G$5:$G$254),""))</f>
        <v/>
      </c>
      <c r="CD72" s="20" t="str" cm="1">
        <f t="array" ref="CD72">IFERROR(IF($A72="","",INDEX(_xlfn.ANCHORARRAY($BK$4),ROW()-5,6)),"")</f>
        <v/>
      </c>
      <c r="CE72" s="20" t="str">
        <f t="shared" si="29"/>
        <v/>
      </c>
      <c r="CF72" s="20" t="str">
        <f t="shared" si="30"/>
        <v/>
      </c>
      <c r="CG72" s="20" t="str">
        <f t="shared" si="27"/>
        <v/>
      </c>
      <c r="CH72" s="20" t="str" cm="1">
        <f t="array" ref="CH72">IF(OR($A72="",$BZ72="",$BW72="",$BX72=""),"",_xlfn.LET(_xlpm.mag,IFERROR(_xlfn.XLOOKUP($BX72,Race_Raceway,Race_Mag),""),IF(_xlpm.mag="","",IFERROR(INDEX(Cond_Table,MATCH($BZ72,Cond_Size,0),IF(UPPER($BW72)="AL",IF(_xlpm.mag="Y",10,12),IF(_xlpm.mag="Y",9,11))),""))))</f>
        <v/>
      </c>
      <c r="CI72" s="20" t="str">
        <f t="shared" si="28"/>
        <v/>
      </c>
      <c r="CJ72" s="20" t="str">
        <f>IF(OR($A72="",LEFT($A72,2)&lt;&gt;"T-"),"",IFERROR(_xlfn.LET(_xlpm.fla,_xlfn.XLOOKUP($A72,Transformers!$A$6:$A$105,Transformers!$AK$6:$AK$105),_xlpm.z,_xlfn.XLOOKUP($A72,Transformers!$A$6:$A$105,Transformers!$AX$6:$AX$105),IF(OR(_xlpm.fla="",_xlpm.z="",_xlpm.z=0),"",_xlpm.fla*100/_xlpm.z)),""))</f>
        <v/>
      </c>
      <c r="CK72" s="20" t="str">
        <f t="shared" si="31"/>
        <v/>
      </c>
      <c r="CL72" s="20" t="str">
        <f t="shared" si="32"/>
        <v/>
      </c>
      <c r="CM72" s="373"/>
      <c r="CO72" s="20" t="str">
        <f>IF(OR($A72="",LEFT($A72,2)&lt;&gt;"T-"),"",_xlfn.LET(_xlpm.ph,IFERROR(_xlfn.XLOOKUP($A72,Transformers!$A$6:$A$105,Transformers!$C$6:$C$105),""),_xlpm.rr,IFERROR(_xlfn.XLOOKUP($A72,Transformers!$A$6:$A$105,Transformers!$AG$6:$AG$105),""),_xlpm.xx,IFERROR(_xlfn.XLOOKUP($A72,Transformers!$A$6:$A$105,Transformers!$AI$6:$AI$105),""),IF(OR(_xlpm.ph&lt;&gt;1,NOT(ISNUMBER(_xlpm.rr)),NOT(ISNUMBER(_xlpm.xx))),"",SQRT((1.5*_xlpm.rr)^2+(1.2*_xlpm.xx)^2))))</f>
        <v/>
      </c>
      <c r="CP72" s="20" t="str">
        <f t="shared" si="33"/>
        <v/>
      </c>
    </row>
    <row r="73" spans="1:94" ht="15" customHeight="1" x14ac:dyDescent="0.45">
      <c r="A73" s="275" t="str" cm="1">
        <f t="array" ref="A73">IFERROR(IF(INDEX(_xlfn.ANCHORARRAY($BK$4),ROW()-5,1)="","",INDEX(_xlfn.ANCHORARRAY($BK$4),ROW()-5,1)),"")</f>
        <v/>
      </c>
      <c r="B73" s="25" t="str" cm="1">
        <f t="array" ref="B73">IFERROR(IF($A73="","",INDEX(_xlfn.ANCHORARRAY($BK$4),ROW()-5,5)),"")</f>
        <v/>
      </c>
      <c r="C73" s="178" t="str" cm="1">
        <f t="array" ref="C73">IFERROR(IF($A73="","",INDEX(_xlfn.ANCHORARRAY($BK$4),ROW()-5,7)),"")</f>
        <v/>
      </c>
      <c r="D73" s="177" t="str" cm="1">
        <f t="array" ref="D73">IFERROR(IF($A73="","",INDEX(_xlfn.ANCHORARRAY($BK$4),ROW()-5,3)),"")</f>
        <v/>
      </c>
      <c r="E73" s="25" t="str" cm="1">
        <f t="array" ref="E73">IFERROR(IF($A73="","",INDEX(_xlfn.ANCHORARRAY($BK$4),ROW()-5,2)),"")</f>
        <v/>
      </c>
      <c r="F73" s="177" t="str">
        <f t="shared" si="17"/>
        <v/>
      </c>
      <c r="G73" s="275" t="str">
        <f t="shared" si="18"/>
        <v/>
      </c>
      <c r="H73" s="180" t="str">
        <f t="shared" si="19"/>
        <v/>
      </c>
      <c r="I73" s="180" t="str">
        <f t="shared" si="20"/>
        <v/>
      </c>
      <c r="J73" s="177" t="str">
        <f>_xlfn.LET(_xlpm.v,_xlfn.LET(_xlpm.base,IF($A73="","",IF($C73=0,IFERROR(_xlfn.XLOOKUP($A73,Util_Tags,Util_SCAEff),""),IF(LEFT($A73,2)="T-",IF($CJ73="","",$CJ73/(1+IF($CL73="",0,$CL73))),IF(OR($F73="",$I73=""),"",$F73*$I73)))),_xlpm.gtag,IF(OR($A73="",NOT(OR($B73="ATS",$B73="MTS"))),"",IFERROR(_xlfn.XLOOKUP($A73,Dashboard!$A$101:$A$350,Dashboard!$L$101:$L$350,"")&amp;"","")),_xlpm.gkva,IF(_xlpm.gtag="",0,IFERROR(N(_xlfn.XLOOKUP(_xlpm.gtag,Generator!$B$53:$B$58,Generator!$S$53:$S$58,0)),0)),_xlpm.gxd,IF(_xlpm.gtag="",0,IFERROR(N(_xlfn.XLOOKUP(_xlpm.gtag,Generator!$B$53:$B$58,Generator!$U$53:$U$58,0)),0)),_xlpm.gamp,IF(OR(_xlpm.gkva=0,_xlpm.gxd=0,N($D73)=0),0,ROUND(_xlpm.gkva*1000/(IF(N($CB73)=1,1,SQRT(3))*$D73*_xlpm.gxd),0)),IF(OR(_xlpm.gamp=0,NOT(ISNUMBER(_xlpm.base))),_xlpm.base,MAX(_xlpm.base,_xlpm.gamp))),_xlpm.ulim,IF(OR($A73="",$B73&lt;&gt;"UPS"),"",IFERROR(IF(_xlfn.XLOOKUP($A73,UPS!$B$57:$B$64,UPS!$E$57:$E$64,"")="None",_xlfn.XLOOKUP($A73,UPS!$B$57:$B$64,UPS!$U$57:$U$64,""),""),"")),IF(AND(ISNUMBER(_xlpm.v),ISNUMBER(_xlpm.ulim)),MIN(_xlpm.v,_xlpm.ulim),_xlpm.v))</f>
        <v/>
      </c>
      <c r="K73" s="176"/>
      <c r="L73" s="177" t="str">
        <f t="shared" si="21"/>
        <v/>
      </c>
      <c r="M73" s="177" t="str">
        <f t="shared" si="22"/>
        <v/>
      </c>
      <c r="N73" s="380" t="str">
        <f>IF($A73="","",IF($C73=0,_xlfn.LET(_xlpm.x,IFERROR(_xlfn.XLOOKUP($A73,Util_Tags,Util_XR),""),IF(N(_xlpm.x)=0,Xfmr_DefXR,_xlpm.x)),IF(LEFT($A73,2)="T-",IFERROR(_xlfn.XLOOKUP($A73,Transformers!$A$6:$A$105,Transformers!$AH$6:$AH$105),Xfmr_DefXR),IFERROR(_xlfn.XLOOKUP($E73,$A$6:$A$255,$N$6:$N$255),Xfmr_DefXR))))</f>
        <v/>
      </c>
      <c r="O73" s="177" t="str">
        <f t="shared" si="23"/>
        <v/>
      </c>
      <c r="P73" s="210" t="str">
        <f>IF($A73="","",IF(LEFT($A73,2)="T-",IF($CO73="","",_xlfn.LET(_xlpm.k,IFERROR(_xlfn.XLOOKUP($A73,Transformers!$A$6:$A$105,Transformers!$G$6:$G$105),""),_xlpm.sv,IFERROR(_xlfn.XLOOKUP($A73,Transformers!$A$6:$A$105,Transformers!$E$6:$E$105),""),IF(OR(NOT(ISNUMBER(_xlpm.k)),NOT(ISNUMBER(_xlpm.sv)),_xlpm.sv=0),"",_xlfn.LET(_xlpm.iInf,(_xlpm.k*1000/(_xlpm.sv/2))*100/$CO73,_xlpm.pri,IF(OR($CK73="",$CK73=0),"",$CK73/2),_xlpm.base,IF(_xlpm.pri="",_xlpm.iInf,_xlpm.iInf/(1+_xlpm.iInf/_xlpm.pri)),_xlpm.base+IF($L73="",0,$L73))))),IF($CP73="","",_xlfn.LET(_xlpm.pI,IFERROR(_xlfn.XLOOKUP($E73,$A$6:$A$255,$P$6:$P$255),""),IF(NOT(ISNUMBER(_xlpm.pI)),"",_xlpm.pI/(1+$CP73)+IF($L73="",0,$L73))))))</f>
        <v/>
      </c>
      <c r="Q73" s="210" t="str">
        <f t="shared" si="24"/>
        <v/>
      </c>
      <c r="R73" s="177" t="str">
        <f>IF($A73="","",IF(OR($C73=0,LEFT($A73,2)="T-"),"",IFERROR(_xlfn.LET(_xlpm.v,_xlfn.XLOOKUP($A73,Dashboard!$A$101:$A$350,Dashboard!$K$101:$K$350),IF(ISNUMBER(_xlpm.v),_xlpm.v,"")),"")))</f>
        <v/>
      </c>
      <c r="S73" s="211" t="str">
        <f t="shared" si="25"/>
        <v/>
      </c>
      <c r="T73" s="25" t="str">
        <f t="shared" si="26"/>
        <v/>
      </c>
      <c r="U73" s="364"/>
      <c r="BV73" s="20" t="str">
        <f>IF($A73="","",IFERROR(_xlfn.XLOOKUP("F-"&amp;$A73,'Feeder Schedule'!$B$5:$B$254,'Feeder Schedule'!$H$5:$H$254),""))</f>
        <v/>
      </c>
      <c r="BW73" s="20" t="str">
        <f>IF($A73="","",IFERROR(_xlfn.XLOOKUP("F-"&amp;$A73,'Feeder Schedule'!$B$5:$B$254,'Feeder Schedule'!$BV$5:$BV$254),""))</f>
        <v/>
      </c>
      <c r="BX73" s="20" t="str">
        <f>IF($A73="","",IFERROR(_xlfn.LET(_xlpm.v,_xlfn.XLOOKUP("F-"&amp;$A73,'Feeder Schedule'!$B$5:$B$254,'Feeder Schedule'!$M$5:$M$254),IF(OR(_xlpm.v="",_xlpm.v=0),Cfg_Conduit,_xlpm.v)),""))</f>
        <v/>
      </c>
      <c r="BY73" s="20" t="str">
        <f>IF($A73="","",IFERROR(_xlfn.XLOOKUP("F-"&amp;$A73,'Feeder Schedule'!$B$5:$B$254,'Feeder Schedule'!$O$5:$O$254),""))</f>
        <v/>
      </c>
      <c r="BZ73" s="20" t="str">
        <f>IF($A73="","",IFERROR(_xlfn.XLOOKUP("F-"&amp;$A73,'Feeder Schedule'!$B$5:$B$254,'Feeder Schedule'!$CH$5:$CH$254),""))</f>
        <v/>
      </c>
      <c r="CA73" s="20" t="str">
        <f>IF($A73="","",IFERROR(_xlfn.XLOOKUP("F-"&amp;$A73,'Feeder Schedule'!$B$5:$B$254,'Feeder Schedule'!$F$5:$F$254),""))</f>
        <v/>
      </c>
      <c r="CB73" s="20" t="str">
        <f>IF($A73="","",IFERROR(_xlfn.XLOOKUP("F-"&amp;$A73,'Feeder Schedule'!$B$5:$B$254,'Feeder Schedule'!$G$5:$G$254),""))</f>
        <v/>
      </c>
      <c r="CD73" s="20" t="str" cm="1">
        <f t="array" ref="CD73">IFERROR(IF($A73="","",INDEX(_xlfn.ANCHORARRAY($BK$4),ROW()-5,6)),"")</f>
        <v/>
      </c>
      <c r="CE73" s="20" t="str">
        <f t="shared" si="29"/>
        <v/>
      </c>
      <c r="CF73" s="20" t="str">
        <f t="shared" si="30"/>
        <v/>
      </c>
      <c r="CG73" s="20" t="str">
        <f t="shared" si="27"/>
        <v/>
      </c>
      <c r="CH73" s="20" t="str" cm="1">
        <f t="array" ref="CH73">IF(OR($A73="",$BZ73="",$BW73="",$BX73=""),"",_xlfn.LET(_xlpm.mag,IFERROR(_xlfn.XLOOKUP($BX73,Race_Raceway,Race_Mag),""),IF(_xlpm.mag="","",IFERROR(INDEX(Cond_Table,MATCH($BZ73,Cond_Size,0),IF(UPPER($BW73)="AL",IF(_xlpm.mag="Y",10,12),IF(_xlpm.mag="Y",9,11))),""))))</f>
        <v/>
      </c>
      <c r="CI73" s="20" t="str">
        <f t="shared" si="28"/>
        <v/>
      </c>
      <c r="CJ73" s="20" t="str">
        <f>IF(OR($A73="",LEFT($A73,2)&lt;&gt;"T-"),"",IFERROR(_xlfn.LET(_xlpm.fla,_xlfn.XLOOKUP($A73,Transformers!$A$6:$A$105,Transformers!$AK$6:$AK$105),_xlpm.z,_xlfn.XLOOKUP($A73,Transformers!$A$6:$A$105,Transformers!$AX$6:$AX$105),IF(OR(_xlpm.fla="",_xlpm.z="",_xlpm.z=0),"",_xlpm.fla*100/_xlpm.z)),""))</f>
        <v/>
      </c>
      <c r="CK73" s="20" t="str">
        <f t="shared" si="31"/>
        <v/>
      </c>
      <c r="CL73" s="20" t="str">
        <f t="shared" si="32"/>
        <v/>
      </c>
      <c r="CM73" s="373"/>
      <c r="CO73" s="20" t="str">
        <f>IF(OR($A73="",LEFT($A73,2)&lt;&gt;"T-"),"",_xlfn.LET(_xlpm.ph,IFERROR(_xlfn.XLOOKUP($A73,Transformers!$A$6:$A$105,Transformers!$C$6:$C$105),""),_xlpm.rr,IFERROR(_xlfn.XLOOKUP($A73,Transformers!$A$6:$A$105,Transformers!$AG$6:$AG$105),""),_xlpm.xx,IFERROR(_xlfn.XLOOKUP($A73,Transformers!$A$6:$A$105,Transformers!$AI$6:$AI$105),""),IF(OR(_xlpm.ph&lt;&gt;1,NOT(ISNUMBER(_xlpm.rr)),NOT(ISNUMBER(_xlpm.xx))),"",SQRT((1.5*_xlpm.rr)^2+(1.2*_xlpm.xx)^2))))</f>
        <v/>
      </c>
      <c r="CP73" s="20" t="str">
        <f t="shared" si="33"/>
        <v/>
      </c>
    </row>
    <row r="74" spans="1:94" ht="15" customHeight="1" x14ac:dyDescent="0.45">
      <c r="A74" s="275" t="str" cm="1">
        <f t="array" ref="A74">IFERROR(IF(INDEX(_xlfn.ANCHORARRAY($BK$4),ROW()-5,1)="","",INDEX(_xlfn.ANCHORARRAY($BK$4),ROW()-5,1)),"")</f>
        <v/>
      </c>
      <c r="B74" s="25" t="str" cm="1">
        <f t="array" ref="B74">IFERROR(IF($A74="","",INDEX(_xlfn.ANCHORARRAY($BK$4),ROW()-5,5)),"")</f>
        <v/>
      </c>
      <c r="C74" s="178" t="str" cm="1">
        <f t="array" ref="C74">IFERROR(IF($A74="","",INDEX(_xlfn.ANCHORARRAY($BK$4),ROW()-5,7)),"")</f>
        <v/>
      </c>
      <c r="D74" s="177" t="str" cm="1">
        <f t="array" ref="D74">IFERROR(IF($A74="","",INDEX(_xlfn.ANCHORARRAY($BK$4),ROW()-5,3)),"")</f>
        <v/>
      </c>
      <c r="E74" s="25" t="str" cm="1">
        <f t="array" ref="E74">IFERROR(IF($A74="","",INDEX(_xlfn.ANCHORARRAY($BK$4),ROW()-5,2)),"")</f>
        <v/>
      </c>
      <c r="F74" s="177" t="str">
        <f t="shared" si="17"/>
        <v/>
      </c>
      <c r="G74" s="275" t="str">
        <f t="shared" si="18"/>
        <v/>
      </c>
      <c r="H74" s="180" t="str">
        <f t="shared" si="19"/>
        <v/>
      </c>
      <c r="I74" s="180" t="str">
        <f t="shared" si="20"/>
        <v/>
      </c>
      <c r="J74" s="177" t="str">
        <f>_xlfn.LET(_xlpm.v,_xlfn.LET(_xlpm.base,IF($A74="","",IF($C74=0,IFERROR(_xlfn.XLOOKUP($A74,Util_Tags,Util_SCAEff),""),IF(LEFT($A74,2)="T-",IF($CJ74="","",$CJ74/(1+IF($CL74="",0,$CL74))),IF(OR($F74="",$I74=""),"",$F74*$I74)))),_xlpm.gtag,IF(OR($A74="",NOT(OR($B74="ATS",$B74="MTS"))),"",IFERROR(_xlfn.XLOOKUP($A74,Dashboard!$A$101:$A$350,Dashboard!$L$101:$L$350,"")&amp;"","")),_xlpm.gkva,IF(_xlpm.gtag="",0,IFERROR(N(_xlfn.XLOOKUP(_xlpm.gtag,Generator!$B$53:$B$58,Generator!$S$53:$S$58,0)),0)),_xlpm.gxd,IF(_xlpm.gtag="",0,IFERROR(N(_xlfn.XLOOKUP(_xlpm.gtag,Generator!$B$53:$B$58,Generator!$U$53:$U$58,0)),0)),_xlpm.gamp,IF(OR(_xlpm.gkva=0,_xlpm.gxd=0,N($D74)=0),0,ROUND(_xlpm.gkva*1000/(IF(N($CB74)=1,1,SQRT(3))*$D74*_xlpm.gxd),0)),IF(OR(_xlpm.gamp=0,NOT(ISNUMBER(_xlpm.base))),_xlpm.base,MAX(_xlpm.base,_xlpm.gamp))),_xlpm.ulim,IF(OR($A74="",$B74&lt;&gt;"UPS"),"",IFERROR(IF(_xlfn.XLOOKUP($A74,UPS!$B$57:$B$64,UPS!$E$57:$E$64,"")="None",_xlfn.XLOOKUP($A74,UPS!$B$57:$B$64,UPS!$U$57:$U$64,""),""),"")),IF(AND(ISNUMBER(_xlpm.v),ISNUMBER(_xlpm.ulim)),MIN(_xlpm.v,_xlpm.ulim),_xlpm.v))</f>
        <v/>
      </c>
      <c r="K74" s="176"/>
      <c r="L74" s="177" t="str">
        <f t="shared" si="21"/>
        <v/>
      </c>
      <c r="M74" s="177" t="str">
        <f t="shared" si="22"/>
        <v/>
      </c>
      <c r="N74" s="380" t="str">
        <f>IF($A74="","",IF($C74=0,_xlfn.LET(_xlpm.x,IFERROR(_xlfn.XLOOKUP($A74,Util_Tags,Util_XR),""),IF(N(_xlpm.x)=0,Xfmr_DefXR,_xlpm.x)),IF(LEFT($A74,2)="T-",IFERROR(_xlfn.XLOOKUP($A74,Transformers!$A$6:$A$105,Transformers!$AH$6:$AH$105),Xfmr_DefXR),IFERROR(_xlfn.XLOOKUP($E74,$A$6:$A$255,$N$6:$N$255),Xfmr_DefXR))))</f>
        <v/>
      </c>
      <c r="O74" s="177" t="str">
        <f t="shared" si="23"/>
        <v/>
      </c>
      <c r="P74" s="210" t="str">
        <f>IF($A74="","",IF(LEFT($A74,2)="T-",IF($CO74="","",_xlfn.LET(_xlpm.k,IFERROR(_xlfn.XLOOKUP($A74,Transformers!$A$6:$A$105,Transformers!$G$6:$G$105),""),_xlpm.sv,IFERROR(_xlfn.XLOOKUP($A74,Transformers!$A$6:$A$105,Transformers!$E$6:$E$105),""),IF(OR(NOT(ISNUMBER(_xlpm.k)),NOT(ISNUMBER(_xlpm.sv)),_xlpm.sv=0),"",_xlfn.LET(_xlpm.iInf,(_xlpm.k*1000/(_xlpm.sv/2))*100/$CO74,_xlpm.pri,IF(OR($CK74="",$CK74=0),"",$CK74/2),_xlpm.base,IF(_xlpm.pri="",_xlpm.iInf,_xlpm.iInf/(1+_xlpm.iInf/_xlpm.pri)),_xlpm.base+IF($L74="",0,$L74))))),IF($CP74="","",_xlfn.LET(_xlpm.pI,IFERROR(_xlfn.XLOOKUP($E74,$A$6:$A$255,$P$6:$P$255),""),IF(NOT(ISNUMBER(_xlpm.pI)),"",_xlpm.pI/(1+$CP74)+IF($L74="",0,$L74))))))</f>
        <v/>
      </c>
      <c r="Q74" s="210" t="str">
        <f t="shared" si="24"/>
        <v/>
      </c>
      <c r="R74" s="177" t="str">
        <f>IF($A74="","",IF(OR($C74=0,LEFT($A74,2)="T-"),"",IFERROR(_xlfn.LET(_xlpm.v,_xlfn.XLOOKUP($A74,Dashboard!$A$101:$A$350,Dashboard!$K$101:$K$350),IF(ISNUMBER(_xlpm.v),_xlpm.v,"")),"")))</f>
        <v/>
      </c>
      <c r="S74" s="211" t="str">
        <f t="shared" si="25"/>
        <v/>
      </c>
      <c r="T74" s="25" t="str">
        <f t="shared" si="26"/>
        <v/>
      </c>
      <c r="U74" s="364"/>
      <c r="BV74" s="20" t="str">
        <f>IF($A74="","",IFERROR(_xlfn.XLOOKUP("F-"&amp;$A74,'Feeder Schedule'!$B$5:$B$254,'Feeder Schedule'!$H$5:$H$254),""))</f>
        <v/>
      </c>
      <c r="BW74" s="20" t="str">
        <f>IF($A74="","",IFERROR(_xlfn.XLOOKUP("F-"&amp;$A74,'Feeder Schedule'!$B$5:$B$254,'Feeder Schedule'!$BV$5:$BV$254),""))</f>
        <v/>
      </c>
      <c r="BX74" s="20" t="str">
        <f>IF($A74="","",IFERROR(_xlfn.LET(_xlpm.v,_xlfn.XLOOKUP("F-"&amp;$A74,'Feeder Schedule'!$B$5:$B$254,'Feeder Schedule'!$M$5:$M$254),IF(OR(_xlpm.v="",_xlpm.v=0),Cfg_Conduit,_xlpm.v)),""))</f>
        <v/>
      </c>
      <c r="BY74" s="20" t="str">
        <f>IF($A74="","",IFERROR(_xlfn.XLOOKUP("F-"&amp;$A74,'Feeder Schedule'!$B$5:$B$254,'Feeder Schedule'!$O$5:$O$254),""))</f>
        <v/>
      </c>
      <c r="BZ74" s="20" t="str">
        <f>IF($A74="","",IFERROR(_xlfn.XLOOKUP("F-"&amp;$A74,'Feeder Schedule'!$B$5:$B$254,'Feeder Schedule'!$CH$5:$CH$254),""))</f>
        <v/>
      </c>
      <c r="CA74" s="20" t="str">
        <f>IF($A74="","",IFERROR(_xlfn.XLOOKUP("F-"&amp;$A74,'Feeder Schedule'!$B$5:$B$254,'Feeder Schedule'!$F$5:$F$254),""))</f>
        <v/>
      </c>
      <c r="CB74" s="20" t="str">
        <f>IF($A74="","",IFERROR(_xlfn.XLOOKUP("F-"&amp;$A74,'Feeder Schedule'!$B$5:$B$254,'Feeder Schedule'!$G$5:$G$254),""))</f>
        <v/>
      </c>
      <c r="CD74" s="20" t="str" cm="1">
        <f t="array" ref="CD74">IFERROR(IF($A74="","",INDEX(_xlfn.ANCHORARRAY($BK$4),ROW()-5,6)),"")</f>
        <v/>
      </c>
      <c r="CE74" s="20" t="str">
        <f t="shared" si="29"/>
        <v/>
      </c>
      <c r="CF74" s="20" t="str">
        <f t="shared" si="30"/>
        <v/>
      </c>
      <c r="CG74" s="20" t="str">
        <f t="shared" si="27"/>
        <v/>
      </c>
      <c r="CH74" s="20" t="str" cm="1">
        <f t="array" ref="CH74">IF(OR($A74="",$BZ74="",$BW74="",$BX74=""),"",_xlfn.LET(_xlpm.mag,IFERROR(_xlfn.XLOOKUP($BX74,Race_Raceway,Race_Mag),""),IF(_xlpm.mag="","",IFERROR(INDEX(Cond_Table,MATCH($BZ74,Cond_Size,0),IF(UPPER($BW74)="AL",IF(_xlpm.mag="Y",10,12),IF(_xlpm.mag="Y",9,11))),""))))</f>
        <v/>
      </c>
      <c r="CI74" s="20" t="str">
        <f t="shared" si="28"/>
        <v/>
      </c>
      <c r="CJ74" s="20" t="str">
        <f>IF(OR($A74="",LEFT($A74,2)&lt;&gt;"T-"),"",IFERROR(_xlfn.LET(_xlpm.fla,_xlfn.XLOOKUP($A74,Transformers!$A$6:$A$105,Transformers!$AK$6:$AK$105),_xlpm.z,_xlfn.XLOOKUP($A74,Transformers!$A$6:$A$105,Transformers!$AX$6:$AX$105),IF(OR(_xlpm.fla="",_xlpm.z="",_xlpm.z=0),"",_xlpm.fla*100/_xlpm.z)),""))</f>
        <v/>
      </c>
      <c r="CK74" s="20" t="str">
        <f t="shared" si="31"/>
        <v/>
      </c>
      <c r="CL74" s="20" t="str">
        <f t="shared" si="32"/>
        <v/>
      </c>
      <c r="CM74" s="373"/>
      <c r="CO74" s="20" t="str">
        <f>IF(OR($A74="",LEFT($A74,2)&lt;&gt;"T-"),"",_xlfn.LET(_xlpm.ph,IFERROR(_xlfn.XLOOKUP($A74,Transformers!$A$6:$A$105,Transformers!$C$6:$C$105),""),_xlpm.rr,IFERROR(_xlfn.XLOOKUP($A74,Transformers!$A$6:$A$105,Transformers!$AG$6:$AG$105),""),_xlpm.xx,IFERROR(_xlfn.XLOOKUP($A74,Transformers!$A$6:$A$105,Transformers!$AI$6:$AI$105),""),IF(OR(_xlpm.ph&lt;&gt;1,NOT(ISNUMBER(_xlpm.rr)),NOT(ISNUMBER(_xlpm.xx))),"",SQRT((1.5*_xlpm.rr)^2+(1.2*_xlpm.xx)^2))))</f>
        <v/>
      </c>
      <c r="CP74" s="20" t="str">
        <f t="shared" si="33"/>
        <v/>
      </c>
    </row>
    <row r="75" spans="1:94" ht="15" customHeight="1" x14ac:dyDescent="0.45">
      <c r="A75" s="275" t="str" cm="1">
        <f t="array" ref="A75">IFERROR(IF(INDEX(_xlfn.ANCHORARRAY($BK$4),ROW()-5,1)="","",INDEX(_xlfn.ANCHORARRAY($BK$4),ROW()-5,1)),"")</f>
        <v/>
      </c>
      <c r="B75" s="25" t="str" cm="1">
        <f t="array" ref="B75">IFERROR(IF($A75="","",INDEX(_xlfn.ANCHORARRAY($BK$4),ROW()-5,5)),"")</f>
        <v/>
      </c>
      <c r="C75" s="178" t="str" cm="1">
        <f t="array" ref="C75">IFERROR(IF($A75="","",INDEX(_xlfn.ANCHORARRAY($BK$4),ROW()-5,7)),"")</f>
        <v/>
      </c>
      <c r="D75" s="177" t="str" cm="1">
        <f t="array" ref="D75">IFERROR(IF($A75="","",INDEX(_xlfn.ANCHORARRAY($BK$4),ROW()-5,3)),"")</f>
        <v/>
      </c>
      <c r="E75" s="25" t="str" cm="1">
        <f t="array" ref="E75">IFERROR(IF($A75="","",INDEX(_xlfn.ANCHORARRAY($BK$4),ROW()-5,2)),"")</f>
        <v/>
      </c>
      <c r="F75" s="177" t="str">
        <f t="shared" si="17"/>
        <v/>
      </c>
      <c r="G75" s="275" t="str">
        <f t="shared" si="18"/>
        <v/>
      </c>
      <c r="H75" s="180" t="str">
        <f t="shared" si="19"/>
        <v/>
      </c>
      <c r="I75" s="180" t="str">
        <f t="shared" si="20"/>
        <v/>
      </c>
      <c r="J75" s="177" t="str">
        <f>_xlfn.LET(_xlpm.v,_xlfn.LET(_xlpm.base,IF($A75="","",IF($C75=0,IFERROR(_xlfn.XLOOKUP($A75,Util_Tags,Util_SCAEff),""),IF(LEFT($A75,2)="T-",IF($CJ75="","",$CJ75/(1+IF($CL75="",0,$CL75))),IF(OR($F75="",$I75=""),"",$F75*$I75)))),_xlpm.gtag,IF(OR($A75="",NOT(OR($B75="ATS",$B75="MTS"))),"",IFERROR(_xlfn.XLOOKUP($A75,Dashboard!$A$101:$A$350,Dashboard!$L$101:$L$350,"")&amp;"","")),_xlpm.gkva,IF(_xlpm.gtag="",0,IFERROR(N(_xlfn.XLOOKUP(_xlpm.gtag,Generator!$B$53:$B$58,Generator!$S$53:$S$58,0)),0)),_xlpm.gxd,IF(_xlpm.gtag="",0,IFERROR(N(_xlfn.XLOOKUP(_xlpm.gtag,Generator!$B$53:$B$58,Generator!$U$53:$U$58,0)),0)),_xlpm.gamp,IF(OR(_xlpm.gkva=0,_xlpm.gxd=0,N($D75)=0),0,ROUND(_xlpm.gkva*1000/(IF(N($CB75)=1,1,SQRT(3))*$D75*_xlpm.gxd),0)),IF(OR(_xlpm.gamp=0,NOT(ISNUMBER(_xlpm.base))),_xlpm.base,MAX(_xlpm.base,_xlpm.gamp))),_xlpm.ulim,IF(OR($A75="",$B75&lt;&gt;"UPS"),"",IFERROR(IF(_xlfn.XLOOKUP($A75,UPS!$B$57:$B$64,UPS!$E$57:$E$64,"")="None",_xlfn.XLOOKUP($A75,UPS!$B$57:$B$64,UPS!$U$57:$U$64,""),""),"")),IF(AND(ISNUMBER(_xlpm.v),ISNUMBER(_xlpm.ulim)),MIN(_xlpm.v,_xlpm.ulim),_xlpm.v))</f>
        <v/>
      </c>
      <c r="K75" s="176"/>
      <c r="L75" s="177" t="str">
        <f t="shared" si="21"/>
        <v/>
      </c>
      <c r="M75" s="177" t="str">
        <f t="shared" si="22"/>
        <v/>
      </c>
      <c r="N75" s="380" t="str">
        <f>IF($A75="","",IF($C75=0,_xlfn.LET(_xlpm.x,IFERROR(_xlfn.XLOOKUP($A75,Util_Tags,Util_XR),""),IF(N(_xlpm.x)=0,Xfmr_DefXR,_xlpm.x)),IF(LEFT($A75,2)="T-",IFERROR(_xlfn.XLOOKUP($A75,Transformers!$A$6:$A$105,Transformers!$AH$6:$AH$105),Xfmr_DefXR),IFERROR(_xlfn.XLOOKUP($E75,$A$6:$A$255,$N$6:$N$255),Xfmr_DefXR))))</f>
        <v/>
      </c>
      <c r="O75" s="177" t="str">
        <f t="shared" si="23"/>
        <v/>
      </c>
      <c r="P75" s="210" t="str">
        <f>IF($A75="","",IF(LEFT($A75,2)="T-",IF($CO75="","",_xlfn.LET(_xlpm.k,IFERROR(_xlfn.XLOOKUP($A75,Transformers!$A$6:$A$105,Transformers!$G$6:$G$105),""),_xlpm.sv,IFERROR(_xlfn.XLOOKUP($A75,Transformers!$A$6:$A$105,Transformers!$E$6:$E$105),""),IF(OR(NOT(ISNUMBER(_xlpm.k)),NOT(ISNUMBER(_xlpm.sv)),_xlpm.sv=0),"",_xlfn.LET(_xlpm.iInf,(_xlpm.k*1000/(_xlpm.sv/2))*100/$CO75,_xlpm.pri,IF(OR($CK75="",$CK75=0),"",$CK75/2),_xlpm.base,IF(_xlpm.pri="",_xlpm.iInf,_xlpm.iInf/(1+_xlpm.iInf/_xlpm.pri)),_xlpm.base+IF($L75="",0,$L75))))),IF($CP75="","",_xlfn.LET(_xlpm.pI,IFERROR(_xlfn.XLOOKUP($E75,$A$6:$A$255,$P$6:$P$255),""),IF(NOT(ISNUMBER(_xlpm.pI)),"",_xlpm.pI/(1+$CP75)+IF($L75="",0,$L75))))))</f>
        <v/>
      </c>
      <c r="Q75" s="210" t="str">
        <f t="shared" si="24"/>
        <v/>
      </c>
      <c r="R75" s="177" t="str">
        <f>IF($A75="","",IF(OR($C75=0,LEFT($A75,2)="T-"),"",IFERROR(_xlfn.LET(_xlpm.v,_xlfn.XLOOKUP($A75,Dashboard!$A$101:$A$350,Dashboard!$K$101:$K$350),IF(ISNUMBER(_xlpm.v),_xlpm.v,"")),"")))</f>
        <v/>
      </c>
      <c r="S75" s="211" t="str">
        <f t="shared" si="25"/>
        <v/>
      </c>
      <c r="T75" s="25" t="str">
        <f t="shared" si="26"/>
        <v/>
      </c>
      <c r="U75" s="364"/>
      <c r="BV75" s="20" t="str">
        <f>IF($A75="","",IFERROR(_xlfn.XLOOKUP("F-"&amp;$A75,'Feeder Schedule'!$B$5:$B$254,'Feeder Schedule'!$H$5:$H$254),""))</f>
        <v/>
      </c>
      <c r="BW75" s="20" t="str">
        <f>IF($A75="","",IFERROR(_xlfn.XLOOKUP("F-"&amp;$A75,'Feeder Schedule'!$B$5:$B$254,'Feeder Schedule'!$BV$5:$BV$254),""))</f>
        <v/>
      </c>
      <c r="BX75" s="20" t="str">
        <f>IF($A75="","",IFERROR(_xlfn.LET(_xlpm.v,_xlfn.XLOOKUP("F-"&amp;$A75,'Feeder Schedule'!$B$5:$B$254,'Feeder Schedule'!$M$5:$M$254),IF(OR(_xlpm.v="",_xlpm.v=0),Cfg_Conduit,_xlpm.v)),""))</f>
        <v/>
      </c>
      <c r="BY75" s="20" t="str">
        <f>IF($A75="","",IFERROR(_xlfn.XLOOKUP("F-"&amp;$A75,'Feeder Schedule'!$B$5:$B$254,'Feeder Schedule'!$O$5:$O$254),""))</f>
        <v/>
      </c>
      <c r="BZ75" s="20" t="str">
        <f>IF($A75="","",IFERROR(_xlfn.XLOOKUP("F-"&amp;$A75,'Feeder Schedule'!$B$5:$B$254,'Feeder Schedule'!$CH$5:$CH$254),""))</f>
        <v/>
      </c>
      <c r="CA75" s="20" t="str">
        <f>IF($A75="","",IFERROR(_xlfn.XLOOKUP("F-"&amp;$A75,'Feeder Schedule'!$B$5:$B$254,'Feeder Schedule'!$F$5:$F$254),""))</f>
        <v/>
      </c>
      <c r="CB75" s="20" t="str">
        <f>IF($A75="","",IFERROR(_xlfn.XLOOKUP("F-"&amp;$A75,'Feeder Schedule'!$B$5:$B$254,'Feeder Schedule'!$G$5:$G$254),""))</f>
        <v/>
      </c>
      <c r="CD75" s="20" t="str" cm="1">
        <f t="array" ref="CD75">IFERROR(IF($A75="","",INDEX(_xlfn.ANCHORARRAY($BK$4),ROW()-5,6)),"")</f>
        <v/>
      </c>
      <c r="CE75" s="20" t="str">
        <f t="shared" si="29"/>
        <v/>
      </c>
      <c r="CF75" s="20" t="str">
        <f t="shared" si="30"/>
        <v/>
      </c>
      <c r="CG75" s="20" t="str">
        <f t="shared" si="27"/>
        <v/>
      </c>
      <c r="CH75" s="20" t="str" cm="1">
        <f t="array" ref="CH75">IF(OR($A75="",$BZ75="",$BW75="",$BX75=""),"",_xlfn.LET(_xlpm.mag,IFERROR(_xlfn.XLOOKUP($BX75,Race_Raceway,Race_Mag),""),IF(_xlpm.mag="","",IFERROR(INDEX(Cond_Table,MATCH($BZ75,Cond_Size,0),IF(UPPER($BW75)="AL",IF(_xlpm.mag="Y",10,12),IF(_xlpm.mag="Y",9,11))),""))))</f>
        <v/>
      </c>
      <c r="CI75" s="20" t="str">
        <f t="shared" si="28"/>
        <v/>
      </c>
      <c r="CJ75" s="20" t="str">
        <f>IF(OR($A75="",LEFT($A75,2)&lt;&gt;"T-"),"",IFERROR(_xlfn.LET(_xlpm.fla,_xlfn.XLOOKUP($A75,Transformers!$A$6:$A$105,Transformers!$AK$6:$AK$105),_xlpm.z,_xlfn.XLOOKUP($A75,Transformers!$A$6:$A$105,Transformers!$AX$6:$AX$105),IF(OR(_xlpm.fla="",_xlpm.z="",_xlpm.z=0),"",_xlpm.fla*100/_xlpm.z)),""))</f>
        <v/>
      </c>
      <c r="CK75" s="20" t="str">
        <f t="shared" si="31"/>
        <v/>
      </c>
      <c r="CL75" s="20" t="str">
        <f t="shared" si="32"/>
        <v/>
      </c>
      <c r="CM75" s="373"/>
      <c r="CO75" s="20" t="str">
        <f>IF(OR($A75="",LEFT($A75,2)&lt;&gt;"T-"),"",_xlfn.LET(_xlpm.ph,IFERROR(_xlfn.XLOOKUP($A75,Transformers!$A$6:$A$105,Transformers!$C$6:$C$105),""),_xlpm.rr,IFERROR(_xlfn.XLOOKUP($A75,Transformers!$A$6:$A$105,Transformers!$AG$6:$AG$105),""),_xlpm.xx,IFERROR(_xlfn.XLOOKUP($A75,Transformers!$A$6:$A$105,Transformers!$AI$6:$AI$105),""),IF(OR(_xlpm.ph&lt;&gt;1,NOT(ISNUMBER(_xlpm.rr)),NOT(ISNUMBER(_xlpm.xx))),"",SQRT((1.5*_xlpm.rr)^2+(1.2*_xlpm.xx)^2))))</f>
        <v/>
      </c>
      <c r="CP75" s="20" t="str">
        <f t="shared" si="33"/>
        <v/>
      </c>
    </row>
    <row r="76" spans="1:94" ht="15" customHeight="1" x14ac:dyDescent="0.45">
      <c r="A76" s="275" t="str" cm="1">
        <f t="array" ref="A76">IFERROR(IF(INDEX(_xlfn.ANCHORARRAY($BK$4),ROW()-5,1)="","",INDEX(_xlfn.ANCHORARRAY($BK$4),ROW()-5,1)),"")</f>
        <v/>
      </c>
      <c r="B76" s="25" t="str" cm="1">
        <f t="array" ref="B76">IFERROR(IF($A76="","",INDEX(_xlfn.ANCHORARRAY($BK$4),ROW()-5,5)),"")</f>
        <v/>
      </c>
      <c r="C76" s="178" t="str" cm="1">
        <f t="array" ref="C76">IFERROR(IF($A76="","",INDEX(_xlfn.ANCHORARRAY($BK$4),ROW()-5,7)),"")</f>
        <v/>
      </c>
      <c r="D76" s="177" t="str" cm="1">
        <f t="array" ref="D76">IFERROR(IF($A76="","",INDEX(_xlfn.ANCHORARRAY($BK$4),ROW()-5,3)),"")</f>
        <v/>
      </c>
      <c r="E76" s="25" t="str" cm="1">
        <f t="array" ref="E76">IFERROR(IF($A76="","",INDEX(_xlfn.ANCHORARRAY($BK$4),ROW()-5,2)),"")</f>
        <v/>
      </c>
      <c r="F76" s="177" t="str">
        <f t="shared" si="17"/>
        <v/>
      </c>
      <c r="G76" s="275" t="str">
        <f t="shared" si="18"/>
        <v/>
      </c>
      <c r="H76" s="180" t="str">
        <f t="shared" si="19"/>
        <v/>
      </c>
      <c r="I76" s="180" t="str">
        <f t="shared" si="20"/>
        <v/>
      </c>
      <c r="J76" s="177" t="str">
        <f>_xlfn.LET(_xlpm.v,_xlfn.LET(_xlpm.base,IF($A76="","",IF($C76=0,IFERROR(_xlfn.XLOOKUP($A76,Util_Tags,Util_SCAEff),""),IF(LEFT($A76,2)="T-",IF($CJ76="","",$CJ76/(1+IF($CL76="",0,$CL76))),IF(OR($F76="",$I76=""),"",$F76*$I76)))),_xlpm.gtag,IF(OR($A76="",NOT(OR($B76="ATS",$B76="MTS"))),"",IFERROR(_xlfn.XLOOKUP($A76,Dashboard!$A$101:$A$350,Dashboard!$L$101:$L$350,"")&amp;"","")),_xlpm.gkva,IF(_xlpm.gtag="",0,IFERROR(N(_xlfn.XLOOKUP(_xlpm.gtag,Generator!$B$53:$B$58,Generator!$S$53:$S$58,0)),0)),_xlpm.gxd,IF(_xlpm.gtag="",0,IFERROR(N(_xlfn.XLOOKUP(_xlpm.gtag,Generator!$B$53:$B$58,Generator!$U$53:$U$58,0)),0)),_xlpm.gamp,IF(OR(_xlpm.gkva=0,_xlpm.gxd=0,N($D76)=0),0,ROUND(_xlpm.gkva*1000/(IF(N($CB76)=1,1,SQRT(3))*$D76*_xlpm.gxd),0)),IF(OR(_xlpm.gamp=0,NOT(ISNUMBER(_xlpm.base))),_xlpm.base,MAX(_xlpm.base,_xlpm.gamp))),_xlpm.ulim,IF(OR($A76="",$B76&lt;&gt;"UPS"),"",IFERROR(IF(_xlfn.XLOOKUP($A76,UPS!$B$57:$B$64,UPS!$E$57:$E$64,"")="None",_xlfn.XLOOKUP($A76,UPS!$B$57:$B$64,UPS!$U$57:$U$64,""),""),"")),IF(AND(ISNUMBER(_xlpm.v),ISNUMBER(_xlpm.ulim)),MIN(_xlpm.v,_xlpm.ulim),_xlpm.v))</f>
        <v/>
      </c>
      <c r="K76" s="176"/>
      <c r="L76" s="177" t="str">
        <f t="shared" si="21"/>
        <v/>
      </c>
      <c r="M76" s="177" t="str">
        <f t="shared" si="22"/>
        <v/>
      </c>
      <c r="N76" s="380" t="str">
        <f>IF($A76="","",IF($C76=0,_xlfn.LET(_xlpm.x,IFERROR(_xlfn.XLOOKUP($A76,Util_Tags,Util_XR),""),IF(N(_xlpm.x)=0,Xfmr_DefXR,_xlpm.x)),IF(LEFT($A76,2)="T-",IFERROR(_xlfn.XLOOKUP($A76,Transformers!$A$6:$A$105,Transformers!$AH$6:$AH$105),Xfmr_DefXR),IFERROR(_xlfn.XLOOKUP($E76,$A$6:$A$255,$N$6:$N$255),Xfmr_DefXR))))</f>
        <v/>
      </c>
      <c r="O76" s="177" t="str">
        <f t="shared" si="23"/>
        <v/>
      </c>
      <c r="P76" s="210" t="str">
        <f>IF($A76="","",IF(LEFT($A76,2)="T-",IF($CO76="","",_xlfn.LET(_xlpm.k,IFERROR(_xlfn.XLOOKUP($A76,Transformers!$A$6:$A$105,Transformers!$G$6:$G$105),""),_xlpm.sv,IFERROR(_xlfn.XLOOKUP($A76,Transformers!$A$6:$A$105,Transformers!$E$6:$E$105),""),IF(OR(NOT(ISNUMBER(_xlpm.k)),NOT(ISNUMBER(_xlpm.sv)),_xlpm.sv=0),"",_xlfn.LET(_xlpm.iInf,(_xlpm.k*1000/(_xlpm.sv/2))*100/$CO76,_xlpm.pri,IF(OR($CK76="",$CK76=0),"",$CK76/2),_xlpm.base,IF(_xlpm.pri="",_xlpm.iInf,_xlpm.iInf/(1+_xlpm.iInf/_xlpm.pri)),_xlpm.base+IF($L76="",0,$L76))))),IF($CP76="","",_xlfn.LET(_xlpm.pI,IFERROR(_xlfn.XLOOKUP($E76,$A$6:$A$255,$P$6:$P$255),""),IF(NOT(ISNUMBER(_xlpm.pI)),"",_xlpm.pI/(1+$CP76)+IF($L76="",0,$L76))))))</f>
        <v/>
      </c>
      <c r="Q76" s="210" t="str">
        <f t="shared" si="24"/>
        <v/>
      </c>
      <c r="R76" s="177" t="str">
        <f>IF($A76="","",IF(OR($C76=0,LEFT($A76,2)="T-"),"",IFERROR(_xlfn.LET(_xlpm.v,_xlfn.XLOOKUP($A76,Dashboard!$A$101:$A$350,Dashboard!$K$101:$K$350),IF(ISNUMBER(_xlpm.v),_xlpm.v,"")),"")))</f>
        <v/>
      </c>
      <c r="S76" s="211" t="str">
        <f t="shared" si="25"/>
        <v/>
      </c>
      <c r="T76" s="25" t="str">
        <f t="shared" si="26"/>
        <v/>
      </c>
      <c r="U76" s="364"/>
      <c r="BV76" s="20" t="str">
        <f>IF($A76="","",IFERROR(_xlfn.XLOOKUP("F-"&amp;$A76,'Feeder Schedule'!$B$5:$B$254,'Feeder Schedule'!$H$5:$H$254),""))</f>
        <v/>
      </c>
      <c r="BW76" s="20" t="str">
        <f>IF($A76="","",IFERROR(_xlfn.XLOOKUP("F-"&amp;$A76,'Feeder Schedule'!$B$5:$B$254,'Feeder Schedule'!$BV$5:$BV$254),""))</f>
        <v/>
      </c>
      <c r="BX76" s="20" t="str">
        <f>IF($A76="","",IFERROR(_xlfn.LET(_xlpm.v,_xlfn.XLOOKUP("F-"&amp;$A76,'Feeder Schedule'!$B$5:$B$254,'Feeder Schedule'!$M$5:$M$254),IF(OR(_xlpm.v="",_xlpm.v=0),Cfg_Conduit,_xlpm.v)),""))</f>
        <v/>
      </c>
      <c r="BY76" s="20" t="str">
        <f>IF($A76="","",IFERROR(_xlfn.XLOOKUP("F-"&amp;$A76,'Feeder Schedule'!$B$5:$B$254,'Feeder Schedule'!$O$5:$O$254),""))</f>
        <v/>
      </c>
      <c r="BZ76" s="20" t="str">
        <f>IF($A76="","",IFERROR(_xlfn.XLOOKUP("F-"&amp;$A76,'Feeder Schedule'!$B$5:$B$254,'Feeder Schedule'!$CH$5:$CH$254),""))</f>
        <v/>
      </c>
      <c r="CA76" s="20" t="str">
        <f>IF($A76="","",IFERROR(_xlfn.XLOOKUP("F-"&amp;$A76,'Feeder Schedule'!$B$5:$B$254,'Feeder Schedule'!$F$5:$F$254),""))</f>
        <v/>
      </c>
      <c r="CB76" s="20" t="str">
        <f>IF($A76="","",IFERROR(_xlfn.XLOOKUP("F-"&amp;$A76,'Feeder Schedule'!$B$5:$B$254,'Feeder Schedule'!$G$5:$G$254),""))</f>
        <v/>
      </c>
      <c r="CD76" s="20" t="str" cm="1">
        <f t="array" ref="CD76">IFERROR(IF($A76="","",INDEX(_xlfn.ANCHORARRAY($BK$4),ROW()-5,6)),"")</f>
        <v/>
      </c>
      <c r="CE76" s="20" t="str">
        <f t="shared" si="29"/>
        <v/>
      </c>
      <c r="CF76" s="20" t="str">
        <f t="shared" si="30"/>
        <v/>
      </c>
      <c r="CG76" s="20" t="str">
        <f t="shared" si="27"/>
        <v/>
      </c>
      <c r="CH76" s="20" t="str" cm="1">
        <f t="array" ref="CH76">IF(OR($A76="",$BZ76="",$BW76="",$BX76=""),"",_xlfn.LET(_xlpm.mag,IFERROR(_xlfn.XLOOKUP($BX76,Race_Raceway,Race_Mag),""),IF(_xlpm.mag="","",IFERROR(INDEX(Cond_Table,MATCH($BZ76,Cond_Size,0),IF(UPPER($BW76)="AL",IF(_xlpm.mag="Y",10,12),IF(_xlpm.mag="Y",9,11))),""))))</f>
        <v/>
      </c>
      <c r="CI76" s="20" t="str">
        <f t="shared" si="28"/>
        <v/>
      </c>
      <c r="CJ76" s="20" t="str">
        <f>IF(OR($A76="",LEFT($A76,2)&lt;&gt;"T-"),"",IFERROR(_xlfn.LET(_xlpm.fla,_xlfn.XLOOKUP($A76,Transformers!$A$6:$A$105,Transformers!$AK$6:$AK$105),_xlpm.z,_xlfn.XLOOKUP($A76,Transformers!$A$6:$A$105,Transformers!$AX$6:$AX$105),IF(OR(_xlpm.fla="",_xlpm.z="",_xlpm.z=0),"",_xlpm.fla*100/_xlpm.z)),""))</f>
        <v/>
      </c>
      <c r="CK76" s="20" t="str">
        <f t="shared" si="31"/>
        <v/>
      </c>
      <c r="CL76" s="20" t="str">
        <f t="shared" si="32"/>
        <v/>
      </c>
      <c r="CM76" s="373"/>
      <c r="CO76" s="20" t="str">
        <f>IF(OR($A76="",LEFT($A76,2)&lt;&gt;"T-"),"",_xlfn.LET(_xlpm.ph,IFERROR(_xlfn.XLOOKUP($A76,Transformers!$A$6:$A$105,Transformers!$C$6:$C$105),""),_xlpm.rr,IFERROR(_xlfn.XLOOKUP($A76,Transformers!$A$6:$A$105,Transformers!$AG$6:$AG$105),""),_xlpm.xx,IFERROR(_xlfn.XLOOKUP($A76,Transformers!$A$6:$A$105,Transformers!$AI$6:$AI$105),""),IF(OR(_xlpm.ph&lt;&gt;1,NOT(ISNUMBER(_xlpm.rr)),NOT(ISNUMBER(_xlpm.xx))),"",SQRT((1.5*_xlpm.rr)^2+(1.2*_xlpm.xx)^2))))</f>
        <v/>
      </c>
      <c r="CP76" s="20" t="str">
        <f t="shared" si="33"/>
        <v/>
      </c>
    </row>
    <row r="77" spans="1:94" ht="15" customHeight="1" x14ac:dyDescent="0.45">
      <c r="A77" s="275" t="str" cm="1">
        <f t="array" ref="A77">IFERROR(IF(INDEX(_xlfn.ANCHORARRAY($BK$4),ROW()-5,1)="","",INDEX(_xlfn.ANCHORARRAY($BK$4),ROW()-5,1)),"")</f>
        <v/>
      </c>
      <c r="B77" s="25" t="str" cm="1">
        <f t="array" ref="B77">IFERROR(IF($A77="","",INDEX(_xlfn.ANCHORARRAY($BK$4),ROW()-5,5)),"")</f>
        <v/>
      </c>
      <c r="C77" s="178" t="str" cm="1">
        <f t="array" ref="C77">IFERROR(IF($A77="","",INDEX(_xlfn.ANCHORARRAY($BK$4),ROW()-5,7)),"")</f>
        <v/>
      </c>
      <c r="D77" s="177" t="str" cm="1">
        <f t="array" ref="D77">IFERROR(IF($A77="","",INDEX(_xlfn.ANCHORARRAY($BK$4),ROW()-5,3)),"")</f>
        <v/>
      </c>
      <c r="E77" s="25" t="str" cm="1">
        <f t="array" ref="E77">IFERROR(IF($A77="","",INDEX(_xlfn.ANCHORARRAY($BK$4),ROW()-5,2)),"")</f>
        <v/>
      </c>
      <c r="F77" s="177" t="str">
        <f t="shared" si="17"/>
        <v/>
      </c>
      <c r="G77" s="275" t="str">
        <f t="shared" si="18"/>
        <v/>
      </c>
      <c r="H77" s="180" t="str">
        <f t="shared" si="19"/>
        <v/>
      </c>
      <c r="I77" s="180" t="str">
        <f t="shared" si="20"/>
        <v/>
      </c>
      <c r="J77" s="177" t="str">
        <f>_xlfn.LET(_xlpm.v,_xlfn.LET(_xlpm.base,IF($A77="","",IF($C77=0,IFERROR(_xlfn.XLOOKUP($A77,Util_Tags,Util_SCAEff),""),IF(LEFT($A77,2)="T-",IF($CJ77="","",$CJ77/(1+IF($CL77="",0,$CL77))),IF(OR($F77="",$I77=""),"",$F77*$I77)))),_xlpm.gtag,IF(OR($A77="",NOT(OR($B77="ATS",$B77="MTS"))),"",IFERROR(_xlfn.XLOOKUP($A77,Dashboard!$A$101:$A$350,Dashboard!$L$101:$L$350,"")&amp;"","")),_xlpm.gkva,IF(_xlpm.gtag="",0,IFERROR(N(_xlfn.XLOOKUP(_xlpm.gtag,Generator!$B$53:$B$58,Generator!$S$53:$S$58,0)),0)),_xlpm.gxd,IF(_xlpm.gtag="",0,IFERROR(N(_xlfn.XLOOKUP(_xlpm.gtag,Generator!$B$53:$B$58,Generator!$U$53:$U$58,0)),0)),_xlpm.gamp,IF(OR(_xlpm.gkva=0,_xlpm.gxd=0,N($D77)=0),0,ROUND(_xlpm.gkva*1000/(IF(N($CB77)=1,1,SQRT(3))*$D77*_xlpm.gxd),0)),IF(OR(_xlpm.gamp=0,NOT(ISNUMBER(_xlpm.base))),_xlpm.base,MAX(_xlpm.base,_xlpm.gamp))),_xlpm.ulim,IF(OR($A77="",$B77&lt;&gt;"UPS"),"",IFERROR(IF(_xlfn.XLOOKUP($A77,UPS!$B$57:$B$64,UPS!$E$57:$E$64,"")="None",_xlfn.XLOOKUP($A77,UPS!$B$57:$B$64,UPS!$U$57:$U$64,""),""),"")),IF(AND(ISNUMBER(_xlpm.v),ISNUMBER(_xlpm.ulim)),MIN(_xlpm.v,_xlpm.ulim),_xlpm.v))</f>
        <v/>
      </c>
      <c r="K77" s="176"/>
      <c r="L77" s="177" t="str">
        <f t="shared" si="21"/>
        <v/>
      </c>
      <c r="M77" s="177" t="str">
        <f t="shared" si="22"/>
        <v/>
      </c>
      <c r="N77" s="380" t="str">
        <f>IF($A77="","",IF($C77=0,_xlfn.LET(_xlpm.x,IFERROR(_xlfn.XLOOKUP($A77,Util_Tags,Util_XR),""),IF(N(_xlpm.x)=0,Xfmr_DefXR,_xlpm.x)),IF(LEFT($A77,2)="T-",IFERROR(_xlfn.XLOOKUP($A77,Transformers!$A$6:$A$105,Transformers!$AH$6:$AH$105),Xfmr_DefXR),IFERROR(_xlfn.XLOOKUP($E77,$A$6:$A$255,$N$6:$N$255),Xfmr_DefXR))))</f>
        <v/>
      </c>
      <c r="O77" s="177" t="str">
        <f t="shared" si="23"/>
        <v/>
      </c>
      <c r="P77" s="210" t="str">
        <f>IF($A77="","",IF(LEFT($A77,2)="T-",IF($CO77="","",_xlfn.LET(_xlpm.k,IFERROR(_xlfn.XLOOKUP($A77,Transformers!$A$6:$A$105,Transformers!$G$6:$G$105),""),_xlpm.sv,IFERROR(_xlfn.XLOOKUP($A77,Transformers!$A$6:$A$105,Transformers!$E$6:$E$105),""),IF(OR(NOT(ISNUMBER(_xlpm.k)),NOT(ISNUMBER(_xlpm.sv)),_xlpm.sv=0),"",_xlfn.LET(_xlpm.iInf,(_xlpm.k*1000/(_xlpm.sv/2))*100/$CO77,_xlpm.pri,IF(OR($CK77="",$CK77=0),"",$CK77/2),_xlpm.base,IF(_xlpm.pri="",_xlpm.iInf,_xlpm.iInf/(1+_xlpm.iInf/_xlpm.pri)),_xlpm.base+IF($L77="",0,$L77))))),IF($CP77="","",_xlfn.LET(_xlpm.pI,IFERROR(_xlfn.XLOOKUP($E77,$A$6:$A$255,$P$6:$P$255),""),IF(NOT(ISNUMBER(_xlpm.pI)),"",_xlpm.pI/(1+$CP77)+IF($L77="",0,$L77))))))</f>
        <v/>
      </c>
      <c r="Q77" s="210" t="str">
        <f t="shared" si="24"/>
        <v/>
      </c>
      <c r="R77" s="177" t="str">
        <f>IF($A77="","",IF(OR($C77=0,LEFT($A77,2)="T-"),"",IFERROR(_xlfn.LET(_xlpm.v,_xlfn.XLOOKUP($A77,Dashboard!$A$101:$A$350,Dashboard!$K$101:$K$350),IF(ISNUMBER(_xlpm.v),_xlpm.v,"")),"")))</f>
        <v/>
      </c>
      <c r="S77" s="211" t="str">
        <f t="shared" si="25"/>
        <v/>
      </c>
      <c r="T77" s="25" t="str">
        <f t="shared" si="26"/>
        <v/>
      </c>
      <c r="U77" s="364"/>
      <c r="BV77" s="20" t="str">
        <f>IF($A77="","",IFERROR(_xlfn.XLOOKUP("F-"&amp;$A77,'Feeder Schedule'!$B$5:$B$254,'Feeder Schedule'!$H$5:$H$254),""))</f>
        <v/>
      </c>
      <c r="BW77" s="20" t="str">
        <f>IF($A77="","",IFERROR(_xlfn.XLOOKUP("F-"&amp;$A77,'Feeder Schedule'!$B$5:$B$254,'Feeder Schedule'!$BV$5:$BV$254),""))</f>
        <v/>
      </c>
      <c r="BX77" s="20" t="str">
        <f>IF($A77="","",IFERROR(_xlfn.LET(_xlpm.v,_xlfn.XLOOKUP("F-"&amp;$A77,'Feeder Schedule'!$B$5:$B$254,'Feeder Schedule'!$M$5:$M$254),IF(OR(_xlpm.v="",_xlpm.v=0),Cfg_Conduit,_xlpm.v)),""))</f>
        <v/>
      </c>
      <c r="BY77" s="20" t="str">
        <f>IF($A77="","",IFERROR(_xlfn.XLOOKUP("F-"&amp;$A77,'Feeder Schedule'!$B$5:$B$254,'Feeder Schedule'!$O$5:$O$254),""))</f>
        <v/>
      </c>
      <c r="BZ77" s="20" t="str">
        <f>IF($A77="","",IFERROR(_xlfn.XLOOKUP("F-"&amp;$A77,'Feeder Schedule'!$B$5:$B$254,'Feeder Schedule'!$CH$5:$CH$254),""))</f>
        <v/>
      </c>
      <c r="CA77" s="20" t="str">
        <f>IF($A77="","",IFERROR(_xlfn.XLOOKUP("F-"&amp;$A77,'Feeder Schedule'!$B$5:$B$254,'Feeder Schedule'!$F$5:$F$254),""))</f>
        <v/>
      </c>
      <c r="CB77" s="20" t="str">
        <f>IF($A77="","",IFERROR(_xlfn.XLOOKUP("F-"&amp;$A77,'Feeder Schedule'!$B$5:$B$254,'Feeder Schedule'!$G$5:$G$254),""))</f>
        <v/>
      </c>
      <c r="CD77" s="20" t="str" cm="1">
        <f t="array" ref="CD77">IFERROR(IF($A77="","",INDEX(_xlfn.ANCHORARRAY($BK$4),ROW()-5,6)),"")</f>
        <v/>
      </c>
      <c r="CE77" s="20" t="str">
        <f t="shared" si="29"/>
        <v/>
      </c>
      <c r="CF77" s="20" t="str">
        <f t="shared" si="30"/>
        <v/>
      </c>
      <c r="CG77" s="20" t="str">
        <f t="shared" si="27"/>
        <v/>
      </c>
      <c r="CH77" s="20" t="str" cm="1">
        <f t="array" ref="CH77">IF(OR($A77="",$BZ77="",$BW77="",$BX77=""),"",_xlfn.LET(_xlpm.mag,IFERROR(_xlfn.XLOOKUP($BX77,Race_Raceway,Race_Mag),""),IF(_xlpm.mag="","",IFERROR(INDEX(Cond_Table,MATCH($BZ77,Cond_Size,0),IF(UPPER($BW77)="AL",IF(_xlpm.mag="Y",10,12),IF(_xlpm.mag="Y",9,11))),""))))</f>
        <v/>
      </c>
      <c r="CI77" s="20" t="str">
        <f t="shared" si="28"/>
        <v/>
      </c>
      <c r="CJ77" s="20" t="str">
        <f>IF(OR($A77="",LEFT($A77,2)&lt;&gt;"T-"),"",IFERROR(_xlfn.LET(_xlpm.fla,_xlfn.XLOOKUP($A77,Transformers!$A$6:$A$105,Transformers!$AK$6:$AK$105),_xlpm.z,_xlfn.XLOOKUP($A77,Transformers!$A$6:$A$105,Transformers!$AX$6:$AX$105),IF(OR(_xlpm.fla="",_xlpm.z="",_xlpm.z=0),"",_xlpm.fla*100/_xlpm.z)),""))</f>
        <v/>
      </c>
      <c r="CK77" s="20" t="str">
        <f t="shared" si="31"/>
        <v/>
      </c>
      <c r="CL77" s="20" t="str">
        <f t="shared" si="32"/>
        <v/>
      </c>
      <c r="CM77" s="373"/>
      <c r="CO77" s="20" t="str">
        <f>IF(OR($A77="",LEFT($A77,2)&lt;&gt;"T-"),"",_xlfn.LET(_xlpm.ph,IFERROR(_xlfn.XLOOKUP($A77,Transformers!$A$6:$A$105,Transformers!$C$6:$C$105),""),_xlpm.rr,IFERROR(_xlfn.XLOOKUP($A77,Transformers!$A$6:$A$105,Transformers!$AG$6:$AG$105),""),_xlpm.xx,IFERROR(_xlfn.XLOOKUP($A77,Transformers!$A$6:$A$105,Transformers!$AI$6:$AI$105),""),IF(OR(_xlpm.ph&lt;&gt;1,NOT(ISNUMBER(_xlpm.rr)),NOT(ISNUMBER(_xlpm.xx))),"",SQRT((1.5*_xlpm.rr)^2+(1.2*_xlpm.xx)^2))))</f>
        <v/>
      </c>
      <c r="CP77" s="20" t="str">
        <f t="shared" si="33"/>
        <v/>
      </c>
    </row>
    <row r="78" spans="1:94" ht="15" customHeight="1" x14ac:dyDescent="0.45">
      <c r="A78" s="275" t="str" cm="1">
        <f t="array" ref="A78">IFERROR(IF(INDEX(_xlfn.ANCHORARRAY($BK$4),ROW()-5,1)="","",INDEX(_xlfn.ANCHORARRAY($BK$4),ROW()-5,1)),"")</f>
        <v/>
      </c>
      <c r="B78" s="25" t="str" cm="1">
        <f t="array" ref="B78">IFERROR(IF($A78="","",INDEX(_xlfn.ANCHORARRAY($BK$4),ROW()-5,5)),"")</f>
        <v/>
      </c>
      <c r="C78" s="178" t="str" cm="1">
        <f t="array" ref="C78">IFERROR(IF($A78="","",INDEX(_xlfn.ANCHORARRAY($BK$4),ROW()-5,7)),"")</f>
        <v/>
      </c>
      <c r="D78" s="177" t="str" cm="1">
        <f t="array" ref="D78">IFERROR(IF($A78="","",INDEX(_xlfn.ANCHORARRAY($BK$4),ROW()-5,3)),"")</f>
        <v/>
      </c>
      <c r="E78" s="25" t="str" cm="1">
        <f t="array" ref="E78">IFERROR(IF($A78="","",INDEX(_xlfn.ANCHORARRAY($BK$4),ROW()-5,2)),"")</f>
        <v/>
      </c>
      <c r="F78" s="177" t="str">
        <f t="shared" si="17"/>
        <v/>
      </c>
      <c r="G78" s="275" t="str">
        <f t="shared" si="18"/>
        <v/>
      </c>
      <c r="H78" s="180" t="str">
        <f t="shared" si="19"/>
        <v/>
      </c>
      <c r="I78" s="180" t="str">
        <f t="shared" si="20"/>
        <v/>
      </c>
      <c r="J78" s="177" t="str">
        <f>_xlfn.LET(_xlpm.v,_xlfn.LET(_xlpm.base,IF($A78="","",IF($C78=0,IFERROR(_xlfn.XLOOKUP($A78,Util_Tags,Util_SCAEff),""),IF(LEFT($A78,2)="T-",IF($CJ78="","",$CJ78/(1+IF($CL78="",0,$CL78))),IF(OR($F78="",$I78=""),"",$F78*$I78)))),_xlpm.gtag,IF(OR($A78="",NOT(OR($B78="ATS",$B78="MTS"))),"",IFERROR(_xlfn.XLOOKUP($A78,Dashboard!$A$101:$A$350,Dashboard!$L$101:$L$350,"")&amp;"","")),_xlpm.gkva,IF(_xlpm.gtag="",0,IFERROR(N(_xlfn.XLOOKUP(_xlpm.gtag,Generator!$B$53:$B$58,Generator!$S$53:$S$58,0)),0)),_xlpm.gxd,IF(_xlpm.gtag="",0,IFERROR(N(_xlfn.XLOOKUP(_xlpm.gtag,Generator!$B$53:$B$58,Generator!$U$53:$U$58,0)),0)),_xlpm.gamp,IF(OR(_xlpm.gkva=0,_xlpm.gxd=0,N($D78)=0),0,ROUND(_xlpm.gkva*1000/(IF(N($CB78)=1,1,SQRT(3))*$D78*_xlpm.gxd),0)),IF(OR(_xlpm.gamp=0,NOT(ISNUMBER(_xlpm.base))),_xlpm.base,MAX(_xlpm.base,_xlpm.gamp))),_xlpm.ulim,IF(OR($A78="",$B78&lt;&gt;"UPS"),"",IFERROR(IF(_xlfn.XLOOKUP($A78,UPS!$B$57:$B$64,UPS!$E$57:$E$64,"")="None",_xlfn.XLOOKUP($A78,UPS!$B$57:$B$64,UPS!$U$57:$U$64,""),""),"")),IF(AND(ISNUMBER(_xlpm.v),ISNUMBER(_xlpm.ulim)),MIN(_xlpm.v,_xlpm.ulim),_xlpm.v))</f>
        <v/>
      </c>
      <c r="K78" s="176"/>
      <c r="L78" s="177" t="str">
        <f t="shared" si="21"/>
        <v/>
      </c>
      <c r="M78" s="177" t="str">
        <f t="shared" si="22"/>
        <v/>
      </c>
      <c r="N78" s="380" t="str">
        <f>IF($A78="","",IF($C78=0,_xlfn.LET(_xlpm.x,IFERROR(_xlfn.XLOOKUP($A78,Util_Tags,Util_XR),""),IF(N(_xlpm.x)=0,Xfmr_DefXR,_xlpm.x)),IF(LEFT($A78,2)="T-",IFERROR(_xlfn.XLOOKUP($A78,Transformers!$A$6:$A$105,Transformers!$AH$6:$AH$105),Xfmr_DefXR),IFERROR(_xlfn.XLOOKUP($E78,$A$6:$A$255,$N$6:$N$255),Xfmr_DefXR))))</f>
        <v/>
      </c>
      <c r="O78" s="177" t="str">
        <f t="shared" si="23"/>
        <v/>
      </c>
      <c r="P78" s="210" t="str">
        <f>IF($A78="","",IF(LEFT($A78,2)="T-",IF($CO78="","",_xlfn.LET(_xlpm.k,IFERROR(_xlfn.XLOOKUP($A78,Transformers!$A$6:$A$105,Transformers!$G$6:$G$105),""),_xlpm.sv,IFERROR(_xlfn.XLOOKUP($A78,Transformers!$A$6:$A$105,Transformers!$E$6:$E$105),""),IF(OR(NOT(ISNUMBER(_xlpm.k)),NOT(ISNUMBER(_xlpm.sv)),_xlpm.sv=0),"",_xlfn.LET(_xlpm.iInf,(_xlpm.k*1000/(_xlpm.sv/2))*100/$CO78,_xlpm.pri,IF(OR($CK78="",$CK78=0),"",$CK78/2),_xlpm.base,IF(_xlpm.pri="",_xlpm.iInf,_xlpm.iInf/(1+_xlpm.iInf/_xlpm.pri)),_xlpm.base+IF($L78="",0,$L78))))),IF($CP78="","",_xlfn.LET(_xlpm.pI,IFERROR(_xlfn.XLOOKUP($E78,$A$6:$A$255,$P$6:$P$255),""),IF(NOT(ISNUMBER(_xlpm.pI)),"",_xlpm.pI/(1+$CP78)+IF($L78="",0,$L78))))))</f>
        <v/>
      </c>
      <c r="Q78" s="210" t="str">
        <f t="shared" si="24"/>
        <v/>
      </c>
      <c r="R78" s="177" t="str">
        <f>IF($A78="","",IF(OR($C78=0,LEFT($A78,2)="T-"),"",IFERROR(_xlfn.LET(_xlpm.v,_xlfn.XLOOKUP($A78,Dashboard!$A$101:$A$350,Dashboard!$K$101:$K$350),IF(ISNUMBER(_xlpm.v),_xlpm.v,"")),"")))</f>
        <v/>
      </c>
      <c r="S78" s="211" t="str">
        <f t="shared" si="25"/>
        <v/>
      </c>
      <c r="T78" s="25" t="str">
        <f t="shared" si="26"/>
        <v/>
      </c>
      <c r="U78" s="364"/>
      <c r="BV78" s="20" t="str">
        <f>IF($A78="","",IFERROR(_xlfn.XLOOKUP("F-"&amp;$A78,'Feeder Schedule'!$B$5:$B$254,'Feeder Schedule'!$H$5:$H$254),""))</f>
        <v/>
      </c>
      <c r="BW78" s="20" t="str">
        <f>IF($A78="","",IFERROR(_xlfn.XLOOKUP("F-"&amp;$A78,'Feeder Schedule'!$B$5:$B$254,'Feeder Schedule'!$BV$5:$BV$254),""))</f>
        <v/>
      </c>
      <c r="BX78" s="20" t="str">
        <f>IF($A78="","",IFERROR(_xlfn.LET(_xlpm.v,_xlfn.XLOOKUP("F-"&amp;$A78,'Feeder Schedule'!$B$5:$B$254,'Feeder Schedule'!$M$5:$M$254),IF(OR(_xlpm.v="",_xlpm.v=0),Cfg_Conduit,_xlpm.v)),""))</f>
        <v/>
      </c>
      <c r="BY78" s="20" t="str">
        <f>IF($A78="","",IFERROR(_xlfn.XLOOKUP("F-"&amp;$A78,'Feeder Schedule'!$B$5:$B$254,'Feeder Schedule'!$O$5:$O$254),""))</f>
        <v/>
      </c>
      <c r="BZ78" s="20" t="str">
        <f>IF($A78="","",IFERROR(_xlfn.XLOOKUP("F-"&amp;$A78,'Feeder Schedule'!$B$5:$B$254,'Feeder Schedule'!$CH$5:$CH$254),""))</f>
        <v/>
      </c>
      <c r="CA78" s="20" t="str">
        <f>IF($A78="","",IFERROR(_xlfn.XLOOKUP("F-"&amp;$A78,'Feeder Schedule'!$B$5:$B$254,'Feeder Schedule'!$F$5:$F$254),""))</f>
        <v/>
      </c>
      <c r="CB78" s="20" t="str">
        <f>IF($A78="","",IFERROR(_xlfn.XLOOKUP("F-"&amp;$A78,'Feeder Schedule'!$B$5:$B$254,'Feeder Schedule'!$G$5:$G$254),""))</f>
        <v/>
      </c>
      <c r="CD78" s="20" t="str" cm="1">
        <f t="array" ref="CD78">IFERROR(IF($A78="","",INDEX(_xlfn.ANCHORARRAY($BK$4),ROW()-5,6)),"")</f>
        <v/>
      </c>
      <c r="CE78" s="20" t="str">
        <f t="shared" si="29"/>
        <v/>
      </c>
      <c r="CF78" s="20" t="str">
        <f t="shared" si="30"/>
        <v/>
      </c>
      <c r="CG78" s="20" t="str">
        <f t="shared" si="27"/>
        <v/>
      </c>
      <c r="CH78" s="20" t="str" cm="1">
        <f t="array" ref="CH78">IF(OR($A78="",$BZ78="",$BW78="",$BX78=""),"",_xlfn.LET(_xlpm.mag,IFERROR(_xlfn.XLOOKUP($BX78,Race_Raceway,Race_Mag),""),IF(_xlpm.mag="","",IFERROR(INDEX(Cond_Table,MATCH($BZ78,Cond_Size,0),IF(UPPER($BW78)="AL",IF(_xlpm.mag="Y",10,12),IF(_xlpm.mag="Y",9,11))),""))))</f>
        <v/>
      </c>
      <c r="CI78" s="20" t="str">
        <f t="shared" si="28"/>
        <v/>
      </c>
      <c r="CJ78" s="20" t="str">
        <f>IF(OR($A78="",LEFT($A78,2)&lt;&gt;"T-"),"",IFERROR(_xlfn.LET(_xlpm.fla,_xlfn.XLOOKUP($A78,Transformers!$A$6:$A$105,Transformers!$AK$6:$AK$105),_xlpm.z,_xlfn.XLOOKUP($A78,Transformers!$A$6:$A$105,Transformers!$AX$6:$AX$105),IF(OR(_xlpm.fla="",_xlpm.z="",_xlpm.z=0),"",_xlpm.fla*100/_xlpm.z)),""))</f>
        <v/>
      </c>
      <c r="CK78" s="20" t="str">
        <f t="shared" si="31"/>
        <v/>
      </c>
      <c r="CL78" s="20" t="str">
        <f t="shared" si="32"/>
        <v/>
      </c>
      <c r="CM78" s="373"/>
      <c r="CO78" s="20" t="str">
        <f>IF(OR($A78="",LEFT($A78,2)&lt;&gt;"T-"),"",_xlfn.LET(_xlpm.ph,IFERROR(_xlfn.XLOOKUP($A78,Transformers!$A$6:$A$105,Transformers!$C$6:$C$105),""),_xlpm.rr,IFERROR(_xlfn.XLOOKUP($A78,Transformers!$A$6:$A$105,Transformers!$AG$6:$AG$105),""),_xlpm.xx,IFERROR(_xlfn.XLOOKUP($A78,Transformers!$A$6:$A$105,Transformers!$AI$6:$AI$105),""),IF(OR(_xlpm.ph&lt;&gt;1,NOT(ISNUMBER(_xlpm.rr)),NOT(ISNUMBER(_xlpm.xx))),"",SQRT((1.5*_xlpm.rr)^2+(1.2*_xlpm.xx)^2))))</f>
        <v/>
      </c>
      <c r="CP78" s="20" t="str">
        <f t="shared" si="33"/>
        <v/>
      </c>
    </row>
    <row r="79" spans="1:94" ht="15" customHeight="1" x14ac:dyDescent="0.45">
      <c r="A79" s="275" t="str" cm="1">
        <f t="array" ref="A79">IFERROR(IF(INDEX(_xlfn.ANCHORARRAY($BK$4),ROW()-5,1)="","",INDEX(_xlfn.ANCHORARRAY($BK$4),ROW()-5,1)),"")</f>
        <v/>
      </c>
      <c r="B79" s="25" t="str" cm="1">
        <f t="array" ref="B79">IFERROR(IF($A79="","",INDEX(_xlfn.ANCHORARRAY($BK$4),ROW()-5,5)),"")</f>
        <v/>
      </c>
      <c r="C79" s="178" t="str" cm="1">
        <f t="array" ref="C79">IFERROR(IF($A79="","",INDEX(_xlfn.ANCHORARRAY($BK$4),ROW()-5,7)),"")</f>
        <v/>
      </c>
      <c r="D79" s="177" t="str" cm="1">
        <f t="array" ref="D79">IFERROR(IF($A79="","",INDEX(_xlfn.ANCHORARRAY($BK$4),ROW()-5,3)),"")</f>
        <v/>
      </c>
      <c r="E79" s="25" t="str" cm="1">
        <f t="array" ref="E79">IFERROR(IF($A79="","",INDEX(_xlfn.ANCHORARRAY($BK$4),ROW()-5,2)),"")</f>
        <v/>
      </c>
      <c r="F79" s="177" t="str">
        <f t="shared" si="17"/>
        <v/>
      </c>
      <c r="G79" s="275" t="str">
        <f t="shared" si="18"/>
        <v/>
      </c>
      <c r="H79" s="180" t="str">
        <f t="shared" si="19"/>
        <v/>
      </c>
      <c r="I79" s="180" t="str">
        <f t="shared" si="20"/>
        <v/>
      </c>
      <c r="J79" s="177" t="str">
        <f>_xlfn.LET(_xlpm.v,_xlfn.LET(_xlpm.base,IF($A79="","",IF($C79=0,IFERROR(_xlfn.XLOOKUP($A79,Util_Tags,Util_SCAEff),""),IF(LEFT($A79,2)="T-",IF($CJ79="","",$CJ79/(1+IF($CL79="",0,$CL79))),IF(OR($F79="",$I79=""),"",$F79*$I79)))),_xlpm.gtag,IF(OR($A79="",NOT(OR($B79="ATS",$B79="MTS"))),"",IFERROR(_xlfn.XLOOKUP($A79,Dashboard!$A$101:$A$350,Dashboard!$L$101:$L$350,"")&amp;"","")),_xlpm.gkva,IF(_xlpm.gtag="",0,IFERROR(N(_xlfn.XLOOKUP(_xlpm.gtag,Generator!$B$53:$B$58,Generator!$S$53:$S$58,0)),0)),_xlpm.gxd,IF(_xlpm.gtag="",0,IFERROR(N(_xlfn.XLOOKUP(_xlpm.gtag,Generator!$B$53:$B$58,Generator!$U$53:$U$58,0)),0)),_xlpm.gamp,IF(OR(_xlpm.gkva=0,_xlpm.gxd=0,N($D79)=0),0,ROUND(_xlpm.gkva*1000/(IF(N($CB79)=1,1,SQRT(3))*$D79*_xlpm.gxd),0)),IF(OR(_xlpm.gamp=0,NOT(ISNUMBER(_xlpm.base))),_xlpm.base,MAX(_xlpm.base,_xlpm.gamp))),_xlpm.ulim,IF(OR($A79="",$B79&lt;&gt;"UPS"),"",IFERROR(IF(_xlfn.XLOOKUP($A79,UPS!$B$57:$B$64,UPS!$E$57:$E$64,"")="None",_xlfn.XLOOKUP($A79,UPS!$B$57:$B$64,UPS!$U$57:$U$64,""),""),"")),IF(AND(ISNUMBER(_xlpm.v),ISNUMBER(_xlpm.ulim)),MIN(_xlpm.v,_xlpm.ulim),_xlpm.v))</f>
        <v/>
      </c>
      <c r="K79" s="176"/>
      <c r="L79" s="177" t="str">
        <f t="shared" si="21"/>
        <v/>
      </c>
      <c r="M79" s="177" t="str">
        <f t="shared" si="22"/>
        <v/>
      </c>
      <c r="N79" s="380" t="str">
        <f>IF($A79="","",IF($C79=0,_xlfn.LET(_xlpm.x,IFERROR(_xlfn.XLOOKUP($A79,Util_Tags,Util_XR),""),IF(N(_xlpm.x)=0,Xfmr_DefXR,_xlpm.x)),IF(LEFT($A79,2)="T-",IFERROR(_xlfn.XLOOKUP($A79,Transformers!$A$6:$A$105,Transformers!$AH$6:$AH$105),Xfmr_DefXR),IFERROR(_xlfn.XLOOKUP($E79,$A$6:$A$255,$N$6:$N$255),Xfmr_DefXR))))</f>
        <v/>
      </c>
      <c r="O79" s="177" t="str">
        <f t="shared" si="23"/>
        <v/>
      </c>
      <c r="P79" s="210" t="str">
        <f>IF($A79="","",IF(LEFT($A79,2)="T-",IF($CO79="","",_xlfn.LET(_xlpm.k,IFERROR(_xlfn.XLOOKUP($A79,Transformers!$A$6:$A$105,Transformers!$G$6:$G$105),""),_xlpm.sv,IFERROR(_xlfn.XLOOKUP($A79,Transformers!$A$6:$A$105,Transformers!$E$6:$E$105),""),IF(OR(NOT(ISNUMBER(_xlpm.k)),NOT(ISNUMBER(_xlpm.sv)),_xlpm.sv=0),"",_xlfn.LET(_xlpm.iInf,(_xlpm.k*1000/(_xlpm.sv/2))*100/$CO79,_xlpm.pri,IF(OR($CK79="",$CK79=0),"",$CK79/2),_xlpm.base,IF(_xlpm.pri="",_xlpm.iInf,_xlpm.iInf/(1+_xlpm.iInf/_xlpm.pri)),_xlpm.base+IF($L79="",0,$L79))))),IF($CP79="","",_xlfn.LET(_xlpm.pI,IFERROR(_xlfn.XLOOKUP($E79,$A$6:$A$255,$P$6:$P$255),""),IF(NOT(ISNUMBER(_xlpm.pI)),"",_xlpm.pI/(1+$CP79)+IF($L79="",0,$L79))))))</f>
        <v/>
      </c>
      <c r="Q79" s="210" t="str">
        <f t="shared" si="24"/>
        <v/>
      </c>
      <c r="R79" s="177" t="str">
        <f>IF($A79="","",IF(OR($C79=0,LEFT($A79,2)="T-"),"",IFERROR(_xlfn.LET(_xlpm.v,_xlfn.XLOOKUP($A79,Dashboard!$A$101:$A$350,Dashboard!$K$101:$K$350),IF(ISNUMBER(_xlpm.v),_xlpm.v,"")),"")))</f>
        <v/>
      </c>
      <c r="S79" s="211" t="str">
        <f t="shared" si="25"/>
        <v/>
      </c>
      <c r="T79" s="25" t="str">
        <f t="shared" si="26"/>
        <v/>
      </c>
      <c r="U79" s="364"/>
      <c r="BV79" s="20" t="str">
        <f>IF($A79="","",IFERROR(_xlfn.XLOOKUP("F-"&amp;$A79,'Feeder Schedule'!$B$5:$B$254,'Feeder Schedule'!$H$5:$H$254),""))</f>
        <v/>
      </c>
      <c r="BW79" s="20" t="str">
        <f>IF($A79="","",IFERROR(_xlfn.XLOOKUP("F-"&amp;$A79,'Feeder Schedule'!$B$5:$B$254,'Feeder Schedule'!$BV$5:$BV$254),""))</f>
        <v/>
      </c>
      <c r="BX79" s="20" t="str">
        <f>IF($A79="","",IFERROR(_xlfn.LET(_xlpm.v,_xlfn.XLOOKUP("F-"&amp;$A79,'Feeder Schedule'!$B$5:$B$254,'Feeder Schedule'!$M$5:$M$254),IF(OR(_xlpm.v="",_xlpm.v=0),Cfg_Conduit,_xlpm.v)),""))</f>
        <v/>
      </c>
      <c r="BY79" s="20" t="str">
        <f>IF($A79="","",IFERROR(_xlfn.XLOOKUP("F-"&amp;$A79,'Feeder Schedule'!$B$5:$B$254,'Feeder Schedule'!$O$5:$O$254),""))</f>
        <v/>
      </c>
      <c r="BZ79" s="20" t="str">
        <f>IF($A79="","",IFERROR(_xlfn.XLOOKUP("F-"&amp;$A79,'Feeder Schedule'!$B$5:$B$254,'Feeder Schedule'!$CH$5:$CH$254),""))</f>
        <v/>
      </c>
      <c r="CA79" s="20" t="str">
        <f>IF($A79="","",IFERROR(_xlfn.XLOOKUP("F-"&amp;$A79,'Feeder Schedule'!$B$5:$B$254,'Feeder Schedule'!$F$5:$F$254),""))</f>
        <v/>
      </c>
      <c r="CB79" s="20" t="str">
        <f>IF($A79="","",IFERROR(_xlfn.XLOOKUP("F-"&amp;$A79,'Feeder Schedule'!$B$5:$B$254,'Feeder Schedule'!$G$5:$G$254),""))</f>
        <v/>
      </c>
      <c r="CD79" s="20" t="str" cm="1">
        <f t="array" ref="CD79">IFERROR(IF($A79="","",INDEX(_xlfn.ANCHORARRAY($BK$4),ROW()-5,6)),"")</f>
        <v/>
      </c>
      <c r="CE79" s="20" t="str">
        <f t="shared" si="29"/>
        <v/>
      </c>
      <c r="CF79" s="20" t="str">
        <f t="shared" si="30"/>
        <v/>
      </c>
      <c r="CG79" s="20" t="str">
        <f t="shared" si="27"/>
        <v/>
      </c>
      <c r="CH79" s="20" t="str" cm="1">
        <f t="array" ref="CH79">IF(OR($A79="",$BZ79="",$BW79="",$BX79=""),"",_xlfn.LET(_xlpm.mag,IFERROR(_xlfn.XLOOKUP($BX79,Race_Raceway,Race_Mag),""),IF(_xlpm.mag="","",IFERROR(INDEX(Cond_Table,MATCH($BZ79,Cond_Size,0),IF(UPPER($BW79)="AL",IF(_xlpm.mag="Y",10,12),IF(_xlpm.mag="Y",9,11))),""))))</f>
        <v/>
      </c>
      <c r="CI79" s="20" t="str">
        <f t="shared" si="28"/>
        <v/>
      </c>
      <c r="CJ79" s="20" t="str">
        <f>IF(OR($A79="",LEFT($A79,2)&lt;&gt;"T-"),"",IFERROR(_xlfn.LET(_xlpm.fla,_xlfn.XLOOKUP($A79,Transformers!$A$6:$A$105,Transformers!$AK$6:$AK$105),_xlpm.z,_xlfn.XLOOKUP($A79,Transformers!$A$6:$A$105,Transformers!$AX$6:$AX$105),IF(OR(_xlpm.fla="",_xlpm.z="",_xlpm.z=0),"",_xlpm.fla*100/_xlpm.z)),""))</f>
        <v/>
      </c>
      <c r="CK79" s="20" t="str">
        <f t="shared" si="31"/>
        <v/>
      </c>
      <c r="CL79" s="20" t="str">
        <f t="shared" si="32"/>
        <v/>
      </c>
      <c r="CM79" s="373"/>
      <c r="CO79" s="20" t="str">
        <f>IF(OR($A79="",LEFT($A79,2)&lt;&gt;"T-"),"",_xlfn.LET(_xlpm.ph,IFERROR(_xlfn.XLOOKUP($A79,Transformers!$A$6:$A$105,Transformers!$C$6:$C$105),""),_xlpm.rr,IFERROR(_xlfn.XLOOKUP($A79,Transformers!$A$6:$A$105,Transformers!$AG$6:$AG$105),""),_xlpm.xx,IFERROR(_xlfn.XLOOKUP($A79,Transformers!$A$6:$A$105,Transformers!$AI$6:$AI$105),""),IF(OR(_xlpm.ph&lt;&gt;1,NOT(ISNUMBER(_xlpm.rr)),NOT(ISNUMBER(_xlpm.xx))),"",SQRT((1.5*_xlpm.rr)^2+(1.2*_xlpm.xx)^2))))</f>
        <v/>
      </c>
      <c r="CP79" s="20" t="str">
        <f t="shared" si="33"/>
        <v/>
      </c>
    </row>
    <row r="80" spans="1:94" ht="15" customHeight="1" x14ac:dyDescent="0.45">
      <c r="A80" s="275" t="str" cm="1">
        <f t="array" ref="A80">IFERROR(IF(INDEX(_xlfn.ANCHORARRAY($BK$4),ROW()-5,1)="","",INDEX(_xlfn.ANCHORARRAY($BK$4),ROW()-5,1)),"")</f>
        <v/>
      </c>
      <c r="B80" s="25" t="str" cm="1">
        <f t="array" ref="B80">IFERROR(IF($A80="","",INDEX(_xlfn.ANCHORARRAY($BK$4),ROW()-5,5)),"")</f>
        <v/>
      </c>
      <c r="C80" s="178" t="str" cm="1">
        <f t="array" ref="C80">IFERROR(IF($A80="","",INDEX(_xlfn.ANCHORARRAY($BK$4),ROW()-5,7)),"")</f>
        <v/>
      </c>
      <c r="D80" s="177" t="str" cm="1">
        <f t="array" ref="D80">IFERROR(IF($A80="","",INDEX(_xlfn.ANCHORARRAY($BK$4),ROW()-5,3)),"")</f>
        <v/>
      </c>
      <c r="E80" s="25" t="str" cm="1">
        <f t="array" ref="E80">IFERROR(IF($A80="","",INDEX(_xlfn.ANCHORARRAY($BK$4),ROW()-5,2)),"")</f>
        <v/>
      </c>
      <c r="F80" s="177" t="str">
        <f t="shared" si="17"/>
        <v/>
      </c>
      <c r="G80" s="275" t="str">
        <f t="shared" si="18"/>
        <v/>
      </c>
      <c r="H80" s="180" t="str">
        <f t="shared" si="19"/>
        <v/>
      </c>
      <c r="I80" s="180" t="str">
        <f t="shared" si="20"/>
        <v/>
      </c>
      <c r="J80" s="177" t="str">
        <f>_xlfn.LET(_xlpm.v,_xlfn.LET(_xlpm.base,IF($A80="","",IF($C80=0,IFERROR(_xlfn.XLOOKUP($A80,Util_Tags,Util_SCAEff),""),IF(LEFT($A80,2)="T-",IF($CJ80="","",$CJ80/(1+IF($CL80="",0,$CL80))),IF(OR($F80="",$I80=""),"",$F80*$I80)))),_xlpm.gtag,IF(OR($A80="",NOT(OR($B80="ATS",$B80="MTS"))),"",IFERROR(_xlfn.XLOOKUP($A80,Dashboard!$A$101:$A$350,Dashboard!$L$101:$L$350,"")&amp;"","")),_xlpm.gkva,IF(_xlpm.gtag="",0,IFERROR(N(_xlfn.XLOOKUP(_xlpm.gtag,Generator!$B$53:$B$58,Generator!$S$53:$S$58,0)),0)),_xlpm.gxd,IF(_xlpm.gtag="",0,IFERROR(N(_xlfn.XLOOKUP(_xlpm.gtag,Generator!$B$53:$B$58,Generator!$U$53:$U$58,0)),0)),_xlpm.gamp,IF(OR(_xlpm.gkva=0,_xlpm.gxd=0,N($D80)=0),0,ROUND(_xlpm.gkva*1000/(IF(N($CB80)=1,1,SQRT(3))*$D80*_xlpm.gxd),0)),IF(OR(_xlpm.gamp=0,NOT(ISNUMBER(_xlpm.base))),_xlpm.base,MAX(_xlpm.base,_xlpm.gamp))),_xlpm.ulim,IF(OR($A80="",$B80&lt;&gt;"UPS"),"",IFERROR(IF(_xlfn.XLOOKUP($A80,UPS!$B$57:$B$64,UPS!$E$57:$E$64,"")="None",_xlfn.XLOOKUP($A80,UPS!$B$57:$B$64,UPS!$U$57:$U$64,""),""),"")),IF(AND(ISNUMBER(_xlpm.v),ISNUMBER(_xlpm.ulim)),MIN(_xlpm.v,_xlpm.ulim),_xlpm.v))</f>
        <v/>
      </c>
      <c r="K80" s="176"/>
      <c r="L80" s="177" t="str">
        <f t="shared" si="21"/>
        <v/>
      </c>
      <c r="M80" s="177" t="str">
        <f t="shared" si="22"/>
        <v/>
      </c>
      <c r="N80" s="380" t="str">
        <f>IF($A80="","",IF($C80=0,_xlfn.LET(_xlpm.x,IFERROR(_xlfn.XLOOKUP($A80,Util_Tags,Util_XR),""),IF(N(_xlpm.x)=0,Xfmr_DefXR,_xlpm.x)),IF(LEFT($A80,2)="T-",IFERROR(_xlfn.XLOOKUP($A80,Transformers!$A$6:$A$105,Transformers!$AH$6:$AH$105),Xfmr_DefXR),IFERROR(_xlfn.XLOOKUP($E80,$A$6:$A$255,$N$6:$N$255),Xfmr_DefXR))))</f>
        <v/>
      </c>
      <c r="O80" s="177" t="str">
        <f t="shared" si="23"/>
        <v/>
      </c>
      <c r="P80" s="210" t="str">
        <f>IF($A80="","",IF(LEFT($A80,2)="T-",IF($CO80="","",_xlfn.LET(_xlpm.k,IFERROR(_xlfn.XLOOKUP($A80,Transformers!$A$6:$A$105,Transformers!$G$6:$G$105),""),_xlpm.sv,IFERROR(_xlfn.XLOOKUP($A80,Transformers!$A$6:$A$105,Transformers!$E$6:$E$105),""),IF(OR(NOT(ISNUMBER(_xlpm.k)),NOT(ISNUMBER(_xlpm.sv)),_xlpm.sv=0),"",_xlfn.LET(_xlpm.iInf,(_xlpm.k*1000/(_xlpm.sv/2))*100/$CO80,_xlpm.pri,IF(OR($CK80="",$CK80=0),"",$CK80/2),_xlpm.base,IF(_xlpm.pri="",_xlpm.iInf,_xlpm.iInf/(1+_xlpm.iInf/_xlpm.pri)),_xlpm.base+IF($L80="",0,$L80))))),IF($CP80="","",_xlfn.LET(_xlpm.pI,IFERROR(_xlfn.XLOOKUP($E80,$A$6:$A$255,$P$6:$P$255),""),IF(NOT(ISNUMBER(_xlpm.pI)),"",_xlpm.pI/(1+$CP80)+IF($L80="",0,$L80))))))</f>
        <v/>
      </c>
      <c r="Q80" s="210" t="str">
        <f t="shared" si="24"/>
        <v/>
      </c>
      <c r="R80" s="177" t="str">
        <f>IF($A80="","",IF(OR($C80=0,LEFT($A80,2)="T-"),"",IFERROR(_xlfn.LET(_xlpm.v,_xlfn.XLOOKUP($A80,Dashboard!$A$101:$A$350,Dashboard!$K$101:$K$350),IF(ISNUMBER(_xlpm.v),_xlpm.v,"")),"")))</f>
        <v/>
      </c>
      <c r="S80" s="211" t="str">
        <f t="shared" si="25"/>
        <v/>
      </c>
      <c r="T80" s="25" t="str">
        <f t="shared" si="26"/>
        <v/>
      </c>
      <c r="U80" s="364"/>
      <c r="BV80" s="20" t="str">
        <f>IF($A80="","",IFERROR(_xlfn.XLOOKUP("F-"&amp;$A80,'Feeder Schedule'!$B$5:$B$254,'Feeder Schedule'!$H$5:$H$254),""))</f>
        <v/>
      </c>
      <c r="BW80" s="20" t="str">
        <f>IF($A80="","",IFERROR(_xlfn.XLOOKUP("F-"&amp;$A80,'Feeder Schedule'!$B$5:$B$254,'Feeder Schedule'!$BV$5:$BV$254),""))</f>
        <v/>
      </c>
      <c r="BX80" s="20" t="str">
        <f>IF($A80="","",IFERROR(_xlfn.LET(_xlpm.v,_xlfn.XLOOKUP("F-"&amp;$A80,'Feeder Schedule'!$B$5:$B$254,'Feeder Schedule'!$M$5:$M$254),IF(OR(_xlpm.v="",_xlpm.v=0),Cfg_Conduit,_xlpm.v)),""))</f>
        <v/>
      </c>
      <c r="BY80" s="20" t="str">
        <f>IF($A80="","",IFERROR(_xlfn.XLOOKUP("F-"&amp;$A80,'Feeder Schedule'!$B$5:$B$254,'Feeder Schedule'!$O$5:$O$254),""))</f>
        <v/>
      </c>
      <c r="BZ80" s="20" t="str">
        <f>IF($A80="","",IFERROR(_xlfn.XLOOKUP("F-"&amp;$A80,'Feeder Schedule'!$B$5:$B$254,'Feeder Schedule'!$CH$5:$CH$254),""))</f>
        <v/>
      </c>
      <c r="CA80" s="20" t="str">
        <f>IF($A80="","",IFERROR(_xlfn.XLOOKUP("F-"&amp;$A80,'Feeder Schedule'!$B$5:$B$254,'Feeder Schedule'!$F$5:$F$254),""))</f>
        <v/>
      </c>
      <c r="CB80" s="20" t="str">
        <f>IF($A80="","",IFERROR(_xlfn.XLOOKUP("F-"&amp;$A80,'Feeder Schedule'!$B$5:$B$254,'Feeder Schedule'!$G$5:$G$254),""))</f>
        <v/>
      </c>
      <c r="CD80" s="20" t="str" cm="1">
        <f t="array" ref="CD80">IFERROR(IF($A80="","",INDEX(_xlfn.ANCHORARRAY($BK$4),ROW()-5,6)),"")</f>
        <v/>
      </c>
      <c r="CE80" s="20" t="str">
        <f t="shared" si="29"/>
        <v/>
      </c>
      <c r="CF80" s="20" t="str">
        <f t="shared" si="30"/>
        <v/>
      </c>
      <c r="CG80" s="20" t="str">
        <f t="shared" si="27"/>
        <v/>
      </c>
      <c r="CH80" s="20" t="str" cm="1">
        <f t="array" ref="CH80">IF(OR($A80="",$BZ80="",$BW80="",$BX80=""),"",_xlfn.LET(_xlpm.mag,IFERROR(_xlfn.XLOOKUP($BX80,Race_Raceway,Race_Mag),""),IF(_xlpm.mag="","",IFERROR(INDEX(Cond_Table,MATCH($BZ80,Cond_Size,0),IF(UPPER($BW80)="AL",IF(_xlpm.mag="Y",10,12),IF(_xlpm.mag="Y",9,11))),""))))</f>
        <v/>
      </c>
      <c r="CI80" s="20" t="str">
        <f t="shared" si="28"/>
        <v/>
      </c>
      <c r="CJ80" s="20" t="str">
        <f>IF(OR($A80="",LEFT($A80,2)&lt;&gt;"T-"),"",IFERROR(_xlfn.LET(_xlpm.fla,_xlfn.XLOOKUP($A80,Transformers!$A$6:$A$105,Transformers!$AK$6:$AK$105),_xlpm.z,_xlfn.XLOOKUP($A80,Transformers!$A$6:$A$105,Transformers!$AX$6:$AX$105),IF(OR(_xlpm.fla="",_xlpm.z="",_xlpm.z=0),"",_xlpm.fla*100/_xlpm.z)),""))</f>
        <v/>
      </c>
      <c r="CK80" s="20" t="str">
        <f t="shared" si="31"/>
        <v/>
      </c>
      <c r="CL80" s="20" t="str">
        <f t="shared" si="32"/>
        <v/>
      </c>
      <c r="CM80" s="373"/>
      <c r="CO80" s="20" t="str">
        <f>IF(OR($A80="",LEFT($A80,2)&lt;&gt;"T-"),"",_xlfn.LET(_xlpm.ph,IFERROR(_xlfn.XLOOKUP($A80,Transformers!$A$6:$A$105,Transformers!$C$6:$C$105),""),_xlpm.rr,IFERROR(_xlfn.XLOOKUP($A80,Transformers!$A$6:$A$105,Transformers!$AG$6:$AG$105),""),_xlpm.xx,IFERROR(_xlfn.XLOOKUP($A80,Transformers!$A$6:$A$105,Transformers!$AI$6:$AI$105),""),IF(OR(_xlpm.ph&lt;&gt;1,NOT(ISNUMBER(_xlpm.rr)),NOT(ISNUMBER(_xlpm.xx))),"",SQRT((1.5*_xlpm.rr)^2+(1.2*_xlpm.xx)^2))))</f>
        <v/>
      </c>
      <c r="CP80" s="20" t="str">
        <f t="shared" si="33"/>
        <v/>
      </c>
    </row>
    <row r="81" spans="1:94" ht="15" customHeight="1" x14ac:dyDescent="0.45">
      <c r="A81" s="275" t="str" cm="1">
        <f t="array" ref="A81">IFERROR(IF(INDEX(_xlfn.ANCHORARRAY($BK$4),ROW()-5,1)="","",INDEX(_xlfn.ANCHORARRAY($BK$4),ROW()-5,1)),"")</f>
        <v/>
      </c>
      <c r="B81" s="25" t="str" cm="1">
        <f t="array" ref="B81">IFERROR(IF($A81="","",INDEX(_xlfn.ANCHORARRAY($BK$4),ROW()-5,5)),"")</f>
        <v/>
      </c>
      <c r="C81" s="178" t="str" cm="1">
        <f t="array" ref="C81">IFERROR(IF($A81="","",INDEX(_xlfn.ANCHORARRAY($BK$4),ROW()-5,7)),"")</f>
        <v/>
      </c>
      <c r="D81" s="177" t="str" cm="1">
        <f t="array" ref="D81">IFERROR(IF($A81="","",INDEX(_xlfn.ANCHORARRAY($BK$4),ROW()-5,3)),"")</f>
        <v/>
      </c>
      <c r="E81" s="25" t="str" cm="1">
        <f t="array" ref="E81">IFERROR(IF($A81="","",INDEX(_xlfn.ANCHORARRAY($BK$4),ROW()-5,2)),"")</f>
        <v/>
      </c>
      <c r="F81" s="177" t="str">
        <f t="shared" si="17"/>
        <v/>
      </c>
      <c r="G81" s="275" t="str">
        <f t="shared" si="18"/>
        <v/>
      </c>
      <c r="H81" s="180" t="str">
        <f t="shared" si="19"/>
        <v/>
      </c>
      <c r="I81" s="180" t="str">
        <f t="shared" si="20"/>
        <v/>
      </c>
      <c r="J81" s="177" t="str">
        <f>_xlfn.LET(_xlpm.v,_xlfn.LET(_xlpm.base,IF($A81="","",IF($C81=0,IFERROR(_xlfn.XLOOKUP($A81,Util_Tags,Util_SCAEff),""),IF(LEFT($A81,2)="T-",IF($CJ81="","",$CJ81/(1+IF($CL81="",0,$CL81))),IF(OR($F81="",$I81=""),"",$F81*$I81)))),_xlpm.gtag,IF(OR($A81="",NOT(OR($B81="ATS",$B81="MTS"))),"",IFERROR(_xlfn.XLOOKUP($A81,Dashboard!$A$101:$A$350,Dashboard!$L$101:$L$350,"")&amp;"","")),_xlpm.gkva,IF(_xlpm.gtag="",0,IFERROR(N(_xlfn.XLOOKUP(_xlpm.gtag,Generator!$B$53:$B$58,Generator!$S$53:$S$58,0)),0)),_xlpm.gxd,IF(_xlpm.gtag="",0,IFERROR(N(_xlfn.XLOOKUP(_xlpm.gtag,Generator!$B$53:$B$58,Generator!$U$53:$U$58,0)),0)),_xlpm.gamp,IF(OR(_xlpm.gkva=0,_xlpm.gxd=0,N($D81)=0),0,ROUND(_xlpm.gkva*1000/(IF(N($CB81)=1,1,SQRT(3))*$D81*_xlpm.gxd),0)),IF(OR(_xlpm.gamp=0,NOT(ISNUMBER(_xlpm.base))),_xlpm.base,MAX(_xlpm.base,_xlpm.gamp))),_xlpm.ulim,IF(OR($A81="",$B81&lt;&gt;"UPS"),"",IFERROR(IF(_xlfn.XLOOKUP($A81,UPS!$B$57:$B$64,UPS!$E$57:$E$64,"")="None",_xlfn.XLOOKUP($A81,UPS!$B$57:$B$64,UPS!$U$57:$U$64,""),""),"")),IF(AND(ISNUMBER(_xlpm.v),ISNUMBER(_xlpm.ulim)),MIN(_xlpm.v,_xlpm.ulim),_xlpm.v))</f>
        <v/>
      </c>
      <c r="K81" s="176"/>
      <c r="L81" s="177" t="str">
        <f t="shared" si="21"/>
        <v/>
      </c>
      <c r="M81" s="177" t="str">
        <f t="shared" si="22"/>
        <v/>
      </c>
      <c r="N81" s="380" t="str">
        <f>IF($A81="","",IF($C81=0,_xlfn.LET(_xlpm.x,IFERROR(_xlfn.XLOOKUP($A81,Util_Tags,Util_XR),""),IF(N(_xlpm.x)=0,Xfmr_DefXR,_xlpm.x)),IF(LEFT($A81,2)="T-",IFERROR(_xlfn.XLOOKUP($A81,Transformers!$A$6:$A$105,Transformers!$AH$6:$AH$105),Xfmr_DefXR),IFERROR(_xlfn.XLOOKUP($E81,$A$6:$A$255,$N$6:$N$255),Xfmr_DefXR))))</f>
        <v/>
      </c>
      <c r="O81" s="177" t="str">
        <f t="shared" si="23"/>
        <v/>
      </c>
      <c r="P81" s="210" t="str">
        <f>IF($A81="","",IF(LEFT($A81,2)="T-",IF($CO81="","",_xlfn.LET(_xlpm.k,IFERROR(_xlfn.XLOOKUP($A81,Transformers!$A$6:$A$105,Transformers!$G$6:$G$105),""),_xlpm.sv,IFERROR(_xlfn.XLOOKUP($A81,Transformers!$A$6:$A$105,Transformers!$E$6:$E$105),""),IF(OR(NOT(ISNUMBER(_xlpm.k)),NOT(ISNUMBER(_xlpm.sv)),_xlpm.sv=0),"",_xlfn.LET(_xlpm.iInf,(_xlpm.k*1000/(_xlpm.sv/2))*100/$CO81,_xlpm.pri,IF(OR($CK81="",$CK81=0),"",$CK81/2),_xlpm.base,IF(_xlpm.pri="",_xlpm.iInf,_xlpm.iInf/(1+_xlpm.iInf/_xlpm.pri)),_xlpm.base+IF($L81="",0,$L81))))),IF($CP81="","",_xlfn.LET(_xlpm.pI,IFERROR(_xlfn.XLOOKUP($E81,$A$6:$A$255,$P$6:$P$255),""),IF(NOT(ISNUMBER(_xlpm.pI)),"",_xlpm.pI/(1+$CP81)+IF($L81="",0,$L81))))))</f>
        <v/>
      </c>
      <c r="Q81" s="210" t="str">
        <f t="shared" si="24"/>
        <v/>
      </c>
      <c r="R81" s="177" t="str">
        <f>IF($A81="","",IF(OR($C81=0,LEFT($A81,2)="T-"),"",IFERROR(_xlfn.LET(_xlpm.v,_xlfn.XLOOKUP($A81,Dashboard!$A$101:$A$350,Dashboard!$K$101:$K$350),IF(ISNUMBER(_xlpm.v),_xlpm.v,"")),"")))</f>
        <v/>
      </c>
      <c r="S81" s="211" t="str">
        <f t="shared" si="25"/>
        <v/>
      </c>
      <c r="T81" s="25" t="str">
        <f t="shared" si="26"/>
        <v/>
      </c>
      <c r="U81" s="364"/>
      <c r="BV81" s="20" t="str">
        <f>IF($A81="","",IFERROR(_xlfn.XLOOKUP("F-"&amp;$A81,'Feeder Schedule'!$B$5:$B$254,'Feeder Schedule'!$H$5:$H$254),""))</f>
        <v/>
      </c>
      <c r="BW81" s="20" t="str">
        <f>IF($A81="","",IFERROR(_xlfn.XLOOKUP("F-"&amp;$A81,'Feeder Schedule'!$B$5:$B$254,'Feeder Schedule'!$BV$5:$BV$254),""))</f>
        <v/>
      </c>
      <c r="BX81" s="20" t="str">
        <f>IF($A81="","",IFERROR(_xlfn.LET(_xlpm.v,_xlfn.XLOOKUP("F-"&amp;$A81,'Feeder Schedule'!$B$5:$B$254,'Feeder Schedule'!$M$5:$M$254),IF(OR(_xlpm.v="",_xlpm.v=0),Cfg_Conduit,_xlpm.v)),""))</f>
        <v/>
      </c>
      <c r="BY81" s="20" t="str">
        <f>IF($A81="","",IFERROR(_xlfn.XLOOKUP("F-"&amp;$A81,'Feeder Schedule'!$B$5:$B$254,'Feeder Schedule'!$O$5:$O$254),""))</f>
        <v/>
      </c>
      <c r="BZ81" s="20" t="str">
        <f>IF($A81="","",IFERROR(_xlfn.XLOOKUP("F-"&amp;$A81,'Feeder Schedule'!$B$5:$B$254,'Feeder Schedule'!$CH$5:$CH$254),""))</f>
        <v/>
      </c>
      <c r="CA81" s="20" t="str">
        <f>IF($A81="","",IFERROR(_xlfn.XLOOKUP("F-"&amp;$A81,'Feeder Schedule'!$B$5:$B$254,'Feeder Schedule'!$F$5:$F$254),""))</f>
        <v/>
      </c>
      <c r="CB81" s="20" t="str">
        <f>IF($A81="","",IFERROR(_xlfn.XLOOKUP("F-"&amp;$A81,'Feeder Schedule'!$B$5:$B$254,'Feeder Schedule'!$G$5:$G$254),""))</f>
        <v/>
      </c>
      <c r="CD81" s="20" t="str" cm="1">
        <f t="array" ref="CD81">IFERROR(IF($A81="","",INDEX(_xlfn.ANCHORARRAY($BK$4),ROW()-5,6)),"")</f>
        <v/>
      </c>
      <c r="CE81" s="20" t="str">
        <f t="shared" si="29"/>
        <v/>
      </c>
      <c r="CF81" s="20" t="str">
        <f t="shared" si="30"/>
        <v/>
      </c>
      <c r="CG81" s="20" t="str">
        <f t="shared" si="27"/>
        <v/>
      </c>
      <c r="CH81" s="20" t="str" cm="1">
        <f t="array" ref="CH81">IF(OR($A81="",$BZ81="",$BW81="",$BX81=""),"",_xlfn.LET(_xlpm.mag,IFERROR(_xlfn.XLOOKUP($BX81,Race_Raceway,Race_Mag),""),IF(_xlpm.mag="","",IFERROR(INDEX(Cond_Table,MATCH($BZ81,Cond_Size,0),IF(UPPER($BW81)="AL",IF(_xlpm.mag="Y",10,12),IF(_xlpm.mag="Y",9,11))),""))))</f>
        <v/>
      </c>
      <c r="CI81" s="20" t="str">
        <f t="shared" si="28"/>
        <v/>
      </c>
      <c r="CJ81" s="20" t="str">
        <f>IF(OR($A81="",LEFT($A81,2)&lt;&gt;"T-"),"",IFERROR(_xlfn.LET(_xlpm.fla,_xlfn.XLOOKUP($A81,Transformers!$A$6:$A$105,Transformers!$AK$6:$AK$105),_xlpm.z,_xlfn.XLOOKUP($A81,Transformers!$A$6:$A$105,Transformers!$AX$6:$AX$105),IF(OR(_xlpm.fla="",_xlpm.z="",_xlpm.z=0),"",_xlpm.fla*100/_xlpm.z)),""))</f>
        <v/>
      </c>
      <c r="CK81" s="20" t="str">
        <f t="shared" si="31"/>
        <v/>
      </c>
      <c r="CL81" s="20" t="str">
        <f t="shared" si="32"/>
        <v/>
      </c>
      <c r="CM81" s="373"/>
      <c r="CO81" s="20" t="str">
        <f>IF(OR($A81="",LEFT($A81,2)&lt;&gt;"T-"),"",_xlfn.LET(_xlpm.ph,IFERROR(_xlfn.XLOOKUP($A81,Transformers!$A$6:$A$105,Transformers!$C$6:$C$105),""),_xlpm.rr,IFERROR(_xlfn.XLOOKUP($A81,Transformers!$A$6:$A$105,Transformers!$AG$6:$AG$105),""),_xlpm.xx,IFERROR(_xlfn.XLOOKUP($A81,Transformers!$A$6:$A$105,Transformers!$AI$6:$AI$105),""),IF(OR(_xlpm.ph&lt;&gt;1,NOT(ISNUMBER(_xlpm.rr)),NOT(ISNUMBER(_xlpm.xx))),"",SQRT((1.5*_xlpm.rr)^2+(1.2*_xlpm.xx)^2))))</f>
        <v/>
      </c>
      <c r="CP81" s="20" t="str">
        <f t="shared" si="33"/>
        <v/>
      </c>
    </row>
    <row r="82" spans="1:94" ht="15" customHeight="1" x14ac:dyDescent="0.45">
      <c r="A82" s="275" t="str" cm="1">
        <f t="array" ref="A82">IFERROR(IF(INDEX(_xlfn.ANCHORARRAY($BK$4),ROW()-5,1)="","",INDEX(_xlfn.ANCHORARRAY($BK$4),ROW()-5,1)),"")</f>
        <v/>
      </c>
      <c r="B82" s="25" t="str" cm="1">
        <f t="array" ref="B82">IFERROR(IF($A82="","",INDEX(_xlfn.ANCHORARRAY($BK$4),ROW()-5,5)),"")</f>
        <v/>
      </c>
      <c r="C82" s="178" t="str" cm="1">
        <f t="array" ref="C82">IFERROR(IF($A82="","",INDEX(_xlfn.ANCHORARRAY($BK$4),ROW()-5,7)),"")</f>
        <v/>
      </c>
      <c r="D82" s="177" t="str" cm="1">
        <f t="array" ref="D82">IFERROR(IF($A82="","",INDEX(_xlfn.ANCHORARRAY($BK$4),ROW()-5,3)),"")</f>
        <v/>
      </c>
      <c r="E82" s="25" t="str" cm="1">
        <f t="array" ref="E82">IFERROR(IF($A82="","",INDEX(_xlfn.ANCHORARRAY($BK$4),ROW()-5,2)),"")</f>
        <v/>
      </c>
      <c r="F82" s="177" t="str">
        <f t="shared" si="17"/>
        <v/>
      </c>
      <c r="G82" s="275" t="str">
        <f t="shared" si="18"/>
        <v/>
      </c>
      <c r="H82" s="180" t="str">
        <f t="shared" si="19"/>
        <v/>
      </c>
      <c r="I82" s="180" t="str">
        <f t="shared" si="20"/>
        <v/>
      </c>
      <c r="J82" s="177" t="str">
        <f>_xlfn.LET(_xlpm.v,_xlfn.LET(_xlpm.base,IF($A82="","",IF($C82=0,IFERROR(_xlfn.XLOOKUP($A82,Util_Tags,Util_SCAEff),""),IF(LEFT($A82,2)="T-",IF($CJ82="","",$CJ82/(1+IF($CL82="",0,$CL82))),IF(OR($F82="",$I82=""),"",$F82*$I82)))),_xlpm.gtag,IF(OR($A82="",NOT(OR($B82="ATS",$B82="MTS"))),"",IFERROR(_xlfn.XLOOKUP($A82,Dashboard!$A$101:$A$350,Dashboard!$L$101:$L$350,"")&amp;"","")),_xlpm.gkva,IF(_xlpm.gtag="",0,IFERROR(N(_xlfn.XLOOKUP(_xlpm.gtag,Generator!$B$53:$B$58,Generator!$S$53:$S$58,0)),0)),_xlpm.gxd,IF(_xlpm.gtag="",0,IFERROR(N(_xlfn.XLOOKUP(_xlpm.gtag,Generator!$B$53:$B$58,Generator!$U$53:$U$58,0)),0)),_xlpm.gamp,IF(OR(_xlpm.gkva=0,_xlpm.gxd=0,N($D82)=0),0,ROUND(_xlpm.gkva*1000/(IF(N($CB82)=1,1,SQRT(3))*$D82*_xlpm.gxd),0)),IF(OR(_xlpm.gamp=0,NOT(ISNUMBER(_xlpm.base))),_xlpm.base,MAX(_xlpm.base,_xlpm.gamp))),_xlpm.ulim,IF(OR($A82="",$B82&lt;&gt;"UPS"),"",IFERROR(IF(_xlfn.XLOOKUP($A82,UPS!$B$57:$B$64,UPS!$E$57:$E$64,"")="None",_xlfn.XLOOKUP($A82,UPS!$B$57:$B$64,UPS!$U$57:$U$64,""),""),"")),IF(AND(ISNUMBER(_xlpm.v),ISNUMBER(_xlpm.ulim)),MIN(_xlpm.v,_xlpm.ulim),_xlpm.v))</f>
        <v/>
      </c>
      <c r="K82" s="176"/>
      <c r="L82" s="177" t="str">
        <f t="shared" si="21"/>
        <v/>
      </c>
      <c r="M82" s="177" t="str">
        <f t="shared" si="22"/>
        <v/>
      </c>
      <c r="N82" s="380" t="str">
        <f>IF($A82="","",IF($C82=0,_xlfn.LET(_xlpm.x,IFERROR(_xlfn.XLOOKUP($A82,Util_Tags,Util_XR),""),IF(N(_xlpm.x)=0,Xfmr_DefXR,_xlpm.x)),IF(LEFT($A82,2)="T-",IFERROR(_xlfn.XLOOKUP($A82,Transformers!$A$6:$A$105,Transformers!$AH$6:$AH$105),Xfmr_DefXR),IFERROR(_xlfn.XLOOKUP($E82,$A$6:$A$255,$N$6:$N$255),Xfmr_DefXR))))</f>
        <v/>
      </c>
      <c r="O82" s="177" t="str">
        <f t="shared" si="23"/>
        <v/>
      </c>
      <c r="P82" s="210" t="str">
        <f>IF($A82="","",IF(LEFT($A82,2)="T-",IF($CO82="","",_xlfn.LET(_xlpm.k,IFERROR(_xlfn.XLOOKUP($A82,Transformers!$A$6:$A$105,Transformers!$G$6:$G$105),""),_xlpm.sv,IFERROR(_xlfn.XLOOKUP($A82,Transformers!$A$6:$A$105,Transformers!$E$6:$E$105),""),IF(OR(NOT(ISNUMBER(_xlpm.k)),NOT(ISNUMBER(_xlpm.sv)),_xlpm.sv=0),"",_xlfn.LET(_xlpm.iInf,(_xlpm.k*1000/(_xlpm.sv/2))*100/$CO82,_xlpm.pri,IF(OR($CK82="",$CK82=0),"",$CK82/2),_xlpm.base,IF(_xlpm.pri="",_xlpm.iInf,_xlpm.iInf/(1+_xlpm.iInf/_xlpm.pri)),_xlpm.base+IF($L82="",0,$L82))))),IF($CP82="","",_xlfn.LET(_xlpm.pI,IFERROR(_xlfn.XLOOKUP($E82,$A$6:$A$255,$P$6:$P$255),""),IF(NOT(ISNUMBER(_xlpm.pI)),"",_xlpm.pI/(1+$CP82)+IF($L82="",0,$L82))))))</f>
        <v/>
      </c>
      <c r="Q82" s="210" t="str">
        <f t="shared" si="24"/>
        <v/>
      </c>
      <c r="R82" s="177" t="str">
        <f>IF($A82="","",IF(OR($C82=0,LEFT($A82,2)="T-"),"",IFERROR(_xlfn.LET(_xlpm.v,_xlfn.XLOOKUP($A82,Dashboard!$A$101:$A$350,Dashboard!$K$101:$K$350),IF(ISNUMBER(_xlpm.v),_xlpm.v,"")),"")))</f>
        <v/>
      </c>
      <c r="S82" s="211" t="str">
        <f t="shared" si="25"/>
        <v/>
      </c>
      <c r="T82" s="25" t="str">
        <f t="shared" si="26"/>
        <v/>
      </c>
      <c r="U82" s="364"/>
      <c r="BV82" s="20" t="str">
        <f>IF($A82="","",IFERROR(_xlfn.XLOOKUP("F-"&amp;$A82,'Feeder Schedule'!$B$5:$B$254,'Feeder Schedule'!$H$5:$H$254),""))</f>
        <v/>
      </c>
      <c r="BW82" s="20" t="str">
        <f>IF($A82="","",IFERROR(_xlfn.XLOOKUP("F-"&amp;$A82,'Feeder Schedule'!$B$5:$B$254,'Feeder Schedule'!$BV$5:$BV$254),""))</f>
        <v/>
      </c>
      <c r="BX82" s="20" t="str">
        <f>IF($A82="","",IFERROR(_xlfn.LET(_xlpm.v,_xlfn.XLOOKUP("F-"&amp;$A82,'Feeder Schedule'!$B$5:$B$254,'Feeder Schedule'!$M$5:$M$254),IF(OR(_xlpm.v="",_xlpm.v=0),Cfg_Conduit,_xlpm.v)),""))</f>
        <v/>
      </c>
      <c r="BY82" s="20" t="str">
        <f>IF($A82="","",IFERROR(_xlfn.XLOOKUP("F-"&amp;$A82,'Feeder Schedule'!$B$5:$B$254,'Feeder Schedule'!$O$5:$O$254),""))</f>
        <v/>
      </c>
      <c r="BZ82" s="20" t="str">
        <f>IF($A82="","",IFERROR(_xlfn.XLOOKUP("F-"&amp;$A82,'Feeder Schedule'!$B$5:$B$254,'Feeder Schedule'!$CH$5:$CH$254),""))</f>
        <v/>
      </c>
      <c r="CA82" s="20" t="str">
        <f>IF($A82="","",IFERROR(_xlfn.XLOOKUP("F-"&amp;$A82,'Feeder Schedule'!$B$5:$B$254,'Feeder Schedule'!$F$5:$F$254),""))</f>
        <v/>
      </c>
      <c r="CB82" s="20" t="str">
        <f>IF($A82="","",IFERROR(_xlfn.XLOOKUP("F-"&amp;$A82,'Feeder Schedule'!$B$5:$B$254,'Feeder Schedule'!$G$5:$G$254),""))</f>
        <v/>
      </c>
      <c r="CD82" s="20" t="str" cm="1">
        <f t="array" ref="CD82">IFERROR(IF($A82="","",INDEX(_xlfn.ANCHORARRAY($BK$4),ROW()-5,6)),"")</f>
        <v/>
      </c>
      <c r="CE82" s="20" t="str">
        <f t="shared" si="29"/>
        <v/>
      </c>
      <c r="CF82" s="20" t="str">
        <f t="shared" si="30"/>
        <v/>
      </c>
      <c r="CG82" s="20" t="str">
        <f t="shared" si="27"/>
        <v/>
      </c>
      <c r="CH82" s="20" t="str" cm="1">
        <f t="array" ref="CH82">IF(OR($A82="",$BZ82="",$BW82="",$BX82=""),"",_xlfn.LET(_xlpm.mag,IFERROR(_xlfn.XLOOKUP($BX82,Race_Raceway,Race_Mag),""),IF(_xlpm.mag="","",IFERROR(INDEX(Cond_Table,MATCH($BZ82,Cond_Size,0),IF(UPPER($BW82)="AL",IF(_xlpm.mag="Y",10,12),IF(_xlpm.mag="Y",9,11))),""))))</f>
        <v/>
      </c>
      <c r="CI82" s="20" t="str">
        <f t="shared" si="28"/>
        <v/>
      </c>
      <c r="CJ82" s="20" t="str">
        <f>IF(OR($A82="",LEFT($A82,2)&lt;&gt;"T-"),"",IFERROR(_xlfn.LET(_xlpm.fla,_xlfn.XLOOKUP($A82,Transformers!$A$6:$A$105,Transformers!$AK$6:$AK$105),_xlpm.z,_xlfn.XLOOKUP($A82,Transformers!$A$6:$A$105,Transformers!$AX$6:$AX$105),IF(OR(_xlpm.fla="",_xlpm.z="",_xlpm.z=0),"",_xlpm.fla*100/_xlpm.z)),""))</f>
        <v/>
      </c>
      <c r="CK82" s="20" t="str">
        <f t="shared" si="31"/>
        <v/>
      </c>
      <c r="CL82" s="20" t="str">
        <f t="shared" si="32"/>
        <v/>
      </c>
      <c r="CM82" s="373"/>
      <c r="CO82" s="20" t="str">
        <f>IF(OR($A82="",LEFT($A82,2)&lt;&gt;"T-"),"",_xlfn.LET(_xlpm.ph,IFERROR(_xlfn.XLOOKUP($A82,Transformers!$A$6:$A$105,Transformers!$C$6:$C$105),""),_xlpm.rr,IFERROR(_xlfn.XLOOKUP($A82,Transformers!$A$6:$A$105,Transformers!$AG$6:$AG$105),""),_xlpm.xx,IFERROR(_xlfn.XLOOKUP($A82,Transformers!$A$6:$A$105,Transformers!$AI$6:$AI$105),""),IF(OR(_xlpm.ph&lt;&gt;1,NOT(ISNUMBER(_xlpm.rr)),NOT(ISNUMBER(_xlpm.xx))),"",SQRT((1.5*_xlpm.rr)^2+(1.2*_xlpm.xx)^2))))</f>
        <v/>
      </c>
      <c r="CP82" s="20" t="str">
        <f t="shared" si="33"/>
        <v/>
      </c>
    </row>
    <row r="83" spans="1:94" ht="15" customHeight="1" x14ac:dyDescent="0.45">
      <c r="A83" s="275" t="str" cm="1">
        <f t="array" ref="A83">IFERROR(IF(INDEX(_xlfn.ANCHORARRAY($BK$4),ROW()-5,1)="","",INDEX(_xlfn.ANCHORARRAY($BK$4),ROW()-5,1)),"")</f>
        <v/>
      </c>
      <c r="B83" s="25" t="str" cm="1">
        <f t="array" ref="B83">IFERROR(IF($A83="","",INDEX(_xlfn.ANCHORARRAY($BK$4),ROW()-5,5)),"")</f>
        <v/>
      </c>
      <c r="C83" s="178" t="str" cm="1">
        <f t="array" ref="C83">IFERROR(IF($A83="","",INDEX(_xlfn.ANCHORARRAY($BK$4),ROW()-5,7)),"")</f>
        <v/>
      </c>
      <c r="D83" s="177" t="str" cm="1">
        <f t="array" ref="D83">IFERROR(IF($A83="","",INDEX(_xlfn.ANCHORARRAY($BK$4),ROW()-5,3)),"")</f>
        <v/>
      </c>
      <c r="E83" s="25" t="str" cm="1">
        <f t="array" ref="E83">IFERROR(IF($A83="","",INDEX(_xlfn.ANCHORARRAY($BK$4),ROW()-5,2)),"")</f>
        <v/>
      </c>
      <c r="F83" s="177" t="str">
        <f t="shared" si="17"/>
        <v/>
      </c>
      <c r="G83" s="275" t="str">
        <f t="shared" si="18"/>
        <v/>
      </c>
      <c r="H83" s="180" t="str">
        <f t="shared" si="19"/>
        <v/>
      </c>
      <c r="I83" s="180" t="str">
        <f t="shared" si="20"/>
        <v/>
      </c>
      <c r="J83" s="177" t="str">
        <f>_xlfn.LET(_xlpm.v,_xlfn.LET(_xlpm.base,IF($A83="","",IF($C83=0,IFERROR(_xlfn.XLOOKUP($A83,Util_Tags,Util_SCAEff),""),IF(LEFT($A83,2)="T-",IF($CJ83="","",$CJ83/(1+IF($CL83="",0,$CL83))),IF(OR($F83="",$I83=""),"",$F83*$I83)))),_xlpm.gtag,IF(OR($A83="",NOT(OR($B83="ATS",$B83="MTS"))),"",IFERROR(_xlfn.XLOOKUP($A83,Dashboard!$A$101:$A$350,Dashboard!$L$101:$L$350,"")&amp;"","")),_xlpm.gkva,IF(_xlpm.gtag="",0,IFERROR(N(_xlfn.XLOOKUP(_xlpm.gtag,Generator!$B$53:$B$58,Generator!$S$53:$S$58,0)),0)),_xlpm.gxd,IF(_xlpm.gtag="",0,IFERROR(N(_xlfn.XLOOKUP(_xlpm.gtag,Generator!$B$53:$B$58,Generator!$U$53:$U$58,0)),0)),_xlpm.gamp,IF(OR(_xlpm.gkva=0,_xlpm.gxd=0,N($D83)=0),0,ROUND(_xlpm.gkva*1000/(IF(N($CB83)=1,1,SQRT(3))*$D83*_xlpm.gxd),0)),IF(OR(_xlpm.gamp=0,NOT(ISNUMBER(_xlpm.base))),_xlpm.base,MAX(_xlpm.base,_xlpm.gamp))),_xlpm.ulim,IF(OR($A83="",$B83&lt;&gt;"UPS"),"",IFERROR(IF(_xlfn.XLOOKUP($A83,UPS!$B$57:$B$64,UPS!$E$57:$E$64,"")="None",_xlfn.XLOOKUP($A83,UPS!$B$57:$B$64,UPS!$U$57:$U$64,""),""),"")),IF(AND(ISNUMBER(_xlpm.v),ISNUMBER(_xlpm.ulim)),MIN(_xlpm.v,_xlpm.ulim),_xlpm.v))</f>
        <v/>
      </c>
      <c r="K83" s="176"/>
      <c r="L83" s="177" t="str">
        <f t="shared" si="21"/>
        <v/>
      </c>
      <c r="M83" s="177" t="str">
        <f t="shared" si="22"/>
        <v/>
      </c>
      <c r="N83" s="380" t="str">
        <f>IF($A83="","",IF($C83=0,_xlfn.LET(_xlpm.x,IFERROR(_xlfn.XLOOKUP($A83,Util_Tags,Util_XR),""),IF(N(_xlpm.x)=0,Xfmr_DefXR,_xlpm.x)),IF(LEFT($A83,2)="T-",IFERROR(_xlfn.XLOOKUP($A83,Transformers!$A$6:$A$105,Transformers!$AH$6:$AH$105),Xfmr_DefXR),IFERROR(_xlfn.XLOOKUP($E83,$A$6:$A$255,$N$6:$N$255),Xfmr_DefXR))))</f>
        <v/>
      </c>
      <c r="O83" s="177" t="str">
        <f t="shared" si="23"/>
        <v/>
      </c>
      <c r="P83" s="210" t="str">
        <f>IF($A83="","",IF(LEFT($A83,2)="T-",IF($CO83="","",_xlfn.LET(_xlpm.k,IFERROR(_xlfn.XLOOKUP($A83,Transformers!$A$6:$A$105,Transformers!$G$6:$G$105),""),_xlpm.sv,IFERROR(_xlfn.XLOOKUP($A83,Transformers!$A$6:$A$105,Transformers!$E$6:$E$105),""),IF(OR(NOT(ISNUMBER(_xlpm.k)),NOT(ISNUMBER(_xlpm.sv)),_xlpm.sv=0),"",_xlfn.LET(_xlpm.iInf,(_xlpm.k*1000/(_xlpm.sv/2))*100/$CO83,_xlpm.pri,IF(OR($CK83="",$CK83=0),"",$CK83/2),_xlpm.base,IF(_xlpm.pri="",_xlpm.iInf,_xlpm.iInf/(1+_xlpm.iInf/_xlpm.pri)),_xlpm.base+IF($L83="",0,$L83))))),IF($CP83="","",_xlfn.LET(_xlpm.pI,IFERROR(_xlfn.XLOOKUP($E83,$A$6:$A$255,$P$6:$P$255),""),IF(NOT(ISNUMBER(_xlpm.pI)),"",_xlpm.pI/(1+$CP83)+IF($L83="",0,$L83))))))</f>
        <v/>
      </c>
      <c r="Q83" s="210" t="str">
        <f t="shared" si="24"/>
        <v/>
      </c>
      <c r="R83" s="177" t="str">
        <f>IF($A83="","",IF(OR($C83=0,LEFT($A83,2)="T-"),"",IFERROR(_xlfn.LET(_xlpm.v,_xlfn.XLOOKUP($A83,Dashboard!$A$101:$A$350,Dashboard!$K$101:$K$350),IF(ISNUMBER(_xlpm.v),_xlpm.v,"")),"")))</f>
        <v/>
      </c>
      <c r="S83" s="211" t="str">
        <f t="shared" si="25"/>
        <v/>
      </c>
      <c r="T83" s="25" t="str">
        <f t="shared" si="26"/>
        <v/>
      </c>
      <c r="U83" s="364"/>
      <c r="BV83" s="20" t="str">
        <f>IF($A83="","",IFERROR(_xlfn.XLOOKUP("F-"&amp;$A83,'Feeder Schedule'!$B$5:$B$254,'Feeder Schedule'!$H$5:$H$254),""))</f>
        <v/>
      </c>
      <c r="BW83" s="20" t="str">
        <f>IF($A83="","",IFERROR(_xlfn.XLOOKUP("F-"&amp;$A83,'Feeder Schedule'!$B$5:$B$254,'Feeder Schedule'!$BV$5:$BV$254),""))</f>
        <v/>
      </c>
      <c r="BX83" s="20" t="str">
        <f>IF($A83="","",IFERROR(_xlfn.LET(_xlpm.v,_xlfn.XLOOKUP("F-"&amp;$A83,'Feeder Schedule'!$B$5:$B$254,'Feeder Schedule'!$M$5:$M$254),IF(OR(_xlpm.v="",_xlpm.v=0),Cfg_Conduit,_xlpm.v)),""))</f>
        <v/>
      </c>
      <c r="BY83" s="20" t="str">
        <f>IF($A83="","",IFERROR(_xlfn.XLOOKUP("F-"&amp;$A83,'Feeder Schedule'!$B$5:$B$254,'Feeder Schedule'!$O$5:$O$254),""))</f>
        <v/>
      </c>
      <c r="BZ83" s="20" t="str">
        <f>IF($A83="","",IFERROR(_xlfn.XLOOKUP("F-"&amp;$A83,'Feeder Schedule'!$B$5:$B$254,'Feeder Schedule'!$CH$5:$CH$254),""))</f>
        <v/>
      </c>
      <c r="CA83" s="20" t="str">
        <f>IF($A83="","",IFERROR(_xlfn.XLOOKUP("F-"&amp;$A83,'Feeder Schedule'!$B$5:$B$254,'Feeder Schedule'!$F$5:$F$254),""))</f>
        <v/>
      </c>
      <c r="CB83" s="20" t="str">
        <f>IF($A83="","",IFERROR(_xlfn.XLOOKUP("F-"&amp;$A83,'Feeder Schedule'!$B$5:$B$254,'Feeder Schedule'!$G$5:$G$254),""))</f>
        <v/>
      </c>
      <c r="CD83" s="20" t="str" cm="1">
        <f t="array" ref="CD83">IFERROR(IF($A83="","",INDEX(_xlfn.ANCHORARRAY($BK$4),ROW()-5,6)),"")</f>
        <v/>
      </c>
      <c r="CE83" s="20" t="str">
        <f t="shared" si="29"/>
        <v/>
      </c>
      <c r="CF83" s="20" t="str">
        <f t="shared" si="30"/>
        <v/>
      </c>
      <c r="CG83" s="20" t="str">
        <f t="shared" si="27"/>
        <v/>
      </c>
      <c r="CH83" s="20" t="str" cm="1">
        <f t="array" ref="CH83">IF(OR($A83="",$BZ83="",$BW83="",$BX83=""),"",_xlfn.LET(_xlpm.mag,IFERROR(_xlfn.XLOOKUP($BX83,Race_Raceway,Race_Mag),""),IF(_xlpm.mag="","",IFERROR(INDEX(Cond_Table,MATCH($BZ83,Cond_Size,0),IF(UPPER($BW83)="AL",IF(_xlpm.mag="Y",10,12),IF(_xlpm.mag="Y",9,11))),""))))</f>
        <v/>
      </c>
      <c r="CI83" s="20" t="str">
        <f t="shared" si="28"/>
        <v/>
      </c>
      <c r="CJ83" s="20" t="str">
        <f>IF(OR($A83="",LEFT($A83,2)&lt;&gt;"T-"),"",IFERROR(_xlfn.LET(_xlpm.fla,_xlfn.XLOOKUP($A83,Transformers!$A$6:$A$105,Transformers!$AK$6:$AK$105),_xlpm.z,_xlfn.XLOOKUP($A83,Transformers!$A$6:$A$105,Transformers!$AX$6:$AX$105),IF(OR(_xlpm.fla="",_xlpm.z="",_xlpm.z=0),"",_xlpm.fla*100/_xlpm.z)),""))</f>
        <v/>
      </c>
      <c r="CK83" s="20" t="str">
        <f t="shared" si="31"/>
        <v/>
      </c>
      <c r="CL83" s="20" t="str">
        <f t="shared" si="32"/>
        <v/>
      </c>
      <c r="CM83" s="373"/>
      <c r="CO83" s="20" t="str">
        <f>IF(OR($A83="",LEFT($A83,2)&lt;&gt;"T-"),"",_xlfn.LET(_xlpm.ph,IFERROR(_xlfn.XLOOKUP($A83,Transformers!$A$6:$A$105,Transformers!$C$6:$C$105),""),_xlpm.rr,IFERROR(_xlfn.XLOOKUP($A83,Transformers!$A$6:$A$105,Transformers!$AG$6:$AG$105),""),_xlpm.xx,IFERROR(_xlfn.XLOOKUP($A83,Transformers!$A$6:$A$105,Transformers!$AI$6:$AI$105),""),IF(OR(_xlpm.ph&lt;&gt;1,NOT(ISNUMBER(_xlpm.rr)),NOT(ISNUMBER(_xlpm.xx))),"",SQRT((1.5*_xlpm.rr)^2+(1.2*_xlpm.xx)^2))))</f>
        <v/>
      </c>
      <c r="CP83" s="20" t="str">
        <f t="shared" si="33"/>
        <v/>
      </c>
    </row>
    <row r="84" spans="1:94" ht="15" customHeight="1" x14ac:dyDescent="0.45">
      <c r="A84" s="275" t="str" cm="1">
        <f t="array" ref="A84">IFERROR(IF(INDEX(_xlfn.ANCHORARRAY($BK$4),ROW()-5,1)="","",INDEX(_xlfn.ANCHORARRAY($BK$4),ROW()-5,1)),"")</f>
        <v/>
      </c>
      <c r="B84" s="25" t="str" cm="1">
        <f t="array" ref="B84">IFERROR(IF($A84="","",INDEX(_xlfn.ANCHORARRAY($BK$4),ROW()-5,5)),"")</f>
        <v/>
      </c>
      <c r="C84" s="178" t="str" cm="1">
        <f t="array" ref="C84">IFERROR(IF($A84="","",INDEX(_xlfn.ANCHORARRAY($BK$4),ROW()-5,7)),"")</f>
        <v/>
      </c>
      <c r="D84" s="177" t="str" cm="1">
        <f t="array" ref="D84">IFERROR(IF($A84="","",INDEX(_xlfn.ANCHORARRAY($BK$4),ROW()-5,3)),"")</f>
        <v/>
      </c>
      <c r="E84" s="25" t="str" cm="1">
        <f t="array" ref="E84">IFERROR(IF($A84="","",INDEX(_xlfn.ANCHORARRAY($BK$4),ROW()-5,2)),"")</f>
        <v/>
      </c>
      <c r="F84" s="177" t="str">
        <f t="shared" si="17"/>
        <v/>
      </c>
      <c r="G84" s="275" t="str">
        <f t="shared" si="18"/>
        <v/>
      </c>
      <c r="H84" s="180" t="str">
        <f t="shared" si="19"/>
        <v/>
      </c>
      <c r="I84" s="180" t="str">
        <f t="shared" si="20"/>
        <v/>
      </c>
      <c r="J84" s="177" t="str">
        <f>_xlfn.LET(_xlpm.v,_xlfn.LET(_xlpm.base,IF($A84="","",IF($C84=0,IFERROR(_xlfn.XLOOKUP($A84,Util_Tags,Util_SCAEff),""),IF(LEFT($A84,2)="T-",IF($CJ84="","",$CJ84/(1+IF($CL84="",0,$CL84))),IF(OR($F84="",$I84=""),"",$F84*$I84)))),_xlpm.gtag,IF(OR($A84="",NOT(OR($B84="ATS",$B84="MTS"))),"",IFERROR(_xlfn.XLOOKUP($A84,Dashboard!$A$101:$A$350,Dashboard!$L$101:$L$350,"")&amp;"","")),_xlpm.gkva,IF(_xlpm.gtag="",0,IFERROR(N(_xlfn.XLOOKUP(_xlpm.gtag,Generator!$B$53:$B$58,Generator!$S$53:$S$58,0)),0)),_xlpm.gxd,IF(_xlpm.gtag="",0,IFERROR(N(_xlfn.XLOOKUP(_xlpm.gtag,Generator!$B$53:$B$58,Generator!$U$53:$U$58,0)),0)),_xlpm.gamp,IF(OR(_xlpm.gkva=0,_xlpm.gxd=0,N($D84)=0),0,ROUND(_xlpm.gkva*1000/(IF(N($CB84)=1,1,SQRT(3))*$D84*_xlpm.gxd),0)),IF(OR(_xlpm.gamp=0,NOT(ISNUMBER(_xlpm.base))),_xlpm.base,MAX(_xlpm.base,_xlpm.gamp))),_xlpm.ulim,IF(OR($A84="",$B84&lt;&gt;"UPS"),"",IFERROR(IF(_xlfn.XLOOKUP($A84,UPS!$B$57:$B$64,UPS!$E$57:$E$64,"")="None",_xlfn.XLOOKUP($A84,UPS!$B$57:$B$64,UPS!$U$57:$U$64,""),""),"")),IF(AND(ISNUMBER(_xlpm.v),ISNUMBER(_xlpm.ulim)),MIN(_xlpm.v,_xlpm.ulim),_xlpm.v))</f>
        <v/>
      </c>
      <c r="K84" s="176"/>
      <c r="L84" s="177" t="str">
        <f t="shared" si="21"/>
        <v/>
      </c>
      <c r="M84" s="177" t="str">
        <f t="shared" si="22"/>
        <v/>
      </c>
      <c r="N84" s="380" t="str">
        <f>IF($A84="","",IF($C84=0,_xlfn.LET(_xlpm.x,IFERROR(_xlfn.XLOOKUP($A84,Util_Tags,Util_XR),""),IF(N(_xlpm.x)=0,Xfmr_DefXR,_xlpm.x)),IF(LEFT($A84,2)="T-",IFERROR(_xlfn.XLOOKUP($A84,Transformers!$A$6:$A$105,Transformers!$AH$6:$AH$105),Xfmr_DefXR),IFERROR(_xlfn.XLOOKUP($E84,$A$6:$A$255,$N$6:$N$255),Xfmr_DefXR))))</f>
        <v/>
      </c>
      <c r="O84" s="177" t="str">
        <f t="shared" si="23"/>
        <v/>
      </c>
      <c r="P84" s="210" t="str">
        <f>IF($A84="","",IF(LEFT($A84,2)="T-",IF($CO84="","",_xlfn.LET(_xlpm.k,IFERROR(_xlfn.XLOOKUP($A84,Transformers!$A$6:$A$105,Transformers!$G$6:$G$105),""),_xlpm.sv,IFERROR(_xlfn.XLOOKUP($A84,Transformers!$A$6:$A$105,Transformers!$E$6:$E$105),""),IF(OR(NOT(ISNUMBER(_xlpm.k)),NOT(ISNUMBER(_xlpm.sv)),_xlpm.sv=0),"",_xlfn.LET(_xlpm.iInf,(_xlpm.k*1000/(_xlpm.sv/2))*100/$CO84,_xlpm.pri,IF(OR($CK84="",$CK84=0),"",$CK84/2),_xlpm.base,IF(_xlpm.pri="",_xlpm.iInf,_xlpm.iInf/(1+_xlpm.iInf/_xlpm.pri)),_xlpm.base+IF($L84="",0,$L84))))),IF($CP84="","",_xlfn.LET(_xlpm.pI,IFERROR(_xlfn.XLOOKUP($E84,$A$6:$A$255,$P$6:$P$255),""),IF(NOT(ISNUMBER(_xlpm.pI)),"",_xlpm.pI/(1+$CP84)+IF($L84="",0,$L84))))))</f>
        <v/>
      </c>
      <c r="Q84" s="210" t="str">
        <f t="shared" si="24"/>
        <v/>
      </c>
      <c r="R84" s="177" t="str">
        <f>IF($A84="","",IF(OR($C84=0,LEFT($A84,2)="T-"),"",IFERROR(_xlfn.LET(_xlpm.v,_xlfn.XLOOKUP($A84,Dashboard!$A$101:$A$350,Dashboard!$K$101:$K$350),IF(ISNUMBER(_xlpm.v),_xlpm.v,"")),"")))</f>
        <v/>
      </c>
      <c r="S84" s="211" t="str">
        <f t="shared" si="25"/>
        <v/>
      </c>
      <c r="T84" s="25" t="str">
        <f t="shared" si="26"/>
        <v/>
      </c>
      <c r="U84" s="364"/>
      <c r="BV84" s="20" t="str">
        <f>IF($A84="","",IFERROR(_xlfn.XLOOKUP("F-"&amp;$A84,'Feeder Schedule'!$B$5:$B$254,'Feeder Schedule'!$H$5:$H$254),""))</f>
        <v/>
      </c>
      <c r="BW84" s="20" t="str">
        <f>IF($A84="","",IFERROR(_xlfn.XLOOKUP("F-"&amp;$A84,'Feeder Schedule'!$B$5:$B$254,'Feeder Schedule'!$BV$5:$BV$254),""))</f>
        <v/>
      </c>
      <c r="BX84" s="20" t="str">
        <f>IF($A84="","",IFERROR(_xlfn.LET(_xlpm.v,_xlfn.XLOOKUP("F-"&amp;$A84,'Feeder Schedule'!$B$5:$B$254,'Feeder Schedule'!$M$5:$M$254),IF(OR(_xlpm.v="",_xlpm.v=0),Cfg_Conduit,_xlpm.v)),""))</f>
        <v/>
      </c>
      <c r="BY84" s="20" t="str">
        <f>IF($A84="","",IFERROR(_xlfn.XLOOKUP("F-"&amp;$A84,'Feeder Schedule'!$B$5:$B$254,'Feeder Schedule'!$O$5:$O$254),""))</f>
        <v/>
      </c>
      <c r="BZ84" s="20" t="str">
        <f>IF($A84="","",IFERROR(_xlfn.XLOOKUP("F-"&amp;$A84,'Feeder Schedule'!$B$5:$B$254,'Feeder Schedule'!$CH$5:$CH$254),""))</f>
        <v/>
      </c>
      <c r="CA84" s="20" t="str">
        <f>IF($A84="","",IFERROR(_xlfn.XLOOKUP("F-"&amp;$A84,'Feeder Schedule'!$B$5:$B$254,'Feeder Schedule'!$F$5:$F$254),""))</f>
        <v/>
      </c>
      <c r="CB84" s="20" t="str">
        <f>IF($A84="","",IFERROR(_xlfn.XLOOKUP("F-"&amp;$A84,'Feeder Schedule'!$B$5:$B$254,'Feeder Schedule'!$G$5:$G$254),""))</f>
        <v/>
      </c>
      <c r="CD84" s="20" t="str" cm="1">
        <f t="array" ref="CD84">IFERROR(IF($A84="","",INDEX(_xlfn.ANCHORARRAY($BK$4),ROW()-5,6)),"")</f>
        <v/>
      </c>
      <c r="CE84" s="20" t="str">
        <f t="shared" si="29"/>
        <v/>
      </c>
      <c r="CF84" s="20" t="str">
        <f t="shared" si="30"/>
        <v/>
      </c>
      <c r="CG84" s="20" t="str">
        <f t="shared" si="27"/>
        <v/>
      </c>
      <c r="CH84" s="20" t="str" cm="1">
        <f t="array" ref="CH84">IF(OR($A84="",$BZ84="",$BW84="",$BX84=""),"",_xlfn.LET(_xlpm.mag,IFERROR(_xlfn.XLOOKUP($BX84,Race_Raceway,Race_Mag),""),IF(_xlpm.mag="","",IFERROR(INDEX(Cond_Table,MATCH($BZ84,Cond_Size,0),IF(UPPER($BW84)="AL",IF(_xlpm.mag="Y",10,12),IF(_xlpm.mag="Y",9,11))),""))))</f>
        <v/>
      </c>
      <c r="CI84" s="20" t="str">
        <f t="shared" si="28"/>
        <v/>
      </c>
      <c r="CJ84" s="20" t="str">
        <f>IF(OR($A84="",LEFT($A84,2)&lt;&gt;"T-"),"",IFERROR(_xlfn.LET(_xlpm.fla,_xlfn.XLOOKUP($A84,Transformers!$A$6:$A$105,Transformers!$AK$6:$AK$105),_xlpm.z,_xlfn.XLOOKUP($A84,Transformers!$A$6:$A$105,Transformers!$AX$6:$AX$105),IF(OR(_xlpm.fla="",_xlpm.z="",_xlpm.z=0),"",_xlpm.fla*100/_xlpm.z)),""))</f>
        <v/>
      </c>
      <c r="CK84" s="20" t="str">
        <f t="shared" si="31"/>
        <v/>
      </c>
      <c r="CL84" s="20" t="str">
        <f t="shared" si="32"/>
        <v/>
      </c>
      <c r="CM84" s="373"/>
      <c r="CO84" s="20" t="str">
        <f>IF(OR($A84="",LEFT($A84,2)&lt;&gt;"T-"),"",_xlfn.LET(_xlpm.ph,IFERROR(_xlfn.XLOOKUP($A84,Transformers!$A$6:$A$105,Transformers!$C$6:$C$105),""),_xlpm.rr,IFERROR(_xlfn.XLOOKUP($A84,Transformers!$A$6:$A$105,Transformers!$AG$6:$AG$105),""),_xlpm.xx,IFERROR(_xlfn.XLOOKUP($A84,Transformers!$A$6:$A$105,Transformers!$AI$6:$AI$105),""),IF(OR(_xlpm.ph&lt;&gt;1,NOT(ISNUMBER(_xlpm.rr)),NOT(ISNUMBER(_xlpm.xx))),"",SQRT((1.5*_xlpm.rr)^2+(1.2*_xlpm.xx)^2))))</f>
        <v/>
      </c>
      <c r="CP84" s="20" t="str">
        <f t="shared" si="33"/>
        <v/>
      </c>
    </row>
    <row r="85" spans="1:94" ht="15" customHeight="1" x14ac:dyDescent="0.45">
      <c r="A85" s="275" t="str" cm="1">
        <f t="array" ref="A85">IFERROR(IF(INDEX(_xlfn.ANCHORARRAY($BK$4),ROW()-5,1)="","",INDEX(_xlfn.ANCHORARRAY($BK$4),ROW()-5,1)),"")</f>
        <v/>
      </c>
      <c r="B85" s="25" t="str" cm="1">
        <f t="array" ref="B85">IFERROR(IF($A85="","",INDEX(_xlfn.ANCHORARRAY($BK$4),ROW()-5,5)),"")</f>
        <v/>
      </c>
      <c r="C85" s="178" t="str" cm="1">
        <f t="array" ref="C85">IFERROR(IF($A85="","",INDEX(_xlfn.ANCHORARRAY($BK$4),ROW()-5,7)),"")</f>
        <v/>
      </c>
      <c r="D85" s="177" t="str" cm="1">
        <f t="array" ref="D85">IFERROR(IF($A85="","",INDEX(_xlfn.ANCHORARRAY($BK$4),ROW()-5,3)),"")</f>
        <v/>
      </c>
      <c r="E85" s="25" t="str" cm="1">
        <f t="array" ref="E85">IFERROR(IF($A85="","",INDEX(_xlfn.ANCHORARRAY($BK$4),ROW()-5,2)),"")</f>
        <v/>
      </c>
      <c r="F85" s="177" t="str">
        <f t="shared" si="17"/>
        <v/>
      </c>
      <c r="G85" s="275" t="str">
        <f t="shared" si="18"/>
        <v/>
      </c>
      <c r="H85" s="180" t="str">
        <f t="shared" si="19"/>
        <v/>
      </c>
      <c r="I85" s="180" t="str">
        <f t="shared" si="20"/>
        <v/>
      </c>
      <c r="J85" s="177" t="str">
        <f>_xlfn.LET(_xlpm.v,_xlfn.LET(_xlpm.base,IF($A85="","",IF($C85=0,IFERROR(_xlfn.XLOOKUP($A85,Util_Tags,Util_SCAEff),""),IF(LEFT($A85,2)="T-",IF($CJ85="","",$CJ85/(1+IF($CL85="",0,$CL85))),IF(OR($F85="",$I85=""),"",$F85*$I85)))),_xlpm.gtag,IF(OR($A85="",NOT(OR($B85="ATS",$B85="MTS"))),"",IFERROR(_xlfn.XLOOKUP($A85,Dashboard!$A$101:$A$350,Dashboard!$L$101:$L$350,"")&amp;"","")),_xlpm.gkva,IF(_xlpm.gtag="",0,IFERROR(N(_xlfn.XLOOKUP(_xlpm.gtag,Generator!$B$53:$B$58,Generator!$S$53:$S$58,0)),0)),_xlpm.gxd,IF(_xlpm.gtag="",0,IFERROR(N(_xlfn.XLOOKUP(_xlpm.gtag,Generator!$B$53:$B$58,Generator!$U$53:$U$58,0)),0)),_xlpm.gamp,IF(OR(_xlpm.gkva=0,_xlpm.gxd=0,N($D85)=0),0,ROUND(_xlpm.gkva*1000/(IF(N($CB85)=1,1,SQRT(3))*$D85*_xlpm.gxd),0)),IF(OR(_xlpm.gamp=0,NOT(ISNUMBER(_xlpm.base))),_xlpm.base,MAX(_xlpm.base,_xlpm.gamp))),_xlpm.ulim,IF(OR($A85="",$B85&lt;&gt;"UPS"),"",IFERROR(IF(_xlfn.XLOOKUP($A85,UPS!$B$57:$B$64,UPS!$E$57:$E$64,"")="None",_xlfn.XLOOKUP($A85,UPS!$B$57:$B$64,UPS!$U$57:$U$64,""),""),"")),IF(AND(ISNUMBER(_xlpm.v),ISNUMBER(_xlpm.ulim)),MIN(_xlpm.v,_xlpm.ulim),_xlpm.v))</f>
        <v/>
      </c>
      <c r="K85" s="176"/>
      <c r="L85" s="177" t="str">
        <f t="shared" si="21"/>
        <v/>
      </c>
      <c r="M85" s="177" t="str">
        <f t="shared" si="22"/>
        <v/>
      </c>
      <c r="N85" s="380" t="str">
        <f>IF($A85="","",IF($C85=0,_xlfn.LET(_xlpm.x,IFERROR(_xlfn.XLOOKUP($A85,Util_Tags,Util_XR),""),IF(N(_xlpm.x)=0,Xfmr_DefXR,_xlpm.x)),IF(LEFT($A85,2)="T-",IFERROR(_xlfn.XLOOKUP($A85,Transformers!$A$6:$A$105,Transformers!$AH$6:$AH$105),Xfmr_DefXR),IFERROR(_xlfn.XLOOKUP($E85,$A$6:$A$255,$N$6:$N$255),Xfmr_DefXR))))</f>
        <v/>
      </c>
      <c r="O85" s="177" t="str">
        <f t="shared" si="23"/>
        <v/>
      </c>
      <c r="P85" s="210" t="str">
        <f>IF($A85="","",IF(LEFT($A85,2)="T-",IF($CO85="","",_xlfn.LET(_xlpm.k,IFERROR(_xlfn.XLOOKUP($A85,Transformers!$A$6:$A$105,Transformers!$G$6:$G$105),""),_xlpm.sv,IFERROR(_xlfn.XLOOKUP($A85,Transformers!$A$6:$A$105,Transformers!$E$6:$E$105),""),IF(OR(NOT(ISNUMBER(_xlpm.k)),NOT(ISNUMBER(_xlpm.sv)),_xlpm.sv=0),"",_xlfn.LET(_xlpm.iInf,(_xlpm.k*1000/(_xlpm.sv/2))*100/$CO85,_xlpm.pri,IF(OR($CK85="",$CK85=0),"",$CK85/2),_xlpm.base,IF(_xlpm.pri="",_xlpm.iInf,_xlpm.iInf/(1+_xlpm.iInf/_xlpm.pri)),_xlpm.base+IF($L85="",0,$L85))))),IF($CP85="","",_xlfn.LET(_xlpm.pI,IFERROR(_xlfn.XLOOKUP($E85,$A$6:$A$255,$P$6:$P$255),""),IF(NOT(ISNUMBER(_xlpm.pI)),"",_xlpm.pI/(1+$CP85)+IF($L85="",0,$L85))))))</f>
        <v/>
      </c>
      <c r="Q85" s="210" t="str">
        <f t="shared" si="24"/>
        <v/>
      </c>
      <c r="R85" s="177" t="str">
        <f>IF($A85="","",IF(OR($C85=0,LEFT($A85,2)="T-"),"",IFERROR(_xlfn.LET(_xlpm.v,_xlfn.XLOOKUP($A85,Dashboard!$A$101:$A$350,Dashboard!$K$101:$K$350),IF(ISNUMBER(_xlpm.v),_xlpm.v,"")),"")))</f>
        <v/>
      </c>
      <c r="S85" s="211" t="str">
        <f t="shared" si="25"/>
        <v/>
      </c>
      <c r="T85" s="25" t="str">
        <f t="shared" si="26"/>
        <v/>
      </c>
      <c r="U85" s="364"/>
      <c r="BV85" s="20" t="str">
        <f>IF($A85="","",IFERROR(_xlfn.XLOOKUP("F-"&amp;$A85,'Feeder Schedule'!$B$5:$B$254,'Feeder Schedule'!$H$5:$H$254),""))</f>
        <v/>
      </c>
      <c r="BW85" s="20" t="str">
        <f>IF($A85="","",IFERROR(_xlfn.XLOOKUP("F-"&amp;$A85,'Feeder Schedule'!$B$5:$B$254,'Feeder Schedule'!$BV$5:$BV$254),""))</f>
        <v/>
      </c>
      <c r="BX85" s="20" t="str">
        <f>IF($A85="","",IFERROR(_xlfn.LET(_xlpm.v,_xlfn.XLOOKUP("F-"&amp;$A85,'Feeder Schedule'!$B$5:$B$254,'Feeder Schedule'!$M$5:$M$254),IF(OR(_xlpm.v="",_xlpm.v=0),Cfg_Conduit,_xlpm.v)),""))</f>
        <v/>
      </c>
      <c r="BY85" s="20" t="str">
        <f>IF($A85="","",IFERROR(_xlfn.XLOOKUP("F-"&amp;$A85,'Feeder Schedule'!$B$5:$B$254,'Feeder Schedule'!$O$5:$O$254),""))</f>
        <v/>
      </c>
      <c r="BZ85" s="20" t="str">
        <f>IF($A85="","",IFERROR(_xlfn.XLOOKUP("F-"&amp;$A85,'Feeder Schedule'!$B$5:$B$254,'Feeder Schedule'!$CH$5:$CH$254),""))</f>
        <v/>
      </c>
      <c r="CA85" s="20" t="str">
        <f>IF($A85="","",IFERROR(_xlfn.XLOOKUP("F-"&amp;$A85,'Feeder Schedule'!$B$5:$B$254,'Feeder Schedule'!$F$5:$F$254),""))</f>
        <v/>
      </c>
      <c r="CB85" s="20" t="str">
        <f>IF($A85="","",IFERROR(_xlfn.XLOOKUP("F-"&amp;$A85,'Feeder Schedule'!$B$5:$B$254,'Feeder Schedule'!$G$5:$G$254),""))</f>
        <v/>
      </c>
      <c r="CD85" s="20" t="str" cm="1">
        <f t="array" ref="CD85">IFERROR(IF($A85="","",INDEX(_xlfn.ANCHORARRAY($BK$4),ROW()-5,6)),"")</f>
        <v/>
      </c>
      <c r="CE85" s="20" t="str">
        <f t="shared" si="29"/>
        <v/>
      </c>
      <c r="CF85" s="20" t="str">
        <f t="shared" si="30"/>
        <v/>
      </c>
      <c r="CG85" s="20" t="str">
        <f t="shared" si="27"/>
        <v/>
      </c>
      <c r="CH85" s="20" t="str" cm="1">
        <f t="array" ref="CH85">IF(OR($A85="",$BZ85="",$BW85="",$BX85=""),"",_xlfn.LET(_xlpm.mag,IFERROR(_xlfn.XLOOKUP($BX85,Race_Raceway,Race_Mag),""),IF(_xlpm.mag="","",IFERROR(INDEX(Cond_Table,MATCH($BZ85,Cond_Size,0),IF(UPPER($BW85)="AL",IF(_xlpm.mag="Y",10,12),IF(_xlpm.mag="Y",9,11))),""))))</f>
        <v/>
      </c>
      <c r="CI85" s="20" t="str">
        <f t="shared" si="28"/>
        <v/>
      </c>
      <c r="CJ85" s="20" t="str">
        <f>IF(OR($A85="",LEFT($A85,2)&lt;&gt;"T-"),"",IFERROR(_xlfn.LET(_xlpm.fla,_xlfn.XLOOKUP($A85,Transformers!$A$6:$A$105,Transformers!$AK$6:$AK$105),_xlpm.z,_xlfn.XLOOKUP($A85,Transformers!$A$6:$A$105,Transformers!$AX$6:$AX$105),IF(OR(_xlpm.fla="",_xlpm.z="",_xlpm.z=0),"",_xlpm.fla*100/_xlpm.z)),""))</f>
        <v/>
      </c>
      <c r="CK85" s="20" t="str">
        <f t="shared" si="31"/>
        <v/>
      </c>
      <c r="CL85" s="20" t="str">
        <f t="shared" si="32"/>
        <v/>
      </c>
      <c r="CM85" s="373"/>
      <c r="CO85" s="20" t="str">
        <f>IF(OR($A85="",LEFT($A85,2)&lt;&gt;"T-"),"",_xlfn.LET(_xlpm.ph,IFERROR(_xlfn.XLOOKUP($A85,Transformers!$A$6:$A$105,Transformers!$C$6:$C$105),""),_xlpm.rr,IFERROR(_xlfn.XLOOKUP($A85,Transformers!$A$6:$A$105,Transformers!$AG$6:$AG$105),""),_xlpm.xx,IFERROR(_xlfn.XLOOKUP($A85,Transformers!$A$6:$A$105,Transformers!$AI$6:$AI$105),""),IF(OR(_xlpm.ph&lt;&gt;1,NOT(ISNUMBER(_xlpm.rr)),NOT(ISNUMBER(_xlpm.xx))),"",SQRT((1.5*_xlpm.rr)^2+(1.2*_xlpm.xx)^2))))</f>
        <v/>
      </c>
      <c r="CP85" s="20" t="str">
        <f t="shared" si="33"/>
        <v/>
      </c>
    </row>
    <row r="86" spans="1:94" ht="15" customHeight="1" x14ac:dyDescent="0.45">
      <c r="A86" s="275" t="str" cm="1">
        <f t="array" ref="A86">IFERROR(IF(INDEX(_xlfn.ANCHORARRAY($BK$4),ROW()-5,1)="","",INDEX(_xlfn.ANCHORARRAY($BK$4),ROW()-5,1)),"")</f>
        <v/>
      </c>
      <c r="B86" s="25" t="str" cm="1">
        <f t="array" ref="B86">IFERROR(IF($A86="","",INDEX(_xlfn.ANCHORARRAY($BK$4),ROW()-5,5)),"")</f>
        <v/>
      </c>
      <c r="C86" s="178" t="str" cm="1">
        <f t="array" ref="C86">IFERROR(IF($A86="","",INDEX(_xlfn.ANCHORARRAY($BK$4),ROW()-5,7)),"")</f>
        <v/>
      </c>
      <c r="D86" s="177" t="str" cm="1">
        <f t="array" ref="D86">IFERROR(IF($A86="","",INDEX(_xlfn.ANCHORARRAY($BK$4),ROW()-5,3)),"")</f>
        <v/>
      </c>
      <c r="E86" s="25" t="str" cm="1">
        <f t="array" ref="E86">IFERROR(IF($A86="","",INDEX(_xlfn.ANCHORARRAY($BK$4),ROW()-5,2)),"")</f>
        <v/>
      </c>
      <c r="F86" s="177" t="str">
        <f t="shared" si="17"/>
        <v/>
      </c>
      <c r="G86" s="275" t="str">
        <f t="shared" si="18"/>
        <v/>
      </c>
      <c r="H86" s="180" t="str">
        <f t="shared" si="19"/>
        <v/>
      </c>
      <c r="I86" s="180" t="str">
        <f t="shared" si="20"/>
        <v/>
      </c>
      <c r="J86" s="177" t="str">
        <f>_xlfn.LET(_xlpm.v,_xlfn.LET(_xlpm.base,IF($A86="","",IF($C86=0,IFERROR(_xlfn.XLOOKUP($A86,Util_Tags,Util_SCAEff),""),IF(LEFT($A86,2)="T-",IF($CJ86="","",$CJ86/(1+IF($CL86="",0,$CL86))),IF(OR($F86="",$I86=""),"",$F86*$I86)))),_xlpm.gtag,IF(OR($A86="",NOT(OR($B86="ATS",$B86="MTS"))),"",IFERROR(_xlfn.XLOOKUP($A86,Dashboard!$A$101:$A$350,Dashboard!$L$101:$L$350,"")&amp;"","")),_xlpm.gkva,IF(_xlpm.gtag="",0,IFERROR(N(_xlfn.XLOOKUP(_xlpm.gtag,Generator!$B$53:$B$58,Generator!$S$53:$S$58,0)),0)),_xlpm.gxd,IF(_xlpm.gtag="",0,IFERROR(N(_xlfn.XLOOKUP(_xlpm.gtag,Generator!$B$53:$B$58,Generator!$U$53:$U$58,0)),0)),_xlpm.gamp,IF(OR(_xlpm.gkva=0,_xlpm.gxd=0,N($D86)=0),0,ROUND(_xlpm.gkva*1000/(IF(N($CB86)=1,1,SQRT(3))*$D86*_xlpm.gxd),0)),IF(OR(_xlpm.gamp=0,NOT(ISNUMBER(_xlpm.base))),_xlpm.base,MAX(_xlpm.base,_xlpm.gamp))),_xlpm.ulim,IF(OR($A86="",$B86&lt;&gt;"UPS"),"",IFERROR(IF(_xlfn.XLOOKUP($A86,UPS!$B$57:$B$64,UPS!$E$57:$E$64,"")="None",_xlfn.XLOOKUP($A86,UPS!$B$57:$B$64,UPS!$U$57:$U$64,""),""),"")),IF(AND(ISNUMBER(_xlpm.v),ISNUMBER(_xlpm.ulim)),MIN(_xlpm.v,_xlpm.ulim),_xlpm.v))</f>
        <v/>
      </c>
      <c r="K86" s="176"/>
      <c r="L86" s="177" t="str">
        <f t="shared" si="21"/>
        <v/>
      </c>
      <c r="M86" s="177" t="str">
        <f t="shared" si="22"/>
        <v/>
      </c>
      <c r="N86" s="380" t="str">
        <f>IF($A86="","",IF($C86=0,_xlfn.LET(_xlpm.x,IFERROR(_xlfn.XLOOKUP($A86,Util_Tags,Util_XR),""),IF(N(_xlpm.x)=0,Xfmr_DefXR,_xlpm.x)),IF(LEFT($A86,2)="T-",IFERROR(_xlfn.XLOOKUP($A86,Transformers!$A$6:$A$105,Transformers!$AH$6:$AH$105),Xfmr_DefXR),IFERROR(_xlfn.XLOOKUP($E86,$A$6:$A$255,$N$6:$N$255),Xfmr_DefXR))))</f>
        <v/>
      </c>
      <c r="O86" s="177" t="str">
        <f t="shared" si="23"/>
        <v/>
      </c>
      <c r="P86" s="210" t="str">
        <f>IF($A86="","",IF(LEFT($A86,2)="T-",IF($CO86="","",_xlfn.LET(_xlpm.k,IFERROR(_xlfn.XLOOKUP($A86,Transformers!$A$6:$A$105,Transformers!$G$6:$G$105),""),_xlpm.sv,IFERROR(_xlfn.XLOOKUP($A86,Transformers!$A$6:$A$105,Transformers!$E$6:$E$105),""),IF(OR(NOT(ISNUMBER(_xlpm.k)),NOT(ISNUMBER(_xlpm.sv)),_xlpm.sv=0),"",_xlfn.LET(_xlpm.iInf,(_xlpm.k*1000/(_xlpm.sv/2))*100/$CO86,_xlpm.pri,IF(OR($CK86="",$CK86=0),"",$CK86/2),_xlpm.base,IF(_xlpm.pri="",_xlpm.iInf,_xlpm.iInf/(1+_xlpm.iInf/_xlpm.pri)),_xlpm.base+IF($L86="",0,$L86))))),IF($CP86="","",_xlfn.LET(_xlpm.pI,IFERROR(_xlfn.XLOOKUP($E86,$A$6:$A$255,$P$6:$P$255),""),IF(NOT(ISNUMBER(_xlpm.pI)),"",_xlpm.pI/(1+$CP86)+IF($L86="",0,$L86))))))</f>
        <v/>
      </c>
      <c r="Q86" s="210" t="str">
        <f t="shared" si="24"/>
        <v/>
      </c>
      <c r="R86" s="177" t="str">
        <f>IF($A86="","",IF(OR($C86=0,LEFT($A86,2)="T-"),"",IFERROR(_xlfn.LET(_xlpm.v,_xlfn.XLOOKUP($A86,Dashboard!$A$101:$A$350,Dashboard!$K$101:$K$350),IF(ISNUMBER(_xlpm.v),_xlpm.v,"")),"")))</f>
        <v/>
      </c>
      <c r="S86" s="211" t="str">
        <f t="shared" si="25"/>
        <v/>
      </c>
      <c r="T86" s="25" t="str">
        <f t="shared" si="26"/>
        <v/>
      </c>
      <c r="U86" s="364"/>
      <c r="BV86" s="20" t="str">
        <f>IF($A86="","",IFERROR(_xlfn.XLOOKUP("F-"&amp;$A86,'Feeder Schedule'!$B$5:$B$254,'Feeder Schedule'!$H$5:$H$254),""))</f>
        <v/>
      </c>
      <c r="BW86" s="20" t="str">
        <f>IF($A86="","",IFERROR(_xlfn.XLOOKUP("F-"&amp;$A86,'Feeder Schedule'!$B$5:$B$254,'Feeder Schedule'!$BV$5:$BV$254),""))</f>
        <v/>
      </c>
      <c r="BX86" s="20" t="str">
        <f>IF($A86="","",IFERROR(_xlfn.LET(_xlpm.v,_xlfn.XLOOKUP("F-"&amp;$A86,'Feeder Schedule'!$B$5:$B$254,'Feeder Schedule'!$M$5:$M$254),IF(OR(_xlpm.v="",_xlpm.v=0),Cfg_Conduit,_xlpm.v)),""))</f>
        <v/>
      </c>
      <c r="BY86" s="20" t="str">
        <f>IF($A86="","",IFERROR(_xlfn.XLOOKUP("F-"&amp;$A86,'Feeder Schedule'!$B$5:$B$254,'Feeder Schedule'!$O$5:$O$254),""))</f>
        <v/>
      </c>
      <c r="BZ86" s="20" t="str">
        <f>IF($A86="","",IFERROR(_xlfn.XLOOKUP("F-"&amp;$A86,'Feeder Schedule'!$B$5:$B$254,'Feeder Schedule'!$CH$5:$CH$254),""))</f>
        <v/>
      </c>
      <c r="CA86" s="20" t="str">
        <f>IF($A86="","",IFERROR(_xlfn.XLOOKUP("F-"&amp;$A86,'Feeder Schedule'!$B$5:$B$254,'Feeder Schedule'!$F$5:$F$254),""))</f>
        <v/>
      </c>
      <c r="CB86" s="20" t="str">
        <f>IF($A86="","",IFERROR(_xlfn.XLOOKUP("F-"&amp;$A86,'Feeder Schedule'!$B$5:$B$254,'Feeder Schedule'!$G$5:$G$254),""))</f>
        <v/>
      </c>
      <c r="CD86" s="20" t="str" cm="1">
        <f t="array" ref="CD86">IFERROR(IF($A86="","",INDEX(_xlfn.ANCHORARRAY($BK$4),ROW()-5,6)),"")</f>
        <v/>
      </c>
      <c r="CE86" s="20" t="str">
        <f t="shared" si="29"/>
        <v/>
      </c>
      <c r="CF86" s="20" t="str">
        <f t="shared" si="30"/>
        <v/>
      </c>
      <c r="CG86" s="20" t="str">
        <f t="shared" si="27"/>
        <v/>
      </c>
      <c r="CH86" s="20" t="str" cm="1">
        <f t="array" ref="CH86">IF(OR($A86="",$BZ86="",$BW86="",$BX86=""),"",_xlfn.LET(_xlpm.mag,IFERROR(_xlfn.XLOOKUP($BX86,Race_Raceway,Race_Mag),""),IF(_xlpm.mag="","",IFERROR(INDEX(Cond_Table,MATCH($BZ86,Cond_Size,0),IF(UPPER($BW86)="AL",IF(_xlpm.mag="Y",10,12),IF(_xlpm.mag="Y",9,11))),""))))</f>
        <v/>
      </c>
      <c r="CI86" s="20" t="str">
        <f t="shared" si="28"/>
        <v/>
      </c>
      <c r="CJ86" s="20" t="str">
        <f>IF(OR($A86="",LEFT($A86,2)&lt;&gt;"T-"),"",IFERROR(_xlfn.LET(_xlpm.fla,_xlfn.XLOOKUP($A86,Transformers!$A$6:$A$105,Transformers!$AK$6:$AK$105),_xlpm.z,_xlfn.XLOOKUP($A86,Transformers!$A$6:$A$105,Transformers!$AX$6:$AX$105),IF(OR(_xlpm.fla="",_xlpm.z="",_xlpm.z=0),"",_xlpm.fla*100/_xlpm.z)),""))</f>
        <v/>
      </c>
      <c r="CK86" s="20" t="str">
        <f t="shared" si="31"/>
        <v/>
      </c>
      <c r="CL86" s="20" t="str">
        <f t="shared" si="32"/>
        <v/>
      </c>
      <c r="CM86" s="373"/>
      <c r="CO86" s="20" t="str">
        <f>IF(OR($A86="",LEFT($A86,2)&lt;&gt;"T-"),"",_xlfn.LET(_xlpm.ph,IFERROR(_xlfn.XLOOKUP($A86,Transformers!$A$6:$A$105,Transformers!$C$6:$C$105),""),_xlpm.rr,IFERROR(_xlfn.XLOOKUP($A86,Transformers!$A$6:$A$105,Transformers!$AG$6:$AG$105),""),_xlpm.xx,IFERROR(_xlfn.XLOOKUP($A86,Transformers!$A$6:$A$105,Transformers!$AI$6:$AI$105),""),IF(OR(_xlpm.ph&lt;&gt;1,NOT(ISNUMBER(_xlpm.rr)),NOT(ISNUMBER(_xlpm.xx))),"",SQRT((1.5*_xlpm.rr)^2+(1.2*_xlpm.xx)^2))))</f>
        <v/>
      </c>
      <c r="CP86" s="20" t="str">
        <f t="shared" si="33"/>
        <v/>
      </c>
    </row>
    <row r="87" spans="1:94" ht="15" customHeight="1" x14ac:dyDescent="0.45">
      <c r="A87" s="275" t="str" cm="1">
        <f t="array" ref="A87">IFERROR(IF(INDEX(_xlfn.ANCHORARRAY($BK$4),ROW()-5,1)="","",INDEX(_xlfn.ANCHORARRAY($BK$4),ROW()-5,1)),"")</f>
        <v/>
      </c>
      <c r="B87" s="25" t="str" cm="1">
        <f t="array" ref="B87">IFERROR(IF($A87="","",INDEX(_xlfn.ANCHORARRAY($BK$4),ROW()-5,5)),"")</f>
        <v/>
      </c>
      <c r="C87" s="178" t="str" cm="1">
        <f t="array" ref="C87">IFERROR(IF($A87="","",INDEX(_xlfn.ANCHORARRAY($BK$4),ROW()-5,7)),"")</f>
        <v/>
      </c>
      <c r="D87" s="177" t="str" cm="1">
        <f t="array" ref="D87">IFERROR(IF($A87="","",INDEX(_xlfn.ANCHORARRAY($BK$4),ROW()-5,3)),"")</f>
        <v/>
      </c>
      <c r="E87" s="25" t="str" cm="1">
        <f t="array" ref="E87">IFERROR(IF($A87="","",INDEX(_xlfn.ANCHORARRAY($BK$4),ROW()-5,2)),"")</f>
        <v/>
      </c>
      <c r="F87" s="177" t="str">
        <f t="shared" si="17"/>
        <v/>
      </c>
      <c r="G87" s="275" t="str">
        <f t="shared" si="18"/>
        <v/>
      </c>
      <c r="H87" s="180" t="str">
        <f t="shared" si="19"/>
        <v/>
      </c>
      <c r="I87" s="180" t="str">
        <f t="shared" si="20"/>
        <v/>
      </c>
      <c r="J87" s="177" t="str">
        <f>_xlfn.LET(_xlpm.v,_xlfn.LET(_xlpm.base,IF($A87="","",IF($C87=0,IFERROR(_xlfn.XLOOKUP($A87,Util_Tags,Util_SCAEff),""),IF(LEFT($A87,2)="T-",IF($CJ87="","",$CJ87/(1+IF($CL87="",0,$CL87))),IF(OR($F87="",$I87=""),"",$F87*$I87)))),_xlpm.gtag,IF(OR($A87="",NOT(OR($B87="ATS",$B87="MTS"))),"",IFERROR(_xlfn.XLOOKUP($A87,Dashboard!$A$101:$A$350,Dashboard!$L$101:$L$350,"")&amp;"","")),_xlpm.gkva,IF(_xlpm.gtag="",0,IFERROR(N(_xlfn.XLOOKUP(_xlpm.gtag,Generator!$B$53:$B$58,Generator!$S$53:$S$58,0)),0)),_xlpm.gxd,IF(_xlpm.gtag="",0,IFERROR(N(_xlfn.XLOOKUP(_xlpm.gtag,Generator!$B$53:$B$58,Generator!$U$53:$U$58,0)),0)),_xlpm.gamp,IF(OR(_xlpm.gkva=0,_xlpm.gxd=0,N($D87)=0),0,ROUND(_xlpm.gkva*1000/(IF(N($CB87)=1,1,SQRT(3))*$D87*_xlpm.gxd),0)),IF(OR(_xlpm.gamp=0,NOT(ISNUMBER(_xlpm.base))),_xlpm.base,MAX(_xlpm.base,_xlpm.gamp))),_xlpm.ulim,IF(OR($A87="",$B87&lt;&gt;"UPS"),"",IFERROR(IF(_xlfn.XLOOKUP($A87,UPS!$B$57:$B$64,UPS!$E$57:$E$64,"")="None",_xlfn.XLOOKUP($A87,UPS!$B$57:$B$64,UPS!$U$57:$U$64,""),""),"")),IF(AND(ISNUMBER(_xlpm.v),ISNUMBER(_xlpm.ulim)),MIN(_xlpm.v,_xlpm.ulim),_xlpm.v))</f>
        <v/>
      </c>
      <c r="K87" s="176"/>
      <c r="L87" s="177" t="str">
        <f t="shared" si="21"/>
        <v/>
      </c>
      <c r="M87" s="177" t="str">
        <f t="shared" si="22"/>
        <v/>
      </c>
      <c r="N87" s="380" t="str">
        <f>IF($A87="","",IF($C87=0,_xlfn.LET(_xlpm.x,IFERROR(_xlfn.XLOOKUP($A87,Util_Tags,Util_XR),""),IF(N(_xlpm.x)=0,Xfmr_DefXR,_xlpm.x)),IF(LEFT($A87,2)="T-",IFERROR(_xlfn.XLOOKUP($A87,Transformers!$A$6:$A$105,Transformers!$AH$6:$AH$105),Xfmr_DefXR),IFERROR(_xlfn.XLOOKUP($E87,$A$6:$A$255,$N$6:$N$255),Xfmr_DefXR))))</f>
        <v/>
      </c>
      <c r="O87" s="177" t="str">
        <f t="shared" si="23"/>
        <v/>
      </c>
      <c r="P87" s="210" t="str">
        <f>IF($A87="","",IF(LEFT($A87,2)="T-",IF($CO87="","",_xlfn.LET(_xlpm.k,IFERROR(_xlfn.XLOOKUP($A87,Transformers!$A$6:$A$105,Transformers!$G$6:$G$105),""),_xlpm.sv,IFERROR(_xlfn.XLOOKUP($A87,Transformers!$A$6:$A$105,Transformers!$E$6:$E$105),""),IF(OR(NOT(ISNUMBER(_xlpm.k)),NOT(ISNUMBER(_xlpm.sv)),_xlpm.sv=0),"",_xlfn.LET(_xlpm.iInf,(_xlpm.k*1000/(_xlpm.sv/2))*100/$CO87,_xlpm.pri,IF(OR($CK87="",$CK87=0),"",$CK87/2),_xlpm.base,IF(_xlpm.pri="",_xlpm.iInf,_xlpm.iInf/(1+_xlpm.iInf/_xlpm.pri)),_xlpm.base+IF($L87="",0,$L87))))),IF($CP87="","",_xlfn.LET(_xlpm.pI,IFERROR(_xlfn.XLOOKUP($E87,$A$6:$A$255,$P$6:$P$255),""),IF(NOT(ISNUMBER(_xlpm.pI)),"",_xlpm.pI/(1+$CP87)+IF($L87="",0,$L87))))))</f>
        <v/>
      </c>
      <c r="Q87" s="210" t="str">
        <f t="shared" si="24"/>
        <v/>
      </c>
      <c r="R87" s="177" t="str">
        <f>IF($A87="","",IF(OR($C87=0,LEFT($A87,2)="T-"),"",IFERROR(_xlfn.LET(_xlpm.v,_xlfn.XLOOKUP($A87,Dashboard!$A$101:$A$350,Dashboard!$K$101:$K$350),IF(ISNUMBER(_xlpm.v),_xlpm.v,"")),"")))</f>
        <v/>
      </c>
      <c r="S87" s="211" t="str">
        <f t="shared" si="25"/>
        <v/>
      </c>
      <c r="T87" s="25" t="str">
        <f t="shared" si="26"/>
        <v/>
      </c>
      <c r="U87" s="364"/>
      <c r="BV87" s="20" t="str">
        <f>IF($A87="","",IFERROR(_xlfn.XLOOKUP("F-"&amp;$A87,'Feeder Schedule'!$B$5:$B$254,'Feeder Schedule'!$H$5:$H$254),""))</f>
        <v/>
      </c>
      <c r="BW87" s="20" t="str">
        <f>IF($A87="","",IFERROR(_xlfn.XLOOKUP("F-"&amp;$A87,'Feeder Schedule'!$B$5:$B$254,'Feeder Schedule'!$BV$5:$BV$254),""))</f>
        <v/>
      </c>
      <c r="BX87" s="20" t="str">
        <f>IF($A87="","",IFERROR(_xlfn.LET(_xlpm.v,_xlfn.XLOOKUP("F-"&amp;$A87,'Feeder Schedule'!$B$5:$B$254,'Feeder Schedule'!$M$5:$M$254),IF(OR(_xlpm.v="",_xlpm.v=0),Cfg_Conduit,_xlpm.v)),""))</f>
        <v/>
      </c>
      <c r="BY87" s="20" t="str">
        <f>IF($A87="","",IFERROR(_xlfn.XLOOKUP("F-"&amp;$A87,'Feeder Schedule'!$B$5:$B$254,'Feeder Schedule'!$O$5:$O$254),""))</f>
        <v/>
      </c>
      <c r="BZ87" s="20" t="str">
        <f>IF($A87="","",IFERROR(_xlfn.XLOOKUP("F-"&amp;$A87,'Feeder Schedule'!$B$5:$B$254,'Feeder Schedule'!$CH$5:$CH$254),""))</f>
        <v/>
      </c>
      <c r="CA87" s="20" t="str">
        <f>IF($A87="","",IFERROR(_xlfn.XLOOKUP("F-"&amp;$A87,'Feeder Schedule'!$B$5:$B$254,'Feeder Schedule'!$F$5:$F$254),""))</f>
        <v/>
      </c>
      <c r="CB87" s="20" t="str">
        <f>IF($A87="","",IFERROR(_xlfn.XLOOKUP("F-"&amp;$A87,'Feeder Schedule'!$B$5:$B$254,'Feeder Schedule'!$G$5:$G$254),""))</f>
        <v/>
      </c>
      <c r="CD87" s="20" t="str" cm="1">
        <f t="array" ref="CD87">IFERROR(IF($A87="","",INDEX(_xlfn.ANCHORARRAY($BK$4),ROW()-5,6)),"")</f>
        <v/>
      </c>
      <c r="CE87" s="20" t="str">
        <f t="shared" si="29"/>
        <v/>
      </c>
      <c r="CF87" s="20" t="str">
        <f t="shared" si="30"/>
        <v/>
      </c>
      <c r="CG87" s="20" t="str">
        <f t="shared" si="27"/>
        <v/>
      </c>
      <c r="CH87" s="20" t="str" cm="1">
        <f t="array" ref="CH87">IF(OR($A87="",$BZ87="",$BW87="",$BX87=""),"",_xlfn.LET(_xlpm.mag,IFERROR(_xlfn.XLOOKUP($BX87,Race_Raceway,Race_Mag),""),IF(_xlpm.mag="","",IFERROR(INDEX(Cond_Table,MATCH($BZ87,Cond_Size,0),IF(UPPER($BW87)="AL",IF(_xlpm.mag="Y",10,12),IF(_xlpm.mag="Y",9,11))),""))))</f>
        <v/>
      </c>
      <c r="CI87" s="20" t="str">
        <f t="shared" si="28"/>
        <v/>
      </c>
      <c r="CJ87" s="20" t="str">
        <f>IF(OR($A87="",LEFT($A87,2)&lt;&gt;"T-"),"",IFERROR(_xlfn.LET(_xlpm.fla,_xlfn.XLOOKUP($A87,Transformers!$A$6:$A$105,Transformers!$AK$6:$AK$105),_xlpm.z,_xlfn.XLOOKUP($A87,Transformers!$A$6:$A$105,Transformers!$AX$6:$AX$105),IF(OR(_xlpm.fla="",_xlpm.z="",_xlpm.z=0),"",_xlpm.fla*100/_xlpm.z)),""))</f>
        <v/>
      </c>
      <c r="CK87" s="20" t="str">
        <f t="shared" si="31"/>
        <v/>
      </c>
      <c r="CL87" s="20" t="str">
        <f t="shared" si="32"/>
        <v/>
      </c>
      <c r="CM87" s="373"/>
      <c r="CO87" s="20" t="str">
        <f>IF(OR($A87="",LEFT($A87,2)&lt;&gt;"T-"),"",_xlfn.LET(_xlpm.ph,IFERROR(_xlfn.XLOOKUP($A87,Transformers!$A$6:$A$105,Transformers!$C$6:$C$105),""),_xlpm.rr,IFERROR(_xlfn.XLOOKUP($A87,Transformers!$A$6:$A$105,Transformers!$AG$6:$AG$105),""),_xlpm.xx,IFERROR(_xlfn.XLOOKUP($A87,Transformers!$A$6:$A$105,Transformers!$AI$6:$AI$105),""),IF(OR(_xlpm.ph&lt;&gt;1,NOT(ISNUMBER(_xlpm.rr)),NOT(ISNUMBER(_xlpm.xx))),"",SQRT((1.5*_xlpm.rr)^2+(1.2*_xlpm.xx)^2))))</f>
        <v/>
      </c>
      <c r="CP87" s="20" t="str">
        <f t="shared" si="33"/>
        <v/>
      </c>
    </row>
    <row r="88" spans="1:94" ht="15" customHeight="1" x14ac:dyDescent="0.45">
      <c r="A88" s="275" t="str" cm="1">
        <f t="array" ref="A88">IFERROR(IF(INDEX(_xlfn.ANCHORARRAY($BK$4),ROW()-5,1)="","",INDEX(_xlfn.ANCHORARRAY($BK$4),ROW()-5,1)),"")</f>
        <v/>
      </c>
      <c r="B88" s="25" t="str" cm="1">
        <f t="array" ref="B88">IFERROR(IF($A88="","",INDEX(_xlfn.ANCHORARRAY($BK$4),ROW()-5,5)),"")</f>
        <v/>
      </c>
      <c r="C88" s="178" t="str" cm="1">
        <f t="array" ref="C88">IFERROR(IF($A88="","",INDEX(_xlfn.ANCHORARRAY($BK$4),ROW()-5,7)),"")</f>
        <v/>
      </c>
      <c r="D88" s="177" t="str" cm="1">
        <f t="array" ref="D88">IFERROR(IF($A88="","",INDEX(_xlfn.ANCHORARRAY($BK$4),ROW()-5,3)),"")</f>
        <v/>
      </c>
      <c r="E88" s="25" t="str" cm="1">
        <f t="array" ref="E88">IFERROR(IF($A88="","",INDEX(_xlfn.ANCHORARRAY($BK$4),ROW()-5,2)),"")</f>
        <v/>
      </c>
      <c r="F88" s="177" t="str">
        <f t="shared" si="17"/>
        <v/>
      </c>
      <c r="G88" s="275" t="str">
        <f t="shared" si="18"/>
        <v/>
      </c>
      <c r="H88" s="180" t="str">
        <f t="shared" si="19"/>
        <v/>
      </c>
      <c r="I88" s="180" t="str">
        <f t="shared" si="20"/>
        <v/>
      </c>
      <c r="J88" s="177" t="str">
        <f>_xlfn.LET(_xlpm.v,_xlfn.LET(_xlpm.base,IF($A88="","",IF($C88=0,IFERROR(_xlfn.XLOOKUP($A88,Util_Tags,Util_SCAEff),""),IF(LEFT($A88,2)="T-",IF($CJ88="","",$CJ88/(1+IF($CL88="",0,$CL88))),IF(OR($F88="",$I88=""),"",$F88*$I88)))),_xlpm.gtag,IF(OR($A88="",NOT(OR($B88="ATS",$B88="MTS"))),"",IFERROR(_xlfn.XLOOKUP($A88,Dashboard!$A$101:$A$350,Dashboard!$L$101:$L$350,"")&amp;"","")),_xlpm.gkva,IF(_xlpm.gtag="",0,IFERROR(N(_xlfn.XLOOKUP(_xlpm.gtag,Generator!$B$53:$B$58,Generator!$S$53:$S$58,0)),0)),_xlpm.gxd,IF(_xlpm.gtag="",0,IFERROR(N(_xlfn.XLOOKUP(_xlpm.gtag,Generator!$B$53:$B$58,Generator!$U$53:$U$58,0)),0)),_xlpm.gamp,IF(OR(_xlpm.gkva=0,_xlpm.gxd=0,N($D88)=0),0,ROUND(_xlpm.gkva*1000/(IF(N($CB88)=1,1,SQRT(3))*$D88*_xlpm.gxd),0)),IF(OR(_xlpm.gamp=0,NOT(ISNUMBER(_xlpm.base))),_xlpm.base,MAX(_xlpm.base,_xlpm.gamp))),_xlpm.ulim,IF(OR($A88="",$B88&lt;&gt;"UPS"),"",IFERROR(IF(_xlfn.XLOOKUP($A88,UPS!$B$57:$B$64,UPS!$E$57:$E$64,"")="None",_xlfn.XLOOKUP($A88,UPS!$B$57:$B$64,UPS!$U$57:$U$64,""),""),"")),IF(AND(ISNUMBER(_xlpm.v),ISNUMBER(_xlpm.ulim)),MIN(_xlpm.v,_xlpm.ulim),_xlpm.v))</f>
        <v/>
      </c>
      <c r="K88" s="176"/>
      <c r="L88" s="177" t="str">
        <f t="shared" si="21"/>
        <v/>
      </c>
      <c r="M88" s="177" t="str">
        <f t="shared" si="22"/>
        <v/>
      </c>
      <c r="N88" s="380" t="str">
        <f>IF($A88="","",IF($C88=0,_xlfn.LET(_xlpm.x,IFERROR(_xlfn.XLOOKUP($A88,Util_Tags,Util_XR),""),IF(N(_xlpm.x)=0,Xfmr_DefXR,_xlpm.x)),IF(LEFT($A88,2)="T-",IFERROR(_xlfn.XLOOKUP($A88,Transformers!$A$6:$A$105,Transformers!$AH$6:$AH$105),Xfmr_DefXR),IFERROR(_xlfn.XLOOKUP($E88,$A$6:$A$255,$N$6:$N$255),Xfmr_DefXR))))</f>
        <v/>
      </c>
      <c r="O88" s="177" t="str">
        <f t="shared" si="23"/>
        <v/>
      </c>
      <c r="P88" s="210" t="str">
        <f>IF($A88="","",IF(LEFT($A88,2)="T-",IF($CO88="","",_xlfn.LET(_xlpm.k,IFERROR(_xlfn.XLOOKUP($A88,Transformers!$A$6:$A$105,Transformers!$G$6:$G$105),""),_xlpm.sv,IFERROR(_xlfn.XLOOKUP($A88,Transformers!$A$6:$A$105,Transformers!$E$6:$E$105),""),IF(OR(NOT(ISNUMBER(_xlpm.k)),NOT(ISNUMBER(_xlpm.sv)),_xlpm.sv=0),"",_xlfn.LET(_xlpm.iInf,(_xlpm.k*1000/(_xlpm.sv/2))*100/$CO88,_xlpm.pri,IF(OR($CK88="",$CK88=0),"",$CK88/2),_xlpm.base,IF(_xlpm.pri="",_xlpm.iInf,_xlpm.iInf/(1+_xlpm.iInf/_xlpm.pri)),_xlpm.base+IF($L88="",0,$L88))))),IF($CP88="","",_xlfn.LET(_xlpm.pI,IFERROR(_xlfn.XLOOKUP($E88,$A$6:$A$255,$P$6:$P$255),""),IF(NOT(ISNUMBER(_xlpm.pI)),"",_xlpm.pI/(1+$CP88)+IF($L88="",0,$L88))))))</f>
        <v/>
      </c>
      <c r="Q88" s="210" t="str">
        <f t="shared" si="24"/>
        <v/>
      </c>
      <c r="R88" s="177" t="str">
        <f>IF($A88="","",IF(OR($C88=0,LEFT($A88,2)="T-"),"",IFERROR(_xlfn.LET(_xlpm.v,_xlfn.XLOOKUP($A88,Dashboard!$A$101:$A$350,Dashboard!$K$101:$K$350),IF(ISNUMBER(_xlpm.v),_xlpm.v,"")),"")))</f>
        <v/>
      </c>
      <c r="S88" s="211" t="str">
        <f t="shared" si="25"/>
        <v/>
      </c>
      <c r="T88" s="25" t="str">
        <f t="shared" si="26"/>
        <v/>
      </c>
      <c r="U88" s="364"/>
      <c r="BV88" s="20" t="str">
        <f>IF($A88="","",IFERROR(_xlfn.XLOOKUP("F-"&amp;$A88,'Feeder Schedule'!$B$5:$B$254,'Feeder Schedule'!$H$5:$H$254),""))</f>
        <v/>
      </c>
      <c r="BW88" s="20" t="str">
        <f>IF($A88="","",IFERROR(_xlfn.XLOOKUP("F-"&amp;$A88,'Feeder Schedule'!$B$5:$B$254,'Feeder Schedule'!$BV$5:$BV$254),""))</f>
        <v/>
      </c>
      <c r="BX88" s="20" t="str">
        <f>IF($A88="","",IFERROR(_xlfn.LET(_xlpm.v,_xlfn.XLOOKUP("F-"&amp;$A88,'Feeder Schedule'!$B$5:$B$254,'Feeder Schedule'!$M$5:$M$254),IF(OR(_xlpm.v="",_xlpm.v=0),Cfg_Conduit,_xlpm.v)),""))</f>
        <v/>
      </c>
      <c r="BY88" s="20" t="str">
        <f>IF($A88="","",IFERROR(_xlfn.XLOOKUP("F-"&amp;$A88,'Feeder Schedule'!$B$5:$B$254,'Feeder Schedule'!$O$5:$O$254),""))</f>
        <v/>
      </c>
      <c r="BZ88" s="20" t="str">
        <f>IF($A88="","",IFERROR(_xlfn.XLOOKUP("F-"&amp;$A88,'Feeder Schedule'!$B$5:$B$254,'Feeder Schedule'!$CH$5:$CH$254),""))</f>
        <v/>
      </c>
      <c r="CA88" s="20" t="str">
        <f>IF($A88="","",IFERROR(_xlfn.XLOOKUP("F-"&amp;$A88,'Feeder Schedule'!$B$5:$B$254,'Feeder Schedule'!$F$5:$F$254),""))</f>
        <v/>
      </c>
      <c r="CB88" s="20" t="str">
        <f>IF($A88="","",IFERROR(_xlfn.XLOOKUP("F-"&amp;$A88,'Feeder Schedule'!$B$5:$B$254,'Feeder Schedule'!$G$5:$G$254),""))</f>
        <v/>
      </c>
      <c r="CD88" s="20" t="str" cm="1">
        <f t="array" ref="CD88">IFERROR(IF($A88="","",INDEX(_xlfn.ANCHORARRAY($BK$4),ROW()-5,6)),"")</f>
        <v/>
      </c>
      <c r="CE88" s="20" t="str">
        <f t="shared" si="29"/>
        <v/>
      </c>
      <c r="CF88" s="20" t="str">
        <f t="shared" si="30"/>
        <v/>
      </c>
      <c r="CG88" s="20" t="str">
        <f t="shared" si="27"/>
        <v/>
      </c>
      <c r="CH88" s="20" t="str" cm="1">
        <f t="array" ref="CH88">IF(OR($A88="",$BZ88="",$BW88="",$BX88=""),"",_xlfn.LET(_xlpm.mag,IFERROR(_xlfn.XLOOKUP($BX88,Race_Raceway,Race_Mag),""),IF(_xlpm.mag="","",IFERROR(INDEX(Cond_Table,MATCH($BZ88,Cond_Size,0),IF(UPPER($BW88)="AL",IF(_xlpm.mag="Y",10,12),IF(_xlpm.mag="Y",9,11))),""))))</f>
        <v/>
      </c>
      <c r="CI88" s="20" t="str">
        <f t="shared" si="28"/>
        <v/>
      </c>
      <c r="CJ88" s="20" t="str">
        <f>IF(OR($A88="",LEFT($A88,2)&lt;&gt;"T-"),"",IFERROR(_xlfn.LET(_xlpm.fla,_xlfn.XLOOKUP($A88,Transformers!$A$6:$A$105,Transformers!$AK$6:$AK$105),_xlpm.z,_xlfn.XLOOKUP($A88,Transformers!$A$6:$A$105,Transformers!$AX$6:$AX$105),IF(OR(_xlpm.fla="",_xlpm.z="",_xlpm.z=0),"",_xlpm.fla*100/_xlpm.z)),""))</f>
        <v/>
      </c>
      <c r="CK88" s="20" t="str">
        <f t="shared" si="31"/>
        <v/>
      </c>
      <c r="CL88" s="20" t="str">
        <f t="shared" si="32"/>
        <v/>
      </c>
      <c r="CM88" s="373"/>
      <c r="CO88" s="20" t="str">
        <f>IF(OR($A88="",LEFT($A88,2)&lt;&gt;"T-"),"",_xlfn.LET(_xlpm.ph,IFERROR(_xlfn.XLOOKUP($A88,Transformers!$A$6:$A$105,Transformers!$C$6:$C$105),""),_xlpm.rr,IFERROR(_xlfn.XLOOKUP($A88,Transformers!$A$6:$A$105,Transformers!$AG$6:$AG$105),""),_xlpm.xx,IFERROR(_xlfn.XLOOKUP($A88,Transformers!$A$6:$A$105,Transformers!$AI$6:$AI$105),""),IF(OR(_xlpm.ph&lt;&gt;1,NOT(ISNUMBER(_xlpm.rr)),NOT(ISNUMBER(_xlpm.xx))),"",SQRT((1.5*_xlpm.rr)^2+(1.2*_xlpm.xx)^2))))</f>
        <v/>
      </c>
      <c r="CP88" s="20" t="str">
        <f t="shared" si="33"/>
        <v/>
      </c>
    </row>
    <row r="89" spans="1:94" ht="15" customHeight="1" x14ac:dyDescent="0.45">
      <c r="A89" s="275" t="str" cm="1">
        <f t="array" ref="A89">IFERROR(IF(INDEX(_xlfn.ANCHORARRAY($BK$4),ROW()-5,1)="","",INDEX(_xlfn.ANCHORARRAY($BK$4),ROW()-5,1)),"")</f>
        <v/>
      </c>
      <c r="B89" s="25" t="str" cm="1">
        <f t="array" ref="B89">IFERROR(IF($A89="","",INDEX(_xlfn.ANCHORARRAY($BK$4),ROW()-5,5)),"")</f>
        <v/>
      </c>
      <c r="C89" s="178" t="str" cm="1">
        <f t="array" ref="C89">IFERROR(IF($A89="","",INDEX(_xlfn.ANCHORARRAY($BK$4),ROW()-5,7)),"")</f>
        <v/>
      </c>
      <c r="D89" s="177" t="str" cm="1">
        <f t="array" ref="D89">IFERROR(IF($A89="","",INDEX(_xlfn.ANCHORARRAY($BK$4),ROW()-5,3)),"")</f>
        <v/>
      </c>
      <c r="E89" s="25" t="str" cm="1">
        <f t="array" ref="E89">IFERROR(IF($A89="","",INDEX(_xlfn.ANCHORARRAY($BK$4),ROW()-5,2)),"")</f>
        <v/>
      </c>
      <c r="F89" s="177" t="str">
        <f t="shared" si="17"/>
        <v/>
      </c>
      <c r="G89" s="275" t="str">
        <f t="shared" si="18"/>
        <v/>
      </c>
      <c r="H89" s="180" t="str">
        <f t="shared" si="19"/>
        <v/>
      </c>
      <c r="I89" s="180" t="str">
        <f t="shared" si="20"/>
        <v/>
      </c>
      <c r="J89" s="177" t="str">
        <f>_xlfn.LET(_xlpm.v,_xlfn.LET(_xlpm.base,IF($A89="","",IF($C89=0,IFERROR(_xlfn.XLOOKUP($A89,Util_Tags,Util_SCAEff),""),IF(LEFT($A89,2)="T-",IF($CJ89="","",$CJ89/(1+IF($CL89="",0,$CL89))),IF(OR($F89="",$I89=""),"",$F89*$I89)))),_xlpm.gtag,IF(OR($A89="",NOT(OR($B89="ATS",$B89="MTS"))),"",IFERROR(_xlfn.XLOOKUP($A89,Dashboard!$A$101:$A$350,Dashboard!$L$101:$L$350,"")&amp;"","")),_xlpm.gkva,IF(_xlpm.gtag="",0,IFERROR(N(_xlfn.XLOOKUP(_xlpm.gtag,Generator!$B$53:$B$58,Generator!$S$53:$S$58,0)),0)),_xlpm.gxd,IF(_xlpm.gtag="",0,IFERROR(N(_xlfn.XLOOKUP(_xlpm.gtag,Generator!$B$53:$B$58,Generator!$U$53:$U$58,0)),0)),_xlpm.gamp,IF(OR(_xlpm.gkva=0,_xlpm.gxd=0,N($D89)=0),0,ROUND(_xlpm.gkva*1000/(IF(N($CB89)=1,1,SQRT(3))*$D89*_xlpm.gxd),0)),IF(OR(_xlpm.gamp=0,NOT(ISNUMBER(_xlpm.base))),_xlpm.base,MAX(_xlpm.base,_xlpm.gamp))),_xlpm.ulim,IF(OR($A89="",$B89&lt;&gt;"UPS"),"",IFERROR(IF(_xlfn.XLOOKUP($A89,UPS!$B$57:$B$64,UPS!$E$57:$E$64,"")="None",_xlfn.XLOOKUP($A89,UPS!$B$57:$B$64,UPS!$U$57:$U$64,""),""),"")),IF(AND(ISNUMBER(_xlpm.v),ISNUMBER(_xlpm.ulim)),MIN(_xlpm.v,_xlpm.ulim),_xlpm.v))</f>
        <v/>
      </c>
      <c r="K89" s="176"/>
      <c r="L89" s="177" t="str">
        <f t="shared" si="21"/>
        <v/>
      </c>
      <c r="M89" s="177" t="str">
        <f t="shared" si="22"/>
        <v/>
      </c>
      <c r="N89" s="380" t="str">
        <f>IF($A89="","",IF($C89=0,_xlfn.LET(_xlpm.x,IFERROR(_xlfn.XLOOKUP($A89,Util_Tags,Util_XR),""),IF(N(_xlpm.x)=0,Xfmr_DefXR,_xlpm.x)),IF(LEFT($A89,2)="T-",IFERROR(_xlfn.XLOOKUP($A89,Transformers!$A$6:$A$105,Transformers!$AH$6:$AH$105),Xfmr_DefXR),IFERROR(_xlfn.XLOOKUP($E89,$A$6:$A$255,$N$6:$N$255),Xfmr_DefXR))))</f>
        <v/>
      </c>
      <c r="O89" s="177" t="str">
        <f t="shared" si="23"/>
        <v/>
      </c>
      <c r="P89" s="210" t="str">
        <f>IF($A89="","",IF(LEFT($A89,2)="T-",IF($CO89="","",_xlfn.LET(_xlpm.k,IFERROR(_xlfn.XLOOKUP($A89,Transformers!$A$6:$A$105,Transformers!$G$6:$G$105),""),_xlpm.sv,IFERROR(_xlfn.XLOOKUP($A89,Transformers!$A$6:$A$105,Transformers!$E$6:$E$105),""),IF(OR(NOT(ISNUMBER(_xlpm.k)),NOT(ISNUMBER(_xlpm.sv)),_xlpm.sv=0),"",_xlfn.LET(_xlpm.iInf,(_xlpm.k*1000/(_xlpm.sv/2))*100/$CO89,_xlpm.pri,IF(OR($CK89="",$CK89=0),"",$CK89/2),_xlpm.base,IF(_xlpm.pri="",_xlpm.iInf,_xlpm.iInf/(1+_xlpm.iInf/_xlpm.pri)),_xlpm.base+IF($L89="",0,$L89))))),IF($CP89="","",_xlfn.LET(_xlpm.pI,IFERROR(_xlfn.XLOOKUP($E89,$A$6:$A$255,$P$6:$P$255),""),IF(NOT(ISNUMBER(_xlpm.pI)),"",_xlpm.pI/(1+$CP89)+IF($L89="",0,$L89))))))</f>
        <v/>
      </c>
      <c r="Q89" s="210" t="str">
        <f t="shared" si="24"/>
        <v/>
      </c>
      <c r="R89" s="177" t="str">
        <f>IF($A89="","",IF(OR($C89=0,LEFT($A89,2)="T-"),"",IFERROR(_xlfn.LET(_xlpm.v,_xlfn.XLOOKUP($A89,Dashboard!$A$101:$A$350,Dashboard!$K$101:$K$350),IF(ISNUMBER(_xlpm.v),_xlpm.v,"")),"")))</f>
        <v/>
      </c>
      <c r="S89" s="211" t="str">
        <f t="shared" si="25"/>
        <v/>
      </c>
      <c r="T89" s="25" t="str">
        <f t="shared" si="26"/>
        <v/>
      </c>
      <c r="U89" s="364"/>
      <c r="BV89" s="20" t="str">
        <f>IF($A89="","",IFERROR(_xlfn.XLOOKUP("F-"&amp;$A89,'Feeder Schedule'!$B$5:$B$254,'Feeder Schedule'!$H$5:$H$254),""))</f>
        <v/>
      </c>
      <c r="BW89" s="20" t="str">
        <f>IF($A89="","",IFERROR(_xlfn.XLOOKUP("F-"&amp;$A89,'Feeder Schedule'!$B$5:$B$254,'Feeder Schedule'!$BV$5:$BV$254),""))</f>
        <v/>
      </c>
      <c r="BX89" s="20" t="str">
        <f>IF($A89="","",IFERROR(_xlfn.LET(_xlpm.v,_xlfn.XLOOKUP("F-"&amp;$A89,'Feeder Schedule'!$B$5:$B$254,'Feeder Schedule'!$M$5:$M$254),IF(OR(_xlpm.v="",_xlpm.v=0),Cfg_Conduit,_xlpm.v)),""))</f>
        <v/>
      </c>
      <c r="BY89" s="20" t="str">
        <f>IF($A89="","",IFERROR(_xlfn.XLOOKUP("F-"&amp;$A89,'Feeder Schedule'!$B$5:$B$254,'Feeder Schedule'!$O$5:$O$254),""))</f>
        <v/>
      </c>
      <c r="BZ89" s="20" t="str">
        <f>IF($A89="","",IFERROR(_xlfn.XLOOKUP("F-"&amp;$A89,'Feeder Schedule'!$B$5:$B$254,'Feeder Schedule'!$CH$5:$CH$254),""))</f>
        <v/>
      </c>
      <c r="CA89" s="20" t="str">
        <f>IF($A89="","",IFERROR(_xlfn.XLOOKUP("F-"&amp;$A89,'Feeder Schedule'!$B$5:$B$254,'Feeder Schedule'!$F$5:$F$254),""))</f>
        <v/>
      </c>
      <c r="CB89" s="20" t="str">
        <f>IF($A89="","",IFERROR(_xlfn.XLOOKUP("F-"&amp;$A89,'Feeder Schedule'!$B$5:$B$254,'Feeder Schedule'!$G$5:$G$254),""))</f>
        <v/>
      </c>
      <c r="CD89" s="20" t="str" cm="1">
        <f t="array" ref="CD89">IFERROR(IF($A89="","",INDEX(_xlfn.ANCHORARRAY($BK$4),ROW()-5,6)),"")</f>
        <v/>
      </c>
      <c r="CE89" s="20" t="str">
        <f t="shared" si="29"/>
        <v/>
      </c>
      <c r="CF89" s="20" t="str">
        <f t="shared" si="30"/>
        <v/>
      </c>
      <c r="CG89" s="20" t="str">
        <f t="shared" si="27"/>
        <v/>
      </c>
      <c r="CH89" s="20" t="str" cm="1">
        <f t="array" ref="CH89">IF(OR($A89="",$BZ89="",$BW89="",$BX89=""),"",_xlfn.LET(_xlpm.mag,IFERROR(_xlfn.XLOOKUP($BX89,Race_Raceway,Race_Mag),""),IF(_xlpm.mag="","",IFERROR(INDEX(Cond_Table,MATCH($BZ89,Cond_Size,0),IF(UPPER($BW89)="AL",IF(_xlpm.mag="Y",10,12),IF(_xlpm.mag="Y",9,11))),""))))</f>
        <v/>
      </c>
      <c r="CI89" s="20" t="str">
        <f t="shared" si="28"/>
        <v/>
      </c>
      <c r="CJ89" s="20" t="str">
        <f>IF(OR($A89="",LEFT($A89,2)&lt;&gt;"T-"),"",IFERROR(_xlfn.LET(_xlpm.fla,_xlfn.XLOOKUP($A89,Transformers!$A$6:$A$105,Transformers!$AK$6:$AK$105),_xlpm.z,_xlfn.XLOOKUP($A89,Transformers!$A$6:$A$105,Transformers!$AX$6:$AX$105),IF(OR(_xlpm.fla="",_xlpm.z="",_xlpm.z=0),"",_xlpm.fla*100/_xlpm.z)),""))</f>
        <v/>
      </c>
      <c r="CK89" s="20" t="str">
        <f t="shared" si="31"/>
        <v/>
      </c>
      <c r="CL89" s="20" t="str">
        <f t="shared" si="32"/>
        <v/>
      </c>
      <c r="CM89" s="373"/>
      <c r="CO89" s="20" t="str">
        <f>IF(OR($A89="",LEFT($A89,2)&lt;&gt;"T-"),"",_xlfn.LET(_xlpm.ph,IFERROR(_xlfn.XLOOKUP($A89,Transformers!$A$6:$A$105,Transformers!$C$6:$C$105),""),_xlpm.rr,IFERROR(_xlfn.XLOOKUP($A89,Transformers!$A$6:$A$105,Transformers!$AG$6:$AG$105),""),_xlpm.xx,IFERROR(_xlfn.XLOOKUP($A89,Transformers!$A$6:$A$105,Transformers!$AI$6:$AI$105),""),IF(OR(_xlpm.ph&lt;&gt;1,NOT(ISNUMBER(_xlpm.rr)),NOT(ISNUMBER(_xlpm.xx))),"",SQRT((1.5*_xlpm.rr)^2+(1.2*_xlpm.xx)^2))))</f>
        <v/>
      </c>
      <c r="CP89" s="20" t="str">
        <f t="shared" si="33"/>
        <v/>
      </c>
    </row>
    <row r="90" spans="1:94" ht="15" customHeight="1" x14ac:dyDescent="0.45">
      <c r="A90" s="275" t="str" cm="1">
        <f t="array" ref="A90">IFERROR(IF(INDEX(_xlfn.ANCHORARRAY($BK$4),ROW()-5,1)="","",INDEX(_xlfn.ANCHORARRAY($BK$4),ROW()-5,1)),"")</f>
        <v/>
      </c>
      <c r="B90" s="25" t="str" cm="1">
        <f t="array" ref="B90">IFERROR(IF($A90="","",INDEX(_xlfn.ANCHORARRAY($BK$4),ROW()-5,5)),"")</f>
        <v/>
      </c>
      <c r="C90" s="178" t="str" cm="1">
        <f t="array" ref="C90">IFERROR(IF($A90="","",INDEX(_xlfn.ANCHORARRAY($BK$4),ROW()-5,7)),"")</f>
        <v/>
      </c>
      <c r="D90" s="177" t="str" cm="1">
        <f t="array" ref="D90">IFERROR(IF($A90="","",INDEX(_xlfn.ANCHORARRAY($BK$4),ROW()-5,3)),"")</f>
        <v/>
      </c>
      <c r="E90" s="25" t="str" cm="1">
        <f t="array" ref="E90">IFERROR(IF($A90="","",INDEX(_xlfn.ANCHORARRAY($BK$4),ROW()-5,2)),"")</f>
        <v/>
      </c>
      <c r="F90" s="177" t="str">
        <f t="shared" si="17"/>
        <v/>
      </c>
      <c r="G90" s="275" t="str">
        <f t="shared" si="18"/>
        <v/>
      </c>
      <c r="H90" s="180" t="str">
        <f t="shared" si="19"/>
        <v/>
      </c>
      <c r="I90" s="180" t="str">
        <f t="shared" si="20"/>
        <v/>
      </c>
      <c r="J90" s="177" t="str">
        <f>_xlfn.LET(_xlpm.v,_xlfn.LET(_xlpm.base,IF($A90="","",IF($C90=0,IFERROR(_xlfn.XLOOKUP($A90,Util_Tags,Util_SCAEff),""),IF(LEFT($A90,2)="T-",IF($CJ90="","",$CJ90/(1+IF($CL90="",0,$CL90))),IF(OR($F90="",$I90=""),"",$F90*$I90)))),_xlpm.gtag,IF(OR($A90="",NOT(OR($B90="ATS",$B90="MTS"))),"",IFERROR(_xlfn.XLOOKUP($A90,Dashboard!$A$101:$A$350,Dashboard!$L$101:$L$350,"")&amp;"","")),_xlpm.gkva,IF(_xlpm.gtag="",0,IFERROR(N(_xlfn.XLOOKUP(_xlpm.gtag,Generator!$B$53:$B$58,Generator!$S$53:$S$58,0)),0)),_xlpm.gxd,IF(_xlpm.gtag="",0,IFERROR(N(_xlfn.XLOOKUP(_xlpm.gtag,Generator!$B$53:$B$58,Generator!$U$53:$U$58,0)),0)),_xlpm.gamp,IF(OR(_xlpm.gkva=0,_xlpm.gxd=0,N($D90)=0),0,ROUND(_xlpm.gkva*1000/(IF(N($CB90)=1,1,SQRT(3))*$D90*_xlpm.gxd),0)),IF(OR(_xlpm.gamp=0,NOT(ISNUMBER(_xlpm.base))),_xlpm.base,MAX(_xlpm.base,_xlpm.gamp))),_xlpm.ulim,IF(OR($A90="",$B90&lt;&gt;"UPS"),"",IFERROR(IF(_xlfn.XLOOKUP($A90,UPS!$B$57:$B$64,UPS!$E$57:$E$64,"")="None",_xlfn.XLOOKUP($A90,UPS!$B$57:$B$64,UPS!$U$57:$U$64,""),""),"")),IF(AND(ISNUMBER(_xlpm.v),ISNUMBER(_xlpm.ulim)),MIN(_xlpm.v,_xlpm.ulim),_xlpm.v))</f>
        <v/>
      </c>
      <c r="K90" s="176"/>
      <c r="L90" s="177" t="str">
        <f t="shared" si="21"/>
        <v/>
      </c>
      <c r="M90" s="177" t="str">
        <f t="shared" si="22"/>
        <v/>
      </c>
      <c r="N90" s="380" t="str">
        <f>IF($A90="","",IF($C90=0,_xlfn.LET(_xlpm.x,IFERROR(_xlfn.XLOOKUP($A90,Util_Tags,Util_XR),""),IF(N(_xlpm.x)=0,Xfmr_DefXR,_xlpm.x)),IF(LEFT($A90,2)="T-",IFERROR(_xlfn.XLOOKUP($A90,Transformers!$A$6:$A$105,Transformers!$AH$6:$AH$105),Xfmr_DefXR),IFERROR(_xlfn.XLOOKUP($E90,$A$6:$A$255,$N$6:$N$255),Xfmr_DefXR))))</f>
        <v/>
      </c>
      <c r="O90" s="177" t="str">
        <f t="shared" si="23"/>
        <v/>
      </c>
      <c r="P90" s="210" t="str">
        <f>IF($A90="","",IF(LEFT($A90,2)="T-",IF($CO90="","",_xlfn.LET(_xlpm.k,IFERROR(_xlfn.XLOOKUP($A90,Transformers!$A$6:$A$105,Transformers!$G$6:$G$105),""),_xlpm.sv,IFERROR(_xlfn.XLOOKUP($A90,Transformers!$A$6:$A$105,Transformers!$E$6:$E$105),""),IF(OR(NOT(ISNUMBER(_xlpm.k)),NOT(ISNUMBER(_xlpm.sv)),_xlpm.sv=0),"",_xlfn.LET(_xlpm.iInf,(_xlpm.k*1000/(_xlpm.sv/2))*100/$CO90,_xlpm.pri,IF(OR($CK90="",$CK90=0),"",$CK90/2),_xlpm.base,IF(_xlpm.pri="",_xlpm.iInf,_xlpm.iInf/(1+_xlpm.iInf/_xlpm.pri)),_xlpm.base+IF($L90="",0,$L90))))),IF($CP90="","",_xlfn.LET(_xlpm.pI,IFERROR(_xlfn.XLOOKUP($E90,$A$6:$A$255,$P$6:$P$255),""),IF(NOT(ISNUMBER(_xlpm.pI)),"",_xlpm.pI/(1+$CP90)+IF($L90="",0,$L90))))))</f>
        <v/>
      </c>
      <c r="Q90" s="210" t="str">
        <f t="shared" si="24"/>
        <v/>
      </c>
      <c r="R90" s="177" t="str">
        <f>IF($A90="","",IF(OR($C90=0,LEFT($A90,2)="T-"),"",IFERROR(_xlfn.LET(_xlpm.v,_xlfn.XLOOKUP($A90,Dashboard!$A$101:$A$350,Dashboard!$K$101:$K$350),IF(ISNUMBER(_xlpm.v),_xlpm.v,"")),"")))</f>
        <v/>
      </c>
      <c r="S90" s="211" t="str">
        <f t="shared" si="25"/>
        <v/>
      </c>
      <c r="T90" s="25" t="str">
        <f t="shared" si="26"/>
        <v/>
      </c>
      <c r="U90" s="364"/>
      <c r="BV90" s="20" t="str">
        <f>IF($A90="","",IFERROR(_xlfn.XLOOKUP("F-"&amp;$A90,'Feeder Schedule'!$B$5:$B$254,'Feeder Schedule'!$H$5:$H$254),""))</f>
        <v/>
      </c>
      <c r="BW90" s="20" t="str">
        <f>IF($A90="","",IFERROR(_xlfn.XLOOKUP("F-"&amp;$A90,'Feeder Schedule'!$B$5:$B$254,'Feeder Schedule'!$BV$5:$BV$254),""))</f>
        <v/>
      </c>
      <c r="BX90" s="20" t="str">
        <f>IF($A90="","",IFERROR(_xlfn.LET(_xlpm.v,_xlfn.XLOOKUP("F-"&amp;$A90,'Feeder Schedule'!$B$5:$B$254,'Feeder Schedule'!$M$5:$M$254),IF(OR(_xlpm.v="",_xlpm.v=0),Cfg_Conduit,_xlpm.v)),""))</f>
        <v/>
      </c>
      <c r="BY90" s="20" t="str">
        <f>IF($A90="","",IFERROR(_xlfn.XLOOKUP("F-"&amp;$A90,'Feeder Schedule'!$B$5:$B$254,'Feeder Schedule'!$O$5:$O$254),""))</f>
        <v/>
      </c>
      <c r="BZ90" s="20" t="str">
        <f>IF($A90="","",IFERROR(_xlfn.XLOOKUP("F-"&amp;$A90,'Feeder Schedule'!$B$5:$B$254,'Feeder Schedule'!$CH$5:$CH$254),""))</f>
        <v/>
      </c>
      <c r="CA90" s="20" t="str">
        <f>IF($A90="","",IFERROR(_xlfn.XLOOKUP("F-"&amp;$A90,'Feeder Schedule'!$B$5:$B$254,'Feeder Schedule'!$F$5:$F$254),""))</f>
        <v/>
      </c>
      <c r="CB90" s="20" t="str">
        <f>IF($A90="","",IFERROR(_xlfn.XLOOKUP("F-"&amp;$A90,'Feeder Schedule'!$B$5:$B$254,'Feeder Schedule'!$G$5:$G$254),""))</f>
        <v/>
      </c>
      <c r="CD90" s="20" t="str" cm="1">
        <f t="array" ref="CD90">IFERROR(IF($A90="","",INDEX(_xlfn.ANCHORARRAY($BK$4),ROW()-5,6)),"")</f>
        <v/>
      </c>
      <c r="CE90" s="20" t="str">
        <f t="shared" si="29"/>
        <v/>
      </c>
      <c r="CF90" s="20" t="str">
        <f t="shared" si="30"/>
        <v/>
      </c>
      <c r="CG90" s="20" t="str">
        <f t="shared" si="27"/>
        <v/>
      </c>
      <c r="CH90" s="20" t="str" cm="1">
        <f t="array" ref="CH90">IF(OR($A90="",$BZ90="",$BW90="",$BX90=""),"",_xlfn.LET(_xlpm.mag,IFERROR(_xlfn.XLOOKUP($BX90,Race_Raceway,Race_Mag),""),IF(_xlpm.mag="","",IFERROR(INDEX(Cond_Table,MATCH($BZ90,Cond_Size,0),IF(UPPER($BW90)="AL",IF(_xlpm.mag="Y",10,12),IF(_xlpm.mag="Y",9,11))),""))))</f>
        <v/>
      </c>
      <c r="CI90" s="20" t="str">
        <f t="shared" si="28"/>
        <v/>
      </c>
      <c r="CJ90" s="20" t="str">
        <f>IF(OR($A90="",LEFT($A90,2)&lt;&gt;"T-"),"",IFERROR(_xlfn.LET(_xlpm.fla,_xlfn.XLOOKUP($A90,Transformers!$A$6:$A$105,Transformers!$AK$6:$AK$105),_xlpm.z,_xlfn.XLOOKUP($A90,Transformers!$A$6:$A$105,Transformers!$AX$6:$AX$105),IF(OR(_xlpm.fla="",_xlpm.z="",_xlpm.z=0),"",_xlpm.fla*100/_xlpm.z)),""))</f>
        <v/>
      </c>
      <c r="CK90" s="20" t="str">
        <f t="shared" si="31"/>
        <v/>
      </c>
      <c r="CL90" s="20" t="str">
        <f t="shared" si="32"/>
        <v/>
      </c>
      <c r="CM90" s="373"/>
      <c r="CO90" s="20" t="str">
        <f>IF(OR($A90="",LEFT($A90,2)&lt;&gt;"T-"),"",_xlfn.LET(_xlpm.ph,IFERROR(_xlfn.XLOOKUP($A90,Transformers!$A$6:$A$105,Transformers!$C$6:$C$105),""),_xlpm.rr,IFERROR(_xlfn.XLOOKUP($A90,Transformers!$A$6:$A$105,Transformers!$AG$6:$AG$105),""),_xlpm.xx,IFERROR(_xlfn.XLOOKUP($A90,Transformers!$A$6:$A$105,Transformers!$AI$6:$AI$105),""),IF(OR(_xlpm.ph&lt;&gt;1,NOT(ISNUMBER(_xlpm.rr)),NOT(ISNUMBER(_xlpm.xx))),"",SQRT((1.5*_xlpm.rr)^2+(1.2*_xlpm.xx)^2))))</f>
        <v/>
      </c>
      <c r="CP90" s="20" t="str">
        <f t="shared" si="33"/>
        <v/>
      </c>
    </row>
    <row r="91" spans="1:94" ht="15" customHeight="1" x14ac:dyDescent="0.45">
      <c r="A91" s="275" t="str" cm="1">
        <f t="array" ref="A91">IFERROR(IF(INDEX(_xlfn.ANCHORARRAY($BK$4),ROW()-5,1)="","",INDEX(_xlfn.ANCHORARRAY($BK$4),ROW()-5,1)),"")</f>
        <v/>
      </c>
      <c r="B91" s="25" t="str" cm="1">
        <f t="array" ref="B91">IFERROR(IF($A91="","",INDEX(_xlfn.ANCHORARRAY($BK$4),ROW()-5,5)),"")</f>
        <v/>
      </c>
      <c r="C91" s="178" t="str" cm="1">
        <f t="array" ref="C91">IFERROR(IF($A91="","",INDEX(_xlfn.ANCHORARRAY($BK$4),ROW()-5,7)),"")</f>
        <v/>
      </c>
      <c r="D91" s="177" t="str" cm="1">
        <f t="array" ref="D91">IFERROR(IF($A91="","",INDEX(_xlfn.ANCHORARRAY($BK$4),ROW()-5,3)),"")</f>
        <v/>
      </c>
      <c r="E91" s="25" t="str" cm="1">
        <f t="array" ref="E91">IFERROR(IF($A91="","",INDEX(_xlfn.ANCHORARRAY($BK$4),ROW()-5,2)),"")</f>
        <v/>
      </c>
      <c r="F91" s="177" t="str">
        <f t="shared" si="17"/>
        <v/>
      </c>
      <c r="G91" s="275" t="str">
        <f t="shared" si="18"/>
        <v/>
      </c>
      <c r="H91" s="180" t="str">
        <f t="shared" si="19"/>
        <v/>
      </c>
      <c r="I91" s="180" t="str">
        <f t="shared" si="20"/>
        <v/>
      </c>
      <c r="J91" s="177" t="str">
        <f>_xlfn.LET(_xlpm.v,_xlfn.LET(_xlpm.base,IF($A91="","",IF($C91=0,IFERROR(_xlfn.XLOOKUP($A91,Util_Tags,Util_SCAEff),""),IF(LEFT($A91,2)="T-",IF($CJ91="","",$CJ91/(1+IF($CL91="",0,$CL91))),IF(OR($F91="",$I91=""),"",$F91*$I91)))),_xlpm.gtag,IF(OR($A91="",NOT(OR($B91="ATS",$B91="MTS"))),"",IFERROR(_xlfn.XLOOKUP($A91,Dashboard!$A$101:$A$350,Dashboard!$L$101:$L$350,"")&amp;"","")),_xlpm.gkva,IF(_xlpm.gtag="",0,IFERROR(N(_xlfn.XLOOKUP(_xlpm.gtag,Generator!$B$53:$B$58,Generator!$S$53:$S$58,0)),0)),_xlpm.gxd,IF(_xlpm.gtag="",0,IFERROR(N(_xlfn.XLOOKUP(_xlpm.gtag,Generator!$B$53:$B$58,Generator!$U$53:$U$58,0)),0)),_xlpm.gamp,IF(OR(_xlpm.gkva=0,_xlpm.gxd=0,N($D91)=0),0,ROUND(_xlpm.gkva*1000/(IF(N($CB91)=1,1,SQRT(3))*$D91*_xlpm.gxd),0)),IF(OR(_xlpm.gamp=0,NOT(ISNUMBER(_xlpm.base))),_xlpm.base,MAX(_xlpm.base,_xlpm.gamp))),_xlpm.ulim,IF(OR($A91="",$B91&lt;&gt;"UPS"),"",IFERROR(IF(_xlfn.XLOOKUP($A91,UPS!$B$57:$B$64,UPS!$E$57:$E$64,"")="None",_xlfn.XLOOKUP($A91,UPS!$B$57:$B$64,UPS!$U$57:$U$64,""),""),"")),IF(AND(ISNUMBER(_xlpm.v),ISNUMBER(_xlpm.ulim)),MIN(_xlpm.v,_xlpm.ulim),_xlpm.v))</f>
        <v/>
      </c>
      <c r="K91" s="176"/>
      <c r="L91" s="177" t="str">
        <f t="shared" si="21"/>
        <v/>
      </c>
      <c r="M91" s="177" t="str">
        <f t="shared" si="22"/>
        <v/>
      </c>
      <c r="N91" s="380" t="str">
        <f>IF($A91="","",IF($C91=0,_xlfn.LET(_xlpm.x,IFERROR(_xlfn.XLOOKUP($A91,Util_Tags,Util_XR),""),IF(N(_xlpm.x)=0,Xfmr_DefXR,_xlpm.x)),IF(LEFT($A91,2)="T-",IFERROR(_xlfn.XLOOKUP($A91,Transformers!$A$6:$A$105,Transformers!$AH$6:$AH$105),Xfmr_DefXR),IFERROR(_xlfn.XLOOKUP($E91,$A$6:$A$255,$N$6:$N$255),Xfmr_DefXR))))</f>
        <v/>
      </c>
      <c r="O91" s="177" t="str">
        <f t="shared" si="23"/>
        <v/>
      </c>
      <c r="P91" s="210" t="str">
        <f>IF($A91="","",IF(LEFT($A91,2)="T-",IF($CO91="","",_xlfn.LET(_xlpm.k,IFERROR(_xlfn.XLOOKUP($A91,Transformers!$A$6:$A$105,Transformers!$G$6:$G$105),""),_xlpm.sv,IFERROR(_xlfn.XLOOKUP($A91,Transformers!$A$6:$A$105,Transformers!$E$6:$E$105),""),IF(OR(NOT(ISNUMBER(_xlpm.k)),NOT(ISNUMBER(_xlpm.sv)),_xlpm.sv=0),"",_xlfn.LET(_xlpm.iInf,(_xlpm.k*1000/(_xlpm.sv/2))*100/$CO91,_xlpm.pri,IF(OR($CK91="",$CK91=0),"",$CK91/2),_xlpm.base,IF(_xlpm.pri="",_xlpm.iInf,_xlpm.iInf/(1+_xlpm.iInf/_xlpm.pri)),_xlpm.base+IF($L91="",0,$L91))))),IF($CP91="","",_xlfn.LET(_xlpm.pI,IFERROR(_xlfn.XLOOKUP($E91,$A$6:$A$255,$P$6:$P$255),""),IF(NOT(ISNUMBER(_xlpm.pI)),"",_xlpm.pI/(1+$CP91)+IF($L91="",0,$L91))))))</f>
        <v/>
      </c>
      <c r="Q91" s="210" t="str">
        <f t="shared" si="24"/>
        <v/>
      </c>
      <c r="R91" s="177" t="str">
        <f>IF($A91="","",IF(OR($C91=0,LEFT($A91,2)="T-"),"",IFERROR(_xlfn.LET(_xlpm.v,_xlfn.XLOOKUP($A91,Dashboard!$A$101:$A$350,Dashboard!$K$101:$K$350),IF(ISNUMBER(_xlpm.v),_xlpm.v,"")),"")))</f>
        <v/>
      </c>
      <c r="S91" s="211" t="str">
        <f t="shared" si="25"/>
        <v/>
      </c>
      <c r="T91" s="25" t="str">
        <f t="shared" si="26"/>
        <v/>
      </c>
      <c r="U91" s="364"/>
      <c r="BV91" s="20" t="str">
        <f>IF($A91="","",IFERROR(_xlfn.XLOOKUP("F-"&amp;$A91,'Feeder Schedule'!$B$5:$B$254,'Feeder Schedule'!$H$5:$H$254),""))</f>
        <v/>
      </c>
      <c r="BW91" s="20" t="str">
        <f>IF($A91="","",IFERROR(_xlfn.XLOOKUP("F-"&amp;$A91,'Feeder Schedule'!$B$5:$B$254,'Feeder Schedule'!$BV$5:$BV$254),""))</f>
        <v/>
      </c>
      <c r="BX91" s="20" t="str">
        <f>IF($A91="","",IFERROR(_xlfn.LET(_xlpm.v,_xlfn.XLOOKUP("F-"&amp;$A91,'Feeder Schedule'!$B$5:$B$254,'Feeder Schedule'!$M$5:$M$254),IF(OR(_xlpm.v="",_xlpm.v=0),Cfg_Conduit,_xlpm.v)),""))</f>
        <v/>
      </c>
      <c r="BY91" s="20" t="str">
        <f>IF($A91="","",IFERROR(_xlfn.XLOOKUP("F-"&amp;$A91,'Feeder Schedule'!$B$5:$B$254,'Feeder Schedule'!$O$5:$O$254),""))</f>
        <v/>
      </c>
      <c r="BZ91" s="20" t="str">
        <f>IF($A91="","",IFERROR(_xlfn.XLOOKUP("F-"&amp;$A91,'Feeder Schedule'!$B$5:$B$254,'Feeder Schedule'!$CH$5:$CH$254),""))</f>
        <v/>
      </c>
      <c r="CA91" s="20" t="str">
        <f>IF($A91="","",IFERROR(_xlfn.XLOOKUP("F-"&amp;$A91,'Feeder Schedule'!$B$5:$B$254,'Feeder Schedule'!$F$5:$F$254),""))</f>
        <v/>
      </c>
      <c r="CB91" s="20" t="str">
        <f>IF($A91="","",IFERROR(_xlfn.XLOOKUP("F-"&amp;$A91,'Feeder Schedule'!$B$5:$B$254,'Feeder Schedule'!$G$5:$G$254),""))</f>
        <v/>
      </c>
      <c r="CD91" s="20" t="str" cm="1">
        <f t="array" ref="CD91">IFERROR(IF($A91="","",INDEX(_xlfn.ANCHORARRAY($BK$4),ROW()-5,6)),"")</f>
        <v/>
      </c>
      <c r="CE91" s="20" t="str">
        <f t="shared" si="29"/>
        <v/>
      </c>
      <c r="CF91" s="20" t="str">
        <f t="shared" si="30"/>
        <v/>
      </c>
      <c r="CG91" s="20" t="str">
        <f t="shared" si="27"/>
        <v/>
      </c>
      <c r="CH91" s="20" t="str" cm="1">
        <f t="array" ref="CH91">IF(OR($A91="",$BZ91="",$BW91="",$BX91=""),"",_xlfn.LET(_xlpm.mag,IFERROR(_xlfn.XLOOKUP($BX91,Race_Raceway,Race_Mag),""),IF(_xlpm.mag="","",IFERROR(INDEX(Cond_Table,MATCH($BZ91,Cond_Size,0),IF(UPPER($BW91)="AL",IF(_xlpm.mag="Y",10,12),IF(_xlpm.mag="Y",9,11))),""))))</f>
        <v/>
      </c>
      <c r="CI91" s="20" t="str">
        <f t="shared" si="28"/>
        <v/>
      </c>
      <c r="CJ91" s="20" t="str">
        <f>IF(OR($A91="",LEFT($A91,2)&lt;&gt;"T-"),"",IFERROR(_xlfn.LET(_xlpm.fla,_xlfn.XLOOKUP($A91,Transformers!$A$6:$A$105,Transformers!$AK$6:$AK$105),_xlpm.z,_xlfn.XLOOKUP($A91,Transformers!$A$6:$A$105,Transformers!$AX$6:$AX$105),IF(OR(_xlpm.fla="",_xlpm.z="",_xlpm.z=0),"",_xlpm.fla*100/_xlpm.z)),""))</f>
        <v/>
      </c>
      <c r="CK91" s="20" t="str">
        <f t="shared" si="31"/>
        <v/>
      </c>
      <c r="CL91" s="20" t="str">
        <f t="shared" si="32"/>
        <v/>
      </c>
      <c r="CM91" s="373"/>
      <c r="CO91" s="20" t="str">
        <f>IF(OR($A91="",LEFT($A91,2)&lt;&gt;"T-"),"",_xlfn.LET(_xlpm.ph,IFERROR(_xlfn.XLOOKUP($A91,Transformers!$A$6:$A$105,Transformers!$C$6:$C$105),""),_xlpm.rr,IFERROR(_xlfn.XLOOKUP($A91,Transformers!$A$6:$A$105,Transformers!$AG$6:$AG$105),""),_xlpm.xx,IFERROR(_xlfn.XLOOKUP($A91,Transformers!$A$6:$A$105,Transformers!$AI$6:$AI$105),""),IF(OR(_xlpm.ph&lt;&gt;1,NOT(ISNUMBER(_xlpm.rr)),NOT(ISNUMBER(_xlpm.xx))),"",SQRT((1.5*_xlpm.rr)^2+(1.2*_xlpm.xx)^2))))</f>
        <v/>
      </c>
      <c r="CP91" s="20" t="str">
        <f t="shared" si="33"/>
        <v/>
      </c>
    </row>
    <row r="92" spans="1:94" ht="15" customHeight="1" x14ac:dyDescent="0.45">
      <c r="A92" s="275" t="str" cm="1">
        <f t="array" ref="A92">IFERROR(IF(INDEX(_xlfn.ANCHORARRAY($BK$4),ROW()-5,1)="","",INDEX(_xlfn.ANCHORARRAY($BK$4),ROW()-5,1)),"")</f>
        <v/>
      </c>
      <c r="B92" s="25" t="str" cm="1">
        <f t="array" ref="B92">IFERROR(IF($A92="","",INDEX(_xlfn.ANCHORARRAY($BK$4),ROW()-5,5)),"")</f>
        <v/>
      </c>
      <c r="C92" s="178" t="str" cm="1">
        <f t="array" ref="C92">IFERROR(IF($A92="","",INDEX(_xlfn.ANCHORARRAY($BK$4),ROW()-5,7)),"")</f>
        <v/>
      </c>
      <c r="D92" s="177" t="str" cm="1">
        <f t="array" ref="D92">IFERROR(IF($A92="","",INDEX(_xlfn.ANCHORARRAY($BK$4),ROW()-5,3)),"")</f>
        <v/>
      </c>
      <c r="E92" s="25" t="str" cm="1">
        <f t="array" ref="E92">IFERROR(IF($A92="","",INDEX(_xlfn.ANCHORARRAY($BK$4),ROW()-5,2)),"")</f>
        <v/>
      </c>
      <c r="F92" s="177" t="str">
        <f t="shared" si="17"/>
        <v/>
      </c>
      <c r="G92" s="275" t="str">
        <f t="shared" si="18"/>
        <v/>
      </c>
      <c r="H92" s="180" t="str">
        <f t="shared" si="19"/>
        <v/>
      </c>
      <c r="I92" s="180" t="str">
        <f t="shared" si="20"/>
        <v/>
      </c>
      <c r="J92" s="177" t="str">
        <f>_xlfn.LET(_xlpm.v,_xlfn.LET(_xlpm.base,IF($A92="","",IF($C92=0,IFERROR(_xlfn.XLOOKUP($A92,Util_Tags,Util_SCAEff),""),IF(LEFT($A92,2)="T-",IF($CJ92="","",$CJ92/(1+IF($CL92="",0,$CL92))),IF(OR($F92="",$I92=""),"",$F92*$I92)))),_xlpm.gtag,IF(OR($A92="",NOT(OR($B92="ATS",$B92="MTS"))),"",IFERROR(_xlfn.XLOOKUP($A92,Dashboard!$A$101:$A$350,Dashboard!$L$101:$L$350,"")&amp;"","")),_xlpm.gkva,IF(_xlpm.gtag="",0,IFERROR(N(_xlfn.XLOOKUP(_xlpm.gtag,Generator!$B$53:$B$58,Generator!$S$53:$S$58,0)),0)),_xlpm.gxd,IF(_xlpm.gtag="",0,IFERROR(N(_xlfn.XLOOKUP(_xlpm.gtag,Generator!$B$53:$B$58,Generator!$U$53:$U$58,0)),0)),_xlpm.gamp,IF(OR(_xlpm.gkva=0,_xlpm.gxd=0,N($D92)=0),0,ROUND(_xlpm.gkva*1000/(IF(N($CB92)=1,1,SQRT(3))*$D92*_xlpm.gxd),0)),IF(OR(_xlpm.gamp=0,NOT(ISNUMBER(_xlpm.base))),_xlpm.base,MAX(_xlpm.base,_xlpm.gamp))),_xlpm.ulim,IF(OR($A92="",$B92&lt;&gt;"UPS"),"",IFERROR(IF(_xlfn.XLOOKUP($A92,UPS!$B$57:$B$64,UPS!$E$57:$E$64,"")="None",_xlfn.XLOOKUP($A92,UPS!$B$57:$B$64,UPS!$U$57:$U$64,""),""),"")),IF(AND(ISNUMBER(_xlpm.v),ISNUMBER(_xlpm.ulim)),MIN(_xlpm.v,_xlpm.ulim),_xlpm.v))</f>
        <v/>
      </c>
      <c r="K92" s="176"/>
      <c r="L92" s="177" t="str">
        <f t="shared" si="21"/>
        <v/>
      </c>
      <c r="M92" s="177" t="str">
        <f t="shared" si="22"/>
        <v/>
      </c>
      <c r="N92" s="380" t="str">
        <f>IF($A92="","",IF($C92=0,_xlfn.LET(_xlpm.x,IFERROR(_xlfn.XLOOKUP($A92,Util_Tags,Util_XR),""),IF(N(_xlpm.x)=0,Xfmr_DefXR,_xlpm.x)),IF(LEFT($A92,2)="T-",IFERROR(_xlfn.XLOOKUP($A92,Transformers!$A$6:$A$105,Transformers!$AH$6:$AH$105),Xfmr_DefXR),IFERROR(_xlfn.XLOOKUP($E92,$A$6:$A$255,$N$6:$N$255),Xfmr_DefXR))))</f>
        <v/>
      </c>
      <c r="O92" s="177" t="str">
        <f t="shared" si="23"/>
        <v/>
      </c>
      <c r="P92" s="210" t="str">
        <f>IF($A92="","",IF(LEFT($A92,2)="T-",IF($CO92="","",_xlfn.LET(_xlpm.k,IFERROR(_xlfn.XLOOKUP($A92,Transformers!$A$6:$A$105,Transformers!$G$6:$G$105),""),_xlpm.sv,IFERROR(_xlfn.XLOOKUP($A92,Transformers!$A$6:$A$105,Transformers!$E$6:$E$105),""),IF(OR(NOT(ISNUMBER(_xlpm.k)),NOT(ISNUMBER(_xlpm.sv)),_xlpm.sv=0),"",_xlfn.LET(_xlpm.iInf,(_xlpm.k*1000/(_xlpm.sv/2))*100/$CO92,_xlpm.pri,IF(OR($CK92="",$CK92=0),"",$CK92/2),_xlpm.base,IF(_xlpm.pri="",_xlpm.iInf,_xlpm.iInf/(1+_xlpm.iInf/_xlpm.pri)),_xlpm.base+IF($L92="",0,$L92))))),IF($CP92="","",_xlfn.LET(_xlpm.pI,IFERROR(_xlfn.XLOOKUP($E92,$A$6:$A$255,$P$6:$P$255),""),IF(NOT(ISNUMBER(_xlpm.pI)),"",_xlpm.pI/(1+$CP92)+IF($L92="",0,$L92))))))</f>
        <v/>
      </c>
      <c r="Q92" s="210" t="str">
        <f t="shared" si="24"/>
        <v/>
      </c>
      <c r="R92" s="177" t="str">
        <f>IF($A92="","",IF(OR($C92=0,LEFT($A92,2)="T-"),"",IFERROR(_xlfn.LET(_xlpm.v,_xlfn.XLOOKUP($A92,Dashboard!$A$101:$A$350,Dashboard!$K$101:$K$350),IF(ISNUMBER(_xlpm.v),_xlpm.v,"")),"")))</f>
        <v/>
      </c>
      <c r="S92" s="211" t="str">
        <f t="shared" si="25"/>
        <v/>
      </c>
      <c r="T92" s="25" t="str">
        <f t="shared" si="26"/>
        <v/>
      </c>
      <c r="U92" s="364"/>
      <c r="BV92" s="20" t="str">
        <f>IF($A92="","",IFERROR(_xlfn.XLOOKUP("F-"&amp;$A92,'Feeder Schedule'!$B$5:$B$254,'Feeder Schedule'!$H$5:$H$254),""))</f>
        <v/>
      </c>
      <c r="BW92" s="20" t="str">
        <f>IF($A92="","",IFERROR(_xlfn.XLOOKUP("F-"&amp;$A92,'Feeder Schedule'!$B$5:$B$254,'Feeder Schedule'!$BV$5:$BV$254),""))</f>
        <v/>
      </c>
      <c r="BX92" s="20" t="str">
        <f>IF($A92="","",IFERROR(_xlfn.LET(_xlpm.v,_xlfn.XLOOKUP("F-"&amp;$A92,'Feeder Schedule'!$B$5:$B$254,'Feeder Schedule'!$M$5:$M$254),IF(OR(_xlpm.v="",_xlpm.v=0),Cfg_Conduit,_xlpm.v)),""))</f>
        <v/>
      </c>
      <c r="BY92" s="20" t="str">
        <f>IF($A92="","",IFERROR(_xlfn.XLOOKUP("F-"&amp;$A92,'Feeder Schedule'!$B$5:$B$254,'Feeder Schedule'!$O$5:$O$254),""))</f>
        <v/>
      </c>
      <c r="BZ92" s="20" t="str">
        <f>IF($A92="","",IFERROR(_xlfn.XLOOKUP("F-"&amp;$A92,'Feeder Schedule'!$B$5:$B$254,'Feeder Schedule'!$CH$5:$CH$254),""))</f>
        <v/>
      </c>
      <c r="CA92" s="20" t="str">
        <f>IF($A92="","",IFERROR(_xlfn.XLOOKUP("F-"&amp;$A92,'Feeder Schedule'!$B$5:$B$254,'Feeder Schedule'!$F$5:$F$254),""))</f>
        <v/>
      </c>
      <c r="CB92" s="20" t="str">
        <f>IF($A92="","",IFERROR(_xlfn.XLOOKUP("F-"&amp;$A92,'Feeder Schedule'!$B$5:$B$254,'Feeder Schedule'!$G$5:$G$254),""))</f>
        <v/>
      </c>
      <c r="CD92" s="20" t="str" cm="1">
        <f t="array" ref="CD92">IFERROR(IF($A92="","",INDEX(_xlfn.ANCHORARRAY($BK$4),ROW()-5,6)),"")</f>
        <v/>
      </c>
      <c r="CE92" s="20" t="str">
        <f t="shared" si="29"/>
        <v/>
      </c>
      <c r="CF92" s="20" t="str">
        <f t="shared" si="30"/>
        <v/>
      </c>
      <c r="CG92" s="20" t="str">
        <f t="shared" si="27"/>
        <v/>
      </c>
      <c r="CH92" s="20" t="str" cm="1">
        <f t="array" ref="CH92">IF(OR($A92="",$BZ92="",$BW92="",$BX92=""),"",_xlfn.LET(_xlpm.mag,IFERROR(_xlfn.XLOOKUP($BX92,Race_Raceway,Race_Mag),""),IF(_xlpm.mag="","",IFERROR(INDEX(Cond_Table,MATCH($BZ92,Cond_Size,0),IF(UPPER($BW92)="AL",IF(_xlpm.mag="Y",10,12),IF(_xlpm.mag="Y",9,11))),""))))</f>
        <v/>
      </c>
      <c r="CI92" s="20" t="str">
        <f t="shared" si="28"/>
        <v/>
      </c>
      <c r="CJ92" s="20" t="str">
        <f>IF(OR($A92="",LEFT($A92,2)&lt;&gt;"T-"),"",IFERROR(_xlfn.LET(_xlpm.fla,_xlfn.XLOOKUP($A92,Transformers!$A$6:$A$105,Transformers!$AK$6:$AK$105),_xlpm.z,_xlfn.XLOOKUP($A92,Transformers!$A$6:$A$105,Transformers!$AX$6:$AX$105),IF(OR(_xlpm.fla="",_xlpm.z="",_xlpm.z=0),"",_xlpm.fla*100/_xlpm.z)),""))</f>
        <v/>
      </c>
      <c r="CK92" s="20" t="str">
        <f t="shared" si="31"/>
        <v/>
      </c>
      <c r="CL92" s="20" t="str">
        <f t="shared" si="32"/>
        <v/>
      </c>
      <c r="CM92" s="373"/>
      <c r="CO92" s="20" t="str">
        <f>IF(OR($A92="",LEFT($A92,2)&lt;&gt;"T-"),"",_xlfn.LET(_xlpm.ph,IFERROR(_xlfn.XLOOKUP($A92,Transformers!$A$6:$A$105,Transformers!$C$6:$C$105),""),_xlpm.rr,IFERROR(_xlfn.XLOOKUP($A92,Transformers!$A$6:$A$105,Transformers!$AG$6:$AG$105),""),_xlpm.xx,IFERROR(_xlfn.XLOOKUP($A92,Transformers!$A$6:$A$105,Transformers!$AI$6:$AI$105),""),IF(OR(_xlpm.ph&lt;&gt;1,NOT(ISNUMBER(_xlpm.rr)),NOT(ISNUMBER(_xlpm.xx))),"",SQRT((1.5*_xlpm.rr)^2+(1.2*_xlpm.xx)^2))))</f>
        <v/>
      </c>
      <c r="CP92" s="20" t="str">
        <f t="shared" si="33"/>
        <v/>
      </c>
    </row>
    <row r="93" spans="1:94" ht="15" customHeight="1" x14ac:dyDescent="0.45">
      <c r="A93" s="275" t="str" cm="1">
        <f t="array" ref="A93">IFERROR(IF(INDEX(_xlfn.ANCHORARRAY($BK$4),ROW()-5,1)="","",INDEX(_xlfn.ANCHORARRAY($BK$4),ROW()-5,1)),"")</f>
        <v/>
      </c>
      <c r="B93" s="25" t="str" cm="1">
        <f t="array" ref="B93">IFERROR(IF($A93="","",INDEX(_xlfn.ANCHORARRAY($BK$4),ROW()-5,5)),"")</f>
        <v/>
      </c>
      <c r="C93" s="178" t="str" cm="1">
        <f t="array" ref="C93">IFERROR(IF($A93="","",INDEX(_xlfn.ANCHORARRAY($BK$4),ROW()-5,7)),"")</f>
        <v/>
      </c>
      <c r="D93" s="177" t="str" cm="1">
        <f t="array" ref="D93">IFERROR(IF($A93="","",INDEX(_xlfn.ANCHORARRAY($BK$4),ROW()-5,3)),"")</f>
        <v/>
      </c>
      <c r="E93" s="25" t="str" cm="1">
        <f t="array" ref="E93">IFERROR(IF($A93="","",INDEX(_xlfn.ANCHORARRAY($BK$4),ROW()-5,2)),"")</f>
        <v/>
      </c>
      <c r="F93" s="177" t="str">
        <f t="shared" si="17"/>
        <v/>
      </c>
      <c r="G93" s="275" t="str">
        <f t="shared" si="18"/>
        <v/>
      </c>
      <c r="H93" s="180" t="str">
        <f t="shared" si="19"/>
        <v/>
      </c>
      <c r="I93" s="180" t="str">
        <f t="shared" si="20"/>
        <v/>
      </c>
      <c r="J93" s="177" t="str">
        <f>_xlfn.LET(_xlpm.v,_xlfn.LET(_xlpm.base,IF($A93="","",IF($C93=0,IFERROR(_xlfn.XLOOKUP($A93,Util_Tags,Util_SCAEff),""),IF(LEFT($A93,2)="T-",IF($CJ93="","",$CJ93/(1+IF($CL93="",0,$CL93))),IF(OR($F93="",$I93=""),"",$F93*$I93)))),_xlpm.gtag,IF(OR($A93="",NOT(OR($B93="ATS",$B93="MTS"))),"",IFERROR(_xlfn.XLOOKUP($A93,Dashboard!$A$101:$A$350,Dashboard!$L$101:$L$350,"")&amp;"","")),_xlpm.gkva,IF(_xlpm.gtag="",0,IFERROR(N(_xlfn.XLOOKUP(_xlpm.gtag,Generator!$B$53:$B$58,Generator!$S$53:$S$58,0)),0)),_xlpm.gxd,IF(_xlpm.gtag="",0,IFERROR(N(_xlfn.XLOOKUP(_xlpm.gtag,Generator!$B$53:$B$58,Generator!$U$53:$U$58,0)),0)),_xlpm.gamp,IF(OR(_xlpm.gkva=0,_xlpm.gxd=0,N($D93)=0),0,ROUND(_xlpm.gkva*1000/(IF(N($CB93)=1,1,SQRT(3))*$D93*_xlpm.gxd),0)),IF(OR(_xlpm.gamp=0,NOT(ISNUMBER(_xlpm.base))),_xlpm.base,MAX(_xlpm.base,_xlpm.gamp))),_xlpm.ulim,IF(OR($A93="",$B93&lt;&gt;"UPS"),"",IFERROR(IF(_xlfn.XLOOKUP($A93,UPS!$B$57:$B$64,UPS!$E$57:$E$64,"")="None",_xlfn.XLOOKUP($A93,UPS!$B$57:$B$64,UPS!$U$57:$U$64,""),""),"")),IF(AND(ISNUMBER(_xlpm.v),ISNUMBER(_xlpm.ulim)),MIN(_xlpm.v,_xlpm.ulim),_xlpm.v))</f>
        <v/>
      </c>
      <c r="K93" s="176"/>
      <c r="L93" s="177" t="str">
        <f t="shared" si="21"/>
        <v/>
      </c>
      <c r="M93" s="177" t="str">
        <f t="shared" si="22"/>
        <v/>
      </c>
      <c r="N93" s="380" t="str">
        <f>IF($A93="","",IF($C93=0,_xlfn.LET(_xlpm.x,IFERROR(_xlfn.XLOOKUP($A93,Util_Tags,Util_XR),""),IF(N(_xlpm.x)=0,Xfmr_DefXR,_xlpm.x)),IF(LEFT($A93,2)="T-",IFERROR(_xlfn.XLOOKUP($A93,Transformers!$A$6:$A$105,Transformers!$AH$6:$AH$105),Xfmr_DefXR),IFERROR(_xlfn.XLOOKUP($E93,$A$6:$A$255,$N$6:$N$255),Xfmr_DefXR))))</f>
        <v/>
      </c>
      <c r="O93" s="177" t="str">
        <f t="shared" si="23"/>
        <v/>
      </c>
      <c r="P93" s="210" t="str">
        <f>IF($A93="","",IF(LEFT($A93,2)="T-",IF($CO93="","",_xlfn.LET(_xlpm.k,IFERROR(_xlfn.XLOOKUP($A93,Transformers!$A$6:$A$105,Transformers!$G$6:$G$105),""),_xlpm.sv,IFERROR(_xlfn.XLOOKUP($A93,Transformers!$A$6:$A$105,Transformers!$E$6:$E$105),""),IF(OR(NOT(ISNUMBER(_xlpm.k)),NOT(ISNUMBER(_xlpm.sv)),_xlpm.sv=0),"",_xlfn.LET(_xlpm.iInf,(_xlpm.k*1000/(_xlpm.sv/2))*100/$CO93,_xlpm.pri,IF(OR($CK93="",$CK93=0),"",$CK93/2),_xlpm.base,IF(_xlpm.pri="",_xlpm.iInf,_xlpm.iInf/(1+_xlpm.iInf/_xlpm.pri)),_xlpm.base+IF($L93="",0,$L93))))),IF($CP93="","",_xlfn.LET(_xlpm.pI,IFERROR(_xlfn.XLOOKUP($E93,$A$6:$A$255,$P$6:$P$255),""),IF(NOT(ISNUMBER(_xlpm.pI)),"",_xlpm.pI/(1+$CP93)+IF($L93="",0,$L93))))))</f>
        <v/>
      </c>
      <c r="Q93" s="210" t="str">
        <f t="shared" si="24"/>
        <v/>
      </c>
      <c r="R93" s="177" t="str">
        <f>IF($A93="","",IF(OR($C93=0,LEFT($A93,2)="T-"),"",IFERROR(_xlfn.LET(_xlpm.v,_xlfn.XLOOKUP($A93,Dashboard!$A$101:$A$350,Dashboard!$K$101:$K$350),IF(ISNUMBER(_xlpm.v),_xlpm.v,"")),"")))</f>
        <v/>
      </c>
      <c r="S93" s="211" t="str">
        <f t="shared" si="25"/>
        <v/>
      </c>
      <c r="T93" s="25" t="str">
        <f t="shared" si="26"/>
        <v/>
      </c>
      <c r="U93" s="364"/>
      <c r="BV93" s="20" t="str">
        <f>IF($A93="","",IFERROR(_xlfn.XLOOKUP("F-"&amp;$A93,'Feeder Schedule'!$B$5:$B$254,'Feeder Schedule'!$H$5:$H$254),""))</f>
        <v/>
      </c>
      <c r="BW93" s="20" t="str">
        <f>IF($A93="","",IFERROR(_xlfn.XLOOKUP("F-"&amp;$A93,'Feeder Schedule'!$B$5:$B$254,'Feeder Schedule'!$BV$5:$BV$254),""))</f>
        <v/>
      </c>
      <c r="BX93" s="20" t="str">
        <f>IF($A93="","",IFERROR(_xlfn.LET(_xlpm.v,_xlfn.XLOOKUP("F-"&amp;$A93,'Feeder Schedule'!$B$5:$B$254,'Feeder Schedule'!$M$5:$M$254),IF(OR(_xlpm.v="",_xlpm.v=0),Cfg_Conduit,_xlpm.v)),""))</f>
        <v/>
      </c>
      <c r="BY93" s="20" t="str">
        <f>IF($A93="","",IFERROR(_xlfn.XLOOKUP("F-"&amp;$A93,'Feeder Schedule'!$B$5:$B$254,'Feeder Schedule'!$O$5:$O$254),""))</f>
        <v/>
      </c>
      <c r="BZ93" s="20" t="str">
        <f>IF($A93="","",IFERROR(_xlfn.XLOOKUP("F-"&amp;$A93,'Feeder Schedule'!$B$5:$B$254,'Feeder Schedule'!$CH$5:$CH$254),""))</f>
        <v/>
      </c>
      <c r="CA93" s="20" t="str">
        <f>IF($A93="","",IFERROR(_xlfn.XLOOKUP("F-"&amp;$A93,'Feeder Schedule'!$B$5:$B$254,'Feeder Schedule'!$F$5:$F$254),""))</f>
        <v/>
      </c>
      <c r="CB93" s="20" t="str">
        <f>IF($A93="","",IFERROR(_xlfn.XLOOKUP("F-"&amp;$A93,'Feeder Schedule'!$B$5:$B$254,'Feeder Schedule'!$G$5:$G$254),""))</f>
        <v/>
      </c>
      <c r="CD93" s="20" t="str" cm="1">
        <f t="array" ref="CD93">IFERROR(IF($A93="","",INDEX(_xlfn.ANCHORARRAY($BK$4),ROW()-5,6)),"")</f>
        <v/>
      </c>
      <c r="CE93" s="20" t="str">
        <f t="shared" si="29"/>
        <v/>
      </c>
      <c r="CF93" s="20" t="str">
        <f t="shared" si="30"/>
        <v/>
      </c>
      <c r="CG93" s="20" t="str">
        <f t="shared" si="27"/>
        <v/>
      </c>
      <c r="CH93" s="20" t="str" cm="1">
        <f t="array" ref="CH93">IF(OR($A93="",$BZ93="",$BW93="",$BX93=""),"",_xlfn.LET(_xlpm.mag,IFERROR(_xlfn.XLOOKUP($BX93,Race_Raceway,Race_Mag),""),IF(_xlpm.mag="","",IFERROR(INDEX(Cond_Table,MATCH($BZ93,Cond_Size,0),IF(UPPER($BW93)="AL",IF(_xlpm.mag="Y",10,12),IF(_xlpm.mag="Y",9,11))),""))))</f>
        <v/>
      </c>
      <c r="CI93" s="20" t="str">
        <f t="shared" si="28"/>
        <v/>
      </c>
      <c r="CJ93" s="20" t="str">
        <f>IF(OR($A93="",LEFT($A93,2)&lt;&gt;"T-"),"",IFERROR(_xlfn.LET(_xlpm.fla,_xlfn.XLOOKUP($A93,Transformers!$A$6:$A$105,Transformers!$AK$6:$AK$105),_xlpm.z,_xlfn.XLOOKUP($A93,Transformers!$A$6:$A$105,Transformers!$AX$6:$AX$105),IF(OR(_xlpm.fla="",_xlpm.z="",_xlpm.z=0),"",_xlpm.fla*100/_xlpm.z)),""))</f>
        <v/>
      </c>
      <c r="CK93" s="20" t="str">
        <f t="shared" si="31"/>
        <v/>
      </c>
      <c r="CL93" s="20" t="str">
        <f t="shared" si="32"/>
        <v/>
      </c>
      <c r="CM93" s="373"/>
      <c r="CO93" s="20" t="str">
        <f>IF(OR($A93="",LEFT($A93,2)&lt;&gt;"T-"),"",_xlfn.LET(_xlpm.ph,IFERROR(_xlfn.XLOOKUP($A93,Transformers!$A$6:$A$105,Transformers!$C$6:$C$105),""),_xlpm.rr,IFERROR(_xlfn.XLOOKUP($A93,Transformers!$A$6:$A$105,Transformers!$AG$6:$AG$105),""),_xlpm.xx,IFERROR(_xlfn.XLOOKUP($A93,Transformers!$A$6:$A$105,Transformers!$AI$6:$AI$105),""),IF(OR(_xlpm.ph&lt;&gt;1,NOT(ISNUMBER(_xlpm.rr)),NOT(ISNUMBER(_xlpm.xx))),"",SQRT((1.5*_xlpm.rr)^2+(1.2*_xlpm.xx)^2))))</f>
        <v/>
      </c>
      <c r="CP93" s="20" t="str">
        <f t="shared" si="33"/>
        <v/>
      </c>
    </row>
    <row r="94" spans="1:94" ht="15" customHeight="1" x14ac:dyDescent="0.45">
      <c r="A94" s="275" t="str" cm="1">
        <f t="array" ref="A94">IFERROR(IF(INDEX(_xlfn.ANCHORARRAY($BK$4),ROW()-5,1)="","",INDEX(_xlfn.ANCHORARRAY($BK$4),ROW()-5,1)),"")</f>
        <v/>
      </c>
      <c r="B94" s="25" t="str" cm="1">
        <f t="array" ref="B94">IFERROR(IF($A94="","",INDEX(_xlfn.ANCHORARRAY($BK$4),ROW()-5,5)),"")</f>
        <v/>
      </c>
      <c r="C94" s="178" t="str" cm="1">
        <f t="array" ref="C94">IFERROR(IF($A94="","",INDEX(_xlfn.ANCHORARRAY($BK$4),ROW()-5,7)),"")</f>
        <v/>
      </c>
      <c r="D94" s="177" t="str" cm="1">
        <f t="array" ref="D94">IFERROR(IF($A94="","",INDEX(_xlfn.ANCHORARRAY($BK$4),ROW()-5,3)),"")</f>
        <v/>
      </c>
      <c r="E94" s="25" t="str" cm="1">
        <f t="array" ref="E94">IFERROR(IF($A94="","",INDEX(_xlfn.ANCHORARRAY($BK$4),ROW()-5,2)),"")</f>
        <v/>
      </c>
      <c r="F94" s="177" t="str">
        <f t="shared" si="17"/>
        <v/>
      </c>
      <c r="G94" s="275" t="str">
        <f t="shared" si="18"/>
        <v/>
      </c>
      <c r="H94" s="180" t="str">
        <f t="shared" si="19"/>
        <v/>
      </c>
      <c r="I94" s="180" t="str">
        <f t="shared" si="20"/>
        <v/>
      </c>
      <c r="J94" s="177" t="str">
        <f>_xlfn.LET(_xlpm.v,_xlfn.LET(_xlpm.base,IF($A94="","",IF($C94=0,IFERROR(_xlfn.XLOOKUP($A94,Util_Tags,Util_SCAEff),""),IF(LEFT($A94,2)="T-",IF($CJ94="","",$CJ94/(1+IF($CL94="",0,$CL94))),IF(OR($F94="",$I94=""),"",$F94*$I94)))),_xlpm.gtag,IF(OR($A94="",NOT(OR($B94="ATS",$B94="MTS"))),"",IFERROR(_xlfn.XLOOKUP($A94,Dashboard!$A$101:$A$350,Dashboard!$L$101:$L$350,"")&amp;"","")),_xlpm.gkva,IF(_xlpm.gtag="",0,IFERROR(N(_xlfn.XLOOKUP(_xlpm.gtag,Generator!$B$53:$B$58,Generator!$S$53:$S$58,0)),0)),_xlpm.gxd,IF(_xlpm.gtag="",0,IFERROR(N(_xlfn.XLOOKUP(_xlpm.gtag,Generator!$B$53:$B$58,Generator!$U$53:$U$58,0)),0)),_xlpm.gamp,IF(OR(_xlpm.gkva=0,_xlpm.gxd=0,N($D94)=0),0,ROUND(_xlpm.gkva*1000/(IF(N($CB94)=1,1,SQRT(3))*$D94*_xlpm.gxd),0)),IF(OR(_xlpm.gamp=0,NOT(ISNUMBER(_xlpm.base))),_xlpm.base,MAX(_xlpm.base,_xlpm.gamp))),_xlpm.ulim,IF(OR($A94="",$B94&lt;&gt;"UPS"),"",IFERROR(IF(_xlfn.XLOOKUP($A94,UPS!$B$57:$B$64,UPS!$E$57:$E$64,"")="None",_xlfn.XLOOKUP($A94,UPS!$B$57:$B$64,UPS!$U$57:$U$64,""),""),"")),IF(AND(ISNUMBER(_xlpm.v),ISNUMBER(_xlpm.ulim)),MIN(_xlpm.v,_xlpm.ulim),_xlpm.v))</f>
        <v/>
      </c>
      <c r="K94" s="176"/>
      <c r="L94" s="177" t="str">
        <f t="shared" si="21"/>
        <v/>
      </c>
      <c r="M94" s="177" t="str">
        <f t="shared" si="22"/>
        <v/>
      </c>
      <c r="N94" s="380" t="str">
        <f>IF($A94="","",IF($C94=0,_xlfn.LET(_xlpm.x,IFERROR(_xlfn.XLOOKUP($A94,Util_Tags,Util_XR),""),IF(N(_xlpm.x)=0,Xfmr_DefXR,_xlpm.x)),IF(LEFT($A94,2)="T-",IFERROR(_xlfn.XLOOKUP($A94,Transformers!$A$6:$A$105,Transformers!$AH$6:$AH$105),Xfmr_DefXR),IFERROR(_xlfn.XLOOKUP($E94,$A$6:$A$255,$N$6:$N$255),Xfmr_DefXR))))</f>
        <v/>
      </c>
      <c r="O94" s="177" t="str">
        <f t="shared" si="23"/>
        <v/>
      </c>
      <c r="P94" s="210" t="str">
        <f>IF($A94="","",IF(LEFT($A94,2)="T-",IF($CO94="","",_xlfn.LET(_xlpm.k,IFERROR(_xlfn.XLOOKUP($A94,Transformers!$A$6:$A$105,Transformers!$G$6:$G$105),""),_xlpm.sv,IFERROR(_xlfn.XLOOKUP($A94,Transformers!$A$6:$A$105,Transformers!$E$6:$E$105),""),IF(OR(NOT(ISNUMBER(_xlpm.k)),NOT(ISNUMBER(_xlpm.sv)),_xlpm.sv=0),"",_xlfn.LET(_xlpm.iInf,(_xlpm.k*1000/(_xlpm.sv/2))*100/$CO94,_xlpm.pri,IF(OR($CK94="",$CK94=0),"",$CK94/2),_xlpm.base,IF(_xlpm.pri="",_xlpm.iInf,_xlpm.iInf/(1+_xlpm.iInf/_xlpm.pri)),_xlpm.base+IF($L94="",0,$L94))))),IF($CP94="","",_xlfn.LET(_xlpm.pI,IFERROR(_xlfn.XLOOKUP($E94,$A$6:$A$255,$P$6:$P$255),""),IF(NOT(ISNUMBER(_xlpm.pI)),"",_xlpm.pI/(1+$CP94)+IF($L94="",0,$L94))))))</f>
        <v/>
      </c>
      <c r="Q94" s="210" t="str">
        <f t="shared" si="24"/>
        <v/>
      </c>
      <c r="R94" s="177" t="str">
        <f>IF($A94="","",IF(OR($C94=0,LEFT($A94,2)="T-"),"",IFERROR(_xlfn.LET(_xlpm.v,_xlfn.XLOOKUP($A94,Dashboard!$A$101:$A$350,Dashboard!$K$101:$K$350),IF(ISNUMBER(_xlpm.v),_xlpm.v,"")),"")))</f>
        <v/>
      </c>
      <c r="S94" s="211" t="str">
        <f t="shared" si="25"/>
        <v/>
      </c>
      <c r="T94" s="25" t="str">
        <f t="shared" si="26"/>
        <v/>
      </c>
      <c r="U94" s="364"/>
      <c r="BV94" s="20" t="str">
        <f>IF($A94="","",IFERROR(_xlfn.XLOOKUP("F-"&amp;$A94,'Feeder Schedule'!$B$5:$B$254,'Feeder Schedule'!$H$5:$H$254),""))</f>
        <v/>
      </c>
      <c r="BW94" s="20" t="str">
        <f>IF($A94="","",IFERROR(_xlfn.XLOOKUP("F-"&amp;$A94,'Feeder Schedule'!$B$5:$B$254,'Feeder Schedule'!$BV$5:$BV$254),""))</f>
        <v/>
      </c>
      <c r="BX94" s="20" t="str">
        <f>IF($A94="","",IFERROR(_xlfn.LET(_xlpm.v,_xlfn.XLOOKUP("F-"&amp;$A94,'Feeder Schedule'!$B$5:$B$254,'Feeder Schedule'!$M$5:$M$254),IF(OR(_xlpm.v="",_xlpm.v=0),Cfg_Conduit,_xlpm.v)),""))</f>
        <v/>
      </c>
      <c r="BY94" s="20" t="str">
        <f>IF($A94="","",IFERROR(_xlfn.XLOOKUP("F-"&amp;$A94,'Feeder Schedule'!$B$5:$B$254,'Feeder Schedule'!$O$5:$O$254),""))</f>
        <v/>
      </c>
      <c r="BZ94" s="20" t="str">
        <f>IF($A94="","",IFERROR(_xlfn.XLOOKUP("F-"&amp;$A94,'Feeder Schedule'!$B$5:$B$254,'Feeder Schedule'!$CH$5:$CH$254),""))</f>
        <v/>
      </c>
      <c r="CA94" s="20" t="str">
        <f>IF($A94="","",IFERROR(_xlfn.XLOOKUP("F-"&amp;$A94,'Feeder Schedule'!$B$5:$B$254,'Feeder Schedule'!$F$5:$F$254),""))</f>
        <v/>
      </c>
      <c r="CB94" s="20" t="str">
        <f>IF($A94="","",IFERROR(_xlfn.XLOOKUP("F-"&amp;$A94,'Feeder Schedule'!$B$5:$B$254,'Feeder Schedule'!$G$5:$G$254),""))</f>
        <v/>
      </c>
      <c r="CD94" s="20" t="str" cm="1">
        <f t="array" ref="CD94">IFERROR(IF($A94="","",INDEX(_xlfn.ANCHORARRAY($BK$4),ROW()-5,6)),"")</f>
        <v/>
      </c>
      <c r="CE94" s="20" t="str">
        <f t="shared" si="29"/>
        <v/>
      </c>
      <c r="CF94" s="20" t="str">
        <f t="shared" si="30"/>
        <v/>
      </c>
      <c r="CG94" s="20" t="str">
        <f t="shared" si="27"/>
        <v/>
      </c>
      <c r="CH94" s="20" t="str" cm="1">
        <f t="array" ref="CH94">IF(OR($A94="",$BZ94="",$BW94="",$BX94=""),"",_xlfn.LET(_xlpm.mag,IFERROR(_xlfn.XLOOKUP($BX94,Race_Raceway,Race_Mag),""),IF(_xlpm.mag="","",IFERROR(INDEX(Cond_Table,MATCH($BZ94,Cond_Size,0),IF(UPPER($BW94)="AL",IF(_xlpm.mag="Y",10,12),IF(_xlpm.mag="Y",9,11))),""))))</f>
        <v/>
      </c>
      <c r="CI94" s="20" t="str">
        <f t="shared" si="28"/>
        <v/>
      </c>
      <c r="CJ94" s="20" t="str">
        <f>IF(OR($A94="",LEFT($A94,2)&lt;&gt;"T-"),"",IFERROR(_xlfn.LET(_xlpm.fla,_xlfn.XLOOKUP($A94,Transformers!$A$6:$A$105,Transformers!$AK$6:$AK$105),_xlpm.z,_xlfn.XLOOKUP($A94,Transformers!$A$6:$A$105,Transformers!$AX$6:$AX$105),IF(OR(_xlpm.fla="",_xlpm.z="",_xlpm.z=0),"",_xlpm.fla*100/_xlpm.z)),""))</f>
        <v/>
      </c>
      <c r="CK94" s="20" t="str">
        <f t="shared" si="31"/>
        <v/>
      </c>
      <c r="CL94" s="20" t="str">
        <f t="shared" si="32"/>
        <v/>
      </c>
      <c r="CM94" s="373"/>
      <c r="CO94" s="20" t="str">
        <f>IF(OR($A94="",LEFT($A94,2)&lt;&gt;"T-"),"",_xlfn.LET(_xlpm.ph,IFERROR(_xlfn.XLOOKUP($A94,Transformers!$A$6:$A$105,Transformers!$C$6:$C$105),""),_xlpm.rr,IFERROR(_xlfn.XLOOKUP($A94,Transformers!$A$6:$A$105,Transformers!$AG$6:$AG$105),""),_xlpm.xx,IFERROR(_xlfn.XLOOKUP($A94,Transformers!$A$6:$A$105,Transformers!$AI$6:$AI$105),""),IF(OR(_xlpm.ph&lt;&gt;1,NOT(ISNUMBER(_xlpm.rr)),NOT(ISNUMBER(_xlpm.xx))),"",SQRT((1.5*_xlpm.rr)^2+(1.2*_xlpm.xx)^2))))</f>
        <v/>
      </c>
      <c r="CP94" s="20" t="str">
        <f t="shared" si="33"/>
        <v/>
      </c>
    </row>
    <row r="95" spans="1:94" ht="15" customHeight="1" x14ac:dyDescent="0.45">
      <c r="A95" s="275" t="str" cm="1">
        <f t="array" ref="A95">IFERROR(IF(INDEX(_xlfn.ANCHORARRAY($BK$4),ROW()-5,1)="","",INDEX(_xlfn.ANCHORARRAY($BK$4),ROW()-5,1)),"")</f>
        <v/>
      </c>
      <c r="B95" s="25" t="str" cm="1">
        <f t="array" ref="B95">IFERROR(IF($A95="","",INDEX(_xlfn.ANCHORARRAY($BK$4),ROW()-5,5)),"")</f>
        <v/>
      </c>
      <c r="C95" s="178" t="str" cm="1">
        <f t="array" ref="C95">IFERROR(IF($A95="","",INDEX(_xlfn.ANCHORARRAY($BK$4),ROW()-5,7)),"")</f>
        <v/>
      </c>
      <c r="D95" s="177" t="str" cm="1">
        <f t="array" ref="D95">IFERROR(IF($A95="","",INDEX(_xlfn.ANCHORARRAY($BK$4),ROW()-5,3)),"")</f>
        <v/>
      </c>
      <c r="E95" s="25" t="str" cm="1">
        <f t="array" ref="E95">IFERROR(IF($A95="","",INDEX(_xlfn.ANCHORARRAY($BK$4),ROW()-5,2)),"")</f>
        <v/>
      </c>
      <c r="F95" s="177" t="str">
        <f t="shared" si="17"/>
        <v/>
      </c>
      <c r="G95" s="275" t="str">
        <f t="shared" si="18"/>
        <v/>
      </c>
      <c r="H95" s="180" t="str">
        <f t="shared" si="19"/>
        <v/>
      </c>
      <c r="I95" s="180" t="str">
        <f t="shared" si="20"/>
        <v/>
      </c>
      <c r="J95" s="177" t="str">
        <f>_xlfn.LET(_xlpm.v,_xlfn.LET(_xlpm.base,IF($A95="","",IF($C95=0,IFERROR(_xlfn.XLOOKUP($A95,Util_Tags,Util_SCAEff),""),IF(LEFT($A95,2)="T-",IF($CJ95="","",$CJ95/(1+IF($CL95="",0,$CL95))),IF(OR($F95="",$I95=""),"",$F95*$I95)))),_xlpm.gtag,IF(OR($A95="",NOT(OR($B95="ATS",$B95="MTS"))),"",IFERROR(_xlfn.XLOOKUP($A95,Dashboard!$A$101:$A$350,Dashboard!$L$101:$L$350,"")&amp;"","")),_xlpm.gkva,IF(_xlpm.gtag="",0,IFERROR(N(_xlfn.XLOOKUP(_xlpm.gtag,Generator!$B$53:$B$58,Generator!$S$53:$S$58,0)),0)),_xlpm.gxd,IF(_xlpm.gtag="",0,IFERROR(N(_xlfn.XLOOKUP(_xlpm.gtag,Generator!$B$53:$B$58,Generator!$U$53:$U$58,0)),0)),_xlpm.gamp,IF(OR(_xlpm.gkva=0,_xlpm.gxd=0,N($D95)=0),0,ROUND(_xlpm.gkva*1000/(IF(N($CB95)=1,1,SQRT(3))*$D95*_xlpm.gxd),0)),IF(OR(_xlpm.gamp=0,NOT(ISNUMBER(_xlpm.base))),_xlpm.base,MAX(_xlpm.base,_xlpm.gamp))),_xlpm.ulim,IF(OR($A95="",$B95&lt;&gt;"UPS"),"",IFERROR(IF(_xlfn.XLOOKUP($A95,UPS!$B$57:$B$64,UPS!$E$57:$E$64,"")="None",_xlfn.XLOOKUP($A95,UPS!$B$57:$B$64,UPS!$U$57:$U$64,""),""),"")),IF(AND(ISNUMBER(_xlpm.v),ISNUMBER(_xlpm.ulim)),MIN(_xlpm.v,_xlpm.ulim),_xlpm.v))</f>
        <v/>
      </c>
      <c r="K95" s="176"/>
      <c r="L95" s="177" t="str">
        <f t="shared" si="21"/>
        <v/>
      </c>
      <c r="M95" s="177" t="str">
        <f t="shared" si="22"/>
        <v/>
      </c>
      <c r="N95" s="380" t="str">
        <f>IF($A95="","",IF($C95=0,_xlfn.LET(_xlpm.x,IFERROR(_xlfn.XLOOKUP($A95,Util_Tags,Util_XR),""),IF(N(_xlpm.x)=0,Xfmr_DefXR,_xlpm.x)),IF(LEFT($A95,2)="T-",IFERROR(_xlfn.XLOOKUP($A95,Transformers!$A$6:$A$105,Transformers!$AH$6:$AH$105),Xfmr_DefXR),IFERROR(_xlfn.XLOOKUP($E95,$A$6:$A$255,$N$6:$N$255),Xfmr_DefXR))))</f>
        <v/>
      </c>
      <c r="O95" s="177" t="str">
        <f t="shared" si="23"/>
        <v/>
      </c>
      <c r="P95" s="210" t="str">
        <f>IF($A95="","",IF(LEFT($A95,2)="T-",IF($CO95="","",_xlfn.LET(_xlpm.k,IFERROR(_xlfn.XLOOKUP($A95,Transformers!$A$6:$A$105,Transformers!$G$6:$G$105),""),_xlpm.sv,IFERROR(_xlfn.XLOOKUP($A95,Transformers!$A$6:$A$105,Transformers!$E$6:$E$105),""),IF(OR(NOT(ISNUMBER(_xlpm.k)),NOT(ISNUMBER(_xlpm.sv)),_xlpm.sv=0),"",_xlfn.LET(_xlpm.iInf,(_xlpm.k*1000/(_xlpm.sv/2))*100/$CO95,_xlpm.pri,IF(OR($CK95="",$CK95=0),"",$CK95/2),_xlpm.base,IF(_xlpm.pri="",_xlpm.iInf,_xlpm.iInf/(1+_xlpm.iInf/_xlpm.pri)),_xlpm.base+IF($L95="",0,$L95))))),IF($CP95="","",_xlfn.LET(_xlpm.pI,IFERROR(_xlfn.XLOOKUP($E95,$A$6:$A$255,$P$6:$P$255),""),IF(NOT(ISNUMBER(_xlpm.pI)),"",_xlpm.pI/(1+$CP95)+IF($L95="",0,$L95))))))</f>
        <v/>
      </c>
      <c r="Q95" s="210" t="str">
        <f t="shared" si="24"/>
        <v/>
      </c>
      <c r="R95" s="177" t="str">
        <f>IF($A95="","",IF(OR($C95=0,LEFT($A95,2)="T-"),"",IFERROR(_xlfn.LET(_xlpm.v,_xlfn.XLOOKUP($A95,Dashboard!$A$101:$A$350,Dashboard!$K$101:$K$350),IF(ISNUMBER(_xlpm.v),_xlpm.v,"")),"")))</f>
        <v/>
      </c>
      <c r="S95" s="211" t="str">
        <f t="shared" si="25"/>
        <v/>
      </c>
      <c r="T95" s="25" t="str">
        <f t="shared" si="26"/>
        <v/>
      </c>
      <c r="U95" s="364"/>
      <c r="BV95" s="20" t="str">
        <f>IF($A95="","",IFERROR(_xlfn.XLOOKUP("F-"&amp;$A95,'Feeder Schedule'!$B$5:$B$254,'Feeder Schedule'!$H$5:$H$254),""))</f>
        <v/>
      </c>
      <c r="BW95" s="20" t="str">
        <f>IF($A95="","",IFERROR(_xlfn.XLOOKUP("F-"&amp;$A95,'Feeder Schedule'!$B$5:$B$254,'Feeder Schedule'!$BV$5:$BV$254),""))</f>
        <v/>
      </c>
      <c r="BX95" s="20" t="str">
        <f>IF($A95="","",IFERROR(_xlfn.LET(_xlpm.v,_xlfn.XLOOKUP("F-"&amp;$A95,'Feeder Schedule'!$B$5:$B$254,'Feeder Schedule'!$M$5:$M$254),IF(OR(_xlpm.v="",_xlpm.v=0),Cfg_Conduit,_xlpm.v)),""))</f>
        <v/>
      </c>
      <c r="BY95" s="20" t="str">
        <f>IF($A95="","",IFERROR(_xlfn.XLOOKUP("F-"&amp;$A95,'Feeder Schedule'!$B$5:$B$254,'Feeder Schedule'!$O$5:$O$254),""))</f>
        <v/>
      </c>
      <c r="BZ95" s="20" t="str">
        <f>IF($A95="","",IFERROR(_xlfn.XLOOKUP("F-"&amp;$A95,'Feeder Schedule'!$B$5:$B$254,'Feeder Schedule'!$CH$5:$CH$254),""))</f>
        <v/>
      </c>
      <c r="CA95" s="20" t="str">
        <f>IF($A95="","",IFERROR(_xlfn.XLOOKUP("F-"&amp;$A95,'Feeder Schedule'!$B$5:$B$254,'Feeder Schedule'!$F$5:$F$254),""))</f>
        <v/>
      </c>
      <c r="CB95" s="20" t="str">
        <f>IF($A95="","",IFERROR(_xlfn.XLOOKUP("F-"&amp;$A95,'Feeder Schedule'!$B$5:$B$254,'Feeder Schedule'!$G$5:$G$254),""))</f>
        <v/>
      </c>
      <c r="CD95" s="20" t="str" cm="1">
        <f t="array" ref="CD95">IFERROR(IF($A95="","",INDEX(_xlfn.ANCHORARRAY($BK$4),ROW()-5,6)),"")</f>
        <v/>
      </c>
      <c r="CE95" s="20" t="str">
        <f t="shared" si="29"/>
        <v/>
      </c>
      <c r="CF95" s="20" t="str">
        <f t="shared" si="30"/>
        <v/>
      </c>
      <c r="CG95" s="20" t="str">
        <f t="shared" si="27"/>
        <v/>
      </c>
      <c r="CH95" s="20" t="str" cm="1">
        <f t="array" ref="CH95">IF(OR($A95="",$BZ95="",$BW95="",$BX95=""),"",_xlfn.LET(_xlpm.mag,IFERROR(_xlfn.XLOOKUP($BX95,Race_Raceway,Race_Mag),""),IF(_xlpm.mag="","",IFERROR(INDEX(Cond_Table,MATCH($BZ95,Cond_Size,0),IF(UPPER($BW95)="AL",IF(_xlpm.mag="Y",10,12),IF(_xlpm.mag="Y",9,11))),""))))</f>
        <v/>
      </c>
      <c r="CI95" s="20" t="str">
        <f t="shared" si="28"/>
        <v/>
      </c>
      <c r="CJ95" s="20" t="str">
        <f>IF(OR($A95="",LEFT($A95,2)&lt;&gt;"T-"),"",IFERROR(_xlfn.LET(_xlpm.fla,_xlfn.XLOOKUP($A95,Transformers!$A$6:$A$105,Transformers!$AK$6:$AK$105),_xlpm.z,_xlfn.XLOOKUP($A95,Transformers!$A$6:$A$105,Transformers!$AX$6:$AX$105),IF(OR(_xlpm.fla="",_xlpm.z="",_xlpm.z=0),"",_xlpm.fla*100/_xlpm.z)),""))</f>
        <v/>
      </c>
      <c r="CK95" s="20" t="str">
        <f t="shared" si="31"/>
        <v/>
      </c>
      <c r="CL95" s="20" t="str">
        <f t="shared" si="32"/>
        <v/>
      </c>
      <c r="CM95" s="373"/>
      <c r="CO95" s="20" t="str">
        <f>IF(OR($A95="",LEFT($A95,2)&lt;&gt;"T-"),"",_xlfn.LET(_xlpm.ph,IFERROR(_xlfn.XLOOKUP($A95,Transformers!$A$6:$A$105,Transformers!$C$6:$C$105),""),_xlpm.rr,IFERROR(_xlfn.XLOOKUP($A95,Transformers!$A$6:$A$105,Transformers!$AG$6:$AG$105),""),_xlpm.xx,IFERROR(_xlfn.XLOOKUP($A95,Transformers!$A$6:$A$105,Transformers!$AI$6:$AI$105),""),IF(OR(_xlpm.ph&lt;&gt;1,NOT(ISNUMBER(_xlpm.rr)),NOT(ISNUMBER(_xlpm.xx))),"",SQRT((1.5*_xlpm.rr)^2+(1.2*_xlpm.xx)^2))))</f>
        <v/>
      </c>
      <c r="CP95" s="20" t="str">
        <f t="shared" si="33"/>
        <v/>
      </c>
    </row>
    <row r="96" spans="1:94" ht="15" customHeight="1" x14ac:dyDescent="0.45">
      <c r="A96" s="275" t="str" cm="1">
        <f t="array" ref="A96">IFERROR(IF(INDEX(_xlfn.ANCHORARRAY($BK$4),ROW()-5,1)="","",INDEX(_xlfn.ANCHORARRAY($BK$4),ROW()-5,1)),"")</f>
        <v/>
      </c>
      <c r="B96" s="25" t="str" cm="1">
        <f t="array" ref="B96">IFERROR(IF($A96="","",INDEX(_xlfn.ANCHORARRAY($BK$4),ROW()-5,5)),"")</f>
        <v/>
      </c>
      <c r="C96" s="178" t="str" cm="1">
        <f t="array" ref="C96">IFERROR(IF($A96="","",INDEX(_xlfn.ANCHORARRAY($BK$4),ROW()-5,7)),"")</f>
        <v/>
      </c>
      <c r="D96" s="177" t="str" cm="1">
        <f t="array" ref="D96">IFERROR(IF($A96="","",INDEX(_xlfn.ANCHORARRAY($BK$4),ROW()-5,3)),"")</f>
        <v/>
      </c>
      <c r="E96" s="25" t="str" cm="1">
        <f t="array" ref="E96">IFERROR(IF($A96="","",INDEX(_xlfn.ANCHORARRAY($BK$4),ROW()-5,2)),"")</f>
        <v/>
      </c>
      <c r="F96" s="177" t="str">
        <f t="shared" si="17"/>
        <v/>
      </c>
      <c r="G96" s="275" t="str">
        <f t="shared" si="18"/>
        <v/>
      </c>
      <c r="H96" s="180" t="str">
        <f t="shared" si="19"/>
        <v/>
      </c>
      <c r="I96" s="180" t="str">
        <f t="shared" si="20"/>
        <v/>
      </c>
      <c r="J96" s="177" t="str">
        <f>_xlfn.LET(_xlpm.v,_xlfn.LET(_xlpm.base,IF($A96="","",IF($C96=0,IFERROR(_xlfn.XLOOKUP($A96,Util_Tags,Util_SCAEff),""),IF(LEFT($A96,2)="T-",IF($CJ96="","",$CJ96/(1+IF($CL96="",0,$CL96))),IF(OR($F96="",$I96=""),"",$F96*$I96)))),_xlpm.gtag,IF(OR($A96="",NOT(OR($B96="ATS",$B96="MTS"))),"",IFERROR(_xlfn.XLOOKUP($A96,Dashboard!$A$101:$A$350,Dashboard!$L$101:$L$350,"")&amp;"","")),_xlpm.gkva,IF(_xlpm.gtag="",0,IFERROR(N(_xlfn.XLOOKUP(_xlpm.gtag,Generator!$B$53:$B$58,Generator!$S$53:$S$58,0)),0)),_xlpm.gxd,IF(_xlpm.gtag="",0,IFERROR(N(_xlfn.XLOOKUP(_xlpm.gtag,Generator!$B$53:$B$58,Generator!$U$53:$U$58,0)),0)),_xlpm.gamp,IF(OR(_xlpm.gkva=0,_xlpm.gxd=0,N($D96)=0),0,ROUND(_xlpm.gkva*1000/(IF(N($CB96)=1,1,SQRT(3))*$D96*_xlpm.gxd),0)),IF(OR(_xlpm.gamp=0,NOT(ISNUMBER(_xlpm.base))),_xlpm.base,MAX(_xlpm.base,_xlpm.gamp))),_xlpm.ulim,IF(OR($A96="",$B96&lt;&gt;"UPS"),"",IFERROR(IF(_xlfn.XLOOKUP($A96,UPS!$B$57:$B$64,UPS!$E$57:$E$64,"")="None",_xlfn.XLOOKUP($A96,UPS!$B$57:$B$64,UPS!$U$57:$U$64,""),""),"")),IF(AND(ISNUMBER(_xlpm.v),ISNUMBER(_xlpm.ulim)),MIN(_xlpm.v,_xlpm.ulim),_xlpm.v))</f>
        <v/>
      </c>
      <c r="K96" s="176"/>
      <c r="L96" s="177" t="str">
        <f t="shared" si="21"/>
        <v/>
      </c>
      <c r="M96" s="177" t="str">
        <f t="shared" si="22"/>
        <v/>
      </c>
      <c r="N96" s="380" t="str">
        <f>IF($A96="","",IF($C96=0,_xlfn.LET(_xlpm.x,IFERROR(_xlfn.XLOOKUP($A96,Util_Tags,Util_XR),""),IF(N(_xlpm.x)=0,Xfmr_DefXR,_xlpm.x)),IF(LEFT($A96,2)="T-",IFERROR(_xlfn.XLOOKUP($A96,Transformers!$A$6:$A$105,Transformers!$AH$6:$AH$105),Xfmr_DefXR),IFERROR(_xlfn.XLOOKUP($E96,$A$6:$A$255,$N$6:$N$255),Xfmr_DefXR))))</f>
        <v/>
      </c>
      <c r="O96" s="177" t="str">
        <f t="shared" si="23"/>
        <v/>
      </c>
      <c r="P96" s="210" t="str">
        <f>IF($A96="","",IF(LEFT($A96,2)="T-",IF($CO96="","",_xlfn.LET(_xlpm.k,IFERROR(_xlfn.XLOOKUP($A96,Transformers!$A$6:$A$105,Transformers!$G$6:$G$105),""),_xlpm.sv,IFERROR(_xlfn.XLOOKUP($A96,Transformers!$A$6:$A$105,Transformers!$E$6:$E$105),""),IF(OR(NOT(ISNUMBER(_xlpm.k)),NOT(ISNUMBER(_xlpm.sv)),_xlpm.sv=0),"",_xlfn.LET(_xlpm.iInf,(_xlpm.k*1000/(_xlpm.sv/2))*100/$CO96,_xlpm.pri,IF(OR($CK96="",$CK96=0),"",$CK96/2),_xlpm.base,IF(_xlpm.pri="",_xlpm.iInf,_xlpm.iInf/(1+_xlpm.iInf/_xlpm.pri)),_xlpm.base+IF($L96="",0,$L96))))),IF($CP96="","",_xlfn.LET(_xlpm.pI,IFERROR(_xlfn.XLOOKUP($E96,$A$6:$A$255,$P$6:$P$255),""),IF(NOT(ISNUMBER(_xlpm.pI)),"",_xlpm.pI/(1+$CP96)+IF($L96="",0,$L96))))))</f>
        <v/>
      </c>
      <c r="Q96" s="210" t="str">
        <f t="shared" si="24"/>
        <v/>
      </c>
      <c r="R96" s="177" t="str">
        <f>IF($A96="","",IF(OR($C96=0,LEFT($A96,2)="T-"),"",IFERROR(_xlfn.LET(_xlpm.v,_xlfn.XLOOKUP($A96,Dashboard!$A$101:$A$350,Dashboard!$K$101:$K$350),IF(ISNUMBER(_xlpm.v),_xlpm.v,"")),"")))</f>
        <v/>
      </c>
      <c r="S96" s="211" t="str">
        <f t="shared" si="25"/>
        <v/>
      </c>
      <c r="T96" s="25" t="str">
        <f t="shared" si="26"/>
        <v/>
      </c>
      <c r="U96" s="364"/>
      <c r="BV96" s="20" t="str">
        <f>IF($A96="","",IFERROR(_xlfn.XLOOKUP("F-"&amp;$A96,'Feeder Schedule'!$B$5:$B$254,'Feeder Schedule'!$H$5:$H$254),""))</f>
        <v/>
      </c>
      <c r="BW96" s="20" t="str">
        <f>IF($A96="","",IFERROR(_xlfn.XLOOKUP("F-"&amp;$A96,'Feeder Schedule'!$B$5:$B$254,'Feeder Schedule'!$BV$5:$BV$254),""))</f>
        <v/>
      </c>
      <c r="BX96" s="20" t="str">
        <f>IF($A96="","",IFERROR(_xlfn.LET(_xlpm.v,_xlfn.XLOOKUP("F-"&amp;$A96,'Feeder Schedule'!$B$5:$B$254,'Feeder Schedule'!$M$5:$M$254),IF(OR(_xlpm.v="",_xlpm.v=0),Cfg_Conduit,_xlpm.v)),""))</f>
        <v/>
      </c>
      <c r="BY96" s="20" t="str">
        <f>IF($A96="","",IFERROR(_xlfn.XLOOKUP("F-"&amp;$A96,'Feeder Schedule'!$B$5:$B$254,'Feeder Schedule'!$O$5:$O$254),""))</f>
        <v/>
      </c>
      <c r="BZ96" s="20" t="str">
        <f>IF($A96="","",IFERROR(_xlfn.XLOOKUP("F-"&amp;$A96,'Feeder Schedule'!$B$5:$B$254,'Feeder Schedule'!$CH$5:$CH$254),""))</f>
        <v/>
      </c>
      <c r="CA96" s="20" t="str">
        <f>IF($A96="","",IFERROR(_xlfn.XLOOKUP("F-"&amp;$A96,'Feeder Schedule'!$B$5:$B$254,'Feeder Schedule'!$F$5:$F$254),""))</f>
        <v/>
      </c>
      <c r="CB96" s="20" t="str">
        <f>IF($A96="","",IFERROR(_xlfn.XLOOKUP("F-"&amp;$A96,'Feeder Schedule'!$B$5:$B$254,'Feeder Schedule'!$G$5:$G$254),""))</f>
        <v/>
      </c>
      <c r="CD96" s="20" t="str" cm="1">
        <f t="array" ref="CD96">IFERROR(IF($A96="","",INDEX(_xlfn.ANCHORARRAY($BK$4),ROW()-5,6)),"")</f>
        <v/>
      </c>
      <c r="CE96" s="20" t="str">
        <f t="shared" si="29"/>
        <v/>
      </c>
      <c r="CF96" s="20" t="str">
        <f t="shared" si="30"/>
        <v/>
      </c>
      <c r="CG96" s="20" t="str">
        <f t="shared" si="27"/>
        <v/>
      </c>
      <c r="CH96" s="20" t="str" cm="1">
        <f t="array" ref="CH96">IF(OR($A96="",$BZ96="",$BW96="",$BX96=""),"",_xlfn.LET(_xlpm.mag,IFERROR(_xlfn.XLOOKUP($BX96,Race_Raceway,Race_Mag),""),IF(_xlpm.mag="","",IFERROR(INDEX(Cond_Table,MATCH($BZ96,Cond_Size,0),IF(UPPER($BW96)="AL",IF(_xlpm.mag="Y",10,12),IF(_xlpm.mag="Y",9,11))),""))))</f>
        <v/>
      </c>
      <c r="CI96" s="20" t="str">
        <f t="shared" si="28"/>
        <v/>
      </c>
      <c r="CJ96" s="20" t="str">
        <f>IF(OR($A96="",LEFT($A96,2)&lt;&gt;"T-"),"",IFERROR(_xlfn.LET(_xlpm.fla,_xlfn.XLOOKUP($A96,Transformers!$A$6:$A$105,Transformers!$AK$6:$AK$105),_xlpm.z,_xlfn.XLOOKUP($A96,Transformers!$A$6:$A$105,Transformers!$AX$6:$AX$105),IF(OR(_xlpm.fla="",_xlpm.z="",_xlpm.z=0),"",_xlpm.fla*100/_xlpm.z)),""))</f>
        <v/>
      </c>
      <c r="CK96" s="20" t="str">
        <f t="shared" si="31"/>
        <v/>
      </c>
      <c r="CL96" s="20" t="str">
        <f t="shared" si="32"/>
        <v/>
      </c>
      <c r="CM96" s="373"/>
      <c r="CO96" s="20" t="str">
        <f>IF(OR($A96="",LEFT($A96,2)&lt;&gt;"T-"),"",_xlfn.LET(_xlpm.ph,IFERROR(_xlfn.XLOOKUP($A96,Transformers!$A$6:$A$105,Transformers!$C$6:$C$105),""),_xlpm.rr,IFERROR(_xlfn.XLOOKUP($A96,Transformers!$A$6:$A$105,Transformers!$AG$6:$AG$105),""),_xlpm.xx,IFERROR(_xlfn.XLOOKUP($A96,Transformers!$A$6:$A$105,Transformers!$AI$6:$AI$105),""),IF(OR(_xlpm.ph&lt;&gt;1,NOT(ISNUMBER(_xlpm.rr)),NOT(ISNUMBER(_xlpm.xx))),"",SQRT((1.5*_xlpm.rr)^2+(1.2*_xlpm.xx)^2))))</f>
        <v/>
      </c>
      <c r="CP96" s="20" t="str">
        <f t="shared" si="33"/>
        <v/>
      </c>
    </row>
    <row r="97" spans="1:94" ht="15" customHeight="1" x14ac:dyDescent="0.45">
      <c r="A97" s="275" t="str" cm="1">
        <f t="array" ref="A97">IFERROR(IF(INDEX(_xlfn.ANCHORARRAY($BK$4),ROW()-5,1)="","",INDEX(_xlfn.ANCHORARRAY($BK$4),ROW()-5,1)),"")</f>
        <v/>
      </c>
      <c r="B97" s="25" t="str" cm="1">
        <f t="array" ref="B97">IFERROR(IF($A97="","",INDEX(_xlfn.ANCHORARRAY($BK$4),ROW()-5,5)),"")</f>
        <v/>
      </c>
      <c r="C97" s="178" t="str" cm="1">
        <f t="array" ref="C97">IFERROR(IF($A97="","",INDEX(_xlfn.ANCHORARRAY($BK$4),ROW()-5,7)),"")</f>
        <v/>
      </c>
      <c r="D97" s="177" t="str" cm="1">
        <f t="array" ref="D97">IFERROR(IF($A97="","",INDEX(_xlfn.ANCHORARRAY($BK$4),ROW()-5,3)),"")</f>
        <v/>
      </c>
      <c r="E97" s="25" t="str" cm="1">
        <f t="array" ref="E97">IFERROR(IF($A97="","",INDEX(_xlfn.ANCHORARRAY($BK$4),ROW()-5,2)),"")</f>
        <v/>
      </c>
      <c r="F97" s="177" t="str">
        <f t="shared" si="17"/>
        <v/>
      </c>
      <c r="G97" s="275" t="str">
        <f t="shared" si="18"/>
        <v/>
      </c>
      <c r="H97" s="180" t="str">
        <f t="shared" si="19"/>
        <v/>
      </c>
      <c r="I97" s="180" t="str">
        <f t="shared" si="20"/>
        <v/>
      </c>
      <c r="J97" s="177" t="str">
        <f>_xlfn.LET(_xlpm.v,_xlfn.LET(_xlpm.base,IF($A97="","",IF($C97=0,IFERROR(_xlfn.XLOOKUP($A97,Util_Tags,Util_SCAEff),""),IF(LEFT($A97,2)="T-",IF($CJ97="","",$CJ97/(1+IF($CL97="",0,$CL97))),IF(OR($F97="",$I97=""),"",$F97*$I97)))),_xlpm.gtag,IF(OR($A97="",NOT(OR($B97="ATS",$B97="MTS"))),"",IFERROR(_xlfn.XLOOKUP($A97,Dashboard!$A$101:$A$350,Dashboard!$L$101:$L$350,"")&amp;"","")),_xlpm.gkva,IF(_xlpm.gtag="",0,IFERROR(N(_xlfn.XLOOKUP(_xlpm.gtag,Generator!$B$53:$B$58,Generator!$S$53:$S$58,0)),0)),_xlpm.gxd,IF(_xlpm.gtag="",0,IFERROR(N(_xlfn.XLOOKUP(_xlpm.gtag,Generator!$B$53:$B$58,Generator!$U$53:$U$58,0)),0)),_xlpm.gamp,IF(OR(_xlpm.gkva=0,_xlpm.gxd=0,N($D97)=0),0,ROUND(_xlpm.gkva*1000/(IF(N($CB97)=1,1,SQRT(3))*$D97*_xlpm.gxd),0)),IF(OR(_xlpm.gamp=0,NOT(ISNUMBER(_xlpm.base))),_xlpm.base,MAX(_xlpm.base,_xlpm.gamp))),_xlpm.ulim,IF(OR($A97="",$B97&lt;&gt;"UPS"),"",IFERROR(IF(_xlfn.XLOOKUP($A97,UPS!$B$57:$B$64,UPS!$E$57:$E$64,"")="None",_xlfn.XLOOKUP($A97,UPS!$B$57:$B$64,UPS!$U$57:$U$64,""),""),"")),IF(AND(ISNUMBER(_xlpm.v),ISNUMBER(_xlpm.ulim)),MIN(_xlpm.v,_xlpm.ulim),_xlpm.v))</f>
        <v/>
      </c>
      <c r="K97" s="176"/>
      <c r="L97" s="177" t="str">
        <f t="shared" si="21"/>
        <v/>
      </c>
      <c r="M97" s="177" t="str">
        <f t="shared" si="22"/>
        <v/>
      </c>
      <c r="N97" s="380" t="str">
        <f>IF($A97="","",IF($C97=0,_xlfn.LET(_xlpm.x,IFERROR(_xlfn.XLOOKUP($A97,Util_Tags,Util_XR),""),IF(N(_xlpm.x)=0,Xfmr_DefXR,_xlpm.x)),IF(LEFT($A97,2)="T-",IFERROR(_xlfn.XLOOKUP($A97,Transformers!$A$6:$A$105,Transformers!$AH$6:$AH$105),Xfmr_DefXR),IFERROR(_xlfn.XLOOKUP($E97,$A$6:$A$255,$N$6:$N$255),Xfmr_DefXR))))</f>
        <v/>
      </c>
      <c r="O97" s="177" t="str">
        <f t="shared" si="23"/>
        <v/>
      </c>
      <c r="P97" s="210" t="str">
        <f>IF($A97="","",IF(LEFT($A97,2)="T-",IF($CO97="","",_xlfn.LET(_xlpm.k,IFERROR(_xlfn.XLOOKUP($A97,Transformers!$A$6:$A$105,Transformers!$G$6:$G$105),""),_xlpm.sv,IFERROR(_xlfn.XLOOKUP($A97,Transformers!$A$6:$A$105,Transformers!$E$6:$E$105),""),IF(OR(NOT(ISNUMBER(_xlpm.k)),NOT(ISNUMBER(_xlpm.sv)),_xlpm.sv=0),"",_xlfn.LET(_xlpm.iInf,(_xlpm.k*1000/(_xlpm.sv/2))*100/$CO97,_xlpm.pri,IF(OR($CK97="",$CK97=0),"",$CK97/2),_xlpm.base,IF(_xlpm.pri="",_xlpm.iInf,_xlpm.iInf/(1+_xlpm.iInf/_xlpm.pri)),_xlpm.base+IF($L97="",0,$L97))))),IF($CP97="","",_xlfn.LET(_xlpm.pI,IFERROR(_xlfn.XLOOKUP($E97,$A$6:$A$255,$P$6:$P$255),""),IF(NOT(ISNUMBER(_xlpm.pI)),"",_xlpm.pI/(1+$CP97)+IF($L97="",0,$L97))))))</f>
        <v/>
      </c>
      <c r="Q97" s="210" t="str">
        <f t="shared" si="24"/>
        <v/>
      </c>
      <c r="R97" s="177" t="str">
        <f>IF($A97="","",IF(OR($C97=0,LEFT($A97,2)="T-"),"",IFERROR(_xlfn.LET(_xlpm.v,_xlfn.XLOOKUP($A97,Dashboard!$A$101:$A$350,Dashboard!$K$101:$K$350),IF(ISNUMBER(_xlpm.v),_xlpm.v,"")),"")))</f>
        <v/>
      </c>
      <c r="S97" s="211" t="str">
        <f t="shared" si="25"/>
        <v/>
      </c>
      <c r="T97" s="25" t="str">
        <f t="shared" si="26"/>
        <v/>
      </c>
      <c r="U97" s="364"/>
      <c r="BV97" s="20" t="str">
        <f>IF($A97="","",IFERROR(_xlfn.XLOOKUP("F-"&amp;$A97,'Feeder Schedule'!$B$5:$B$254,'Feeder Schedule'!$H$5:$H$254),""))</f>
        <v/>
      </c>
      <c r="BW97" s="20" t="str">
        <f>IF($A97="","",IFERROR(_xlfn.XLOOKUP("F-"&amp;$A97,'Feeder Schedule'!$B$5:$B$254,'Feeder Schedule'!$BV$5:$BV$254),""))</f>
        <v/>
      </c>
      <c r="BX97" s="20" t="str">
        <f>IF($A97="","",IFERROR(_xlfn.LET(_xlpm.v,_xlfn.XLOOKUP("F-"&amp;$A97,'Feeder Schedule'!$B$5:$B$254,'Feeder Schedule'!$M$5:$M$254),IF(OR(_xlpm.v="",_xlpm.v=0),Cfg_Conduit,_xlpm.v)),""))</f>
        <v/>
      </c>
      <c r="BY97" s="20" t="str">
        <f>IF($A97="","",IFERROR(_xlfn.XLOOKUP("F-"&amp;$A97,'Feeder Schedule'!$B$5:$B$254,'Feeder Schedule'!$O$5:$O$254),""))</f>
        <v/>
      </c>
      <c r="BZ97" s="20" t="str">
        <f>IF($A97="","",IFERROR(_xlfn.XLOOKUP("F-"&amp;$A97,'Feeder Schedule'!$B$5:$B$254,'Feeder Schedule'!$CH$5:$CH$254),""))</f>
        <v/>
      </c>
      <c r="CA97" s="20" t="str">
        <f>IF($A97="","",IFERROR(_xlfn.XLOOKUP("F-"&amp;$A97,'Feeder Schedule'!$B$5:$B$254,'Feeder Schedule'!$F$5:$F$254),""))</f>
        <v/>
      </c>
      <c r="CB97" s="20" t="str">
        <f>IF($A97="","",IFERROR(_xlfn.XLOOKUP("F-"&amp;$A97,'Feeder Schedule'!$B$5:$B$254,'Feeder Schedule'!$G$5:$G$254),""))</f>
        <v/>
      </c>
      <c r="CD97" s="20" t="str" cm="1">
        <f t="array" ref="CD97">IFERROR(IF($A97="","",INDEX(_xlfn.ANCHORARRAY($BK$4),ROW()-5,6)),"")</f>
        <v/>
      </c>
      <c r="CE97" s="20" t="str">
        <f t="shared" si="29"/>
        <v/>
      </c>
      <c r="CF97" s="20" t="str">
        <f t="shared" si="30"/>
        <v/>
      </c>
      <c r="CG97" s="20" t="str">
        <f t="shared" si="27"/>
        <v/>
      </c>
      <c r="CH97" s="20" t="str" cm="1">
        <f t="array" ref="CH97">IF(OR($A97="",$BZ97="",$BW97="",$BX97=""),"",_xlfn.LET(_xlpm.mag,IFERROR(_xlfn.XLOOKUP($BX97,Race_Raceway,Race_Mag),""),IF(_xlpm.mag="","",IFERROR(INDEX(Cond_Table,MATCH($BZ97,Cond_Size,0),IF(UPPER($BW97)="AL",IF(_xlpm.mag="Y",10,12),IF(_xlpm.mag="Y",9,11))),""))))</f>
        <v/>
      </c>
      <c r="CI97" s="20" t="str">
        <f t="shared" si="28"/>
        <v/>
      </c>
      <c r="CJ97" s="20" t="str">
        <f>IF(OR($A97="",LEFT($A97,2)&lt;&gt;"T-"),"",IFERROR(_xlfn.LET(_xlpm.fla,_xlfn.XLOOKUP($A97,Transformers!$A$6:$A$105,Transformers!$AK$6:$AK$105),_xlpm.z,_xlfn.XLOOKUP($A97,Transformers!$A$6:$A$105,Transformers!$AX$6:$AX$105),IF(OR(_xlpm.fla="",_xlpm.z="",_xlpm.z=0),"",_xlpm.fla*100/_xlpm.z)),""))</f>
        <v/>
      </c>
      <c r="CK97" s="20" t="str">
        <f t="shared" si="31"/>
        <v/>
      </c>
      <c r="CL97" s="20" t="str">
        <f t="shared" si="32"/>
        <v/>
      </c>
      <c r="CM97" s="373"/>
      <c r="CO97" s="20" t="str">
        <f>IF(OR($A97="",LEFT($A97,2)&lt;&gt;"T-"),"",_xlfn.LET(_xlpm.ph,IFERROR(_xlfn.XLOOKUP($A97,Transformers!$A$6:$A$105,Transformers!$C$6:$C$105),""),_xlpm.rr,IFERROR(_xlfn.XLOOKUP($A97,Transformers!$A$6:$A$105,Transformers!$AG$6:$AG$105),""),_xlpm.xx,IFERROR(_xlfn.XLOOKUP($A97,Transformers!$A$6:$A$105,Transformers!$AI$6:$AI$105),""),IF(OR(_xlpm.ph&lt;&gt;1,NOT(ISNUMBER(_xlpm.rr)),NOT(ISNUMBER(_xlpm.xx))),"",SQRT((1.5*_xlpm.rr)^2+(1.2*_xlpm.xx)^2))))</f>
        <v/>
      </c>
      <c r="CP97" s="20" t="str">
        <f t="shared" si="33"/>
        <v/>
      </c>
    </row>
    <row r="98" spans="1:94" ht="15" customHeight="1" x14ac:dyDescent="0.45">
      <c r="A98" s="275" t="str" cm="1">
        <f t="array" ref="A98">IFERROR(IF(INDEX(_xlfn.ANCHORARRAY($BK$4),ROW()-5,1)="","",INDEX(_xlfn.ANCHORARRAY($BK$4),ROW()-5,1)),"")</f>
        <v/>
      </c>
      <c r="B98" s="25" t="str" cm="1">
        <f t="array" ref="B98">IFERROR(IF($A98="","",INDEX(_xlfn.ANCHORARRAY($BK$4),ROW()-5,5)),"")</f>
        <v/>
      </c>
      <c r="C98" s="178" t="str" cm="1">
        <f t="array" ref="C98">IFERROR(IF($A98="","",INDEX(_xlfn.ANCHORARRAY($BK$4),ROW()-5,7)),"")</f>
        <v/>
      </c>
      <c r="D98" s="177" t="str" cm="1">
        <f t="array" ref="D98">IFERROR(IF($A98="","",INDEX(_xlfn.ANCHORARRAY($BK$4),ROW()-5,3)),"")</f>
        <v/>
      </c>
      <c r="E98" s="25" t="str" cm="1">
        <f t="array" ref="E98">IFERROR(IF($A98="","",INDEX(_xlfn.ANCHORARRAY($BK$4),ROW()-5,2)),"")</f>
        <v/>
      </c>
      <c r="F98" s="177" t="str">
        <f t="shared" si="17"/>
        <v/>
      </c>
      <c r="G98" s="275" t="str">
        <f t="shared" si="18"/>
        <v/>
      </c>
      <c r="H98" s="180" t="str">
        <f t="shared" si="19"/>
        <v/>
      </c>
      <c r="I98" s="180" t="str">
        <f t="shared" si="20"/>
        <v/>
      </c>
      <c r="J98" s="177" t="str">
        <f>_xlfn.LET(_xlpm.v,_xlfn.LET(_xlpm.base,IF($A98="","",IF($C98=0,IFERROR(_xlfn.XLOOKUP($A98,Util_Tags,Util_SCAEff),""),IF(LEFT($A98,2)="T-",IF($CJ98="","",$CJ98/(1+IF($CL98="",0,$CL98))),IF(OR($F98="",$I98=""),"",$F98*$I98)))),_xlpm.gtag,IF(OR($A98="",NOT(OR($B98="ATS",$B98="MTS"))),"",IFERROR(_xlfn.XLOOKUP($A98,Dashboard!$A$101:$A$350,Dashboard!$L$101:$L$350,"")&amp;"","")),_xlpm.gkva,IF(_xlpm.gtag="",0,IFERROR(N(_xlfn.XLOOKUP(_xlpm.gtag,Generator!$B$53:$B$58,Generator!$S$53:$S$58,0)),0)),_xlpm.gxd,IF(_xlpm.gtag="",0,IFERROR(N(_xlfn.XLOOKUP(_xlpm.gtag,Generator!$B$53:$B$58,Generator!$U$53:$U$58,0)),0)),_xlpm.gamp,IF(OR(_xlpm.gkva=0,_xlpm.gxd=0,N($D98)=0),0,ROUND(_xlpm.gkva*1000/(IF(N($CB98)=1,1,SQRT(3))*$D98*_xlpm.gxd),0)),IF(OR(_xlpm.gamp=0,NOT(ISNUMBER(_xlpm.base))),_xlpm.base,MAX(_xlpm.base,_xlpm.gamp))),_xlpm.ulim,IF(OR($A98="",$B98&lt;&gt;"UPS"),"",IFERROR(IF(_xlfn.XLOOKUP($A98,UPS!$B$57:$B$64,UPS!$E$57:$E$64,"")="None",_xlfn.XLOOKUP($A98,UPS!$B$57:$B$64,UPS!$U$57:$U$64,""),""),"")),IF(AND(ISNUMBER(_xlpm.v),ISNUMBER(_xlpm.ulim)),MIN(_xlpm.v,_xlpm.ulim),_xlpm.v))</f>
        <v/>
      </c>
      <c r="K98" s="176"/>
      <c r="L98" s="177" t="str">
        <f t="shared" si="21"/>
        <v/>
      </c>
      <c r="M98" s="177" t="str">
        <f t="shared" si="22"/>
        <v/>
      </c>
      <c r="N98" s="380" t="str">
        <f>IF($A98="","",IF($C98=0,_xlfn.LET(_xlpm.x,IFERROR(_xlfn.XLOOKUP($A98,Util_Tags,Util_XR),""),IF(N(_xlpm.x)=0,Xfmr_DefXR,_xlpm.x)),IF(LEFT($A98,2)="T-",IFERROR(_xlfn.XLOOKUP($A98,Transformers!$A$6:$A$105,Transformers!$AH$6:$AH$105),Xfmr_DefXR),IFERROR(_xlfn.XLOOKUP($E98,$A$6:$A$255,$N$6:$N$255),Xfmr_DefXR))))</f>
        <v/>
      </c>
      <c r="O98" s="177" t="str">
        <f t="shared" si="23"/>
        <v/>
      </c>
      <c r="P98" s="210" t="str">
        <f>IF($A98="","",IF(LEFT($A98,2)="T-",IF($CO98="","",_xlfn.LET(_xlpm.k,IFERROR(_xlfn.XLOOKUP($A98,Transformers!$A$6:$A$105,Transformers!$G$6:$G$105),""),_xlpm.sv,IFERROR(_xlfn.XLOOKUP($A98,Transformers!$A$6:$A$105,Transformers!$E$6:$E$105),""),IF(OR(NOT(ISNUMBER(_xlpm.k)),NOT(ISNUMBER(_xlpm.sv)),_xlpm.sv=0),"",_xlfn.LET(_xlpm.iInf,(_xlpm.k*1000/(_xlpm.sv/2))*100/$CO98,_xlpm.pri,IF(OR($CK98="",$CK98=0),"",$CK98/2),_xlpm.base,IF(_xlpm.pri="",_xlpm.iInf,_xlpm.iInf/(1+_xlpm.iInf/_xlpm.pri)),_xlpm.base+IF($L98="",0,$L98))))),IF($CP98="","",_xlfn.LET(_xlpm.pI,IFERROR(_xlfn.XLOOKUP($E98,$A$6:$A$255,$P$6:$P$255),""),IF(NOT(ISNUMBER(_xlpm.pI)),"",_xlpm.pI/(1+$CP98)+IF($L98="",0,$L98))))))</f>
        <v/>
      </c>
      <c r="Q98" s="210" t="str">
        <f t="shared" si="24"/>
        <v/>
      </c>
      <c r="R98" s="177" t="str">
        <f>IF($A98="","",IF(OR($C98=0,LEFT($A98,2)="T-"),"",IFERROR(_xlfn.LET(_xlpm.v,_xlfn.XLOOKUP($A98,Dashboard!$A$101:$A$350,Dashboard!$K$101:$K$350),IF(ISNUMBER(_xlpm.v),_xlpm.v,"")),"")))</f>
        <v/>
      </c>
      <c r="S98" s="211" t="str">
        <f t="shared" si="25"/>
        <v/>
      </c>
      <c r="T98" s="25" t="str">
        <f t="shared" si="26"/>
        <v/>
      </c>
      <c r="U98" s="364"/>
      <c r="BV98" s="20" t="str">
        <f>IF($A98="","",IFERROR(_xlfn.XLOOKUP("F-"&amp;$A98,'Feeder Schedule'!$B$5:$B$254,'Feeder Schedule'!$H$5:$H$254),""))</f>
        <v/>
      </c>
      <c r="BW98" s="20" t="str">
        <f>IF($A98="","",IFERROR(_xlfn.XLOOKUP("F-"&amp;$A98,'Feeder Schedule'!$B$5:$B$254,'Feeder Schedule'!$BV$5:$BV$254),""))</f>
        <v/>
      </c>
      <c r="BX98" s="20" t="str">
        <f>IF($A98="","",IFERROR(_xlfn.LET(_xlpm.v,_xlfn.XLOOKUP("F-"&amp;$A98,'Feeder Schedule'!$B$5:$B$254,'Feeder Schedule'!$M$5:$M$254),IF(OR(_xlpm.v="",_xlpm.v=0),Cfg_Conduit,_xlpm.v)),""))</f>
        <v/>
      </c>
      <c r="BY98" s="20" t="str">
        <f>IF($A98="","",IFERROR(_xlfn.XLOOKUP("F-"&amp;$A98,'Feeder Schedule'!$B$5:$B$254,'Feeder Schedule'!$O$5:$O$254),""))</f>
        <v/>
      </c>
      <c r="BZ98" s="20" t="str">
        <f>IF($A98="","",IFERROR(_xlfn.XLOOKUP("F-"&amp;$A98,'Feeder Schedule'!$B$5:$B$254,'Feeder Schedule'!$CH$5:$CH$254),""))</f>
        <v/>
      </c>
      <c r="CA98" s="20" t="str">
        <f>IF($A98="","",IFERROR(_xlfn.XLOOKUP("F-"&amp;$A98,'Feeder Schedule'!$B$5:$B$254,'Feeder Schedule'!$F$5:$F$254),""))</f>
        <v/>
      </c>
      <c r="CB98" s="20" t="str">
        <f>IF($A98="","",IFERROR(_xlfn.XLOOKUP("F-"&amp;$A98,'Feeder Schedule'!$B$5:$B$254,'Feeder Schedule'!$G$5:$G$254),""))</f>
        <v/>
      </c>
      <c r="CD98" s="20" t="str" cm="1">
        <f t="array" ref="CD98">IFERROR(IF($A98="","",INDEX(_xlfn.ANCHORARRAY($BK$4),ROW()-5,6)),"")</f>
        <v/>
      </c>
      <c r="CE98" s="20" t="str">
        <f t="shared" si="29"/>
        <v/>
      </c>
      <c r="CF98" s="20" t="str">
        <f t="shared" si="30"/>
        <v/>
      </c>
      <c r="CG98" s="20" t="str">
        <f t="shared" si="27"/>
        <v/>
      </c>
      <c r="CH98" s="20" t="str" cm="1">
        <f t="array" ref="CH98">IF(OR($A98="",$BZ98="",$BW98="",$BX98=""),"",_xlfn.LET(_xlpm.mag,IFERROR(_xlfn.XLOOKUP($BX98,Race_Raceway,Race_Mag),""),IF(_xlpm.mag="","",IFERROR(INDEX(Cond_Table,MATCH($BZ98,Cond_Size,0),IF(UPPER($BW98)="AL",IF(_xlpm.mag="Y",10,12),IF(_xlpm.mag="Y",9,11))),""))))</f>
        <v/>
      </c>
      <c r="CI98" s="20" t="str">
        <f t="shared" si="28"/>
        <v/>
      </c>
      <c r="CJ98" s="20" t="str">
        <f>IF(OR($A98="",LEFT($A98,2)&lt;&gt;"T-"),"",IFERROR(_xlfn.LET(_xlpm.fla,_xlfn.XLOOKUP($A98,Transformers!$A$6:$A$105,Transformers!$AK$6:$AK$105),_xlpm.z,_xlfn.XLOOKUP($A98,Transformers!$A$6:$A$105,Transformers!$AX$6:$AX$105),IF(OR(_xlpm.fla="",_xlpm.z="",_xlpm.z=0),"",_xlpm.fla*100/_xlpm.z)),""))</f>
        <v/>
      </c>
      <c r="CK98" s="20" t="str">
        <f t="shared" si="31"/>
        <v/>
      </c>
      <c r="CL98" s="20" t="str">
        <f t="shared" si="32"/>
        <v/>
      </c>
      <c r="CM98" s="373"/>
      <c r="CO98" s="20" t="str">
        <f>IF(OR($A98="",LEFT($A98,2)&lt;&gt;"T-"),"",_xlfn.LET(_xlpm.ph,IFERROR(_xlfn.XLOOKUP($A98,Transformers!$A$6:$A$105,Transformers!$C$6:$C$105),""),_xlpm.rr,IFERROR(_xlfn.XLOOKUP($A98,Transformers!$A$6:$A$105,Transformers!$AG$6:$AG$105),""),_xlpm.xx,IFERROR(_xlfn.XLOOKUP($A98,Transformers!$A$6:$A$105,Transformers!$AI$6:$AI$105),""),IF(OR(_xlpm.ph&lt;&gt;1,NOT(ISNUMBER(_xlpm.rr)),NOT(ISNUMBER(_xlpm.xx))),"",SQRT((1.5*_xlpm.rr)^2+(1.2*_xlpm.xx)^2))))</f>
        <v/>
      </c>
      <c r="CP98" s="20" t="str">
        <f t="shared" si="33"/>
        <v/>
      </c>
    </row>
    <row r="99" spans="1:94" ht="15" customHeight="1" x14ac:dyDescent="0.45">
      <c r="A99" s="275" t="str" cm="1">
        <f t="array" ref="A99">IFERROR(IF(INDEX(_xlfn.ANCHORARRAY($BK$4),ROW()-5,1)="","",INDEX(_xlfn.ANCHORARRAY($BK$4),ROW()-5,1)),"")</f>
        <v/>
      </c>
      <c r="B99" s="25" t="str" cm="1">
        <f t="array" ref="B99">IFERROR(IF($A99="","",INDEX(_xlfn.ANCHORARRAY($BK$4),ROW()-5,5)),"")</f>
        <v/>
      </c>
      <c r="C99" s="178" t="str" cm="1">
        <f t="array" ref="C99">IFERROR(IF($A99="","",INDEX(_xlfn.ANCHORARRAY($BK$4),ROW()-5,7)),"")</f>
        <v/>
      </c>
      <c r="D99" s="177" t="str" cm="1">
        <f t="array" ref="D99">IFERROR(IF($A99="","",INDEX(_xlfn.ANCHORARRAY($BK$4),ROW()-5,3)),"")</f>
        <v/>
      </c>
      <c r="E99" s="25" t="str" cm="1">
        <f t="array" ref="E99">IFERROR(IF($A99="","",INDEX(_xlfn.ANCHORARRAY($BK$4),ROW()-5,2)),"")</f>
        <v/>
      </c>
      <c r="F99" s="177" t="str">
        <f t="shared" si="17"/>
        <v/>
      </c>
      <c r="G99" s="275" t="str">
        <f t="shared" si="18"/>
        <v/>
      </c>
      <c r="H99" s="180" t="str">
        <f t="shared" si="19"/>
        <v/>
      </c>
      <c r="I99" s="180" t="str">
        <f t="shared" si="20"/>
        <v/>
      </c>
      <c r="J99" s="177" t="str">
        <f>_xlfn.LET(_xlpm.v,_xlfn.LET(_xlpm.base,IF($A99="","",IF($C99=0,IFERROR(_xlfn.XLOOKUP($A99,Util_Tags,Util_SCAEff),""),IF(LEFT($A99,2)="T-",IF($CJ99="","",$CJ99/(1+IF($CL99="",0,$CL99))),IF(OR($F99="",$I99=""),"",$F99*$I99)))),_xlpm.gtag,IF(OR($A99="",NOT(OR($B99="ATS",$B99="MTS"))),"",IFERROR(_xlfn.XLOOKUP($A99,Dashboard!$A$101:$A$350,Dashboard!$L$101:$L$350,"")&amp;"","")),_xlpm.gkva,IF(_xlpm.gtag="",0,IFERROR(N(_xlfn.XLOOKUP(_xlpm.gtag,Generator!$B$53:$B$58,Generator!$S$53:$S$58,0)),0)),_xlpm.gxd,IF(_xlpm.gtag="",0,IFERROR(N(_xlfn.XLOOKUP(_xlpm.gtag,Generator!$B$53:$B$58,Generator!$U$53:$U$58,0)),0)),_xlpm.gamp,IF(OR(_xlpm.gkva=0,_xlpm.gxd=0,N($D99)=0),0,ROUND(_xlpm.gkva*1000/(IF(N($CB99)=1,1,SQRT(3))*$D99*_xlpm.gxd),0)),IF(OR(_xlpm.gamp=0,NOT(ISNUMBER(_xlpm.base))),_xlpm.base,MAX(_xlpm.base,_xlpm.gamp))),_xlpm.ulim,IF(OR($A99="",$B99&lt;&gt;"UPS"),"",IFERROR(IF(_xlfn.XLOOKUP($A99,UPS!$B$57:$B$64,UPS!$E$57:$E$64,"")="None",_xlfn.XLOOKUP($A99,UPS!$B$57:$B$64,UPS!$U$57:$U$64,""),""),"")),IF(AND(ISNUMBER(_xlpm.v),ISNUMBER(_xlpm.ulim)),MIN(_xlpm.v,_xlpm.ulim),_xlpm.v))</f>
        <v/>
      </c>
      <c r="K99" s="176"/>
      <c r="L99" s="177" t="str">
        <f t="shared" si="21"/>
        <v/>
      </c>
      <c r="M99" s="177" t="str">
        <f t="shared" si="22"/>
        <v/>
      </c>
      <c r="N99" s="380" t="str">
        <f>IF($A99="","",IF($C99=0,_xlfn.LET(_xlpm.x,IFERROR(_xlfn.XLOOKUP($A99,Util_Tags,Util_XR),""),IF(N(_xlpm.x)=0,Xfmr_DefXR,_xlpm.x)),IF(LEFT($A99,2)="T-",IFERROR(_xlfn.XLOOKUP($A99,Transformers!$A$6:$A$105,Transformers!$AH$6:$AH$105),Xfmr_DefXR),IFERROR(_xlfn.XLOOKUP($E99,$A$6:$A$255,$N$6:$N$255),Xfmr_DefXR))))</f>
        <v/>
      </c>
      <c r="O99" s="177" t="str">
        <f t="shared" si="23"/>
        <v/>
      </c>
      <c r="P99" s="210" t="str">
        <f>IF($A99="","",IF(LEFT($A99,2)="T-",IF($CO99="","",_xlfn.LET(_xlpm.k,IFERROR(_xlfn.XLOOKUP($A99,Transformers!$A$6:$A$105,Transformers!$G$6:$G$105),""),_xlpm.sv,IFERROR(_xlfn.XLOOKUP($A99,Transformers!$A$6:$A$105,Transformers!$E$6:$E$105),""),IF(OR(NOT(ISNUMBER(_xlpm.k)),NOT(ISNUMBER(_xlpm.sv)),_xlpm.sv=0),"",_xlfn.LET(_xlpm.iInf,(_xlpm.k*1000/(_xlpm.sv/2))*100/$CO99,_xlpm.pri,IF(OR($CK99="",$CK99=0),"",$CK99/2),_xlpm.base,IF(_xlpm.pri="",_xlpm.iInf,_xlpm.iInf/(1+_xlpm.iInf/_xlpm.pri)),_xlpm.base+IF($L99="",0,$L99))))),IF($CP99="","",_xlfn.LET(_xlpm.pI,IFERROR(_xlfn.XLOOKUP($E99,$A$6:$A$255,$P$6:$P$255),""),IF(NOT(ISNUMBER(_xlpm.pI)),"",_xlpm.pI/(1+$CP99)+IF($L99="",0,$L99))))))</f>
        <v/>
      </c>
      <c r="Q99" s="210" t="str">
        <f t="shared" si="24"/>
        <v/>
      </c>
      <c r="R99" s="177" t="str">
        <f>IF($A99="","",IF(OR($C99=0,LEFT($A99,2)="T-"),"",IFERROR(_xlfn.LET(_xlpm.v,_xlfn.XLOOKUP($A99,Dashboard!$A$101:$A$350,Dashboard!$K$101:$K$350),IF(ISNUMBER(_xlpm.v),_xlpm.v,"")),"")))</f>
        <v/>
      </c>
      <c r="S99" s="211" t="str">
        <f t="shared" si="25"/>
        <v/>
      </c>
      <c r="T99" s="25" t="str">
        <f t="shared" si="26"/>
        <v/>
      </c>
      <c r="U99" s="364"/>
      <c r="BV99" s="20" t="str">
        <f>IF($A99="","",IFERROR(_xlfn.XLOOKUP("F-"&amp;$A99,'Feeder Schedule'!$B$5:$B$254,'Feeder Schedule'!$H$5:$H$254),""))</f>
        <v/>
      </c>
      <c r="BW99" s="20" t="str">
        <f>IF($A99="","",IFERROR(_xlfn.XLOOKUP("F-"&amp;$A99,'Feeder Schedule'!$B$5:$B$254,'Feeder Schedule'!$BV$5:$BV$254),""))</f>
        <v/>
      </c>
      <c r="BX99" s="20" t="str">
        <f>IF($A99="","",IFERROR(_xlfn.LET(_xlpm.v,_xlfn.XLOOKUP("F-"&amp;$A99,'Feeder Schedule'!$B$5:$B$254,'Feeder Schedule'!$M$5:$M$254),IF(OR(_xlpm.v="",_xlpm.v=0),Cfg_Conduit,_xlpm.v)),""))</f>
        <v/>
      </c>
      <c r="BY99" s="20" t="str">
        <f>IF($A99="","",IFERROR(_xlfn.XLOOKUP("F-"&amp;$A99,'Feeder Schedule'!$B$5:$B$254,'Feeder Schedule'!$O$5:$O$254),""))</f>
        <v/>
      </c>
      <c r="BZ99" s="20" t="str">
        <f>IF($A99="","",IFERROR(_xlfn.XLOOKUP("F-"&amp;$A99,'Feeder Schedule'!$B$5:$B$254,'Feeder Schedule'!$CH$5:$CH$254),""))</f>
        <v/>
      </c>
      <c r="CA99" s="20" t="str">
        <f>IF($A99="","",IFERROR(_xlfn.XLOOKUP("F-"&amp;$A99,'Feeder Schedule'!$B$5:$B$254,'Feeder Schedule'!$F$5:$F$254),""))</f>
        <v/>
      </c>
      <c r="CB99" s="20" t="str">
        <f>IF($A99="","",IFERROR(_xlfn.XLOOKUP("F-"&amp;$A99,'Feeder Schedule'!$B$5:$B$254,'Feeder Schedule'!$G$5:$G$254),""))</f>
        <v/>
      </c>
      <c r="CD99" s="20" t="str" cm="1">
        <f t="array" ref="CD99">IFERROR(IF($A99="","",INDEX(_xlfn.ANCHORARRAY($BK$4),ROW()-5,6)),"")</f>
        <v/>
      </c>
      <c r="CE99" s="20" t="str">
        <f t="shared" si="29"/>
        <v/>
      </c>
      <c r="CF99" s="20" t="str">
        <f t="shared" si="30"/>
        <v/>
      </c>
      <c r="CG99" s="20" t="str">
        <f t="shared" si="27"/>
        <v/>
      </c>
      <c r="CH99" s="20" t="str" cm="1">
        <f t="array" ref="CH99">IF(OR($A99="",$BZ99="",$BW99="",$BX99=""),"",_xlfn.LET(_xlpm.mag,IFERROR(_xlfn.XLOOKUP($BX99,Race_Raceway,Race_Mag),""),IF(_xlpm.mag="","",IFERROR(INDEX(Cond_Table,MATCH($BZ99,Cond_Size,0),IF(UPPER($BW99)="AL",IF(_xlpm.mag="Y",10,12),IF(_xlpm.mag="Y",9,11))),""))))</f>
        <v/>
      </c>
      <c r="CI99" s="20" t="str">
        <f t="shared" si="28"/>
        <v/>
      </c>
      <c r="CJ99" s="20" t="str">
        <f>IF(OR($A99="",LEFT($A99,2)&lt;&gt;"T-"),"",IFERROR(_xlfn.LET(_xlpm.fla,_xlfn.XLOOKUP($A99,Transformers!$A$6:$A$105,Transformers!$AK$6:$AK$105),_xlpm.z,_xlfn.XLOOKUP($A99,Transformers!$A$6:$A$105,Transformers!$AX$6:$AX$105),IF(OR(_xlpm.fla="",_xlpm.z="",_xlpm.z=0),"",_xlpm.fla*100/_xlpm.z)),""))</f>
        <v/>
      </c>
      <c r="CK99" s="20" t="str">
        <f t="shared" si="31"/>
        <v/>
      </c>
      <c r="CL99" s="20" t="str">
        <f t="shared" si="32"/>
        <v/>
      </c>
      <c r="CM99" s="373"/>
      <c r="CO99" s="20" t="str">
        <f>IF(OR($A99="",LEFT($A99,2)&lt;&gt;"T-"),"",_xlfn.LET(_xlpm.ph,IFERROR(_xlfn.XLOOKUP($A99,Transformers!$A$6:$A$105,Transformers!$C$6:$C$105),""),_xlpm.rr,IFERROR(_xlfn.XLOOKUP($A99,Transformers!$A$6:$A$105,Transformers!$AG$6:$AG$105),""),_xlpm.xx,IFERROR(_xlfn.XLOOKUP($A99,Transformers!$A$6:$A$105,Transformers!$AI$6:$AI$105),""),IF(OR(_xlpm.ph&lt;&gt;1,NOT(ISNUMBER(_xlpm.rr)),NOT(ISNUMBER(_xlpm.xx))),"",SQRT((1.5*_xlpm.rr)^2+(1.2*_xlpm.xx)^2))))</f>
        <v/>
      </c>
      <c r="CP99" s="20" t="str">
        <f t="shared" si="33"/>
        <v/>
      </c>
    </row>
    <row r="100" spans="1:94" ht="15" customHeight="1" x14ac:dyDescent="0.45">
      <c r="A100" s="275" t="str" cm="1">
        <f t="array" ref="A100">IFERROR(IF(INDEX(_xlfn.ANCHORARRAY($BK$4),ROW()-5,1)="","",INDEX(_xlfn.ANCHORARRAY($BK$4),ROW()-5,1)),"")</f>
        <v/>
      </c>
      <c r="B100" s="25" t="str" cm="1">
        <f t="array" ref="B100">IFERROR(IF($A100="","",INDEX(_xlfn.ANCHORARRAY($BK$4),ROW()-5,5)),"")</f>
        <v/>
      </c>
      <c r="C100" s="178" t="str" cm="1">
        <f t="array" ref="C100">IFERROR(IF($A100="","",INDEX(_xlfn.ANCHORARRAY($BK$4),ROW()-5,7)),"")</f>
        <v/>
      </c>
      <c r="D100" s="177" t="str" cm="1">
        <f t="array" ref="D100">IFERROR(IF($A100="","",INDEX(_xlfn.ANCHORARRAY($BK$4),ROW()-5,3)),"")</f>
        <v/>
      </c>
      <c r="E100" s="25" t="str" cm="1">
        <f t="array" ref="E100">IFERROR(IF($A100="","",INDEX(_xlfn.ANCHORARRAY($BK$4),ROW()-5,2)),"")</f>
        <v/>
      </c>
      <c r="F100" s="177" t="str">
        <f t="shared" si="17"/>
        <v/>
      </c>
      <c r="G100" s="275" t="str">
        <f t="shared" si="18"/>
        <v/>
      </c>
      <c r="H100" s="180" t="str">
        <f t="shared" si="19"/>
        <v/>
      </c>
      <c r="I100" s="180" t="str">
        <f t="shared" si="20"/>
        <v/>
      </c>
      <c r="J100" s="177" t="str">
        <f>_xlfn.LET(_xlpm.v,_xlfn.LET(_xlpm.base,IF($A100="","",IF($C100=0,IFERROR(_xlfn.XLOOKUP($A100,Util_Tags,Util_SCAEff),""),IF(LEFT($A100,2)="T-",IF($CJ100="","",$CJ100/(1+IF($CL100="",0,$CL100))),IF(OR($F100="",$I100=""),"",$F100*$I100)))),_xlpm.gtag,IF(OR($A100="",NOT(OR($B100="ATS",$B100="MTS"))),"",IFERROR(_xlfn.XLOOKUP($A100,Dashboard!$A$101:$A$350,Dashboard!$L$101:$L$350,"")&amp;"","")),_xlpm.gkva,IF(_xlpm.gtag="",0,IFERROR(N(_xlfn.XLOOKUP(_xlpm.gtag,Generator!$B$53:$B$58,Generator!$S$53:$S$58,0)),0)),_xlpm.gxd,IF(_xlpm.gtag="",0,IFERROR(N(_xlfn.XLOOKUP(_xlpm.gtag,Generator!$B$53:$B$58,Generator!$U$53:$U$58,0)),0)),_xlpm.gamp,IF(OR(_xlpm.gkva=0,_xlpm.gxd=0,N($D100)=0),0,ROUND(_xlpm.gkva*1000/(IF(N($CB100)=1,1,SQRT(3))*$D100*_xlpm.gxd),0)),IF(OR(_xlpm.gamp=0,NOT(ISNUMBER(_xlpm.base))),_xlpm.base,MAX(_xlpm.base,_xlpm.gamp))),_xlpm.ulim,IF(OR($A100="",$B100&lt;&gt;"UPS"),"",IFERROR(IF(_xlfn.XLOOKUP($A100,UPS!$B$57:$B$64,UPS!$E$57:$E$64,"")="None",_xlfn.XLOOKUP($A100,UPS!$B$57:$B$64,UPS!$U$57:$U$64,""),""),"")),IF(AND(ISNUMBER(_xlpm.v),ISNUMBER(_xlpm.ulim)),MIN(_xlpm.v,_xlpm.ulim),_xlpm.v))</f>
        <v/>
      </c>
      <c r="K100" s="176"/>
      <c r="L100" s="177" t="str">
        <f t="shared" si="21"/>
        <v/>
      </c>
      <c r="M100" s="177" t="str">
        <f t="shared" si="22"/>
        <v/>
      </c>
      <c r="N100" s="380" t="str">
        <f>IF($A100="","",IF($C100=0,_xlfn.LET(_xlpm.x,IFERROR(_xlfn.XLOOKUP($A100,Util_Tags,Util_XR),""),IF(N(_xlpm.x)=0,Xfmr_DefXR,_xlpm.x)),IF(LEFT($A100,2)="T-",IFERROR(_xlfn.XLOOKUP($A100,Transformers!$A$6:$A$105,Transformers!$AH$6:$AH$105),Xfmr_DefXR),IFERROR(_xlfn.XLOOKUP($E100,$A$6:$A$255,$N$6:$N$255),Xfmr_DefXR))))</f>
        <v/>
      </c>
      <c r="O100" s="177" t="str">
        <f t="shared" si="23"/>
        <v/>
      </c>
      <c r="P100" s="210" t="str">
        <f>IF($A100="","",IF(LEFT($A100,2)="T-",IF($CO100="","",_xlfn.LET(_xlpm.k,IFERROR(_xlfn.XLOOKUP($A100,Transformers!$A$6:$A$105,Transformers!$G$6:$G$105),""),_xlpm.sv,IFERROR(_xlfn.XLOOKUP($A100,Transformers!$A$6:$A$105,Transformers!$E$6:$E$105),""),IF(OR(NOT(ISNUMBER(_xlpm.k)),NOT(ISNUMBER(_xlpm.sv)),_xlpm.sv=0),"",_xlfn.LET(_xlpm.iInf,(_xlpm.k*1000/(_xlpm.sv/2))*100/$CO100,_xlpm.pri,IF(OR($CK100="",$CK100=0),"",$CK100/2),_xlpm.base,IF(_xlpm.pri="",_xlpm.iInf,_xlpm.iInf/(1+_xlpm.iInf/_xlpm.pri)),_xlpm.base+IF($L100="",0,$L100))))),IF($CP100="","",_xlfn.LET(_xlpm.pI,IFERROR(_xlfn.XLOOKUP($E100,$A$6:$A$255,$P$6:$P$255),""),IF(NOT(ISNUMBER(_xlpm.pI)),"",_xlpm.pI/(1+$CP100)+IF($L100="",0,$L100))))))</f>
        <v/>
      </c>
      <c r="Q100" s="210" t="str">
        <f t="shared" si="24"/>
        <v/>
      </c>
      <c r="R100" s="177" t="str">
        <f>IF($A100="","",IF(OR($C100=0,LEFT($A100,2)="T-"),"",IFERROR(_xlfn.LET(_xlpm.v,_xlfn.XLOOKUP($A100,Dashboard!$A$101:$A$350,Dashboard!$K$101:$K$350),IF(ISNUMBER(_xlpm.v),_xlpm.v,"")),"")))</f>
        <v/>
      </c>
      <c r="S100" s="211" t="str">
        <f t="shared" si="25"/>
        <v/>
      </c>
      <c r="T100" s="25" t="str">
        <f t="shared" si="26"/>
        <v/>
      </c>
      <c r="U100" s="364"/>
      <c r="BV100" s="20" t="str">
        <f>IF($A100="","",IFERROR(_xlfn.XLOOKUP("F-"&amp;$A100,'Feeder Schedule'!$B$5:$B$254,'Feeder Schedule'!$H$5:$H$254),""))</f>
        <v/>
      </c>
      <c r="BW100" s="20" t="str">
        <f>IF($A100="","",IFERROR(_xlfn.XLOOKUP("F-"&amp;$A100,'Feeder Schedule'!$B$5:$B$254,'Feeder Schedule'!$BV$5:$BV$254),""))</f>
        <v/>
      </c>
      <c r="BX100" s="20" t="str">
        <f>IF($A100="","",IFERROR(_xlfn.LET(_xlpm.v,_xlfn.XLOOKUP("F-"&amp;$A100,'Feeder Schedule'!$B$5:$B$254,'Feeder Schedule'!$M$5:$M$254),IF(OR(_xlpm.v="",_xlpm.v=0),Cfg_Conduit,_xlpm.v)),""))</f>
        <v/>
      </c>
      <c r="BY100" s="20" t="str">
        <f>IF($A100="","",IFERROR(_xlfn.XLOOKUP("F-"&amp;$A100,'Feeder Schedule'!$B$5:$B$254,'Feeder Schedule'!$O$5:$O$254),""))</f>
        <v/>
      </c>
      <c r="BZ100" s="20" t="str">
        <f>IF($A100="","",IFERROR(_xlfn.XLOOKUP("F-"&amp;$A100,'Feeder Schedule'!$B$5:$B$254,'Feeder Schedule'!$CH$5:$CH$254),""))</f>
        <v/>
      </c>
      <c r="CA100" s="20" t="str">
        <f>IF($A100="","",IFERROR(_xlfn.XLOOKUP("F-"&amp;$A100,'Feeder Schedule'!$B$5:$B$254,'Feeder Schedule'!$F$5:$F$254),""))</f>
        <v/>
      </c>
      <c r="CB100" s="20" t="str">
        <f>IF($A100="","",IFERROR(_xlfn.XLOOKUP("F-"&amp;$A100,'Feeder Schedule'!$B$5:$B$254,'Feeder Schedule'!$G$5:$G$254),""))</f>
        <v/>
      </c>
      <c r="CD100" s="20" t="str" cm="1">
        <f t="array" ref="CD100">IFERROR(IF($A100="","",INDEX(_xlfn.ANCHORARRAY($BK$4),ROW()-5,6)),"")</f>
        <v/>
      </c>
      <c r="CE100" s="20" t="str">
        <f t="shared" si="29"/>
        <v/>
      </c>
      <c r="CF100" s="20" t="str">
        <f t="shared" si="30"/>
        <v/>
      </c>
      <c r="CG100" s="20" t="str">
        <f t="shared" si="27"/>
        <v/>
      </c>
      <c r="CH100" s="20" t="str" cm="1">
        <f t="array" ref="CH100">IF(OR($A100="",$BZ100="",$BW100="",$BX100=""),"",_xlfn.LET(_xlpm.mag,IFERROR(_xlfn.XLOOKUP($BX100,Race_Raceway,Race_Mag),""),IF(_xlpm.mag="","",IFERROR(INDEX(Cond_Table,MATCH($BZ100,Cond_Size,0),IF(UPPER($BW100)="AL",IF(_xlpm.mag="Y",10,12),IF(_xlpm.mag="Y",9,11))),""))))</f>
        <v/>
      </c>
      <c r="CI100" s="20" t="str">
        <f t="shared" si="28"/>
        <v/>
      </c>
      <c r="CJ100" s="20" t="str">
        <f>IF(OR($A100="",LEFT($A100,2)&lt;&gt;"T-"),"",IFERROR(_xlfn.LET(_xlpm.fla,_xlfn.XLOOKUP($A100,Transformers!$A$6:$A$105,Transformers!$AK$6:$AK$105),_xlpm.z,_xlfn.XLOOKUP($A100,Transformers!$A$6:$A$105,Transformers!$AX$6:$AX$105),IF(OR(_xlpm.fla="",_xlpm.z="",_xlpm.z=0),"",_xlpm.fla*100/_xlpm.z)),""))</f>
        <v/>
      </c>
      <c r="CK100" s="20" t="str">
        <f t="shared" si="31"/>
        <v/>
      </c>
      <c r="CL100" s="20" t="str">
        <f t="shared" si="32"/>
        <v/>
      </c>
      <c r="CM100" s="373"/>
      <c r="CO100" s="20" t="str">
        <f>IF(OR($A100="",LEFT($A100,2)&lt;&gt;"T-"),"",_xlfn.LET(_xlpm.ph,IFERROR(_xlfn.XLOOKUP($A100,Transformers!$A$6:$A$105,Transformers!$C$6:$C$105),""),_xlpm.rr,IFERROR(_xlfn.XLOOKUP($A100,Transformers!$A$6:$A$105,Transformers!$AG$6:$AG$105),""),_xlpm.xx,IFERROR(_xlfn.XLOOKUP($A100,Transformers!$A$6:$A$105,Transformers!$AI$6:$AI$105),""),IF(OR(_xlpm.ph&lt;&gt;1,NOT(ISNUMBER(_xlpm.rr)),NOT(ISNUMBER(_xlpm.xx))),"",SQRT((1.5*_xlpm.rr)^2+(1.2*_xlpm.xx)^2))))</f>
        <v/>
      </c>
      <c r="CP100" s="20" t="str">
        <f t="shared" si="33"/>
        <v/>
      </c>
    </row>
    <row r="101" spans="1:94" ht="15" customHeight="1" x14ac:dyDescent="0.45">
      <c r="A101" s="275" t="str" cm="1">
        <f t="array" ref="A101">IFERROR(IF(INDEX(_xlfn.ANCHORARRAY($BK$4),ROW()-5,1)="","",INDEX(_xlfn.ANCHORARRAY($BK$4),ROW()-5,1)),"")</f>
        <v/>
      </c>
      <c r="B101" s="25" t="str" cm="1">
        <f t="array" ref="B101">IFERROR(IF($A101="","",INDEX(_xlfn.ANCHORARRAY($BK$4),ROW()-5,5)),"")</f>
        <v/>
      </c>
      <c r="C101" s="178" t="str" cm="1">
        <f t="array" ref="C101">IFERROR(IF($A101="","",INDEX(_xlfn.ANCHORARRAY($BK$4),ROW()-5,7)),"")</f>
        <v/>
      </c>
      <c r="D101" s="177" t="str" cm="1">
        <f t="array" ref="D101">IFERROR(IF($A101="","",INDEX(_xlfn.ANCHORARRAY($BK$4),ROW()-5,3)),"")</f>
        <v/>
      </c>
      <c r="E101" s="25" t="str" cm="1">
        <f t="array" ref="E101">IFERROR(IF($A101="","",INDEX(_xlfn.ANCHORARRAY($BK$4),ROW()-5,2)),"")</f>
        <v/>
      </c>
      <c r="F101" s="177" t="str">
        <f t="shared" si="17"/>
        <v/>
      </c>
      <c r="G101" s="275" t="str">
        <f t="shared" si="18"/>
        <v/>
      </c>
      <c r="H101" s="180" t="str">
        <f t="shared" si="19"/>
        <v/>
      </c>
      <c r="I101" s="180" t="str">
        <f t="shared" si="20"/>
        <v/>
      </c>
      <c r="J101" s="177" t="str">
        <f>_xlfn.LET(_xlpm.v,_xlfn.LET(_xlpm.base,IF($A101="","",IF($C101=0,IFERROR(_xlfn.XLOOKUP($A101,Util_Tags,Util_SCAEff),""),IF(LEFT($A101,2)="T-",IF($CJ101="","",$CJ101/(1+IF($CL101="",0,$CL101))),IF(OR($F101="",$I101=""),"",$F101*$I101)))),_xlpm.gtag,IF(OR($A101="",NOT(OR($B101="ATS",$B101="MTS"))),"",IFERROR(_xlfn.XLOOKUP($A101,Dashboard!$A$101:$A$350,Dashboard!$L$101:$L$350,"")&amp;"","")),_xlpm.gkva,IF(_xlpm.gtag="",0,IFERROR(N(_xlfn.XLOOKUP(_xlpm.gtag,Generator!$B$53:$B$58,Generator!$S$53:$S$58,0)),0)),_xlpm.gxd,IF(_xlpm.gtag="",0,IFERROR(N(_xlfn.XLOOKUP(_xlpm.gtag,Generator!$B$53:$B$58,Generator!$U$53:$U$58,0)),0)),_xlpm.gamp,IF(OR(_xlpm.gkva=0,_xlpm.gxd=0,N($D101)=0),0,ROUND(_xlpm.gkva*1000/(IF(N($CB101)=1,1,SQRT(3))*$D101*_xlpm.gxd),0)),IF(OR(_xlpm.gamp=0,NOT(ISNUMBER(_xlpm.base))),_xlpm.base,MAX(_xlpm.base,_xlpm.gamp))),_xlpm.ulim,IF(OR($A101="",$B101&lt;&gt;"UPS"),"",IFERROR(IF(_xlfn.XLOOKUP($A101,UPS!$B$57:$B$64,UPS!$E$57:$E$64,"")="None",_xlfn.XLOOKUP($A101,UPS!$B$57:$B$64,UPS!$U$57:$U$64,""),""),"")),IF(AND(ISNUMBER(_xlpm.v),ISNUMBER(_xlpm.ulim)),MIN(_xlpm.v,_xlpm.ulim),_xlpm.v))</f>
        <v/>
      </c>
      <c r="K101" s="176"/>
      <c r="L101" s="177" t="str">
        <f t="shared" si="21"/>
        <v/>
      </c>
      <c r="M101" s="177" t="str">
        <f t="shared" si="22"/>
        <v/>
      </c>
      <c r="N101" s="380" t="str">
        <f>IF($A101="","",IF($C101=0,_xlfn.LET(_xlpm.x,IFERROR(_xlfn.XLOOKUP($A101,Util_Tags,Util_XR),""),IF(N(_xlpm.x)=0,Xfmr_DefXR,_xlpm.x)),IF(LEFT($A101,2)="T-",IFERROR(_xlfn.XLOOKUP($A101,Transformers!$A$6:$A$105,Transformers!$AH$6:$AH$105),Xfmr_DefXR),IFERROR(_xlfn.XLOOKUP($E101,$A$6:$A$255,$N$6:$N$255),Xfmr_DefXR))))</f>
        <v/>
      </c>
      <c r="O101" s="177" t="str">
        <f t="shared" si="23"/>
        <v/>
      </c>
      <c r="P101" s="210" t="str">
        <f>IF($A101="","",IF(LEFT($A101,2)="T-",IF($CO101="","",_xlfn.LET(_xlpm.k,IFERROR(_xlfn.XLOOKUP($A101,Transformers!$A$6:$A$105,Transformers!$G$6:$G$105),""),_xlpm.sv,IFERROR(_xlfn.XLOOKUP($A101,Transformers!$A$6:$A$105,Transformers!$E$6:$E$105),""),IF(OR(NOT(ISNUMBER(_xlpm.k)),NOT(ISNUMBER(_xlpm.sv)),_xlpm.sv=0),"",_xlfn.LET(_xlpm.iInf,(_xlpm.k*1000/(_xlpm.sv/2))*100/$CO101,_xlpm.pri,IF(OR($CK101="",$CK101=0),"",$CK101/2),_xlpm.base,IF(_xlpm.pri="",_xlpm.iInf,_xlpm.iInf/(1+_xlpm.iInf/_xlpm.pri)),_xlpm.base+IF($L101="",0,$L101))))),IF($CP101="","",_xlfn.LET(_xlpm.pI,IFERROR(_xlfn.XLOOKUP($E101,$A$6:$A$255,$P$6:$P$255),""),IF(NOT(ISNUMBER(_xlpm.pI)),"",_xlpm.pI/(1+$CP101)+IF($L101="",0,$L101))))))</f>
        <v/>
      </c>
      <c r="Q101" s="210" t="str">
        <f t="shared" si="24"/>
        <v/>
      </c>
      <c r="R101" s="177" t="str">
        <f>IF($A101="","",IF(OR($C101=0,LEFT($A101,2)="T-"),"",IFERROR(_xlfn.LET(_xlpm.v,_xlfn.XLOOKUP($A101,Dashboard!$A$101:$A$350,Dashboard!$K$101:$K$350),IF(ISNUMBER(_xlpm.v),_xlpm.v,"")),"")))</f>
        <v/>
      </c>
      <c r="S101" s="211" t="str">
        <f t="shared" si="25"/>
        <v/>
      </c>
      <c r="T101" s="25" t="str">
        <f t="shared" si="26"/>
        <v/>
      </c>
      <c r="U101" s="364"/>
      <c r="BV101" s="20" t="str">
        <f>IF($A101="","",IFERROR(_xlfn.XLOOKUP("F-"&amp;$A101,'Feeder Schedule'!$B$5:$B$254,'Feeder Schedule'!$H$5:$H$254),""))</f>
        <v/>
      </c>
      <c r="BW101" s="20" t="str">
        <f>IF($A101="","",IFERROR(_xlfn.XLOOKUP("F-"&amp;$A101,'Feeder Schedule'!$B$5:$B$254,'Feeder Schedule'!$BV$5:$BV$254),""))</f>
        <v/>
      </c>
      <c r="BX101" s="20" t="str">
        <f>IF($A101="","",IFERROR(_xlfn.LET(_xlpm.v,_xlfn.XLOOKUP("F-"&amp;$A101,'Feeder Schedule'!$B$5:$B$254,'Feeder Schedule'!$M$5:$M$254),IF(OR(_xlpm.v="",_xlpm.v=0),Cfg_Conduit,_xlpm.v)),""))</f>
        <v/>
      </c>
      <c r="BY101" s="20" t="str">
        <f>IF($A101="","",IFERROR(_xlfn.XLOOKUP("F-"&amp;$A101,'Feeder Schedule'!$B$5:$B$254,'Feeder Schedule'!$O$5:$O$254),""))</f>
        <v/>
      </c>
      <c r="BZ101" s="20" t="str">
        <f>IF($A101="","",IFERROR(_xlfn.XLOOKUP("F-"&amp;$A101,'Feeder Schedule'!$B$5:$B$254,'Feeder Schedule'!$CH$5:$CH$254),""))</f>
        <v/>
      </c>
      <c r="CA101" s="20" t="str">
        <f>IF($A101="","",IFERROR(_xlfn.XLOOKUP("F-"&amp;$A101,'Feeder Schedule'!$B$5:$B$254,'Feeder Schedule'!$F$5:$F$254),""))</f>
        <v/>
      </c>
      <c r="CB101" s="20" t="str">
        <f>IF($A101="","",IFERROR(_xlfn.XLOOKUP("F-"&amp;$A101,'Feeder Schedule'!$B$5:$B$254,'Feeder Schedule'!$G$5:$G$254),""))</f>
        <v/>
      </c>
      <c r="CD101" s="20" t="str" cm="1">
        <f t="array" ref="CD101">IFERROR(IF($A101="","",INDEX(_xlfn.ANCHORARRAY($BK$4),ROW()-5,6)),"")</f>
        <v/>
      </c>
      <c r="CE101" s="20" t="str">
        <f t="shared" si="29"/>
        <v/>
      </c>
      <c r="CF101" s="20" t="str">
        <f t="shared" si="30"/>
        <v/>
      </c>
      <c r="CG101" s="20" t="str">
        <f t="shared" si="27"/>
        <v/>
      </c>
      <c r="CH101" s="20" t="str" cm="1">
        <f t="array" ref="CH101">IF(OR($A101="",$BZ101="",$BW101="",$BX101=""),"",_xlfn.LET(_xlpm.mag,IFERROR(_xlfn.XLOOKUP($BX101,Race_Raceway,Race_Mag),""),IF(_xlpm.mag="","",IFERROR(INDEX(Cond_Table,MATCH($BZ101,Cond_Size,0),IF(UPPER($BW101)="AL",IF(_xlpm.mag="Y",10,12),IF(_xlpm.mag="Y",9,11))),""))))</f>
        <v/>
      </c>
      <c r="CI101" s="20" t="str">
        <f t="shared" si="28"/>
        <v/>
      </c>
      <c r="CJ101" s="20" t="str">
        <f>IF(OR($A101="",LEFT($A101,2)&lt;&gt;"T-"),"",IFERROR(_xlfn.LET(_xlpm.fla,_xlfn.XLOOKUP($A101,Transformers!$A$6:$A$105,Transformers!$AK$6:$AK$105),_xlpm.z,_xlfn.XLOOKUP($A101,Transformers!$A$6:$A$105,Transformers!$AX$6:$AX$105),IF(OR(_xlpm.fla="",_xlpm.z="",_xlpm.z=0),"",_xlpm.fla*100/_xlpm.z)),""))</f>
        <v/>
      </c>
      <c r="CK101" s="20" t="str">
        <f t="shared" si="31"/>
        <v/>
      </c>
      <c r="CL101" s="20" t="str">
        <f t="shared" si="32"/>
        <v/>
      </c>
      <c r="CM101" s="373"/>
      <c r="CO101" s="20" t="str">
        <f>IF(OR($A101="",LEFT($A101,2)&lt;&gt;"T-"),"",_xlfn.LET(_xlpm.ph,IFERROR(_xlfn.XLOOKUP($A101,Transformers!$A$6:$A$105,Transformers!$C$6:$C$105),""),_xlpm.rr,IFERROR(_xlfn.XLOOKUP($A101,Transformers!$A$6:$A$105,Transformers!$AG$6:$AG$105),""),_xlpm.xx,IFERROR(_xlfn.XLOOKUP($A101,Transformers!$A$6:$A$105,Transformers!$AI$6:$AI$105),""),IF(OR(_xlpm.ph&lt;&gt;1,NOT(ISNUMBER(_xlpm.rr)),NOT(ISNUMBER(_xlpm.xx))),"",SQRT((1.5*_xlpm.rr)^2+(1.2*_xlpm.xx)^2))))</f>
        <v/>
      </c>
      <c r="CP101" s="20" t="str">
        <f t="shared" si="33"/>
        <v/>
      </c>
    </row>
    <row r="102" spans="1:94" ht="15" customHeight="1" x14ac:dyDescent="0.45">
      <c r="A102" s="275" t="str" cm="1">
        <f t="array" ref="A102">IFERROR(IF(INDEX(_xlfn.ANCHORARRAY($BK$4),ROW()-5,1)="","",INDEX(_xlfn.ANCHORARRAY($BK$4),ROW()-5,1)),"")</f>
        <v/>
      </c>
      <c r="B102" s="25" t="str" cm="1">
        <f t="array" ref="B102">IFERROR(IF($A102="","",INDEX(_xlfn.ANCHORARRAY($BK$4),ROW()-5,5)),"")</f>
        <v/>
      </c>
      <c r="C102" s="178" t="str" cm="1">
        <f t="array" ref="C102">IFERROR(IF($A102="","",INDEX(_xlfn.ANCHORARRAY($BK$4),ROW()-5,7)),"")</f>
        <v/>
      </c>
      <c r="D102" s="177" t="str" cm="1">
        <f t="array" ref="D102">IFERROR(IF($A102="","",INDEX(_xlfn.ANCHORARRAY($BK$4),ROW()-5,3)),"")</f>
        <v/>
      </c>
      <c r="E102" s="25" t="str" cm="1">
        <f t="array" ref="E102">IFERROR(IF($A102="","",INDEX(_xlfn.ANCHORARRAY($BK$4),ROW()-5,2)),"")</f>
        <v/>
      </c>
      <c r="F102" s="177" t="str">
        <f t="shared" si="17"/>
        <v/>
      </c>
      <c r="G102" s="275" t="str">
        <f t="shared" si="18"/>
        <v/>
      </c>
      <c r="H102" s="180" t="str">
        <f t="shared" si="19"/>
        <v/>
      </c>
      <c r="I102" s="180" t="str">
        <f t="shared" si="20"/>
        <v/>
      </c>
      <c r="J102" s="177" t="str">
        <f>_xlfn.LET(_xlpm.v,_xlfn.LET(_xlpm.base,IF($A102="","",IF($C102=0,IFERROR(_xlfn.XLOOKUP($A102,Util_Tags,Util_SCAEff),""),IF(LEFT($A102,2)="T-",IF($CJ102="","",$CJ102/(1+IF($CL102="",0,$CL102))),IF(OR($F102="",$I102=""),"",$F102*$I102)))),_xlpm.gtag,IF(OR($A102="",NOT(OR($B102="ATS",$B102="MTS"))),"",IFERROR(_xlfn.XLOOKUP($A102,Dashboard!$A$101:$A$350,Dashboard!$L$101:$L$350,"")&amp;"","")),_xlpm.gkva,IF(_xlpm.gtag="",0,IFERROR(N(_xlfn.XLOOKUP(_xlpm.gtag,Generator!$B$53:$B$58,Generator!$S$53:$S$58,0)),0)),_xlpm.gxd,IF(_xlpm.gtag="",0,IFERROR(N(_xlfn.XLOOKUP(_xlpm.gtag,Generator!$B$53:$B$58,Generator!$U$53:$U$58,0)),0)),_xlpm.gamp,IF(OR(_xlpm.gkva=0,_xlpm.gxd=0,N($D102)=0),0,ROUND(_xlpm.gkva*1000/(IF(N($CB102)=1,1,SQRT(3))*$D102*_xlpm.gxd),0)),IF(OR(_xlpm.gamp=0,NOT(ISNUMBER(_xlpm.base))),_xlpm.base,MAX(_xlpm.base,_xlpm.gamp))),_xlpm.ulim,IF(OR($A102="",$B102&lt;&gt;"UPS"),"",IFERROR(IF(_xlfn.XLOOKUP($A102,UPS!$B$57:$B$64,UPS!$E$57:$E$64,"")="None",_xlfn.XLOOKUP($A102,UPS!$B$57:$B$64,UPS!$U$57:$U$64,""),""),"")),IF(AND(ISNUMBER(_xlpm.v),ISNUMBER(_xlpm.ulim)),MIN(_xlpm.v,_xlpm.ulim),_xlpm.v))</f>
        <v/>
      </c>
      <c r="K102" s="176"/>
      <c r="L102" s="177" t="str">
        <f t="shared" si="21"/>
        <v/>
      </c>
      <c r="M102" s="177" t="str">
        <f t="shared" si="22"/>
        <v/>
      </c>
      <c r="N102" s="380" t="str">
        <f>IF($A102="","",IF($C102=0,_xlfn.LET(_xlpm.x,IFERROR(_xlfn.XLOOKUP($A102,Util_Tags,Util_XR),""),IF(N(_xlpm.x)=0,Xfmr_DefXR,_xlpm.x)),IF(LEFT($A102,2)="T-",IFERROR(_xlfn.XLOOKUP($A102,Transformers!$A$6:$A$105,Transformers!$AH$6:$AH$105),Xfmr_DefXR),IFERROR(_xlfn.XLOOKUP($E102,$A$6:$A$255,$N$6:$N$255),Xfmr_DefXR))))</f>
        <v/>
      </c>
      <c r="O102" s="177" t="str">
        <f t="shared" si="23"/>
        <v/>
      </c>
      <c r="P102" s="210" t="str">
        <f>IF($A102="","",IF(LEFT($A102,2)="T-",IF($CO102="","",_xlfn.LET(_xlpm.k,IFERROR(_xlfn.XLOOKUP($A102,Transformers!$A$6:$A$105,Transformers!$G$6:$G$105),""),_xlpm.sv,IFERROR(_xlfn.XLOOKUP($A102,Transformers!$A$6:$A$105,Transformers!$E$6:$E$105),""),IF(OR(NOT(ISNUMBER(_xlpm.k)),NOT(ISNUMBER(_xlpm.sv)),_xlpm.sv=0),"",_xlfn.LET(_xlpm.iInf,(_xlpm.k*1000/(_xlpm.sv/2))*100/$CO102,_xlpm.pri,IF(OR($CK102="",$CK102=0),"",$CK102/2),_xlpm.base,IF(_xlpm.pri="",_xlpm.iInf,_xlpm.iInf/(1+_xlpm.iInf/_xlpm.pri)),_xlpm.base+IF($L102="",0,$L102))))),IF($CP102="","",_xlfn.LET(_xlpm.pI,IFERROR(_xlfn.XLOOKUP($E102,$A$6:$A$255,$P$6:$P$255),""),IF(NOT(ISNUMBER(_xlpm.pI)),"",_xlpm.pI/(1+$CP102)+IF($L102="",0,$L102))))))</f>
        <v/>
      </c>
      <c r="Q102" s="210" t="str">
        <f t="shared" si="24"/>
        <v/>
      </c>
      <c r="R102" s="177" t="str">
        <f>IF($A102="","",IF(OR($C102=0,LEFT($A102,2)="T-"),"",IFERROR(_xlfn.LET(_xlpm.v,_xlfn.XLOOKUP($A102,Dashboard!$A$101:$A$350,Dashboard!$K$101:$K$350),IF(ISNUMBER(_xlpm.v),_xlpm.v,"")),"")))</f>
        <v/>
      </c>
      <c r="S102" s="211" t="str">
        <f t="shared" si="25"/>
        <v/>
      </c>
      <c r="T102" s="25" t="str">
        <f t="shared" si="26"/>
        <v/>
      </c>
      <c r="U102" s="364"/>
      <c r="BV102" s="20" t="str">
        <f>IF($A102="","",IFERROR(_xlfn.XLOOKUP("F-"&amp;$A102,'Feeder Schedule'!$B$5:$B$254,'Feeder Schedule'!$H$5:$H$254),""))</f>
        <v/>
      </c>
      <c r="BW102" s="20" t="str">
        <f>IF($A102="","",IFERROR(_xlfn.XLOOKUP("F-"&amp;$A102,'Feeder Schedule'!$B$5:$B$254,'Feeder Schedule'!$BV$5:$BV$254),""))</f>
        <v/>
      </c>
      <c r="BX102" s="20" t="str">
        <f>IF($A102="","",IFERROR(_xlfn.LET(_xlpm.v,_xlfn.XLOOKUP("F-"&amp;$A102,'Feeder Schedule'!$B$5:$B$254,'Feeder Schedule'!$M$5:$M$254),IF(OR(_xlpm.v="",_xlpm.v=0),Cfg_Conduit,_xlpm.v)),""))</f>
        <v/>
      </c>
      <c r="BY102" s="20" t="str">
        <f>IF($A102="","",IFERROR(_xlfn.XLOOKUP("F-"&amp;$A102,'Feeder Schedule'!$B$5:$B$254,'Feeder Schedule'!$O$5:$O$254),""))</f>
        <v/>
      </c>
      <c r="BZ102" s="20" t="str">
        <f>IF($A102="","",IFERROR(_xlfn.XLOOKUP("F-"&amp;$A102,'Feeder Schedule'!$B$5:$B$254,'Feeder Schedule'!$CH$5:$CH$254),""))</f>
        <v/>
      </c>
      <c r="CA102" s="20" t="str">
        <f>IF($A102="","",IFERROR(_xlfn.XLOOKUP("F-"&amp;$A102,'Feeder Schedule'!$B$5:$B$254,'Feeder Schedule'!$F$5:$F$254),""))</f>
        <v/>
      </c>
      <c r="CB102" s="20" t="str">
        <f>IF($A102="","",IFERROR(_xlfn.XLOOKUP("F-"&amp;$A102,'Feeder Schedule'!$B$5:$B$254,'Feeder Schedule'!$G$5:$G$254),""))</f>
        <v/>
      </c>
      <c r="CD102" s="20" t="str" cm="1">
        <f t="array" ref="CD102">IFERROR(IF($A102="","",INDEX(_xlfn.ANCHORARRAY($BK$4),ROW()-5,6)),"")</f>
        <v/>
      </c>
      <c r="CE102" s="20" t="str">
        <f t="shared" si="29"/>
        <v/>
      </c>
      <c r="CF102" s="20" t="str">
        <f t="shared" si="30"/>
        <v/>
      </c>
      <c r="CG102" s="20" t="str">
        <f t="shared" si="27"/>
        <v/>
      </c>
      <c r="CH102" s="20" t="str" cm="1">
        <f t="array" ref="CH102">IF(OR($A102="",$BZ102="",$BW102="",$BX102=""),"",_xlfn.LET(_xlpm.mag,IFERROR(_xlfn.XLOOKUP($BX102,Race_Raceway,Race_Mag),""),IF(_xlpm.mag="","",IFERROR(INDEX(Cond_Table,MATCH($BZ102,Cond_Size,0),IF(UPPER($BW102)="AL",IF(_xlpm.mag="Y",10,12),IF(_xlpm.mag="Y",9,11))),""))))</f>
        <v/>
      </c>
      <c r="CI102" s="20" t="str">
        <f t="shared" si="28"/>
        <v/>
      </c>
      <c r="CJ102" s="20" t="str">
        <f>IF(OR($A102="",LEFT($A102,2)&lt;&gt;"T-"),"",IFERROR(_xlfn.LET(_xlpm.fla,_xlfn.XLOOKUP($A102,Transformers!$A$6:$A$105,Transformers!$AK$6:$AK$105),_xlpm.z,_xlfn.XLOOKUP($A102,Transformers!$A$6:$A$105,Transformers!$AX$6:$AX$105),IF(OR(_xlpm.fla="",_xlpm.z="",_xlpm.z=0),"",_xlpm.fla*100/_xlpm.z)),""))</f>
        <v/>
      </c>
      <c r="CK102" s="20" t="str">
        <f t="shared" si="31"/>
        <v/>
      </c>
      <c r="CL102" s="20" t="str">
        <f t="shared" si="32"/>
        <v/>
      </c>
      <c r="CM102" s="373"/>
      <c r="CO102" s="20" t="str">
        <f>IF(OR($A102="",LEFT($A102,2)&lt;&gt;"T-"),"",_xlfn.LET(_xlpm.ph,IFERROR(_xlfn.XLOOKUP($A102,Transformers!$A$6:$A$105,Transformers!$C$6:$C$105),""),_xlpm.rr,IFERROR(_xlfn.XLOOKUP($A102,Transformers!$A$6:$A$105,Transformers!$AG$6:$AG$105),""),_xlpm.xx,IFERROR(_xlfn.XLOOKUP($A102,Transformers!$A$6:$A$105,Transformers!$AI$6:$AI$105),""),IF(OR(_xlpm.ph&lt;&gt;1,NOT(ISNUMBER(_xlpm.rr)),NOT(ISNUMBER(_xlpm.xx))),"",SQRT((1.5*_xlpm.rr)^2+(1.2*_xlpm.xx)^2))))</f>
        <v/>
      </c>
      <c r="CP102" s="20" t="str">
        <f t="shared" si="33"/>
        <v/>
      </c>
    </row>
    <row r="103" spans="1:94" ht="15" customHeight="1" x14ac:dyDescent="0.45">
      <c r="A103" s="275" t="str" cm="1">
        <f t="array" ref="A103">IFERROR(IF(INDEX(_xlfn.ANCHORARRAY($BK$4),ROW()-5,1)="","",INDEX(_xlfn.ANCHORARRAY($BK$4),ROW()-5,1)),"")</f>
        <v/>
      </c>
      <c r="B103" s="25" t="str" cm="1">
        <f t="array" ref="B103">IFERROR(IF($A103="","",INDEX(_xlfn.ANCHORARRAY($BK$4),ROW()-5,5)),"")</f>
        <v/>
      </c>
      <c r="C103" s="178" t="str" cm="1">
        <f t="array" ref="C103">IFERROR(IF($A103="","",INDEX(_xlfn.ANCHORARRAY($BK$4),ROW()-5,7)),"")</f>
        <v/>
      </c>
      <c r="D103" s="177" t="str" cm="1">
        <f t="array" ref="D103">IFERROR(IF($A103="","",INDEX(_xlfn.ANCHORARRAY($BK$4),ROW()-5,3)),"")</f>
        <v/>
      </c>
      <c r="E103" s="25" t="str" cm="1">
        <f t="array" ref="E103">IFERROR(IF($A103="","",INDEX(_xlfn.ANCHORARRAY($BK$4),ROW()-5,2)),"")</f>
        <v/>
      </c>
      <c r="F103" s="177" t="str">
        <f t="shared" si="17"/>
        <v/>
      </c>
      <c r="G103" s="275" t="str">
        <f t="shared" si="18"/>
        <v/>
      </c>
      <c r="H103" s="180" t="str">
        <f t="shared" si="19"/>
        <v/>
      </c>
      <c r="I103" s="180" t="str">
        <f t="shared" si="20"/>
        <v/>
      </c>
      <c r="J103" s="177" t="str">
        <f>_xlfn.LET(_xlpm.v,_xlfn.LET(_xlpm.base,IF($A103="","",IF($C103=0,IFERROR(_xlfn.XLOOKUP($A103,Util_Tags,Util_SCAEff),""),IF(LEFT($A103,2)="T-",IF($CJ103="","",$CJ103/(1+IF($CL103="",0,$CL103))),IF(OR($F103="",$I103=""),"",$F103*$I103)))),_xlpm.gtag,IF(OR($A103="",NOT(OR($B103="ATS",$B103="MTS"))),"",IFERROR(_xlfn.XLOOKUP($A103,Dashboard!$A$101:$A$350,Dashboard!$L$101:$L$350,"")&amp;"","")),_xlpm.gkva,IF(_xlpm.gtag="",0,IFERROR(N(_xlfn.XLOOKUP(_xlpm.gtag,Generator!$B$53:$B$58,Generator!$S$53:$S$58,0)),0)),_xlpm.gxd,IF(_xlpm.gtag="",0,IFERROR(N(_xlfn.XLOOKUP(_xlpm.gtag,Generator!$B$53:$B$58,Generator!$U$53:$U$58,0)),0)),_xlpm.gamp,IF(OR(_xlpm.gkva=0,_xlpm.gxd=0,N($D103)=0),0,ROUND(_xlpm.gkva*1000/(IF(N($CB103)=1,1,SQRT(3))*$D103*_xlpm.gxd),0)),IF(OR(_xlpm.gamp=0,NOT(ISNUMBER(_xlpm.base))),_xlpm.base,MAX(_xlpm.base,_xlpm.gamp))),_xlpm.ulim,IF(OR($A103="",$B103&lt;&gt;"UPS"),"",IFERROR(IF(_xlfn.XLOOKUP($A103,UPS!$B$57:$B$64,UPS!$E$57:$E$64,"")="None",_xlfn.XLOOKUP($A103,UPS!$B$57:$B$64,UPS!$U$57:$U$64,""),""),"")),IF(AND(ISNUMBER(_xlpm.v),ISNUMBER(_xlpm.ulim)),MIN(_xlpm.v,_xlpm.ulim),_xlpm.v))</f>
        <v/>
      </c>
      <c r="K103" s="176"/>
      <c r="L103" s="177" t="str">
        <f t="shared" si="21"/>
        <v/>
      </c>
      <c r="M103" s="177" t="str">
        <f t="shared" si="22"/>
        <v/>
      </c>
      <c r="N103" s="380" t="str">
        <f>IF($A103="","",IF($C103=0,_xlfn.LET(_xlpm.x,IFERROR(_xlfn.XLOOKUP($A103,Util_Tags,Util_XR),""),IF(N(_xlpm.x)=0,Xfmr_DefXR,_xlpm.x)),IF(LEFT($A103,2)="T-",IFERROR(_xlfn.XLOOKUP($A103,Transformers!$A$6:$A$105,Transformers!$AH$6:$AH$105),Xfmr_DefXR),IFERROR(_xlfn.XLOOKUP($E103,$A$6:$A$255,$N$6:$N$255),Xfmr_DefXR))))</f>
        <v/>
      </c>
      <c r="O103" s="177" t="str">
        <f t="shared" si="23"/>
        <v/>
      </c>
      <c r="P103" s="210" t="str">
        <f>IF($A103="","",IF(LEFT($A103,2)="T-",IF($CO103="","",_xlfn.LET(_xlpm.k,IFERROR(_xlfn.XLOOKUP($A103,Transformers!$A$6:$A$105,Transformers!$G$6:$G$105),""),_xlpm.sv,IFERROR(_xlfn.XLOOKUP($A103,Transformers!$A$6:$A$105,Transformers!$E$6:$E$105),""),IF(OR(NOT(ISNUMBER(_xlpm.k)),NOT(ISNUMBER(_xlpm.sv)),_xlpm.sv=0),"",_xlfn.LET(_xlpm.iInf,(_xlpm.k*1000/(_xlpm.sv/2))*100/$CO103,_xlpm.pri,IF(OR($CK103="",$CK103=0),"",$CK103/2),_xlpm.base,IF(_xlpm.pri="",_xlpm.iInf,_xlpm.iInf/(1+_xlpm.iInf/_xlpm.pri)),_xlpm.base+IF($L103="",0,$L103))))),IF($CP103="","",_xlfn.LET(_xlpm.pI,IFERROR(_xlfn.XLOOKUP($E103,$A$6:$A$255,$P$6:$P$255),""),IF(NOT(ISNUMBER(_xlpm.pI)),"",_xlpm.pI/(1+$CP103)+IF($L103="",0,$L103))))))</f>
        <v/>
      </c>
      <c r="Q103" s="210" t="str">
        <f t="shared" si="24"/>
        <v/>
      </c>
      <c r="R103" s="177" t="str">
        <f>IF($A103="","",IF(OR($C103=0,LEFT($A103,2)="T-"),"",IFERROR(_xlfn.LET(_xlpm.v,_xlfn.XLOOKUP($A103,Dashboard!$A$101:$A$350,Dashboard!$K$101:$K$350),IF(ISNUMBER(_xlpm.v),_xlpm.v,"")),"")))</f>
        <v/>
      </c>
      <c r="S103" s="211" t="str">
        <f t="shared" si="25"/>
        <v/>
      </c>
      <c r="T103" s="25" t="str">
        <f t="shared" si="26"/>
        <v/>
      </c>
      <c r="U103" s="364"/>
      <c r="BV103" s="20" t="str">
        <f>IF($A103="","",IFERROR(_xlfn.XLOOKUP("F-"&amp;$A103,'Feeder Schedule'!$B$5:$B$254,'Feeder Schedule'!$H$5:$H$254),""))</f>
        <v/>
      </c>
      <c r="BW103" s="20" t="str">
        <f>IF($A103="","",IFERROR(_xlfn.XLOOKUP("F-"&amp;$A103,'Feeder Schedule'!$B$5:$B$254,'Feeder Schedule'!$BV$5:$BV$254),""))</f>
        <v/>
      </c>
      <c r="BX103" s="20" t="str">
        <f>IF($A103="","",IFERROR(_xlfn.LET(_xlpm.v,_xlfn.XLOOKUP("F-"&amp;$A103,'Feeder Schedule'!$B$5:$B$254,'Feeder Schedule'!$M$5:$M$254),IF(OR(_xlpm.v="",_xlpm.v=0),Cfg_Conduit,_xlpm.v)),""))</f>
        <v/>
      </c>
      <c r="BY103" s="20" t="str">
        <f>IF($A103="","",IFERROR(_xlfn.XLOOKUP("F-"&amp;$A103,'Feeder Schedule'!$B$5:$B$254,'Feeder Schedule'!$O$5:$O$254),""))</f>
        <v/>
      </c>
      <c r="BZ103" s="20" t="str">
        <f>IF($A103="","",IFERROR(_xlfn.XLOOKUP("F-"&amp;$A103,'Feeder Schedule'!$B$5:$B$254,'Feeder Schedule'!$CH$5:$CH$254),""))</f>
        <v/>
      </c>
      <c r="CA103" s="20" t="str">
        <f>IF($A103="","",IFERROR(_xlfn.XLOOKUP("F-"&amp;$A103,'Feeder Schedule'!$B$5:$B$254,'Feeder Schedule'!$F$5:$F$254),""))</f>
        <v/>
      </c>
      <c r="CB103" s="20" t="str">
        <f>IF($A103="","",IFERROR(_xlfn.XLOOKUP("F-"&amp;$A103,'Feeder Schedule'!$B$5:$B$254,'Feeder Schedule'!$G$5:$G$254),""))</f>
        <v/>
      </c>
      <c r="CD103" s="20" t="str" cm="1">
        <f t="array" ref="CD103">IFERROR(IF($A103="","",INDEX(_xlfn.ANCHORARRAY($BK$4),ROW()-5,6)),"")</f>
        <v/>
      </c>
      <c r="CE103" s="20" t="str">
        <f t="shared" si="29"/>
        <v/>
      </c>
      <c r="CF103" s="20" t="str">
        <f t="shared" si="30"/>
        <v/>
      </c>
      <c r="CG103" s="20" t="str">
        <f t="shared" si="27"/>
        <v/>
      </c>
      <c r="CH103" s="20" t="str" cm="1">
        <f t="array" ref="CH103">IF(OR($A103="",$BZ103="",$BW103="",$BX103=""),"",_xlfn.LET(_xlpm.mag,IFERROR(_xlfn.XLOOKUP($BX103,Race_Raceway,Race_Mag),""),IF(_xlpm.mag="","",IFERROR(INDEX(Cond_Table,MATCH($BZ103,Cond_Size,0),IF(UPPER($BW103)="AL",IF(_xlpm.mag="Y",10,12),IF(_xlpm.mag="Y",9,11))),""))))</f>
        <v/>
      </c>
      <c r="CI103" s="20" t="str">
        <f t="shared" si="28"/>
        <v/>
      </c>
      <c r="CJ103" s="20" t="str">
        <f>IF(OR($A103="",LEFT($A103,2)&lt;&gt;"T-"),"",IFERROR(_xlfn.LET(_xlpm.fla,_xlfn.XLOOKUP($A103,Transformers!$A$6:$A$105,Transformers!$AK$6:$AK$105),_xlpm.z,_xlfn.XLOOKUP($A103,Transformers!$A$6:$A$105,Transformers!$AX$6:$AX$105),IF(OR(_xlpm.fla="",_xlpm.z="",_xlpm.z=0),"",_xlpm.fla*100/_xlpm.z)),""))</f>
        <v/>
      </c>
      <c r="CK103" s="20" t="str">
        <f t="shared" si="31"/>
        <v/>
      </c>
      <c r="CL103" s="20" t="str">
        <f t="shared" si="32"/>
        <v/>
      </c>
      <c r="CM103" s="373"/>
      <c r="CO103" s="20" t="str">
        <f>IF(OR($A103="",LEFT($A103,2)&lt;&gt;"T-"),"",_xlfn.LET(_xlpm.ph,IFERROR(_xlfn.XLOOKUP($A103,Transformers!$A$6:$A$105,Transformers!$C$6:$C$105),""),_xlpm.rr,IFERROR(_xlfn.XLOOKUP($A103,Transformers!$A$6:$A$105,Transformers!$AG$6:$AG$105),""),_xlpm.xx,IFERROR(_xlfn.XLOOKUP($A103,Transformers!$A$6:$A$105,Transformers!$AI$6:$AI$105),""),IF(OR(_xlpm.ph&lt;&gt;1,NOT(ISNUMBER(_xlpm.rr)),NOT(ISNUMBER(_xlpm.xx))),"",SQRT((1.5*_xlpm.rr)^2+(1.2*_xlpm.xx)^2))))</f>
        <v/>
      </c>
      <c r="CP103" s="20" t="str">
        <f t="shared" si="33"/>
        <v/>
      </c>
    </row>
    <row r="104" spans="1:94" ht="15" customHeight="1" x14ac:dyDescent="0.45">
      <c r="A104" s="275" t="str" cm="1">
        <f t="array" ref="A104">IFERROR(IF(INDEX(_xlfn.ANCHORARRAY($BK$4),ROW()-5,1)="","",INDEX(_xlfn.ANCHORARRAY($BK$4),ROW()-5,1)),"")</f>
        <v/>
      </c>
      <c r="B104" s="25" t="str" cm="1">
        <f t="array" ref="B104">IFERROR(IF($A104="","",INDEX(_xlfn.ANCHORARRAY($BK$4),ROW()-5,5)),"")</f>
        <v/>
      </c>
      <c r="C104" s="178" t="str" cm="1">
        <f t="array" ref="C104">IFERROR(IF($A104="","",INDEX(_xlfn.ANCHORARRAY($BK$4),ROW()-5,7)),"")</f>
        <v/>
      </c>
      <c r="D104" s="177" t="str" cm="1">
        <f t="array" ref="D104">IFERROR(IF($A104="","",INDEX(_xlfn.ANCHORARRAY($BK$4),ROW()-5,3)),"")</f>
        <v/>
      </c>
      <c r="E104" s="25" t="str" cm="1">
        <f t="array" ref="E104">IFERROR(IF($A104="","",INDEX(_xlfn.ANCHORARRAY($BK$4),ROW()-5,2)),"")</f>
        <v/>
      </c>
      <c r="F104" s="177" t="str">
        <f t="shared" si="17"/>
        <v/>
      </c>
      <c r="G104" s="275" t="str">
        <f t="shared" si="18"/>
        <v/>
      </c>
      <c r="H104" s="180" t="str">
        <f t="shared" si="19"/>
        <v/>
      </c>
      <c r="I104" s="180" t="str">
        <f t="shared" si="20"/>
        <v/>
      </c>
      <c r="J104" s="177" t="str">
        <f>_xlfn.LET(_xlpm.v,_xlfn.LET(_xlpm.base,IF($A104="","",IF($C104=0,IFERROR(_xlfn.XLOOKUP($A104,Util_Tags,Util_SCAEff),""),IF(LEFT($A104,2)="T-",IF($CJ104="","",$CJ104/(1+IF($CL104="",0,$CL104))),IF(OR($F104="",$I104=""),"",$F104*$I104)))),_xlpm.gtag,IF(OR($A104="",NOT(OR($B104="ATS",$B104="MTS"))),"",IFERROR(_xlfn.XLOOKUP($A104,Dashboard!$A$101:$A$350,Dashboard!$L$101:$L$350,"")&amp;"","")),_xlpm.gkva,IF(_xlpm.gtag="",0,IFERROR(N(_xlfn.XLOOKUP(_xlpm.gtag,Generator!$B$53:$B$58,Generator!$S$53:$S$58,0)),0)),_xlpm.gxd,IF(_xlpm.gtag="",0,IFERROR(N(_xlfn.XLOOKUP(_xlpm.gtag,Generator!$B$53:$B$58,Generator!$U$53:$U$58,0)),0)),_xlpm.gamp,IF(OR(_xlpm.gkva=0,_xlpm.gxd=0,N($D104)=0),0,ROUND(_xlpm.gkva*1000/(IF(N($CB104)=1,1,SQRT(3))*$D104*_xlpm.gxd),0)),IF(OR(_xlpm.gamp=0,NOT(ISNUMBER(_xlpm.base))),_xlpm.base,MAX(_xlpm.base,_xlpm.gamp))),_xlpm.ulim,IF(OR($A104="",$B104&lt;&gt;"UPS"),"",IFERROR(IF(_xlfn.XLOOKUP($A104,UPS!$B$57:$B$64,UPS!$E$57:$E$64,"")="None",_xlfn.XLOOKUP($A104,UPS!$B$57:$B$64,UPS!$U$57:$U$64,""),""),"")),IF(AND(ISNUMBER(_xlpm.v),ISNUMBER(_xlpm.ulim)),MIN(_xlpm.v,_xlpm.ulim),_xlpm.v))</f>
        <v/>
      </c>
      <c r="K104" s="176"/>
      <c r="L104" s="177" t="str">
        <f t="shared" si="21"/>
        <v/>
      </c>
      <c r="M104" s="177" t="str">
        <f t="shared" si="22"/>
        <v/>
      </c>
      <c r="N104" s="380" t="str">
        <f>IF($A104="","",IF($C104=0,_xlfn.LET(_xlpm.x,IFERROR(_xlfn.XLOOKUP($A104,Util_Tags,Util_XR),""),IF(N(_xlpm.x)=0,Xfmr_DefXR,_xlpm.x)),IF(LEFT($A104,2)="T-",IFERROR(_xlfn.XLOOKUP($A104,Transformers!$A$6:$A$105,Transformers!$AH$6:$AH$105),Xfmr_DefXR),IFERROR(_xlfn.XLOOKUP($E104,$A$6:$A$255,$N$6:$N$255),Xfmr_DefXR))))</f>
        <v/>
      </c>
      <c r="O104" s="177" t="str">
        <f t="shared" si="23"/>
        <v/>
      </c>
      <c r="P104" s="210" t="str">
        <f>IF($A104="","",IF(LEFT($A104,2)="T-",IF($CO104="","",_xlfn.LET(_xlpm.k,IFERROR(_xlfn.XLOOKUP($A104,Transformers!$A$6:$A$105,Transformers!$G$6:$G$105),""),_xlpm.sv,IFERROR(_xlfn.XLOOKUP($A104,Transformers!$A$6:$A$105,Transformers!$E$6:$E$105),""),IF(OR(NOT(ISNUMBER(_xlpm.k)),NOT(ISNUMBER(_xlpm.sv)),_xlpm.sv=0),"",_xlfn.LET(_xlpm.iInf,(_xlpm.k*1000/(_xlpm.sv/2))*100/$CO104,_xlpm.pri,IF(OR($CK104="",$CK104=0),"",$CK104/2),_xlpm.base,IF(_xlpm.pri="",_xlpm.iInf,_xlpm.iInf/(1+_xlpm.iInf/_xlpm.pri)),_xlpm.base+IF($L104="",0,$L104))))),IF($CP104="","",_xlfn.LET(_xlpm.pI,IFERROR(_xlfn.XLOOKUP($E104,$A$6:$A$255,$P$6:$P$255),""),IF(NOT(ISNUMBER(_xlpm.pI)),"",_xlpm.pI/(1+$CP104)+IF($L104="",0,$L104))))))</f>
        <v/>
      </c>
      <c r="Q104" s="210" t="str">
        <f t="shared" si="24"/>
        <v/>
      </c>
      <c r="R104" s="177" t="str">
        <f>IF($A104="","",IF(OR($C104=0,LEFT($A104,2)="T-"),"",IFERROR(_xlfn.LET(_xlpm.v,_xlfn.XLOOKUP($A104,Dashboard!$A$101:$A$350,Dashboard!$K$101:$K$350),IF(ISNUMBER(_xlpm.v),_xlpm.v,"")),"")))</f>
        <v/>
      </c>
      <c r="S104" s="211" t="str">
        <f t="shared" si="25"/>
        <v/>
      </c>
      <c r="T104" s="25" t="str">
        <f t="shared" si="26"/>
        <v/>
      </c>
      <c r="U104" s="364"/>
      <c r="BV104" s="20" t="str">
        <f>IF($A104="","",IFERROR(_xlfn.XLOOKUP("F-"&amp;$A104,'Feeder Schedule'!$B$5:$B$254,'Feeder Schedule'!$H$5:$H$254),""))</f>
        <v/>
      </c>
      <c r="BW104" s="20" t="str">
        <f>IF($A104="","",IFERROR(_xlfn.XLOOKUP("F-"&amp;$A104,'Feeder Schedule'!$B$5:$B$254,'Feeder Schedule'!$BV$5:$BV$254),""))</f>
        <v/>
      </c>
      <c r="BX104" s="20" t="str">
        <f>IF($A104="","",IFERROR(_xlfn.LET(_xlpm.v,_xlfn.XLOOKUP("F-"&amp;$A104,'Feeder Schedule'!$B$5:$B$254,'Feeder Schedule'!$M$5:$M$254),IF(OR(_xlpm.v="",_xlpm.v=0),Cfg_Conduit,_xlpm.v)),""))</f>
        <v/>
      </c>
      <c r="BY104" s="20" t="str">
        <f>IF($A104="","",IFERROR(_xlfn.XLOOKUP("F-"&amp;$A104,'Feeder Schedule'!$B$5:$B$254,'Feeder Schedule'!$O$5:$O$254),""))</f>
        <v/>
      </c>
      <c r="BZ104" s="20" t="str">
        <f>IF($A104="","",IFERROR(_xlfn.XLOOKUP("F-"&amp;$A104,'Feeder Schedule'!$B$5:$B$254,'Feeder Schedule'!$CH$5:$CH$254),""))</f>
        <v/>
      </c>
      <c r="CA104" s="20" t="str">
        <f>IF($A104="","",IFERROR(_xlfn.XLOOKUP("F-"&amp;$A104,'Feeder Schedule'!$B$5:$B$254,'Feeder Schedule'!$F$5:$F$254),""))</f>
        <v/>
      </c>
      <c r="CB104" s="20" t="str">
        <f>IF($A104="","",IFERROR(_xlfn.XLOOKUP("F-"&amp;$A104,'Feeder Schedule'!$B$5:$B$254,'Feeder Schedule'!$G$5:$G$254),""))</f>
        <v/>
      </c>
      <c r="CD104" s="20" t="str" cm="1">
        <f t="array" ref="CD104">IFERROR(IF($A104="","",INDEX(_xlfn.ANCHORARRAY($BK$4),ROW()-5,6)),"")</f>
        <v/>
      </c>
      <c r="CE104" s="20" t="str">
        <f t="shared" si="29"/>
        <v/>
      </c>
      <c r="CF104" s="20" t="str">
        <f t="shared" si="30"/>
        <v/>
      </c>
      <c r="CG104" s="20" t="str">
        <f t="shared" si="27"/>
        <v/>
      </c>
      <c r="CH104" s="20" t="str" cm="1">
        <f t="array" ref="CH104">IF(OR($A104="",$BZ104="",$BW104="",$BX104=""),"",_xlfn.LET(_xlpm.mag,IFERROR(_xlfn.XLOOKUP($BX104,Race_Raceway,Race_Mag),""),IF(_xlpm.mag="","",IFERROR(INDEX(Cond_Table,MATCH($BZ104,Cond_Size,0),IF(UPPER($BW104)="AL",IF(_xlpm.mag="Y",10,12),IF(_xlpm.mag="Y",9,11))),""))))</f>
        <v/>
      </c>
      <c r="CI104" s="20" t="str">
        <f t="shared" si="28"/>
        <v/>
      </c>
      <c r="CJ104" s="20" t="str">
        <f>IF(OR($A104="",LEFT($A104,2)&lt;&gt;"T-"),"",IFERROR(_xlfn.LET(_xlpm.fla,_xlfn.XLOOKUP($A104,Transformers!$A$6:$A$105,Transformers!$AK$6:$AK$105),_xlpm.z,_xlfn.XLOOKUP($A104,Transformers!$A$6:$A$105,Transformers!$AX$6:$AX$105),IF(OR(_xlpm.fla="",_xlpm.z="",_xlpm.z=0),"",_xlpm.fla*100/_xlpm.z)),""))</f>
        <v/>
      </c>
      <c r="CK104" s="20" t="str">
        <f t="shared" si="31"/>
        <v/>
      </c>
      <c r="CL104" s="20" t="str">
        <f t="shared" si="32"/>
        <v/>
      </c>
      <c r="CM104" s="373"/>
      <c r="CO104" s="20" t="str">
        <f>IF(OR($A104="",LEFT($A104,2)&lt;&gt;"T-"),"",_xlfn.LET(_xlpm.ph,IFERROR(_xlfn.XLOOKUP($A104,Transformers!$A$6:$A$105,Transformers!$C$6:$C$105),""),_xlpm.rr,IFERROR(_xlfn.XLOOKUP($A104,Transformers!$A$6:$A$105,Transformers!$AG$6:$AG$105),""),_xlpm.xx,IFERROR(_xlfn.XLOOKUP($A104,Transformers!$A$6:$A$105,Transformers!$AI$6:$AI$105),""),IF(OR(_xlpm.ph&lt;&gt;1,NOT(ISNUMBER(_xlpm.rr)),NOT(ISNUMBER(_xlpm.xx))),"",SQRT((1.5*_xlpm.rr)^2+(1.2*_xlpm.xx)^2))))</f>
        <v/>
      </c>
      <c r="CP104" s="20" t="str">
        <f t="shared" si="33"/>
        <v/>
      </c>
    </row>
    <row r="105" spans="1:94" ht="15" customHeight="1" x14ac:dyDescent="0.45">
      <c r="A105" s="275" t="str" cm="1">
        <f t="array" ref="A105">IFERROR(IF(INDEX(_xlfn.ANCHORARRAY($BK$4),ROW()-5,1)="","",INDEX(_xlfn.ANCHORARRAY($BK$4),ROW()-5,1)),"")</f>
        <v/>
      </c>
      <c r="B105" s="25" t="str" cm="1">
        <f t="array" ref="B105">IFERROR(IF($A105="","",INDEX(_xlfn.ANCHORARRAY($BK$4),ROW()-5,5)),"")</f>
        <v/>
      </c>
      <c r="C105" s="178" t="str" cm="1">
        <f t="array" ref="C105">IFERROR(IF($A105="","",INDEX(_xlfn.ANCHORARRAY($BK$4),ROW()-5,7)),"")</f>
        <v/>
      </c>
      <c r="D105" s="177" t="str" cm="1">
        <f t="array" ref="D105">IFERROR(IF($A105="","",INDEX(_xlfn.ANCHORARRAY($BK$4),ROW()-5,3)),"")</f>
        <v/>
      </c>
      <c r="E105" s="25" t="str" cm="1">
        <f t="array" ref="E105">IFERROR(IF($A105="","",INDEX(_xlfn.ANCHORARRAY($BK$4),ROW()-5,2)),"")</f>
        <v/>
      </c>
      <c r="F105" s="177" t="str">
        <f t="shared" si="17"/>
        <v/>
      </c>
      <c r="G105" s="275" t="str">
        <f t="shared" si="18"/>
        <v/>
      </c>
      <c r="H105" s="180" t="str">
        <f t="shared" si="19"/>
        <v/>
      </c>
      <c r="I105" s="180" t="str">
        <f t="shared" si="20"/>
        <v/>
      </c>
      <c r="J105" s="177" t="str">
        <f>_xlfn.LET(_xlpm.v,_xlfn.LET(_xlpm.base,IF($A105="","",IF($C105=0,IFERROR(_xlfn.XLOOKUP($A105,Util_Tags,Util_SCAEff),""),IF(LEFT($A105,2)="T-",IF($CJ105="","",$CJ105/(1+IF($CL105="",0,$CL105))),IF(OR($F105="",$I105=""),"",$F105*$I105)))),_xlpm.gtag,IF(OR($A105="",NOT(OR($B105="ATS",$B105="MTS"))),"",IFERROR(_xlfn.XLOOKUP($A105,Dashboard!$A$101:$A$350,Dashboard!$L$101:$L$350,"")&amp;"","")),_xlpm.gkva,IF(_xlpm.gtag="",0,IFERROR(N(_xlfn.XLOOKUP(_xlpm.gtag,Generator!$B$53:$B$58,Generator!$S$53:$S$58,0)),0)),_xlpm.gxd,IF(_xlpm.gtag="",0,IFERROR(N(_xlfn.XLOOKUP(_xlpm.gtag,Generator!$B$53:$B$58,Generator!$U$53:$U$58,0)),0)),_xlpm.gamp,IF(OR(_xlpm.gkva=0,_xlpm.gxd=0,N($D105)=0),0,ROUND(_xlpm.gkva*1000/(IF(N($CB105)=1,1,SQRT(3))*$D105*_xlpm.gxd),0)),IF(OR(_xlpm.gamp=0,NOT(ISNUMBER(_xlpm.base))),_xlpm.base,MAX(_xlpm.base,_xlpm.gamp))),_xlpm.ulim,IF(OR($A105="",$B105&lt;&gt;"UPS"),"",IFERROR(IF(_xlfn.XLOOKUP($A105,UPS!$B$57:$B$64,UPS!$E$57:$E$64,"")="None",_xlfn.XLOOKUP($A105,UPS!$B$57:$B$64,UPS!$U$57:$U$64,""),""),"")),IF(AND(ISNUMBER(_xlpm.v),ISNUMBER(_xlpm.ulim)),MIN(_xlpm.v,_xlpm.ulim),_xlpm.v))</f>
        <v/>
      </c>
      <c r="K105" s="176"/>
      <c r="L105" s="177" t="str">
        <f t="shared" si="21"/>
        <v/>
      </c>
      <c r="M105" s="177" t="str">
        <f t="shared" si="22"/>
        <v/>
      </c>
      <c r="N105" s="380" t="str">
        <f>IF($A105="","",IF($C105=0,_xlfn.LET(_xlpm.x,IFERROR(_xlfn.XLOOKUP($A105,Util_Tags,Util_XR),""),IF(N(_xlpm.x)=0,Xfmr_DefXR,_xlpm.x)),IF(LEFT($A105,2)="T-",IFERROR(_xlfn.XLOOKUP($A105,Transformers!$A$6:$A$105,Transformers!$AH$6:$AH$105),Xfmr_DefXR),IFERROR(_xlfn.XLOOKUP($E105,$A$6:$A$255,$N$6:$N$255),Xfmr_DefXR))))</f>
        <v/>
      </c>
      <c r="O105" s="177" t="str">
        <f t="shared" si="23"/>
        <v/>
      </c>
      <c r="P105" s="210" t="str">
        <f>IF($A105="","",IF(LEFT($A105,2)="T-",IF($CO105="","",_xlfn.LET(_xlpm.k,IFERROR(_xlfn.XLOOKUP($A105,Transformers!$A$6:$A$105,Transformers!$G$6:$G$105),""),_xlpm.sv,IFERROR(_xlfn.XLOOKUP($A105,Transformers!$A$6:$A$105,Transformers!$E$6:$E$105),""),IF(OR(NOT(ISNUMBER(_xlpm.k)),NOT(ISNUMBER(_xlpm.sv)),_xlpm.sv=0),"",_xlfn.LET(_xlpm.iInf,(_xlpm.k*1000/(_xlpm.sv/2))*100/$CO105,_xlpm.pri,IF(OR($CK105="",$CK105=0),"",$CK105/2),_xlpm.base,IF(_xlpm.pri="",_xlpm.iInf,_xlpm.iInf/(1+_xlpm.iInf/_xlpm.pri)),_xlpm.base+IF($L105="",0,$L105))))),IF($CP105="","",_xlfn.LET(_xlpm.pI,IFERROR(_xlfn.XLOOKUP($E105,$A$6:$A$255,$P$6:$P$255),""),IF(NOT(ISNUMBER(_xlpm.pI)),"",_xlpm.pI/(1+$CP105)+IF($L105="",0,$L105))))))</f>
        <v/>
      </c>
      <c r="Q105" s="210" t="str">
        <f t="shared" si="24"/>
        <v/>
      </c>
      <c r="R105" s="177" t="str">
        <f>IF($A105="","",IF(OR($C105=0,LEFT($A105,2)="T-"),"",IFERROR(_xlfn.LET(_xlpm.v,_xlfn.XLOOKUP($A105,Dashboard!$A$101:$A$350,Dashboard!$K$101:$K$350),IF(ISNUMBER(_xlpm.v),_xlpm.v,"")),"")))</f>
        <v/>
      </c>
      <c r="S105" s="211" t="str">
        <f t="shared" si="25"/>
        <v/>
      </c>
      <c r="T105" s="25" t="str">
        <f t="shared" si="26"/>
        <v/>
      </c>
      <c r="U105" s="364"/>
      <c r="BV105" s="20" t="str">
        <f>IF($A105="","",IFERROR(_xlfn.XLOOKUP("F-"&amp;$A105,'Feeder Schedule'!$B$5:$B$254,'Feeder Schedule'!$H$5:$H$254),""))</f>
        <v/>
      </c>
      <c r="BW105" s="20" t="str">
        <f>IF($A105="","",IFERROR(_xlfn.XLOOKUP("F-"&amp;$A105,'Feeder Schedule'!$B$5:$B$254,'Feeder Schedule'!$BV$5:$BV$254),""))</f>
        <v/>
      </c>
      <c r="BX105" s="20" t="str">
        <f>IF($A105="","",IFERROR(_xlfn.LET(_xlpm.v,_xlfn.XLOOKUP("F-"&amp;$A105,'Feeder Schedule'!$B$5:$B$254,'Feeder Schedule'!$M$5:$M$254),IF(OR(_xlpm.v="",_xlpm.v=0),Cfg_Conduit,_xlpm.v)),""))</f>
        <v/>
      </c>
      <c r="BY105" s="20" t="str">
        <f>IF($A105="","",IFERROR(_xlfn.XLOOKUP("F-"&amp;$A105,'Feeder Schedule'!$B$5:$B$254,'Feeder Schedule'!$O$5:$O$254),""))</f>
        <v/>
      </c>
      <c r="BZ105" s="20" t="str">
        <f>IF($A105="","",IFERROR(_xlfn.XLOOKUP("F-"&amp;$A105,'Feeder Schedule'!$B$5:$B$254,'Feeder Schedule'!$CH$5:$CH$254),""))</f>
        <v/>
      </c>
      <c r="CA105" s="20" t="str">
        <f>IF($A105="","",IFERROR(_xlfn.XLOOKUP("F-"&amp;$A105,'Feeder Schedule'!$B$5:$B$254,'Feeder Schedule'!$F$5:$F$254),""))</f>
        <v/>
      </c>
      <c r="CB105" s="20" t="str">
        <f>IF($A105="","",IFERROR(_xlfn.XLOOKUP("F-"&amp;$A105,'Feeder Schedule'!$B$5:$B$254,'Feeder Schedule'!$G$5:$G$254),""))</f>
        <v/>
      </c>
      <c r="CD105" s="20" t="str" cm="1">
        <f t="array" ref="CD105">IFERROR(IF($A105="","",INDEX(_xlfn.ANCHORARRAY($BK$4),ROW()-5,6)),"")</f>
        <v/>
      </c>
      <c r="CE105" s="20" t="str">
        <f t="shared" si="29"/>
        <v/>
      </c>
      <c r="CF105" s="20" t="str">
        <f t="shared" si="30"/>
        <v/>
      </c>
      <c r="CG105" s="20" t="str">
        <f t="shared" si="27"/>
        <v/>
      </c>
      <c r="CH105" s="20" t="str" cm="1">
        <f t="array" ref="CH105">IF(OR($A105="",$BZ105="",$BW105="",$BX105=""),"",_xlfn.LET(_xlpm.mag,IFERROR(_xlfn.XLOOKUP($BX105,Race_Raceway,Race_Mag),""),IF(_xlpm.mag="","",IFERROR(INDEX(Cond_Table,MATCH($BZ105,Cond_Size,0),IF(UPPER($BW105)="AL",IF(_xlpm.mag="Y",10,12),IF(_xlpm.mag="Y",9,11))),""))))</f>
        <v/>
      </c>
      <c r="CI105" s="20" t="str">
        <f t="shared" si="28"/>
        <v/>
      </c>
      <c r="CJ105" s="20" t="str">
        <f>IF(OR($A105="",LEFT($A105,2)&lt;&gt;"T-"),"",IFERROR(_xlfn.LET(_xlpm.fla,_xlfn.XLOOKUP($A105,Transformers!$A$6:$A$105,Transformers!$AK$6:$AK$105),_xlpm.z,_xlfn.XLOOKUP($A105,Transformers!$A$6:$A$105,Transformers!$AX$6:$AX$105),IF(OR(_xlpm.fla="",_xlpm.z="",_xlpm.z=0),"",_xlpm.fla*100/_xlpm.z)),""))</f>
        <v/>
      </c>
      <c r="CK105" s="20" t="str">
        <f t="shared" si="31"/>
        <v/>
      </c>
      <c r="CL105" s="20" t="str">
        <f t="shared" si="32"/>
        <v/>
      </c>
      <c r="CM105" s="373"/>
      <c r="CO105" s="20" t="str">
        <f>IF(OR($A105="",LEFT($A105,2)&lt;&gt;"T-"),"",_xlfn.LET(_xlpm.ph,IFERROR(_xlfn.XLOOKUP($A105,Transformers!$A$6:$A$105,Transformers!$C$6:$C$105),""),_xlpm.rr,IFERROR(_xlfn.XLOOKUP($A105,Transformers!$A$6:$A$105,Transformers!$AG$6:$AG$105),""),_xlpm.xx,IFERROR(_xlfn.XLOOKUP($A105,Transformers!$A$6:$A$105,Transformers!$AI$6:$AI$105),""),IF(OR(_xlpm.ph&lt;&gt;1,NOT(ISNUMBER(_xlpm.rr)),NOT(ISNUMBER(_xlpm.xx))),"",SQRT((1.5*_xlpm.rr)^2+(1.2*_xlpm.xx)^2))))</f>
        <v/>
      </c>
      <c r="CP105" s="20" t="str">
        <f t="shared" si="33"/>
        <v/>
      </c>
    </row>
    <row r="106" spans="1:94" ht="15" customHeight="1" x14ac:dyDescent="0.45">
      <c r="A106" s="275" t="str" cm="1">
        <f t="array" ref="A106">IFERROR(IF(INDEX(_xlfn.ANCHORARRAY($BK$4),ROW()-5,1)="","",INDEX(_xlfn.ANCHORARRAY($BK$4),ROW()-5,1)),"")</f>
        <v/>
      </c>
      <c r="B106" s="25" t="str" cm="1">
        <f t="array" ref="B106">IFERROR(IF($A106="","",INDEX(_xlfn.ANCHORARRAY($BK$4),ROW()-5,5)),"")</f>
        <v/>
      </c>
      <c r="C106" s="178" t="str" cm="1">
        <f t="array" ref="C106">IFERROR(IF($A106="","",INDEX(_xlfn.ANCHORARRAY($BK$4),ROW()-5,7)),"")</f>
        <v/>
      </c>
      <c r="D106" s="177" t="str" cm="1">
        <f t="array" ref="D106">IFERROR(IF($A106="","",INDEX(_xlfn.ANCHORARRAY($BK$4),ROW()-5,3)),"")</f>
        <v/>
      </c>
      <c r="E106" s="25" t="str" cm="1">
        <f t="array" ref="E106">IFERROR(IF($A106="","",INDEX(_xlfn.ANCHORARRAY($BK$4),ROW()-5,2)),"")</f>
        <v/>
      </c>
      <c r="F106" s="177" t="str">
        <f t="shared" si="17"/>
        <v/>
      </c>
      <c r="G106" s="275" t="str">
        <f t="shared" si="18"/>
        <v/>
      </c>
      <c r="H106" s="180" t="str">
        <f t="shared" si="19"/>
        <v/>
      </c>
      <c r="I106" s="180" t="str">
        <f t="shared" si="20"/>
        <v/>
      </c>
      <c r="J106" s="177" t="str">
        <f>_xlfn.LET(_xlpm.v,_xlfn.LET(_xlpm.base,IF($A106="","",IF($C106=0,IFERROR(_xlfn.XLOOKUP($A106,Util_Tags,Util_SCAEff),""),IF(LEFT($A106,2)="T-",IF($CJ106="","",$CJ106/(1+IF($CL106="",0,$CL106))),IF(OR($F106="",$I106=""),"",$F106*$I106)))),_xlpm.gtag,IF(OR($A106="",NOT(OR($B106="ATS",$B106="MTS"))),"",IFERROR(_xlfn.XLOOKUP($A106,Dashboard!$A$101:$A$350,Dashboard!$L$101:$L$350,"")&amp;"","")),_xlpm.gkva,IF(_xlpm.gtag="",0,IFERROR(N(_xlfn.XLOOKUP(_xlpm.gtag,Generator!$B$53:$B$58,Generator!$S$53:$S$58,0)),0)),_xlpm.gxd,IF(_xlpm.gtag="",0,IFERROR(N(_xlfn.XLOOKUP(_xlpm.gtag,Generator!$B$53:$B$58,Generator!$U$53:$U$58,0)),0)),_xlpm.gamp,IF(OR(_xlpm.gkva=0,_xlpm.gxd=0,N($D106)=0),0,ROUND(_xlpm.gkva*1000/(IF(N($CB106)=1,1,SQRT(3))*$D106*_xlpm.gxd),0)),IF(OR(_xlpm.gamp=0,NOT(ISNUMBER(_xlpm.base))),_xlpm.base,MAX(_xlpm.base,_xlpm.gamp))),_xlpm.ulim,IF(OR($A106="",$B106&lt;&gt;"UPS"),"",IFERROR(IF(_xlfn.XLOOKUP($A106,UPS!$B$57:$B$64,UPS!$E$57:$E$64,"")="None",_xlfn.XLOOKUP($A106,UPS!$B$57:$B$64,UPS!$U$57:$U$64,""),""),"")),IF(AND(ISNUMBER(_xlpm.v),ISNUMBER(_xlpm.ulim)),MIN(_xlpm.v,_xlpm.ulim),_xlpm.v))</f>
        <v/>
      </c>
      <c r="K106" s="176"/>
      <c r="L106" s="177" t="str">
        <f t="shared" si="21"/>
        <v/>
      </c>
      <c r="M106" s="177" t="str">
        <f t="shared" si="22"/>
        <v/>
      </c>
      <c r="N106" s="380" t="str">
        <f>IF($A106="","",IF($C106=0,_xlfn.LET(_xlpm.x,IFERROR(_xlfn.XLOOKUP($A106,Util_Tags,Util_XR),""),IF(N(_xlpm.x)=0,Xfmr_DefXR,_xlpm.x)),IF(LEFT($A106,2)="T-",IFERROR(_xlfn.XLOOKUP($A106,Transformers!$A$6:$A$105,Transformers!$AH$6:$AH$105),Xfmr_DefXR),IFERROR(_xlfn.XLOOKUP($E106,$A$6:$A$255,$N$6:$N$255),Xfmr_DefXR))))</f>
        <v/>
      </c>
      <c r="O106" s="177" t="str">
        <f t="shared" si="23"/>
        <v/>
      </c>
      <c r="P106" s="210" t="str">
        <f>IF($A106="","",IF(LEFT($A106,2)="T-",IF($CO106="","",_xlfn.LET(_xlpm.k,IFERROR(_xlfn.XLOOKUP($A106,Transformers!$A$6:$A$105,Transformers!$G$6:$G$105),""),_xlpm.sv,IFERROR(_xlfn.XLOOKUP($A106,Transformers!$A$6:$A$105,Transformers!$E$6:$E$105),""),IF(OR(NOT(ISNUMBER(_xlpm.k)),NOT(ISNUMBER(_xlpm.sv)),_xlpm.sv=0),"",_xlfn.LET(_xlpm.iInf,(_xlpm.k*1000/(_xlpm.sv/2))*100/$CO106,_xlpm.pri,IF(OR($CK106="",$CK106=0),"",$CK106/2),_xlpm.base,IF(_xlpm.pri="",_xlpm.iInf,_xlpm.iInf/(1+_xlpm.iInf/_xlpm.pri)),_xlpm.base+IF($L106="",0,$L106))))),IF($CP106="","",_xlfn.LET(_xlpm.pI,IFERROR(_xlfn.XLOOKUP($E106,$A$6:$A$255,$P$6:$P$255),""),IF(NOT(ISNUMBER(_xlpm.pI)),"",_xlpm.pI/(1+$CP106)+IF($L106="",0,$L106))))))</f>
        <v/>
      </c>
      <c r="Q106" s="210" t="str">
        <f t="shared" si="24"/>
        <v/>
      </c>
      <c r="R106" s="177" t="str">
        <f>IF($A106="","",IF(OR($C106=0,LEFT($A106,2)="T-"),"",IFERROR(_xlfn.LET(_xlpm.v,_xlfn.XLOOKUP($A106,Dashboard!$A$101:$A$350,Dashboard!$K$101:$K$350),IF(ISNUMBER(_xlpm.v),_xlpm.v,"")),"")))</f>
        <v/>
      </c>
      <c r="S106" s="211" t="str">
        <f t="shared" si="25"/>
        <v/>
      </c>
      <c r="T106" s="25" t="str">
        <f t="shared" si="26"/>
        <v/>
      </c>
      <c r="U106" s="364"/>
      <c r="BV106" s="20" t="str">
        <f>IF($A106="","",IFERROR(_xlfn.XLOOKUP("F-"&amp;$A106,'Feeder Schedule'!$B$5:$B$254,'Feeder Schedule'!$H$5:$H$254),""))</f>
        <v/>
      </c>
      <c r="BW106" s="20" t="str">
        <f>IF($A106="","",IFERROR(_xlfn.XLOOKUP("F-"&amp;$A106,'Feeder Schedule'!$B$5:$B$254,'Feeder Schedule'!$BV$5:$BV$254),""))</f>
        <v/>
      </c>
      <c r="BX106" s="20" t="str">
        <f>IF($A106="","",IFERROR(_xlfn.LET(_xlpm.v,_xlfn.XLOOKUP("F-"&amp;$A106,'Feeder Schedule'!$B$5:$B$254,'Feeder Schedule'!$M$5:$M$254),IF(OR(_xlpm.v="",_xlpm.v=0),Cfg_Conduit,_xlpm.v)),""))</f>
        <v/>
      </c>
      <c r="BY106" s="20" t="str">
        <f>IF($A106="","",IFERROR(_xlfn.XLOOKUP("F-"&amp;$A106,'Feeder Schedule'!$B$5:$B$254,'Feeder Schedule'!$O$5:$O$254),""))</f>
        <v/>
      </c>
      <c r="BZ106" s="20" t="str">
        <f>IF($A106="","",IFERROR(_xlfn.XLOOKUP("F-"&amp;$A106,'Feeder Schedule'!$B$5:$B$254,'Feeder Schedule'!$CH$5:$CH$254),""))</f>
        <v/>
      </c>
      <c r="CA106" s="20" t="str">
        <f>IF($A106="","",IFERROR(_xlfn.XLOOKUP("F-"&amp;$A106,'Feeder Schedule'!$B$5:$B$254,'Feeder Schedule'!$F$5:$F$254),""))</f>
        <v/>
      </c>
      <c r="CB106" s="20" t="str">
        <f>IF($A106="","",IFERROR(_xlfn.XLOOKUP("F-"&amp;$A106,'Feeder Schedule'!$B$5:$B$254,'Feeder Schedule'!$G$5:$G$254),""))</f>
        <v/>
      </c>
      <c r="CD106" s="20" t="str" cm="1">
        <f t="array" ref="CD106">IFERROR(IF($A106="","",INDEX(_xlfn.ANCHORARRAY($BK$4),ROW()-5,6)),"")</f>
        <v/>
      </c>
      <c r="CE106" s="20" t="str">
        <f t="shared" si="29"/>
        <v/>
      </c>
      <c r="CF106" s="20" t="str">
        <f t="shared" si="30"/>
        <v/>
      </c>
      <c r="CG106" s="20" t="str">
        <f t="shared" si="27"/>
        <v/>
      </c>
      <c r="CH106" s="20" t="str" cm="1">
        <f t="array" ref="CH106">IF(OR($A106="",$BZ106="",$BW106="",$BX106=""),"",_xlfn.LET(_xlpm.mag,IFERROR(_xlfn.XLOOKUP($BX106,Race_Raceway,Race_Mag),""),IF(_xlpm.mag="","",IFERROR(INDEX(Cond_Table,MATCH($BZ106,Cond_Size,0),IF(UPPER($BW106)="AL",IF(_xlpm.mag="Y",10,12),IF(_xlpm.mag="Y",9,11))),""))))</f>
        <v/>
      </c>
      <c r="CI106" s="20" t="str">
        <f t="shared" si="28"/>
        <v/>
      </c>
      <c r="CJ106" s="20" t="str">
        <f>IF(OR($A106="",LEFT($A106,2)&lt;&gt;"T-"),"",IFERROR(_xlfn.LET(_xlpm.fla,_xlfn.XLOOKUP($A106,Transformers!$A$6:$A$105,Transformers!$AK$6:$AK$105),_xlpm.z,_xlfn.XLOOKUP($A106,Transformers!$A$6:$A$105,Transformers!$AX$6:$AX$105),IF(OR(_xlpm.fla="",_xlpm.z="",_xlpm.z=0),"",_xlpm.fla*100/_xlpm.z)),""))</f>
        <v/>
      </c>
      <c r="CK106" s="20" t="str">
        <f t="shared" si="31"/>
        <v/>
      </c>
      <c r="CL106" s="20" t="str">
        <f t="shared" si="32"/>
        <v/>
      </c>
      <c r="CM106" s="373"/>
      <c r="CO106" s="20" t="str">
        <f>IF(OR($A106="",LEFT($A106,2)&lt;&gt;"T-"),"",_xlfn.LET(_xlpm.ph,IFERROR(_xlfn.XLOOKUP($A106,Transformers!$A$6:$A$105,Transformers!$C$6:$C$105),""),_xlpm.rr,IFERROR(_xlfn.XLOOKUP($A106,Transformers!$A$6:$A$105,Transformers!$AG$6:$AG$105),""),_xlpm.xx,IFERROR(_xlfn.XLOOKUP($A106,Transformers!$A$6:$A$105,Transformers!$AI$6:$AI$105),""),IF(OR(_xlpm.ph&lt;&gt;1,NOT(ISNUMBER(_xlpm.rr)),NOT(ISNUMBER(_xlpm.xx))),"",SQRT((1.5*_xlpm.rr)^2+(1.2*_xlpm.xx)^2))))</f>
        <v/>
      </c>
      <c r="CP106" s="20" t="str">
        <f t="shared" si="33"/>
        <v/>
      </c>
    </row>
    <row r="107" spans="1:94" ht="15" customHeight="1" x14ac:dyDescent="0.45">
      <c r="A107" s="275" t="str" cm="1">
        <f t="array" ref="A107">IFERROR(IF(INDEX(_xlfn.ANCHORARRAY($BK$4),ROW()-5,1)="","",INDEX(_xlfn.ANCHORARRAY($BK$4),ROW()-5,1)),"")</f>
        <v/>
      </c>
      <c r="B107" s="25" t="str" cm="1">
        <f t="array" ref="B107">IFERROR(IF($A107="","",INDEX(_xlfn.ANCHORARRAY($BK$4),ROW()-5,5)),"")</f>
        <v/>
      </c>
      <c r="C107" s="178" t="str" cm="1">
        <f t="array" ref="C107">IFERROR(IF($A107="","",INDEX(_xlfn.ANCHORARRAY($BK$4),ROW()-5,7)),"")</f>
        <v/>
      </c>
      <c r="D107" s="177" t="str" cm="1">
        <f t="array" ref="D107">IFERROR(IF($A107="","",INDEX(_xlfn.ANCHORARRAY($BK$4),ROW()-5,3)),"")</f>
        <v/>
      </c>
      <c r="E107" s="25" t="str" cm="1">
        <f t="array" ref="E107">IFERROR(IF($A107="","",INDEX(_xlfn.ANCHORARRAY($BK$4),ROW()-5,2)),"")</f>
        <v/>
      </c>
      <c r="F107" s="177" t="str">
        <f t="shared" si="17"/>
        <v/>
      </c>
      <c r="G107" s="275" t="str">
        <f t="shared" si="18"/>
        <v/>
      </c>
      <c r="H107" s="180" t="str">
        <f t="shared" si="19"/>
        <v/>
      </c>
      <c r="I107" s="180" t="str">
        <f t="shared" si="20"/>
        <v/>
      </c>
      <c r="J107" s="177" t="str">
        <f>_xlfn.LET(_xlpm.v,_xlfn.LET(_xlpm.base,IF($A107="","",IF($C107=0,IFERROR(_xlfn.XLOOKUP($A107,Util_Tags,Util_SCAEff),""),IF(LEFT($A107,2)="T-",IF($CJ107="","",$CJ107/(1+IF($CL107="",0,$CL107))),IF(OR($F107="",$I107=""),"",$F107*$I107)))),_xlpm.gtag,IF(OR($A107="",NOT(OR($B107="ATS",$B107="MTS"))),"",IFERROR(_xlfn.XLOOKUP($A107,Dashboard!$A$101:$A$350,Dashboard!$L$101:$L$350,"")&amp;"","")),_xlpm.gkva,IF(_xlpm.gtag="",0,IFERROR(N(_xlfn.XLOOKUP(_xlpm.gtag,Generator!$B$53:$B$58,Generator!$S$53:$S$58,0)),0)),_xlpm.gxd,IF(_xlpm.gtag="",0,IFERROR(N(_xlfn.XLOOKUP(_xlpm.gtag,Generator!$B$53:$B$58,Generator!$U$53:$U$58,0)),0)),_xlpm.gamp,IF(OR(_xlpm.gkva=0,_xlpm.gxd=0,N($D107)=0),0,ROUND(_xlpm.gkva*1000/(IF(N($CB107)=1,1,SQRT(3))*$D107*_xlpm.gxd),0)),IF(OR(_xlpm.gamp=0,NOT(ISNUMBER(_xlpm.base))),_xlpm.base,MAX(_xlpm.base,_xlpm.gamp))),_xlpm.ulim,IF(OR($A107="",$B107&lt;&gt;"UPS"),"",IFERROR(IF(_xlfn.XLOOKUP($A107,UPS!$B$57:$B$64,UPS!$E$57:$E$64,"")="None",_xlfn.XLOOKUP($A107,UPS!$B$57:$B$64,UPS!$U$57:$U$64,""),""),"")),IF(AND(ISNUMBER(_xlpm.v),ISNUMBER(_xlpm.ulim)),MIN(_xlpm.v,_xlpm.ulim),_xlpm.v))</f>
        <v/>
      </c>
      <c r="K107" s="176"/>
      <c r="L107" s="177" t="str">
        <f t="shared" si="21"/>
        <v/>
      </c>
      <c r="M107" s="177" t="str">
        <f t="shared" si="22"/>
        <v/>
      </c>
      <c r="N107" s="380" t="str">
        <f>IF($A107="","",IF($C107=0,_xlfn.LET(_xlpm.x,IFERROR(_xlfn.XLOOKUP($A107,Util_Tags,Util_XR),""),IF(N(_xlpm.x)=0,Xfmr_DefXR,_xlpm.x)),IF(LEFT($A107,2)="T-",IFERROR(_xlfn.XLOOKUP($A107,Transformers!$A$6:$A$105,Transformers!$AH$6:$AH$105),Xfmr_DefXR),IFERROR(_xlfn.XLOOKUP($E107,$A$6:$A$255,$N$6:$N$255),Xfmr_DefXR))))</f>
        <v/>
      </c>
      <c r="O107" s="177" t="str">
        <f t="shared" si="23"/>
        <v/>
      </c>
      <c r="P107" s="210" t="str">
        <f>IF($A107="","",IF(LEFT($A107,2)="T-",IF($CO107="","",_xlfn.LET(_xlpm.k,IFERROR(_xlfn.XLOOKUP($A107,Transformers!$A$6:$A$105,Transformers!$G$6:$G$105),""),_xlpm.sv,IFERROR(_xlfn.XLOOKUP($A107,Transformers!$A$6:$A$105,Transformers!$E$6:$E$105),""),IF(OR(NOT(ISNUMBER(_xlpm.k)),NOT(ISNUMBER(_xlpm.sv)),_xlpm.sv=0),"",_xlfn.LET(_xlpm.iInf,(_xlpm.k*1000/(_xlpm.sv/2))*100/$CO107,_xlpm.pri,IF(OR($CK107="",$CK107=0),"",$CK107/2),_xlpm.base,IF(_xlpm.pri="",_xlpm.iInf,_xlpm.iInf/(1+_xlpm.iInf/_xlpm.pri)),_xlpm.base+IF($L107="",0,$L107))))),IF($CP107="","",_xlfn.LET(_xlpm.pI,IFERROR(_xlfn.XLOOKUP($E107,$A$6:$A$255,$P$6:$P$255),""),IF(NOT(ISNUMBER(_xlpm.pI)),"",_xlpm.pI/(1+$CP107)+IF($L107="",0,$L107))))))</f>
        <v/>
      </c>
      <c r="Q107" s="210" t="str">
        <f t="shared" si="24"/>
        <v/>
      </c>
      <c r="R107" s="177" t="str">
        <f>IF($A107="","",IF(OR($C107=0,LEFT($A107,2)="T-"),"",IFERROR(_xlfn.LET(_xlpm.v,_xlfn.XLOOKUP($A107,Dashboard!$A$101:$A$350,Dashboard!$K$101:$K$350),IF(ISNUMBER(_xlpm.v),_xlpm.v,"")),"")))</f>
        <v/>
      </c>
      <c r="S107" s="211" t="str">
        <f t="shared" si="25"/>
        <v/>
      </c>
      <c r="T107" s="25" t="str">
        <f t="shared" si="26"/>
        <v/>
      </c>
      <c r="U107" s="364"/>
      <c r="BV107" s="20" t="str">
        <f>IF($A107="","",IFERROR(_xlfn.XLOOKUP("F-"&amp;$A107,'Feeder Schedule'!$B$5:$B$254,'Feeder Schedule'!$H$5:$H$254),""))</f>
        <v/>
      </c>
      <c r="BW107" s="20" t="str">
        <f>IF($A107="","",IFERROR(_xlfn.XLOOKUP("F-"&amp;$A107,'Feeder Schedule'!$B$5:$B$254,'Feeder Schedule'!$BV$5:$BV$254),""))</f>
        <v/>
      </c>
      <c r="BX107" s="20" t="str">
        <f>IF($A107="","",IFERROR(_xlfn.LET(_xlpm.v,_xlfn.XLOOKUP("F-"&amp;$A107,'Feeder Schedule'!$B$5:$B$254,'Feeder Schedule'!$M$5:$M$254),IF(OR(_xlpm.v="",_xlpm.v=0),Cfg_Conduit,_xlpm.v)),""))</f>
        <v/>
      </c>
      <c r="BY107" s="20" t="str">
        <f>IF($A107="","",IFERROR(_xlfn.XLOOKUP("F-"&amp;$A107,'Feeder Schedule'!$B$5:$B$254,'Feeder Schedule'!$O$5:$O$254),""))</f>
        <v/>
      </c>
      <c r="BZ107" s="20" t="str">
        <f>IF($A107="","",IFERROR(_xlfn.XLOOKUP("F-"&amp;$A107,'Feeder Schedule'!$B$5:$B$254,'Feeder Schedule'!$CH$5:$CH$254),""))</f>
        <v/>
      </c>
      <c r="CA107" s="20" t="str">
        <f>IF($A107="","",IFERROR(_xlfn.XLOOKUP("F-"&amp;$A107,'Feeder Schedule'!$B$5:$B$254,'Feeder Schedule'!$F$5:$F$254),""))</f>
        <v/>
      </c>
      <c r="CB107" s="20" t="str">
        <f>IF($A107="","",IFERROR(_xlfn.XLOOKUP("F-"&amp;$A107,'Feeder Schedule'!$B$5:$B$254,'Feeder Schedule'!$G$5:$G$254),""))</f>
        <v/>
      </c>
      <c r="CD107" s="20" t="str" cm="1">
        <f t="array" ref="CD107">IFERROR(IF($A107="","",INDEX(_xlfn.ANCHORARRAY($BK$4),ROW()-5,6)),"")</f>
        <v/>
      </c>
      <c r="CE107" s="20" t="str">
        <f t="shared" si="29"/>
        <v/>
      </c>
      <c r="CF107" s="20" t="str">
        <f t="shared" si="30"/>
        <v/>
      </c>
      <c r="CG107" s="20" t="str">
        <f t="shared" si="27"/>
        <v/>
      </c>
      <c r="CH107" s="20" t="str" cm="1">
        <f t="array" ref="CH107">IF(OR($A107="",$BZ107="",$BW107="",$BX107=""),"",_xlfn.LET(_xlpm.mag,IFERROR(_xlfn.XLOOKUP($BX107,Race_Raceway,Race_Mag),""),IF(_xlpm.mag="","",IFERROR(INDEX(Cond_Table,MATCH($BZ107,Cond_Size,0),IF(UPPER($BW107)="AL",IF(_xlpm.mag="Y",10,12),IF(_xlpm.mag="Y",9,11))),""))))</f>
        <v/>
      </c>
      <c r="CI107" s="20" t="str">
        <f t="shared" si="28"/>
        <v/>
      </c>
      <c r="CJ107" s="20" t="str">
        <f>IF(OR($A107="",LEFT($A107,2)&lt;&gt;"T-"),"",IFERROR(_xlfn.LET(_xlpm.fla,_xlfn.XLOOKUP($A107,Transformers!$A$6:$A$105,Transformers!$AK$6:$AK$105),_xlpm.z,_xlfn.XLOOKUP($A107,Transformers!$A$6:$A$105,Transformers!$AX$6:$AX$105),IF(OR(_xlpm.fla="",_xlpm.z="",_xlpm.z=0),"",_xlpm.fla*100/_xlpm.z)),""))</f>
        <v/>
      </c>
      <c r="CK107" s="20" t="str">
        <f t="shared" si="31"/>
        <v/>
      </c>
      <c r="CL107" s="20" t="str">
        <f t="shared" si="32"/>
        <v/>
      </c>
      <c r="CM107" s="373"/>
      <c r="CO107" s="20" t="str">
        <f>IF(OR($A107="",LEFT($A107,2)&lt;&gt;"T-"),"",_xlfn.LET(_xlpm.ph,IFERROR(_xlfn.XLOOKUP($A107,Transformers!$A$6:$A$105,Transformers!$C$6:$C$105),""),_xlpm.rr,IFERROR(_xlfn.XLOOKUP($A107,Transformers!$A$6:$A$105,Transformers!$AG$6:$AG$105),""),_xlpm.xx,IFERROR(_xlfn.XLOOKUP($A107,Transformers!$A$6:$A$105,Transformers!$AI$6:$AI$105),""),IF(OR(_xlpm.ph&lt;&gt;1,NOT(ISNUMBER(_xlpm.rr)),NOT(ISNUMBER(_xlpm.xx))),"",SQRT((1.5*_xlpm.rr)^2+(1.2*_xlpm.xx)^2))))</f>
        <v/>
      </c>
      <c r="CP107" s="20" t="str">
        <f t="shared" si="33"/>
        <v/>
      </c>
    </row>
    <row r="108" spans="1:94" ht="15" customHeight="1" x14ac:dyDescent="0.45">
      <c r="A108" s="275" t="str" cm="1">
        <f t="array" ref="A108">IFERROR(IF(INDEX(_xlfn.ANCHORARRAY($BK$4),ROW()-5,1)="","",INDEX(_xlfn.ANCHORARRAY($BK$4),ROW()-5,1)),"")</f>
        <v/>
      </c>
      <c r="B108" s="25" t="str" cm="1">
        <f t="array" ref="B108">IFERROR(IF($A108="","",INDEX(_xlfn.ANCHORARRAY($BK$4),ROW()-5,5)),"")</f>
        <v/>
      </c>
      <c r="C108" s="178" t="str" cm="1">
        <f t="array" ref="C108">IFERROR(IF($A108="","",INDEX(_xlfn.ANCHORARRAY($BK$4),ROW()-5,7)),"")</f>
        <v/>
      </c>
      <c r="D108" s="177" t="str" cm="1">
        <f t="array" ref="D108">IFERROR(IF($A108="","",INDEX(_xlfn.ANCHORARRAY($BK$4),ROW()-5,3)),"")</f>
        <v/>
      </c>
      <c r="E108" s="25" t="str" cm="1">
        <f t="array" ref="E108">IFERROR(IF($A108="","",INDEX(_xlfn.ANCHORARRAY($BK$4),ROW()-5,2)),"")</f>
        <v/>
      </c>
      <c r="F108" s="177" t="str">
        <f t="shared" si="17"/>
        <v/>
      </c>
      <c r="G108" s="275" t="str">
        <f t="shared" si="18"/>
        <v/>
      </c>
      <c r="H108" s="180" t="str">
        <f t="shared" si="19"/>
        <v/>
      </c>
      <c r="I108" s="180" t="str">
        <f t="shared" si="20"/>
        <v/>
      </c>
      <c r="J108" s="177" t="str">
        <f>_xlfn.LET(_xlpm.v,_xlfn.LET(_xlpm.base,IF($A108="","",IF($C108=0,IFERROR(_xlfn.XLOOKUP($A108,Util_Tags,Util_SCAEff),""),IF(LEFT($A108,2)="T-",IF($CJ108="","",$CJ108/(1+IF($CL108="",0,$CL108))),IF(OR($F108="",$I108=""),"",$F108*$I108)))),_xlpm.gtag,IF(OR($A108="",NOT(OR($B108="ATS",$B108="MTS"))),"",IFERROR(_xlfn.XLOOKUP($A108,Dashboard!$A$101:$A$350,Dashboard!$L$101:$L$350,"")&amp;"","")),_xlpm.gkva,IF(_xlpm.gtag="",0,IFERROR(N(_xlfn.XLOOKUP(_xlpm.gtag,Generator!$B$53:$B$58,Generator!$S$53:$S$58,0)),0)),_xlpm.gxd,IF(_xlpm.gtag="",0,IFERROR(N(_xlfn.XLOOKUP(_xlpm.gtag,Generator!$B$53:$B$58,Generator!$U$53:$U$58,0)),0)),_xlpm.gamp,IF(OR(_xlpm.gkva=0,_xlpm.gxd=0,N($D108)=0),0,ROUND(_xlpm.gkva*1000/(IF(N($CB108)=1,1,SQRT(3))*$D108*_xlpm.gxd),0)),IF(OR(_xlpm.gamp=0,NOT(ISNUMBER(_xlpm.base))),_xlpm.base,MAX(_xlpm.base,_xlpm.gamp))),_xlpm.ulim,IF(OR($A108="",$B108&lt;&gt;"UPS"),"",IFERROR(IF(_xlfn.XLOOKUP($A108,UPS!$B$57:$B$64,UPS!$E$57:$E$64,"")="None",_xlfn.XLOOKUP($A108,UPS!$B$57:$B$64,UPS!$U$57:$U$64,""),""),"")),IF(AND(ISNUMBER(_xlpm.v),ISNUMBER(_xlpm.ulim)),MIN(_xlpm.v,_xlpm.ulim),_xlpm.v))</f>
        <v/>
      </c>
      <c r="K108" s="176"/>
      <c r="L108" s="177" t="str">
        <f t="shared" si="21"/>
        <v/>
      </c>
      <c r="M108" s="177" t="str">
        <f t="shared" si="22"/>
        <v/>
      </c>
      <c r="N108" s="380" t="str">
        <f>IF($A108="","",IF($C108=0,_xlfn.LET(_xlpm.x,IFERROR(_xlfn.XLOOKUP($A108,Util_Tags,Util_XR),""),IF(N(_xlpm.x)=0,Xfmr_DefXR,_xlpm.x)),IF(LEFT($A108,2)="T-",IFERROR(_xlfn.XLOOKUP($A108,Transformers!$A$6:$A$105,Transformers!$AH$6:$AH$105),Xfmr_DefXR),IFERROR(_xlfn.XLOOKUP($E108,$A$6:$A$255,$N$6:$N$255),Xfmr_DefXR))))</f>
        <v/>
      </c>
      <c r="O108" s="177" t="str">
        <f t="shared" si="23"/>
        <v/>
      </c>
      <c r="P108" s="210" t="str">
        <f>IF($A108="","",IF(LEFT($A108,2)="T-",IF($CO108="","",_xlfn.LET(_xlpm.k,IFERROR(_xlfn.XLOOKUP($A108,Transformers!$A$6:$A$105,Transformers!$G$6:$G$105),""),_xlpm.sv,IFERROR(_xlfn.XLOOKUP($A108,Transformers!$A$6:$A$105,Transformers!$E$6:$E$105),""),IF(OR(NOT(ISNUMBER(_xlpm.k)),NOT(ISNUMBER(_xlpm.sv)),_xlpm.sv=0),"",_xlfn.LET(_xlpm.iInf,(_xlpm.k*1000/(_xlpm.sv/2))*100/$CO108,_xlpm.pri,IF(OR($CK108="",$CK108=0),"",$CK108/2),_xlpm.base,IF(_xlpm.pri="",_xlpm.iInf,_xlpm.iInf/(1+_xlpm.iInf/_xlpm.pri)),_xlpm.base+IF($L108="",0,$L108))))),IF($CP108="","",_xlfn.LET(_xlpm.pI,IFERROR(_xlfn.XLOOKUP($E108,$A$6:$A$255,$P$6:$P$255),""),IF(NOT(ISNUMBER(_xlpm.pI)),"",_xlpm.pI/(1+$CP108)+IF($L108="",0,$L108))))))</f>
        <v/>
      </c>
      <c r="Q108" s="210" t="str">
        <f t="shared" si="24"/>
        <v/>
      </c>
      <c r="R108" s="177" t="str">
        <f>IF($A108="","",IF(OR($C108=0,LEFT($A108,2)="T-"),"",IFERROR(_xlfn.LET(_xlpm.v,_xlfn.XLOOKUP($A108,Dashboard!$A$101:$A$350,Dashboard!$K$101:$K$350),IF(ISNUMBER(_xlpm.v),_xlpm.v,"")),"")))</f>
        <v/>
      </c>
      <c r="S108" s="211" t="str">
        <f t="shared" si="25"/>
        <v/>
      </c>
      <c r="T108" s="25" t="str">
        <f t="shared" si="26"/>
        <v/>
      </c>
      <c r="U108" s="364"/>
      <c r="BV108" s="20" t="str">
        <f>IF($A108="","",IFERROR(_xlfn.XLOOKUP("F-"&amp;$A108,'Feeder Schedule'!$B$5:$B$254,'Feeder Schedule'!$H$5:$H$254),""))</f>
        <v/>
      </c>
      <c r="BW108" s="20" t="str">
        <f>IF($A108="","",IFERROR(_xlfn.XLOOKUP("F-"&amp;$A108,'Feeder Schedule'!$B$5:$B$254,'Feeder Schedule'!$BV$5:$BV$254),""))</f>
        <v/>
      </c>
      <c r="BX108" s="20" t="str">
        <f>IF($A108="","",IFERROR(_xlfn.LET(_xlpm.v,_xlfn.XLOOKUP("F-"&amp;$A108,'Feeder Schedule'!$B$5:$B$254,'Feeder Schedule'!$M$5:$M$254),IF(OR(_xlpm.v="",_xlpm.v=0),Cfg_Conduit,_xlpm.v)),""))</f>
        <v/>
      </c>
      <c r="BY108" s="20" t="str">
        <f>IF($A108="","",IFERROR(_xlfn.XLOOKUP("F-"&amp;$A108,'Feeder Schedule'!$B$5:$B$254,'Feeder Schedule'!$O$5:$O$254),""))</f>
        <v/>
      </c>
      <c r="BZ108" s="20" t="str">
        <f>IF($A108="","",IFERROR(_xlfn.XLOOKUP("F-"&amp;$A108,'Feeder Schedule'!$B$5:$B$254,'Feeder Schedule'!$CH$5:$CH$254),""))</f>
        <v/>
      </c>
      <c r="CA108" s="20" t="str">
        <f>IF($A108="","",IFERROR(_xlfn.XLOOKUP("F-"&amp;$A108,'Feeder Schedule'!$B$5:$B$254,'Feeder Schedule'!$F$5:$F$254),""))</f>
        <v/>
      </c>
      <c r="CB108" s="20" t="str">
        <f>IF($A108="","",IFERROR(_xlfn.XLOOKUP("F-"&amp;$A108,'Feeder Schedule'!$B$5:$B$254,'Feeder Schedule'!$G$5:$G$254),""))</f>
        <v/>
      </c>
      <c r="CD108" s="20" t="str" cm="1">
        <f t="array" ref="CD108">IFERROR(IF($A108="","",INDEX(_xlfn.ANCHORARRAY($BK$4),ROW()-5,6)),"")</f>
        <v/>
      </c>
      <c r="CE108" s="20" t="str">
        <f t="shared" si="29"/>
        <v/>
      </c>
      <c r="CF108" s="20" t="str">
        <f t="shared" si="30"/>
        <v/>
      </c>
      <c r="CG108" s="20" t="str">
        <f t="shared" si="27"/>
        <v/>
      </c>
      <c r="CH108" s="20" t="str" cm="1">
        <f t="array" ref="CH108">IF(OR($A108="",$BZ108="",$BW108="",$BX108=""),"",_xlfn.LET(_xlpm.mag,IFERROR(_xlfn.XLOOKUP($BX108,Race_Raceway,Race_Mag),""),IF(_xlpm.mag="","",IFERROR(INDEX(Cond_Table,MATCH($BZ108,Cond_Size,0),IF(UPPER($BW108)="AL",IF(_xlpm.mag="Y",10,12),IF(_xlpm.mag="Y",9,11))),""))))</f>
        <v/>
      </c>
      <c r="CI108" s="20" t="str">
        <f t="shared" si="28"/>
        <v/>
      </c>
      <c r="CJ108" s="20" t="str">
        <f>IF(OR($A108="",LEFT($A108,2)&lt;&gt;"T-"),"",IFERROR(_xlfn.LET(_xlpm.fla,_xlfn.XLOOKUP($A108,Transformers!$A$6:$A$105,Transformers!$AK$6:$AK$105),_xlpm.z,_xlfn.XLOOKUP($A108,Transformers!$A$6:$A$105,Transformers!$AX$6:$AX$105),IF(OR(_xlpm.fla="",_xlpm.z="",_xlpm.z=0),"",_xlpm.fla*100/_xlpm.z)),""))</f>
        <v/>
      </c>
      <c r="CK108" s="20" t="str">
        <f t="shared" si="31"/>
        <v/>
      </c>
      <c r="CL108" s="20" t="str">
        <f t="shared" si="32"/>
        <v/>
      </c>
      <c r="CM108" s="373"/>
      <c r="CO108" s="20" t="str">
        <f>IF(OR($A108="",LEFT($A108,2)&lt;&gt;"T-"),"",_xlfn.LET(_xlpm.ph,IFERROR(_xlfn.XLOOKUP($A108,Transformers!$A$6:$A$105,Transformers!$C$6:$C$105),""),_xlpm.rr,IFERROR(_xlfn.XLOOKUP($A108,Transformers!$A$6:$A$105,Transformers!$AG$6:$AG$105),""),_xlpm.xx,IFERROR(_xlfn.XLOOKUP($A108,Transformers!$A$6:$A$105,Transformers!$AI$6:$AI$105),""),IF(OR(_xlpm.ph&lt;&gt;1,NOT(ISNUMBER(_xlpm.rr)),NOT(ISNUMBER(_xlpm.xx))),"",SQRT((1.5*_xlpm.rr)^2+(1.2*_xlpm.xx)^2))))</f>
        <v/>
      </c>
      <c r="CP108" s="20" t="str">
        <f t="shared" si="33"/>
        <v/>
      </c>
    </row>
    <row r="109" spans="1:94" ht="15" customHeight="1" x14ac:dyDescent="0.45">
      <c r="A109" s="275" t="str" cm="1">
        <f t="array" ref="A109">IFERROR(IF(INDEX(_xlfn.ANCHORARRAY($BK$4),ROW()-5,1)="","",INDEX(_xlfn.ANCHORARRAY($BK$4),ROW()-5,1)),"")</f>
        <v/>
      </c>
      <c r="B109" s="25" t="str" cm="1">
        <f t="array" ref="B109">IFERROR(IF($A109="","",INDEX(_xlfn.ANCHORARRAY($BK$4),ROW()-5,5)),"")</f>
        <v/>
      </c>
      <c r="C109" s="178" t="str" cm="1">
        <f t="array" ref="C109">IFERROR(IF($A109="","",INDEX(_xlfn.ANCHORARRAY($BK$4),ROW()-5,7)),"")</f>
        <v/>
      </c>
      <c r="D109" s="177" t="str" cm="1">
        <f t="array" ref="D109">IFERROR(IF($A109="","",INDEX(_xlfn.ANCHORARRAY($BK$4),ROW()-5,3)),"")</f>
        <v/>
      </c>
      <c r="E109" s="25" t="str" cm="1">
        <f t="array" ref="E109">IFERROR(IF($A109="","",INDEX(_xlfn.ANCHORARRAY($BK$4),ROW()-5,2)),"")</f>
        <v/>
      </c>
      <c r="F109" s="177" t="str">
        <f t="shared" si="17"/>
        <v/>
      </c>
      <c r="G109" s="275" t="str">
        <f t="shared" si="18"/>
        <v/>
      </c>
      <c r="H109" s="180" t="str">
        <f t="shared" si="19"/>
        <v/>
      </c>
      <c r="I109" s="180" t="str">
        <f t="shared" si="20"/>
        <v/>
      </c>
      <c r="J109" s="177" t="str">
        <f>_xlfn.LET(_xlpm.v,_xlfn.LET(_xlpm.base,IF($A109="","",IF($C109=0,IFERROR(_xlfn.XLOOKUP($A109,Util_Tags,Util_SCAEff),""),IF(LEFT($A109,2)="T-",IF($CJ109="","",$CJ109/(1+IF($CL109="",0,$CL109))),IF(OR($F109="",$I109=""),"",$F109*$I109)))),_xlpm.gtag,IF(OR($A109="",NOT(OR($B109="ATS",$B109="MTS"))),"",IFERROR(_xlfn.XLOOKUP($A109,Dashboard!$A$101:$A$350,Dashboard!$L$101:$L$350,"")&amp;"","")),_xlpm.gkva,IF(_xlpm.gtag="",0,IFERROR(N(_xlfn.XLOOKUP(_xlpm.gtag,Generator!$B$53:$B$58,Generator!$S$53:$S$58,0)),0)),_xlpm.gxd,IF(_xlpm.gtag="",0,IFERROR(N(_xlfn.XLOOKUP(_xlpm.gtag,Generator!$B$53:$B$58,Generator!$U$53:$U$58,0)),0)),_xlpm.gamp,IF(OR(_xlpm.gkva=0,_xlpm.gxd=0,N($D109)=0),0,ROUND(_xlpm.gkva*1000/(IF(N($CB109)=1,1,SQRT(3))*$D109*_xlpm.gxd),0)),IF(OR(_xlpm.gamp=0,NOT(ISNUMBER(_xlpm.base))),_xlpm.base,MAX(_xlpm.base,_xlpm.gamp))),_xlpm.ulim,IF(OR($A109="",$B109&lt;&gt;"UPS"),"",IFERROR(IF(_xlfn.XLOOKUP($A109,UPS!$B$57:$B$64,UPS!$E$57:$E$64,"")="None",_xlfn.XLOOKUP($A109,UPS!$B$57:$B$64,UPS!$U$57:$U$64,""),""),"")),IF(AND(ISNUMBER(_xlpm.v),ISNUMBER(_xlpm.ulim)),MIN(_xlpm.v,_xlpm.ulim),_xlpm.v))</f>
        <v/>
      </c>
      <c r="K109" s="176"/>
      <c r="L109" s="177" t="str">
        <f t="shared" si="21"/>
        <v/>
      </c>
      <c r="M109" s="177" t="str">
        <f t="shared" si="22"/>
        <v/>
      </c>
      <c r="N109" s="380" t="str">
        <f>IF($A109="","",IF($C109=0,_xlfn.LET(_xlpm.x,IFERROR(_xlfn.XLOOKUP($A109,Util_Tags,Util_XR),""),IF(N(_xlpm.x)=0,Xfmr_DefXR,_xlpm.x)),IF(LEFT($A109,2)="T-",IFERROR(_xlfn.XLOOKUP($A109,Transformers!$A$6:$A$105,Transformers!$AH$6:$AH$105),Xfmr_DefXR),IFERROR(_xlfn.XLOOKUP($E109,$A$6:$A$255,$N$6:$N$255),Xfmr_DefXR))))</f>
        <v/>
      </c>
      <c r="O109" s="177" t="str">
        <f t="shared" si="23"/>
        <v/>
      </c>
      <c r="P109" s="210" t="str">
        <f>IF($A109="","",IF(LEFT($A109,2)="T-",IF($CO109="","",_xlfn.LET(_xlpm.k,IFERROR(_xlfn.XLOOKUP($A109,Transformers!$A$6:$A$105,Transformers!$G$6:$G$105),""),_xlpm.sv,IFERROR(_xlfn.XLOOKUP($A109,Transformers!$A$6:$A$105,Transformers!$E$6:$E$105),""),IF(OR(NOT(ISNUMBER(_xlpm.k)),NOT(ISNUMBER(_xlpm.sv)),_xlpm.sv=0),"",_xlfn.LET(_xlpm.iInf,(_xlpm.k*1000/(_xlpm.sv/2))*100/$CO109,_xlpm.pri,IF(OR($CK109="",$CK109=0),"",$CK109/2),_xlpm.base,IF(_xlpm.pri="",_xlpm.iInf,_xlpm.iInf/(1+_xlpm.iInf/_xlpm.pri)),_xlpm.base+IF($L109="",0,$L109))))),IF($CP109="","",_xlfn.LET(_xlpm.pI,IFERROR(_xlfn.XLOOKUP($E109,$A$6:$A$255,$P$6:$P$255),""),IF(NOT(ISNUMBER(_xlpm.pI)),"",_xlpm.pI/(1+$CP109)+IF($L109="",0,$L109))))))</f>
        <v/>
      </c>
      <c r="Q109" s="210" t="str">
        <f t="shared" si="24"/>
        <v/>
      </c>
      <c r="R109" s="177" t="str">
        <f>IF($A109="","",IF(OR($C109=0,LEFT($A109,2)="T-"),"",IFERROR(_xlfn.LET(_xlpm.v,_xlfn.XLOOKUP($A109,Dashboard!$A$101:$A$350,Dashboard!$K$101:$K$350),IF(ISNUMBER(_xlpm.v),_xlpm.v,"")),"")))</f>
        <v/>
      </c>
      <c r="S109" s="211" t="str">
        <f t="shared" si="25"/>
        <v/>
      </c>
      <c r="T109" s="25" t="str">
        <f t="shared" si="26"/>
        <v/>
      </c>
      <c r="U109" s="364"/>
      <c r="BV109" s="20" t="str">
        <f>IF($A109="","",IFERROR(_xlfn.XLOOKUP("F-"&amp;$A109,'Feeder Schedule'!$B$5:$B$254,'Feeder Schedule'!$H$5:$H$254),""))</f>
        <v/>
      </c>
      <c r="BW109" s="20" t="str">
        <f>IF($A109="","",IFERROR(_xlfn.XLOOKUP("F-"&amp;$A109,'Feeder Schedule'!$B$5:$B$254,'Feeder Schedule'!$BV$5:$BV$254),""))</f>
        <v/>
      </c>
      <c r="BX109" s="20" t="str">
        <f>IF($A109="","",IFERROR(_xlfn.LET(_xlpm.v,_xlfn.XLOOKUP("F-"&amp;$A109,'Feeder Schedule'!$B$5:$B$254,'Feeder Schedule'!$M$5:$M$254),IF(OR(_xlpm.v="",_xlpm.v=0),Cfg_Conduit,_xlpm.v)),""))</f>
        <v/>
      </c>
      <c r="BY109" s="20" t="str">
        <f>IF($A109="","",IFERROR(_xlfn.XLOOKUP("F-"&amp;$A109,'Feeder Schedule'!$B$5:$B$254,'Feeder Schedule'!$O$5:$O$254),""))</f>
        <v/>
      </c>
      <c r="BZ109" s="20" t="str">
        <f>IF($A109="","",IFERROR(_xlfn.XLOOKUP("F-"&amp;$A109,'Feeder Schedule'!$B$5:$B$254,'Feeder Schedule'!$CH$5:$CH$254),""))</f>
        <v/>
      </c>
      <c r="CA109" s="20" t="str">
        <f>IF($A109="","",IFERROR(_xlfn.XLOOKUP("F-"&amp;$A109,'Feeder Schedule'!$B$5:$B$254,'Feeder Schedule'!$F$5:$F$254),""))</f>
        <v/>
      </c>
      <c r="CB109" s="20" t="str">
        <f>IF($A109="","",IFERROR(_xlfn.XLOOKUP("F-"&amp;$A109,'Feeder Schedule'!$B$5:$B$254,'Feeder Schedule'!$G$5:$G$254),""))</f>
        <v/>
      </c>
      <c r="CD109" s="20" t="str" cm="1">
        <f t="array" ref="CD109">IFERROR(IF($A109="","",INDEX(_xlfn.ANCHORARRAY($BK$4),ROW()-5,6)),"")</f>
        <v/>
      </c>
      <c r="CE109" s="20" t="str">
        <f t="shared" si="29"/>
        <v/>
      </c>
      <c r="CF109" s="20" t="str">
        <f t="shared" si="30"/>
        <v/>
      </c>
      <c r="CG109" s="20" t="str">
        <f t="shared" si="27"/>
        <v/>
      </c>
      <c r="CH109" s="20" t="str" cm="1">
        <f t="array" ref="CH109">IF(OR($A109="",$BZ109="",$BW109="",$BX109=""),"",_xlfn.LET(_xlpm.mag,IFERROR(_xlfn.XLOOKUP($BX109,Race_Raceway,Race_Mag),""),IF(_xlpm.mag="","",IFERROR(INDEX(Cond_Table,MATCH($BZ109,Cond_Size,0),IF(UPPER($BW109)="AL",IF(_xlpm.mag="Y",10,12),IF(_xlpm.mag="Y",9,11))),""))))</f>
        <v/>
      </c>
      <c r="CI109" s="20" t="str">
        <f t="shared" si="28"/>
        <v/>
      </c>
      <c r="CJ109" s="20" t="str">
        <f>IF(OR($A109="",LEFT($A109,2)&lt;&gt;"T-"),"",IFERROR(_xlfn.LET(_xlpm.fla,_xlfn.XLOOKUP($A109,Transformers!$A$6:$A$105,Transformers!$AK$6:$AK$105),_xlpm.z,_xlfn.XLOOKUP($A109,Transformers!$A$6:$A$105,Transformers!$AX$6:$AX$105),IF(OR(_xlpm.fla="",_xlpm.z="",_xlpm.z=0),"",_xlpm.fla*100/_xlpm.z)),""))</f>
        <v/>
      </c>
      <c r="CK109" s="20" t="str">
        <f t="shared" si="31"/>
        <v/>
      </c>
      <c r="CL109" s="20" t="str">
        <f t="shared" si="32"/>
        <v/>
      </c>
      <c r="CM109" s="373"/>
      <c r="CO109" s="20" t="str">
        <f>IF(OR($A109="",LEFT($A109,2)&lt;&gt;"T-"),"",_xlfn.LET(_xlpm.ph,IFERROR(_xlfn.XLOOKUP($A109,Transformers!$A$6:$A$105,Transformers!$C$6:$C$105),""),_xlpm.rr,IFERROR(_xlfn.XLOOKUP($A109,Transformers!$A$6:$A$105,Transformers!$AG$6:$AG$105),""),_xlpm.xx,IFERROR(_xlfn.XLOOKUP($A109,Transformers!$A$6:$A$105,Transformers!$AI$6:$AI$105),""),IF(OR(_xlpm.ph&lt;&gt;1,NOT(ISNUMBER(_xlpm.rr)),NOT(ISNUMBER(_xlpm.xx))),"",SQRT((1.5*_xlpm.rr)^2+(1.2*_xlpm.xx)^2))))</f>
        <v/>
      </c>
      <c r="CP109" s="20" t="str">
        <f t="shared" si="33"/>
        <v/>
      </c>
    </row>
    <row r="110" spans="1:94" ht="15" customHeight="1" x14ac:dyDescent="0.45">
      <c r="A110" s="275" t="str" cm="1">
        <f t="array" ref="A110">IFERROR(IF(INDEX(_xlfn.ANCHORARRAY($BK$4),ROW()-5,1)="","",INDEX(_xlfn.ANCHORARRAY($BK$4),ROW()-5,1)),"")</f>
        <v/>
      </c>
      <c r="B110" s="25" t="str" cm="1">
        <f t="array" ref="B110">IFERROR(IF($A110="","",INDEX(_xlfn.ANCHORARRAY($BK$4),ROW()-5,5)),"")</f>
        <v/>
      </c>
      <c r="C110" s="178" t="str" cm="1">
        <f t="array" ref="C110">IFERROR(IF($A110="","",INDEX(_xlfn.ANCHORARRAY($BK$4),ROW()-5,7)),"")</f>
        <v/>
      </c>
      <c r="D110" s="177" t="str" cm="1">
        <f t="array" ref="D110">IFERROR(IF($A110="","",INDEX(_xlfn.ANCHORARRAY($BK$4),ROW()-5,3)),"")</f>
        <v/>
      </c>
      <c r="E110" s="25" t="str" cm="1">
        <f t="array" ref="E110">IFERROR(IF($A110="","",INDEX(_xlfn.ANCHORARRAY($BK$4),ROW()-5,2)),"")</f>
        <v/>
      </c>
      <c r="F110" s="177" t="str">
        <f t="shared" si="17"/>
        <v/>
      </c>
      <c r="G110" s="275" t="str">
        <f t="shared" si="18"/>
        <v/>
      </c>
      <c r="H110" s="180" t="str">
        <f t="shared" si="19"/>
        <v/>
      </c>
      <c r="I110" s="180" t="str">
        <f t="shared" si="20"/>
        <v/>
      </c>
      <c r="J110" s="177" t="str">
        <f>_xlfn.LET(_xlpm.v,_xlfn.LET(_xlpm.base,IF($A110="","",IF($C110=0,IFERROR(_xlfn.XLOOKUP($A110,Util_Tags,Util_SCAEff),""),IF(LEFT($A110,2)="T-",IF($CJ110="","",$CJ110/(1+IF($CL110="",0,$CL110))),IF(OR($F110="",$I110=""),"",$F110*$I110)))),_xlpm.gtag,IF(OR($A110="",NOT(OR($B110="ATS",$B110="MTS"))),"",IFERROR(_xlfn.XLOOKUP($A110,Dashboard!$A$101:$A$350,Dashboard!$L$101:$L$350,"")&amp;"","")),_xlpm.gkva,IF(_xlpm.gtag="",0,IFERROR(N(_xlfn.XLOOKUP(_xlpm.gtag,Generator!$B$53:$B$58,Generator!$S$53:$S$58,0)),0)),_xlpm.gxd,IF(_xlpm.gtag="",0,IFERROR(N(_xlfn.XLOOKUP(_xlpm.gtag,Generator!$B$53:$B$58,Generator!$U$53:$U$58,0)),0)),_xlpm.gamp,IF(OR(_xlpm.gkva=0,_xlpm.gxd=0,N($D110)=0),0,ROUND(_xlpm.gkva*1000/(IF(N($CB110)=1,1,SQRT(3))*$D110*_xlpm.gxd),0)),IF(OR(_xlpm.gamp=0,NOT(ISNUMBER(_xlpm.base))),_xlpm.base,MAX(_xlpm.base,_xlpm.gamp))),_xlpm.ulim,IF(OR($A110="",$B110&lt;&gt;"UPS"),"",IFERROR(IF(_xlfn.XLOOKUP($A110,UPS!$B$57:$B$64,UPS!$E$57:$E$64,"")="None",_xlfn.XLOOKUP($A110,UPS!$B$57:$B$64,UPS!$U$57:$U$64,""),""),"")),IF(AND(ISNUMBER(_xlpm.v),ISNUMBER(_xlpm.ulim)),MIN(_xlpm.v,_xlpm.ulim),_xlpm.v))</f>
        <v/>
      </c>
      <c r="K110" s="176"/>
      <c r="L110" s="177" t="str">
        <f t="shared" si="21"/>
        <v/>
      </c>
      <c r="M110" s="177" t="str">
        <f t="shared" si="22"/>
        <v/>
      </c>
      <c r="N110" s="380" t="str">
        <f>IF($A110="","",IF($C110=0,_xlfn.LET(_xlpm.x,IFERROR(_xlfn.XLOOKUP($A110,Util_Tags,Util_XR),""),IF(N(_xlpm.x)=0,Xfmr_DefXR,_xlpm.x)),IF(LEFT($A110,2)="T-",IFERROR(_xlfn.XLOOKUP($A110,Transformers!$A$6:$A$105,Transformers!$AH$6:$AH$105),Xfmr_DefXR),IFERROR(_xlfn.XLOOKUP($E110,$A$6:$A$255,$N$6:$N$255),Xfmr_DefXR))))</f>
        <v/>
      </c>
      <c r="O110" s="177" t="str">
        <f t="shared" si="23"/>
        <v/>
      </c>
      <c r="P110" s="210" t="str">
        <f>IF($A110="","",IF(LEFT($A110,2)="T-",IF($CO110="","",_xlfn.LET(_xlpm.k,IFERROR(_xlfn.XLOOKUP($A110,Transformers!$A$6:$A$105,Transformers!$G$6:$G$105),""),_xlpm.sv,IFERROR(_xlfn.XLOOKUP($A110,Transformers!$A$6:$A$105,Transformers!$E$6:$E$105),""),IF(OR(NOT(ISNUMBER(_xlpm.k)),NOT(ISNUMBER(_xlpm.sv)),_xlpm.sv=0),"",_xlfn.LET(_xlpm.iInf,(_xlpm.k*1000/(_xlpm.sv/2))*100/$CO110,_xlpm.pri,IF(OR($CK110="",$CK110=0),"",$CK110/2),_xlpm.base,IF(_xlpm.pri="",_xlpm.iInf,_xlpm.iInf/(1+_xlpm.iInf/_xlpm.pri)),_xlpm.base+IF($L110="",0,$L110))))),IF($CP110="","",_xlfn.LET(_xlpm.pI,IFERROR(_xlfn.XLOOKUP($E110,$A$6:$A$255,$P$6:$P$255),""),IF(NOT(ISNUMBER(_xlpm.pI)),"",_xlpm.pI/(1+$CP110)+IF($L110="",0,$L110))))))</f>
        <v/>
      </c>
      <c r="Q110" s="210" t="str">
        <f t="shared" si="24"/>
        <v/>
      </c>
      <c r="R110" s="177" t="str">
        <f>IF($A110="","",IF(OR($C110=0,LEFT($A110,2)="T-"),"",IFERROR(_xlfn.LET(_xlpm.v,_xlfn.XLOOKUP($A110,Dashboard!$A$101:$A$350,Dashboard!$K$101:$K$350),IF(ISNUMBER(_xlpm.v),_xlpm.v,"")),"")))</f>
        <v/>
      </c>
      <c r="S110" s="211" t="str">
        <f t="shared" si="25"/>
        <v/>
      </c>
      <c r="T110" s="25" t="str">
        <f t="shared" si="26"/>
        <v/>
      </c>
      <c r="U110" s="364"/>
      <c r="BV110" s="20" t="str">
        <f>IF($A110="","",IFERROR(_xlfn.XLOOKUP("F-"&amp;$A110,'Feeder Schedule'!$B$5:$B$254,'Feeder Schedule'!$H$5:$H$254),""))</f>
        <v/>
      </c>
      <c r="BW110" s="20" t="str">
        <f>IF($A110="","",IFERROR(_xlfn.XLOOKUP("F-"&amp;$A110,'Feeder Schedule'!$B$5:$B$254,'Feeder Schedule'!$BV$5:$BV$254),""))</f>
        <v/>
      </c>
      <c r="BX110" s="20" t="str">
        <f>IF($A110="","",IFERROR(_xlfn.LET(_xlpm.v,_xlfn.XLOOKUP("F-"&amp;$A110,'Feeder Schedule'!$B$5:$B$254,'Feeder Schedule'!$M$5:$M$254),IF(OR(_xlpm.v="",_xlpm.v=0),Cfg_Conduit,_xlpm.v)),""))</f>
        <v/>
      </c>
      <c r="BY110" s="20" t="str">
        <f>IF($A110="","",IFERROR(_xlfn.XLOOKUP("F-"&amp;$A110,'Feeder Schedule'!$B$5:$B$254,'Feeder Schedule'!$O$5:$O$254),""))</f>
        <v/>
      </c>
      <c r="BZ110" s="20" t="str">
        <f>IF($A110="","",IFERROR(_xlfn.XLOOKUP("F-"&amp;$A110,'Feeder Schedule'!$B$5:$B$254,'Feeder Schedule'!$CH$5:$CH$254),""))</f>
        <v/>
      </c>
      <c r="CA110" s="20" t="str">
        <f>IF($A110="","",IFERROR(_xlfn.XLOOKUP("F-"&amp;$A110,'Feeder Schedule'!$B$5:$B$254,'Feeder Schedule'!$F$5:$F$254),""))</f>
        <v/>
      </c>
      <c r="CB110" s="20" t="str">
        <f>IF($A110="","",IFERROR(_xlfn.XLOOKUP("F-"&amp;$A110,'Feeder Schedule'!$B$5:$B$254,'Feeder Schedule'!$G$5:$G$254),""))</f>
        <v/>
      </c>
      <c r="CD110" s="20" t="str" cm="1">
        <f t="array" ref="CD110">IFERROR(IF($A110="","",INDEX(_xlfn.ANCHORARRAY($BK$4),ROW()-5,6)),"")</f>
        <v/>
      </c>
      <c r="CE110" s="20" t="str">
        <f t="shared" si="29"/>
        <v/>
      </c>
      <c r="CF110" s="20" t="str">
        <f t="shared" si="30"/>
        <v/>
      </c>
      <c r="CG110" s="20" t="str">
        <f t="shared" si="27"/>
        <v/>
      </c>
      <c r="CH110" s="20" t="str" cm="1">
        <f t="array" ref="CH110">IF(OR($A110="",$BZ110="",$BW110="",$BX110=""),"",_xlfn.LET(_xlpm.mag,IFERROR(_xlfn.XLOOKUP($BX110,Race_Raceway,Race_Mag),""),IF(_xlpm.mag="","",IFERROR(INDEX(Cond_Table,MATCH($BZ110,Cond_Size,0),IF(UPPER($BW110)="AL",IF(_xlpm.mag="Y",10,12),IF(_xlpm.mag="Y",9,11))),""))))</f>
        <v/>
      </c>
      <c r="CI110" s="20" t="str">
        <f t="shared" si="28"/>
        <v/>
      </c>
      <c r="CJ110" s="20" t="str">
        <f>IF(OR($A110="",LEFT($A110,2)&lt;&gt;"T-"),"",IFERROR(_xlfn.LET(_xlpm.fla,_xlfn.XLOOKUP($A110,Transformers!$A$6:$A$105,Transformers!$AK$6:$AK$105),_xlpm.z,_xlfn.XLOOKUP($A110,Transformers!$A$6:$A$105,Transformers!$AX$6:$AX$105),IF(OR(_xlpm.fla="",_xlpm.z="",_xlpm.z=0),"",_xlpm.fla*100/_xlpm.z)),""))</f>
        <v/>
      </c>
      <c r="CK110" s="20" t="str">
        <f t="shared" si="31"/>
        <v/>
      </c>
      <c r="CL110" s="20" t="str">
        <f t="shared" si="32"/>
        <v/>
      </c>
      <c r="CM110" s="373"/>
      <c r="CO110" s="20" t="str">
        <f>IF(OR($A110="",LEFT($A110,2)&lt;&gt;"T-"),"",_xlfn.LET(_xlpm.ph,IFERROR(_xlfn.XLOOKUP($A110,Transformers!$A$6:$A$105,Transformers!$C$6:$C$105),""),_xlpm.rr,IFERROR(_xlfn.XLOOKUP($A110,Transformers!$A$6:$A$105,Transformers!$AG$6:$AG$105),""),_xlpm.xx,IFERROR(_xlfn.XLOOKUP($A110,Transformers!$A$6:$A$105,Transformers!$AI$6:$AI$105),""),IF(OR(_xlpm.ph&lt;&gt;1,NOT(ISNUMBER(_xlpm.rr)),NOT(ISNUMBER(_xlpm.xx))),"",SQRT((1.5*_xlpm.rr)^2+(1.2*_xlpm.xx)^2))))</f>
        <v/>
      </c>
      <c r="CP110" s="20" t="str">
        <f t="shared" si="33"/>
        <v/>
      </c>
    </row>
    <row r="111" spans="1:94" ht="15" customHeight="1" x14ac:dyDescent="0.45">
      <c r="A111" s="275" t="str" cm="1">
        <f t="array" ref="A111">IFERROR(IF(INDEX(_xlfn.ANCHORARRAY($BK$4),ROW()-5,1)="","",INDEX(_xlfn.ANCHORARRAY($BK$4),ROW()-5,1)),"")</f>
        <v/>
      </c>
      <c r="B111" s="25" t="str" cm="1">
        <f t="array" ref="B111">IFERROR(IF($A111="","",INDEX(_xlfn.ANCHORARRAY($BK$4),ROW()-5,5)),"")</f>
        <v/>
      </c>
      <c r="C111" s="178" t="str" cm="1">
        <f t="array" ref="C111">IFERROR(IF($A111="","",INDEX(_xlfn.ANCHORARRAY($BK$4),ROW()-5,7)),"")</f>
        <v/>
      </c>
      <c r="D111" s="177" t="str" cm="1">
        <f t="array" ref="D111">IFERROR(IF($A111="","",INDEX(_xlfn.ANCHORARRAY($BK$4),ROW()-5,3)),"")</f>
        <v/>
      </c>
      <c r="E111" s="25" t="str" cm="1">
        <f t="array" ref="E111">IFERROR(IF($A111="","",INDEX(_xlfn.ANCHORARRAY($BK$4),ROW()-5,2)),"")</f>
        <v/>
      </c>
      <c r="F111" s="177" t="str">
        <f t="shared" si="17"/>
        <v/>
      </c>
      <c r="G111" s="275" t="str">
        <f t="shared" si="18"/>
        <v/>
      </c>
      <c r="H111" s="180" t="str">
        <f t="shared" si="19"/>
        <v/>
      </c>
      <c r="I111" s="180" t="str">
        <f t="shared" si="20"/>
        <v/>
      </c>
      <c r="J111" s="177" t="str">
        <f>_xlfn.LET(_xlpm.v,_xlfn.LET(_xlpm.base,IF($A111="","",IF($C111=0,IFERROR(_xlfn.XLOOKUP($A111,Util_Tags,Util_SCAEff),""),IF(LEFT($A111,2)="T-",IF($CJ111="","",$CJ111/(1+IF($CL111="",0,$CL111))),IF(OR($F111="",$I111=""),"",$F111*$I111)))),_xlpm.gtag,IF(OR($A111="",NOT(OR($B111="ATS",$B111="MTS"))),"",IFERROR(_xlfn.XLOOKUP($A111,Dashboard!$A$101:$A$350,Dashboard!$L$101:$L$350,"")&amp;"","")),_xlpm.gkva,IF(_xlpm.gtag="",0,IFERROR(N(_xlfn.XLOOKUP(_xlpm.gtag,Generator!$B$53:$B$58,Generator!$S$53:$S$58,0)),0)),_xlpm.gxd,IF(_xlpm.gtag="",0,IFERROR(N(_xlfn.XLOOKUP(_xlpm.gtag,Generator!$B$53:$B$58,Generator!$U$53:$U$58,0)),0)),_xlpm.gamp,IF(OR(_xlpm.gkva=0,_xlpm.gxd=0,N($D111)=0),0,ROUND(_xlpm.gkva*1000/(IF(N($CB111)=1,1,SQRT(3))*$D111*_xlpm.gxd),0)),IF(OR(_xlpm.gamp=0,NOT(ISNUMBER(_xlpm.base))),_xlpm.base,MAX(_xlpm.base,_xlpm.gamp))),_xlpm.ulim,IF(OR($A111="",$B111&lt;&gt;"UPS"),"",IFERROR(IF(_xlfn.XLOOKUP($A111,UPS!$B$57:$B$64,UPS!$E$57:$E$64,"")="None",_xlfn.XLOOKUP($A111,UPS!$B$57:$B$64,UPS!$U$57:$U$64,""),""),"")),IF(AND(ISNUMBER(_xlpm.v),ISNUMBER(_xlpm.ulim)),MIN(_xlpm.v,_xlpm.ulim),_xlpm.v))</f>
        <v/>
      </c>
      <c r="K111" s="176"/>
      <c r="L111" s="177" t="str">
        <f t="shared" si="21"/>
        <v/>
      </c>
      <c r="M111" s="177" t="str">
        <f t="shared" si="22"/>
        <v/>
      </c>
      <c r="N111" s="380" t="str">
        <f>IF($A111="","",IF($C111=0,_xlfn.LET(_xlpm.x,IFERROR(_xlfn.XLOOKUP($A111,Util_Tags,Util_XR),""),IF(N(_xlpm.x)=0,Xfmr_DefXR,_xlpm.x)),IF(LEFT($A111,2)="T-",IFERROR(_xlfn.XLOOKUP($A111,Transformers!$A$6:$A$105,Transformers!$AH$6:$AH$105),Xfmr_DefXR),IFERROR(_xlfn.XLOOKUP($E111,$A$6:$A$255,$N$6:$N$255),Xfmr_DefXR))))</f>
        <v/>
      </c>
      <c r="O111" s="177" t="str">
        <f t="shared" si="23"/>
        <v/>
      </c>
      <c r="P111" s="210" t="str">
        <f>IF($A111="","",IF(LEFT($A111,2)="T-",IF($CO111="","",_xlfn.LET(_xlpm.k,IFERROR(_xlfn.XLOOKUP($A111,Transformers!$A$6:$A$105,Transformers!$G$6:$G$105),""),_xlpm.sv,IFERROR(_xlfn.XLOOKUP($A111,Transformers!$A$6:$A$105,Transformers!$E$6:$E$105),""),IF(OR(NOT(ISNUMBER(_xlpm.k)),NOT(ISNUMBER(_xlpm.sv)),_xlpm.sv=0),"",_xlfn.LET(_xlpm.iInf,(_xlpm.k*1000/(_xlpm.sv/2))*100/$CO111,_xlpm.pri,IF(OR($CK111="",$CK111=0),"",$CK111/2),_xlpm.base,IF(_xlpm.pri="",_xlpm.iInf,_xlpm.iInf/(1+_xlpm.iInf/_xlpm.pri)),_xlpm.base+IF($L111="",0,$L111))))),IF($CP111="","",_xlfn.LET(_xlpm.pI,IFERROR(_xlfn.XLOOKUP($E111,$A$6:$A$255,$P$6:$P$255),""),IF(NOT(ISNUMBER(_xlpm.pI)),"",_xlpm.pI/(1+$CP111)+IF($L111="",0,$L111))))))</f>
        <v/>
      </c>
      <c r="Q111" s="210" t="str">
        <f t="shared" si="24"/>
        <v/>
      </c>
      <c r="R111" s="177" t="str">
        <f>IF($A111="","",IF(OR($C111=0,LEFT($A111,2)="T-"),"",IFERROR(_xlfn.LET(_xlpm.v,_xlfn.XLOOKUP($A111,Dashboard!$A$101:$A$350,Dashboard!$K$101:$K$350),IF(ISNUMBER(_xlpm.v),_xlpm.v,"")),"")))</f>
        <v/>
      </c>
      <c r="S111" s="211" t="str">
        <f t="shared" si="25"/>
        <v/>
      </c>
      <c r="T111" s="25" t="str">
        <f t="shared" si="26"/>
        <v/>
      </c>
      <c r="U111" s="364"/>
      <c r="BV111" s="20" t="str">
        <f>IF($A111="","",IFERROR(_xlfn.XLOOKUP("F-"&amp;$A111,'Feeder Schedule'!$B$5:$B$254,'Feeder Schedule'!$H$5:$H$254),""))</f>
        <v/>
      </c>
      <c r="BW111" s="20" t="str">
        <f>IF($A111="","",IFERROR(_xlfn.XLOOKUP("F-"&amp;$A111,'Feeder Schedule'!$B$5:$B$254,'Feeder Schedule'!$BV$5:$BV$254),""))</f>
        <v/>
      </c>
      <c r="BX111" s="20" t="str">
        <f>IF($A111="","",IFERROR(_xlfn.LET(_xlpm.v,_xlfn.XLOOKUP("F-"&amp;$A111,'Feeder Schedule'!$B$5:$B$254,'Feeder Schedule'!$M$5:$M$254),IF(OR(_xlpm.v="",_xlpm.v=0),Cfg_Conduit,_xlpm.v)),""))</f>
        <v/>
      </c>
      <c r="BY111" s="20" t="str">
        <f>IF($A111="","",IFERROR(_xlfn.XLOOKUP("F-"&amp;$A111,'Feeder Schedule'!$B$5:$B$254,'Feeder Schedule'!$O$5:$O$254),""))</f>
        <v/>
      </c>
      <c r="BZ111" s="20" t="str">
        <f>IF($A111="","",IFERROR(_xlfn.XLOOKUP("F-"&amp;$A111,'Feeder Schedule'!$B$5:$B$254,'Feeder Schedule'!$CH$5:$CH$254),""))</f>
        <v/>
      </c>
      <c r="CA111" s="20" t="str">
        <f>IF($A111="","",IFERROR(_xlfn.XLOOKUP("F-"&amp;$A111,'Feeder Schedule'!$B$5:$B$254,'Feeder Schedule'!$F$5:$F$254),""))</f>
        <v/>
      </c>
      <c r="CB111" s="20" t="str">
        <f>IF($A111="","",IFERROR(_xlfn.XLOOKUP("F-"&amp;$A111,'Feeder Schedule'!$B$5:$B$254,'Feeder Schedule'!$G$5:$G$254),""))</f>
        <v/>
      </c>
      <c r="CD111" s="20" t="str" cm="1">
        <f t="array" ref="CD111">IFERROR(IF($A111="","",INDEX(_xlfn.ANCHORARRAY($BK$4),ROW()-5,6)),"")</f>
        <v/>
      </c>
      <c r="CE111" s="20" t="str">
        <f t="shared" si="29"/>
        <v/>
      </c>
      <c r="CF111" s="20" t="str">
        <f t="shared" si="30"/>
        <v/>
      </c>
      <c r="CG111" s="20" t="str">
        <f t="shared" si="27"/>
        <v/>
      </c>
      <c r="CH111" s="20" t="str" cm="1">
        <f t="array" ref="CH111">IF(OR($A111="",$BZ111="",$BW111="",$BX111=""),"",_xlfn.LET(_xlpm.mag,IFERROR(_xlfn.XLOOKUP($BX111,Race_Raceway,Race_Mag),""),IF(_xlpm.mag="","",IFERROR(INDEX(Cond_Table,MATCH($BZ111,Cond_Size,0),IF(UPPER($BW111)="AL",IF(_xlpm.mag="Y",10,12),IF(_xlpm.mag="Y",9,11))),""))))</f>
        <v/>
      </c>
      <c r="CI111" s="20" t="str">
        <f t="shared" si="28"/>
        <v/>
      </c>
      <c r="CJ111" s="20" t="str">
        <f>IF(OR($A111="",LEFT($A111,2)&lt;&gt;"T-"),"",IFERROR(_xlfn.LET(_xlpm.fla,_xlfn.XLOOKUP($A111,Transformers!$A$6:$A$105,Transformers!$AK$6:$AK$105),_xlpm.z,_xlfn.XLOOKUP($A111,Transformers!$A$6:$A$105,Transformers!$AX$6:$AX$105),IF(OR(_xlpm.fla="",_xlpm.z="",_xlpm.z=0),"",_xlpm.fla*100/_xlpm.z)),""))</f>
        <v/>
      </c>
      <c r="CK111" s="20" t="str">
        <f t="shared" si="31"/>
        <v/>
      </c>
      <c r="CL111" s="20" t="str">
        <f t="shared" si="32"/>
        <v/>
      </c>
      <c r="CM111" s="373"/>
      <c r="CO111" s="20" t="str">
        <f>IF(OR($A111="",LEFT($A111,2)&lt;&gt;"T-"),"",_xlfn.LET(_xlpm.ph,IFERROR(_xlfn.XLOOKUP($A111,Transformers!$A$6:$A$105,Transformers!$C$6:$C$105),""),_xlpm.rr,IFERROR(_xlfn.XLOOKUP($A111,Transformers!$A$6:$A$105,Transformers!$AG$6:$AG$105),""),_xlpm.xx,IFERROR(_xlfn.XLOOKUP($A111,Transformers!$A$6:$A$105,Transformers!$AI$6:$AI$105),""),IF(OR(_xlpm.ph&lt;&gt;1,NOT(ISNUMBER(_xlpm.rr)),NOT(ISNUMBER(_xlpm.xx))),"",SQRT((1.5*_xlpm.rr)^2+(1.2*_xlpm.xx)^2))))</f>
        <v/>
      </c>
      <c r="CP111" s="20" t="str">
        <f t="shared" si="33"/>
        <v/>
      </c>
    </row>
    <row r="112" spans="1:94" ht="15" customHeight="1" x14ac:dyDescent="0.45">
      <c r="A112" s="275" t="str" cm="1">
        <f t="array" ref="A112">IFERROR(IF(INDEX(_xlfn.ANCHORARRAY($BK$4),ROW()-5,1)="","",INDEX(_xlfn.ANCHORARRAY($BK$4),ROW()-5,1)),"")</f>
        <v/>
      </c>
      <c r="B112" s="25" t="str" cm="1">
        <f t="array" ref="B112">IFERROR(IF($A112="","",INDEX(_xlfn.ANCHORARRAY($BK$4),ROW()-5,5)),"")</f>
        <v/>
      </c>
      <c r="C112" s="178" t="str" cm="1">
        <f t="array" ref="C112">IFERROR(IF($A112="","",INDEX(_xlfn.ANCHORARRAY($BK$4),ROW()-5,7)),"")</f>
        <v/>
      </c>
      <c r="D112" s="177" t="str" cm="1">
        <f t="array" ref="D112">IFERROR(IF($A112="","",INDEX(_xlfn.ANCHORARRAY($BK$4),ROW()-5,3)),"")</f>
        <v/>
      </c>
      <c r="E112" s="25" t="str" cm="1">
        <f t="array" ref="E112">IFERROR(IF($A112="","",INDEX(_xlfn.ANCHORARRAY($BK$4),ROW()-5,2)),"")</f>
        <v/>
      </c>
      <c r="F112" s="177" t="str">
        <f t="shared" si="17"/>
        <v/>
      </c>
      <c r="G112" s="275" t="str">
        <f t="shared" si="18"/>
        <v/>
      </c>
      <c r="H112" s="180" t="str">
        <f t="shared" si="19"/>
        <v/>
      </c>
      <c r="I112" s="180" t="str">
        <f t="shared" si="20"/>
        <v/>
      </c>
      <c r="J112" s="177" t="str">
        <f>_xlfn.LET(_xlpm.v,_xlfn.LET(_xlpm.base,IF($A112="","",IF($C112=0,IFERROR(_xlfn.XLOOKUP($A112,Util_Tags,Util_SCAEff),""),IF(LEFT($A112,2)="T-",IF($CJ112="","",$CJ112/(1+IF($CL112="",0,$CL112))),IF(OR($F112="",$I112=""),"",$F112*$I112)))),_xlpm.gtag,IF(OR($A112="",NOT(OR($B112="ATS",$B112="MTS"))),"",IFERROR(_xlfn.XLOOKUP($A112,Dashboard!$A$101:$A$350,Dashboard!$L$101:$L$350,"")&amp;"","")),_xlpm.gkva,IF(_xlpm.gtag="",0,IFERROR(N(_xlfn.XLOOKUP(_xlpm.gtag,Generator!$B$53:$B$58,Generator!$S$53:$S$58,0)),0)),_xlpm.gxd,IF(_xlpm.gtag="",0,IFERROR(N(_xlfn.XLOOKUP(_xlpm.gtag,Generator!$B$53:$B$58,Generator!$U$53:$U$58,0)),0)),_xlpm.gamp,IF(OR(_xlpm.gkva=0,_xlpm.gxd=0,N($D112)=0),0,ROUND(_xlpm.gkva*1000/(IF(N($CB112)=1,1,SQRT(3))*$D112*_xlpm.gxd),0)),IF(OR(_xlpm.gamp=0,NOT(ISNUMBER(_xlpm.base))),_xlpm.base,MAX(_xlpm.base,_xlpm.gamp))),_xlpm.ulim,IF(OR($A112="",$B112&lt;&gt;"UPS"),"",IFERROR(IF(_xlfn.XLOOKUP($A112,UPS!$B$57:$B$64,UPS!$E$57:$E$64,"")="None",_xlfn.XLOOKUP($A112,UPS!$B$57:$B$64,UPS!$U$57:$U$64,""),""),"")),IF(AND(ISNUMBER(_xlpm.v),ISNUMBER(_xlpm.ulim)),MIN(_xlpm.v,_xlpm.ulim),_xlpm.v))</f>
        <v/>
      </c>
      <c r="K112" s="176"/>
      <c r="L112" s="177" t="str">
        <f t="shared" si="21"/>
        <v/>
      </c>
      <c r="M112" s="177" t="str">
        <f t="shared" si="22"/>
        <v/>
      </c>
      <c r="N112" s="380" t="str">
        <f>IF($A112="","",IF($C112=0,_xlfn.LET(_xlpm.x,IFERROR(_xlfn.XLOOKUP($A112,Util_Tags,Util_XR),""),IF(N(_xlpm.x)=0,Xfmr_DefXR,_xlpm.x)),IF(LEFT($A112,2)="T-",IFERROR(_xlfn.XLOOKUP($A112,Transformers!$A$6:$A$105,Transformers!$AH$6:$AH$105),Xfmr_DefXR),IFERROR(_xlfn.XLOOKUP($E112,$A$6:$A$255,$N$6:$N$255),Xfmr_DefXR))))</f>
        <v/>
      </c>
      <c r="O112" s="177" t="str">
        <f t="shared" si="23"/>
        <v/>
      </c>
      <c r="P112" s="210" t="str">
        <f>IF($A112="","",IF(LEFT($A112,2)="T-",IF($CO112="","",_xlfn.LET(_xlpm.k,IFERROR(_xlfn.XLOOKUP($A112,Transformers!$A$6:$A$105,Transformers!$G$6:$G$105),""),_xlpm.sv,IFERROR(_xlfn.XLOOKUP($A112,Transformers!$A$6:$A$105,Transformers!$E$6:$E$105),""),IF(OR(NOT(ISNUMBER(_xlpm.k)),NOT(ISNUMBER(_xlpm.sv)),_xlpm.sv=0),"",_xlfn.LET(_xlpm.iInf,(_xlpm.k*1000/(_xlpm.sv/2))*100/$CO112,_xlpm.pri,IF(OR($CK112="",$CK112=0),"",$CK112/2),_xlpm.base,IF(_xlpm.pri="",_xlpm.iInf,_xlpm.iInf/(1+_xlpm.iInf/_xlpm.pri)),_xlpm.base+IF($L112="",0,$L112))))),IF($CP112="","",_xlfn.LET(_xlpm.pI,IFERROR(_xlfn.XLOOKUP($E112,$A$6:$A$255,$P$6:$P$255),""),IF(NOT(ISNUMBER(_xlpm.pI)),"",_xlpm.pI/(1+$CP112)+IF($L112="",0,$L112))))))</f>
        <v/>
      </c>
      <c r="Q112" s="210" t="str">
        <f t="shared" si="24"/>
        <v/>
      </c>
      <c r="R112" s="177" t="str">
        <f>IF($A112="","",IF(OR($C112=0,LEFT($A112,2)="T-"),"",IFERROR(_xlfn.LET(_xlpm.v,_xlfn.XLOOKUP($A112,Dashboard!$A$101:$A$350,Dashboard!$K$101:$K$350),IF(ISNUMBER(_xlpm.v),_xlpm.v,"")),"")))</f>
        <v/>
      </c>
      <c r="S112" s="211" t="str">
        <f t="shared" si="25"/>
        <v/>
      </c>
      <c r="T112" s="25" t="str">
        <f t="shared" si="26"/>
        <v/>
      </c>
      <c r="U112" s="364"/>
      <c r="BV112" s="20" t="str">
        <f>IF($A112="","",IFERROR(_xlfn.XLOOKUP("F-"&amp;$A112,'Feeder Schedule'!$B$5:$B$254,'Feeder Schedule'!$H$5:$H$254),""))</f>
        <v/>
      </c>
      <c r="BW112" s="20" t="str">
        <f>IF($A112="","",IFERROR(_xlfn.XLOOKUP("F-"&amp;$A112,'Feeder Schedule'!$B$5:$B$254,'Feeder Schedule'!$BV$5:$BV$254),""))</f>
        <v/>
      </c>
      <c r="BX112" s="20" t="str">
        <f>IF($A112="","",IFERROR(_xlfn.LET(_xlpm.v,_xlfn.XLOOKUP("F-"&amp;$A112,'Feeder Schedule'!$B$5:$B$254,'Feeder Schedule'!$M$5:$M$254),IF(OR(_xlpm.v="",_xlpm.v=0),Cfg_Conduit,_xlpm.v)),""))</f>
        <v/>
      </c>
      <c r="BY112" s="20" t="str">
        <f>IF($A112="","",IFERROR(_xlfn.XLOOKUP("F-"&amp;$A112,'Feeder Schedule'!$B$5:$B$254,'Feeder Schedule'!$O$5:$O$254),""))</f>
        <v/>
      </c>
      <c r="BZ112" s="20" t="str">
        <f>IF($A112="","",IFERROR(_xlfn.XLOOKUP("F-"&amp;$A112,'Feeder Schedule'!$B$5:$B$254,'Feeder Schedule'!$CH$5:$CH$254),""))</f>
        <v/>
      </c>
      <c r="CA112" s="20" t="str">
        <f>IF($A112="","",IFERROR(_xlfn.XLOOKUP("F-"&amp;$A112,'Feeder Schedule'!$B$5:$B$254,'Feeder Schedule'!$F$5:$F$254),""))</f>
        <v/>
      </c>
      <c r="CB112" s="20" t="str">
        <f>IF($A112="","",IFERROR(_xlfn.XLOOKUP("F-"&amp;$A112,'Feeder Schedule'!$B$5:$B$254,'Feeder Schedule'!$G$5:$G$254),""))</f>
        <v/>
      </c>
      <c r="CD112" s="20" t="str" cm="1">
        <f t="array" ref="CD112">IFERROR(IF($A112="","",INDEX(_xlfn.ANCHORARRAY($BK$4),ROW()-5,6)),"")</f>
        <v/>
      </c>
      <c r="CE112" s="20" t="str">
        <f t="shared" si="29"/>
        <v/>
      </c>
      <c r="CF112" s="20" t="str">
        <f t="shared" si="30"/>
        <v/>
      </c>
      <c r="CG112" s="20" t="str">
        <f t="shared" si="27"/>
        <v/>
      </c>
      <c r="CH112" s="20" t="str" cm="1">
        <f t="array" ref="CH112">IF(OR($A112="",$BZ112="",$BW112="",$BX112=""),"",_xlfn.LET(_xlpm.mag,IFERROR(_xlfn.XLOOKUP($BX112,Race_Raceway,Race_Mag),""),IF(_xlpm.mag="","",IFERROR(INDEX(Cond_Table,MATCH($BZ112,Cond_Size,0),IF(UPPER($BW112)="AL",IF(_xlpm.mag="Y",10,12),IF(_xlpm.mag="Y",9,11))),""))))</f>
        <v/>
      </c>
      <c r="CI112" s="20" t="str">
        <f t="shared" si="28"/>
        <v/>
      </c>
      <c r="CJ112" s="20" t="str">
        <f>IF(OR($A112="",LEFT($A112,2)&lt;&gt;"T-"),"",IFERROR(_xlfn.LET(_xlpm.fla,_xlfn.XLOOKUP($A112,Transformers!$A$6:$A$105,Transformers!$AK$6:$AK$105),_xlpm.z,_xlfn.XLOOKUP($A112,Transformers!$A$6:$A$105,Transformers!$AX$6:$AX$105),IF(OR(_xlpm.fla="",_xlpm.z="",_xlpm.z=0),"",_xlpm.fla*100/_xlpm.z)),""))</f>
        <v/>
      </c>
      <c r="CK112" s="20" t="str">
        <f t="shared" si="31"/>
        <v/>
      </c>
      <c r="CL112" s="20" t="str">
        <f t="shared" si="32"/>
        <v/>
      </c>
      <c r="CM112" s="373"/>
      <c r="CO112" s="20" t="str">
        <f>IF(OR($A112="",LEFT($A112,2)&lt;&gt;"T-"),"",_xlfn.LET(_xlpm.ph,IFERROR(_xlfn.XLOOKUP($A112,Transformers!$A$6:$A$105,Transformers!$C$6:$C$105),""),_xlpm.rr,IFERROR(_xlfn.XLOOKUP($A112,Transformers!$A$6:$A$105,Transformers!$AG$6:$AG$105),""),_xlpm.xx,IFERROR(_xlfn.XLOOKUP($A112,Transformers!$A$6:$A$105,Transformers!$AI$6:$AI$105),""),IF(OR(_xlpm.ph&lt;&gt;1,NOT(ISNUMBER(_xlpm.rr)),NOT(ISNUMBER(_xlpm.xx))),"",SQRT((1.5*_xlpm.rr)^2+(1.2*_xlpm.xx)^2))))</f>
        <v/>
      </c>
      <c r="CP112" s="20" t="str">
        <f t="shared" si="33"/>
        <v/>
      </c>
    </row>
    <row r="113" spans="1:94" ht="15" customHeight="1" x14ac:dyDescent="0.45">
      <c r="A113" s="275" t="str" cm="1">
        <f t="array" ref="A113">IFERROR(IF(INDEX(_xlfn.ANCHORARRAY($BK$4),ROW()-5,1)="","",INDEX(_xlfn.ANCHORARRAY($BK$4),ROW()-5,1)),"")</f>
        <v/>
      </c>
      <c r="B113" s="25" t="str" cm="1">
        <f t="array" ref="B113">IFERROR(IF($A113="","",INDEX(_xlfn.ANCHORARRAY($BK$4),ROW()-5,5)),"")</f>
        <v/>
      </c>
      <c r="C113" s="178" t="str" cm="1">
        <f t="array" ref="C113">IFERROR(IF($A113="","",INDEX(_xlfn.ANCHORARRAY($BK$4),ROW()-5,7)),"")</f>
        <v/>
      </c>
      <c r="D113" s="177" t="str" cm="1">
        <f t="array" ref="D113">IFERROR(IF($A113="","",INDEX(_xlfn.ANCHORARRAY($BK$4),ROW()-5,3)),"")</f>
        <v/>
      </c>
      <c r="E113" s="25" t="str" cm="1">
        <f t="array" ref="E113">IFERROR(IF($A113="","",INDEX(_xlfn.ANCHORARRAY($BK$4),ROW()-5,2)),"")</f>
        <v/>
      </c>
      <c r="F113" s="177" t="str">
        <f t="shared" si="17"/>
        <v/>
      </c>
      <c r="G113" s="275" t="str">
        <f t="shared" si="18"/>
        <v/>
      </c>
      <c r="H113" s="180" t="str">
        <f t="shared" si="19"/>
        <v/>
      </c>
      <c r="I113" s="180" t="str">
        <f t="shared" si="20"/>
        <v/>
      </c>
      <c r="J113" s="177" t="str">
        <f>_xlfn.LET(_xlpm.v,_xlfn.LET(_xlpm.base,IF($A113="","",IF($C113=0,IFERROR(_xlfn.XLOOKUP($A113,Util_Tags,Util_SCAEff),""),IF(LEFT($A113,2)="T-",IF($CJ113="","",$CJ113/(1+IF($CL113="",0,$CL113))),IF(OR($F113="",$I113=""),"",$F113*$I113)))),_xlpm.gtag,IF(OR($A113="",NOT(OR($B113="ATS",$B113="MTS"))),"",IFERROR(_xlfn.XLOOKUP($A113,Dashboard!$A$101:$A$350,Dashboard!$L$101:$L$350,"")&amp;"","")),_xlpm.gkva,IF(_xlpm.gtag="",0,IFERROR(N(_xlfn.XLOOKUP(_xlpm.gtag,Generator!$B$53:$B$58,Generator!$S$53:$S$58,0)),0)),_xlpm.gxd,IF(_xlpm.gtag="",0,IFERROR(N(_xlfn.XLOOKUP(_xlpm.gtag,Generator!$B$53:$B$58,Generator!$U$53:$U$58,0)),0)),_xlpm.gamp,IF(OR(_xlpm.gkva=0,_xlpm.gxd=0,N($D113)=0),0,ROUND(_xlpm.gkva*1000/(IF(N($CB113)=1,1,SQRT(3))*$D113*_xlpm.gxd),0)),IF(OR(_xlpm.gamp=0,NOT(ISNUMBER(_xlpm.base))),_xlpm.base,MAX(_xlpm.base,_xlpm.gamp))),_xlpm.ulim,IF(OR($A113="",$B113&lt;&gt;"UPS"),"",IFERROR(IF(_xlfn.XLOOKUP($A113,UPS!$B$57:$B$64,UPS!$E$57:$E$64,"")="None",_xlfn.XLOOKUP($A113,UPS!$B$57:$B$64,UPS!$U$57:$U$64,""),""),"")),IF(AND(ISNUMBER(_xlpm.v),ISNUMBER(_xlpm.ulim)),MIN(_xlpm.v,_xlpm.ulim),_xlpm.v))</f>
        <v/>
      </c>
      <c r="K113" s="176"/>
      <c r="L113" s="177" t="str">
        <f t="shared" si="21"/>
        <v/>
      </c>
      <c r="M113" s="177" t="str">
        <f t="shared" si="22"/>
        <v/>
      </c>
      <c r="N113" s="380" t="str">
        <f>IF($A113="","",IF($C113=0,_xlfn.LET(_xlpm.x,IFERROR(_xlfn.XLOOKUP($A113,Util_Tags,Util_XR),""),IF(N(_xlpm.x)=0,Xfmr_DefXR,_xlpm.x)),IF(LEFT($A113,2)="T-",IFERROR(_xlfn.XLOOKUP($A113,Transformers!$A$6:$A$105,Transformers!$AH$6:$AH$105),Xfmr_DefXR),IFERROR(_xlfn.XLOOKUP($E113,$A$6:$A$255,$N$6:$N$255),Xfmr_DefXR))))</f>
        <v/>
      </c>
      <c r="O113" s="177" t="str">
        <f t="shared" si="23"/>
        <v/>
      </c>
      <c r="P113" s="210" t="str">
        <f>IF($A113="","",IF(LEFT($A113,2)="T-",IF($CO113="","",_xlfn.LET(_xlpm.k,IFERROR(_xlfn.XLOOKUP($A113,Transformers!$A$6:$A$105,Transformers!$G$6:$G$105),""),_xlpm.sv,IFERROR(_xlfn.XLOOKUP($A113,Transformers!$A$6:$A$105,Transformers!$E$6:$E$105),""),IF(OR(NOT(ISNUMBER(_xlpm.k)),NOT(ISNUMBER(_xlpm.sv)),_xlpm.sv=0),"",_xlfn.LET(_xlpm.iInf,(_xlpm.k*1000/(_xlpm.sv/2))*100/$CO113,_xlpm.pri,IF(OR($CK113="",$CK113=0),"",$CK113/2),_xlpm.base,IF(_xlpm.pri="",_xlpm.iInf,_xlpm.iInf/(1+_xlpm.iInf/_xlpm.pri)),_xlpm.base+IF($L113="",0,$L113))))),IF($CP113="","",_xlfn.LET(_xlpm.pI,IFERROR(_xlfn.XLOOKUP($E113,$A$6:$A$255,$P$6:$P$255),""),IF(NOT(ISNUMBER(_xlpm.pI)),"",_xlpm.pI/(1+$CP113)+IF($L113="",0,$L113))))))</f>
        <v/>
      </c>
      <c r="Q113" s="210" t="str">
        <f t="shared" si="24"/>
        <v/>
      </c>
      <c r="R113" s="177" t="str">
        <f>IF($A113="","",IF(OR($C113=0,LEFT($A113,2)="T-"),"",IFERROR(_xlfn.LET(_xlpm.v,_xlfn.XLOOKUP($A113,Dashboard!$A$101:$A$350,Dashboard!$K$101:$K$350),IF(ISNUMBER(_xlpm.v),_xlpm.v,"")),"")))</f>
        <v/>
      </c>
      <c r="S113" s="211" t="str">
        <f t="shared" si="25"/>
        <v/>
      </c>
      <c r="T113" s="25" t="str">
        <f t="shared" si="26"/>
        <v/>
      </c>
      <c r="U113" s="364"/>
      <c r="BV113" s="20" t="str">
        <f>IF($A113="","",IFERROR(_xlfn.XLOOKUP("F-"&amp;$A113,'Feeder Schedule'!$B$5:$B$254,'Feeder Schedule'!$H$5:$H$254),""))</f>
        <v/>
      </c>
      <c r="BW113" s="20" t="str">
        <f>IF($A113="","",IFERROR(_xlfn.XLOOKUP("F-"&amp;$A113,'Feeder Schedule'!$B$5:$B$254,'Feeder Schedule'!$BV$5:$BV$254),""))</f>
        <v/>
      </c>
      <c r="BX113" s="20" t="str">
        <f>IF($A113="","",IFERROR(_xlfn.LET(_xlpm.v,_xlfn.XLOOKUP("F-"&amp;$A113,'Feeder Schedule'!$B$5:$B$254,'Feeder Schedule'!$M$5:$M$254),IF(OR(_xlpm.v="",_xlpm.v=0),Cfg_Conduit,_xlpm.v)),""))</f>
        <v/>
      </c>
      <c r="BY113" s="20" t="str">
        <f>IF($A113="","",IFERROR(_xlfn.XLOOKUP("F-"&amp;$A113,'Feeder Schedule'!$B$5:$B$254,'Feeder Schedule'!$O$5:$O$254),""))</f>
        <v/>
      </c>
      <c r="BZ113" s="20" t="str">
        <f>IF($A113="","",IFERROR(_xlfn.XLOOKUP("F-"&amp;$A113,'Feeder Schedule'!$B$5:$B$254,'Feeder Schedule'!$CH$5:$CH$254),""))</f>
        <v/>
      </c>
      <c r="CA113" s="20" t="str">
        <f>IF($A113="","",IFERROR(_xlfn.XLOOKUP("F-"&amp;$A113,'Feeder Schedule'!$B$5:$B$254,'Feeder Schedule'!$F$5:$F$254),""))</f>
        <v/>
      </c>
      <c r="CB113" s="20" t="str">
        <f>IF($A113="","",IFERROR(_xlfn.XLOOKUP("F-"&amp;$A113,'Feeder Schedule'!$B$5:$B$254,'Feeder Schedule'!$G$5:$G$254),""))</f>
        <v/>
      </c>
      <c r="CD113" s="20" t="str" cm="1">
        <f t="array" ref="CD113">IFERROR(IF($A113="","",INDEX(_xlfn.ANCHORARRAY($BK$4),ROW()-5,6)),"")</f>
        <v/>
      </c>
      <c r="CE113" s="20" t="str">
        <f t="shared" si="29"/>
        <v/>
      </c>
      <c r="CF113" s="20" t="str">
        <f t="shared" si="30"/>
        <v/>
      </c>
      <c r="CG113" s="20" t="str">
        <f t="shared" si="27"/>
        <v/>
      </c>
      <c r="CH113" s="20" t="str" cm="1">
        <f t="array" ref="CH113">IF(OR($A113="",$BZ113="",$BW113="",$BX113=""),"",_xlfn.LET(_xlpm.mag,IFERROR(_xlfn.XLOOKUP($BX113,Race_Raceway,Race_Mag),""),IF(_xlpm.mag="","",IFERROR(INDEX(Cond_Table,MATCH($BZ113,Cond_Size,0),IF(UPPER($BW113)="AL",IF(_xlpm.mag="Y",10,12),IF(_xlpm.mag="Y",9,11))),""))))</f>
        <v/>
      </c>
      <c r="CI113" s="20" t="str">
        <f t="shared" si="28"/>
        <v/>
      </c>
      <c r="CJ113" s="20" t="str">
        <f>IF(OR($A113="",LEFT($A113,2)&lt;&gt;"T-"),"",IFERROR(_xlfn.LET(_xlpm.fla,_xlfn.XLOOKUP($A113,Transformers!$A$6:$A$105,Transformers!$AK$6:$AK$105),_xlpm.z,_xlfn.XLOOKUP($A113,Transformers!$A$6:$A$105,Transformers!$AX$6:$AX$105),IF(OR(_xlpm.fla="",_xlpm.z="",_xlpm.z=0),"",_xlpm.fla*100/_xlpm.z)),""))</f>
        <v/>
      </c>
      <c r="CK113" s="20" t="str">
        <f t="shared" si="31"/>
        <v/>
      </c>
      <c r="CL113" s="20" t="str">
        <f t="shared" si="32"/>
        <v/>
      </c>
      <c r="CM113" s="373"/>
      <c r="CO113" s="20" t="str">
        <f>IF(OR($A113="",LEFT($A113,2)&lt;&gt;"T-"),"",_xlfn.LET(_xlpm.ph,IFERROR(_xlfn.XLOOKUP($A113,Transformers!$A$6:$A$105,Transformers!$C$6:$C$105),""),_xlpm.rr,IFERROR(_xlfn.XLOOKUP($A113,Transformers!$A$6:$A$105,Transformers!$AG$6:$AG$105),""),_xlpm.xx,IFERROR(_xlfn.XLOOKUP($A113,Transformers!$A$6:$A$105,Transformers!$AI$6:$AI$105),""),IF(OR(_xlpm.ph&lt;&gt;1,NOT(ISNUMBER(_xlpm.rr)),NOT(ISNUMBER(_xlpm.xx))),"",SQRT((1.5*_xlpm.rr)^2+(1.2*_xlpm.xx)^2))))</f>
        <v/>
      </c>
      <c r="CP113" s="20" t="str">
        <f t="shared" si="33"/>
        <v/>
      </c>
    </row>
    <row r="114" spans="1:94" ht="15" customHeight="1" x14ac:dyDescent="0.45">
      <c r="A114" s="275" t="str" cm="1">
        <f t="array" ref="A114">IFERROR(IF(INDEX(_xlfn.ANCHORARRAY($BK$4),ROW()-5,1)="","",INDEX(_xlfn.ANCHORARRAY($BK$4),ROW()-5,1)),"")</f>
        <v/>
      </c>
      <c r="B114" s="25" t="str" cm="1">
        <f t="array" ref="B114">IFERROR(IF($A114="","",INDEX(_xlfn.ANCHORARRAY($BK$4),ROW()-5,5)),"")</f>
        <v/>
      </c>
      <c r="C114" s="178" t="str" cm="1">
        <f t="array" ref="C114">IFERROR(IF($A114="","",INDEX(_xlfn.ANCHORARRAY($BK$4),ROW()-5,7)),"")</f>
        <v/>
      </c>
      <c r="D114" s="177" t="str" cm="1">
        <f t="array" ref="D114">IFERROR(IF($A114="","",INDEX(_xlfn.ANCHORARRAY($BK$4),ROW()-5,3)),"")</f>
        <v/>
      </c>
      <c r="E114" s="25" t="str" cm="1">
        <f t="array" ref="E114">IFERROR(IF($A114="","",INDEX(_xlfn.ANCHORARRAY($BK$4),ROW()-5,2)),"")</f>
        <v/>
      </c>
      <c r="F114" s="177" t="str">
        <f t="shared" si="17"/>
        <v/>
      </c>
      <c r="G114" s="275" t="str">
        <f t="shared" si="18"/>
        <v/>
      </c>
      <c r="H114" s="180" t="str">
        <f t="shared" si="19"/>
        <v/>
      </c>
      <c r="I114" s="180" t="str">
        <f t="shared" si="20"/>
        <v/>
      </c>
      <c r="J114" s="177" t="str">
        <f>_xlfn.LET(_xlpm.v,_xlfn.LET(_xlpm.base,IF($A114="","",IF($C114=0,IFERROR(_xlfn.XLOOKUP($A114,Util_Tags,Util_SCAEff),""),IF(LEFT($A114,2)="T-",IF($CJ114="","",$CJ114/(1+IF($CL114="",0,$CL114))),IF(OR($F114="",$I114=""),"",$F114*$I114)))),_xlpm.gtag,IF(OR($A114="",NOT(OR($B114="ATS",$B114="MTS"))),"",IFERROR(_xlfn.XLOOKUP($A114,Dashboard!$A$101:$A$350,Dashboard!$L$101:$L$350,"")&amp;"","")),_xlpm.gkva,IF(_xlpm.gtag="",0,IFERROR(N(_xlfn.XLOOKUP(_xlpm.gtag,Generator!$B$53:$B$58,Generator!$S$53:$S$58,0)),0)),_xlpm.gxd,IF(_xlpm.gtag="",0,IFERROR(N(_xlfn.XLOOKUP(_xlpm.gtag,Generator!$B$53:$B$58,Generator!$U$53:$U$58,0)),0)),_xlpm.gamp,IF(OR(_xlpm.gkva=0,_xlpm.gxd=0,N($D114)=0),0,ROUND(_xlpm.gkva*1000/(IF(N($CB114)=1,1,SQRT(3))*$D114*_xlpm.gxd),0)),IF(OR(_xlpm.gamp=0,NOT(ISNUMBER(_xlpm.base))),_xlpm.base,MAX(_xlpm.base,_xlpm.gamp))),_xlpm.ulim,IF(OR($A114="",$B114&lt;&gt;"UPS"),"",IFERROR(IF(_xlfn.XLOOKUP($A114,UPS!$B$57:$B$64,UPS!$E$57:$E$64,"")="None",_xlfn.XLOOKUP($A114,UPS!$B$57:$B$64,UPS!$U$57:$U$64,""),""),"")),IF(AND(ISNUMBER(_xlpm.v),ISNUMBER(_xlpm.ulim)),MIN(_xlpm.v,_xlpm.ulim),_xlpm.v))</f>
        <v/>
      </c>
      <c r="K114" s="176"/>
      <c r="L114" s="177" t="str">
        <f t="shared" si="21"/>
        <v/>
      </c>
      <c r="M114" s="177" t="str">
        <f t="shared" si="22"/>
        <v/>
      </c>
      <c r="N114" s="380" t="str">
        <f>IF($A114="","",IF($C114=0,_xlfn.LET(_xlpm.x,IFERROR(_xlfn.XLOOKUP($A114,Util_Tags,Util_XR),""),IF(N(_xlpm.x)=0,Xfmr_DefXR,_xlpm.x)),IF(LEFT($A114,2)="T-",IFERROR(_xlfn.XLOOKUP($A114,Transformers!$A$6:$A$105,Transformers!$AH$6:$AH$105),Xfmr_DefXR),IFERROR(_xlfn.XLOOKUP($E114,$A$6:$A$255,$N$6:$N$255),Xfmr_DefXR))))</f>
        <v/>
      </c>
      <c r="O114" s="177" t="str">
        <f t="shared" si="23"/>
        <v/>
      </c>
      <c r="P114" s="210" t="str">
        <f>IF($A114="","",IF(LEFT($A114,2)="T-",IF($CO114="","",_xlfn.LET(_xlpm.k,IFERROR(_xlfn.XLOOKUP($A114,Transformers!$A$6:$A$105,Transformers!$G$6:$G$105),""),_xlpm.sv,IFERROR(_xlfn.XLOOKUP($A114,Transformers!$A$6:$A$105,Transformers!$E$6:$E$105),""),IF(OR(NOT(ISNUMBER(_xlpm.k)),NOT(ISNUMBER(_xlpm.sv)),_xlpm.sv=0),"",_xlfn.LET(_xlpm.iInf,(_xlpm.k*1000/(_xlpm.sv/2))*100/$CO114,_xlpm.pri,IF(OR($CK114="",$CK114=0),"",$CK114/2),_xlpm.base,IF(_xlpm.pri="",_xlpm.iInf,_xlpm.iInf/(1+_xlpm.iInf/_xlpm.pri)),_xlpm.base+IF($L114="",0,$L114))))),IF($CP114="","",_xlfn.LET(_xlpm.pI,IFERROR(_xlfn.XLOOKUP($E114,$A$6:$A$255,$P$6:$P$255),""),IF(NOT(ISNUMBER(_xlpm.pI)),"",_xlpm.pI/(1+$CP114)+IF($L114="",0,$L114))))))</f>
        <v/>
      </c>
      <c r="Q114" s="210" t="str">
        <f t="shared" si="24"/>
        <v/>
      </c>
      <c r="R114" s="177" t="str">
        <f>IF($A114="","",IF(OR($C114=0,LEFT($A114,2)="T-"),"",IFERROR(_xlfn.LET(_xlpm.v,_xlfn.XLOOKUP($A114,Dashboard!$A$101:$A$350,Dashboard!$K$101:$K$350),IF(ISNUMBER(_xlpm.v),_xlpm.v,"")),"")))</f>
        <v/>
      </c>
      <c r="S114" s="211" t="str">
        <f t="shared" si="25"/>
        <v/>
      </c>
      <c r="T114" s="25" t="str">
        <f t="shared" si="26"/>
        <v/>
      </c>
      <c r="U114" s="364"/>
      <c r="BV114" s="20" t="str">
        <f>IF($A114="","",IFERROR(_xlfn.XLOOKUP("F-"&amp;$A114,'Feeder Schedule'!$B$5:$B$254,'Feeder Schedule'!$H$5:$H$254),""))</f>
        <v/>
      </c>
      <c r="BW114" s="20" t="str">
        <f>IF($A114="","",IFERROR(_xlfn.XLOOKUP("F-"&amp;$A114,'Feeder Schedule'!$B$5:$B$254,'Feeder Schedule'!$BV$5:$BV$254),""))</f>
        <v/>
      </c>
      <c r="BX114" s="20" t="str">
        <f>IF($A114="","",IFERROR(_xlfn.LET(_xlpm.v,_xlfn.XLOOKUP("F-"&amp;$A114,'Feeder Schedule'!$B$5:$B$254,'Feeder Schedule'!$M$5:$M$254),IF(OR(_xlpm.v="",_xlpm.v=0),Cfg_Conduit,_xlpm.v)),""))</f>
        <v/>
      </c>
      <c r="BY114" s="20" t="str">
        <f>IF($A114="","",IFERROR(_xlfn.XLOOKUP("F-"&amp;$A114,'Feeder Schedule'!$B$5:$B$254,'Feeder Schedule'!$O$5:$O$254),""))</f>
        <v/>
      </c>
      <c r="BZ114" s="20" t="str">
        <f>IF($A114="","",IFERROR(_xlfn.XLOOKUP("F-"&amp;$A114,'Feeder Schedule'!$B$5:$B$254,'Feeder Schedule'!$CH$5:$CH$254),""))</f>
        <v/>
      </c>
      <c r="CA114" s="20" t="str">
        <f>IF($A114="","",IFERROR(_xlfn.XLOOKUP("F-"&amp;$A114,'Feeder Schedule'!$B$5:$B$254,'Feeder Schedule'!$F$5:$F$254),""))</f>
        <v/>
      </c>
      <c r="CB114" s="20" t="str">
        <f>IF($A114="","",IFERROR(_xlfn.XLOOKUP("F-"&amp;$A114,'Feeder Schedule'!$B$5:$B$254,'Feeder Schedule'!$G$5:$G$254),""))</f>
        <v/>
      </c>
      <c r="CD114" s="20" t="str" cm="1">
        <f t="array" ref="CD114">IFERROR(IF($A114="","",INDEX(_xlfn.ANCHORARRAY($BK$4),ROW()-5,6)),"")</f>
        <v/>
      </c>
      <c r="CE114" s="20" t="str">
        <f t="shared" si="29"/>
        <v/>
      </c>
      <c r="CF114" s="20" t="str">
        <f t="shared" si="30"/>
        <v/>
      </c>
      <c r="CG114" s="20" t="str">
        <f t="shared" si="27"/>
        <v/>
      </c>
      <c r="CH114" s="20" t="str" cm="1">
        <f t="array" ref="CH114">IF(OR($A114="",$BZ114="",$BW114="",$BX114=""),"",_xlfn.LET(_xlpm.mag,IFERROR(_xlfn.XLOOKUP($BX114,Race_Raceway,Race_Mag),""),IF(_xlpm.mag="","",IFERROR(INDEX(Cond_Table,MATCH($BZ114,Cond_Size,0),IF(UPPER($BW114)="AL",IF(_xlpm.mag="Y",10,12),IF(_xlpm.mag="Y",9,11))),""))))</f>
        <v/>
      </c>
      <c r="CI114" s="20" t="str">
        <f t="shared" si="28"/>
        <v/>
      </c>
      <c r="CJ114" s="20" t="str">
        <f>IF(OR($A114="",LEFT($A114,2)&lt;&gt;"T-"),"",IFERROR(_xlfn.LET(_xlpm.fla,_xlfn.XLOOKUP($A114,Transformers!$A$6:$A$105,Transformers!$AK$6:$AK$105),_xlpm.z,_xlfn.XLOOKUP($A114,Transformers!$A$6:$A$105,Transformers!$AX$6:$AX$105),IF(OR(_xlpm.fla="",_xlpm.z="",_xlpm.z=0),"",_xlpm.fla*100/_xlpm.z)),""))</f>
        <v/>
      </c>
      <c r="CK114" s="20" t="str">
        <f t="shared" si="31"/>
        <v/>
      </c>
      <c r="CL114" s="20" t="str">
        <f t="shared" si="32"/>
        <v/>
      </c>
      <c r="CM114" s="373"/>
      <c r="CO114" s="20" t="str">
        <f>IF(OR($A114="",LEFT($A114,2)&lt;&gt;"T-"),"",_xlfn.LET(_xlpm.ph,IFERROR(_xlfn.XLOOKUP($A114,Transformers!$A$6:$A$105,Transformers!$C$6:$C$105),""),_xlpm.rr,IFERROR(_xlfn.XLOOKUP($A114,Transformers!$A$6:$A$105,Transformers!$AG$6:$AG$105),""),_xlpm.xx,IFERROR(_xlfn.XLOOKUP($A114,Transformers!$A$6:$A$105,Transformers!$AI$6:$AI$105),""),IF(OR(_xlpm.ph&lt;&gt;1,NOT(ISNUMBER(_xlpm.rr)),NOT(ISNUMBER(_xlpm.xx))),"",SQRT((1.5*_xlpm.rr)^2+(1.2*_xlpm.xx)^2))))</f>
        <v/>
      </c>
      <c r="CP114" s="20" t="str">
        <f t="shared" si="33"/>
        <v/>
      </c>
    </row>
    <row r="115" spans="1:94" ht="15" customHeight="1" x14ac:dyDescent="0.45">
      <c r="A115" s="275" t="str" cm="1">
        <f t="array" ref="A115">IFERROR(IF(INDEX(_xlfn.ANCHORARRAY($BK$4),ROW()-5,1)="","",INDEX(_xlfn.ANCHORARRAY($BK$4),ROW()-5,1)),"")</f>
        <v/>
      </c>
      <c r="B115" s="25" t="str" cm="1">
        <f t="array" ref="B115">IFERROR(IF($A115="","",INDEX(_xlfn.ANCHORARRAY($BK$4),ROW()-5,5)),"")</f>
        <v/>
      </c>
      <c r="C115" s="178" t="str" cm="1">
        <f t="array" ref="C115">IFERROR(IF($A115="","",INDEX(_xlfn.ANCHORARRAY($BK$4),ROW()-5,7)),"")</f>
        <v/>
      </c>
      <c r="D115" s="177" t="str" cm="1">
        <f t="array" ref="D115">IFERROR(IF($A115="","",INDEX(_xlfn.ANCHORARRAY($BK$4),ROW()-5,3)),"")</f>
        <v/>
      </c>
      <c r="E115" s="25" t="str" cm="1">
        <f t="array" ref="E115">IFERROR(IF($A115="","",INDEX(_xlfn.ANCHORARRAY($BK$4),ROW()-5,2)),"")</f>
        <v/>
      </c>
      <c r="F115" s="177" t="str">
        <f t="shared" si="17"/>
        <v/>
      </c>
      <c r="G115" s="275" t="str">
        <f t="shared" si="18"/>
        <v/>
      </c>
      <c r="H115" s="180" t="str">
        <f t="shared" si="19"/>
        <v/>
      </c>
      <c r="I115" s="180" t="str">
        <f t="shared" si="20"/>
        <v/>
      </c>
      <c r="J115" s="177" t="str">
        <f>_xlfn.LET(_xlpm.v,_xlfn.LET(_xlpm.base,IF($A115="","",IF($C115=0,IFERROR(_xlfn.XLOOKUP($A115,Util_Tags,Util_SCAEff),""),IF(LEFT($A115,2)="T-",IF($CJ115="","",$CJ115/(1+IF($CL115="",0,$CL115))),IF(OR($F115="",$I115=""),"",$F115*$I115)))),_xlpm.gtag,IF(OR($A115="",NOT(OR($B115="ATS",$B115="MTS"))),"",IFERROR(_xlfn.XLOOKUP($A115,Dashboard!$A$101:$A$350,Dashboard!$L$101:$L$350,"")&amp;"","")),_xlpm.gkva,IF(_xlpm.gtag="",0,IFERROR(N(_xlfn.XLOOKUP(_xlpm.gtag,Generator!$B$53:$B$58,Generator!$S$53:$S$58,0)),0)),_xlpm.gxd,IF(_xlpm.gtag="",0,IFERROR(N(_xlfn.XLOOKUP(_xlpm.gtag,Generator!$B$53:$B$58,Generator!$U$53:$U$58,0)),0)),_xlpm.gamp,IF(OR(_xlpm.gkva=0,_xlpm.gxd=0,N($D115)=0),0,ROUND(_xlpm.gkva*1000/(IF(N($CB115)=1,1,SQRT(3))*$D115*_xlpm.gxd),0)),IF(OR(_xlpm.gamp=0,NOT(ISNUMBER(_xlpm.base))),_xlpm.base,MAX(_xlpm.base,_xlpm.gamp))),_xlpm.ulim,IF(OR($A115="",$B115&lt;&gt;"UPS"),"",IFERROR(IF(_xlfn.XLOOKUP($A115,UPS!$B$57:$B$64,UPS!$E$57:$E$64,"")="None",_xlfn.XLOOKUP($A115,UPS!$B$57:$B$64,UPS!$U$57:$U$64,""),""),"")),IF(AND(ISNUMBER(_xlpm.v),ISNUMBER(_xlpm.ulim)),MIN(_xlpm.v,_xlpm.ulim),_xlpm.v))</f>
        <v/>
      </c>
      <c r="K115" s="176"/>
      <c r="L115" s="177" t="str">
        <f t="shared" si="21"/>
        <v/>
      </c>
      <c r="M115" s="177" t="str">
        <f t="shared" si="22"/>
        <v/>
      </c>
      <c r="N115" s="380" t="str">
        <f>IF($A115="","",IF($C115=0,_xlfn.LET(_xlpm.x,IFERROR(_xlfn.XLOOKUP($A115,Util_Tags,Util_XR),""),IF(N(_xlpm.x)=0,Xfmr_DefXR,_xlpm.x)),IF(LEFT($A115,2)="T-",IFERROR(_xlfn.XLOOKUP($A115,Transformers!$A$6:$A$105,Transformers!$AH$6:$AH$105),Xfmr_DefXR),IFERROR(_xlfn.XLOOKUP($E115,$A$6:$A$255,$N$6:$N$255),Xfmr_DefXR))))</f>
        <v/>
      </c>
      <c r="O115" s="177" t="str">
        <f t="shared" si="23"/>
        <v/>
      </c>
      <c r="P115" s="210" t="str">
        <f>IF($A115="","",IF(LEFT($A115,2)="T-",IF($CO115="","",_xlfn.LET(_xlpm.k,IFERROR(_xlfn.XLOOKUP($A115,Transformers!$A$6:$A$105,Transformers!$G$6:$G$105),""),_xlpm.sv,IFERROR(_xlfn.XLOOKUP($A115,Transformers!$A$6:$A$105,Transformers!$E$6:$E$105),""),IF(OR(NOT(ISNUMBER(_xlpm.k)),NOT(ISNUMBER(_xlpm.sv)),_xlpm.sv=0),"",_xlfn.LET(_xlpm.iInf,(_xlpm.k*1000/(_xlpm.sv/2))*100/$CO115,_xlpm.pri,IF(OR($CK115="",$CK115=0),"",$CK115/2),_xlpm.base,IF(_xlpm.pri="",_xlpm.iInf,_xlpm.iInf/(1+_xlpm.iInf/_xlpm.pri)),_xlpm.base+IF($L115="",0,$L115))))),IF($CP115="","",_xlfn.LET(_xlpm.pI,IFERROR(_xlfn.XLOOKUP($E115,$A$6:$A$255,$P$6:$P$255),""),IF(NOT(ISNUMBER(_xlpm.pI)),"",_xlpm.pI/(1+$CP115)+IF($L115="",0,$L115))))))</f>
        <v/>
      </c>
      <c r="Q115" s="210" t="str">
        <f t="shared" si="24"/>
        <v/>
      </c>
      <c r="R115" s="177" t="str">
        <f>IF($A115="","",IF(OR($C115=0,LEFT($A115,2)="T-"),"",IFERROR(_xlfn.LET(_xlpm.v,_xlfn.XLOOKUP($A115,Dashboard!$A$101:$A$350,Dashboard!$K$101:$K$350),IF(ISNUMBER(_xlpm.v),_xlpm.v,"")),"")))</f>
        <v/>
      </c>
      <c r="S115" s="211" t="str">
        <f t="shared" si="25"/>
        <v/>
      </c>
      <c r="T115" s="25" t="str">
        <f t="shared" si="26"/>
        <v/>
      </c>
      <c r="U115" s="364"/>
      <c r="BV115" s="20" t="str">
        <f>IF($A115="","",IFERROR(_xlfn.XLOOKUP("F-"&amp;$A115,'Feeder Schedule'!$B$5:$B$254,'Feeder Schedule'!$H$5:$H$254),""))</f>
        <v/>
      </c>
      <c r="BW115" s="20" t="str">
        <f>IF($A115="","",IFERROR(_xlfn.XLOOKUP("F-"&amp;$A115,'Feeder Schedule'!$B$5:$B$254,'Feeder Schedule'!$BV$5:$BV$254),""))</f>
        <v/>
      </c>
      <c r="BX115" s="20" t="str">
        <f>IF($A115="","",IFERROR(_xlfn.LET(_xlpm.v,_xlfn.XLOOKUP("F-"&amp;$A115,'Feeder Schedule'!$B$5:$B$254,'Feeder Schedule'!$M$5:$M$254),IF(OR(_xlpm.v="",_xlpm.v=0),Cfg_Conduit,_xlpm.v)),""))</f>
        <v/>
      </c>
      <c r="BY115" s="20" t="str">
        <f>IF($A115="","",IFERROR(_xlfn.XLOOKUP("F-"&amp;$A115,'Feeder Schedule'!$B$5:$B$254,'Feeder Schedule'!$O$5:$O$254),""))</f>
        <v/>
      </c>
      <c r="BZ115" s="20" t="str">
        <f>IF($A115="","",IFERROR(_xlfn.XLOOKUP("F-"&amp;$A115,'Feeder Schedule'!$B$5:$B$254,'Feeder Schedule'!$CH$5:$CH$254),""))</f>
        <v/>
      </c>
      <c r="CA115" s="20" t="str">
        <f>IF($A115="","",IFERROR(_xlfn.XLOOKUP("F-"&amp;$A115,'Feeder Schedule'!$B$5:$B$254,'Feeder Schedule'!$F$5:$F$254),""))</f>
        <v/>
      </c>
      <c r="CB115" s="20" t="str">
        <f>IF($A115="","",IFERROR(_xlfn.XLOOKUP("F-"&amp;$A115,'Feeder Schedule'!$B$5:$B$254,'Feeder Schedule'!$G$5:$G$254),""))</f>
        <v/>
      </c>
      <c r="CD115" s="20" t="str" cm="1">
        <f t="array" ref="CD115">IFERROR(IF($A115="","",INDEX(_xlfn.ANCHORARRAY($BK$4),ROW()-5,6)),"")</f>
        <v/>
      </c>
      <c r="CE115" s="20" t="str">
        <f t="shared" si="29"/>
        <v/>
      </c>
      <c r="CF115" s="20" t="str">
        <f t="shared" si="30"/>
        <v/>
      </c>
      <c r="CG115" s="20" t="str">
        <f t="shared" si="27"/>
        <v/>
      </c>
      <c r="CH115" s="20" t="str" cm="1">
        <f t="array" ref="CH115">IF(OR($A115="",$BZ115="",$BW115="",$BX115=""),"",_xlfn.LET(_xlpm.mag,IFERROR(_xlfn.XLOOKUP($BX115,Race_Raceway,Race_Mag),""),IF(_xlpm.mag="","",IFERROR(INDEX(Cond_Table,MATCH($BZ115,Cond_Size,0),IF(UPPER($BW115)="AL",IF(_xlpm.mag="Y",10,12),IF(_xlpm.mag="Y",9,11))),""))))</f>
        <v/>
      </c>
      <c r="CI115" s="20" t="str">
        <f t="shared" si="28"/>
        <v/>
      </c>
      <c r="CJ115" s="20" t="str">
        <f>IF(OR($A115="",LEFT($A115,2)&lt;&gt;"T-"),"",IFERROR(_xlfn.LET(_xlpm.fla,_xlfn.XLOOKUP($A115,Transformers!$A$6:$A$105,Transformers!$AK$6:$AK$105),_xlpm.z,_xlfn.XLOOKUP($A115,Transformers!$A$6:$A$105,Transformers!$AX$6:$AX$105),IF(OR(_xlpm.fla="",_xlpm.z="",_xlpm.z=0),"",_xlpm.fla*100/_xlpm.z)),""))</f>
        <v/>
      </c>
      <c r="CK115" s="20" t="str">
        <f t="shared" si="31"/>
        <v/>
      </c>
      <c r="CL115" s="20" t="str">
        <f t="shared" si="32"/>
        <v/>
      </c>
      <c r="CM115" s="373"/>
      <c r="CO115" s="20" t="str">
        <f>IF(OR($A115="",LEFT($A115,2)&lt;&gt;"T-"),"",_xlfn.LET(_xlpm.ph,IFERROR(_xlfn.XLOOKUP($A115,Transformers!$A$6:$A$105,Transformers!$C$6:$C$105),""),_xlpm.rr,IFERROR(_xlfn.XLOOKUP($A115,Transformers!$A$6:$A$105,Transformers!$AG$6:$AG$105),""),_xlpm.xx,IFERROR(_xlfn.XLOOKUP($A115,Transformers!$A$6:$A$105,Transformers!$AI$6:$AI$105),""),IF(OR(_xlpm.ph&lt;&gt;1,NOT(ISNUMBER(_xlpm.rr)),NOT(ISNUMBER(_xlpm.xx))),"",SQRT((1.5*_xlpm.rr)^2+(1.2*_xlpm.xx)^2))))</f>
        <v/>
      </c>
      <c r="CP115" s="20" t="str">
        <f t="shared" si="33"/>
        <v/>
      </c>
    </row>
    <row r="116" spans="1:94" ht="15" customHeight="1" x14ac:dyDescent="0.45">
      <c r="A116" s="275" t="str" cm="1">
        <f t="array" ref="A116">IFERROR(IF(INDEX(_xlfn.ANCHORARRAY($BK$4),ROW()-5,1)="","",INDEX(_xlfn.ANCHORARRAY($BK$4),ROW()-5,1)),"")</f>
        <v/>
      </c>
      <c r="B116" s="25" t="str" cm="1">
        <f t="array" ref="B116">IFERROR(IF($A116="","",INDEX(_xlfn.ANCHORARRAY($BK$4),ROW()-5,5)),"")</f>
        <v/>
      </c>
      <c r="C116" s="178" t="str" cm="1">
        <f t="array" ref="C116">IFERROR(IF($A116="","",INDEX(_xlfn.ANCHORARRAY($BK$4),ROW()-5,7)),"")</f>
        <v/>
      </c>
      <c r="D116" s="177" t="str" cm="1">
        <f t="array" ref="D116">IFERROR(IF($A116="","",INDEX(_xlfn.ANCHORARRAY($BK$4),ROW()-5,3)),"")</f>
        <v/>
      </c>
      <c r="E116" s="25" t="str" cm="1">
        <f t="array" ref="E116">IFERROR(IF($A116="","",INDEX(_xlfn.ANCHORARRAY($BK$4),ROW()-5,2)),"")</f>
        <v/>
      </c>
      <c r="F116" s="177" t="str">
        <f t="shared" si="17"/>
        <v/>
      </c>
      <c r="G116" s="275" t="str">
        <f t="shared" si="18"/>
        <v/>
      </c>
      <c r="H116" s="180" t="str">
        <f t="shared" si="19"/>
        <v/>
      </c>
      <c r="I116" s="180" t="str">
        <f t="shared" si="20"/>
        <v/>
      </c>
      <c r="J116" s="177" t="str">
        <f>_xlfn.LET(_xlpm.v,_xlfn.LET(_xlpm.base,IF($A116="","",IF($C116=0,IFERROR(_xlfn.XLOOKUP($A116,Util_Tags,Util_SCAEff),""),IF(LEFT($A116,2)="T-",IF($CJ116="","",$CJ116/(1+IF($CL116="",0,$CL116))),IF(OR($F116="",$I116=""),"",$F116*$I116)))),_xlpm.gtag,IF(OR($A116="",NOT(OR($B116="ATS",$B116="MTS"))),"",IFERROR(_xlfn.XLOOKUP($A116,Dashboard!$A$101:$A$350,Dashboard!$L$101:$L$350,"")&amp;"","")),_xlpm.gkva,IF(_xlpm.gtag="",0,IFERROR(N(_xlfn.XLOOKUP(_xlpm.gtag,Generator!$B$53:$B$58,Generator!$S$53:$S$58,0)),0)),_xlpm.gxd,IF(_xlpm.gtag="",0,IFERROR(N(_xlfn.XLOOKUP(_xlpm.gtag,Generator!$B$53:$B$58,Generator!$U$53:$U$58,0)),0)),_xlpm.gamp,IF(OR(_xlpm.gkva=0,_xlpm.gxd=0,N($D116)=0),0,ROUND(_xlpm.gkva*1000/(IF(N($CB116)=1,1,SQRT(3))*$D116*_xlpm.gxd),0)),IF(OR(_xlpm.gamp=0,NOT(ISNUMBER(_xlpm.base))),_xlpm.base,MAX(_xlpm.base,_xlpm.gamp))),_xlpm.ulim,IF(OR($A116="",$B116&lt;&gt;"UPS"),"",IFERROR(IF(_xlfn.XLOOKUP($A116,UPS!$B$57:$B$64,UPS!$E$57:$E$64,"")="None",_xlfn.XLOOKUP($A116,UPS!$B$57:$B$64,UPS!$U$57:$U$64,""),""),"")),IF(AND(ISNUMBER(_xlpm.v),ISNUMBER(_xlpm.ulim)),MIN(_xlpm.v,_xlpm.ulim),_xlpm.v))</f>
        <v/>
      </c>
      <c r="K116" s="176"/>
      <c r="L116" s="177" t="str">
        <f t="shared" si="21"/>
        <v/>
      </c>
      <c r="M116" s="177" t="str">
        <f t="shared" si="22"/>
        <v/>
      </c>
      <c r="N116" s="380" t="str">
        <f>IF($A116="","",IF($C116=0,_xlfn.LET(_xlpm.x,IFERROR(_xlfn.XLOOKUP($A116,Util_Tags,Util_XR),""),IF(N(_xlpm.x)=0,Xfmr_DefXR,_xlpm.x)),IF(LEFT($A116,2)="T-",IFERROR(_xlfn.XLOOKUP($A116,Transformers!$A$6:$A$105,Transformers!$AH$6:$AH$105),Xfmr_DefXR),IFERROR(_xlfn.XLOOKUP($E116,$A$6:$A$255,$N$6:$N$255),Xfmr_DefXR))))</f>
        <v/>
      </c>
      <c r="O116" s="177" t="str">
        <f t="shared" si="23"/>
        <v/>
      </c>
      <c r="P116" s="210" t="str">
        <f>IF($A116="","",IF(LEFT($A116,2)="T-",IF($CO116="","",_xlfn.LET(_xlpm.k,IFERROR(_xlfn.XLOOKUP($A116,Transformers!$A$6:$A$105,Transformers!$G$6:$G$105),""),_xlpm.sv,IFERROR(_xlfn.XLOOKUP($A116,Transformers!$A$6:$A$105,Transformers!$E$6:$E$105),""),IF(OR(NOT(ISNUMBER(_xlpm.k)),NOT(ISNUMBER(_xlpm.sv)),_xlpm.sv=0),"",_xlfn.LET(_xlpm.iInf,(_xlpm.k*1000/(_xlpm.sv/2))*100/$CO116,_xlpm.pri,IF(OR($CK116="",$CK116=0),"",$CK116/2),_xlpm.base,IF(_xlpm.pri="",_xlpm.iInf,_xlpm.iInf/(1+_xlpm.iInf/_xlpm.pri)),_xlpm.base+IF($L116="",0,$L116))))),IF($CP116="","",_xlfn.LET(_xlpm.pI,IFERROR(_xlfn.XLOOKUP($E116,$A$6:$A$255,$P$6:$P$255),""),IF(NOT(ISNUMBER(_xlpm.pI)),"",_xlpm.pI/(1+$CP116)+IF($L116="",0,$L116))))))</f>
        <v/>
      </c>
      <c r="Q116" s="210" t="str">
        <f t="shared" si="24"/>
        <v/>
      </c>
      <c r="R116" s="177" t="str">
        <f>IF($A116="","",IF(OR($C116=0,LEFT($A116,2)="T-"),"",IFERROR(_xlfn.LET(_xlpm.v,_xlfn.XLOOKUP($A116,Dashboard!$A$101:$A$350,Dashboard!$K$101:$K$350),IF(ISNUMBER(_xlpm.v),_xlpm.v,"")),"")))</f>
        <v/>
      </c>
      <c r="S116" s="211" t="str">
        <f t="shared" si="25"/>
        <v/>
      </c>
      <c r="T116" s="25" t="str">
        <f t="shared" si="26"/>
        <v/>
      </c>
      <c r="U116" s="364"/>
      <c r="BV116" s="20" t="str">
        <f>IF($A116="","",IFERROR(_xlfn.XLOOKUP("F-"&amp;$A116,'Feeder Schedule'!$B$5:$B$254,'Feeder Schedule'!$H$5:$H$254),""))</f>
        <v/>
      </c>
      <c r="BW116" s="20" t="str">
        <f>IF($A116="","",IFERROR(_xlfn.XLOOKUP("F-"&amp;$A116,'Feeder Schedule'!$B$5:$B$254,'Feeder Schedule'!$BV$5:$BV$254),""))</f>
        <v/>
      </c>
      <c r="BX116" s="20" t="str">
        <f>IF($A116="","",IFERROR(_xlfn.LET(_xlpm.v,_xlfn.XLOOKUP("F-"&amp;$A116,'Feeder Schedule'!$B$5:$B$254,'Feeder Schedule'!$M$5:$M$254),IF(OR(_xlpm.v="",_xlpm.v=0),Cfg_Conduit,_xlpm.v)),""))</f>
        <v/>
      </c>
      <c r="BY116" s="20" t="str">
        <f>IF($A116="","",IFERROR(_xlfn.XLOOKUP("F-"&amp;$A116,'Feeder Schedule'!$B$5:$B$254,'Feeder Schedule'!$O$5:$O$254),""))</f>
        <v/>
      </c>
      <c r="BZ116" s="20" t="str">
        <f>IF($A116="","",IFERROR(_xlfn.XLOOKUP("F-"&amp;$A116,'Feeder Schedule'!$B$5:$B$254,'Feeder Schedule'!$CH$5:$CH$254),""))</f>
        <v/>
      </c>
      <c r="CA116" s="20" t="str">
        <f>IF($A116="","",IFERROR(_xlfn.XLOOKUP("F-"&amp;$A116,'Feeder Schedule'!$B$5:$B$254,'Feeder Schedule'!$F$5:$F$254),""))</f>
        <v/>
      </c>
      <c r="CB116" s="20" t="str">
        <f>IF($A116="","",IFERROR(_xlfn.XLOOKUP("F-"&amp;$A116,'Feeder Schedule'!$B$5:$B$254,'Feeder Schedule'!$G$5:$G$254),""))</f>
        <v/>
      </c>
      <c r="CD116" s="20" t="str" cm="1">
        <f t="array" ref="CD116">IFERROR(IF($A116="","",INDEX(_xlfn.ANCHORARRAY($BK$4),ROW()-5,6)),"")</f>
        <v/>
      </c>
      <c r="CE116" s="20" t="str">
        <f t="shared" si="29"/>
        <v/>
      </c>
      <c r="CF116" s="20" t="str">
        <f t="shared" si="30"/>
        <v/>
      </c>
      <c r="CG116" s="20" t="str">
        <f t="shared" si="27"/>
        <v/>
      </c>
      <c r="CH116" s="20" t="str" cm="1">
        <f t="array" ref="CH116">IF(OR($A116="",$BZ116="",$BW116="",$BX116=""),"",_xlfn.LET(_xlpm.mag,IFERROR(_xlfn.XLOOKUP($BX116,Race_Raceway,Race_Mag),""),IF(_xlpm.mag="","",IFERROR(INDEX(Cond_Table,MATCH($BZ116,Cond_Size,0),IF(UPPER($BW116)="AL",IF(_xlpm.mag="Y",10,12),IF(_xlpm.mag="Y",9,11))),""))))</f>
        <v/>
      </c>
      <c r="CI116" s="20" t="str">
        <f t="shared" si="28"/>
        <v/>
      </c>
      <c r="CJ116" s="20" t="str">
        <f>IF(OR($A116="",LEFT($A116,2)&lt;&gt;"T-"),"",IFERROR(_xlfn.LET(_xlpm.fla,_xlfn.XLOOKUP($A116,Transformers!$A$6:$A$105,Transformers!$AK$6:$AK$105),_xlpm.z,_xlfn.XLOOKUP($A116,Transformers!$A$6:$A$105,Transformers!$AX$6:$AX$105),IF(OR(_xlpm.fla="",_xlpm.z="",_xlpm.z=0),"",_xlpm.fla*100/_xlpm.z)),""))</f>
        <v/>
      </c>
      <c r="CK116" s="20" t="str">
        <f t="shared" si="31"/>
        <v/>
      </c>
      <c r="CL116" s="20" t="str">
        <f t="shared" si="32"/>
        <v/>
      </c>
      <c r="CM116" s="373"/>
      <c r="CO116" s="20" t="str">
        <f>IF(OR($A116="",LEFT($A116,2)&lt;&gt;"T-"),"",_xlfn.LET(_xlpm.ph,IFERROR(_xlfn.XLOOKUP($A116,Transformers!$A$6:$A$105,Transformers!$C$6:$C$105),""),_xlpm.rr,IFERROR(_xlfn.XLOOKUP($A116,Transformers!$A$6:$A$105,Transformers!$AG$6:$AG$105),""),_xlpm.xx,IFERROR(_xlfn.XLOOKUP($A116,Transformers!$A$6:$A$105,Transformers!$AI$6:$AI$105),""),IF(OR(_xlpm.ph&lt;&gt;1,NOT(ISNUMBER(_xlpm.rr)),NOT(ISNUMBER(_xlpm.xx))),"",SQRT((1.5*_xlpm.rr)^2+(1.2*_xlpm.xx)^2))))</f>
        <v/>
      </c>
      <c r="CP116" s="20" t="str">
        <f t="shared" si="33"/>
        <v/>
      </c>
    </row>
    <row r="117" spans="1:94" ht="15" customHeight="1" x14ac:dyDescent="0.45">
      <c r="A117" s="275" t="str" cm="1">
        <f t="array" ref="A117">IFERROR(IF(INDEX(_xlfn.ANCHORARRAY($BK$4),ROW()-5,1)="","",INDEX(_xlfn.ANCHORARRAY($BK$4),ROW()-5,1)),"")</f>
        <v/>
      </c>
      <c r="B117" s="25" t="str" cm="1">
        <f t="array" ref="B117">IFERROR(IF($A117="","",INDEX(_xlfn.ANCHORARRAY($BK$4),ROW()-5,5)),"")</f>
        <v/>
      </c>
      <c r="C117" s="178" t="str" cm="1">
        <f t="array" ref="C117">IFERROR(IF($A117="","",INDEX(_xlfn.ANCHORARRAY($BK$4),ROW()-5,7)),"")</f>
        <v/>
      </c>
      <c r="D117" s="177" t="str" cm="1">
        <f t="array" ref="D117">IFERROR(IF($A117="","",INDEX(_xlfn.ANCHORARRAY($BK$4),ROW()-5,3)),"")</f>
        <v/>
      </c>
      <c r="E117" s="25" t="str" cm="1">
        <f t="array" ref="E117">IFERROR(IF($A117="","",INDEX(_xlfn.ANCHORARRAY($BK$4),ROW()-5,2)),"")</f>
        <v/>
      </c>
      <c r="F117" s="177" t="str">
        <f t="shared" si="17"/>
        <v/>
      </c>
      <c r="G117" s="275" t="str">
        <f t="shared" si="18"/>
        <v/>
      </c>
      <c r="H117" s="180" t="str">
        <f t="shared" si="19"/>
        <v/>
      </c>
      <c r="I117" s="180" t="str">
        <f t="shared" si="20"/>
        <v/>
      </c>
      <c r="J117" s="177" t="str">
        <f>_xlfn.LET(_xlpm.v,_xlfn.LET(_xlpm.base,IF($A117="","",IF($C117=0,IFERROR(_xlfn.XLOOKUP($A117,Util_Tags,Util_SCAEff),""),IF(LEFT($A117,2)="T-",IF($CJ117="","",$CJ117/(1+IF($CL117="",0,$CL117))),IF(OR($F117="",$I117=""),"",$F117*$I117)))),_xlpm.gtag,IF(OR($A117="",NOT(OR($B117="ATS",$B117="MTS"))),"",IFERROR(_xlfn.XLOOKUP($A117,Dashboard!$A$101:$A$350,Dashboard!$L$101:$L$350,"")&amp;"","")),_xlpm.gkva,IF(_xlpm.gtag="",0,IFERROR(N(_xlfn.XLOOKUP(_xlpm.gtag,Generator!$B$53:$B$58,Generator!$S$53:$S$58,0)),0)),_xlpm.gxd,IF(_xlpm.gtag="",0,IFERROR(N(_xlfn.XLOOKUP(_xlpm.gtag,Generator!$B$53:$B$58,Generator!$U$53:$U$58,0)),0)),_xlpm.gamp,IF(OR(_xlpm.gkva=0,_xlpm.gxd=0,N($D117)=0),0,ROUND(_xlpm.gkva*1000/(IF(N($CB117)=1,1,SQRT(3))*$D117*_xlpm.gxd),0)),IF(OR(_xlpm.gamp=0,NOT(ISNUMBER(_xlpm.base))),_xlpm.base,MAX(_xlpm.base,_xlpm.gamp))),_xlpm.ulim,IF(OR($A117="",$B117&lt;&gt;"UPS"),"",IFERROR(IF(_xlfn.XLOOKUP($A117,UPS!$B$57:$B$64,UPS!$E$57:$E$64,"")="None",_xlfn.XLOOKUP($A117,UPS!$B$57:$B$64,UPS!$U$57:$U$64,""),""),"")),IF(AND(ISNUMBER(_xlpm.v),ISNUMBER(_xlpm.ulim)),MIN(_xlpm.v,_xlpm.ulim),_xlpm.v))</f>
        <v/>
      </c>
      <c r="K117" s="176"/>
      <c r="L117" s="177" t="str">
        <f t="shared" si="21"/>
        <v/>
      </c>
      <c r="M117" s="177" t="str">
        <f t="shared" si="22"/>
        <v/>
      </c>
      <c r="N117" s="380" t="str">
        <f>IF($A117="","",IF($C117=0,_xlfn.LET(_xlpm.x,IFERROR(_xlfn.XLOOKUP($A117,Util_Tags,Util_XR),""),IF(N(_xlpm.x)=0,Xfmr_DefXR,_xlpm.x)),IF(LEFT($A117,2)="T-",IFERROR(_xlfn.XLOOKUP($A117,Transformers!$A$6:$A$105,Transformers!$AH$6:$AH$105),Xfmr_DefXR),IFERROR(_xlfn.XLOOKUP($E117,$A$6:$A$255,$N$6:$N$255),Xfmr_DefXR))))</f>
        <v/>
      </c>
      <c r="O117" s="177" t="str">
        <f t="shared" si="23"/>
        <v/>
      </c>
      <c r="P117" s="210" t="str">
        <f>IF($A117="","",IF(LEFT($A117,2)="T-",IF($CO117="","",_xlfn.LET(_xlpm.k,IFERROR(_xlfn.XLOOKUP($A117,Transformers!$A$6:$A$105,Transformers!$G$6:$G$105),""),_xlpm.sv,IFERROR(_xlfn.XLOOKUP($A117,Transformers!$A$6:$A$105,Transformers!$E$6:$E$105),""),IF(OR(NOT(ISNUMBER(_xlpm.k)),NOT(ISNUMBER(_xlpm.sv)),_xlpm.sv=0),"",_xlfn.LET(_xlpm.iInf,(_xlpm.k*1000/(_xlpm.sv/2))*100/$CO117,_xlpm.pri,IF(OR($CK117="",$CK117=0),"",$CK117/2),_xlpm.base,IF(_xlpm.pri="",_xlpm.iInf,_xlpm.iInf/(1+_xlpm.iInf/_xlpm.pri)),_xlpm.base+IF($L117="",0,$L117))))),IF($CP117="","",_xlfn.LET(_xlpm.pI,IFERROR(_xlfn.XLOOKUP($E117,$A$6:$A$255,$P$6:$P$255),""),IF(NOT(ISNUMBER(_xlpm.pI)),"",_xlpm.pI/(1+$CP117)+IF($L117="",0,$L117))))))</f>
        <v/>
      </c>
      <c r="Q117" s="210" t="str">
        <f t="shared" si="24"/>
        <v/>
      </c>
      <c r="R117" s="177" t="str">
        <f>IF($A117="","",IF(OR($C117=0,LEFT($A117,2)="T-"),"",IFERROR(_xlfn.LET(_xlpm.v,_xlfn.XLOOKUP($A117,Dashboard!$A$101:$A$350,Dashboard!$K$101:$K$350),IF(ISNUMBER(_xlpm.v),_xlpm.v,"")),"")))</f>
        <v/>
      </c>
      <c r="S117" s="211" t="str">
        <f t="shared" si="25"/>
        <v/>
      </c>
      <c r="T117" s="25" t="str">
        <f t="shared" si="26"/>
        <v/>
      </c>
      <c r="U117" s="364"/>
      <c r="BV117" s="20" t="str">
        <f>IF($A117="","",IFERROR(_xlfn.XLOOKUP("F-"&amp;$A117,'Feeder Schedule'!$B$5:$B$254,'Feeder Schedule'!$H$5:$H$254),""))</f>
        <v/>
      </c>
      <c r="BW117" s="20" t="str">
        <f>IF($A117="","",IFERROR(_xlfn.XLOOKUP("F-"&amp;$A117,'Feeder Schedule'!$B$5:$B$254,'Feeder Schedule'!$BV$5:$BV$254),""))</f>
        <v/>
      </c>
      <c r="BX117" s="20" t="str">
        <f>IF($A117="","",IFERROR(_xlfn.LET(_xlpm.v,_xlfn.XLOOKUP("F-"&amp;$A117,'Feeder Schedule'!$B$5:$B$254,'Feeder Schedule'!$M$5:$M$254),IF(OR(_xlpm.v="",_xlpm.v=0),Cfg_Conduit,_xlpm.v)),""))</f>
        <v/>
      </c>
      <c r="BY117" s="20" t="str">
        <f>IF($A117="","",IFERROR(_xlfn.XLOOKUP("F-"&amp;$A117,'Feeder Schedule'!$B$5:$B$254,'Feeder Schedule'!$O$5:$O$254),""))</f>
        <v/>
      </c>
      <c r="BZ117" s="20" t="str">
        <f>IF($A117="","",IFERROR(_xlfn.XLOOKUP("F-"&amp;$A117,'Feeder Schedule'!$B$5:$B$254,'Feeder Schedule'!$CH$5:$CH$254),""))</f>
        <v/>
      </c>
      <c r="CA117" s="20" t="str">
        <f>IF($A117="","",IFERROR(_xlfn.XLOOKUP("F-"&amp;$A117,'Feeder Schedule'!$B$5:$B$254,'Feeder Schedule'!$F$5:$F$254),""))</f>
        <v/>
      </c>
      <c r="CB117" s="20" t="str">
        <f>IF($A117="","",IFERROR(_xlfn.XLOOKUP("F-"&amp;$A117,'Feeder Schedule'!$B$5:$B$254,'Feeder Schedule'!$G$5:$G$254),""))</f>
        <v/>
      </c>
      <c r="CD117" s="20" t="str" cm="1">
        <f t="array" ref="CD117">IFERROR(IF($A117="","",INDEX(_xlfn.ANCHORARRAY($BK$4),ROW()-5,6)),"")</f>
        <v/>
      </c>
      <c r="CE117" s="20" t="str">
        <f t="shared" si="29"/>
        <v/>
      </c>
      <c r="CF117" s="20" t="str">
        <f t="shared" si="30"/>
        <v/>
      </c>
      <c r="CG117" s="20" t="str">
        <f t="shared" si="27"/>
        <v/>
      </c>
      <c r="CH117" s="20" t="str" cm="1">
        <f t="array" ref="CH117">IF(OR($A117="",$BZ117="",$BW117="",$BX117=""),"",_xlfn.LET(_xlpm.mag,IFERROR(_xlfn.XLOOKUP($BX117,Race_Raceway,Race_Mag),""),IF(_xlpm.mag="","",IFERROR(INDEX(Cond_Table,MATCH($BZ117,Cond_Size,0),IF(UPPER($BW117)="AL",IF(_xlpm.mag="Y",10,12),IF(_xlpm.mag="Y",9,11))),""))))</f>
        <v/>
      </c>
      <c r="CI117" s="20" t="str">
        <f t="shared" si="28"/>
        <v/>
      </c>
      <c r="CJ117" s="20" t="str">
        <f>IF(OR($A117="",LEFT($A117,2)&lt;&gt;"T-"),"",IFERROR(_xlfn.LET(_xlpm.fla,_xlfn.XLOOKUP($A117,Transformers!$A$6:$A$105,Transformers!$AK$6:$AK$105),_xlpm.z,_xlfn.XLOOKUP($A117,Transformers!$A$6:$A$105,Transformers!$AX$6:$AX$105),IF(OR(_xlpm.fla="",_xlpm.z="",_xlpm.z=0),"",_xlpm.fla*100/_xlpm.z)),""))</f>
        <v/>
      </c>
      <c r="CK117" s="20" t="str">
        <f t="shared" si="31"/>
        <v/>
      </c>
      <c r="CL117" s="20" t="str">
        <f t="shared" si="32"/>
        <v/>
      </c>
      <c r="CM117" s="373"/>
      <c r="CO117" s="20" t="str">
        <f>IF(OR($A117="",LEFT($A117,2)&lt;&gt;"T-"),"",_xlfn.LET(_xlpm.ph,IFERROR(_xlfn.XLOOKUP($A117,Transformers!$A$6:$A$105,Transformers!$C$6:$C$105),""),_xlpm.rr,IFERROR(_xlfn.XLOOKUP($A117,Transformers!$A$6:$A$105,Transformers!$AG$6:$AG$105),""),_xlpm.xx,IFERROR(_xlfn.XLOOKUP($A117,Transformers!$A$6:$A$105,Transformers!$AI$6:$AI$105),""),IF(OR(_xlpm.ph&lt;&gt;1,NOT(ISNUMBER(_xlpm.rr)),NOT(ISNUMBER(_xlpm.xx))),"",SQRT((1.5*_xlpm.rr)^2+(1.2*_xlpm.xx)^2))))</f>
        <v/>
      </c>
      <c r="CP117" s="20" t="str">
        <f t="shared" si="33"/>
        <v/>
      </c>
    </row>
    <row r="118" spans="1:94" ht="15" customHeight="1" x14ac:dyDescent="0.45">
      <c r="A118" s="275" t="str" cm="1">
        <f t="array" ref="A118">IFERROR(IF(INDEX(_xlfn.ANCHORARRAY($BK$4),ROW()-5,1)="","",INDEX(_xlfn.ANCHORARRAY($BK$4),ROW()-5,1)),"")</f>
        <v/>
      </c>
      <c r="B118" s="25" t="str" cm="1">
        <f t="array" ref="B118">IFERROR(IF($A118="","",INDEX(_xlfn.ANCHORARRAY($BK$4),ROW()-5,5)),"")</f>
        <v/>
      </c>
      <c r="C118" s="178" t="str" cm="1">
        <f t="array" ref="C118">IFERROR(IF($A118="","",INDEX(_xlfn.ANCHORARRAY($BK$4),ROW()-5,7)),"")</f>
        <v/>
      </c>
      <c r="D118" s="177" t="str" cm="1">
        <f t="array" ref="D118">IFERROR(IF($A118="","",INDEX(_xlfn.ANCHORARRAY($BK$4),ROW()-5,3)),"")</f>
        <v/>
      </c>
      <c r="E118" s="25" t="str" cm="1">
        <f t="array" ref="E118">IFERROR(IF($A118="","",INDEX(_xlfn.ANCHORARRAY($BK$4),ROW()-5,2)),"")</f>
        <v/>
      </c>
      <c r="F118" s="177" t="str">
        <f t="shared" si="17"/>
        <v/>
      </c>
      <c r="G118" s="275" t="str">
        <f t="shared" si="18"/>
        <v/>
      </c>
      <c r="H118" s="180" t="str">
        <f t="shared" si="19"/>
        <v/>
      </c>
      <c r="I118" s="180" t="str">
        <f t="shared" si="20"/>
        <v/>
      </c>
      <c r="J118" s="177" t="str">
        <f>_xlfn.LET(_xlpm.v,_xlfn.LET(_xlpm.base,IF($A118="","",IF($C118=0,IFERROR(_xlfn.XLOOKUP($A118,Util_Tags,Util_SCAEff),""),IF(LEFT($A118,2)="T-",IF($CJ118="","",$CJ118/(1+IF($CL118="",0,$CL118))),IF(OR($F118="",$I118=""),"",$F118*$I118)))),_xlpm.gtag,IF(OR($A118="",NOT(OR($B118="ATS",$B118="MTS"))),"",IFERROR(_xlfn.XLOOKUP($A118,Dashboard!$A$101:$A$350,Dashboard!$L$101:$L$350,"")&amp;"","")),_xlpm.gkva,IF(_xlpm.gtag="",0,IFERROR(N(_xlfn.XLOOKUP(_xlpm.gtag,Generator!$B$53:$B$58,Generator!$S$53:$S$58,0)),0)),_xlpm.gxd,IF(_xlpm.gtag="",0,IFERROR(N(_xlfn.XLOOKUP(_xlpm.gtag,Generator!$B$53:$B$58,Generator!$U$53:$U$58,0)),0)),_xlpm.gamp,IF(OR(_xlpm.gkva=0,_xlpm.gxd=0,N($D118)=0),0,ROUND(_xlpm.gkva*1000/(IF(N($CB118)=1,1,SQRT(3))*$D118*_xlpm.gxd),0)),IF(OR(_xlpm.gamp=0,NOT(ISNUMBER(_xlpm.base))),_xlpm.base,MAX(_xlpm.base,_xlpm.gamp))),_xlpm.ulim,IF(OR($A118="",$B118&lt;&gt;"UPS"),"",IFERROR(IF(_xlfn.XLOOKUP($A118,UPS!$B$57:$B$64,UPS!$E$57:$E$64,"")="None",_xlfn.XLOOKUP($A118,UPS!$B$57:$B$64,UPS!$U$57:$U$64,""),""),"")),IF(AND(ISNUMBER(_xlpm.v),ISNUMBER(_xlpm.ulim)),MIN(_xlpm.v,_xlpm.ulim),_xlpm.v))</f>
        <v/>
      </c>
      <c r="K118" s="176"/>
      <c r="L118" s="177" t="str">
        <f t="shared" si="21"/>
        <v/>
      </c>
      <c r="M118" s="177" t="str">
        <f t="shared" si="22"/>
        <v/>
      </c>
      <c r="N118" s="380" t="str">
        <f>IF($A118="","",IF($C118=0,_xlfn.LET(_xlpm.x,IFERROR(_xlfn.XLOOKUP($A118,Util_Tags,Util_XR),""),IF(N(_xlpm.x)=0,Xfmr_DefXR,_xlpm.x)),IF(LEFT($A118,2)="T-",IFERROR(_xlfn.XLOOKUP($A118,Transformers!$A$6:$A$105,Transformers!$AH$6:$AH$105),Xfmr_DefXR),IFERROR(_xlfn.XLOOKUP($E118,$A$6:$A$255,$N$6:$N$255),Xfmr_DefXR))))</f>
        <v/>
      </c>
      <c r="O118" s="177" t="str">
        <f t="shared" si="23"/>
        <v/>
      </c>
      <c r="P118" s="210" t="str">
        <f>IF($A118="","",IF(LEFT($A118,2)="T-",IF($CO118="","",_xlfn.LET(_xlpm.k,IFERROR(_xlfn.XLOOKUP($A118,Transformers!$A$6:$A$105,Transformers!$G$6:$G$105),""),_xlpm.sv,IFERROR(_xlfn.XLOOKUP($A118,Transformers!$A$6:$A$105,Transformers!$E$6:$E$105),""),IF(OR(NOT(ISNUMBER(_xlpm.k)),NOT(ISNUMBER(_xlpm.sv)),_xlpm.sv=0),"",_xlfn.LET(_xlpm.iInf,(_xlpm.k*1000/(_xlpm.sv/2))*100/$CO118,_xlpm.pri,IF(OR($CK118="",$CK118=0),"",$CK118/2),_xlpm.base,IF(_xlpm.pri="",_xlpm.iInf,_xlpm.iInf/(1+_xlpm.iInf/_xlpm.pri)),_xlpm.base+IF($L118="",0,$L118))))),IF($CP118="","",_xlfn.LET(_xlpm.pI,IFERROR(_xlfn.XLOOKUP($E118,$A$6:$A$255,$P$6:$P$255),""),IF(NOT(ISNUMBER(_xlpm.pI)),"",_xlpm.pI/(1+$CP118)+IF($L118="",0,$L118))))))</f>
        <v/>
      </c>
      <c r="Q118" s="210" t="str">
        <f t="shared" si="24"/>
        <v/>
      </c>
      <c r="R118" s="177" t="str">
        <f>IF($A118="","",IF(OR($C118=0,LEFT($A118,2)="T-"),"",IFERROR(_xlfn.LET(_xlpm.v,_xlfn.XLOOKUP($A118,Dashboard!$A$101:$A$350,Dashboard!$K$101:$K$350),IF(ISNUMBER(_xlpm.v),_xlpm.v,"")),"")))</f>
        <v/>
      </c>
      <c r="S118" s="211" t="str">
        <f t="shared" si="25"/>
        <v/>
      </c>
      <c r="T118" s="25" t="str">
        <f t="shared" si="26"/>
        <v/>
      </c>
      <c r="U118" s="364"/>
      <c r="BV118" s="20" t="str">
        <f>IF($A118="","",IFERROR(_xlfn.XLOOKUP("F-"&amp;$A118,'Feeder Schedule'!$B$5:$B$254,'Feeder Schedule'!$H$5:$H$254),""))</f>
        <v/>
      </c>
      <c r="BW118" s="20" t="str">
        <f>IF($A118="","",IFERROR(_xlfn.XLOOKUP("F-"&amp;$A118,'Feeder Schedule'!$B$5:$B$254,'Feeder Schedule'!$BV$5:$BV$254),""))</f>
        <v/>
      </c>
      <c r="BX118" s="20" t="str">
        <f>IF($A118="","",IFERROR(_xlfn.LET(_xlpm.v,_xlfn.XLOOKUP("F-"&amp;$A118,'Feeder Schedule'!$B$5:$B$254,'Feeder Schedule'!$M$5:$M$254),IF(OR(_xlpm.v="",_xlpm.v=0),Cfg_Conduit,_xlpm.v)),""))</f>
        <v/>
      </c>
      <c r="BY118" s="20" t="str">
        <f>IF($A118="","",IFERROR(_xlfn.XLOOKUP("F-"&amp;$A118,'Feeder Schedule'!$B$5:$B$254,'Feeder Schedule'!$O$5:$O$254),""))</f>
        <v/>
      </c>
      <c r="BZ118" s="20" t="str">
        <f>IF($A118="","",IFERROR(_xlfn.XLOOKUP("F-"&amp;$A118,'Feeder Schedule'!$B$5:$B$254,'Feeder Schedule'!$CH$5:$CH$254),""))</f>
        <v/>
      </c>
      <c r="CA118" s="20" t="str">
        <f>IF($A118="","",IFERROR(_xlfn.XLOOKUP("F-"&amp;$A118,'Feeder Schedule'!$B$5:$B$254,'Feeder Schedule'!$F$5:$F$254),""))</f>
        <v/>
      </c>
      <c r="CB118" s="20" t="str">
        <f>IF($A118="","",IFERROR(_xlfn.XLOOKUP("F-"&amp;$A118,'Feeder Schedule'!$B$5:$B$254,'Feeder Schedule'!$G$5:$G$254),""))</f>
        <v/>
      </c>
      <c r="CD118" s="20" t="str" cm="1">
        <f t="array" ref="CD118">IFERROR(IF($A118="","",INDEX(_xlfn.ANCHORARRAY($BK$4),ROW()-5,6)),"")</f>
        <v/>
      </c>
      <c r="CE118" s="20" t="str">
        <f t="shared" si="29"/>
        <v/>
      </c>
      <c r="CF118" s="20" t="str">
        <f t="shared" si="30"/>
        <v/>
      </c>
      <c r="CG118" s="20" t="str">
        <f t="shared" si="27"/>
        <v/>
      </c>
      <c r="CH118" s="20" t="str" cm="1">
        <f t="array" ref="CH118">IF(OR($A118="",$BZ118="",$BW118="",$BX118=""),"",_xlfn.LET(_xlpm.mag,IFERROR(_xlfn.XLOOKUP($BX118,Race_Raceway,Race_Mag),""),IF(_xlpm.mag="","",IFERROR(INDEX(Cond_Table,MATCH($BZ118,Cond_Size,0),IF(UPPER($BW118)="AL",IF(_xlpm.mag="Y",10,12),IF(_xlpm.mag="Y",9,11))),""))))</f>
        <v/>
      </c>
      <c r="CI118" s="20" t="str">
        <f t="shared" si="28"/>
        <v/>
      </c>
      <c r="CJ118" s="20" t="str">
        <f>IF(OR($A118="",LEFT($A118,2)&lt;&gt;"T-"),"",IFERROR(_xlfn.LET(_xlpm.fla,_xlfn.XLOOKUP($A118,Transformers!$A$6:$A$105,Transformers!$AK$6:$AK$105),_xlpm.z,_xlfn.XLOOKUP($A118,Transformers!$A$6:$A$105,Transformers!$AX$6:$AX$105),IF(OR(_xlpm.fla="",_xlpm.z="",_xlpm.z=0),"",_xlpm.fla*100/_xlpm.z)),""))</f>
        <v/>
      </c>
      <c r="CK118" s="20" t="str">
        <f t="shared" si="31"/>
        <v/>
      </c>
      <c r="CL118" s="20" t="str">
        <f t="shared" si="32"/>
        <v/>
      </c>
      <c r="CM118" s="373"/>
      <c r="CO118" s="20" t="str">
        <f>IF(OR($A118="",LEFT($A118,2)&lt;&gt;"T-"),"",_xlfn.LET(_xlpm.ph,IFERROR(_xlfn.XLOOKUP($A118,Transformers!$A$6:$A$105,Transformers!$C$6:$C$105),""),_xlpm.rr,IFERROR(_xlfn.XLOOKUP($A118,Transformers!$A$6:$A$105,Transformers!$AG$6:$AG$105),""),_xlpm.xx,IFERROR(_xlfn.XLOOKUP($A118,Transformers!$A$6:$A$105,Transformers!$AI$6:$AI$105),""),IF(OR(_xlpm.ph&lt;&gt;1,NOT(ISNUMBER(_xlpm.rr)),NOT(ISNUMBER(_xlpm.xx))),"",SQRT((1.5*_xlpm.rr)^2+(1.2*_xlpm.xx)^2))))</f>
        <v/>
      </c>
      <c r="CP118" s="20" t="str">
        <f t="shared" si="33"/>
        <v/>
      </c>
    </row>
    <row r="119" spans="1:94" ht="15" customHeight="1" x14ac:dyDescent="0.45">
      <c r="A119" s="275" t="str" cm="1">
        <f t="array" ref="A119">IFERROR(IF(INDEX(_xlfn.ANCHORARRAY($BK$4),ROW()-5,1)="","",INDEX(_xlfn.ANCHORARRAY($BK$4),ROW()-5,1)),"")</f>
        <v/>
      </c>
      <c r="B119" s="25" t="str" cm="1">
        <f t="array" ref="B119">IFERROR(IF($A119="","",INDEX(_xlfn.ANCHORARRAY($BK$4),ROW()-5,5)),"")</f>
        <v/>
      </c>
      <c r="C119" s="178" t="str" cm="1">
        <f t="array" ref="C119">IFERROR(IF($A119="","",INDEX(_xlfn.ANCHORARRAY($BK$4),ROW()-5,7)),"")</f>
        <v/>
      </c>
      <c r="D119" s="177" t="str" cm="1">
        <f t="array" ref="D119">IFERROR(IF($A119="","",INDEX(_xlfn.ANCHORARRAY($BK$4),ROW()-5,3)),"")</f>
        <v/>
      </c>
      <c r="E119" s="25" t="str" cm="1">
        <f t="array" ref="E119">IFERROR(IF($A119="","",INDEX(_xlfn.ANCHORARRAY($BK$4),ROW()-5,2)),"")</f>
        <v/>
      </c>
      <c r="F119" s="177" t="str">
        <f t="shared" si="17"/>
        <v/>
      </c>
      <c r="G119" s="275" t="str">
        <f t="shared" si="18"/>
        <v/>
      </c>
      <c r="H119" s="180" t="str">
        <f t="shared" si="19"/>
        <v/>
      </c>
      <c r="I119" s="180" t="str">
        <f t="shared" si="20"/>
        <v/>
      </c>
      <c r="J119" s="177" t="str">
        <f>_xlfn.LET(_xlpm.v,_xlfn.LET(_xlpm.base,IF($A119="","",IF($C119=0,IFERROR(_xlfn.XLOOKUP($A119,Util_Tags,Util_SCAEff),""),IF(LEFT($A119,2)="T-",IF($CJ119="","",$CJ119/(1+IF($CL119="",0,$CL119))),IF(OR($F119="",$I119=""),"",$F119*$I119)))),_xlpm.gtag,IF(OR($A119="",NOT(OR($B119="ATS",$B119="MTS"))),"",IFERROR(_xlfn.XLOOKUP($A119,Dashboard!$A$101:$A$350,Dashboard!$L$101:$L$350,"")&amp;"","")),_xlpm.gkva,IF(_xlpm.gtag="",0,IFERROR(N(_xlfn.XLOOKUP(_xlpm.gtag,Generator!$B$53:$B$58,Generator!$S$53:$S$58,0)),0)),_xlpm.gxd,IF(_xlpm.gtag="",0,IFERROR(N(_xlfn.XLOOKUP(_xlpm.gtag,Generator!$B$53:$B$58,Generator!$U$53:$U$58,0)),0)),_xlpm.gamp,IF(OR(_xlpm.gkva=0,_xlpm.gxd=0,N($D119)=0),0,ROUND(_xlpm.gkva*1000/(IF(N($CB119)=1,1,SQRT(3))*$D119*_xlpm.gxd),0)),IF(OR(_xlpm.gamp=0,NOT(ISNUMBER(_xlpm.base))),_xlpm.base,MAX(_xlpm.base,_xlpm.gamp))),_xlpm.ulim,IF(OR($A119="",$B119&lt;&gt;"UPS"),"",IFERROR(IF(_xlfn.XLOOKUP($A119,UPS!$B$57:$B$64,UPS!$E$57:$E$64,"")="None",_xlfn.XLOOKUP($A119,UPS!$B$57:$B$64,UPS!$U$57:$U$64,""),""),"")),IF(AND(ISNUMBER(_xlpm.v),ISNUMBER(_xlpm.ulim)),MIN(_xlpm.v,_xlpm.ulim),_xlpm.v))</f>
        <v/>
      </c>
      <c r="K119" s="176"/>
      <c r="L119" s="177" t="str">
        <f t="shared" si="21"/>
        <v/>
      </c>
      <c r="M119" s="177" t="str">
        <f t="shared" si="22"/>
        <v/>
      </c>
      <c r="N119" s="380" t="str">
        <f>IF($A119="","",IF($C119=0,_xlfn.LET(_xlpm.x,IFERROR(_xlfn.XLOOKUP($A119,Util_Tags,Util_XR),""),IF(N(_xlpm.x)=0,Xfmr_DefXR,_xlpm.x)),IF(LEFT($A119,2)="T-",IFERROR(_xlfn.XLOOKUP($A119,Transformers!$A$6:$A$105,Transformers!$AH$6:$AH$105),Xfmr_DefXR),IFERROR(_xlfn.XLOOKUP($E119,$A$6:$A$255,$N$6:$N$255),Xfmr_DefXR))))</f>
        <v/>
      </c>
      <c r="O119" s="177" t="str">
        <f t="shared" si="23"/>
        <v/>
      </c>
      <c r="P119" s="210" t="str">
        <f>IF($A119="","",IF(LEFT($A119,2)="T-",IF($CO119="","",_xlfn.LET(_xlpm.k,IFERROR(_xlfn.XLOOKUP($A119,Transformers!$A$6:$A$105,Transformers!$G$6:$G$105),""),_xlpm.sv,IFERROR(_xlfn.XLOOKUP($A119,Transformers!$A$6:$A$105,Transformers!$E$6:$E$105),""),IF(OR(NOT(ISNUMBER(_xlpm.k)),NOT(ISNUMBER(_xlpm.sv)),_xlpm.sv=0),"",_xlfn.LET(_xlpm.iInf,(_xlpm.k*1000/(_xlpm.sv/2))*100/$CO119,_xlpm.pri,IF(OR($CK119="",$CK119=0),"",$CK119/2),_xlpm.base,IF(_xlpm.pri="",_xlpm.iInf,_xlpm.iInf/(1+_xlpm.iInf/_xlpm.pri)),_xlpm.base+IF($L119="",0,$L119))))),IF($CP119="","",_xlfn.LET(_xlpm.pI,IFERROR(_xlfn.XLOOKUP($E119,$A$6:$A$255,$P$6:$P$255),""),IF(NOT(ISNUMBER(_xlpm.pI)),"",_xlpm.pI/(1+$CP119)+IF($L119="",0,$L119))))))</f>
        <v/>
      </c>
      <c r="Q119" s="210" t="str">
        <f t="shared" si="24"/>
        <v/>
      </c>
      <c r="R119" s="177" t="str">
        <f>IF($A119="","",IF(OR($C119=0,LEFT($A119,2)="T-"),"",IFERROR(_xlfn.LET(_xlpm.v,_xlfn.XLOOKUP($A119,Dashboard!$A$101:$A$350,Dashboard!$K$101:$K$350),IF(ISNUMBER(_xlpm.v),_xlpm.v,"")),"")))</f>
        <v/>
      </c>
      <c r="S119" s="211" t="str">
        <f t="shared" si="25"/>
        <v/>
      </c>
      <c r="T119" s="25" t="str">
        <f t="shared" si="26"/>
        <v/>
      </c>
      <c r="U119" s="364"/>
      <c r="BV119" s="20" t="str">
        <f>IF($A119="","",IFERROR(_xlfn.XLOOKUP("F-"&amp;$A119,'Feeder Schedule'!$B$5:$B$254,'Feeder Schedule'!$H$5:$H$254),""))</f>
        <v/>
      </c>
      <c r="BW119" s="20" t="str">
        <f>IF($A119="","",IFERROR(_xlfn.XLOOKUP("F-"&amp;$A119,'Feeder Schedule'!$B$5:$B$254,'Feeder Schedule'!$BV$5:$BV$254),""))</f>
        <v/>
      </c>
      <c r="BX119" s="20" t="str">
        <f>IF($A119="","",IFERROR(_xlfn.LET(_xlpm.v,_xlfn.XLOOKUP("F-"&amp;$A119,'Feeder Schedule'!$B$5:$B$254,'Feeder Schedule'!$M$5:$M$254),IF(OR(_xlpm.v="",_xlpm.v=0),Cfg_Conduit,_xlpm.v)),""))</f>
        <v/>
      </c>
      <c r="BY119" s="20" t="str">
        <f>IF($A119="","",IFERROR(_xlfn.XLOOKUP("F-"&amp;$A119,'Feeder Schedule'!$B$5:$B$254,'Feeder Schedule'!$O$5:$O$254),""))</f>
        <v/>
      </c>
      <c r="BZ119" s="20" t="str">
        <f>IF($A119="","",IFERROR(_xlfn.XLOOKUP("F-"&amp;$A119,'Feeder Schedule'!$B$5:$B$254,'Feeder Schedule'!$CH$5:$CH$254),""))</f>
        <v/>
      </c>
      <c r="CA119" s="20" t="str">
        <f>IF($A119="","",IFERROR(_xlfn.XLOOKUP("F-"&amp;$A119,'Feeder Schedule'!$B$5:$B$254,'Feeder Schedule'!$F$5:$F$254),""))</f>
        <v/>
      </c>
      <c r="CB119" s="20" t="str">
        <f>IF($A119="","",IFERROR(_xlfn.XLOOKUP("F-"&amp;$A119,'Feeder Schedule'!$B$5:$B$254,'Feeder Schedule'!$G$5:$G$254),""))</f>
        <v/>
      </c>
      <c r="CD119" s="20" t="str" cm="1">
        <f t="array" ref="CD119">IFERROR(IF($A119="","",INDEX(_xlfn.ANCHORARRAY($BK$4),ROW()-5,6)),"")</f>
        <v/>
      </c>
      <c r="CE119" s="20" t="str">
        <f t="shared" si="29"/>
        <v/>
      </c>
      <c r="CF119" s="20" t="str">
        <f t="shared" si="30"/>
        <v/>
      </c>
      <c r="CG119" s="20" t="str">
        <f t="shared" si="27"/>
        <v/>
      </c>
      <c r="CH119" s="20" t="str" cm="1">
        <f t="array" ref="CH119">IF(OR($A119="",$BZ119="",$BW119="",$BX119=""),"",_xlfn.LET(_xlpm.mag,IFERROR(_xlfn.XLOOKUP($BX119,Race_Raceway,Race_Mag),""),IF(_xlpm.mag="","",IFERROR(INDEX(Cond_Table,MATCH($BZ119,Cond_Size,0),IF(UPPER($BW119)="AL",IF(_xlpm.mag="Y",10,12),IF(_xlpm.mag="Y",9,11))),""))))</f>
        <v/>
      </c>
      <c r="CI119" s="20" t="str">
        <f t="shared" si="28"/>
        <v/>
      </c>
      <c r="CJ119" s="20" t="str">
        <f>IF(OR($A119="",LEFT($A119,2)&lt;&gt;"T-"),"",IFERROR(_xlfn.LET(_xlpm.fla,_xlfn.XLOOKUP($A119,Transformers!$A$6:$A$105,Transformers!$AK$6:$AK$105),_xlpm.z,_xlfn.XLOOKUP($A119,Transformers!$A$6:$A$105,Transformers!$AX$6:$AX$105),IF(OR(_xlpm.fla="",_xlpm.z="",_xlpm.z=0),"",_xlpm.fla*100/_xlpm.z)),""))</f>
        <v/>
      </c>
      <c r="CK119" s="20" t="str">
        <f t="shared" si="31"/>
        <v/>
      </c>
      <c r="CL119" s="20" t="str">
        <f t="shared" si="32"/>
        <v/>
      </c>
      <c r="CM119" s="373"/>
      <c r="CO119" s="20" t="str">
        <f>IF(OR($A119="",LEFT($A119,2)&lt;&gt;"T-"),"",_xlfn.LET(_xlpm.ph,IFERROR(_xlfn.XLOOKUP($A119,Transformers!$A$6:$A$105,Transformers!$C$6:$C$105),""),_xlpm.rr,IFERROR(_xlfn.XLOOKUP($A119,Transformers!$A$6:$A$105,Transformers!$AG$6:$AG$105),""),_xlpm.xx,IFERROR(_xlfn.XLOOKUP($A119,Transformers!$A$6:$A$105,Transformers!$AI$6:$AI$105),""),IF(OR(_xlpm.ph&lt;&gt;1,NOT(ISNUMBER(_xlpm.rr)),NOT(ISNUMBER(_xlpm.xx))),"",SQRT((1.5*_xlpm.rr)^2+(1.2*_xlpm.xx)^2))))</f>
        <v/>
      </c>
      <c r="CP119" s="20" t="str">
        <f t="shared" si="33"/>
        <v/>
      </c>
    </row>
    <row r="120" spans="1:94" ht="15" customHeight="1" x14ac:dyDescent="0.45">
      <c r="A120" s="275" t="str" cm="1">
        <f t="array" ref="A120">IFERROR(IF(INDEX(_xlfn.ANCHORARRAY($BK$4),ROW()-5,1)="","",INDEX(_xlfn.ANCHORARRAY($BK$4),ROW()-5,1)),"")</f>
        <v/>
      </c>
      <c r="B120" s="25" t="str" cm="1">
        <f t="array" ref="B120">IFERROR(IF($A120="","",INDEX(_xlfn.ANCHORARRAY($BK$4),ROW()-5,5)),"")</f>
        <v/>
      </c>
      <c r="C120" s="178" t="str" cm="1">
        <f t="array" ref="C120">IFERROR(IF($A120="","",INDEX(_xlfn.ANCHORARRAY($BK$4),ROW()-5,7)),"")</f>
        <v/>
      </c>
      <c r="D120" s="177" t="str" cm="1">
        <f t="array" ref="D120">IFERROR(IF($A120="","",INDEX(_xlfn.ANCHORARRAY($BK$4),ROW()-5,3)),"")</f>
        <v/>
      </c>
      <c r="E120" s="25" t="str" cm="1">
        <f t="array" ref="E120">IFERROR(IF($A120="","",INDEX(_xlfn.ANCHORARRAY($BK$4),ROW()-5,2)),"")</f>
        <v/>
      </c>
      <c r="F120" s="177" t="str">
        <f t="shared" si="17"/>
        <v/>
      </c>
      <c r="G120" s="275" t="str">
        <f t="shared" si="18"/>
        <v/>
      </c>
      <c r="H120" s="180" t="str">
        <f t="shared" si="19"/>
        <v/>
      </c>
      <c r="I120" s="180" t="str">
        <f t="shared" si="20"/>
        <v/>
      </c>
      <c r="J120" s="177" t="str">
        <f>_xlfn.LET(_xlpm.v,_xlfn.LET(_xlpm.base,IF($A120="","",IF($C120=0,IFERROR(_xlfn.XLOOKUP($A120,Util_Tags,Util_SCAEff),""),IF(LEFT($A120,2)="T-",IF($CJ120="","",$CJ120/(1+IF($CL120="",0,$CL120))),IF(OR($F120="",$I120=""),"",$F120*$I120)))),_xlpm.gtag,IF(OR($A120="",NOT(OR($B120="ATS",$B120="MTS"))),"",IFERROR(_xlfn.XLOOKUP($A120,Dashboard!$A$101:$A$350,Dashboard!$L$101:$L$350,"")&amp;"","")),_xlpm.gkva,IF(_xlpm.gtag="",0,IFERROR(N(_xlfn.XLOOKUP(_xlpm.gtag,Generator!$B$53:$B$58,Generator!$S$53:$S$58,0)),0)),_xlpm.gxd,IF(_xlpm.gtag="",0,IFERROR(N(_xlfn.XLOOKUP(_xlpm.gtag,Generator!$B$53:$B$58,Generator!$U$53:$U$58,0)),0)),_xlpm.gamp,IF(OR(_xlpm.gkva=0,_xlpm.gxd=0,N($D120)=0),0,ROUND(_xlpm.gkva*1000/(IF(N($CB120)=1,1,SQRT(3))*$D120*_xlpm.gxd),0)),IF(OR(_xlpm.gamp=0,NOT(ISNUMBER(_xlpm.base))),_xlpm.base,MAX(_xlpm.base,_xlpm.gamp))),_xlpm.ulim,IF(OR($A120="",$B120&lt;&gt;"UPS"),"",IFERROR(IF(_xlfn.XLOOKUP($A120,UPS!$B$57:$B$64,UPS!$E$57:$E$64,"")="None",_xlfn.XLOOKUP($A120,UPS!$B$57:$B$64,UPS!$U$57:$U$64,""),""),"")),IF(AND(ISNUMBER(_xlpm.v),ISNUMBER(_xlpm.ulim)),MIN(_xlpm.v,_xlpm.ulim),_xlpm.v))</f>
        <v/>
      </c>
      <c r="K120" s="176"/>
      <c r="L120" s="177" t="str">
        <f t="shared" si="21"/>
        <v/>
      </c>
      <c r="M120" s="177" t="str">
        <f t="shared" si="22"/>
        <v/>
      </c>
      <c r="N120" s="380" t="str">
        <f>IF($A120="","",IF($C120=0,_xlfn.LET(_xlpm.x,IFERROR(_xlfn.XLOOKUP($A120,Util_Tags,Util_XR),""),IF(N(_xlpm.x)=0,Xfmr_DefXR,_xlpm.x)),IF(LEFT($A120,2)="T-",IFERROR(_xlfn.XLOOKUP($A120,Transformers!$A$6:$A$105,Transformers!$AH$6:$AH$105),Xfmr_DefXR),IFERROR(_xlfn.XLOOKUP($E120,$A$6:$A$255,$N$6:$N$255),Xfmr_DefXR))))</f>
        <v/>
      </c>
      <c r="O120" s="177" t="str">
        <f t="shared" si="23"/>
        <v/>
      </c>
      <c r="P120" s="210" t="str">
        <f>IF($A120="","",IF(LEFT($A120,2)="T-",IF($CO120="","",_xlfn.LET(_xlpm.k,IFERROR(_xlfn.XLOOKUP($A120,Transformers!$A$6:$A$105,Transformers!$G$6:$G$105),""),_xlpm.sv,IFERROR(_xlfn.XLOOKUP($A120,Transformers!$A$6:$A$105,Transformers!$E$6:$E$105),""),IF(OR(NOT(ISNUMBER(_xlpm.k)),NOT(ISNUMBER(_xlpm.sv)),_xlpm.sv=0),"",_xlfn.LET(_xlpm.iInf,(_xlpm.k*1000/(_xlpm.sv/2))*100/$CO120,_xlpm.pri,IF(OR($CK120="",$CK120=0),"",$CK120/2),_xlpm.base,IF(_xlpm.pri="",_xlpm.iInf,_xlpm.iInf/(1+_xlpm.iInf/_xlpm.pri)),_xlpm.base+IF($L120="",0,$L120))))),IF($CP120="","",_xlfn.LET(_xlpm.pI,IFERROR(_xlfn.XLOOKUP($E120,$A$6:$A$255,$P$6:$P$255),""),IF(NOT(ISNUMBER(_xlpm.pI)),"",_xlpm.pI/(1+$CP120)+IF($L120="",0,$L120))))))</f>
        <v/>
      </c>
      <c r="Q120" s="210" t="str">
        <f t="shared" si="24"/>
        <v/>
      </c>
      <c r="R120" s="177" t="str">
        <f>IF($A120="","",IF(OR($C120=0,LEFT($A120,2)="T-"),"",IFERROR(_xlfn.LET(_xlpm.v,_xlfn.XLOOKUP($A120,Dashboard!$A$101:$A$350,Dashboard!$K$101:$K$350),IF(ISNUMBER(_xlpm.v),_xlpm.v,"")),"")))</f>
        <v/>
      </c>
      <c r="S120" s="211" t="str">
        <f t="shared" si="25"/>
        <v/>
      </c>
      <c r="T120" s="25" t="str">
        <f t="shared" si="26"/>
        <v/>
      </c>
      <c r="U120" s="364"/>
      <c r="BV120" s="20" t="str">
        <f>IF($A120="","",IFERROR(_xlfn.XLOOKUP("F-"&amp;$A120,'Feeder Schedule'!$B$5:$B$254,'Feeder Schedule'!$H$5:$H$254),""))</f>
        <v/>
      </c>
      <c r="BW120" s="20" t="str">
        <f>IF($A120="","",IFERROR(_xlfn.XLOOKUP("F-"&amp;$A120,'Feeder Schedule'!$B$5:$B$254,'Feeder Schedule'!$BV$5:$BV$254),""))</f>
        <v/>
      </c>
      <c r="BX120" s="20" t="str">
        <f>IF($A120="","",IFERROR(_xlfn.LET(_xlpm.v,_xlfn.XLOOKUP("F-"&amp;$A120,'Feeder Schedule'!$B$5:$B$254,'Feeder Schedule'!$M$5:$M$254),IF(OR(_xlpm.v="",_xlpm.v=0),Cfg_Conduit,_xlpm.v)),""))</f>
        <v/>
      </c>
      <c r="BY120" s="20" t="str">
        <f>IF($A120="","",IFERROR(_xlfn.XLOOKUP("F-"&amp;$A120,'Feeder Schedule'!$B$5:$B$254,'Feeder Schedule'!$O$5:$O$254),""))</f>
        <v/>
      </c>
      <c r="BZ120" s="20" t="str">
        <f>IF($A120="","",IFERROR(_xlfn.XLOOKUP("F-"&amp;$A120,'Feeder Schedule'!$B$5:$B$254,'Feeder Schedule'!$CH$5:$CH$254),""))</f>
        <v/>
      </c>
      <c r="CA120" s="20" t="str">
        <f>IF($A120="","",IFERROR(_xlfn.XLOOKUP("F-"&amp;$A120,'Feeder Schedule'!$B$5:$B$254,'Feeder Schedule'!$F$5:$F$254),""))</f>
        <v/>
      </c>
      <c r="CB120" s="20" t="str">
        <f>IF($A120="","",IFERROR(_xlfn.XLOOKUP("F-"&amp;$A120,'Feeder Schedule'!$B$5:$B$254,'Feeder Schedule'!$G$5:$G$254),""))</f>
        <v/>
      </c>
      <c r="CD120" s="20" t="str" cm="1">
        <f t="array" ref="CD120">IFERROR(IF($A120="","",INDEX(_xlfn.ANCHORARRAY($BK$4),ROW()-5,6)),"")</f>
        <v/>
      </c>
      <c r="CE120" s="20" t="str">
        <f t="shared" si="29"/>
        <v/>
      </c>
      <c r="CF120" s="20" t="str">
        <f t="shared" si="30"/>
        <v/>
      </c>
      <c r="CG120" s="20" t="str">
        <f t="shared" si="27"/>
        <v/>
      </c>
      <c r="CH120" s="20" t="str" cm="1">
        <f t="array" ref="CH120">IF(OR($A120="",$BZ120="",$BW120="",$BX120=""),"",_xlfn.LET(_xlpm.mag,IFERROR(_xlfn.XLOOKUP($BX120,Race_Raceway,Race_Mag),""),IF(_xlpm.mag="","",IFERROR(INDEX(Cond_Table,MATCH($BZ120,Cond_Size,0),IF(UPPER($BW120)="AL",IF(_xlpm.mag="Y",10,12),IF(_xlpm.mag="Y",9,11))),""))))</f>
        <v/>
      </c>
      <c r="CI120" s="20" t="str">
        <f t="shared" si="28"/>
        <v/>
      </c>
      <c r="CJ120" s="20" t="str">
        <f>IF(OR($A120="",LEFT($A120,2)&lt;&gt;"T-"),"",IFERROR(_xlfn.LET(_xlpm.fla,_xlfn.XLOOKUP($A120,Transformers!$A$6:$A$105,Transformers!$AK$6:$AK$105),_xlpm.z,_xlfn.XLOOKUP($A120,Transformers!$A$6:$A$105,Transformers!$AX$6:$AX$105),IF(OR(_xlpm.fla="",_xlpm.z="",_xlpm.z=0),"",_xlpm.fla*100/_xlpm.z)),""))</f>
        <v/>
      </c>
      <c r="CK120" s="20" t="str">
        <f t="shared" si="31"/>
        <v/>
      </c>
      <c r="CL120" s="20" t="str">
        <f t="shared" si="32"/>
        <v/>
      </c>
      <c r="CM120" s="373"/>
      <c r="CO120" s="20" t="str">
        <f>IF(OR($A120="",LEFT($A120,2)&lt;&gt;"T-"),"",_xlfn.LET(_xlpm.ph,IFERROR(_xlfn.XLOOKUP($A120,Transformers!$A$6:$A$105,Transformers!$C$6:$C$105),""),_xlpm.rr,IFERROR(_xlfn.XLOOKUP($A120,Transformers!$A$6:$A$105,Transformers!$AG$6:$AG$105),""),_xlpm.xx,IFERROR(_xlfn.XLOOKUP($A120,Transformers!$A$6:$A$105,Transformers!$AI$6:$AI$105),""),IF(OR(_xlpm.ph&lt;&gt;1,NOT(ISNUMBER(_xlpm.rr)),NOT(ISNUMBER(_xlpm.xx))),"",SQRT((1.5*_xlpm.rr)^2+(1.2*_xlpm.xx)^2))))</f>
        <v/>
      </c>
      <c r="CP120" s="20" t="str">
        <f t="shared" si="33"/>
        <v/>
      </c>
    </row>
    <row r="121" spans="1:94" ht="15" customHeight="1" x14ac:dyDescent="0.45">
      <c r="A121" s="275" t="str" cm="1">
        <f t="array" ref="A121">IFERROR(IF(INDEX(_xlfn.ANCHORARRAY($BK$4),ROW()-5,1)="","",INDEX(_xlfn.ANCHORARRAY($BK$4),ROW()-5,1)),"")</f>
        <v/>
      </c>
      <c r="B121" s="25" t="str" cm="1">
        <f t="array" ref="B121">IFERROR(IF($A121="","",INDEX(_xlfn.ANCHORARRAY($BK$4),ROW()-5,5)),"")</f>
        <v/>
      </c>
      <c r="C121" s="178" t="str" cm="1">
        <f t="array" ref="C121">IFERROR(IF($A121="","",INDEX(_xlfn.ANCHORARRAY($BK$4),ROW()-5,7)),"")</f>
        <v/>
      </c>
      <c r="D121" s="177" t="str" cm="1">
        <f t="array" ref="D121">IFERROR(IF($A121="","",INDEX(_xlfn.ANCHORARRAY($BK$4),ROW()-5,3)),"")</f>
        <v/>
      </c>
      <c r="E121" s="25" t="str" cm="1">
        <f t="array" ref="E121">IFERROR(IF($A121="","",INDEX(_xlfn.ANCHORARRAY($BK$4),ROW()-5,2)),"")</f>
        <v/>
      </c>
      <c r="F121" s="177" t="str">
        <f t="shared" si="17"/>
        <v/>
      </c>
      <c r="G121" s="275" t="str">
        <f t="shared" si="18"/>
        <v/>
      </c>
      <c r="H121" s="180" t="str">
        <f t="shared" si="19"/>
        <v/>
      </c>
      <c r="I121" s="180" t="str">
        <f t="shared" si="20"/>
        <v/>
      </c>
      <c r="J121" s="177" t="str">
        <f>_xlfn.LET(_xlpm.v,_xlfn.LET(_xlpm.base,IF($A121="","",IF($C121=0,IFERROR(_xlfn.XLOOKUP($A121,Util_Tags,Util_SCAEff),""),IF(LEFT($A121,2)="T-",IF($CJ121="","",$CJ121/(1+IF($CL121="",0,$CL121))),IF(OR($F121="",$I121=""),"",$F121*$I121)))),_xlpm.gtag,IF(OR($A121="",NOT(OR($B121="ATS",$B121="MTS"))),"",IFERROR(_xlfn.XLOOKUP($A121,Dashboard!$A$101:$A$350,Dashboard!$L$101:$L$350,"")&amp;"","")),_xlpm.gkva,IF(_xlpm.gtag="",0,IFERROR(N(_xlfn.XLOOKUP(_xlpm.gtag,Generator!$B$53:$B$58,Generator!$S$53:$S$58,0)),0)),_xlpm.gxd,IF(_xlpm.gtag="",0,IFERROR(N(_xlfn.XLOOKUP(_xlpm.gtag,Generator!$B$53:$B$58,Generator!$U$53:$U$58,0)),0)),_xlpm.gamp,IF(OR(_xlpm.gkva=0,_xlpm.gxd=0,N($D121)=0),0,ROUND(_xlpm.gkva*1000/(IF(N($CB121)=1,1,SQRT(3))*$D121*_xlpm.gxd),0)),IF(OR(_xlpm.gamp=0,NOT(ISNUMBER(_xlpm.base))),_xlpm.base,MAX(_xlpm.base,_xlpm.gamp))),_xlpm.ulim,IF(OR($A121="",$B121&lt;&gt;"UPS"),"",IFERROR(IF(_xlfn.XLOOKUP($A121,UPS!$B$57:$B$64,UPS!$E$57:$E$64,"")="None",_xlfn.XLOOKUP($A121,UPS!$B$57:$B$64,UPS!$U$57:$U$64,""),""),"")),IF(AND(ISNUMBER(_xlpm.v),ISNUMBER(_xlpm.ulim)),MIN(_xlpm.v,_xlpm.ulim),_xlpm.v))</f>
        <v/>
      </c>
      <c r="K121" s="176"/>
      <c r="L121" s="177" t="str">
        <f t="shared" si="21"/>
        <v/>
      </c>
      <c r="M121" s="177" t="str">
        <f t="shared" si="22"/>
        <v/>
      </c>
      <c r="N121" s="380" t="str">
        <f>IF($A121="","",IF($C121=0,_xlfn.LET(_xlpm.x,IFERROR(_xlfn.XLOOKUP($A121,Util_Tags,Util_XR),""),IF(N(_xlpm.x)=0,Xfmr_DefXR,_xlpm.x)),IF(LEFT($A121,2)="T-",IFERROR(_xlfn.XLOOKUP($A121,Transformers!$A$6:$A$105,Transformers!$AH$6:$AH$105),Xfmr_DefXR),IFERROR(_xlfn.XLOOKUP($E121,$A$6:$A$255,$N$6:$N$255),Xfmr_DefXR))))</f>
        <v/>
      </c>
      <c r="O121" s="177" t="str">
        <f t="shared" si="23"/>
        <v/>
      </c>
      <c r="P121" s="210" t="str">
        <f>IF($A121="","",IF(LEFT($A121,2)="T-",IF($CO121="","",_xlfn.LET(_xlpm.k,IFERROR(_xlfn.XLOOKUP($A121,Transformers!$A$6:$A$105,Transformers!$G$6:$G$105),""),_xlpm.sv,IFERROR(_xlfn.XLOOKUP($A121,Transformers!$A$6:$A$105,Transformers!$E$6:$E$105),""),IF(OR(NOT(ISNUMBER(_xlpm.k)),NOT(ISNUMBER(_xlpm.sv)),_xlpm.sv=0),"",_xlfn.LET(_xlpm.iInf,(_xlpm.k*1000/(_xlpm.sv/2))*100/$CO121,_xlpm.pri,IF(OR($CK121="",$CK121=0),"",$CK121/2),_xlpm.base,IF(_xlpm.pri="",_xlpm.iInf,_xlpm.iInf/(1+_xlpm.iInf/_xlpm.pri)),_xlpm.base+IF($L121="",0,$L121))))),IF($CP121="","",_xlfn.LET(_xlpm.pI,IFERROR(_xlfn.XLOOKUP($E121,$A$6:$A$255,$P$6:$P$255),""),IF(NOT(ISNUMBER(_xlpm.pI)),"",_xlpm.pI/(1+$CP121)+IF($L121="",0,$L121))))))</f>
        <v/>
      </c>
      <c r="Q121" s="210" t="str">
        <f t="shared" si="24"/>
        <v/>
      </c>
      <c r="R121" s="177" t="str">
        <f>IF($A121="","",IF(OR($C121=0,LEFT($A121,2)="T-"),"",IFERROR(_xlfn.LET(_xlpm.v,_xlfn.XLOOKUP($A121,Dashboard!$A$101:$A$350,Dashboard!$K$101:$K$350),IF(ISNUMBER(_xlpm.v),_xlpm.v,"")),"")))</f>
        <v/>
      </c>
      <c r="S121" s="211" t="str">
        <f t="shared" si="25"/>
        <v/>
      </c>
      <c r="T121" s="25" t="str">
        <f t="shared" si="26"/>
        <v/>
      </c>
      <c r="U121" s="364"/>
      <c r="BV121" s="20" t="str">
        <f>IF($A121="","",IFERROR(_xlfn.XLOOKUP("F-"&amp;$A121,'Feeder Schedule'!$B$5:$B$254,'Feeder Schedule'!$H$5:$H$254),""))</f>
        <v/>
      </c>
      <c r="BW121" s="20" t="str">
        <f>IF($A121="","",IFERROR(_xlfn.XLOOKUP("F-"&amp;$A121,'Feeder Schedule'!$B$5:$B$254,'Feeder Schedule'!$BV$5:$BV$254),""))</f>
        <v/>
      </c>
      <c r="BX121" s="20" t="str">
        <f>IF($A121="","",IFERROR(_xlfn.LET(_xlpm.v,_xlfn.XLOOKUP("F-"&amp;$A121,'Feeder Schedule'!$B$5:$B$254,'Feeder Schedule'!$M$5:$M$254),IF(OR(_xlpm.v="",_xlpm.v=0),Cfg_Conduit,_xlpm.v)),""))</f>
        <v/>
      </c>
      <c r="BY121" s="20" t="str">
        <f>IF($A121="","",IFERROR(_xlfn.XLOOKUP("F-"&amp;$A121,'Feeder Schedule'!$B$5:$B$254,'Feeder Schedule'!$O$5:$O$254),""))</f>
        <v/>
      </c>
      <c r="BZ121" s="20" t="str">
        <f>IF($A121="","",IFERROR(_xlfn.XLOOKUP("F-"&amp;$A121,'Feeder Schedule'!$B$5:$B$254,'Feeder Schedule'!$CH$5:$CH$254),""))</f>
        <v/>
      </c>
      <c r="CA121" s="20" t="str">
        <f>IF($A121="","",IFERROR(_xlfn.XLOOKUP("F-"&amp;$A121,'Feeder Schedule'!$B$5:$B$254,'Feeder Schedule'!$F$5:$F$254),""))</f>
        <v/>
      </c>
      <c r="CB121" s="20" t="str">
        <f>IF($A121="","",IFERROR(_xlfn.XLOOKUP("F-"&amp;$A121,'Feeder Schedule'!$B$5:$B$254,'Feeder Schedule'!$G$5:$G$254),""))</f>
        <v/>
      </c>
      <c r="CD121" s="20" t="str" cm="1">
        <f t="array" ref="CD121">IFERROR(IF($A121="","",INDEX(_xlfn.ANCHORARRAY($BK$4),ROW()-5,6)),"")</f>
        <v/>
      </c>
      <c r="CE121" s="20" t="str">
        <f t="shared" si="29"/>
        <v/>
      </c>
      <c r="CF121" s="20" t="str">
        <f t="shared" si="30"/>
        <v/>
      </c>
      <c r="CG121" s="20" t="str">
        <f t="shared" si="27"/>
        <v/>
      </c>
      <c r="CH121" s="20" t="str" cm="1">
        <f t="array" ref="CH121">IF(OR($A121="",$BZ121="",$BW121="",$BX121=""),"",_xlfn.LET(_xlpm.mag,IFERROR(_xlfn.XLOOKUP($BX121,Race_Raceway,Race_Mag),""),IF(_xlpm.mag="","",IFERROR(INDEX(Cond_Table,MATCH($BZ121,Cond_Size,0),IF(UPPER($BW121)="AL",IF(_xlpm.mag="Y",10,12),IF(_xlpm.mag="Y",9,11))),""))))</f>
        <v/>
      </c>
      <c r="CI121" s="20" t="str">
        <f t="shared" si="28"/>
        <v/>
      </c>
      <c r="CJ121" s="20" t="str">
        <f>IF(OR($A121="",LEFT($A121,2)&lt;&gt;"T-"),"",IFERROR(_xlfn.LET(_xlpm.fla,_xlfn.XLOOKUP($A121,Transformers!$A$6:$A$105,Transformers!$AK$6:$AK$105),_xlpm.z,_xlfn.XLOOKUP($A121,Transformers!$A$6:$A$105,Transformers!$AX$6:$AX$105),IF(OR(_xlpm.fla="",_xlpm.z="",_xlpm.z=0),"",_xlpm.fla*100/_xlpm.z)),""))</f>
        <v/>
      </c>
      <c r="CK121" s="20" t="str">
        <f t="shared" si="31"/>
        <v/>
      </c>
      <c r="CL121" s="20" t="str">
        <f t="shared" si="32"/>
        <v/>
      </c>
      <c r="CM121" s="373"/>
      <c r="CO121" s="20" t="str">
        <f>IF(OR($A121="",LEFT($A121,2)&lt;&gt;"T-"),"",_xlfn.LET(_xlpm.ph,IFERROR(_xlfn.XLOOKUP($A121,Transformers!$A$6:$A$105,Transformers!$C$6:$C$105),""),_xlpm.rr,IFERROR(_xlfn.XLOOKUP($A121,Transformers!$A$6:$A$105,Transformers!$AG$6:$AG$105),""),_xlpm.xx,IFERROR(_xlfn.XLOOKUP($A121,Transformers!$A$6:$A$105,Transformers!$AI$6:$AI$105),""),IF(OR(_xlpm.ph&lt;&gt;1,NOT(ISNUMBER(_xlpm.rr)),NOT(ISNUMBER(_xlpm.xx))),"",SQRT((1.5*_xlpm.rr)^2+(1.2*_xlpm.xx)^2))))</f>
        <v/>
      </c>
      <c r="CP121" s="20" t="str">
        <f t="shared" si="33"/>
        <v/>
      </c>
    </row>
    <row r="122" spans="1:94" ht="15" customHeight="1" x14ac:dyDescent="0.45">
      <c r="A122" s="275" t="str" cm="1">
        <f t="array" ref="A122">IFERROR(IF(INDEX(_xlfn.ANCHORARRAY($BK$4),ROW()-5,1)="","",INDEX(_xlfn.ANCHORARRAY($BK$4),ROW()-5,1)),"")</f>
        <v/>
      </c>
      <c r="B122" s="25" t="str" cm="1">
        <f t="array" ref="B122">IFERROR(IF($A122="","",INDEX(_xlfn.ANCHORARRAY($BK$4),ROW()-5,5)),"")</f>
        <v/>
      </c>
      <c r="C122" s="178" t="str" cm="1">
        <f t="array" ref="C122">IFERROR(IF($A122="","",INDEX(_xlfn.ANCHORARRAY($BK$4),ROW()-5,7)),"")</f>
        <v/>
      </c>
      <c r="D122" s="177" t="str" cm="1">
        <f t="array" ref="D122">IFERROR(IF($A122="","",INDEX(_xlfn.ANCHORARRAY($BK$4),ROW()-5,3)),"")</f>
        <v/>
      </c>
      <c r="E122" s="25" t="str" cm="1">
        <f t="array" ref="E122">IFERROR(IF($A122="","",INDEX(_xlfn.ANCHORARRAY($BK$4),ROW()-5,2)),"")</f>
        <v/>
      </c>
      <c r="F122" s="177" t="str">
        <f t="shared" si="17"/>
        <v/>
      </c>
      <c r="G122" s="275" t="str">
        <f t="shared" si="18"/>
        <v/>
      </c>
      <c r="H122" s="180" t="str">
        <f t="shared" si="19"/>
        <v/>
      </c>
      <c r="I122" s="180" t="str">
        <f t="shared" si="20"/>
        <v/>
      </c>
      <c r="J122" s="177" t="str">
        <f>_xlfn.LET(_xlpm.v,_xlfn.LET(_xlpm.base,IF($A122="","",IF($C122=0,IFERROR(_xlfn.XLOOKUP($A122,Util_Tags,Util_SCAEff),""),IF(LEFT($A122,2)="T-",IF($CJ122="","",$CJ122/(1+IF($CL122="",0,$CL122))),IF(OR($F122="",$I122=""),"",$F122*$I122)))),_xlpm.gtag,IF(OR($A122="",NOT(OR($B122="ATS",$B122="MTS"))),"",IFERROR(_xlfn.XLOOKUP($A122,Dashboard!$A$101:$A$350,Dashboard!$L$101:$L$350,"")&amp;"","")),_xlpm.gkva,IF(_xlpm.gtag="",0,IFERROR(N(_xlfn.XLOOKUP(_xlpm.gtag,Generator!$B$53:$B$58,Generator!$S$53:$S$58,0)),0)),_xlpm.gxd,IF(_xlpm.gtag="",0,IFERROR(N(_xlfn.XLOOKUP(_xlpm.gtag,Generator!$B$53:$B$58,Generator!$U$53:$U$58,0)),0)),_xlpm.gamp,IF(OR(_xlpm.gkva=0,_xlpm.gxd=0,N($D122)=0),0,ROUND(_xlpm.gkva*1000/(IF(N($CB122)=1,1,SQRT(3))*$D122*_xlpm.gxd),0)),IF(OR(_xlpm.gamp=0,NOT(ISNUMBER(_xlpm.base))),_xlpm.base,MAX(_xlpm.base,_xlpm.gamp))),_xlpm.ulim,IF(OR($A122="",$B122&lt;&gt;"UPS"),"",IFERROR(IF(_xlfn.XLOOKUP($A122,UPS!$B$57:$B$64,UPS!$E$57:$E$64,"")="None",_xlfn.XLOOKUP($A122,UPS!$B$57:$B$64,UPS!$U$57:$U$64,""),""),"")),IF(AND(ISNUMBER(_xlpm.v),ISNUMBER(_xlpm.ulim)),MIN(_xlpm.v,_xlpm.ulim),_xlpm.v))</f>
        <v/>
      </c>
      <c r="K122" s="176"/>
      <c r="L122" s="177" t="str">
        <f t="shared" si="21"/>
        <v/>
      </c>
      <c r="M122" s="177" t="str">
        <f t="shared" si="22"/>
        <v/>
      </c>
      <c r="N122" s="380" t="str">
        <f>IF($A122="","",IF($C122=0,_xlfn.LET(_xlpm.x,IFERROR(_xlfn.XLOOKUP($A122,Util_Tags,Util_XR),""),IF(N(_xlpm.x)=0,Xfmr_DefXR,_xlpm.x)),IF(LEFT($A122,2)="T-",IFERROR(_xlfn.XLOOKUP($A122,Transformers!$A$6:$A$105,Transformers!$AH$6:$AH$105),Xfmr_DefXR),IFERROR(_xlfn.XLOOKUP($E122,$A$6:$A$255,$N$6:$N$255),Xfmr_DefXR))))</f>
        <v/>
      </c>
      <c r="O122" s="177" t="str">
        <f t="shared" si="23"/>
        <v/>
      </c>
      <c r="P122" s="210" t="str">
        <f>IF($A122="","",IF(LEFT($A122,2)="T-",IF($CO122="","",_xlfn.LET(_xlpm.k,IFERROR(_xlfn.XLOOKUP($A122,Transformers!$A$6:$A$105,Transformers!$G$6:$G$105),""),_xlpm.sv,IFERROR(_xlfn.XLOOKUP($A122,Transformers!$A$6:$A$105,Transformers!$E$6:$E$105),""),IF(OR(NOT(ISNUMBER(_xlpm.k)),NOT(ISNUMBER(_xlpm.sv)),_xlpm.sv=0),"",_xlfn.LET(_xlpm.iInf,(_xlpm.k*1000/(_xlpm.sv/2))*100/$CO122,_xlpm.pri,IF(OR($CK122="",$CK122=0),"",$CK122/2),_xlpm.base,IF(_xlpm.pri="",_xlpm.iInf,_xlpm.iInf/(1+_xlpm.iInf/_xlpm.pri)),_xlpm.base+IF($L122="",0,$L122))))),IF($CP122="","",_xlfn.LET(_xlpm.pI,IFERROR(_xlfn.XLOOKUP($E122,$A$6:$A$255,$P$6:$P$255),""),IF(NOT(ISNUMBER(_xlpm.pI)),"",_xlpm.pI/(1+$CP122)+IF($L122="",0,$L122))))))</f>
        <v/>
      </c>
      <c r="Q122" s="210" t="str">
        <f t="shared" si="24"/>
        <v/>
      </c>
      <c r="R122" s="177" t="str">
        <f>IF($A122="","",IF(OR($C122=0,LEFT($A122,2)="T-"),"",IFERROR(_xlfn.LET(_xlpm.v,_xlfn.XLOOKUP($A122,Dashboard!$A$101:$A$350,Dashboard!$K$101:$K$350),IF(ISNUMBER(_xlpm.v),_xlpm.v,"")),"")))</f>
        <v/>
      </c>
      <c r="S122" s="211" t="str">
        <f t="shared" si="25"/>
        <v/>
      </c>
      <c r="T122" s="25" t="str">
        <f t="shared" si="26"/>
        <v/>
      </c>
      <c r="U122" s="364"/>
      <c r="BV122" s="20" t="str">
        <f>IF($A122="","",IFERROR(_xlfn.XLOOKUP("F-"&amp;$A122,'Feeder Schedule'!$B$5:$B$254,'Feeder Schedule'!$H$5:$H$254),""))</f>
        <v/>
      </c>
      <c r="BW122" s="20" t="str">
        <f>IF($A122="","",IFERROR(_xlfn.XLOOKUP("F-"&amp;$A122,'Feeder Schedule'!$B$5:$B$254,'Feeder Schedule'!$BV$5:$BV$254),""))</f>
        <v/>
      </c>
      <c r="BX122" s="20" t="str">
        <f>IF($A122="","",IFERROR(_xlfn.LET(_xlpm.v,_xlfn.XLOOKUP("F-"&amp;$A122,'Feeder Schedule'!$B$5:$B$254,'Feeder Schedule'!$M$5:$M$254),IF(OR(_xlpm.v="",_xlpm.v=0),Cfg_Conduit,_xlpm.v)),""))</f>
        <v/>
      </c>
      <c r="BY122" s="20" t="str">
        <f>IF($A122="","",IFERROR(_xlfn.XLOOKUP("F-"&amp;$A122,'Feeder Schedule'!$B$5:$B$254,'Feeder Schedule'!$O$5:$O$254),""))</f>
        <v/>
      </c>
      <c r="BZ122" s="20" t="str">
        <f>IF($A122="","",IFERROR(_xlfn.XLOOKUP("F-"&amp;$A122,'Feeder Schedule'!$B$5:$B$254,'Feeder Schedule'!$CH$5:$CH$254),""))</f>
        <v/>
      </c>
      <c r="CA122" s="20" t="str">
        <f>IF($A122="","",IFERROR(_xlfn.XLOOKUP("F-"&amp;$A122,'Feeder Schedule'!$B$5:$B$254,'Feeder Schedule'!$F$5:$F$254),""))</f>
        <v/>
      </c>
      <c r="CB122" s="20" t="str">
        <f>IF($A122="","",IFERROR(_xlfn.XLOOKUP("F-"&amp;$A122,'Feeder Schedule'!$B$5:$B$254,'Feeder Schedule'!$G$5:$G$254),""))</f>
        <v/>
      </c>
      <c r="CD122" s="20" t="str" cm="1">
        <f t="array" ref="CD122">IFERROR(IF($A122="","",INDEX(_xlfn.ANCHORARRAY($BK$4),ROW()-5,6)),"")</f>
        <v/>
      </c>
      <c r="CE122" s="20" t="str">
        <f t="shared" si="29"/>
        <v/>
      </c>
      <c r="CF122" s="20" t="str">
        <f t="shared" si="30"/>
        <v/>
      </c>
      <c r="CG122" s="20" t="str">
        <f t="shared" si="27"/>
        <v/>
      </c>
      <c r="CH122" s="20" t="str" cm="1">
        <f t="array" ref="CH122">IF(OR($A122="",$BZ122="",$BW122="",$BX122=""),"",_xlfn.LET(_xlpm.mag,IFERROR(_xlfn.XLOOKUP($BX122,Race_Raceway,Race_Mag),""),IF(_xlpm.mag="","",IFERROR(INDEX(Cond_Table,MATCH($BZ122,Cond_Size,0),IF(UPPER($BW122)="AL",IF(_xlpm.mag="Y",10,12),IF(_xlpm.mag="Y",9,11))),""))))</f>
        <v/>
      </c>
      <c r="CI122" s="20" t="str">
        <f t="shared" si="28"/>
        <v/>
      </c>
      <c r="CJ122" s="20" t="str">
        <f>IF(OR($A122="",LEFT($A122,2)&lt;&gt;"T-"),"",IFERROR(_xlfn.LET(_xlpm.fla,_xlfn.XLOOKUP($A122,Transformers!$A$6:$A$105,Transformers!$AK$6:$AK$105),_xlpm.z,_xlfn.XLOOKUP($A122,Transformers!$A$6:$A$105,Transformers!$AX$6:$AX$105),IF(OR(_xlpm.fla="",_xlpm.z="",_xlpm.z=0),"",_xlpm.fla*100/_xlpm.z)),""))</f>
        <v/>
      </c>
      <c r="CK122" s="20" t="str">
        <f t="shared" si="31"/>
        <v/>
      </c>
      <c r="CL122" s="20" t="str">
        <f t="shared" si="32"/>
        <v/>
      </c>
      <c r="CM122" s="373"/>
      <c r="CO122" s="20" t="str">
        <f>IF(OR($A122="",LEFT($A122,2)&lt;&gt;"T-"),"",_xlfn.LET(_xlpm.ph,IFERROR(_xlfn.XLOOKUP($A122,Transformers!$A$6:$A$105,Transformers!$C$6:$C$105),""),_xlpm.rr,IFERROR(_xlfn.XLOOKUP($A122,Transformers!$A$6:$A$105,Transformers!$AG$6:$AG$105),""),_xlpm.xx,IFERROR(_xlfn.XLOOKUP($A122,Transformers!$A$6:$A$105,Transformers!$AI$6:$AI$105),""),IF(OR(_xlpm.ph&lt;&gt;1,NOT(ISNUMBER(_xlpm.rr)),NOT(ISNUMBER(_xlpm.xx))),"",SQRT((1.5*_xlpm.rr)^2+(1.2*_xlpm.xx)^2))))</f>
        <v/>
      </c>
      <c r="CP122" s="20" t="str">
        <f t="shared" si="33"/>
        <v/>
      </c>
    </row>
    <row r="123" spans="1:94" ht="15" customHeight="1" x14ac:dyDescent="0.45">
      <c r="A123" s="275" t="str" cm="1">
        <f t="array" ref="A123">IFERROR(IF(INDEX(_xlfn.ANCHORARRAY($BK$4),ROW()-5,1)="","",INDEX(_xlfn.ANCHORARRAY($BK$4),ROW()-5,1)),"")</f>
        <v/>
      </c>
      <c r="B123" s="25" t="str" cm="1">
        <f t="array" ref="B123">IFERROR(IF($A123="","",INDEX(_xlfn.ANCHORARRAY($BK$4),ROW()-5,5)),"")</f>
        <v/>
      </c>
      <c r="C123" s="178" t="str" cm="1">
        <f t="array" ref="C123">IFERROR(IF($A123="","",INDEX(_xlfn.ANCHORARRAY($BK$4),ROW()-5,7)),"")</f>
        <v/>
      </c>
      <c r="D123" s="177" t="str" cm="1">
        <f t="array" ref="D123">IFERROR(IF($A123="","",INDEX(_xlfn.ANCHORARRAY($BK$4),ROW()-5,3)),"")</f>
        <v/>
      </c>
      <c r="E123" s="25" t="str" cm="1">
        <f t="array" ref="E123">IFERROR(IF($A123="","",INDEX(_xlfn.ANCHORARRAY($BK$4),ROW()-5,2)),"")</f>
        <v/>
      </c>
      <c r="F123" s="177" t="str">
        <f t="shared" si="17"/>
        <v/>
      </c>
      <c r="G123" s="275" t="str">
        <f t="shared" si="18"/>
        <v/>
      </c>
      <c r="H123" s="180" t="str">
        <f t="shared" si="19"/>
        <v/>
      </c>
      <c r="I123" s="180" t="str">
        <f t="shared" si="20"/>
        <v/>
      </c>
      <c r="J123" s="177" t="str">
        <f>_xlfn.LET(_xlpm.v,_xlfn.LET(_xlpm.base,IF($A123="","",IF($C123=0,IFERROR(_xlfn.XLOOKUP($A123,Util_Tags,Util_SCAEff),""),IF(LEFT($A123,2)="T-",IF($CJ123="","",$CJ123/(1+IF($CL123="",0,$CL123))),IF(OR($F123="",$I123=""),"",$F123*$I123)))),_xlpm.gtag,IF(OR($A123="",NOT(OR($B123="ATS",$B123="MTS"))),"",IFERROR(_xlfn.XLOOKUP($A123,Dashboard!$A$101:$A$350,Dashboard!$L$101:$L$350,"")&amp;"","")),_xlpm.gkva,IF(_xlpm.gtag="",0,IFERROR(N(_xlfn.XLOOKUP(_xlpm.gtag,Generator!$B$53:$B$58,Generator!$S$53:$S$58,0)),0)),_xlpm.gxd,IF(_xlpm.gtag="",0,IFERROR(N(_xlfn.XLOOKUP(_xlpm.gtag,Generator!$B$53:$B$58,Generator!$U$53:$U$58,0)),0)),_xlpm.gamp,IF(OR(_xlpm.gkva=0,_xlpm.gxd=0,N($D123)=0),0,ROUND(_xlpm.gkva*1000/(IF(N($CB123)=1,1,SQRT(3))*$D123*_xlpm.gxd),0)),IF(OR(_xlpm.gamp=0,NOT(ISNUMBER(_xlpm.base))),_xlpm.base,MAX(_xlpm.base,_xlpm.gamp))),_xlpm.ulim,IF(OR($A123="",$B123&lt;&gt;"UPS"),"",IFERROR(IF(_xlfn.XLOOKUP($A123,UPS!$B$57:$B$64,UPS!$E$57:$E$64,"")="None",_xlfn.XLOOKUP($A123,UPS!$B$57:$B$64,UPS!$U$57:$U$64,""),""),"")),IF(AND(ISNUMBER(_xlpm.v),ISNUMBER(_xlpm.ulim)),MIN(_xlpm.v,_xlpm.ulim),_xlpm.v))</f>
        <v/>
      </c>
      <c r="K123" s="176"/>
      <c r="L123" s="177" t="str">
        <f t="shared" si="21"/>
        <v/>
      </c>
      <c r="M123" s="177" t="str">
        <f t="shared" si="22"/>
        <v/>
      </c>
      <c r="N123" s="380" t="str">
        <f>IF($A123="","",IF($C123=0,_xlfn.LET(_xlpm.x,IFERROR(_xlfn.XLOOKUP($A123,Util_Tags,Util_XR),""),IF(N(_xlpm.x)=0,Xfmr_DefXR,_xlpm.x)),IF(LEFT($A123,2)="T-",IFERROR(_xlfn.XLOOKUP($A123,Transformers!$A$6:$A$105,Transformers!$AH$6:$AH$105),Xfmr_DefXR),IFERROR(_xlfn.XLOOKUP($E123,$A$6:$A$255,$N$6:$N$255),Xfmr_DefXR))))</f>
        <v/>
      </c>
      <c r="O123" s="177" t="str">
        <f t="shared" si="23"/>
        <v/>
      </c>
      <c r="P123" s="210" t="str">
        <f>IF($A123="","",IF(LEFT($A123,2)="T-",IF($CO123="","",_xlfn.LET(_xlpm.k,IFERROR(_xlfn.XLOOKUP($A123,Transformers!$A$6:$A$105,Transformers!$G$6:$G$105),""),_xlpm.sv,IFERROR(_xlfn.XLOOKUP($A123,Transformers!$A$6:$A$105,Transformers!$E$6:$E$105),""),IF(OR(NOT(ISNUMBER(_xlpm.k)),NOT(ISNUMBER(_xlpm.sv)),_xlpm.sv=0),"",_xlfn.LET(_xlpm.iInf,(_xlpm.k*1000/(_xlpm.sv/2))*100/$CO123,_xlpm.pri,IF(OR($CK123="",$CK123=0),"",$CK123/2),_xlpm.base,IF(_xlpm.pri="",_xlpm.iInf,_xlpm.iInf/(1+_xlpm.iInf/_xlpm.pri)),_xlpm.base+IF($L123="",0,$L123))))),IF($CP123="","",_xlfn.LET(_xlpm.pI,IFERROR(_xlfn.XLOOKUP($E123,$A$6:$A$255,$P$6:$P$255),""),IF(NOT(ISNUMBER(_xlpm.pI)),"",_xlpm.pI/(1+$CP123)+IF($L123="",0,$L123))))))</f>
        <v/>
      </c>
      <c r="Q123" s="210" t="str">
        <f t="shared" si="24"/>
        <v/>
      </c>
      <c r="R123" s="177" t="str">
        <f>IF($A123="","",IF(OR($C123=0,LEFT($A123,2)="T-"),"",IFERROR(_xlfn.LET(_xlpm.v,_xlfn.XLOOKUP($A123,Dashboard!$A$101:$A$350,Dashboard!$K$101:$K$350),IF(ISNUMBER(_xlpm.v),_xlpm.v,"")),"")))</f>
        <v/>
      </c>
      <c r="S123" s="211" t="str">
        <f t="shared" si="25"/>
        <v/>
      </c>
      <c r="T123" s="25" t="str">
        <f t="shared" si="26"/>
        <v/>
      </c>
      <c r="U123" s="364"/>
      <c r="BV123" s="20" t="str">
        <f>IF($A123="","",IFERROR(_xlfn.XLOOKUP("F-"&amp;$A123,'Feeder Schedule'!$B$5:$B$254,'Feeder Schedule'!$H$5:$H$254),""))</f>
        <v/>
      </c>
      <c r="BW123" s="20" t="str">
        <f>IF($A123="","",IFERROR(_xlfn.XLOOKUP("F-"&amp;$A123,'Feeder Schedule'!$B$5:$B$254,'Feeder Schedule'!$BV$5:$BV$254),""))</f>
        <v/>
      </c>
      <c r="BX123" s="20" t="str">
        <f>IF($A123="","",IFERROR(_xlfn.LET(_xlpm.v,_xlfn.XLOOKUP("F-"&amp;$A123,'Feeder Schedule'!$B$5:$B$254,'Feeder Schedule'!$M$5:$M$254),IF(OR(_xlpm.v="",_xlpm.v=0),Cfg_Conduit,_xlpm.v)),""))</f>
        <v/>
      </c>
      <c r="BY123" s="20" t="str">
        <f>IF($A123="","",IFERROR(_xlfn.XLOOKUP("F-"&amp;$A123,'Feeder Schedule'!$B$5:$B$254,'Feeder Schedule'!$O$5:$O$254),""))</f>
        <v/>
      </c>
      <c r="BZ123" s="20" t="str">
        <f>IF($A123="","",IFERROR(_xlfn.XLOOKUP("F-"&amp;$A123,'Feeder Schedule'!$B$5:$B$254,'Feeder Schedule'!$CH$5:$CH$254),""))</f>
        <v/>
      </c>
      <c r="CA123" s="20" t="str">
        <f>IF($A123="","",IFERROR(_xlfn.XLOOKUP("F-"&amp;$A123,'Feeder Schedule'!$B$5:$B$254,'Feeder Schedule'!$F$5:$F$254),""))</f>
        <v/>
      </c>
      <c r="CB123" s="20" t="str">
        <f>IF($A123="","",IFERROR(_xlfn.XLOOKUP("F-"&amp;$A123,'Feeder Schedule'!$B$5:$B$254,'Feeder Schedule'!$G$5:$G$254),""))</f>
        <v/>
      </c>
      <c r="CD123" s="20" t="str" cm="1">
        <f t="array" ref="CD123">IFERROR(IF($A123="","",INDEX(_xlfn.ANCHORARRAY($BK$4),ROW()-5,6)),"")</f>
        <v/>
      </c>
      <c r="CE123" s="20" t="str">
        <f t="shared" si="29"/>
        <v/>
      </c>
      <c r="CF123" s="20" t="str">
        <f t="shared" si="30"/>
        <v/>
      </c>
      <c r="CG123" s="20" t="str">
        <f t="shared" si="27"/>
        <v/>
      </c>
      <c r="CH123" s="20" t="str" cm="1">
        <f t="array" ref="CH123">IF(OR($A123="",$BZ123="",$BW123="",$BX123=""),"",_xlfn.LET(_xlpm.mag,IFERROR(_xlfn.XLOOKUP($BX123,Race_Raceway,Race_Mag),""),IF(_xlpm.mag="","",IFERROR(INDEX(Cond_Table,MATCH($BZ123,Cond_Size,0),IF(UPPER($BW123)="AL",IF(_xlpm.mag="Y",10,12),IF(_xlpm.mag="Y",9,11))),""))))</f>
        <v/>
      </c>
      <c r="CI123" s="20" t="str">
        <f t="shared" si="28"/>
        <v/>
      </c>
      <c r="CJ123" s="20" t="str">
        <f>IF(OR($A123="",LEFT($A123,2)&lt;&gt;"T-"),"",IFERROR(_xlfn.LET(_xlpm.fla,_xlfn.XLOOKUP($A123,Transformers!$A$6:$A$105,Transformers!$AK$6:$AK$105),_xlpm.z,_xlfn.XLOOKUP($A123,Transformers!$A$6:$A$105,Transformers!$AX$6:$AX$105),IF(OR(_xlpm.fla="",_xlpm.z="",_xlpm.z=0),"",_xlpm.fla*100/_xlpm.z)),""))</f>
        <v/>
      </c>
      <c r="CK123" s="20" t="str">
        <f t="shared" si="31"/>
        <v/>
      </c>
      <c r="CL123" s="20" t="str">
        <f t="shared" si="32"/>
        <v/>
      </c>
      <c r="CM123" s="373"/>
      <c r="CO123" s="20" t="str">
        <f>IF(OR($A123="",LEFT($A123,2)&lt;&gt;"T-"),"",_xlfn.LET(_xlpm.ph,IFERROR(_xlfn.XLOOKUP($A123,Transformers!$A$6:$A$105,Transformers!$C$6:$C$105),""),_xlpm.rr,IFERROR(_xlfn.XLOOKUP($A123,Transformers!$A$6:$A$105,Transformers!$AG$6:$AG$105),""),_xlpm.xx,IFERROR(_xlfn.XLOOKUP($A123,Transformers!$A$6:$A$105,Transformers!$AI$6:$AI$105),""),IF(OR(_xlpm.ph&lt;&gt;1,NOT(ISNUMBER(_xlpm.rr)),NOT(ISNUMBER(_xlpm.xx))),"",SQRT((1.5*_xlpm.rr)^2+(1.2*_xlpm.xx)^2))))</f>
        <v/>
      </c>
      <c r="CP123" s="20" t="str">
        <f t="shared" si="33"/>
        <v/>
      </c>
    </row>
    <row r="124" spans="1:94" ht="15" customHeight="1" x14ac:dyDescent="0.45">
      <c r="A124" s="275" t="str" cm="1">
        <f t="array" ref="A124">IFERROR(IF(INDEX(_xlfn.ANCHORARRAY($BK$4),ROW()-5,1)="","",INDEX(_xlfn.ANCHORARRAY($BK$4),ROW()-5,1)),"")</f>
        <v/>
      </c>
      <c r="B124" s="25" t="str" cm="1">
        <f t="array" ref="B124">IFERROR(IF($A124="","",INDEX(_xlfn.ANCHORARRAY($BK$4),ROW()-5,5)),"")</f>
        <v/>
      </c>
      <c r="C124" s="178" t="str" cm="1">
        <f t="array" ref="C124">IFERROR(IF($A124="","",INDEX(_xlfn.ANCHORARRAY($BK$4),ROW()-5,7)),"")</f>
        <v/>
      </c>
      <c r="D124" s="177" t="str" cm="1">
        <f t="array" ref="D124">IFERROR(IF($A124="","",INDEX(_xlfn.ANCHORARRAY($BK$4),ROW()-5,3)),"")</f>
        <v/>
      </c>
      <c r="E124" s="25" t="str" cm="1">
        <f t="array" ref="E124">IFERROR(IF($A124="","",INDEX(_xlfn.ANCHORARRAY($BK$4),ROW()-5,2)),"")</f>
        <v/>
      </c>
      <c r="F124" s="177" t="str">
        <f t="shared" si="17"/>
        <v/>
      </c>
      <c r="G124" s="275" t="str">
        <f t="shared" si="18"/>
        <v/>
      </c>
      <c r="H124" s="180" t="str">
        <f t="shared" si="19"/>
        <v/>
      </c>
      <c r="I124" s="180" t="str">
        <f t="shared" si="20"/>
        <v/>
      </c>
      <c r="J124" s="177" t="str">
        <f>_xlfn.LET(_xlpm.v,_xlfn.LET(_xlpm.base,IF($A124="","",IF($C124=0,IFERROR(_xlfn.XLOOKUP($A124,Util_Tags,Util_SCAEff),""),IF(LEFT($A124,2)="T-",IF($CJ124="","",$CJ124/(1+IF($CL124="",0,$CL124))),IF(OR($F124="",$I124=""),"",$F124*$I124)))),_xlpm.gtag,IF(OR($A124="",NOT(OR($B124="ATS",$B124="MTS"))),"",IFERROR(_xlfn.XLOOKUP($A124,Dashboard!$A$101:$A$350,Dashboard!$L$101:$L$350,"")&amp;"","")),_xlpm.gkva,IF(_xlpm.gtag="",0,IFERROR(N(_xlfn.XLOOKUP(_xlpm.gtag,Generator!$B$53:$B$58,Generator!$S$53:$S$58,0)),0)),_xlpm.gxd,IF(_xlpm.gtag="",0,IFERROR(N(_xlfn.XLOOKUP(_xlpm.gtag,Generator!$B$53:$B$58,Generator!$U$53:$U$58,0)),0)),_xlpm.gamp,IF(OR(_xlpm.gkva=0,_xlpm.gxd=0,N($D124)=0),0,ROUND(_xlpm.gkva*1000/(IF(N($CB124)=1,1,SQRT(3))*$D124*_xlpm.gxd),0)),IF(OR(_xlpm.gamp=0,NOT(ISNUMBER(_xlpm.base))),_xlpm.base,MAX(_xlpm.base,_xlpm.gamp))),_xlpm.ulim,IF(OR($A124="",$B124&lt;&gt;"UPS"),"",IFERROR(IF(_xlfn.XLOOKUP($A124,UPS!$B$57:$B$64,UPS!$E$57:$E$64,"")="None",_xlfn.XLOOKUP($A124,UPS!$B$57:$B$64,UPS!$U$57:$U$64,""),""),"")),IF(AND(ISNUMBER(_xlpm.v),ISNUMBER(_xlpm.ulim)),MIN(_xlpm.v,_xlpm.ulim),_xlpm.v))</f>
        <v/>
      </c>
      <c r="K124" s="176"/>
      <c r="L124" s="177" t="str">
        <f t="shared" si="21"/>
        <v/>
      </c>
      <c r="M124" s="177" t="str">
        <f t="shared" si="22"/>
        <v/>
      </c>
      <c r="N124" s="380" t="str">
        <f>IF($A124="","",IF($C124=0,_xlfn.LET(_xlpm.x,IFERROR(_xlfn.XLOOKUP($A124,Util_Tags,Util_XR),""),IF(N(_xlpm.x)=0,Xfmr_DefXR,_xlpm.x)),IF(LEFT($A124,2)="T-",IFERROR(_xlfn.XLOOKUP($A124,Transformers!$A$6:$A$105,Transformers!$AH$6:$AH$105),Xfmr_DefXR),IFERROR(_xlfn.XLOOKUP($E124,$A$6:$A$255,$N$6:$N$255),Xfmr_DefXR))))</f>
        <v/>
      </c>
      <c r="O124" s="177" t="str">
        <f t="shared" si="23"/>
        <v/>
      </c>
      <c r="P124" s="210" t="str">
        <f>IF($A124="","",IF(LEFT($A124,2)="T-",IF($CO124="","",_xlfn.LET(_xlpm.k,IFERROR(_xlfn.XLOOKUP($A124,Transformers!$A$6:$A$105,Transformers!$G$6:$G$105),""),_xlpm.sv,IFERROR(_xlfn.XLOOKUP($A124,Transformers!$A$6:$A$105,Transformers!$E$6:$E$105),""),IF(OR(NOT(ISNUMBER(_xlpm.k)),NOT(ISNUMBER(_xlpm.sv)),_xlpm.sv=0),"",_xlfn.LET(_xlpm.iInf,(_xlpm.k*1000/(_xlpm.sv/2))*100/$CO124,_xlpm.pri,IF(OR($CK124="",$CK124=0),"",$CK124/2),_xlpm.base,IF(_xlpm.pri="",_xlpm.iInf,_xlpm.iInf/(1+_xlpm.iInf/_xlpm.pri)),_xlpm.base+IF($L124="",0,$L124))))),IF($CP124="","",_xlfn.LET(_xlpm.pI,IFERROR(_xlfn.XLOOKUP($E124,$A$6:$A$255,$P$6:$P$255),""),IF(NOT(ISNUMBER(_xlpm.pI)),"",_xlpm.pI/(1+$CP124)+IF($L124="",0,$L124))))))</f>
        <v/>
      </c>
      <c r="Q124" s="210" t="str">
        <f t="shared" si="24"/>
        <v/>
      </c>
      <c r="R124" s="177" t="str">
        <f>IF($A124="","",IF(OR($C124=0,LEFT($A124,2)="T-"),"",IFERROR(_xlfn.LET(_xlpm.v,_xlfn.XLOOKUP($A124,Dashboard!$A$101:$A$350,Dashboard!$K$101:$K$350),IF(ISNUMBER(_xlpm.v),_xlpm.v,"")),"")))</f>
        <v/>
      </c>
      <c r="S124" s="211" t="str">
        <f t="shared" si="25"/>
        <v/>
      </c>
      <c r="T124" s="25" t="str">
        <f t="shared" si="26"/>
        <v/>
      </c>
      <c r="U124" s="364"/>
      <c r="BV124" s="20" t="str">
        <f>IF($A124="","",IFERROR(_xlfn.XLOOKUP("F-"&amp;$A124,'Feeder Schedule'!$B$5:$B$254,'Feeder Schedule'!$H$5:$H$254),""))</f>
        <v/>
      </c>
      <c r="BW124" s="20" t="str">
        <f>IF($A124="","",IFERROR(_xlfn.XLOOKUP("F-"&amp;$A124,'Feeder Schedule'!$B$5:$B$254,'Feeder Schedule'!$BV$5:$BV$254),""))</f>
        <v/>
      </c>
      <c r="BX124" s="20" t="str">
        <f>IF($A124="","",IFERROR(_xlfn.LET(_xlpm.v,_xlfn.XLOOKUP("F-"&amp;$A124,'Feeder Schedule'!$B$5:$B$254,'Feeder Schedule'!$M$5:$M$254),IF(OR(_xlpm.v="",_xlpm.v=0),Cfg_Conduit,_xlpm.v)),""))</f>
        <v/>
      </c>
      <c r="BY124" s="20" t="str">
        <f>IF($A124="","",IFERROR(_xlfn.XLOOKUP("F-"&amp;$A124,'Feeder Schedule'!$B$5:$B$254,'Feeder Schedule'!$O$5:$O$254),""))</f>
        <v/>
      </c>
      <c r="BZ124" s="20" t="str">
        <f>IF($A124="","",IFERROR(_xlfn.XLOOKUP("F-"&amp;$A124,'Feeder Schedule'!$B$5:$B$254,'Feeder Schedule'!$CH$5:$CH$254),""))</f>
        <v/>
      </c>
      <c r="CA124" s="20" t="str">
        <f>IF($A124="","",IFERROR(_xlfn.XLOOKUP("F-"&amp;$A124,'Feeder Schedule'!$B$5:$B$254,'Feeder Schedule'!$F$5:$F$254),""))</f>
        <v/>
      </c>
      <c r="CB124" s="20" t="str">
        <f>IF($A124="","",IFERROR(_xlfn.XLOOKUP("F-"&amp;$A124,'Feeder Schedule'!$B$5:$B$254,'Feeder Schedule'!$G$5:$G$254),""))</f>
        <v/>
      </c>
      <c r="CD124" s="20" t="str" cm="1">
        <f t="array" ref="CD124">IFERROR(IF($A124="","",INDEX(_xlfn.ANCHORARRAY($BK$4),ROW()-5,6)),"")</f>
        <v/>
      </c>
      <c r="CE124" s="20" t="str">
        <f t="shared" si="29"/>
        <v/>
      </c>
      <c r="CF124" s="20" t="str">
        <f t="shared" si="30"/>
        <v/>
      </c>
      <c r="CG124" s="20" t="str">
        <f t="shared" si="27"/>
        <v/>
      </c>
      <c r="CH124" s="20" t="str" cm="1">
        <f t="array" ref="CH124">IF(OR($A124="",$BZ124="",$BW124="",$BX124=""),"",_xlfn.LET(_xlpm.mag,IFERROR(_xlfn.XLOOKUP($BX124,Race_Raceway,Race_Mag),""),IF(_xlpm.mag="","",IFERROR(INDEX(Cond_Table,MATCH($BZ124,Cond_Size,0),IF(UPPER($BW124)="AL",IF(_xlpm.mag="Y",10,12),IF(_xlpm.mag="Y",9,11))),""))))</f>
        <v/>
      </c>
      <c r="CI124" s="20" t="str">
        <f t="shared" si="28"/>
        <v/>
      </c>
      <c r="CJ124" s="20" t="str">
        <f>IF(OR($A124="",LEFT($A124,2)&lt;&gt;"T-"),"",IFERROR(_xlfn.LET(_xlpm.fla,_xlfn.XLOOKUP($A124,Transformers!$A$6:$A$105,Transformers!$AK$6:$AK$105),_xlpm.z,_xlfn.XLOOKUP($A124,Transformers!$A$6:$A$105,Transformers!$AX$6:$AX$105),IF(OR(_xlpm.fla="",_xlpm.z="",_xlpm.z=0),"",_xlpm.fla*100/_xlpm.z)),""))</f>
        <v/>
      </c>
      <c r="CK124" s="20" t="str">
        <f t="shared" si="31"/>
        <v/>
      </c>
      <c r="CL124" s="20" t="str">
        <f t="shared" si="32"/>
        <v/>
      </c>
      <c r="CM124" s="373"/>
      <c r="CO124" s="20" t="str">
        <f>IF(OR($A124="",LEFT($A124,2)&lt;&gt;"T-"),"",_xlfn.LET(_xlpm.ph,IFERROR(_xlfn.XLOOKUP($A124,Transformers!$A$6:$A$105,Transformers!$C$6:$C$105),""),_xlpm.rr,IFERROR(_xlfn.XLOOKUP($A124,Transformers!$A$6:$A$105,Transformers!$AG$6:$AG$105),""),_xlpm.xx,IFERROR(_xlfn.XLOOKUP($A124,Transformers!$A$6:$A$105,Transformers!$AI$6:$AI$105),""),IF(OR(_xlpm.ph&lt;&gt;1,NOT(ISNUMBER(_xlpm.rr)),NOT(ISNUMBER(_xlpm.xx))),"",SQRT((1.5*_xlpm.rr)^2+(1.2*_xlpm.xx)^2))))</f>
        <v/>
      </c>
      <c r="CP124" s="20" t="str">
        <f t="shared" si="33"/>
        <v/>
      </c>
    </row>
    <row r="125" spans="1:94" ht="15" customHeight="1" x14ac:dyDescent="0.45">
      <c r="A125" s="275" t="str" cm="1">
        <f t="array" ref="A125">IFERROR(IF(INDEX(_xlfn.ANCHORARRAY($BK$4),ROW()-5,1)="","",INDEX(_xlfn.ANCHORARRAY($BK$4),ROW()-5,1)),"")</f>
        <v/>
      </c>
      <c r="B125" s="25" t="str" cm="1">
        <f t="array" ref="B125">IFERROR(IF($A125="","",INDEX(_xlfn.ANCHORARRAY($BK$4),ROW()-5,5)),"")</f>
        <v/>
      </c>
      <c r="C125" s="178" t="str" cm="1">
        <f t="array" ref="C125">IFERROR(IF($A125="","",INDEX(_xlfn.ANCHORARRAY($BK$4),ROW()-5,7)),"")</f>
        <v/>
      </c>
      <c r="D125" s="177" t="str" cm="1">
        <f t="array" ref="D125">IFERROR(IF($A125="","",INDEX(_xlfn.ANCHORARRAY($BK$4),ROW()-5,3)),"")</f>
        <v/>
      </c>
      <c r="E125" s="25" t="str" cm="1">
        <f t="array" ref="E125">IFERROR(IF($A125="","",INDEX(_xlfn.ANCHORARRAY($BK$4),ROW()-5,2)),"")</f>
        <v/>
      </c>
      <c r="F125" s="177" t="str">
        <f t="shared" si="17"/>
        <v/>
      </c>
      <c r="G125" s="275" t="str">
        <f t="shared" si="18"/>
        <v/>
      </c>
      <c r="H125" s="180" t="str">
        <f t="shared" si="19"/>
        <v/>
      </c>
      <c r="I125" s="180" t="str">
        <f t="shared" si="20"/>
        <v/>
      </c>
      <c r="J125" s="177" t="str">
        <f>_xlfn.LET(_xlpm.v,_xlfn.LET(_xlpm.base,IF($A125="","",IF($C125=0,IFERROR(_xlfn.XLOOKUP($A125,Util_Tags,Util_SCAEff),""),IF(LEFT($A125,2)="T-",IF($CJ125="","",$CJ125/(1+IF($CL125="",0,$CL125))),IF(OR($F125="",$I125=""),"",$F125*$I125)))),_xlpm.gtag,IF(OR($A125="",NOT(OR($B125="ATS",$B125="MTS"))),"",IFERROR(_xlfn.XLOOKUP($A125,Dashboard!$A$101:$A$350,Dashboard!$L$101:$L$350,"")&amp;"","")),_xlpm.gkva,IF(_xlpm.gtag="",0,IFERROR(N(_xlfn.XLOOKUP(_xlpm.gtag,Generator!$B$53:$B$58,Generator!$S$53:$S$58,0)),0)),_xlpm.gxd,IF(_xlpm.gtag="",0,IFERROR(N(_xlfn.XLOOKUP(_xlpm.gtag,Generator!$B$53:$B$58,Generator!$U$53:$U$58,0)),0)),_xlpm.gamp,IF(OR(_xlpm.gkva=0,_xlpm.gxd=0,N($D125)=0),0,ROUND(_xlpm.gkva*1000/(IF(N($CB125)=1,1,SQRT(3))*$D125*_xlpm.gxd),0)),IF(OR(_xlpm.gamp=0,NOT(ISNUMBER(_xlpm.base))),_xlpm.base,MAX(_xlpm.base,_xlpm.gamp))),_xlpm.ulim,IF(OR($A125="",$B125&lt;&gt;"UPS"),"",IFERROR(IF(_xlfn.XLOOKUP($A125,UPS!$B$57:$B$64,UPS!$E$57:$E$64,"")="None",_xlfn.XLOOKUP($A125,UPS!$B$57:$B$64,UPS!$U$57:$U$64,""),""),"")),IF(AND(ISNUMBER(_xlpm.v),ISNUMBER(_xlpm.ulim)),MIN(_xlpm.v,_xlpm.ulim),_xlpm.v))</f>
        <v/>
      </c>
      <c r="K125" s="176"/>
      <c r="L125" s="177" t="str">
        <f t="shared" si="21"/>
        <v/>
      </c>
      <c r="M125" s="177" t="str">
        <f t="shared" si="22"/>
        <v/>
      </c>
      <c r="N125" s="380" t="str">
        <f>IF($A125="","",IF($C125=0,_xlfn.LET(_xlpm.x,IFERROR(_xlfn.XLOOKUP($A125,Util_Tags,Util_XR),""),IF(N(_xlpm.x)=0,Xfmr_DefXR,_xlpm.x)),IF(LEFT($A125,2)="T-",IFERROR(_xlfn.XLOOKUP($A125,Transformers!$A$6:$A$105,Transformers!$AH$6:$AH$105),Xfmr_DefXR),IFERROR(_xlfn.XLOOKUP($E125,$A$6:$A$255,$N$6:$N$255),Xfmr_DefXR))))</f>
        <v/>
      </c>
      <c r="O125" s="177" t="str">
        <f t="shared" si="23"/>
        <v/>
      </c>
      <c r="P125" s="210" t="str">
        <f>IF($A125="","",IF(LEFT($A125,2)="T-",IF($CO125="","",_xlfn.LET(_xlpm.k,IFERROR(_xlfn.XLOOKUP($A125,Transformers!$A$6:$A$105,Transformers!$G$6:$G$105),""),_xlpm.sv,IFERROR(_xlfn.XLOOKUP($A125,Transformers!$A$6:$A$105,Transformers!$E$6:$E$105),""),IF(OR(NOT(ISNUMBER(_xlpm.k)),NOT(ISNUMBER(_xlpm.sv)),_xlpm.sv=0),"",_xlfn.LET(_xlpm.iInf,(_xlpm.k*1000/(_xlpm.sv/2))*100/$CO125,_xlpm.pri,IF(OR($CK125="",$CK125=0),"",$CK125/2),_xlpm.base,IF(_xlpm.pri="",_xlpm.iInf,_xlpm.iInf/(1+_xlpm.iInf/_xlpm.pri)),_xlpm.base+IF($L125="",0,$L125))))),IF($CP125="","",_xlfn.LET(_xlpm.pI,IFERROR(_xlfn.XLOOKUP($E125,$A$6:$A$255,$P$6:$P$255),""),IF(NOT(ISNUMBER(_xlpm.pI)),"",_xlpm.pI/(1+$CP125)+IF($L125="",0,$L125))))))</f>
        <v/>
      </c>
      <c r="Q125" s="210" t="str">
        <f t="shared" si="24"/>
        <v/>
      </c>
      <c r="R125" s="177" t="str">
        <f>IF($A125="","",IF(OR($C125=0,LEFT($A125,2)="T-"),"",IFERROR(_xlfn.LET(_xlpm.v,_xlfn.XLOOKUP($A125,Dashboard!$A$101:$A$350,Dashboard!$K$101:$K$350),IF(ISNUMBER(_xlpm.v),_xlpm.v,"")),"")))</f>
        <v/>
      </c>
      <c r="S125" s="211" t="str">
        <f t="shared" si="25"/>
        <v/>
      </c>
      <c r="T125" s="25" t="str">
        <f t="shared" si="26"/>
        <v/>
      </c>
      <c r="U125" s="364"/>
      <c r="BV125" s="20" t="str">
        <f>IF($A125="","",IFERROR(_xlfn.XLOOKUP("F-"&amp;$A125,'Feeder Schedule'!$B$5:$B$254,'Feeder Schedule'!$H$5:$H$254),""))</f>
        <v/>
      </c>
      <c r="BW125" s="20" t="str">
        <f>IF($A125="","",IFERROR(_xlfn.XLOOKUP("F-"&amp;$A125,'Feeder Schedule'!$B$5:$B$254,'Feeder Schedule'!$BV$5:$BV$254),""))</f>
        <v/>
      </c>
      <c r="BX125" s="20" t="str">
        <f>IF($A125="","",IFERROR(_xlfn.LET(_xlpm.v,_xlfn.XLOOKUP("F-"&amp;$A125,'Feeder Schedule'!$B$5:$B$254,'Feeder Schedule'!$M$5:$M$254),IF(OR(_xlpm.v="",_xlpm.v=0),Cfg_Conduit,_xlpm.v)),""))</f>
        <v/>
      </c>
      <c r="BY125" s="20" t="str">
        <f>IF($A125="","",IFERROR(_xlfn.XLOOKUP("F-"&amp;$A125,'Feeder Schedule'!$B$5:$B$254,'Feeder Schedule'!$O$5:$O$254),""))</f>
        <v/>
      </c>
      <c r="BZ125" s="20" t="str">
        <f>IF($A125="","",IFERROR(_xlfn.XLOOKUP("F-"&amp;$A125,'Feeder Schedule'!$B$5:$B$254,'Feeder Schedule'!$CH$5:$CH$254),""))</f>
        <v/>
      </c>
      <c r="CA125" s="20" t="str">
        <f>IF($A125="","",IFERROR(_xlfn.XLOOKUP("F-"&amp;$A125,'Feeder Schedule'!$B$5:$B$254,'Feeder Schedule'!$F$5:$F$254),""))</f>
        <v/>
      </c>
      <c r="CB125" s="20" t="str">
        <f>IF($A125="","",IFERROR(_xlfn.XLOOKUP("F-"&amp;$A125,'Feeder Schedule'!$B$5:$B$254,'Feeder Schedule'!$G$5:$G$254),""))</f>
        <v/>
      </c>
      <c r="CD125" s="20" t="str" cm="1">
        <f t="array" ref="CD125">IFERROR(IF($A125="","",INDEX(_xlfn.ANCHORARRAY($BK$4),ROW()-5,6)),"")</f>
        <v/>
      </c>
      <c r="CE125" s="20" t="str">
        <f t="shared" si="29"/>
        <v/>
      </c>
      <c r="CF125" s="20" t="str">
        <f t="shared" si="30"/>
        <v/>
      </c>
      <c r="CG125" s="20" t="str">
        <f t="shared" si="27"/>
        <v/>
      </c>
      <c r="CH125" s="20" t="str" cm="1">
        <f t="array" ref="CH125">IF(OR($A125="",$BZ125="",$BW125="",$BX125=""),"",_xlfn.LET(_xlpm.mag,IFERROR(_xlfn.XLOOKUP($BX125,Race_Raceway,Race_Mag),""),IF(_xlpm.mag="","",IFERROR(INDEX(Cond_Table,MATCH($BZ125,Cond_Size,0),IF(UPPER($BW125)="AL",IF(_xlpm.mag="Y",10,12),IF(_xlpm.mag="Y",9,11))),""))))</f>
        <v/>
      </c>
      <c r="CI125" s="20" t="str">
        <f t="shared" si="28"/>
        <v/>
      </c>
      <c r="CJ125" s="20" t="str">
        <f>IF(OR($A125="",LEFT($A125,2)&lt;&gt;"T-"),"",IFERROR(_xlfn.LET(_xlpm.fla,_xlfn.XLOOKUP($A125,Transformers!$A$6:$A$105,Transformers!$AK$6:$AK$105),_xlpm.z,_xlfn.XLOOKUP($A125,Transformers!$A$6:$A$105,Transformers!$AX$6:$AX$105),IF(OR(_xlpm.fla="",_xlpm.z="",_xlpm.z=0),"",_xlpm.fla*100/_xlpm.z)),""))</f>
        <v/>
      </c>
      <c r="CK125" s="20" t="str">
        <f t="shared" si="31"/>
        <v/>
      </c>
      <c r="CL125" s="20" t="str">
        <f t="shared" si="32"/>
        <v/>
      </c>
      <c r="CM125" s="373"/>
      <c r="CO125" s="20" t="str">
        <f>IF(OR($A125="",LEFT($A125,2)&lt;&gt;"T-"),"",_xlfn.LET(_xlpm.ph,IFERROR(_xlfn.XLOOKUP($A125,Transformers!$A$6:$A$105,Transformers!$C$6:$C$105),""),_xlpm.rr,IFERROR(_xlfn.XLOOKUP($A125,Transformers!$A$6:$A$105,Transformers!$AG$6:$AG$105),""),_xlpm.xx,IFERROR(_xlfn.XLOOKUP($A125,Transformers!$A$6:$A$105,Transformers!$AI$6:$AI$105),""),IF(OR(_xlpm.ph&lt;&gt;1,NOT(ISNUMBER(_xlpm.rr)),NOT(ISNUMBER(_xlpm.xx))),"",SQRT((1.5*_xlpm.rr)^2+(1.2*_xlpm.xx)^2))))</f>
        <v/>
      </c>
      <c r="CP125" s="20" t="str">
        <f t="shared" si="33"/>
        <v/>
      </c>
    </row>
    <row r="126" spans="1:94" ht="15" customHeight="1" x14ac:dyDescent="0.45">
      <c r="A126" s="275" t="str" cm="1">
        <f t="array" ref="A126">IFERROR(IF(INDEX(_xlfn.ANCHORARRAY($BK$4),ROW()-5,1)="","",INDEX(_xlfn.ANCHORARRAY($BK$4),ROW()-5,1)),"")</f>
        <v/>
      </c>
      <c r="B126" s="25" t="str" cm="1">
        <f t="array" ref="B126">IFERROR(IF($A126="","",INDEX(_xlfn.ANCHORARRAY($BK$4),ROW()-5,5)),"")</f>
        <v/>
      </c>
      <c r="C126" s="178" t="str" cm="1">
        <f t="array" ref="C126">IFERROR(IF($A126="","",INDEX(_xlfn.ANCHORARRAY($BK$4),ROW()-5,7)),"")</f>
        <v/>
      </c>
      <c r="D126" s="177" t="str" cm="1">
        <f t="array" ref="D126">IFERROR(IF($A126="","",INDEX(_xlfn.ANCHORARRAY($BK$4),ROW()-5,3)),"")</f>
        <v/>
      </c>
      <c r="E126" s="25" t="str" cm="1">
        <f t="array" ref="E126">IFERROR(IF($A126="","",INDEX(_xlfn.ANCHORARRAY($BK$4),ROW()-5,2)),"")</f>
        <v/>
      </c>
      <c r="F126" s="177" t="str">
        <f t="shared" si="17"/>
        <v/>
      </c>
      <c r="G126" s="275" t="str">
        <f t="shared" si="18"/>
        <v/>
      </c>
      <c r="H126" s="180" t="str">
        <f t="shared" si="19"/>
        <v/>
      </c>
      <c r="I126" s="180" t="str">
        <f t="shared" si="20"/>
        <v/>
      </c>
      <c r="J126" s="177" t="str">
        <f>_xlfn.LET(_xlpm.v,_xlfn.LET(_xlpm.base,IF($A126="","",IF($C126=0,IFERROR(_xlfn.XLOOKUP($A126,Util_Tags,Util_SCAEff),""),IF(LEFT($A126,2)="T-",IF($CJ126="","",$CJ126/(1+IF($CL126="",0,$CL126))),IF(OR($F126="",$I126=""),"",$F126*$I126)))),_xlpm.gtag,IF(OR($A126="",NOT(OR($B126="ATS",$B126="MTS"))),"",IFERROR(_xlfn.XLOOKUP($A126,Dashboard!$A$101:$A$350,Dashboard!$L$101:$L$350,"")&amp;"","")),_xlpm.gkva,IF(_xlpm.gtag="",0,IFERROR(N(_xlfn.XLOOKUP(_xlpm.gtag,Generator!$B$53:$B$58,Generator!$S$53:$S$58,0)),0)),_xlpm.gxd,IF(_xlpm.gtag="",0,IFERROR(N(_xlfn.XLOOKUP(_xlpm.gtag,Generator!$B$53:$B$58,Generator!$U$53:$U$58,0)),0)),_xlpm.gamp,IF(OR(_xlpm.gkva=0,_xlpm.gxd=0,N($D126)=0),0,ROUND(_xlpm.gkva*1000/(IF(N($CB126)=1,1,SQRT(3))*$D126*_xlpm.gxd),0)),IF(OR(_xlpm.gamp=0,NOT(ISNUMBER(_xlpm.base))),_xlpm.base,MAX(_xlpm.base,_xlpm.gamp))),_xlpm.ulim,IF(OR($A126="",$B126&lt;&gt;"UPS"),"",IFERROR(IF(_xlfn.XLOOKUP($A126,UPS!$B$57:$B$64,UPS!$E$57:$E$64,"")="None",_xlfn.XLOOKUP($A126,UPS!$B$57:$B$64,UPS!$U$57:$U$64,""),""),"")),IF(AND(ISNUMBER(_xlpm.v),ISNUMBER(_xlpm.ulim)),MIN(_xlpm.v,_xlpm.ulim),_xlpm.v))</f>
        <v/>
      </c>
      <c r="K126" s="176"/>
      <c r="L126" s="177" t="str">
        <f t="shared" si="21"/>
        <v/>
      </c>
      <c r="M126" s="177" t="str">
        <f t="shared" si="22"/>
        <v/>
      </c>
      <c r="N126" s="380" t="str">
        <f>IF($A126="","",IF($C126=0,_xlfn.LET(_xlpm.x,IFERROR(_xlfn.XLOOKUP($A126,Util_Tags,Util_XR),""),IF(N(_xlpm.x)=0,Xfmr_DefXR,_xlpm.x)),IF(LEFT($A126,2)="T-",IFERROR(_xlfn.XLOOKUP($A126,Transformers!$A$6:$A$105,Transformers!$AH$6:$AH$105),Xfmr_DefXR),IFERROR(_xlfn.XLOOKUP($E126,$A$6:$A$255,$N$6:$N$255),Xfmr_DefXR))))</f>
        <v/>
      </c>
      <c r="O126" s="177" t="str">
        <f t="shared" si="23"/>
        <v/>
      </c>
      <c r="P126" s="210" t="str">
        <f>IF($A126="","",IF(LEFT($A126,2)="T-",IF($CO126="","",_xlfn.LET(_xlpm.k,IFERROR(_xlfn.XLOOKUP($A126,Transformers!$A$6:$A$105,Transformers!$G$6:$G$105),""),_xlpm.sv,IFERROR(_xlfn.XLOOKUP($A126,Transformers!$A$6:$A$105,Transformers!$E$6:$E$105),""),IF(OR(NOT(ISNUMBER(_xlpm.k)),NOT(ISNUMBER(_xlpm.sv)),_xlpm.sv=0),"",_xlfn.LET(_xlpm.iInf,(_xlpm.k*1000/(_xlpm.sv/2))*100/$CO126,_xlpm.pri,IF(OR($CK126="",$CK126=0),"",$CK126/2),_xlpm.base,IF(_xlpm.pri="",_xlpm.iInf,_xlpm.iInf/(1+_xlpm.iInf/_xlpm.pri)),_xlpm.base+IF($L126="",0,$L126))))),IF($CP126="","",_xlfn.LET(_xlpm.pI,IFERROR(_xlfn.XLOOKUP($E126,$A$6:$A$255,$P$6:$P$255),""),IF(NOT(ISNUMBER(_xlpm.pI)),"",_xlpm.pI/(1+$CP126)+IF($L126="",0,$L126))))))</f>
        <v/>
      </c>
      <c r="Q126" s="210" t="str">
        <f t="shared" si="24"/>
        <v/>
      </c>
      <c r="R126" s="177" t="str">
        <f>IF($A126="","",IF(OR($C126=0,LEFT($A126,2)="T-"),"",IFERROR(_xlfn.LET(_xlpm.v,_xlfn.XLOOKUP($A126,Dashboard!$A$101:$A$350,Dashboard!$K$101:$K$350),IF(ISNUMBER(_xlpm.v),_xlpm.v,"")),"")))</f>
        <v/>
      </c>
      <c r="S126" s="211" t="str">
        <f t="shared" si="25"/>
        <v/>
      </c>
      <c r="T126" s="25" t="str">
        <f t="shared" si="26"/>
        <v/>
      </c>
      <c r="U126" s="364"/>
      <c r="BV126" s="20" t="str">
        <f>IF($A126="","",IFERROR(_xlfn.XLOOKUP("F-"&amp;$A126,'Feeder Schedule'!$B$5:$B$254,'Feeder Schedule'!$H$5:$H$254),""))</f>
        <v/>
      </c>
      <c r="BW126" s="20" t="str">
        <f>IF($A126="","",IFERROR(_xlfn.XLOOKUP("F-"&amp;$A126,'Feeder Schedule'!$B$5:$B$254,'Feeder Schedule'!$BV$5:$BV$254),""))</f>
        <v/>
      </c>
      <c r="BX126" s="20" t="str">
        <f>IF($A126="","",IFERROR(_xlfn.LET(_xlpm.v,_xlfn.XLOOKUP("F-"&amp;$A126,'Feeder Schedule'!$B$5:$B$254,'Feeder Schedule'!$M$5:$M$254),IF(OR(_xlpm.v="",_xlpm.v=0),Cfg_Conduit,_xlpm.v)),""))</f>
        <v/>
      </c>
      <c r="BY126" s="20" t="str">
        <f>IF($A126="","",IFERROR(_xlfn.XLOOKUP("F-"&amp;$A126,'Feeder Schedule'!$B$5:$B$254,'Feeder Schedule'!$O$5:$O$254),""))</f>
        <v/>
      </c>
      <c r="BZ126" s="20" t="str">
        <f>IF($A126="","",IFERROR(_xlfn.XLOOKUP("F-"&amp;$A126,'Feeder Schedule'!$B$5:$B$254,'Feeder Schedule'!$CH$5:$CH$254),""))</f>
        <v/>
      </c>
      <c r="CA126" s="20" t="str">
        <f>IF($A126="","",IFERROR(_xlfn.XLOOKUP("F-"&amp;$A126,'Feeder Schedule'!$B$5:$B$254,'Feeder Schedule'!$F$5:$F$254),""))</f>
        <v/>
      </c>
      <c r="CB126" s="20" t="str">
        <f>IF($A126="","",IFERROR(_xlfn.XLOOKUP("F-"&amp;$A126,'Feeder Schedule'!$B$5:$B$254,'Feeder Schedule'!$G$5:$G$254),""))</f>
        <v/>
      </c>
      <c r="CD126" s="20" t="str" cm="1">
        <f t="array" ref="CD126">IFERROR(IF($A126="","",INDEX(_xlfn.ANCHORARRAY($BK$4),ROW()-5,6)),"")</f>
        <v/>
      </c>
      <c r="CE126" s="20" t="str">
        <f t="shared" si="29"/>
        <v/>
      </c>
      <c r="CF126" s="20" t="str">
        <f t="shared" si="30"/>
        <v/>
      </c>
      <c r="CG126" s="20" t="str">
        <f t="shared" si="27"/>
        <v/>
      </c>
      <c r="CH126" s="20" t="str" cm="1">
        <f t="array" ref="CH126">IF(OR($A126="",$BZ126="",$BW126="",$BX126=""),"",_xlfn.LET(_xlpm.mag,IFERROR(_xlfn.XLOOKUP($BX126,Race_Raceway,Race_Mag),""),IF(_xlpm.mag="","",IFERROR(INDEX(Cond_Table,MATCH($BZ126,Cond_Size,0),IF(UPPER($BW126)="AL",IF(_xlpm.mag="Y",10,12),IF(_xlpm.mag="Y",9,11))),""))))</f>
        <v/>
      </c>
      <c r="CI126" s="20" t="str">
        <f t="shared" si="28"/>
        <v/>
      </c>
      <c r="CJ126" s="20" t="str">
        <f>IF(OR($A126="",LEFT($A126,2)&lt;&gt;"T-"),"",IFERROR(_xlfn.LET(_xlpm.fla,_xlfn.XLOOKUP($A126,Transformers!$A$6:$A$105,Transformers!$AK$6:$AK$105),_xlpm.z,_xlfn.XLOOKUP($A126,Transformers!$A$6:$A$105,Transformers!$AX$6:$AX$105),IF(OR(_xlpm.fla="",_xlpm.z="",_xlpm.z=0),"",_xlpm.fla*100/_xlpm.z)),""))</f>
        <v/>
      </c>
      <c r="CK126" s="20" t="str">
        <f t="shared" si="31"/>
        <v/>
      </c>
      <c r="CL126" s="20" t="str">
        <f t="shared" si="32"/>
        <v/>
      </c>
      <c r="CM126" s="373"/>
      <c r="CO126" s="20" t="str">
        <f>IF(OR($A126="",LEFT($A126,2)&lt;&gt;"T-"),"",_xlfn.LET(_xlpm.ph,IFERROR(_xlfn.XLOOKUP($A126,Transformers!$A$6:$A$105,Transformers!$C$6:$C$105),""),_xlpm.rr,IFERROR(_xlfn.XLOOKUP($A126,Transformers!$A$6:$A$105,Transformers!$AG$6:$AG$105),""),_xlpm.xx,IFERROR(_xlfn.XLOOKUP($A126,Transformers!$A$6:$A$105,Transformers!$AI$6:$AI$105),""),IF(OR(_xlpm.ph&lt;&gt;1,NOT(ISNUMBER(_xlpm.rr)),NOT(ISNUMBER(_xlpm.xx))),"",SQRT((1.5*_xlpm.rr)^2+(1.2*_xlpm.xx)^2))))</f>
        <v/>
      </c>
      <c r="CP126" s="20" t="str">
        <f t="shared" si="33"/>
        <v/>
      </c>
    </row>
    <row r="127" spans="1:94" ht="15" customHeight="1" x14ac:dyDescent="0.45">
      <c r="A127" s="275" t="str" cm="1">
        <f t="array" ref="A127">IFERROR(IF(INDEX(_xlfn.ANCHORARRAY($BK$4),ROW()-5,1)="","",INDEX(_xlfn.ANCHORARRAY($BK$4),ROW()-5,1)),"")</f>
        <v/>
      </c>
      <c r="B127" s="25" t="str" cm="1">
        <f t="array" ref="B127">IFERROR(IF($A127="","",INDEX(_xlfn.ANCHORARRAY($BK$4),ROW()-5,5)),"")</f>
        <v/>
      </c>
      <c r="C127" s="178" t="str" cm="1">
        <f t="array" ref="C127">IFERROR(IF($A127="","",INDEX(_xlfn.ANCHORARRAY($BK$4),ROW()-5,7)),"")</f>
        <v/>
      </c>
      <c r="D127" s="177" t="str" cm="1">
        <f t="array" ref="D127">IFERROR(IF($A127="","",INDEX(_xlfn.ANCHORARRAY($BK$4),ROW()-5,3)),"")</f>
        <v/>
      </c>
      <c r="E127" s="25" t="str" cm="1">
        <f t="array" ref="E127">IFERROR(IF($A127="","",INDEX(_xlfn.ANCHORARRAY($BK$4),ROW()-5,2)),"")</f>
        <v/>
      </c>
      <c r="F127" s="177" t="str">
        <f t="shared" si="17"/>
        <v/>
      </c>
      <c r="G127" s="275" t="str">
        <f t="shared" si="18"/>
        <v/>
      </c>
      <c r="H127" s="180" t="str">
        <f t="shared" si="19"/>
        <v/>
      </c>
      <c r="I127" s="180" t="str">
        <f t="shared" si="20"/>
        <v/>
      </c>
      <c r="J127" s="177" t="str">
        <f>_xlfn.LET(_xlpm.v,_xlfn.LET(_xlpm.base,IF($A127="","",IF($C127=0,IFERROR(_xlfn.XLOOKUP($A127,Util_Tags,Util_SCAEff),""),IF(LEFT($A127,2)="T-",IF($CJ127="","",$CJ127/(1+IF($CL127="",0,$CL127))),IF(OR($F127="",$I127=""),"",$F127*$I127)))),_xlpm.gtag,IF(OR($A127="",NOT(OR($B127="ATS",$B127="MTS"))),"",IFERROR(_xlfn.XLOOKUP($A127,Dashboard!$A$101:$A$350,Dashboard!$L$101:$L$350,"")&amp;"","")),_xlpm.gkva,IF(_xlpm.gtag="",0,IFERROR(N(_xlfn.XLOOKUP(_xlpm.gtag,Generator!$B$53:$B$58,Generator!$S$53:$S$58,0)),0)),_xlpm.gxd,IF(_xlpm.gtag="",0,IFERROR(N(_xlfn.XLOOKUP(_xlpm.gtag,Generator!$B$53:$B$58,Generator!$U$53:$U$58,0)),0)),_xlpm.gamp,IF(OR(_xlpm.gkva=0,_xlpm.gxd=0,N($D127)=0),0,ROUND(_xlpm.gkva*1000/(IF(N($CB127)=1,1,SQRT(3))*$D127*_xlpm.gxd),0)),IF(OR(_xlpm.gamp=0,NOT(ISNUMBER(_xlpm.base))),_xlpm.base,MAX(_xlpm.base,_xlpm.gamp))),_xlpm.ulim,IF(OR($A127="",$B127&lt;&gt;"UPS"),"",IFERROR(IF(_xlfn.XLOOKUP($A127,UPS!$B$57:$B$64,UPS!$E$57:$E$64,"")="None",_xlfn.XLOOKUP($A127,UPS!$B$57:$B$64,UPS!$U$57:$U$64,""),""),"")),IF(AND(ISNUMBER(_xlpm.v),ISNUMBER(_xlpm.ulim)),MIN(_xlpm.v,_xlpm.ulim),_xlpm.v))</f>
        <v/>
      </c>
      <c r="K127" s="176"/>
      <c r="L127" s="177" t="str">
        <f t="shared" si="21"/>
        <v/>
      </c>
      <c r="M127" s="177" t="str">
        <f t="shared" si="22"/>
        <v/>
      </c>
      <c r="N127" s="380" t="str">
        <f>IF($A127="","",IF($C127=0,_xlfn.LET(_xlpm.x,IFERROR(_xlfn.XLOOKUP($A127,Util_Tags,Util_XR),""),IF(N(_xlpm.x)=0,Xfmr_DefXR,_xlpm.x)),IF(LEFT($A127,2)="T-",IFERROR(_xlfn.XLOOKUP($A127,Transformers!$A$6:$A$105,Transformers!$AH$6:$AH$105),Xfmr_DefXR),IFERROR(_xlfn.XLOOKUP($E127,$A$6:$A$255,$N$6:$N$255),Xfmr_DefXR))))</f>
        <v/>
      </c>
      <c r="O127" s="177" t="str">
        <f t="shared" si="23"/>
        <v/>
      </c>
      <c r="P127" s="210" t="str">
        <f>IF($A127="","",IF(LEFT($A127,2)="T-",IF($CO127="","",_xlfn.LET(_xlpm.k,IFERROR(_xlfn.XLOOKUP($A127,Transformers!$A$6:$A$105,Transformers!$G$6:$G$105),""),_xlpm.sv,IFERROR(_xlfn.XLOOKUP($A127,Transformers!$A$6:$A$105,Transformers!$E$6:$E$105),""),IF(OR(NOT(ISNUMBER(_xlpm.k)),NOT(ISNUMBER(_xlpm.sv)),_xlpm.sv=0),"",_xlfn.LET(_xlpm.iInf,(_xlpm.k*1000/(_xlpm.sv/2))*100/$CO127,_xlpm.pri,IF(OR($CK127="",$CK127=0),"",$CK127/2),_xlpm.base,IF(_xlpm.pri="",_xlpm.iInf,_xlpm.iInf/(1+_xlpm.iInf/_xlpm.pri)),_xlpm.base+IF($L127="",0,$L127))))),IF($CP127="","",_xlfn.LET(_xlpm.pI,IFERROR(_xlfn.XLOOKUP($E127,$A$6:$A$255,$P$6:$P$255),""),IF(NOT(ISNUMBER(_xlpm.pI)),"",_xlpm.pI/(1+$CP127)+IF($L127="",0,$L127))))))</f>
        <v/>
      </c>
      <c r="Q127" s="210" t="str">
        <f t="shared" si="24"/>
        <v/>
      </c>
      <c r="R127" s="177" t="str">
        <f>IF($A127="","",IF(OR($C127=0,LEFT($A127,2)="T-"),"",IFERROR(_xlfn.LET(_xlpm.v,_xlfn.XLOOKUP($A127,Dashboard!$A$101:$A$350,Dashboard!$K$101:$K$350),IF(ISNUMBER(_xlpm.v),_xlpm.v,"")),"")))</f>
        <v/>
      </c>
      <c r="S127" s="211" t="str">
        <f t="shared" si="25"/>
        <v/>
      </c>
      <c r="T127" s="25" t="str">
        <f t="shared" si="26"/>
        <v/>
      </c>
      <c r="U127" s="364"/>
      <c r="BV127" s="20" t="str">
        <f>IF($A127="","",IFERROR(_xlfn.XLOOKUP("F-"&amp;$A127,'Feeder Schedule'!$B$5:$B$254,'Feeder Schedule'!$H$5:$H$254),""))</f>
        <v/>
      </c>
      <c r="BW127" s="20" t="str">
        <f>IF($A127="","",IFERROR(_xlfn.XLOOKUP("F-"&amp;$A127,'Feeder Schedule'!$B$5:$B$254,'Feeder Schedule'!$BV$5:$BV$254),""))</f>
        <v/>
      </c>
      <c r="BX127" s="20" t="str">
        <f>IF($A127="","",IFERROR(_xlfn.LET(_xlpm.v,_xlfn.XLOOKUP("F-"&amp;$A127,'Feeder Schedule'!$B$5:$B$254,'Feeder Schedule'!$M$5:$M$254),IF(OR(_xlpm.v="",_xlpm.v=0),Cfg_Conduit,_xlpm.v)),""))</f>
        <v/>
      </c>
      <c r="BY127" s="20" t="str">
        <f>IF($A127="","",IFERROR(_xlfn.XLOOKUP("F-"&amp;$A127,'Feeder Schedule'!$B$5:$B$254,'Feeder Schedule'!$O$5:$O$254),""))</f>
        <v/>
      </c>
      <c r="BZ127" s="20" t="str">
        <f>IF($A127="","",IFERROR(_xlfn.XLOOKUP("F-"&amp;$A127,'Feeder Schedule'!$B$5:$B$254,'Feeder Schedule'!$CH$5:$CH$254),""))</f>
        <v/>
      </c>
      <c r="CA127" s="20" t="str">
        <f>IF($A127="","",IFERROR(_xlfn.XLOOKUP("F-"&amp;$A127,'Feeder Schedule'!$B$5:$B$254,'Feeder Schedule'!$F$5:$F$254),""))</f>
        <v/>
      </c>
      <c r="CB127" s="20" t="str">
        <f>IF($A127="","",IFERROR(_xlfn.XLOOKUP("F-"&amp;$A127,'Feeder Schedule'!$B$5:$B$254,'Feeder Schedule'!$G$5:$G$254),""))</f>
        <v/>
      </c>
      <c r="CD127" s="20" t="str" cm="1">
        <f t="array" ref="CD127">IFERROR(IF($A127="","",INDEX(_xlfn.ANCHORARRAY($BK$4),ROW()-5,6)),"")</f>
        <v/>
      </c>
      <c r="CE127" s="20" t="str">
        <f t="shared" si="29"/>
        <v/>
      </c>
      <c r="CF127" s="20" t="str">
        <f t="shared" si="30"/>
        <v/>
      </c>
      <c r="CG127" s="20" t="str">
        <f t="shared" si="27"/>
        <v/>
      </c>
      <c r="CH127" s="20" t="str" cm="1">
        <f t="array" ref="CH127">IF(OR($A127="",$BZ127="",$BW127="",$BX127=""),"",_xlfn.LET(_xlpm.mag,IFERROR(_xlfn.XLOOKUP($BX127,Race_Raceway,Race_Mag),""),IF(_xlpm.mag="","",IFERROR(INDEX(Cond_Table,MATCH($BZ127,Cond_Size,0),IF(UPPER($BW127)="AL",IF(_xlpm.mag="Y",10,12),IF(_xlpm.mag="Y",9,11))),""))))</f>
        <v/>
      </c>
      <c r="CI127" s="20" t="str">
        <f t="shared" si="28"/>
        <v/>
      </c>
      <c r="CJ127" s="20" t="str">
        <f>IF(OR($A127="",LEFT($A127,2)&lt;&gt;"T-"),"",IFERROR(_xlfn.LET(_xlpm.fla,_xlfn.XLOOKUP($A127,Transformers!$A$6:$A$105,Transformers!$AK$6:$AK$105),_xlpm.z,_xlfn.XLOOKUP($A127,Transformers!$A$6:$A$105,Transformers!$AX$6:$AX$105),IF(OR(_xlpm.fla="",_xlpm.z="",_xlpm.z=0),"",_xlpm.fla*100/_xlpm.z)),""))</f>
        <v/>
      </c>
      <c r="CK127" s="20" t="str">
        <f t="shared" si="31"/>
        <v/>
      </c>
      <c r="CL127" s="20" t="str">
        <f t="shared" si="32"/>
        <v/>
      </c>
      <c r="CM127" s="373"/>
      <c r="CO127" s="20" t="str">
        <f>IF(OR($A127="",LEFT($A127,2)&lt;&gt;"T-"),"",_xlfn.LET(_xlpm.ph,IFERROR(_xlfn.XLOOKUP($A127,Transformers!$A$6:$A$105,Transformers!$C$6:$C$105),""),_xlpm.rr,IFERROR(_xlfn.XLOOKUP($A127,Transformers!$A$6:$A$105,Transformers!$AG$6:$AG$105),""),_xlpm.xx,IFERROR(_xlfn.XLOOKUP($A127,Transformers!$A$6:$A$105,Transformers!$AI$6:$AI$105),""),IF(OR(_xlpm.ph&lt;&gt;1,NOT(ISNUMBER(_xlpm.rr)),NOT(ISNUMBER(_xlpm.xx))),"",SQRT((1.5*_xlpm.rr)^2+(1.2*_xlpm.xx)^2))))</f>
        <v/>
      </c>
      <c r="CP127" s="20" t="str">
        <f t="shared" si="33"/>
        <v/>
      </c>
    </row>
    <row r="128" spans="1:94" ht="15" customHeight="1" x14ac:dyDescent="0.45">
      <c r="A128" s="275" t="str" cm="1">
        <f t="array" ref="A128">IFERROR(IF(INDEX(_xlfn.ANCHORARRAY($BK$4),ROW()-5,1)="","",INDEX(_xlfn.ANCHORARRAY($BK$4),ROW()-5,1)),"")</f>
        <v/>
      </c>
      <c r="B128" s="25" t="str" cm="1">
        <f t="array" ref="B128">IFERROR(IF($A128="","",INDEX(_xlfn.ANCHORARRAY($BK$4),ROW()-5,5)),"")</f>
        <v/>
      </c>
      <c r="C128" s="178" t="str" cm="1">
        <f t="array" ref="C128">IFERROR(IF($A128="","",INDEX(_xlfn.ANCHORARRAY($BK$4),ROW()-5,7)),"")</f>
        <v/>
      </c>
      <c r="D128" s="177" t="str" cm="1">
        <f t="array" ref="D128">IFERROR(IF($A128="","",INDEX(_xlfn.ANCHORARRAY($BK$4),ROW()-5,3)),"")</f>
        <v/>
      </c>
      <c r="E128" s="25" t="str" cm="1">
        <f t="array" ref="E128">IFERROR(IF($A128="","",INDEX(_xlfn.ANCHORARRAY($BK$4),ROW()-5,2)),"")</f>
        <v/>
      </c>
      <c r="F128" s="177" t="str">
        <f t="shared" si="17"/>
        <v/>
      </c>
      <c r="G128" s="275" t="str">
        <f t="shared" si="18"/>
        <v/>
      </c>
      <c r="H128" s="180" t="str">
        <f t="shared" si="19"/>
        <v/>
      </c>
      <c r="I128" s="180" t="str">
        <f t="shared" si="20"/>
        <v/>
      </c>
      <c r="J128" s="177" t="str">
        <f>_xlfn.LET(_xlpm.v,_xlfn.LET(_xlpm.base,IF($A128="","",IF($C128=0,IFERROR(_xlfn.XLOOKUP($A128,Util_Tags,Util_SCAEff),""),IF(LEFT($A128,2)="T-",IF($CJ128="","",$CJ128/(1+IF($CL128="",0,$CL128))),IF(OR($F128="",$I128=""),"",$F128*$I128)))),_xlpm.gtag,IF(OR($A128="",NOT(OR($B128="ATS",$B128="MTS"))),"",IFERROR(_xlfn.XLOOKUP($A128,Dashboard!$A$101:$A$350,Dashboard!$L$101:$L$350,"")&amp;"","")),_xlpm.gkva,IF(_xlpm.gtag="",0,IFERROR(N(_xlfn.XLOOKUP(_xlpm.gtag,Generator!$B$53:$B$58,Generator!$S$53:$S$58,0)),0)),_xlpm.gxd,IF(_xlpm.gtag="",0,IFERROR(N(_xlfn.XLOOKUP(_xlpm.gtag,Generator!$B$53:$B$58,Generator!$U$53:$U$58,0)),0)),_xlpm.gamp,IF(OR(_xlpm.gkva=0,_xlpm.gxd=0,N($D128)=0),0,ROUND(_xlpm.gkva*1000/(IF(N($CB128)=1,1,SQRT(3))*$D128*_xlpm.gxd),0)),IF(OR(_xlpm.gamp=0,NOT(ISNUMBER(_xlpm.base))),_xlpm.base,MAX(_xlpm.base,_xlpm.gamp))),_xlpm.ulim,IF(OR($A128="",$B128&lt;&gt;"UPS"),"",IFERROR(IF(_xlfn.XLOOKUP($A128,UPS!$B$57:$B$64,UPS!$E$57:$E$64,"")="None",_xlfn.XLOOKUP($A128,UPS!$B$57:$B$64,UPS!$U$57:$U$64,""),""),"")),IF(AND(ISNUMBER(_xlpm.v),ISNUMBER(_xlpm.ulim)),MIN(_xlpm.v,_xlpm.ulim),_xlpm.v))</f>
        <v/>
      </c>
      <c r="K128" s="176"/>
      <c r="L128" s="177" t="str">
        <f t="shared" si="21"/>
        <v/>
      </c>
      <c r="M128" s="177" t="str">
        <f t="shared" si="22"/>
        <v/>
      </c>
      <c r="N128" s="380" t="str">
        <f>IF($A128="","",IF($C128=0,_xlfn.LET(_xlpm.x,IFERROR(_xlfn.XLOOKUP($A128,Util_Tags,Util_XR),""),IF(N(_xlpm.x)=0,Xfmr_DefXR,_xlpm.x)),IF(LEFT($A128,2)="T-",IFERROR(_xlfn.XLOOKUP($A128,Transformers!$A$6:$A$105,Transformers!$AH$6:$AH$105),Xfmr_DefXR),IFERROR(_xlfn.XLOOKUP($E128,$A$6:$A$255,$N$6:$N$255),Xfmr_DefXR))))</f>
        <v/>
      </c>
      <c r="O128" s="177" t="str">
        <f t="shared" si="23"/>
        <v/>
      </c>
      <c r="P128" s="210" t="str">
        <f>IF($A128="","",IF(LEFT($A128,2)="T-",IF($CO128="","",_xlfn.LET(_xlpm.k,IFERROR(_xlfn.XLOOKUP($A128,Transformers!$A$6:$A$105,Transformers!$G$6:$G$105),""),_xlpm.sv,IFERROR(_xlfn.XLOOKUP($A128,Transformers!$A$6:$A$105,Transformers!$E$6:$E$105),""),IF(OR(NOT(ISNUMBER(_xlpm.k)),NOT(ISNUMBER(_xlpm.sv)),_xlpm.sv=0),"",_xlfn.LET(_xlpm.iInf,(_xlpm.k*1000/(_xlpm.sv/2))*100/$CO128,_xlpm.pri,IF(OR($CK128="",$CK128=0),"",$CK128/2),_xlpm.base,IF(_xlpm.pri="",_xlpm.iInf,_xlpm.iInf/(1+_xlpm.iInf/_xlpm.pri)),_xlpm.base+IF($L128="",0,$L128))))),IF($CP128="","",_xlfn.LET(_xlpm.pI,IFERROR(_xlfn.XLOOKUP($E128,$A$6:$A$255,$P$6:$P$255),""),IF(NOT(ISNUMBER(_xlpm.pI)),"",_xlpm.pI/(1+$CP128)+IF($L128="",0,$L128))))))</f>
        <v/>
      </c>
      <c r="Q128" s="210" t="str">
        <f t="shared" si="24"/>
        <v/>
      </c>
      <c r="R128" s="177" t="str">
        <f>IF($A128="","",IF(OR($C128=0,LEFT($A128,2)="T-"),"",IFERROR(_xlfn.LET(_xlpm.v,_xlfn.XLOOKUP($A128,Dashboard!$A$101:$A$350,Dashboard!$K$101:$K$350),IF(ISNUMBER(_xlpm.v),_xlpm.v,"")),"")))</f>
        <v/>
      </c>
      <c r="S128" s="211" t="str">
        <f t="shared" si="25"/>
        <v/>
      </c>
      <c r="T128" s="25" t="str">
        <f t="shared" si="26"/>
        <v/>
      </c>
      <c r="U128" s="364"/>
      <c r="BV128" s="20" t="str">
        <f>IF($A128="","",IFERROR(_xlfn.XLOOKUP("F-"&amp;$A128,'Feeder Schedule'!$B$5:$B$254,'Feeder Schedule'!$H$5:$H$254),""))</f>
        <v/>
      </c>
      <c r="BW128" s="20" t="str">
        <f>IF($A128="","",IFERROR(_xlfn.XLOOKUP("F-"&amp;$A128,'Feeder Schedule'!$B$5:$B$254,'Feeder Schedule'!$BV$5:$BV$254),""))</f>
        <v/>
      </c>
      <c r="BX128" s="20" t="str">
        <f>IF($A128="","",IFERROR(_xlfn.LET(_xlpm.v,_xlfn.XLOOKUP("F-"&amp;$A128,'Feeder Schedule'!$B$5:$B$254,'Feeder Schedule'!$M$5:$M$254),IF(OR(_xlpm.v="",_xlpm.v=0),Cfg_Conduit,_xlpm.v)),""))</f>
        <v/>
      </c>
      <c r="BY128" s="20" t="str">
        <f>IF($A128="","",IFERROR(_xlfn.XLOOKUP("F-"&amp;$A128,'Feeder Schedule'!$B$5:$B$254,'Feeder Schedule'!$O$5:$O$254),""))</f>
        <v/>
      </c>
      <c r="BZ128" s="20" t="str">
        <f>IF($A128="","",IFERROR(_xlfn.XLOOKUP("F-"&amp;$A128,'Feeder Schedule'!$B$5:$B$254,'Feeder Schedule'!$CH$5:$CH$254),""))</f>
        <v/>
      </c>
      <c r="CA128" s="20" t="str">
        <f>IF($A128="","",IFERROR(_xlfn.XLOOKUP("F-"&amp;$A128,'Feeder Schedule'!$B$5:$B$254,'Feeder Schedule'!$F$5:$F$254),""))</f>
        <v/>
      </c>
      <c r="CB128" s="20" t="str">
        <f>IF($A128="","",IFERROR(_xlfn.XLOOKUP("F-"&amp;$A128,'Feeder Schedule'!$B$5:$B$254,'Feeder Schedule'!$G$5:$G$254),""))</f>
        <v/>
      </c>
      <c r="CD128" s="20" t="str" cm="1">
        <f t="array" ref="CD128">IFERROR(IF($A128="","",INDEX(_xlfn.ANCHORARRAY($BK$4),ROW()-5,6)),"")</f>
        <v/>
      </c>
      <c r="CE128" s="20" t="str">
        <f t="shared" si="29"/>
        <v/>
      </c>
      <c r="CF128" s="20" t="str">
        <f t="shared" si="30"/>
        <v/>
      </c>
      <c r="CG128" s="20" t="str">
        <f t="shared" si="27"/>
        <v/>
      </c>
      <c r="CH128" s="20" t="str" cm="1">
        <f t="array" ref="CH128">IF(OR($A128="",$BZ128="",$BW128="",$BX128=""),"",_xlfn.LET(_xlpm.mag,IFERROR(_xlfn.XLOOKUP($BX128,Race_Raceway,Race_Mag),""),IF(_xlpm.mag="","",IFERROR(INDEX(Cond_Table,MATCH($BZ128,Cond_Size,0),IF(UPPER($BW128)="AL",IF(_xlpm.mag="Y",10,12),IF(_xlpm.mag="Y",9,11))),""))))</f>
        <v/>
      </c>
      <c r="CI128" s="20" t="str">
        <f t="shared" si="28"/>
        <v/>
      </c>
      <c r="CJ128" s="20" t="str">
        <f>IF(OR($A128="",LEFT($A128,2)&lt;&gt;"T-"),"",IFERROR(_xlfn.LET(_xlpm.fla,_xlfn.XLOOKUP($A128,Transformers!$A$6:$A$105,Transformers!$AK$6:$AK$105),_xlpm.z,_xlfn.XLOOKUP($A128,Transformers!$A$6:$A$105,Transformers!$AX$6:$AX$105),IF(OR(_xlpm.fla="",_xlpm.z="",_xlpm.z=0),"",_xlpm.fla*100/_xlpm.z)),""))</f>
        <v/>
      </c>
      <c r="CK128" s="20" t="str">
        <f t="shared" si="31"/>
        <v/>
      </c>
      <c r="CL128" s="20" t="str">
        <f t="shared" si="32"/>
        <v/>
      </c>
      <c r="CM128" s="373"/>
      <c r="CO128" s="20" t="str">
        <f>IF(OR($A128="",LEFT($A128,2)&lt;&gt;"T-"),"",_xlfn.LET(_xlpm.ph,IFERROR(_xlfn.XLOOKUP($A128,Transformers!$A$6:$A$105,Transformers!$C$6:$C$105),""),_xlpm.rr,IFERROR(_xlfn.XLOOKUP($A128,Transformers!$A$6:$A$105,Transformers!$AG$6:$AG$105),""),_xlpm.xx,IFERROR(_xlfn.XLOOKUP($A128,Transformers!$A$6:$A$105,Transformers!$AI$6:$AI$105),""),IF(OR(_xlpm.ph&lt;&gt;1,NOT(ISNUMBER(_xlpm.rr)),NOT(ISNUMBER(_xlpm.xx))),"",SQRT((1.5*_xlpm.rr)^2+(1.2*_xlpm.xx)^2))))</f>
        <v/>
      </c>
      <c r="CP128" s="20" t="str">
        <f t="shared" si="33"/>
        <v/>
      </c>
    </row>
    <row r="129" spans="1:94" ht="15" customHeight="1" x14ac:dyDescent="0.45">
      <c r="A129" s="275" t="str" cm="1">
        <f t="array" ref="A129">IFERROR(IF(INDEX(_xlfn.ANCHORARRAY($BK$4),ROW()-5,1)="","",INDEX(_xlfn.ANCHORARRAY($BK$4),ROW()-5,1)),"")</f>
        <v/>
      </c>
      <c r="B129" s="25" t="str" cm="1">
        <f t="array" ref="B129">IFERROR(IF($A129="","",INDEX(_xlfn.ANCHORARRAY($BK$4),ROW()-5,5)),"")</f>
        <v/>
      </c>
      <c r="C129" s="178" t="str" cm="1">
        <f t="array" ref="C129">IFERROR(IF($A129="","",INDEX(_xlfn.ANCHORARRAY($BK$4),ROW()-5,7)),"")</f>
        <v/>
      </c>
      <c r="D129" s="177" t="str" cm="1">
        <f t="array" ref="D129">IFERROR(IF($A129="","",INDEX(_xlfn.ANCHORARRAY($BK$4),ROW()-5,3)),"")</f>
        <v/>
      </c>
      <c r="E129" s="25" t="str" cm="1">
        <f t="array" ref="E129">IFERROR(IF($A129="","",INDEX(_xlfn.ANCHORARRAY($BK$4),ROW()-5,2)),"")</f>
        <v/>
      </c>
      <c r="F129" s="177" t="str">
        <f t="shared" si="17"/>
        <v/>
      </c>
      <c r="G129" s="275" t="str">
        <f t="shared" si="18"/>
        <v/>
      </c>
      <c r="H129" s="180" t="str">
        <f t="shared" si="19"/>
        <v/>
      </c>
      <c r="I129" s="180" t="str">
        <f t="shared" si="20"/>
        <v/>
      </c>
      <c r="J129" s="177" t="str">
        <f>_xlfn.LET(_xlpm.v,_xlfn.LET(_xlpm.base,IF($A129="","",IF($C129=0,IFERROR(_xlfn.XLOOKUP($A129,Util_Tags,Util_SCAEff),""),IF(LEFT($A129,2)="T-",IF($CJ129="","",$CJ129/(1+IF($CL129="",0,$CL129))),IF(OR($F129="",$I129=""),"",$F129*$I129)))),_xlpm.gtag,IF(OR($A129="",NOT(OR($B129="ATS",$B129="MTS"))),"",IFERROR(_xlfn.XLOOKUP($A129,Dashboard!$A$101:$A$350,Dashboard!$L$101:$L$350,"")&amp;"","")),_xlpm.gkva,IF(_xlpm.gtag="",0,IFERROR(N(_xlfn.XLOOKUP(_xlpm.gtag,Generator!$B$53:$B$58,Generator!$S$53:$S$58,0)),0)),_xlpm.gxd,IF(_xlpm.gtag="",0,IFERROR(N(_xlfn.XLOOKUP(_xlpm.gtag,Generator!$B$53:$B$58,Generator!$U$53:$U$58,0)),0)),_xlpm.gamp,IF(OR(_xlpm.gkva=0,_xlpm.gxd=0,N($D129)=0),0,ROUND(_xlpm.gkva*1000/(IF(N($CB129)=1,1,SQRT(3))*$D129*_xlpm.gxd),0)),IF(OR(_xlpm.gamp=0,NOT(ISNUMBER(_xlpm.base))),_xlpm.base,MAX(_xlpm.base,_xlpm.gamp))),_xlpm.ulim,IF(OR($A129="",$B129&lt;&gt;"UPS"),"",IFERROR(IF(_xlfn.XLOOKUP($A129,UPS!$B$57:$B$64,UPS!$E$57:$E$64,"")="None",_xlfn.XLOOKUP($A129,UPS!$B$57:$B$64,UPS!$U$57:$U$64,""),""),"")),IF(AND(ISNUMBER(_xlpm.v),ISNUMBER(_xlpm.ulim)),MIN(_xlpm.v,_xlpm.ulim),_xlpm.v))</f>
        <v/>
      </c>
      <c r="K129" s="176"/>
      <c r="L129" s="177" t="str">
        <f t="shared" si="21"/>
        <v/>
      </c>
      <c r="M129" s="177" t="str">
        <f t="shared" si="22"/>
        <v/>
      </c>
      <c r="N129" s="380" t="str">
        <f>IF($A129="","",IF($C129=0,_xlfn.LET(_xlpm.x,IFERROR(_xlfn.XLOOKUP($A129,Util_Tags,Util_XR),""),IF(N(_xlpm.x)=0,Xfmr_DefXR,_xlpm.x)),IF(LEFT($A129,2)="T-",IFERROR(_xlfn.XLOOKUP($A129,Transformers!$A$6:$A$105,Transformers!$AH$6:$AH$105),Xfmr_DefXR),IFERROR(_xlfn.XLOOKUP($E129,$A$6:$A$255,$N$6:$N$255),Xfmr_DefXR))))</f>
        <v/>
      </c>
      <c r="O129" s="177" t="str">
        <f t="shared" si="23"/>
        <v/>
      </c>
      <c r="P129" s="210" t="str">
        <f>IF($A129="","",IF(LEFT($A129,2)="T-",IF($CO129="","",_xlfn.LET(_xlpm.k,IFERROR(_xlfn.XLOOKUP($A129,Transformers!$A$6:$A$105,Transformers!$G$6:$G$105),""),_xlpm.sv,IFERROR(_xlfn.XLOOKUP($A129,Transformers!$A$6:$A$105,Transformers!$E$6:$E$105),""),IF(OR(NOT(ISNUMBER(_xlpm.k)),NOT(ISNUMBER(_xlpm.sv)),_xlpm.sv=0),"",_xlfn.LET(_xlpm.iInf,(_xlpm.k*1000/(_xlpm.sv/2))*100/$CO129,_xlpm.pri,IF(OR($CK129="",$CK129=0),"",$CK129/2),_xlpm.base,IF(_xlpm.pri="",_xlpm.iInf,_xlpm.iInf/(1+_xlpm.iInf/_xlpm.pri)),_xlpm.base+IF($L129="",0,$L129))))),IF($CP129="","",_xlfn.LET(_xlpm.pI,IFERROR(_xlfn.XLOOKUP($E129,$A$6:$A$255,$P$6:$P$255),""),IF(NOT(ISNUMBER(_xlpm.pI)),"",_xlpm.pI/(1+$CP129)+IF($L129="",0,$L129))))))</f>
        <v/>
      </c>
      <c r="Q129" s="210" t="str">
        <f t="shared" si="24"/>
        <v/>
      </c>
      <c r="R129" s="177" t="str">
        <f>IF($A129="","",IF(OR($C129=0,LEFT($A129,2)="T-"),"",IFERROR(_xlfn.LET(_xlpm.v,_xlfn.XLOOKUP($A129,Dashboard!$A$101:$A$350,Dashboard!$K$101:$K$350),IF(ISNUMBER(_xlpm.v),_xlpm.v,"")),"")))</f>
        <v/>
      </c>
      <c r="S129" s="211" t="str">
        <f t="shared" si="25"/>
        <v/>
      </c>
      <c r="T129" s="25" t="str">
        <f t="shared" si="26"/>
        <v/>
      </c>
      <c r="U129" s="364"/>
      <c r="BV129" s="20" t="str">
        <f>IF($A129="","",IFERROR(_xlfn.XLOOKUP("F-"&amp;$A129,'Feeder Schedule'!$B$5:$B$254,'Feeder Schedule'!$H$5:$H$254),""))</f>
        <v/>
      </c>
      <c r="BW129" s="20" t="str">
        <f>IF($A129="","",IFERROR(_xlfn.XLOOKUP("F-"&amp;$A129,'Feeder Schedule'!$B$5:$B$254,'Feeder Schedule'!$BV$5:$BV$254),""))</f>
        <v/>
      </c>
      <c r="BX129" s="20" t="str">
        <f>IF($A129="","",IFERROR(_xlfn.LET(_xlpm.v,_xlfn.XLOOKUP("F-"&amp;$A129,'Feeder Schedule'!$B$5:$B$254,'Feeder Schedule'!$M$5:$M$254),IF(OR(_xlpm.v="",_xlpm.v=0),Cfg_Conduit,_xlpm.v)),""))</f>
        <v/>
      </c>
      <c r="BY129" s="20" t="str">
        <f>IF($A129="","",IFERROR(_xlfn.XLOOKUP("F-"&amp;$A129,'Feeder Schedule'!$B$5:$B$254,'Feeder Schedule'!$O$5:$O$254),""))</f>
        <v/>
      </c>
      <c r="BZ129" s="20" t="str">
        <f>IF($A129="","",IFERROR(_xlfn.XLOOKUP("F-"&amp;$A129,'Feeder Schedule'!$B$5:$B$254,'Feeder Schedule'!$CH$5:$CH$254),""))</f>
        <v/>
      </c>
      <c r="CA129" s="20" t="str">
        <f>IF($A129="","",IFERROR(_xlfn.XLOOKUP("F-"&amp;$A129,'Feeder Schedule'!$B$5:$B$254,'Feeder Schedule'!$F$5:$F$254),""))</f>
        <v/>
      </c>
      <c r="CB129" s="20" t="str">
        <f>IF($A129="","",IFERROR(_xlfn.XLOOKUP("F-"&amp;$A129,'Feeder Schedule'!$B$5:$B$254,'Feeder Schedule'!$G$5:$G$254),""))</f>
        <v/>
      </c>
      <c r="CD129" s="20" t="str" cm="1">
        <f t="array" ref="CD129">IFERROR(IF($A129="","",INDEX(_xlfn.ANCHORARRAY($BK$4),ROW()-5,6)),"")</f>
        <v/>
      </c>
      <c r="CE129" s="20" t="str">
        <f t="shared" si="29"/>
        <v/>
      </c>
      <c r="CF129" s="20" t="str">
        <f t="shared" si="30"/>
        <v/>
      </c>
      <c r="CG129" s="20" t="str">
        <f t="shared" si="27"/>
        <v/>
      </c>
      <c r="CH129" s="20" t="str" cm="1">
        <f t="array" ref="CH129">IF(OR($A129="",$BZ129="",$BW129="",$BX129=""),"",_xlfn.LET(_xlpm.mag,IFERROR(_xlfn.XLOOKUP($BX129,Race_Raceway,Race_Mag),""),IF(_xlpm.mag="","",IFERROR(INDEX(Cond_Table,MATCH($BZ129,Cond_Size,0),IF(UPPER($BW129)="AL",IF(_xlpm.mag="Y",10,12),IF(_xlpm.mag="Y",9,11))),""))))</f>
        <v/>
      </c>
      <c r="CI129" s="20" t="str">
        <f t="shared" si="28"/>
        <v/>
      </c>
      <c r="CJ129" s="20" t="str">
        <f>IF(OR($A129="",LEFT($A129,2)&lt;&gt;"T-"),"",IFERROR(_xlfn.LET(_xlpm.fla,_xlfn.XLOOKUP($A129,Transformers!$A$6:$A$105,Transformers!$AK$6:$AK$105),_xlpm.z,_xlfn.XLOOKUP($A129,Transformers!$A$6:$A$105,Transformers!$AX$6:$AX$105),IF(OR(_xlpm.fla="",_xlpm.z="",_xlpm.z=0),"",_xlpm.fla*100/_xlpm.z)),""))</f>
        <v/>
      </c>
      <c r="CK129" s="20" t="str">
        <f t="shared" si="31"/>
        <v/>
      </c>
      <c r="CL129" s="20" t="str">
        <f t="shared" si="32"/>
        <v/>
      </c>
      <c r="CM129" s="373"/>
      <c r="CO129" s="20" t="str">
        <f>IF(OR($A129="",LEFT($A129,2)&lt;&gt;"T-"),"",_xlfn.LET(_xlpm.ph,IFERROR(_xlfn.XLOOKUP($A129,Transformers!$A$6:$A$105,Transformers!$C$6:$C$105),""),_xlpm.rr,IFERROR(_xlfn.XLOOKUP($A129,Transformers!$A$6:$A$105,Transformers!$AG$6:$AG$105),""),_xlpm.xx,IFERROR(_xlfn.XLOOKUP($A129,Transformers!$A$6:$A$105,Transformers!$AI$6:$AI$105),""),IF(OR(_xlpm.ph&lt;&gt;1,NOT(ISNUMBER(_xlpm.rr)),NOT(ISNUMBER(_xlpm.xx))),"",SQRT((1.5*_xlpm.rr)^2+(1.2*_xlpm.xx)^2))))</f>
        <v/>
      </c>
      <c r="CP129" s="20" t="str">
        <f t="shared" si="33"/>
        <v/>
      </c>
    </row>
    <row r="130" spans="1:94" ht="15" customHeight="1" x14ac:dyDescent="0.45">
      <c r="A130" s="275" t="str" cm="1">
        <f t="array" ref="A130">IFERROR(IF(INDEX(_xlfn.ANCHORARRAY($BK$4),ROW()-5,1)="","",INDEX(_xlfn.ANCHORARRAY($BK$4),ROW()-5,1)),"")</f>
        <v/>
      </c>
      <c r="B130" s="25" t="str" cm="1">
        <f t="array" ref="B130">IFERROR(IF($A130="","",INDEX(_xlfn.ANCHORARRAY($BK$4),ROW()-5,5)),"")</f>
        <v/>
      </c>
      <c r="C130" s="178" t="str" cm="1">
        <f t="array" ref="C130">IFERROR(IF($A130="","",INDEX(_xlfn.ANCHORARRAY($BK$4),ROW()-5,7)),"")</f>
        <v/>
      </c>
      <c r="D130" s="177" t="str" cm="1">
        <f t="array" ref="D130">IFERROR(IF($A130="","",INDEX(_xlfn.ANCHORARRAY($BK$4),ROW()-5,3)),"")</f>
        <v/>
      </c>
      <c r="E130" s="25" t="str" cm="1">
        <f t="array" ref="E130">IFERROR(IF($A130="","",INDEX(_xlfn.ANCHORARRAY($BK$4),ROW()-5,2)),"")</f>
        <v/>
      </c>
      <c r="F130" s="177" t="str">
        <f t="shared" si="17"/>
        <v/>
      </c>
      <c r="G130" s="275" t="str">
        <f t="shared" si="18"/>
        <v/>
      </c>
      <c r="H130" s="180" t="str">
        <f t="shared" si="19"/>
        <v/>
      </c>
      <c r="I130" s="180" t="str">
        <f t="shared" si="20"/>
        <v/>
      </c>
      <c r="J130" s="177" t="str">
        <f>_xlfn.LET(_xlpm.v,_xlfn.LET(_xlpm.base,IF($A130="","",IF($C130=0,IFERROR(_xlfn.XLOOKUP($A130,Util_Tags,Util_SCAEff),""),IF(LEFT($A130,2)="T-",IF($CJ130="","",$CJ130/(1+IF($CL130="",0,$CL130))),IF(OR($F130="",$I130=""),"",$F130*$I130)))),_xlpm.gtag,IF(OR($A130="",NOT(OR($B130="ATS",$B130="MTS"))),"",IFERROR(_xlfn.XLOOKUP($A130,Dashboard!$A$101:$A$350,Dashboard!$L$101:$L$350,"")&amp;"","")),_xlpm.gkva,IF(_xlpm.gtag="",0,IFERROR(N(_xlfn.XLOOKUP(_xlpm.gtag,Generator!$B$53:$B$58,Generator!$S$53:$S$58,0)),0)),_xlpm.gxd,IF(_xlpm.gtag="",0,IFERROR(N(_xlfn.XLOOKUP(_xlpm.gtag,Generator!$B$53:$B$58,Generator!$U$53:$U$58,0)),0)),_xlpm.gamp,IF(OR(_xlpm.gkva=0,_xlpm.gxd=0,N($D130)=0),0,ROUND(_xlpm.gkva*1000/(IF(N($CB130)=1,1,SQRT(3))*$D130*_xlpm.gxd),0)),IF(OR(_xlpm.gamp=0,NOT(ISNUMBER(_xlpm.base))),_xlpm.base,MAX(_xlpm.base,_xlpm.gamp))),_xlpm.ulim,IF(OR($A130="",$B130&lt;&gt;"UPS"),"",IFERROR(IF(_xlfn.XLOOKUP($A130,UPS!$B$57:$B$64,UPS!$E$57:$E$64,"")="None",_xlfn.XLOOKUP($A130,UPS!$B$57:$B$64,UPS!$U$57:$U$64,""),""),"")),IF(AND(ISNUMBER(_xlpm.v),ISNUMBER(_xlpm.ulim)),MIN(_xlpm.v,_xlpm.ulim),_xlpm.v))</f>
        <v/>
      </c>
      <c r="K130" s="176"/>
      <c r="L130" s="177" t="str">
        <f t="shared" si="21"/>
        <v/>
      </c>
      <c r="M130" s="177" t="str">
        <f t="shared" si="22"/>
        <v/>
      </c>
      <c r="N130" s="380" t="str">
        <f>IF($A130="","",IF($C130=0,_xlfn.LET(_xlpm.x,IFERROR(_xlfn.XLOOKUP($A130,Util_Tags,Util_XR),""),IF(N(_xlpm.x)=0,Xfmr_DefXR,_xlpm.x)),IF(LEFT($A130,2)="T-",IFERROR(_xlfn.XLOOKUP($A130,Transformers!$A$6:$A$105,Transformers!$AH$6:$AH$105),Xfmr_DefXR),IFERROR(_xlfn.XLOOKUP($E130,$A$6:$A$255,$N$6:$N$255),Xfmr_DefXR))))</f>
        <v/>
      </c>
      <c r="O130" s="177" t="str">
        <f t="shared" si="23"/>
        <v/>
      </c>
      <c r="P130" s="210" t="str">
        <f>IF($A130="","",IF(LEFT($A130,2)="T-",IF($CO130="","",_xlfn.LET(_xlpm.k,IFERROR(_xlfn.XLOOKUP($A130,Transformers!$A$6:$A$105,Transformers!$G$6:$G$105),""),_xlpm.sv,IFERROR(_xlfn.XLOOKUP($A130,Transformers!$A$6:$A$105,Transformers!$E$6:$E$105),""),IF(OR(NOT(ISNUMBER(_xlpm.k)),NOT(ISNUMBER(_xlpm.sv)),_xlpm.sv=0),"",_xlfn.LET(_xlpm.iInf,(_xlpm.k*1000/(_xlpm.sv/2))*100/$CO130,_xlpm.pri,IF(OR($CK130="",$CK130=0),"",$CK130/2),_xlpm.base,IF(_xlpm.pri="",_xlpm.iInf,_xlpm.iInf/(1+_xlpm.iInf/_xlpm.pri)),_xlpm.base+IF($L130="",0,$L130))))),IF($CP130="","",_xlfn.LET(_xlpm.pI,IFERROR(_xlfn.XLOOKUP($E130,$A$6:$A$255,$P$6:$P$255),""),IF(NOT(ISNUMBER(_xlpm.pI)),"",_xlpm.pI/(1+$CP130)+IF($L130="",0,$L130))))))</f>
        <v/>
      </c>
      <c r="Q130" s="210" t="str">
        <f t="shared" si="24"/>
        <v/>
      </c>
      <c r="R130" s="177" t="str">
        <f>IF($A130="","",IF(OR($C130=0,LEFT($A130,2)="T-"),"",IFERROR(_xlfn.LET(_xlpm.v,_xlfn.XLOOKUP($A130,Dashboard!$A$101:$A$350,Dashboard!$K$101:$K$350),IF(ISNUMBER(_xlpm.v),_xlpm.v,"")),"")))</f>
        <v/>
      </c>
      <c r="S130" s="211" t="str">
        <f t="shared" si="25"/>
        <v/>
      </c>
      <c r="T130" s="25" t="str">
        <f t="shared" si="26"/>
        <v/>
      </c>
      <c r="U130" s="364"/>
      <c r="BV130" s="20" t="str">
        <f>IF($A130="","",IFERROR(_xlfn.XLOOKUP("F-"&amp;$A130,'Feeder Schedule'!$B$5:$B$254,'Feeder Schedule'!$H$5:$H$254),""))</f>
        <v/>
      </c>
      <c r="BW130" s="20" t="str">
        <f>IF($A130="","",IFERROR(_xlfn.XLOOKUP("F-"&amp;$A130,'Feeder Schedule'!$B$5:$B$254,'Feeder Schedule'!$BV$5:$BV$254),""))</f>
        <v/>
      </c>
      <c r="BX130" s="20" t="str">
        <f>IF($A130="","",IFERROR(_xlfn.LET(_xlpm.v,_xlfn.XLOOKUP("F-"&amp;$A130,'Feeder Schedule'!$B$5:$B$254,'Feeder Schedule'!$M$5:$M$254),IF(OR(_xlpm.v="",_xlpm.v=0),Cfg_Conduit,_xlpm.v)),""))</f>
        <v/>
      </c>
      <c r="BY130" s="20" t="str">
        <f>IF($A130="","",IFERROR(_xlfn.XLOOKUP("F-"&amp;$A130,'Feeder Schedule'!$B$5:$B$254,'Feeder Schedule'!$O$5:$O$254),""))</f>
        <v/>
      </c>
      <c r="BZ130" s="20" t="str">
        <f>IF($A130="","",IFERROR(_xlfn.XLOOKUP("F-"&amp;$A130,'Feeder Schedule'!$B$5:$B$254,'Feeder Schedule'!$CH$5:$CH$254),""))</f>
        <v/>
      </c>
      <c r="CA130" s="20" t="str">
        <f>IF($A130="","",IFERROR(_xlfn.XLOOKUP("F-"&amp;$A130,'Feeder Schedule'!$B$5:$B$254,'Feeder Schedule'!$F$5:$F$254),""))</f>
        <v/>
      </c>
      <c r="CB130" s="20" t="str">
        <f>IF($A130="","",IFERROR(_xlfn.XLOOKUP("F-"&amp;$A130,'Feeder Schedule'!$B$5:$B$254,'Feeder Schedule'!$G$5:$G$254),""))</f>
        <v/>
      </c>
      <c r="CD130" s="20" t="str" cm="1">
        <f t="array" ref="CD130">IFERROR(IF($A130="","",INDEX(_xlfn.ANCHORARRAY($BK$4),ROW()-5,6)),"")</f>
        <v/>
      </c>
      <c r="CE130" s="20" t="str">
        <f t="shared" si="29"/>
        <v/>
      </c>
      <c r="CF130" s="20" t="str">
        <f t="shared" si="30"/>
        <v/>
      </c>
      <c r="CG130" s="20" t="str">
        <f t="shared" si="27"/>
        <v/>
      </c>
      <c r="CH130" s="20" t="str" cm="1">
        <f t="array" ref="CH130">IF(OR($A130="",$BZ130="",$BW130="",$BX130=""),"",_xlfn.LET(_xlpm.mag,IFERROR(_xlfn.XLOOKUP($BX130,Race_Raceway,Race_Mag),""),IF(_xlpm.mag="","",IFERROR(INDEX(Cond_Table,MATCH($BZ130,Cond_Size,0),IF(UPPER($BW130)="AL",IF(_xlpm.mag="Y",10,12),IF(_xlpm.mag="Y",9,11))),""))))</f>
        <v/>
      </c>
      <c r="CI130" s="20" t="str">
        <f t="shared" si="28"/>
        <v/>
      </c>
      <c r="CJ130" s="20" t="str">
        <f>IF(OR($A130="",LEFT($A130,2)&lt;&gt;"T-"),"",IFERROR(_xlfn.LET(_xlpm.fla,_xlfn.XLOOKUP($A130,Transformers!$A$6:$A$105,Transformers!$AK$6:$AK$105),_xlpm.z,_xlfn.XLOOKUP($A130,Transformers!$A$6:$A$105,Transformers!$AX$6:$AX$105),IF(OR(_xlpm.fla="",_xlpm.z="",_xlpm.z=0),"",_xlpm.fla*100/_xlpm.z)),""))</f>
        <v/>
      </c>
      <c r="CK130" s="20" t="str">
        <f t="shared" si="31"/>
        <v/>
      </c>
      <c r="CL130" s="20" t="str">
        <f t="shared" si="32"/>
        <v/>
      </c>
      <c r="CM130" s="373"/>
      <c r="CO130" s="20" t="str">
        <f>IF(OR($A130="",LEFT($A130,2)&lt;&gt;"T-"),"",_xlfn.LET(_xlpm.ph,IFERROR(_xlfn.XLOOKUP($A130,Transformers!$A$6:$A$105,Transformers!$C$6:$C$105),""),_xlpm.rr,IFERROR(_xlfn.XLOOKUP($A130,Transformers!$A$6:$A$105,Transformers!$AG$6:$AG$105),""),_xlpm.xx,IFERROR(_xlfn.XLOOKUP($A130,Transformers!$A$6:$A$105,Transformers!$AI$6:$AI$105),""),IF(OR(_xlpm.ph&lt;&gt;1,NOT(ISNUMBER(_xlpm.rr)),NOT(ISNUMBER(_xlpm.xx))),"",SQRT((1.5*_xlpm.rr)^2+(1.2*_xlpm.xx)^2))))</f>
        <v/>
      </c>
      <c r="CP130" s="20" t="str">
        <f t="shared" si="33"/>
        <v/>
      </c>
    </row>
    <row r="131" spans="1:94" ht="15" customHeight="1" x14ac:dyDescent="0.45">
      <c r="A131" s="275" t="str" cm="1">
        <f t="array" ref="A131">IFERROR(IF(INDEX(_xlfn.ANCHORARRAY($BK$4),ROW()-5,1)="","",INDEX(_xlfn.ANCHORARRAY($BK$4),ROW()-5,1)),"")</f>
        <v/>
      </c>
      <c r="B131" s="25" t="str" cm="1">
        <f t="array" ref="B131">IFERROR(IF($A131="","",INDEX(_xlfn.ANCHORARRAY($BK$4),ROW()-5,5)),"")</f>
        <v/>
      </c>
      <c r="C131" s="178" t="str" cm="1">
        <f t="array" ref="C131">IFERROR(IF($A131="","",INDEX(_xlfn.ANCHORARRAY($BK$4),ROW()-5,7)),"")</f>
        <v/>
      </c>
      <c r="D131" s="177" t="str" cm="1">
        <f t="array" ref="D131">IFERROR(IF($A131="","",INDEX(_xlfn.ANCHORARRAY($BK$4),ROW()-5,3)),"")</f>
        <v/>
      </c>
      <c r="E131" s="25" t="str" cm="1">
        <f t="array" ref="E131">IFERROR(IF($A131="","",INDEX(_xlfn.ANCHORARRAY($BK$4),ROW()-5,2)),"")</f>
        <v/>
      </c>
      <c r="F131" s="177" t="str">
        <f t="shared" si="17"/>
        <v/>
      </c>
      <c r="G131" s="275" t="str">
        <f t="shared" si="18"/>
        <v/>
      </c>
      <c r="H131" s="180" t="str">
        <f t="shared" si="19"/>
        <v/>
      </c>
      <c r="I131" s="180" t="str">
        <f t="shared" si="20"/>
        <v/>
      </c>
      <c r="J131" s="177" t="str">
        <f>_xlfn.LET(_xlpm.v,_xlfn.LET(_xlpm.base,IF($A131="","",IF($C131=0,IFERROR(_xlfn.XLOOKUP($A131,Util_Tags,Util_SCAEff),""),IF(LEFT($A131,2)="T-",IF($CJ131="","",$CJ131/(1+IF($CL131="",0,$CL131))),IF(OR($F131="",$I131=""),"",$F131*$I131)))),_xlpm.gtag,IF(OR($A131="",NOT(OR($B131="ATS",$B131="MTS"))),"",IFERROR(_xlfn.XLOOKUP($A131,Dashboard!$A$101:$A$350,Dashboard!$L$101:$L$350,"")&amp;"","")),_xlpm.gkva,IF(_xlpm.gtag="",0,IFERROR(N(_xlfn.XLOOKUP(_xlpm.gtag,Generator!$B$53:$B$58,Generator!$S$53:$S$58,0)),0)),_xlpm.gxd,IF(_xlpm.gtag="",0,IFERROR(N(_xlfn.XLOOKUP(_xlpm.gtag,Generator!$B$53:$B$58,Generator!$U$53:$U$58,0)),0)),_xlpm.gamp,IF(OR(_xlpm.gkva=0,_xlpm.gxd=0,N($D131)=0),0,ROUND(_xlpm.gkva*1000/(IF(N($CB131)=1,1,SQRT(3))*$D131*_xlpm.gxd),0)),IF(OR(_xlpm.gamp=0,NOT(ISNUMBER(_xlpm.base))),_xlpm.base,MAX(_xlpm.base,_xlpm.gamp))),_xlpm.ulim,IF(OR($A131="",$B131&lt;&gt;"UPS"),"",IFERROR(IF(_xlfn.XLOOKUP($A131,UPS!$B$57:$B$64,UPS!$E$57:$E$64,"")="None",_xlfn.XLOOKUP($A131,UPS!$B$57:$B$64,UPS!$U$57:$U$64,""),""),"")),IF(AND(ISNUMBER(_xlpm.v),ISNUMBER(_xlpm.ulim)),MIN(_xlpm.v,_xlpm.ulim),_xlpm.v))</f>
        <v/>
      </c>
      <c r="K131" s="176"/>
      <c r="L131" s="177" t="str">
        <f t="shared" si="21"/>
        <v/>
      </c>
      <c r="M131" s="177" t="str">
        <f t="shared" si="22"/>
        <v/>
      </c>
      <c r="N131" s="380" t="str">
        <f>IF($A131="","",IF($C131=0,_xlfn.LET(_xlpm.x,IFERROR(_xlfn.XLOOKUP($A131,Util_Tags,Util_XR),""),IF(N(_xlpm.x)=0,Xfmr_DefXR,_xlpm.x)),IF(LEFT($A131,2)="T-",IFERROR(_xlfn.XLOOKUP($A131,Transformers!$A$6:$A$105,Transformers!$AH$6:$AH$105),Xfmr_DefXR),IFERROR(_xlfn.XLOOKUP($E131,$A$6:$A$255,$N$6:$N$255),Xfmr_DefXR))))</f>
        <v/>
      </c>
      <c r="O131" s="177" t="str">
        <f t="shared" si="23"/>
        <v/>
      </c>
      <c r="P131" s="210" t="str">
        <f>IF($A131="","",IF(LEFT($A131,2)="T-",IF($CO131="","",_xlfn.LET(_xlpm.k,IFERROR(_xlfn.XLOOKUP($A131,Transformers!$A$6:$A$105,Transformers!$G$6:$G$105),""),_xlpm.sv,IFERROR(_xlfn.XLOOKUP($A131,Transformers!$A$6:$A$105,Transformers!$E$6:$E$105),""),IF(OR(NOT(ISNUMBER(_xlpm.k)),NOT(ISNUMBER(_xlpm.sv)),_xlpm.sv=0),"",_xlfn.LET(_xlpm.iInf,(_xlpm.k*1000/(_xlpm.sv/2))*100/$CO131,_xlpm.pri,IF(OR($CK131="",$CK131=0),"",$CK131/2),_xlpm.base,IF(_xlpm.pri="",_xlpm.iInf,_xlpm.iInf/(1+_xlpm.iInf/_xlpm.pri)),_xlpm.base+IF($L131="",0,$L131))))),IF($CP131="","",_xlfn.LET(_xlpm.pI,IFERROR(_xlfn.XLOOKUP($E131,$A$6:$A$255,$P$6:$P$255),""),IF(NOT(ISNUMBER(_xlpm.pI)),"",_xlpm.pI/(1+$CP131)+IF($L131="",0,$L131))))))</f>
        <v/>
      </c>
      <c r="Q131" s="210" t="str">
        <f t="shared" si="24"/>
        <v/>
      </c>
      <c r="R131" s="177" t="str">
        <f>IF($A131="","",IF(OR($C131=0,LEFT($A131,2)="T-"),"",IFERROR(_xlfn.LET(_xlpm.v,_xlfn.XLOOKUP($A131,Dashboard!$A$101:$A$350,Dashboard!$K$101:$K$350),IF(ISNUMBER(_xlpm.v),_xlpm.v,"")),"")))</f>
        <v/>
      </c>
      <c r="S131" s="211" t="str">
        <f t="shared" si="25"/>
        <v/>
      </c>
      <c r="T131" s="25" t="str">
        <f t="shared" si="26"/>
        <v/>
      </c>
      <c r="U131" s="364"/>
      <c r="BV131" s="20" t="str">
        <f>IF($A131="","",IFERROR(_xlfn.XLOOKUP("F-"&amp;$A131,'Feeder Schedule'!$B$5:$B$254,'Feeder Schedule'!$H$5:$H$254),""))</f>
        <v/>
      </c>
      <c r="BW131" s="20" t="str">
        <f>IF($A131="","",IFERROR(_xlfn.XLOOKUP("F-"&amp;$A131,'Feeder Schedule'!$B$5:$B$254,'Feeder Schedule'!$BV$5:$BV$254),""))</f>
        <v/>
      </c>
      <c r="BX131" s="20" t="str">
        <f>IF($A131="","",IFERROR(_xlfn.LET(_xlpm.v,_xlfn.XLOOKUP("F-"&amp;$A131,'Feeder Schedule'!$B$5:$B$254,'Feeder Schedule'!$M$5:$M$254),IF(OR(_xlpm.v="",_xlpm.v=0),Cfg_Conduit,_xlpm.v)),""))</f>
        <v/>
      </c>
      <c r="BY131" s="20" t="str">
        <f>IF($A131="","",IFERROR(_xlfn.XLOOKUP("F-"&amp;$A131,'Feeder Schedule'!$B$5:$B$254,'Feeder Schedule'!$O$5:$O$254),""))</f>
        <v/>
      </c>
      <c r="BZ131" s="20" t="str">
        <f>IF($A131="","",IFERROR(_xlfn.XLOOKUP("F-"&amp;$A131,'Feeder Schedule'!$B$5:$B$254,'Feeder Schedule'!$CH$5:$CH$254),""))</f>
        <v/>
      </c>
      <c r="CA131" s="20" t="str">
        <f>IF($A131="","",IFERROR(_xlfn.XLOOKUP("F-"&amp;$A131,'Feeder Schedule'!$B$5:$B$254,'Feeder Schedule'!$F$5:$F$254),""))</f>
        <v/>
      </c>
      <c r="CB131" s="20" t="str">
        <f>IF($A131="","",IFERROR(_xlfn.XLOOKUP("F-"&amp;$A131,'Feeder Schedule'!$B$5:$B$254,'Feeder Schedule'!$G$5:$G$254),""))</f>
        <v/>
      </c>
      <c r="CD131" s="20" t="str" cm="1">
        <f t="array" ref="CD131">IFERROR(IF($A131="","",INDEX(_xlfn.ANCHORARRAY($BK$4),ROW()-5,6)),"")</f>
        <v/>
      </c>
      <c r="CE131" s="20" t="str">
        <f t="shared" si="29"/>
        <v/>
      </c>
      <c r="CF131" s="20" t="str">
        <f t="shared" si="30"/>
        <v/>
      </c>
      <c r="CG131" s="20" t="str">
        <f t="shared" si="27"/>
        <v/>
      </c>
      <c r="CH131" s="20" t="str" cm="1">
        <f t="array" ref="CH131">IF(OR($A131="",$BZ131="",$BW131="",$BX131=""),"",_xlfn.LET(_xlpm.mag,IFERROR(_xlfn.XLOOKUP($BX131,Race_Raceway,Race_Mag),""),IF(_xlpm.mag="","",IFERROR(INDEX(Cond_Table,MATCH($BZ131,Cond_Size,0),IF(UPPER($BW131)="AL",IF(_xlpm.mag="Y",10,12),IF(_xlpm.mag="Y",9,11))),""))))</f>
        <v/>
      </c>
      <c r="CI131" s="20" t="str">
        <f t="shared" si="28"/>
        <v/>
      </c>
      <c r="CJ131" s="20" t="str">
        <f>IF(OR($A131="",LEFT($A131,2)&lt;&gt;"T-"),"",IFERROR(_xlfn.LET(_xlpm.fla,_xlfn.XLOOKUP($A131,Transformers!$A$6:$A$105,Transformers!$AK$6:$AK$105),_xlpm.z,_xlfn.XLOOKUP($A131,Transformers!$A$6:$A$105,Transformers!$AX$6:$AX$105),IF(OR(_xlpm.fla="",_xlpm.z="",_xlpm.z=0),"",_xlpm.fla*100/_xlpm.z)),""))</f>
        <v/>
      </c>
      <c r="CK131" s="20" t="str">
        <f t="shared" si="31"/>
        <v/>
      </c>
      <c r="CL131" s="20" t="str">
        <f t="shared" si="32"/>
        <v/>
      </c>
      <c r="CM131" s="373"/>
      <c r="CO131" s="20" t="str">
        <f>IF(OR($A131="",LEFT($A131,2)&lt;&gt;"T-"),"",_xlfn.LET(_xlpm.ph,IFERROR(_xlfn.XLOOKUP($A131,Transformers!$A$6:$A$105,Transformers!$C$6:$C$105),""),_xlpm.rr,IFERROR(_xlfn.XLOOKUP($A131,Transformers!$A$6:$A$105,Transformers!$AG$6:$AG$105),""),_xlpm.xx,IFERROR(_xlfn.XLOOKUP($A131,Transformers!$A$6:$A$105,Transformers!$AI$6:$AI$105),""),IF(OR(_xlpm.ph&lt;&gt;1,NOT(ISNUMBER(_xlpm.rr)),NOT(ISNUMBER(_xlpm.xx))),"",SQRT((1.5*_xlpm.rr)^2+(1.2*_xlpm.xx)^2))))</f>
        <v/>
      </c>
      <c r="CP131" s="20" t="str">
        <f t="shared" si="33"/>
        <v/>
      </c>
    </row>
    <row r="132" spans="1:94" ht="15" customHeight="1" x14ac:dyDescent="0.45">
      <c r="A132" s="275" t="str" cm="1">
        <f t="array" ref="A132">IFERROR(IF(INDEX(_xlfn.ANCHORARRAY($BK$4),ROW()-5,1)="","",INDEX(_xlfn.ANCHORARRAY($BK$4),ROW()-5,1)),"")</f>
        <v/>
      </c>
      <c r="B132" s="25" t="str" cm="1">
        <f t="array" ref="B132">IFERROR(IF($A132="","",INDEX(_xlfn.ANCHORARRAY($BK$4),ROW()-5,5)),"")</f>
        <v/>
      </c>
      <c r="C132" s="178" t="str" cm="1">
        <f t="array" ref="C132">IFERROR(IF($A132="","",INDEX(_xlfn.ANCHORARRAY($BK$4),ROW()-5,7)),"")</f>
        <v/>
      </c>
      <c r="D132" s="177" t="str" cm="1">
        <f t="array" ref="D132">IFERROR(IF($A132="","",INDEX(_xlfn.ANCHORARRAY($BK$4),ROW()-5,3)),"")</f>
        <v/>
      </c>
      <c r="E132" s="25" t="str" cm="1">
        <f t="array" ref="E132">IFERROR(IF($A132="","",INDEX(_xlfn.ANCHORARRAY($BK$4),ROW()-5,2)),"")</f>
        <v/>
      </c>
      <c r="F132" s="177" t="str">
        <f t="shared" si="17"/>
        <v/>
      </c>
      <c r="G132" s="275" t="str">
        <f t="shared" si="18"/>
        <v/>
      </c>
      <c r="H132" s="180" t="str">
        <f t="shared" si="19"/>
        <v/>
      </c>
      <c r="I132" s="180" t="str">
        <f t="shared" si="20"/>
        <v/>
      </c>
      <c r="J132" s="177" t="str">
        <f>_xlfn.LET(_xlpm.v,_xlfn.LET(_xlpm.base,IF($A132="","",IF($C132=0,IFERROR(_xlfn.XLOOKUP($A132,Util_Tags,Util_SCAEff),""),IF(LEFT($A132,2)="T-",IF($CJ132="","",$CJ132/(1+IF($CL132="",0,$CL132))),IF(OR($F132="",$I132=""),"",$F132*$I132)))),_xlpm.gtag,IF(OR($A132="",NOT(OR($B132="ATS",$B132="MTS"))),"",IFERROR(_xlfn.XLOOKUP($A132,Dashboard!$A$101:$A$350,Dashboard!$L$101:$L$350,"")&amp;"","")),_xlpm.gkva,IF(_xlpm.gtag="",0,IFERROR(N(_xlfn.XLOOKUP(_xlpm.gtag,Generator!$B$53:$B$58,Generator!$S$53:$S$58,0)),0)),_xlpm.gxd,IF(_xlpm.gtag="",0,IFERROR(N(_xlfn.XLOOKUP(_xlpm.gtag,Generator!$B$53:$B$58,Generator!$U$53:$U$58,0)),0)),_xlpm.gamp,IF(OR(_xlpm.gkva=0,_xlpm.gxd=0,N($D132)=0),0,ROUND(_xlpm.gkva*1000/(IF(N($CB132)=1,1,SQRT(3))*$D132*_xlpm.gxd),0)),IF(OR(_xlpm.gamp=0,NOT(ISNUMBER(_xlpm.base))),_xlpm.base,MAX(_xlpm.base,_xlpm.gamp))),_xlpm.ulim,IF(OR($A132="",$B132&lt;&gt;"UPS"),"",IFERROR(IF(_xlfn.XLOOKUP($A132,UPS!$B$57:$B$64,UPS!$E$57:$E$64,"")="None",_xlfn.XLOOKUP($A132,UPS!$B$57:$B$64,UPS!$U$57:$U$64,""),""),"")),IF(AND(ISNUMBER(_xlpm.v),ISNUMBER(_xlpm.ulim)),MIN(_xlpm.v,_xlpm.ulim),_xlpm.v))</f>
        <v/>
      </c>
      <c r="K132" s="176"/>
      <c r="L132" s="177" t="str">
        <f t="shared" si="21"/>
        <v/>
      </c>
      <c r="M132" s="177" t="str">
        <f t="shared" si="22"/>
        <v/>
      </c>
      <c r="N132" s="380" t="str">
        <f>IF($A132="","",IF($C132=0,_xlfn.LET(_xlpm.x,IFERROR(_xlfn.XLOOKUP($A132,Util_Tags,Util_XR),""),IF(N(_xlpm.x)=0,Xfmr_DefXR,_xlpm.x)),IF(LEFT($A132,2)="T-",IFERROR(_xlfn.XLOOKUP($A132,Transformers!$A$6:$A$105,Transformers!$AH$6:$AH$105),Xfmr_DefXR),IFERROR(_xlfn.XLOOKUP($E132,$A$6:$A$255,$N$6:$N$255),Xfmr_DefXR))))</f>
        <v/>
      </c>
      <c r="O132" s="177" t="str">
        <f t="shared" si="23"/>
        <v/>
      </c>
      <c r="P132" s="210" t="str">
        <f>IF($A132="","",IF(LEFT($A132,2)="T-",IF($CO132="","",_xlfn.LET(_xlpm.k,IFERROR(_xlfn.XLOOKUP($A132,Transformers!$A$6:$A$105,Transformers!$G$6:$G$105),""),_xlpm.sv,IFERROR(_xlfn.XLOOKUP($A132,Transformers!$A$6:$A$105,Transformers!$E$6:$E$105),""),IF(OR(NOT(ISNUMBER(_xlpm.k)),NOT(ISNUMBER(_xlpm.sv)),_xlpm.sv=0),"",_xlfn.LET(_xlpm.iInf,(_xlpm.k*1000/(_xlpm.sv/2))*100/$CO132,_xlpm.pri,IF(OR($CK132="",$CK132=0),"",$CK132/2),_xlpm.base,IF(_xlpm.pri="",_xlpm.iInf,_xlpm.iInf/(1+_xlpm.iInf/_xlpm.pri)),_xlpm.base+IF($L132="",0,$L132))))),IF($CP132="","",_xlfn.LET(_xlpm.pI,IFERROR(_xlfn.XLOOKUP($E132,$A$6:$A$255,$P$6:$P$255),""),IF(NOT(ISNUMBER(_xlpm.pI)),"",_xlpm.pI/(1+$CP132)+IF($L132="",0,$L132))))))</f>
        <v/>
      </c>
      <c r="Q132" s="210" t="str">
        <f t="shared" si="24"/>
        <v/>
      </c>
      <c r="R132" s="177" t="str">
        <f>IF($A132="","",IF(OR($C132=0,LEFT($A132,2)="T-"),"",IFERROR(_xlfn.LET(_xlpm.v,_xlfn.XLOOKUP($A132,Dashboard!$A$101:$A$350,Dashboard!$K$101:$K$350),IF(ISNUMBER(_xlpm.v),_xlpm.v,"")),"")))</f>
        <v/>
      </c>
      <c r="S132" s="211" t="str">
        <f t="shared" si="25"/>
        <v/>
      </c>
      <c r="T132" s="25" t="str">
        <f t="shared" si="26"/>
        <v/>
      </c>
      <c r="U132" s="364"/>
      <c r="BV132" s="20" t="str">
        <f>IF($A132="","",IFERROR(_xlfn.XLOOKUP("F-"&amp;$A132,'Feeder Schedule'!$B$5:$B$254,'Feeder Schedule'!$H$5:$H$254),""))</f>
        <v/>
      </c>
      <c r="BW132" s="20" t="str">
        <f>IF($A132="","",IFERROR(_xlfn.XLOOKUP("F-"&amp;$A132,'Feeder Schedule'!$B$5:$B$254,'Feeder Schedule'!$BV$5:$BV$254),""))</f>
        <v/>
      </c>
      <c r="BX132" s="20" t="str">
        <f>IF($A132="","",IFERROR(_xlfn.LET(_xlpm.v,_xlfn.XLOOKUP("F-"&amp;$A132,'Feeder Schedule'!$B$5:$B$254,'Feeder Schedule'!$M$5:$M$254),IF(OR(_xlpm.v="",_xlpm.v=0),Cfg_Conduit,_xlpm.v)),""))</f>
        <v/>
      </c>
      <c r="BY132" s="20" t="str">
        <f>IF($A132="","",IFERROR(_xlfn.XLOOKUP("F-"&amp;$A132,'Feeder Schedule'!$B$5:$B$254,'Feeder Schedule'!$O$5:$O$254),""))</f>
        <v/>
      </c>
      <c r="BZ132" s="20" t="str">
        <f>IF($A132="","",IFERROR(_xlfn.XLOOKUP("F-"&amp;$A132,'Feeder Schedule'!$B$5:$B$254,'Feeder Schedule'!$CH$5:$CH$254),""))</f>
        <v/>
      </c>
      <c r="CA132" s="20" t="str">
        <f>IF($A132="","",IFERROR(_xlfn.XLOOKUP("F-"&amp;$A132,'Feeder Schedule'!$B$5:$B$254,'Feeder Schedule'!$F$5:$F$254),""))</f>
        <v/>
      </c>
      <c r="CB132" s="20" t="str">
        <f>IF($A132="","",IFERROR(_xlfn.XLOOKUP("F-"&amp;$A132,'Feeder Schedule'!$B$5:$B$254,'Feeder Schedule'!$G$5:$G$254),""))</f>
        <v/>
      </c>
      <c r="CD132" s="20" t="str" cm="1">
        <f t="array" ref="CD132">IFERROR(IF($A132="","",INDEX(_xlfn.ANCHORARRAY($BK$4),ROW()-5,6)),"")</f>
        <v/>
      </c>
      <c r="CE132" s="20" t="str">
        <f t="shared" si="29"/>
        <v/>
      </c>
      <c r="CF132" s="20" t="str">
        <f t="shared" si="30"/>
        <v/>
      </c>
      <c r="CG132" s="20" t="str">
        <f t="shared" si="27"/>
        <v/>
      </c>
      <c r="CH132" s="20" t="str" cm="1">
        <f t="array" ref="CH132">IF(OR($A132="",$BZ132="",$BW132="",$BX132=""),"",_xlfn.LET(_xlpm.mag,IFERROR(_xlfn.XLOOKUP($BX132,Race_Raceway,Race_Mag),""),IF(_xlpm.mag="","",IFERROR(INDEX(Cond_Table,MATCH($BZ132,Cond_Size,0),IF(UPPER($BW132)="AL",IF(_xlpm.mag="Y",10,12),IF(_xlpm.mag="Y",9,11))),""))))</f>
        <v/>
      </c>
      <c r="CI132" s="20" t="str">
        <f t="shared" si="28"/>
        <v/>
      </c>
      <c r="CJ132" s="20" t="str">
        <f>IF(OR($A132="",LEFT($A132,2)&lt;&gt;"T-"),"",IFERROR(_xlfn.LET(_xlpm.fla,_xlfn.XLOOKUP($A132,Transformers!$A$6:$A$105,Transformers!$AK$6:$AK$105),_xlpm.z,_xlfn.XLOOKUP($A132,Transformers!$A$6:$A$105,Transformers!$AX$6:$AX$105),IF(OR(_xlpm.fla="",_xlpm.z="",_xlpm.z=0),"",_xlpm.fla*100/_xlpm.z)),""))</f>
        <v/>
      </c>
      <c r="CK132" s="20" t="str">
        <f t="shared" si="31"/>
        <v/>
      </c>
      <c r="CL132" s="20" t="str">
        <f t="shared" si="32"/>
        <v/>
      </c>
      <c r="CM132" s="373"/>
      <c r="CO132" s="20" t="str">
        <f>IF(OR($A132="",LEFT($A132,2)&lt;&gt;"T-"),"",_xlfn.LET(_xlpm.ph,IFERROR(_xlfn.XLOOKUP($A132,Transformers!$A$6:$A$105,Transformers!$C$6:$C$105),""),_xlpm.rr,IFERROR(_xlfn.XLOOKUP($A132,Transformers!$A$6:$A$105,Transformers!$AG$6:$AG$105),""),_xlpm.xx,IFERROR(_xlfn.XLOOKUP($A132,Transformers!$A$6:$A$105,Transformers!$AI$6:$AI$105),""),IF(OR(_xlpm.ph&lt;&gt;1,NOT(ISNUMBER(_xlpm.rr)),NOT(ISNUMBER(_xlpm.xx))),"",SQRT((1.5*_xlpm.rr)^2+(1.2*_xlpm.xx)^2))))</f>
        <v/>
      </c>
      <c r="CP132" s="20" t="str">
        <f t="shared" si="33"/>
        <v/>
      </c>
    </row>
    <row r="133" spans="1:94" ht="15" customHeight="1" x14ac:dyDescent="0.45">
      <c r="A133" s="275" t="str" cm="1">
        <f t="array" ref="A133">IFERROR(IF(INDEX(_xlfn.ANCHORARRAY($BK$4),ROW()-5,1)="","",INDEX(_xlfn.ANCHORARRAY($BK$4),ROW()-5,1)),"")</f>
        <v/>
      </c>
      <c r="B133" s="25" t="str" cm="1">
        <f t="array" ref="B133">IFERROR(IF($A133="","",INDEX(_xlfn.ANCHORARRAY($BK$4),ROW()-5,5)),"")</f>
        <v/>
      </c>
      <c r="C133" s="178" t="str" cm="1">
        <f t="array" ref="C133">IFERROR(IF($A133="","",INDEX(_xlfn.ANCHORARRAY($BK$4),ROW()-5,7)),"")</f>
        <v/>
      </c>
      <c r="D133" s="177" t="str" cm="1">
        <f t="array" ref="D133">IFERROR(IF($A133="","",INDEX(_xlfn.ANCHORARRAY($BK$4),ROW()-5,3)),"")</f>
        <v/>
      </c>
      <c r="E133" s="25" t="str" cm="1">
        <f t="array" ref="E133">IFERROR(IF($A133="","",INDEX(_xlfn.ANCHORARRAY($BK$4),ROW()-5,2)),"")</f>
        <v/>
      </c>
      <c r="F133" s="177" t="str">
        <f t="shared" si="17"/>
        <v/>
      </c>
      <c r="G133" s="275" t="str">
        <f t="shared" si="18"/>
        <v/>
      </c>
      <c r="H133" s="180" t="str">
        <f t="shared" si="19"/>
        <v/>
      </c>
      <c r="I133" s="180" t="str">
        <f t="shared" si="20"/>
        <v/>
      </c>
      <c r="J133" s="177" t="str">
        <f>_xlfn.LET(_xlpm.v,_xlfn.LET(_xlpm.base,IF($A133="","",IF($C133=0,IFERROR(_xlfn.XLOOKUP($A133,Util_Tags,Util_SCAEff),""),IF(LEFT($A133,2)="T-",IF($CJ133="","",$CJ133/(1+IF($CL133="",0,$CL133))),IF(OR($F133="",$I133=""),"",$F133*$I133)))),_xlpm.gtag,IF(OR($A133="",NOT(OR($B133="ATS",$B133="MTS"))),"",IFERROR(_xlfn.XLOOKUP($A133,Dashboard!$A$101:$A$350,Dashboard!$L$101:$L$350,"")&amp;"","")),_xlpm.gkva,IF(_xlpm.gtag="",0,IFERROR(N(_xlfn.XLOOKUP(_xlpm.gtag,Generator!$B$53:$B$58,Generator!$S$53:$S$58,0)),0)),_xlpm.gxd,IF(_xlpm.gtag="",0,IFERROR(N(_xlfn.XLOOKUP(_xlpm.gtag,Generator!$B$53:$B$58,Generator!$U$53:$U$58,0)),0)),_xlpm.gamp,IF(OR(_xlpm.gkva=0,_xlpm.gxd=0,N($D133)=0),0,ROUND(_xlpm.gkva*1000/(IF(N($CB133)=1,1,SQRT(3))*$D133*_xlpm.gxd),0)),IF(OR(_xlpm.gamp=0,NOT(ISNUMBER(_xlpm.base))),_xlpm.base,MAX(_xlpm.base,_xlpm.gamp))),_xlpm.ulim,IF(OR($A133="",$B133&lt;&gt;"UPS"),"",IFERROR(IF(_xlfn.XLOOKUP($A133,UPS!$B$57:$B$64,UPS!$E$57:$E$64,"")="None",_xlfn.XLOOKUP($A133,UPS!$B$57:$B$64,UPS!$U$57:$U$64,""),""),"")),IF(AND(ISNUMBER(_xlpm.v),ISNUMBER(_xlpm.ulim)),MIN(_xlpm.v,_xlpm.ulim),_xlpm.v))</f>
        <v/>
      </c>
      <c r="K133" s="176"/>
      <c r="L133" s="177" t="str">
        <f t="shared" si="21"/>
        <v/>
      </c>
      <c r="M133" s="177" t="str">
        <f t="shared" si="22"/>
        <v/>
      </c>
      <c r="N133" s="380" t="str">
        <f>IF($A133="","",IF($C133=0,_xlfn.LET(_xlpm.x,IFERROR(_xlfn.XLOOKUP($A133,Util_Tags,Util_XR),""),IF(N(_xlpm.x)=0,Xfmr_DefXR,_xlpm.x)),IF(LEFT($A133,2)="T-",IFERROR(_xlfn.XLOOKUP($A133,Transformers!$A$6:$A$105,Transformers!$AH$6:$AH$105),Xfmr_DefXR),IFERROR(_xlfn.XLOOKUP($E133,$A$6:$A$255,$N$6:$N$255),Xfmr_DefXR))))</f>
        <v/>
      </c>
      <c r="O133" s="177" t="str">
        <f t="shared" si="23"/>
        <v/>
      </c>
      <c r="P133" s="210" t="str">
        <f>IF($A133="","",IF(LEFT($A133,2)="T-",IF($CO133="","",_xlfn.LET(_xlpm.k,IFERROR(_xlfn.XLOOKUP($A133,Transformers!$A$6:$A$105,Transformers!$G$6:$G$105),""),_xlpm.sv,IFERROR(_xlfn.XLOOKUP($A133,Transformers!$A$6:$A$105,Transformers!$E$6:$E$105),""),IF(OR(NOT(ISNUMBER(_xlpm.k)),NOT(ISNUMBER(_xlpm.sv)),_xlpm.sv=0),"",_xlfn.LET(_xlpm.iInf,(_xlpm.k*1000/(_xlpm.sv/2))*100/$CO133,_xlpm.pri,IF(OR($CK133="",$CK133=0),"",$CK133/2),_xlpm.base,IF(_xlpm.pri="",_xlpm.iInf,_xlpm.iInf/(1+_xlpm.iInf/_xlpm.pri)),_xlpm.base+IF($L133="",0,$L133))))),IF($CP133="","",_xlfn.LET(_xlpm.pI,IFERROR(_xlfn.XLOOKUP($E133,$A$6:$A$255,$P$6:$P$255),""),IF(NOT(ISNUMBER(_xlpm.pI)),"",_xlpm.pI/(1+$CP133)+IF($L133="",0,$L133))))))</f>
        <v/>
      </c>
      <c r="Q133" s="210" t="str">
        <f t="shared" si="24"/>
        <v/>
      </c>
      <c r="R133" s="177" t="str">
        <f>IF($A133="","",IF(OR($C133=0,LEFT($A133,2)="T-"),"",IFERROR(_xlfn.LET(_xlpm.v,_xlfn.XLOOKUP($A133,Dashboard!$A$101:$A$350,Dashboard!$K$101:$K$350),IF(ISNUMBER(_xlpm.v),_xlpm.v,"")),"")))</f>
        <v/>
      </c>
      <c r="S133" s="211" t="str">
        <f t="shared" si="25"/>
        <v/>
      </c>
      <c r="T133" s="25" t="str">
        <f t="shared" si="26"/>
        <v/>
      </c>
      <c r="U133" s="364"/>
      <c r="BV133" s="20" t="str">
        <f>IF($A133="","",IFERROR(_xlfn.XLOOKUP("F-"&amp;$A133,'Feeder Schedule'!$B$5:$B$254,'Feeder Schedule'!$H$5:$H$254),""))</f>
        <v/>
      </c>
      <c r="BW133" s="20" t="str">
        <f>IF($A133="","",IFERROR(_xlfn.XLOOKUP("F-"&amp;$A133,'Feeder Schedule'!$B$5:$B$254,'Feeder Schedule'!$BV$5:$BV$254),""))</f>
        <v/>
      </c>
      <c r="BX133" s="20" t="str">
        <f>IF($A133="","",IFERROR(_xlfn.LET(_xlpm.v,_xlfn.XLOOKUP("F-"&amp;$A133,'Feeder Schedule'!$B$5:$B$254,'Feeder Schedule'!$M$5:$M$254),IF(OR(_xlpm.v="",_xlpm.v=0),Cfg_Conduit,_xlpm.v)),""))</f>
        <v/>
      </c>
      <c r="BY133" s="20" t="str">
        <f>IF($A133="","",IFERROR(_xlfn.XLOOKUP("F-"&amp;$A133,'Feeder Schedule'!$B$5:$B$254,'Feeder Schedule'!$O$5:$O$254),""))</f>
        <v/>
      </c>
      <c r="BZ133" s="20" t="str">
        <f>IF($A133="","",IFERROR(_xlfn.XLOOKUP("F-"&amp;$A133,'Feeder Schedule'!$B$5:$B$254,'Feeder Schedule'!$CH$5:$CH$254),""))</f>
        <v/>
      </c>
      <c r="CA133" s="20" t="str">
        <f>IF($A133="","",IFERROR(_xlfn.XLOOKUP("F-"&amp;$A133,'Feeder Schedule'!$B$5:$B$254,'Feeder Schedule'!$F$5:$F$254),""))</f>
        <v/>
      </c>
      <c r="CB133" s="20" t="str">
        <f>IF($A133="","",IFERROR(_xlfn.XLOOKUP("F-"&amp;$A133,'Feeder Schedule'!$B$5:$B$254,'Feeder Schedule'!$G$5:$G$254),""))</f>
        <v/>
      </c>
      <c r="CD133" s="20" t="str" cm="1">
        <f t="array" ref="CD133">IFERROR(IF($A133="","",INDEX(_xlfn.ANCHORARRAY($BK$4),ROW()-5,6)),"")</f>
        <v/>
      </c>
      <c r="CE133" s="20" t="str">
        <f t="shared" si="29"/>
        <v/>
      </c>
      <c r="CF133" s="20" t="str">
        <f t="shared" si="30"/>
        <v/>
      </c>
      <c r="CG133" s="20" t="str">
        <f t="shared" si="27"/>
        <v/>
      </c>
      <c r="CH133" s="20" t="str" cm="1">
        <f t="array" ref="CH133">IF(OR($A133="",$BZ133="",$BW133="",$BX133=""),"",_xlfn.LET(_xlpm.mag,IFERROR(_xlfn.XLOOKUP($BX133,Race_Raceway,Race_Mag),""),IF(_xlpm.mag="","",IFERROR(INDEX(Cond_Table,MATCH($BZ133,Cond_Size,0),IF(UPPER($BW133)="AL",IF(_xlpm.mag="Y",10,12),IF(_xlpm.mag="Y",9,11))),""))))</f>
        <v/>
      </c>
      <c r="CI133" s="20" t="str">
        <f t="shared" si="28"/>
        <v/>
      </c>
      <c r="CJ133" s="20" t="str">
        <f>IF(OR($A133="",LEFT($A133,2)&lt;&gt;"T-"),"",IFERROR(_xlfn.LET(_xlpm.fla,_xlfn.XLOOKUP($A133,Transformers!$A$6:$A$105,Transformers!$AK$6:$AK$105),_xlpm.z,_xlfn.XLOOKUP($A133,Transformers!$A$6:$A$105,Transformers!$AX$6:$AX$105),IF(OR(_xlpm.fla="",_xlpm.z="",_xlpm.z=0),"",_xlpm.fla*100/_xlpm.z)),""))</f>
        <v/>
      </c>
      <c r="CK133" s="20" t="str">
        <f t="shared" si="31"/>
        <v/>
      </c>
      <c r="CL133" s="20" t="str">
        <f t="shared" si="32"/>
        <v/>
      </c>
      <c r="CM133" s="373"/>
      <c r="CO133" s="20" t="str">
        <f>IF(OR($A133="",LEFT($A133,2)&lt;&gt;"T-"),"",_xlfn.LET(_xlpm.ph,IFERROR(_xlfn.XLOOKUP($A133,Transformers!$A$6:$A$105,Transformers!$C$6:$C$105),""),_xlpm.rr,IFERROR(_xlfn.XLOOKUP($A133,Transformers!$A$6:$A$105,Transformers!$AG$6:$AG$105),""),_xlpm.xx,IFERROR(_xlfn.XLOOKUP($A133,Transformers!$A$6:$A$105,Transformers!$AI$6:$AI$105),""),IF(OR(_xlpm.ph&lt;&gt;1,NOT(ISNUMBER(_xlpm.rr)),NOT(ISNUMBER(_xlpm.xx))),"",SQRT((1.5*_xlpm.rr)^2+(1.2*_xlpm.xx)^2))))</f>
        <v/>
      </c>
      <c r="CP133" s="20" t="str">
        <f t="shared" si="33"/>
        <v/>
      </c>
    </row>
    <row r="134" spans="1:94" ht="15" customHeight="1" x14ac:dyDescent="0.45">
      <c r="A134" s="275" t="str" cm="1">
        <f t="array" ref="A134">IFERROR(IF(INDEX(_xlfn.ANCHORARRAY($BK$4),ROW()-5,1)="","",INDEX(_xlfn.ANCHORARRAY($BK$4),ROW()-5,1)),"")</f>
        <v/>
      </c>
      <c r="B134" s="25" t="str" cm="1">
        <f t="array" ref="B134">IFERROR(IF($A134="","",INDEX(_xlfn.ANCHORARRAY($BK$4),ROW()-5,5)),"")</f>
        <v/>
      </c>
      <c r="C134" s="178" t="str" cm="1">
        <f t="array" ref="C134">IFERROR(IF($A134="","",INDEX(_xlfn.ANCHORARRAY($BK$4),ROW()-5,7)),"")</f>
        <v/>
      </c>
      <c r="D134" s="177" t="str" cm="1">
        <f t="array" ref="D134">IFERROR(IF($A134="","",INDEX(_xlfn.ANCHORARRAY($BK$4),ROW()-5,3)),"")</f>
        <v/>
      </c>
      <c r="E134" s="25" t="str" cm="1">
        <f t="array" ref="E134">IFERROR(IF($A134="","",INDEX(_xlfn.ANCHORARRAY($BK$4),ROW()-5,2)),"")</f>
        <v/>
      </c>
      <c r="F134" s="177" t="str">
        <f t="shared" ref="F134:F197" si="34">IF($A134="","",IF($C134=0,IFERROR(_xlfn.XLOOKUP($A134,Util_Tags,Util_SCAEff),""),IFERROR(_xlfn.XLOOKUP($E134,$A$6:$A$255,$M$6:$M$255),"")))</f>
        <v/>
      </c>
      <c r="G134" s="275" t="str">
        <f t="shared" ref="G134:G197" si="35">IF($A134="","",IF($C134=0,"— utility service —",IF($BZ134="","⚠ no feeder data",MAX($BY134,1)&amp;"-"&amp;$BZ134&amp;" "&amp;$BW134&amp;", "&amp;TEXT($BV134,"#,##0")&amp;" ft, "&amp;$BX134)))</f>
        <v/>
      </c>
      <c r="H134" s="180" t="str">
        <f t="shared" ref="H134:H197" si="36">IF(OR($A134="",$C134=0,$CH134="",$BV134="",$F134="",$CF134=""),"",$CG134*$BV134*$F134/($CH134*MAX($BY134,1)*$CF134))</f>
        <v/>
      </c>
      <c r="I134" s="180" t="str">
        <f t="shared" ref="I134:I197" si="37">IF($A134="","",IF($C134=0,1,IF($H134="","",1/(1+$H134))))</f>
        <v/>
      </c>
      <c r="J134" s="177" t="str">
        <f>_xlfn.LET(_xlpm.v,_xlfn.LET(_xlpm.base,IF($A134="","",IF($C134=0,IFERROR(_xlfn.XLOOKUP($A134,Util_Tags,Util_SCAEff),""),IF(LEFT($A134,2)="T-",IF($CJ134="","",$CJ134/(1+IF($CL134="",0,$CL134))),IF(OR($F134="",$I134=""),"",$F134*$I134)))),_xlpm.gtag,IF(OR($A134="",NOT(OR($B134="ATS",$B134="MTS"))),"",IFERROR(_xlfn.XLOOKUP($A134,Dashboard!$A$101:$A$350,Dashboard!$L$101:$L$350,"")&amp;"","")),_xlpm.gkva,IF(_xlpm.gtag="",0,IFERROR(N(_xlfn.XLOOKUP(_xlpm.gtag,Generator!$B$53:$B$58,Generator!$S$53:$S$58,0)),0)),_xlpm.gxd,IF(_xlpm.gtag="",0,IFERROR(N(_xlfn.XLOOKUP(_xlpm.gtag,Generator!$B$53:$B$58,Generator!$U$53:$U$58,0)),0)),_xlpm.gamp,IF(OR(_xlpm.gkva=0,_xlpm.gxd=0,N($D134)=0),0,ROUND(_xlpm.gkva*1000/(IF(N($CB134)=1,1,SQRT(3))*$D134*_xlpm.gxd),0)),IF(OR(_xlpm.gamp=0,NOT(ISNUMBER(_xlpm.base))),_xlpm.base,MAX(_xlpm.base,_xlpm.gamp))),_xlpm.ulim,IF(OR($A134="",$B134&lt;&gt;"UPS"),"",IFERROR(IF(_xlfn.XLOOKUP($A134,UPS!$B$57:$B$64,UPS!$E$57:$E$64,"")="None",_xlfn.XLOOKUP($A134,UPS!$B$57:$B$64,UPS!$U$57:$U$64,""),""),"")),IF(AND(ISNUMBER(_xlpm.v),ISNUMBER(_xlpm.ulim)),MIN(_xlpm.v,_xlpm.ulim),_xlpm.v))</f>
        <v/>
      </c>
      <c r="K134" s="176"/>
      <c r="L134" s="177" t="str">
        <f t="shared" ref="L134:L197" si="38">IF(OR($A134="",$K134=""),"",$K134*IF($CM134&lt;&gt;"",$CM134,IF($B134="MCC",Cfg_MotorMultMCC,Cfg_MotorMult)))</f>
        <v/>
      </c>
      <c r="M134" s="177" t="str">
        <f t="shared" ref="M134:M197" si="39">IF(OR($A134="",$J134=""),"",$J134+IF($L134="",0,$L134))</f>
        <v/>
      </c>
      <c r="N134" s="380" t="str">
        <f>IF($A134="","",IF($C134=0,_xlfn.LET(_xlpm.x,IFERROR(_xlfn.XLOOKUP($A134,Util_Tags,Util_XR),""),IF(N(_xlpm.x)=0,Xfmr_DefXR,_xlpm.x)),IF(LEFT($A134,2)="T-",IFERROR(_xlfn.XLOOKUP($A134,Transformers!$A$6:$A$105,Transformers!$AH$6:$AH$105),Xfmr_DefXR),IFERROR(_xlfn.XLOOKUP($E134,$A$6:$A$255,$N$6:$N$255),Xfmr_DefXR))))</f>
        <v/>
      </c>
      <c r="O134" s="177" t="str">
        <f t="shared" ref="O134:O197" si="40">IF(OR($A134="",$M134="",$N134=""),"",SQRT(2)*$M134*(1.02+0.98*EXP(-3/$N134)))</f>
        <v/>
      </c>
      <c r="P134" s="210" t="str">
        <f>IF($A134="","",IF(LEFT($A134,2)="T-",IF($CO134="","",_xlfn.LET(_xlpm.k,IFERROR(_xlfn.XLOOKUP($A134,Transformers!$A$6:$A$105,Transformers!$G$6:$G$105),""),_xlpm.sv,IFERROR(_xlfn.XLOOKUP($A134,Transformers!$A$6:$A$105,Transformers!$E$6:$E$105),""),IF(OR(NOT(ISNUMBER(_xlpm.k)),NOT(ISNUMBER(_xlpm.sv)),_xlpm.sv=0),"",_xlfn.LET(_xlpm.iInf,(_xlpm.k*1000/(_xlpm.sv/2))*100/$CO134,_xlpm.pri,IF(OR($CK134="",$CK134=0),"",$CK134/2),_xlpm.base,IF(_xlpm.pri="",_xlpm.iInf,_xlpm.iInf/(1+_xlpm.iInf/_xlpm.pri)),_xlpm.base+IF($L134="",0,$L134))))),IF($CP134="","",_xlfn.LET(_xlpm.pI,IFERROR(_xlfn.XLOOKUP($E134,$A$6:$A$255,$P$6:$P$255),""),IF(NOT(ISNUMBER(_xlpm.pI)),"",_xlpm.pI/(1+$CP134)+IF($L134="",0,$L134))))))</f>
        <v/>
      </c>
      <c r="Q134" s="210" t="str">
        <f t="shared" ref="Q134:Q197" si="41">IF(OR($A134="",$M134=""),"",MAX($M134,IF($P134="",0,$P134)))</f>
        <v/>
      </c>
      <c r="R134" s="177" t="str">
        <f>IF($A134="","",IF(OR($C134=0,LEFT($A134,2)="T-"),"",IFERROR(_xlfn.LET(_xlpm.v,_xlfn.XLOOKUP($A134,Dashboard!$A$101:$A$350,Dashboard!$K$101:$K$350),IF(ISNUMBER(_xlpm.v),_xlpm.v,"")),"")))</f>
        <v/>
      </c>
      <c r="S134" s="211" t="str">
        <f t="shared" ref="S134:S197" si="42">IF(OR($A134="",$R134="",$Q134=""),"",$R134-$Q134)</f>
        <v/>
      </c>
      <c r="T134" s="25" t="str">
        <f t="shared" ref="T134:T197" si="43">IF($A134="","",IF($C134=0,IF(IFERROR(_xlfn.XLOOKUP($A134,Util_Tags,Util_SCAEff),"")="","⚠ enter available fault current (Dashboard)","— utility source —"),IF($CI134&lt;&gt;"",$CI134,IF(AND($C134&gt;0,$BZ134=""),"⚠ feeder data missing",IF(AND($B134="MCC",$K134=""),"⚠ MCC: enter motor FLA",IF($M134="","⚠ fault not resolved",IF($R134="",IF(LEFT($A134,2)="T-","— transformer (no interrupting device)","⚠ enter device AIC"),IF($S134&lt;0,"FAIL — AIC below available fault",IF(AND($P134&lt;&gt;"",$P134&gt;$M134),"PASS — line-to-neutral fault governs","PASS")))))))))</f>
        <v/>
      </c>
      <c r="U134" s="364"/>
      <c r="BV134" s="20" t="str">
        <f>IF($A134="","",IFERROR(_xlfn.XLOOKUP("F-"&amp;$A134,'Feeder Schedule'!$B$5:$B$254,'Feeder Schedule'!$H$5:$H$254),""))</f>
        <v/>
      </c>
      <c r="BW134" s="20" t="str">
        <f>IF($A134="","",IFERROR(_xlfn.XLOOKUP("F-"&amp;$A134,'Feeder Schedule'!$B$5:$B$254,'Feeder Schedule'!$BV$5:$BV$254),""))</f>
        <v/>
      </c>
      <c r="BX134" s="20" t="str">
        <f>IF($A134="","",IFERROR(_xlfn.LET(_xlpm.v,_xlfn.XLOOKUP("F-"&amp;$A134,'Feeder Schedule'!$B$5:$B$254,'Feeder Schedule'!$M$5:$M$254),IF(OR(_xlpm.v="",_xlpm.v=0),Cfg_Conduit,_xlpm.v)),""))</f>
        <v/>
      </c>
      <c r="BY134" s="20" t="str">
        <f>IF($A134="","",IFERROR(_xlfn.XLOOKUP("F-"&amp;$A134,'Feeder Schedule'!$B$5:$B$254,'Feeder Schedule'!$O$5:$O$254),""))</f>
        <v/>
      </c>
      <c r="BZ134" s="20" t="str">
        <f>IF($A134="","",IFERROR(_xlfn.XLOOKUP("F-"&amp;$A134,'Feeder Schedule'!$B$5:$B$254,'Feeder Schedule'!$CH$5:$CH$254),""))</f>
        <v/>
      </c>
      <c r="CA134" s="20" t="str">
        <f>IF($A134="","",IFERROR(_xlfn.XLOOKUP("F-"&amp;$A134,'Feeder Schedule'!$B$5:$B$254,'Feeder Schedule'!$F$5:$F$254),""))</f>
        <v/>
      </c>
      <c r="CB134" s="20" t="str">
        <f>IF($A134="","",IFERROR(_xlfn.XLOOKUP("F-"&amp;$A134,'Feeder Schedule'!$B$5:$B$254,'Feeder Schedule'!$G$5:$G$254),""))</f>
        <v/>
      </c>
      <c r="CD134" s="20" t="str" cm="1">
        <f t="array" ref="CD134">IFERROR(IF($A134="","",INDEX(_xlfn.ANCHORARRAY($BK$4),ROW()-5,6)),"")</f>
        <v/>
      </c>
      <c r="CE134" s="20" t="str">
        <f t="shared" si="29"/>
        <v/>
      </c>
      <c r="CF134" s="20" t="str">
        <f t="shared" si="30"/>
        <v/>
      </c>
      <c r="CG134" s="20" t="str">
        <f t="shared" ref="CG134:CG197" si="44">IF(OR($A134="",$CB134=""),"",IF($CB134=1,2,SQRT3))</f>
        <v/>
      </c>
      <c r="CH134" s="20" t="str" cm="1">
        <f t="array" ref="CH134">IF(OR($A134="",$BZ134="",$BW134="",$BX134=""),"",_xlfn.LET(_xlpm.mag,IFERROR(_xlfn.XLOOKUP($BX134,Race_Raceway,Race_Mag),""),IF(_xlpm.mag="","",IFERROR(INDEX(Cond_Table,MATCH($BZ134,Cond_Size,0),IF(UPPER($BW134)="AL",IF(_xlpm.mag="Y",10,12),IF(_xlpm.mag="Y",9,11))),""))))</f>
        <v/>
      </c>
      <c r="CI134" s="20" t="str">
        <f t="shared" ref="CI134:CI197" si="45">IF(OR($A134="",$BX134=""),"",IF(IFERROR(_xlfn.XLOOKUP($BX134,Race_Raceway,Race_Mag),"")="","⚠ unrecognised raceway type: "&amp;$BX134,""))</f>
        <v/>
      </c>
      <c r="CJ134" s="20" t="str">
        <f>IF(OR($A134="",LEFT($A134,2)&lt;&gt;"T-"),"",IFERROR(_xlfn.LET(_xlpm.fla,_xlfn.XLOOKUP($A134,Transformers!$A$6:$A$105,Transformers!$AK$6:$AK$105),_xlpm.z,_xlfn.XLOOKUP($A134,Transformers!$A$6:$A$105,Transformers!$AX$6:$AX$105),IF(OR(_xlpm.fla="",_xlpm.z="",_xlpm.z=0),"",_xlpm.fla*100/_xlpm.z)),""))</f>
        <v/>
      </c>
      <c r="CK134" s="20" t="str">
        <f t="shared" si="31"/>
        <v/>
      </c>
      <c r="CL134" s="20" t="str">
        <f t="shared" si="32"/>
        <v/>
      </c>
      <c r="CM134" s="373"/>
      <c r="CO134" s="20" t="str">
        <f>IF(OR($A134="",LEFT($A134,2)&lt;&gt;"T-"),"",_xlfn.LET(_xlpm.ph,IFERROR(_xlfn.XLOOKUP($A134,Transformers!$A$6:$A$105,Transformers!$C$6:$C$105),""),_xlpm.rr,IFERROR(_xlfn.XLOOKUP($A134,Transformers!$A$6:$A$105,Transformers!$AG$6:$AG$105),""),_xlpm.xx,IFERROR(_xlfn.XLOOKUP($A134,Transformers!$A$6:$A$105,Transformers!$AI$6:$AI$105),""),IF(OR(_xlpm.ph&lt;&gt;1,NOT(ISNUMBER(_xlpm.rr)),NOT(ISNUMBER(_xlpm.xx))),"",SQRT((1.5*_xlpm.rr)^2+(1.2*_xlpm.xx)^2))))</f>
        <v/>
      </c>
      <c r="CP134" s="20" t="str">
        <f t="shared" si="33"/>
        <v/>
      </c>
    </row>
    <row r="135" spans="1:94" ht="15" customHeight="1" x14ac:dyDescent="0.45">
      <c r="A135" s="275" t="str" cm="1">
        <f t="array" ref="A135">IFERROR(IF(INDEX(_xlfn.ANCHORARRAY($BK$4),ROW()-5,1)="","",INDEX(_xlfn.ANCHORARRAY($BK$4),ROW()-5,1)),"")</f>
        <v/>
      </c>
      <c r="B135" s="25" t="str" cm="1">
        <f t="array" ref="B135">IFERROR(IF($A135="","",INDEX(_xlfn.ANCHORARRAY($BK$4),ROW()-5,5)),"")</f>
        <v/>
      </c>
      <c r="C135" s="178" t="str" cm="1">
        <f t="array" ref="C135">IFERROR(IF($A135="","",INDEX(_xlfn.ANCHORARRAY($BK$4),ROW()-5,7)),"")</f>
        <v/>
      </c>
      <c r="D135" s="177" t="str" cm="1">
        <f t="array" ref="D135">IFERROR(IF($A135="","",INDEX(_xlfn.ANCHORARRAY($BK$4),ROW()-5,3)),"")</f>
        <v/>
      </c>
      <c r="E135" s="25" t="str" cm="1">
        <f t="array" ref="E135">IFERROR(IF($A135="","",INDEX(_xlfn.ANCHORARRAY($BK$4),ROW()-5,2)),"")</f>
        <v/>
      </c>
      <c r="F135" s="177" t="str">
        <f t="shared" si="34"/>
        <v/>
      </c>
      <c r="G135" s="275" t="str">
        <f t="shared" si="35"/>
        <v/>
      </c>
      <c r="H135" s="180" t="str">
        <f t="shared" si="36"/>
        <v/>
      </c>
      <c r="I135" s="180" t="str">
        <f t="shared" si="37"/>
        <v/>
      </c>
      <c r="J135" s="177" t="str">
        <f>_xlfn.LET(_xlpm.v,_xlfn.LET(_xlpm.base,IF($A135="","",IF($C135=0,IFERROR(_xlfn.XLOOKUP($A135,Util_Tags,Util_SCAEff),""),IF(LEFT($A135,2)="T-",IF($CJ135="","",$CJ135/(1+IF($CL135="",0,$CL135))),IF(OR($F135="",$I135=""),"",$F135*$I135)))),_xlpm.gtag,IF(OR($A135="",NOT(OR($B135="ATS",$B135="MTS"))),"",IFERROR(_xlfn.XLOOKUP($A135,Dashboard!$A$101:$A$350,Dashboard!$L$101:$L$350,"")&amp;"","")),_xlpm.gkva,IF(_xlpm.gtag="",0,IFERROR(N(_xlfn.XLOOKUP(_xlpm.gtag,Generator!$B$53:$B$58,Generator!$S$53:$S$58,0)),0)),_xlpm.gxd,IF(_xlpm.gtag="",0,IFERROR(N(_xlfn.XLOOKUP(_xlpm.gtag,Generator!$B$53:$B$58,Generator!$U$53:$U$58,0)),0)),_xlpm.gamp,IF(OR(_xlpm.gkva=0,_xlpm.gxd=0,N($D135)=0),0,ROUND(_xlpm.gkva*1000/(IF(N($CB135)=1,1,SQRT(3))*$D135*_xlpm.gxd),0)),IF(OR(_xlpm.gamp=0,NOT(ISNUMBER(_xlpm.base))),_xlpm.base,MAX(_xlpm.base,_xlpm.gamp))),_xlpm.ulim,IF(OR($A135="",$B135&lt;&gt;"UPS"),"",IFERROR(IF(_xlfn.XLOOKUP($A135,UPS!$B$57:$B$64,UPS!$E$57:$E$64,"")="None",_xlfn.XLOOKUP($A135,UPS!$B$57:$B$64,UPS!$U$57:$U$64,""),""),"")),IF(AND(ISNUMBER(_xlpm.v),ISNUMBER(_xlpm.ulim)),MIN(_xlpm.v,_xlpm.ulim),_xlpm.v))</f>
        <v/>
      </c>
      <c r="K135" s="176"/>
      <c r="L135" s="177" t="str">
        <f t="shared" si="38"/>
        <v/>
      </c>
      <c r="M135" s="177" t="str">
        <f t="shared" si="39"/>
        <v/>
      </c>
      <c r="N135" s="380" t="str">
        <f>IF($A135="","",IF($C135=0,_xlfn.LET(_xlpm.x,IFERROR(_xlfn.XLOOKUP($A135,Util_Tags,Util_XR),""),IF(N(_xlpm.x)=0,Xfmr_DefXR,_xlpm.x)),IF(LEFT($A135,2)="T-",IFERROR(_xlfn.XLOOKUP($A135,Transformers!$A$6:$A$105,Transformers!$AH$6:$AH$105),Xfmr_DefXR),IFERROR(_xlfn.XLOOKUP($E135,$A$6:$A$255,$N$6:$N$255),Xfmr_DefXR))))</f>
        <v/>
      </c>
      <c r="O135" s="177" t="str">
        <f t="shared" si="40"/>
        <v/>
      </c>
      <c r="P135" s="210" t="str">
        <f>IF($A135="","",IF(LEFT($A135,2)="T-",IF($CO135="","",_xlfn.LET(_xlpm.k,IFERROR(_xlfn.XLOOKUP($A135,Transformers!$A$6:$A$105,Transformers!$G$6:$G$105),""),_xlpm.sv,IFERROR(_xlfn.XLOOKUP($A135,Transformers!$A$6:$A$105,Transformers!$E$6:$E$105),""),IF(OR(NOT(ISNUMBER(_xlpm.k)),NOT(ISNUMBER(_xlpm.sv)),_xlpm.sv=0),"",_xlfn.LET(_xlpm.iInf,(_xlpm.k*1000/(_xlpm.sv/2))*100/$CO135,_xlpm.pri,IF(OR($CK135="",$CK135=0),"",$CK135/2),_xlpm.base,IF(_xlpm.pri="",_xlpm.iInf,_xlpm.iInf/(1+_xlpm.iInf/_xlpm.pri)),_xlpm.base+IF($L135="",0,$L135))))),IF($CP135="","",_xlfn.LET(_xlpm.pI,IFERROR(_xlfn.XLOOKUP($E135,$A$6:$A$255,$P$6:$P$255),""),IF(NOT(ISNUMBER(_xlpm.pI)),"",_xlpm.pI/(1+$CP135)+IF($L135="",0,$L135))))))</f>
        <v/>
      </c>
      <c r="Q135" s="210" t="str">
        <f t="shared" si="41"/>
        <v/>
      </c>
      <c r="R135" s="177" t="str">
        <f>IF($A135="","",IF(OR($C135=0,LEFT($A135,2)="T-"),"",IFERROR(_xlfn.LET(_xlpm.v,_xlfn.XLOOKUP($A135,Dashboard!$A$101:$A$350,Dashboard!$K$101:$K$350),IF(ISNUMBER(_xlpm.v),_xlpm.v,"")),"")))</f>
        <v/>
      </c>
      <c r="S135" s="211" t="str">
        <f t="shared" si="42"/>
        <v/>
      </c>
      <c r="T135" s="25" t="str">
        <f t="shared" si="43"/>
        <v/>
      </c>
      <c r="U135" s="364"/>
      <c r="BV135" s="20" t="str">
        <f>IF($A135="","",IFERROR(_xlfn.XLOOKUP("F-"&amp;$A135,'Feeder Schedule'!$B$5:$B$254,'Feeder Schedule'!$H$5:$H$254),""))</f>
        <v/>
      </c>
      <c r="BW135" s="20" t="str">
        <f>IF($A135="","",IFERROR(_xlfn.XLOOKUP("F-"&amp;$A135,'Feeder Schedule'!$B$5:$B$254,'Feeder Schedule'!$BV$5:$BV$254),""))</f>
        <v/>
      </c>
      <c r="BX135" s="20" t="str">
        <f>IF($A135="","",IFERROR(_xlfn.LET(_xlpm.v,_xlfn.XLOOKUP("F-"&amp;$A135,'Feeder Schedule'!$B$5:$B$254,'Feeder Schedule'!$M$5:$M$254),IF(OR(_xlpm.v="",_xlpm.v=0),Cfg_Conduit,_xlpm.v)),""))</f>
        <v/>
      </c>
      <c r="BY135" s="20" t="str">
        <f>IF($A135="","",IFERROR(_xlfn.XLOOKUP("F-"&amp;$A135,'Feeder Schedule'!$B$5:$B$254,'Feeder Schedule'!$O$5:$O$254),""))</f>
        <v/>
      </c>
      <c r="BZ135" s="20" t="str">
        <f>IF($A135="","",IFERROR(_xlfn.XLOOKUP("F-"&amp;$A135,'Feeder Schedule'!$B$5:$B$254,'Feeder Schedule'!$CH$5:$CH$254),""))</f>
        <v/>
      </c>
      <c r="CA135" s="20" t="str">
        <f>IF($A135="","",IFERROR(_xlfn.XLOOKUP("F-"&amp;$A135,'Feeder Schedule'!$B$5:$B$254,'Feeder Schedule'!$F$5:$F$254),""))</f>
        <v/>
      </c>
      <c r="CB135" s="20" t="str">
        <f>IF($A135="","",IFERROR(_xlfn.XLOOKUP("F-"&amp;$A135,'Feeder Schedule'!$B$5:$B$254,'Feeder Schedule'!$G$5:$G$254),""))</f>
        <v/>
      </c>
      <c r="CD135" s="20" t="str" cm="1">
        <f t="array" ref="CD135">IFERROR(IF($A135="","",INDEX(_xlfn.ANCHORARRAY($BK$4),ROW()-5,6)),"")</f>
        <v/>
      </c>
      <c r="CE135" s="20" t="str">
        <f t="shared" ref="CE135:CE198" si="46">IF($A135="","",IF(LEFT($A135,2)="T-",IFERROR(_xlfn.XLOOKUP($E135,$A$6:$A$255,$CD$6:$CD$255),""),$CD135))</f>
        <v/>
      </c>
      <c r="CF135" s="20" t="str">
        <f t="shared" ref="CF135:CF198" si="47">IF(OR($A135="",$CB135="",$CA135=""),"",$CA135)</f>
        <v/>
      </c>
      <c r="CG135" s="20" t="str">
        <f t="shared" si="44"/>
        <v/>
      </c>
      <c r="CH135" s="20" t="str" cm="1">
        <f t="array" ref="CH135">IF(OR($A135="",$BZ135="",$BW135="",$BX135=""),"",_xlfn.LET(_xlpm.mag,IFERROR(_xlfn.XLOOKUP($BX135,Race_Raceway,Race_Mag),""),IF(_xlpm.mag="","",IFERROR(INDEX(Cond_Table,MATCH($BZ135,Cond_Size,0),IF(UPPER($BW135)="AL",IF(_xlpm.mag="Y",10,12),IF(_xlpm.mag="Y",9,11))),""))))</f>
        <v/>
      </c>
      <c r="CI135" s="20" t="str">
        <f t="shared" si="45"/>
        <v/>
      </c>
      <c r="CJ135" s="20" t="str">
        <f>IF(OR($A135="",LEFT($A135,2)&lt;&gt;"T-"),"",IFERROR(_xlfn.LET(_xlpm.fla,_xlfn.XLOOKUP($A135,Transformers!$A$6:$A$105,Transformers!$AK$6:$AK$105),_xlpm.z,_xlfn.XLOOKUP($A135,Transformers!$A$6:$A$105,Transformers!$AX$6:$AX$105),IF(OR(_xlpm.fla="",_xlpm.z="",_xlpm.z=0),"",_xlpm.fla*100/_xlpm.z)),""))</f>
        <v/>
      </c>
      <c r="CK135" s="20" t="str">
        <f t="shared" ref="CK135:CK198" si="48">IF(OR($A135="",LEFT($A135,2)&lt;&gt;"T-",$F135="",$I135="",$D135="",$CA135=""),"",$F135*$I135*$CA135/$D135)</f>
        <v/>
      </c>
      <c r="CL135" s="20" t="str">
        <f t="shared" ref="CL135:CL198" si="49">IF(OR($CJ135="",$CK135="",$CK135=0),"",$CJ135/$CK135)</f>
        <v/>
      </c>
      <c r="CM135" s="373"/>
      <c r="CO135" s="20" t="str">
        <f>IF(OR($A135="",LEFT($A135,2)&lt;&gt;"T-"),"",_xlfn.LET(_xlpm.ph,IFERROR(_xlfn.XLOOKUP($A135,Transformers!$A$6:$A$105,Transformers!$C$6:$C$105),""),_xlpm.rr,IFERROR(_xlfn.XLOOKUP($A135,Transformers!$A$6:$A$105,Transformers!$AG$6:$AG$105),""),_xlpm.xx,IFERROR(_xlfn.XLOOKUP($A135,Transformers!$A$6:$A$105,Transformers!$AI$6:$AI$105),""),IF(OR(_xlpm.ph&lt;&gt;1,NOT(ISNUMBER(_xlpm.rr)),NOT(ISNUMBER(_xlpm.xx))),"",SQRT((1.5*_xlpm.rr)^2+(1.2*_xlpm.xx)^2))))</f>
        <v/>
      </c>
      <c r="CP135" s="20" t="str">
        <f t="shared" ref="CP135:CP198" si="50">IF(OR($A135="",LEFT($A135,2)="T-"),"",_xlfn.LET(_xlpm.pI,IFERROR(_xlfn.XLOOKUP($E135,$A$6:$A$255,$P$6:$P$255),""),IF(OR(NOT(ISNUMBER(_xlpm.pI)),$CG135&lt;&gt;2,$BV135="",$CH135="",$CE135="",$CE135=0),"",2*$BV135*_xlpm.pI/($CH135*MAX($BY135,1)*$CE135))))</f>
        <v/>
      </c>
    </row>
    <row r="136" spans="1:94" ht="15" customHeight="1" x14ac:dyDescent="0.45">
      <c r="A136" s="275" t="str" cm="1">
        <f t="array" ref="A136">IFERROR(IF(INDEX(_xlfn.ANCHORARRAY($BK$4),ROW()-5,1)="","",INDEX(_xlfn.ANCHORARRAY($BK$4),ROW()-5,1)),"")</f>
        <v/>
      </c>
      <c r="B136" s="25" t="str" cm="1">
        <f t="array" ref="B136">IFERROR(IF($A136="","",INDEX(_xlfn.ANCHORARRAY($BK$4),ROW()-5,5)),"")</f>
        <v/>
      </c>
      <c r="C136" s="178" t="str" cm="1">
        <f t="array" ref="C136">IFERROR(IF($A136="","",INDEX(_xlfn.ANCHORARRAY($BK$4),ROW()-5,7)),"")</f>
        <v/>
      </c>
      <c r="D136" s="177" t="str" cm="1">
        <f t="array" ref="D136">IFERROR(IF($A136="","",INDEX(_xlfn.ANCHORARRAY($BK$4),ROW()-5,3)),"")</f>
        <v/>
      </c>
      <c r="E136" s="25" t="str" cm="1">
        <f t="array" ref="E136">IFERROR(IF($A136="","",INDEX(_xlfn.ANCHORARRAY($BK$4),ROW()-5,2)),"")</f>
        <v/>
      </c>
      <c r="F136" s="177" t="str">
        <f t="shared" si="34"/>
        <v/>
      </c>
      <c r="G136" s="275" t="str">
        <f t="shared" si="35"/>
        <v/>
      </c>
      <c r="H136" s="180" t="str">
        <f t="shared" si="36"/>
        <v/>
      </c>
      <c r="I136" s="180" t="str">
        <f t="shared" si="37"/>
        <v/>
      </c>
      <c r="J136" s="177" t="str">
        <f>_xlfn.LET(_xlpm.v,_xlfn.LET(_xlpm.base,IF($A136="","",IF($C136=0,IFERROR(_xlfn.XLOOKUP($A136,Util_Tags,Util_SCAEff),""),IF(LEFT($A136,2)="T-",IF($CJ136="","",$CJ136/(1+IF($CL136="",0,$CL136))),IF(OR($F136="",$I136=""),"",$F136*$I136)))),_xlpm.gtag,IF(OR($A136="",NOT(OR($B136="ATS",$B136="MTS"))),"",IFERROR(_xlfn.XLOOKUP($A136,Dashboard!$A$101:$A$350,Dashboard!$L$101:$L$350,"")&amp;"","")),_xlpm.gkva,IF(_xlpm.gtag="",0,IFERROR(N(_xlfn.XLOOKUP(_xlpm.gtag,Generator!$B$53:$B$58,Generator!$S$53:$S$58,0)),0)),_xlpm.gxd,IF(_xlpm.gtag="",0,IFERROR(N(_xlfn.XLOOKUP(_xlpm.gtag,Generator!$B$53:$B$58,Generator!$U$53:$U$58,0)),0)),_xlpm.gamp,IF(OR(_xlpm.gkva=0,_xlpm.gxd=0,N($D136)=0),0,ROUND(_xlpm.gkva*1000/(IF(N($CB136)=1,1,SQRT(3))*$D136*_xlpm.gxd),0)),IF(OR(_xlpm.gamp=0,NOT(ISNUMBER(_xlpm.base))),_xlpm.base,MAX(_xlpm.base,_xlpm.gamp))),_xlpm.ulim,IF(OR($A136="",$B136&lt;&gt;"UPS"),"",IFERROR(IF(_xlfn.XLOOKUP($A136,UPS!$B$57:$B$64,UPS!$E$57:$E$64,"")="None",_xlfn.XLOOKUP($A136,UPS!$B$57:$B$64,UPS!$U$57:$U$64,""),""),"")),IF(AND(ISNUMBER(_xlpm.v),ISNUMBER(_xlpm.ulim)),MIN(_xlpm.v,_xlpm.ulim),_xlpm.v))</f>
        <v/>
      </c>
      <c r="K136" s="176"/>
      <c r="L136" s="177" t="str">
        <f t="shared" si="38"/>
        <v/>
      </c>
      <c r="M136" s="177" t="str">
        <f t="shared" si="39"/>
        <v/>
      </c>
      <c r="N136" s="380" t="str">
        <f>IF($A136="","",IF($C136=0,_xlfn.LET(_xlpm.x,IFERROR(_xlfn.XLOOKUP($A136,Util_Tags,Util_XR),""),IF(N(_xlpm.x)=0,Xfmr_DefXR,_xlpm.x)),IF(LEFT($A136,2)="T-",IFERROR(_xlfn.XLOOKUP($A136,Transformers!$A$6:$A$105,Transformers!$AH$6:$AH$105),Xfmr_DefXR),IFERROR(_xlfn.XLOOKUP($E136,$A$6:$A$255,$N$6:$N$255),Xfmr_DefXR))))</f>
        <v/>
      </c>
      <c r="O136" s="177" t="str">
        <f t="shared" si="40"/>
        <v/>
      </c>
      <c r="P136" s="210" t="str">
        <f>IF($A136="","",IF(LEFT($A136,2)="T-",IF($CO136="","",_xlfn.LET(_xlpm.k,IFERROR(_xlfn.XLOOKUP($A136,Transformers!$A$6:$A$105,Transformers!$G$6:$G$105),""),_xlpm.sv,IFERROR(_xlfn.XLOOKUP($A136,Transformers!$A$6:$A$105,Transformers!$E$6:$E$105),""),IF(OR(NOT(ISNUMBER(_xlpm.k)),NOT(ISNUMBER(_xlpm.sv)),_xlpm.sv=0),"",_xlfn.LET(_xlpm.iInf,(_xlpm.k*1000/(_xlpm.sv/2))*100/$CO136,_xlpm.pri,IF(OR($CK136="",$CK136=0),"",$CK136/2),_xlpm.base,IF(_xlpm.pri="",_xlpm.iInf,_xlpm.iInf/(1+_xlpm.iInf/_xlpm.pri)),_xlpm.base+IF($L136="",0,$L136))))),IF($CP136="","",_xlfn.LET(_xlpm.pI,IFERROR(_xlfn.XLOOKUP($E136,$A$6:$A$255,$P$6:$P$255),""),IF(NOT(ISNUMBER(_xlpm.pI)),"",_xlpm.pI/(1+$CP136)+IF($L136="",0,$L136))))))</f>
        <v/>
      </c>
      <c r="Q136" s="210" t="str">
        <f t="shared" si="41"/>
        <v/>
      </c>
      <c r="R136" s="177" t="str">
        <f>IF($A136="","",IF(OR($C136=0,LEFT($A136,2)="T-"),"",IFERROR(_xlfn.LET(_xlpm.v,_xlfn.XLOOKUP($A136,Dashboard!$A$101:$A$350,Dashboard!$K$101:$K$350),IF(ISNUMBER(_xlpm.v),_xlpm.v,"")),"")))</f>
        <v/>
      </c>
      <c r="S136" s="211" t="str">
        <f t="shared" si="42"/>
        <v/>
      </c>
      <c r="T136" s="25" t="str">
        <f t="shared" si="43"/>
        <v/>
      </c>
      <c r="U136" s="364"/>
      <c r="BV136" s="20" t="str">
        <f>IF($A136="","",IFERROR(_xlfn.XLOOKUP("F-"&amp;$A136,'Feeder Schedule'!$B$5:$B$254,'Feeder Schedule'!$H$5:$H$254),""))</f>
        <v/>
      </c>
      <c r="BW136" s="20" t="str">
        <f>IF($A136="","",IFERROR(_xlfn.XLOOKUP("F-"&amp;$A136,'Feeder Schedule'!$B$5:$B$254,'Feeder Schedule'!$BV$5:$BV$254),""))</f>
        <v/>
      </c>
      <c r="BX136" s="20" t="str">
        <f>IF($A136="","",IFERROR(_xlfn.LET(_xlpm.v,_xlfn.XLOOKUP("F-"&amp;$A136,'Feeder Schedule'!$B$5:$B$254,'Feeder Schedule'!$M$5:$M$254),IF(OR(_xlpm.v="",_xlpm.v=0),Cfg_Conduit,_xlpm.v)),""))</f>
        <v/>
      </c>
      <c r="BY136" s="20" t="str">
        <f>IF($A136="","",IFERROR(_xlfn.XLOOKUP("F-"&amp;$A136,'Feeder Schedule'!$B$5:$B$254,'Feeder Schedule'!$O$5:$O$254),""))</f>
        <v/>
      </c>
      <c r="BZ136" s="20" t="str">
        <f>IF($A136="","",IFERROR(_xlfn.XLOOKUP("F-"&amp;$A136,'Feeder Schedule'!$B$5:$B$254,'Feeder Schedule'!$CH$5:$CH$254),""))</f>
        <v/>
      </c>
      <c r="CA136" s="20" t="str">
        <f>IF($A136="","",IFERROR(_xlfn.XLOOKUP("F-"&amp;$A136,'Feeder Schedule'!$B$5:$B$254,'Feeder Schedule'!$F$5:$F$254),""))</f>
        <v/>
      </c>
      <c r="CB136" s="20" t="str">
        <f>IF($A136="","",IFERROR(_xlfn.XLOOKUP("F-"&amp;$A136,'Feeder Schedule'!$B$5:$B$254,'Feeder Schedule'!$G$5:$G$254),""))</f>
        <v/>
      </c>
      <c r="CD136" s="20" t="str" cm="1">
        <f t="array" ref="CD136">IFERROR(IF($A136="","",INDEX(_xlfn.ANCHORARRAY($BK$4),ROW()-5,6)),"")</f>
        <v/>
      </c>
      <c r="CE136" s="20" t="str">
        <f t="shared" si="46"/>
        <v/>
      </c>
      <c r="CF136" s="20" t="str">
        <f t="shared" si="47"/>
        <v/>
      </c>
      <c r="CG136" s="20" t="str">
        <f t="shared" si="44"/>
        <v/>
      </c>
      <c r="CH136" s="20" t="str" cm="1">
        <f t="array" ref="CH136">IF(OR($A136="",$BZ136="",$BW136="",$BX136=""),"",_xlfn.LET(_xlpm.mag,IFERROR(_xlfn.XLOOKUP($BX136,Race_Raceway,Race_Mag),""),IF(_xlpm.mag="","",IFERROR(INDEX(Cond_Table,MATCH($BZ136,Cond_Size,0),IF(UPPER($BW136)="AL",IF(_xlpm.mag="Y",10,12),IF(_xlpm.mag="Y",9,11))),""))))</f>
        <v/>
      </c>
      <c r="CI136" s="20" t="str">
        <f t="shared" si="45"/>
        <v/>
      </c>
      <c r="CJ136" s="20" t="str">
        <f>IF(OR($A136="",LEFT($A136,2)&lt;&gt;"T-"),"",IFERROR(_xlfn.LET(_xlpm.fla,_xlfn.XLOOKUP($A136,Transformers!$A$6:$A$105,Transformers!$AK$6:$AK$105),_xlpm.z,_xlfn.XLOOKUP($A136,Transformers!$A$6:$A$105,Transformers!$AX$6:$AX$105),IF(OR(_xlpm.fla="",_xlpm.z="",_xlpm.z=0),"",_xlpm.fla*100/_xlpm.z)),""))</f>
        <v/>
      </c>
      <c r="CK136" s="20" t="str">
        <f t="shared" si="48"/>
        <v/>
      </c>
      <c r="CL136" s="20" t="str">
        <f t="shared" si="49"/>
        <v/>
      </c>
      <c r="CM136" s="373"/>
      <c r="CO136" s="20" t="str">
        <f>IF(OR($A136="",LEFT($A136,2)&lt;&gt;"T-"),"",_xlfn.LET(_xlpm.ph,IFERROR(_xlfn.XLOOKUP($A136,Transformers!$A$6:$A$105,Transformers!$C$6:$C$105),""),_xlpm.rr,IFERROR(_xlfn.XLOOKUP($A136,Transformers!$A$6:$A$105,Transformers!$AG$6:$AG$105),""),_xlpm.xx,IFERROR(_xlfn.XLOOKUP($A136,Transformers!$A$6:$A$105,Transformers!$AI$6:$AI$105),""),IF(OR(_xlpm.ph&lt;&gt;1,NOT(ISNUMBER(_xlpm.rr)),NOT(ISNUMBER(_xlpm.xx))),"",SQRT((1.5*_xlpm.rr)^2+(1.2*_xlpm.xx)^2))))</f>
        <v/>
      </c>
      <c r="CP136" s="20" t="str">
        <f t="shared" si="50"/>
        <v/>
      </c>
    </row>
    <row r="137" spans="1:94" ht="15" customHeight="1" x14ac:dyDescent="0.45">
      <c r="A137" s="275" t="str" cm="1">
        <f t="array" ref="A137">IFERROR(IF(INDEX(_xlfn.ANCHORARRAY($BK$4),ROW()-5,1)="","",INDEX(_xlfn.ANCHORARRAY($BK$4),ROW()-5,1)),"")</f>
        <v/>
      </c>
      <c r="B137" s="25" t="str" cm="1">
        <f t="array" ref="B137">IFERROR(IF($A137="","",INDEX(_xlfn.ANCHORARRAY($BK$4),ROW()-5,5)),"")</f>
        <v/>
      </c>
      <c r="C137" s="178" t="str" cm="1">
        <f t="array" ref="C137">IFERROR(IF($A137="","",INDEX(_xlfn.ANCHORARRAY($BK$4),ROW()-5,7)),"")</f>
        <v/>
      </c>
      <c r="D137" s="177" t="str" cm="1">
        <f t="array" ref="D137">IFERROR(IF($A137="","",INDEX(_xlfn.ANCHORARRAY($BK$4),ROW()-5,3)),"")</f>
        <v/>
      </c>
      <c r="E137" s="25" t="str" cm="1">
        <f t="array" ref="E137">IFERROR(IF($A137="","",INDEX(_xlfn.ANCHORARRAY($BK$4),ROW()-5,2)),"")</f>
        <v/>
      </c>
      <c r="F137" s="177" t="str">
        <f t="shared" si="34"/>
        <v/>
      </c>
      <c r="G137" s="275" t="str">
        <f t="shared" si="35"/>
        <v/>
      </c>
      <c r="H137" s="180" t="str">
        <f t="shared" si="36"/>
        <v/>
      </c>
      <c r="I137" s="180" t="str">
        <f t="shared" si="37"/>
        <v/>
      </c>
      <c r="J137" s="177" t="str">
        <f>_xlfn.LET(_xlpm.v,_xlfn.LET(_xlpm.base,IF($A137="","",IF($C137=0,IFERROR(_xlfn.XLOOKUP($A137,Util_Tags,Util_SCAEff),""),IF(LEFT($A137,2)="T-",IF($CJ137="","",$CJ137/(1+IF($CL137="",0,$CL137))),IF(OR($F137="",$I137=""),"",$F137*$I137)))),_xlpm.gtag,IF(OR($A137="",NOT(OR($B137="ATS",$B137="MTS"))),"",IFERROR(_xlfn.XLOOKUP($A137,Dashboard!$A$101:$A$350,Dashboard!$L$101:$L$350,"")&amp;"","")),_xlpm.gkva,IF(_xlpm.gtag="",0,IFERROR(N(_xlfn.XLOOKUP(_xlpm.gtag,Generator!$B$53:$B$58,Generator!$S$53:$S$58,0)),0)),_xlpm.gxd,IF(_xlpm.gtag="",0,IFERROR(N(_xlfn.XLOOKUP(_xlpm.gtag,Generator!$B$53:$B$58,Generator!$U$53:$U$58,0)),0)),_xlpm.gamp,IF(OR(_xlpm.gkva=0,_xlpm.gxd=0,N($D137)=0),0,ROUND(_xlpm.gkva*1000/(IF(N($CB137)=1,1,SQRT(3))*$D137*_xlpm.gxd),0)),IF(OR(_xlpm.gamp=0,NOT(ISNUMBER(_xlpm.base))),_xlpm.base,MAX(_xlpm.base,_xlpm.gamp))),_xlpm.ulim,IF(OR($A137="",$B137&lt;&gt;"UPS"),"",IFERROR(IF(_xlfn.XLOOKUP($A137,UPS!$B$57:$B$64,UPS!$E$57:$E$64,"")="None",_xlfn.XLOOKUP($A137,UPS!$B$57:$B$64,UPS!$U$57:$U$64,""),""),"")),IF(AND(ISNUMBER(_xlpm.v),ISNUMBER(_xlpm.ulim)),MIN(_xlpm.v,_xlpm.ulim),_xlpm.v))</f>
        <v/>
      </c>
      <c r="K137" s="176"/>
      <c r="L137" s="177" t="str">
        <f t="shared" si="38"/>
        <v/>
      </c>
      <c r="M137" s="177" t="str">
        <f t="shared" si="39"/>
        <v/>
      </c>
      <c r="N137" s="380" t="str">
        <f>IF($A137="","",IF($C137=0,_xlfn.LET(_xlpm.x,IFERROR(_xlfn.XLOOKUP($A137,Util_Tags,Util_XR),""),IF(N(_xlpm.x)=0,Xfmr_DefXR,_xlpm.x)),IF(LEFT($A137,2)="T-",IFERROR(_xlfn.XLOOKUP($A137,Transformers!$A$6:$A$105,Transformers!$AH$6:$AH$105),Xfmr_DefXR),IFERROR(_xlfn.XLOOKUP($E137,$A$6:$A$255,$N$6:$N$255),Xfmr_DefXR))))</f>
        <v/>
      </c>
      <c r="O137" s="177" t="str">
        <f t="shared" si="40"/>
        <v/>
      </c>
      <c r="P137" s="210" t="str">
        <f>IF($A137="","",IF(LEFT($A137,2)="T-",IF($CO137="","",_xlfn.LET(_xlpm.k,IFERROR(_xlfn.XLOOKUP($A137,Transformers!$A$6:$A$105,Transformers!$G$6:$G$105),""),_xlpm.sv,IFERROR(_xlfn.XLOOKUP($A137,Transformers!$A$6:$A$105,Transformers!$E$6:$E$105),""),IF(OR(NOT(ISNUMBER(_xlpm.k)),NOT(ISNUMBER(_xlpm.sv)),_xlpm.sv=0),"",_xlfn.LET(_xlpm.iInf,(_xlpm.k*1000/(_xlpm.sv/2))*100/$CO137,_xlpm.pri,IF(OR($CK137="",$CK137=0),"",$CK137/2),_xlpm.base,IF(_xlpm.pri="",_xlpm.iInf,_xlpm.iInf/(1+_xlpm.iInf/_xlpm.pri)),_xlpm.base+IF($L137="",0,$L137))))),IF($CP137="","",_xlfn.LET(_xlpm.pI,IFERROR(_xlfn.XLOOKUP($E137,$A$6:$A$255,$P$6:$P$255),""),IF(NOT(ISNUMBER(_xlpm.pI)),"",_xlpm.pI/(1+$CP137)+IF($L137="",0,$L137))))))</f>
        <v/>
      </c>
      <c r="Q137" s="210" t="str">
        <f t="shared" si="41"/>
        <v/>
      </c>
      <c r="R137" s="177" t="str">
        <f>IF($A137="","",IF(OR($C137=0,LEFT($A137,2)="T-"),"",IFERROR(_xlfn.LET(_xlpm.v,_xlfn.XLOOKUP($A137,Dashboard!$A$101:$A$350,Dashboard!$K$101:$K$350),IF(ISNUMBER(_xlpm.v),_xlpm.v,"")),"")))</f>
        <v/>
      </c>
      <c r="S137" s="211" t="str">
        <f t="shared" si="42"/>
        <v/>
      </c>
      <c r="T137" s="25" t="str">
        <f t="shared" si="43"/>
        <v/>
      </c>
      <c r="U137" s="364"/>
      <c r="BV137" s="20" t="str">
        <f>IF($A137="","",IFERROR(_xlfn.XLOOKUP("F-"&amp;$A137,'Feeder Schedule'!$B$5:$B$254,'Feeder Schedule'!$H$5:$H$254),""))</f>
        <v/>
      </c>
      <c r="BW137" s="20" t="str">
        <f>IF($A137="","",IFERROR(_xlfn.XLOOKUP("F-"&amp;$A137,'Feeder Schedule'!$B$5:$B$254,'Feeder Schedule'!$BV$5:$BV$254),""))</f>
        <v/>
      </c>
      <c r="BX137" s="20" t="str">
        <f>IF($A137="","",IFERROR(_xlfn.LET(_xlpm.v,_xlfn.XLOOKUP("F-"&amp;$A137,'Feeder Schedule'!$B$5:$B$254,'Feeder Schedule'!$M$5:$M$254),IF(OR(_xlpm.v="",_xlpm.v=0),Cfg_Conduit,_xlpm.v)),""))</f>
        <v/>
      </c>
      <c r="BY137" s="20" t="str">
        <f>IF($A137="","",IFERROR(_xlfn.XLOOKUP("F-"&amp;$A137,'Feeder Schedule'!$B$5:$B$254,'Feeder Schedule'!$O$5:$O$254),""))</f>
        <v/>
      </c>
      <c r="BZ137" s="20" t="str">
        <f>IF($A137="","",IFERROR(_xlfn.XLOOKUP("F-"&amp;$A137,'Feeder Schedule'!$B$5:$B$254,'Feeder Schedule'!$CH$5:$CH$254),""))</f>
        <v/>
      </c>
      <c r="CA137" s="20" t="str">
        <f>IF($A137="","",IFERROR(_xlfn.XLOOKUP("F-"&amp;$A137,'Feeder Schedule'!$B$5:$B$254,'Feeder Schedule'!$F$5:$F$254),""))</f>
        <v/>
      </c>
      <c r="CB137" s="20" t="str">
        <f>IF($A137="","",IFERROR(_xlfn.XLOOKUP("F-"&amp;$A137,'Feeder Schedule'!$B$5:$B$254,'Feeder Schedule'!$G$5:$G$254),""))</f>
        <v/>
      </c>
      <c r="CD137" s="20" t="str" cm="1">
        <f t="array" ref="CD137">IFERROR(IF($A137="","",INDEX(_xlfn.ANCHORARRAY($BK$4),ROW()-5,6)),"")</f>
        <v/>
      </c>
      <c r="CE137" s="20" t="str">
        <f t="shared" si="46"/>
        <v/>
      </c>
      <c r="CF137" s="20" t="str">
        <f t="shared" si="47"/>
        <v/>
      </c>
      <c r="CG137" s="20" t="str">
        <f t="shared" si="44"/>
        <v/>
      </c>
      <c r="CH137" s="20" t="str" cm="1">
        <f t="array" ref="CH137">IF(OR($A137="",$BZ137="",$BW137="",$BX137=""),"",_xlfn.LET(_xlpm.mag,IFERROR(_xlfn.XLOOKUP($BX137,Race_Raceway,Race_Mag),""),IF(_xlpm.mag="","",IFERROR(INDEX(Cond_Table,MATCH($BZ137,Cond_Size,0),IF(UPPER($BW137)="AL",IF(_xlpm.mag="Y",10,12),IF(_xlpm.mag="Y",9,11))),""))))</f>
        <v/>
      </c>
      <c r="CI137" s="20" t="str">
        <f t="shared" si="45"/>
        <v/>
      </c>
      <c r="CJ137" s="20" t="str">
        <f>IF(OR($A137="",LEFT($A137,2)&lt;&gt;"T-"),"",IFERROR(_xlfn.LET(_xlpm.fla,_xlfn.XLOOKUP($A137,Transformers!$A$6:$A$105,Transformers!$AK$6:$AK$105),_xlpm.z,_xlfn.XLOOKUP($A137,Transformers!$A$6:$A$105,Transformers!$AX$6:$AX$105),IF(OR(_xlpm.fla="",_xlpm.z="",_xlpm.z=0),"",_xlpm.fla*100/_xlpm.z)),""))</f>
        <v/>
      </c>
      <c r="CK137" s="20" t="str">
        <f t="shared" si="48"/>
        <v/>
      </c>
      <c r="CL137" s="20" t="str">
        <f t="shared" si="49"/>
        <v/>
      </c>
      <c r="CM137" s="373"/>
      <c r="CO137" s="20" t="str">
        <f>IF(OR($A137="",LEFT($A137,2)&lt;&gt;"T-"),"",_xlfn.LET(_xlpm.ph,IFERROR(_xlfn.XLOOKUP($A137,Transformers!$A$6:$A$105,Transformers!$C$6:$C$105),""),_xlpm.rr,IFERROR(_xlfn.XLOOKUP($A137,Transformers!$A$6:$A$105,Transformers!$AG$6:$AG$105),""),_xlpm.xx,IFERROR(_xlfn.XLOOKUP($A137,Transformers!$A$6:$A$105,Transformers!$AI$6:$AI$105),""),IF(OR(_xlpm.ph&lt;&gt;1,NOT(ISNUMBER(_xlpm.rr)),NOT(ISNUMBER(_xlpm.xx))),"",SQRT((1.5*_xlpm.rr)^2+(1.2*_xlpm.xx)^2))))</f>
        <v/>
      </c>
      <c r="CP137" s="20" t="str">
        <f t="shared" si="50"/>
        <v/>
      </c>
    </row>
    <row r="138" spans="1:94" ht="15" customHeight="1" x14ac:dyDescent="0.45">
      <c r="A138" s="275" t="str" cm="1">
        <f t="array" ref="A138">IFERROR(IF(INDEX(_xlfn.ANCHORARRAY($BK$4),ROW()-5,1)="","",INDEX(_xlfn.ANCHORARRAY($BK$4),ROW()-5,1)),"")</f>
        <v/>
      </c>
      <c r="B138" s="25" t="str" cm="1">
        <f t="array" ref="B138">IFERROR(IF($A138="","",INDEX(_xlfn.ANCHORARRAY($BK$4),ROW()-5,5)),"")</f>
        <v/>
      </c>
      <c r="C138" s="178" t="str" cm="1">
        <f t="array" ref="C138">IFERROR(IF($A138="","",INDEX(_xlfn.ANCHORARRAY($BK$4),ROW()-5,7)),"")</f>
        <v/>
      </c>
      <c r="D138" s="177" t="str" cm="1">
        <f t="array" ref="D138">IFERROR(IF($A138="","",INDEX(_xlfn.ANCHORARRAY($BK$4),ROW()-5,3)),"")</f>
        <v/>
      </c>
      <c r="E138" s="25" t="str" cm="1">
        <f t="array" ref="E138">IFERROR(IF($A138="","",INDEX(_xlfn.ANCHORARRAY($BK$4),ROW()-5,2)),"")</f>
        <v/>
      </c>
      <c r="F138" s="177" t="str">
        <f t="shared" si="34"/>
        <v/>
      </c>
      <c r="G138" s="275" t="str">
        <f t="shared" si="35"/>
        <v/>
      </c>
      <c r="H138" s="180" t="str">
        <f t="shared" si="36"/>
        <v/>
      </c>
      <c r="I138" s="180" t="str">
        <f t="shared" si="37"/>
        <v/>
      </c>
      <c r="J138" s="177" t="str">
        <f>_xlfn.LET(_xlpm.v,_xlfn.LET(_xlpm.base,IF($A138="","",IF($C138=0,IFERROR(_xlfn.XLOOKUP($A138,Util_Tags,Util_SCAEff),""),IF(LEFT($A138,2)="T-",IF($CJ138="","",$CJ138/(1+IF($CL138="",0,$CL138))),IF(OR($F138="",$I138=""),"",$F138*$I138)))),_xlpm.gtag,IF(OR($A138="",NOT(OR($B138="ATS",$B138="MTS"))),"",IFERROR(_xlfn.XLOOKUP($A138,Dashboard!$A$101:$A$350,Dashboard!$L$101:$L$350,"")&amp;"","")),_xlpm.gkva,IF(_xlpm.gtag="",0,IFERROR(N(_xlfn.XLOOKUP(_xlpm.gtag,Generator!$B$53:$B$58,Generator!$S$53:$S$58,0)),0)),_xlpm.gxd,IF(_xlpm.gtag="",0,IFERROR(N(_xlfn.XLOOKUP(_xlpm.gtag,Generator!$B$53:$B$58,Generator!$U$53:$U$58,0)),0)),_xlpm.gamp,IF(OR(_xlpm.gkva=0,_xlpm.gxd=0,N($D138)=0),0,ROUND(_xlpm.gkva*1000/(IF(N($CB138)=1,1,SQRT(3))*$D138*_xlpm.gxd),0)),IF(OR(_xlpm.gamp=0,NOT(ISNUMBER(_xlpm.base))),_xlpm.base,MAX(_xlpm.base,_xlpm.gamp))),_xlpm.ulim,IF(OR($A138="",$B138&lt;&gt;"UPS"),"",IFERROR(IF(_xlfn.XLOOKUP($A138,UPS!$B$57:$B$64,UPS!$E$57:$E$64,"")="None",_xlfn.XLOOKUP($A138,UPS!$B$57:$B$64,UPS!$U$57:$U$64,""),""),"")),IF(AND(ISNUMBER(_xlpm.v),ISNUMBER(_xlpm.ulim)),MIN(_xlpm.v,_xlpm.ulim),_xlpm.v))</f>
        <v/>
      </c>
      <c r="K138" s="176"/>
      <c r="L138" s="177" t="str">
        <f t="shared" si="38"/>
        <v/>
      </c>
      <c r="M138" s="177" t="str">
        <f t="shared" si="39"/>
        <v/>
      </c>
      <c r="N138" s="380" t="str">
        <f>IF($A138="","",IF($C138=0,_xlfn.LET(_xlpm.x,IFERROR(_xlfn.XLOOKUP($A138,Util_Tags,Util_XR),""),IF(N(_xlpm.x)=0,Xfmr_DefXR,_xlpm.x)),IF(LEFT($A138,2)="T-",IFERROR(_xlfn.XLOOKUP($A138,Transformers!$A$6:$A$105,Transformers!$AH$6:$AH$105),Xfmr_DefXR),IFERROR(_xlfn.XLOOKUP($E138,$A$6:$A$255,$N$6:$N$255),Xfmr_DefXR))))</f>
        <v/>
      </c>
      <c r="O138" s="177" t="str">
        <f t="shared" si="40"/>
        <v/>
      </c>
      <c r="P138" s="210" t="str">
        <f>IF($A138="","",IF(LEFT($A138,2)="T-",IF($CO138="","",_xlfn.LET(_xlpm.k,IFERROR(_xlfn.XLOOKUP($A138,Transformers!$A$6:$A$105,Transformers!$G$6:$G$105),""),_xlpm.sv,IFERROR(_xlfn.XLOOKUP($A138,Transformers!$A$6:$A$105,Transformers!$E$6:$E$105),""),IF(OR(NOT(ISNUMBER(_xlpm.k)),NOT(ISNUMBER(_xlpm.sv)),_xlpm.sv=0),"",_xlfn.LET(_xlpm.iInf,(_xlpm.k*1000/(_xlpm.sv/2))*100/$CO138,_xlpm.pri,IF(OR($CK138="",$CK138=0),"",$CK138/2),_xlpm.base,IF(_xlpm.pri="",_xlpm.iInf,_xlpm.iInf/(1+_xlpm.iInf/_xlpm.pri)),_xlpm.base+IF($L138="",0,$L138))))),IF($CP138="","",_xlfn.LET(_xlpm.pI,IFERROR(_xlfn.XLOOKUP($E138,$A$6:$A$255,$P$6:$P$255),""),IF(NOT(ISNUMBER(_xlpm.pI)),"",_xlpm.pI/(1+$CP138)+IF($L138="",0,$L138))))))</f>
        <v/>
      </c>
      <c r="Q138" s="210" t="str">
        <f t="shared" si="41"/>
        <v/>
      </c>
      <c r="R138" s="177" t="str">
        <f>IF($A138="","",IF(OR($C138=0,LEFT($A138,2)="T-"),"",IFERROR(_xlfn.LET(_xlpm.v,_xlfn.XLOOKUP($A138,Dashboard!$A$101:$A$350,Dashboard!$K$101:$K$350),IF(ISNUMBER(_xlpm.v),_xlpm.v,"")),"")))</f>
        <v/>
      </c>
      <c r="S138" s="211" t="str">
        <f t="shared" si="42"/>
        <v/>
      </c>
      <c r="T138" s="25" t="str">
        <f t="shared" si="43"/>
        <v/>
      </c>
      <c r="U138" s="364"/>
      <c r="BV138" s="20" t="str">
        <f>IF($A138="","",IFERROR(_xlfn.XLOOKUP("F-"&amp;$A138,'Feeder Schedule'!$B$5:$B$254,'Feeder Schedule'!$H$5:$H$254),""))</f>
        <v/>
      </c>
      <c r="BW138" s="20" t="str">
        <f>IF($A138="","",IFERROR(_xlfn.XLOOKUP("F-"&amp;$A138,'Feeder Schedule'!$B$5:$B$254,'Feeder Schedule'!$BV$5:$BV$254),""))</f>
        <v/>
      </c>
      <c r="BX138" s="20" t="str">
        <f>IF($A138="","",IFERROR(_xlfn.LET(_xlpm.v,_xlfn.XLOOKUP("F-"&amp;$A138,'Feeder Schedule'!$B$5:$B$254,'Feeder Schedule'!$M$5:$M$254),IF(OR(_xlpm.v="",_xlpm.v=0),Cfg_Conduit,_xlpm.v)),""))</f>
        <v/>
      </c>
      <c r="BY138" s="20" t="str">
        <f>IF($A138="","",IFERROR(_xlfn.XLOOKUP("F-"&amp;$A138,'Feeder Schedule'!$B$5:$B$254,'Feeder Schedule'!$O$5:$O$254),""))</f>
        <v/>
      </c>
      <c r="BZ138" s="20" t="str">
        <f>IF($A138="","",IFERROR(_xlfn.XLOOKUP("F-"&amp;$A138,'Feeder Schedule'!$B$5:$B$254,'Feeder Schedule'!$CH$5:$CH$254),""))</f>
        <v/>
      </c>
      <c r="CA138" s="20" t="str">
        <f>IF($A138="","",IFERROR(_xlfn.XLOOKUP("F-"&amp;$A138,'Feeder Schedule'!$B$5:$B$254,'Feeder Schedule'!$F$5:$F$254),""))</f>
        <v/>
      </c>
      <c r="CB138" s="20" t="str">
        <f>IF($A138="","",IFERROR(_xlfn.XLOOKUP("F-"&amp;$A138,'Feeder Schedule'!$B$5:$B$254,'Feeder Schedule'!$G$5:$G$254),""))</f>
        <v/>
      </c>
      <c r="CD138" s="20" t="str" cm="1">
        <f t="array" ref="CD138">IFERROR(IF($A138="","",INDEX(_xlfn.ANCHORARRAY($BK$4),ROW()-5,6)),"")</f>
        <v/>
      </c>
      <c r="CE138" s="20" t="str">
        <f t="shared" si="46"/>
        <v/>
      </c>
      <c r="CF138" s="20" t="str">
        <f t="shared" si="47"/>
        <v/>
      </c>
      <c r="CG138" s="20" t="str">
        <f t="shared" si="44"/>
        <v/>
      </c>
      <c r="CH138" s="20" t="str" cm="1">
        <f t="array" ref="CH138">IF(OR($A138="",$BZ138="",$BW138="",$BX138=""),"",_xlfn.LET(_xlpm.mag,IFERROR(_xlfn.XLOOKUP($BX138,Race_Raceway,Race_Mag),""),IF(_xlpm.mag="","",IFERROR(INDEX(Cond_Table,MATCH($BZ138,Cond_Size,0),IF(UPPER($BW138)="AL",IF(_xlpm.mag="Y",10,12),IF(_xlpm.mag="Y",9,11))),""))))</f>
        <v/>
      </c>
      <c r="CI138" s="20" t="str">
        <f t="shared" si="45"/>
        <v/>
      </c>
      <c r="CJ138" s="20" t="str">
        <f>IF(OR($A138="",LEFT($A138,2)&lt;&gt;"T-"),"",IFERROR(_xlfn.LET(_xlpm.fla,_xlfn.XLOOKUP($A138,Transformers!$A$6:$A$105,Transformers!$AK$6:$AK$105),_xlpm.z,_xlfn.XLOOKUP($A138,Transformers!$A$6:$A$105,Transformers!$AX$6:$AX$105),IF(OR(_xlpm.fla="",_xlpm.z="",_xlpm.z=0),"",_xlpm.fla*100/_xlpm.z)),""))</f>
        <v/>
      </c>
      <c r="CK138" s="20" t="str">
        <f t="shared" si="48"/>
        <v/>
      </c>
      <c r="CL138" s="20" t="str">
        <f t="shared" si="49"/>
        <v/>
      </c>
      <c r="CM138" s="373"/>
      <c r="CO138" s="20" t="str">
        <f>IF(OR($A138="",LEFT($A138,2)&lt;&gt;"T-"),"",_xlfn.LET(_xlpm.ph,IFERROR(_xlfn.XLOOKUP($A138,Transformers!$A$6:$A$105,Transformers!$C$6:$C$105),""),_xlpm.rr,IFERROR(_xlfn.XLOOKUP($A138,Transformers!$A$6:$A$105,Transformers!$AG$6:$AG$105),""),_xlpm.xx,IFERROR(_xlfn.XLOOKUP($A138,Transformers!$A$6:$A$105,Transformers!$AI$6:$AI$105),""),IF(OR(_xlpm.ph&lt;&gt;1,NOT(ISNUMBER(_xlpm.rr)),NOT(ISNUMBER(_xlpm.xx))),"",SQRT((1.5*_xlpm.rr)^2+(1.2*_xlpm.xx)^2))))</f>
        <v/>
      </c>
      <c r="CP138" s="20" t="str">
        <f t="shared" si="50"/>
        <v/>
      </c>
    </row>
    <row r="139" spans="1:94" ht="15" customHeight="1" x14ac:dyDescent="0.45">
      <c r="A139" s="275" t="str" cm="1">
        <f t="array" ref="A139">IFERROR(IF(INDEX(_xlfn.ANCHORARRAY($BK$4),ROW()-5,1)="","",INDEX(_xlfn.ANCHORARRAY($BK$4),ROW()-5,1)),"")</f>
        <v/>
      </c>
      <c r="B139" s="25" t="str" cm="1">
        <f t="array" ref="B139">IFERROR(IF($A139="","",INDEX(_xlfn.ANCHORARRAY($BK$4),ROW()-5,5)),"")</f>
        <v/>
      </c>
      <c r="C139" s="178" t="str" cm="1">
        <f t="array" ref="C139">IFERROR(IF($A139="","",INDEX(_xlfn.ANCHORARRAY($BK$4),ROW()-5,7)),"")</f>
        <v/>
      </c>
      <c r="D139" s="177" t="str" cm="1">
        <f t="array" ref="D139">IFERROR(IF($A139="","",INDEX(_xlfn.ANCHORARRAY($BK$4),ROW()-5,3)),"")</f>
        <v/>
      </c>
      <c r="E139" s="25" t="str" cm="1">
        <f t="array" ref="E139">IFERROR(IF($A139="","",INDEX(_xlfn.ANCHORARRAY($BK$4),ROW()-5,2)),"")</f>
        <v/>
      </c>
      <c r="F139" s="177" t="str">
        <f t="shared" si="34"/>
        <v/>
      </c>
      <c r="G139" s="275" t="str">
        <f t="shared" si="35"/>
        <v/>
      </c>
      <c r="H139" s="180" t="str">
        <f t="shared" si="36"/>
        <v/>
      </c>
      <c r="I139" s="180" t="str">
        <f t="shared" si="37"/>
        <v/>
      </c>
      <c r="J139" s="177" t="str">
        <f>_xlfn.LET(_xlpm.v,_xlfn.LET(_xlpm.base,IF($A139="","",IF($C139=0,IFERROR(_xlfn.XLOOKUP($A139,Util_Tags,Util_SCAEff),""),IF(LEFT($A139,2)="T-",IF($CJ139="","",$CJ139/(1+IF($CL139="",0,$CL139))),IF(OR($F139="",$I139=""),"",$F139*$I139)))),_xlpm.gtag,IF(OR($A139="",NOT(OR($B139="ATS",$B139="MTS"))),"",IFERROR(_xlfn.XLOOKUP($A139,Dashboard!$A$101:$A$350,Dashboard!$L$101:$L$350,"")&amp;"","")),_xlpm.gkva,IF(_xlpm.gtag="",0,IFERROR(N(_xlfn.XLOOKUP(_xlpm.gtag,Generator!$B$53:$B$58,Generator!$S$53:$S$58,0)),0)),_xlpm.gxd,IF(_xlpm.gtag="",0,IFERROR(N(_xlfn.XLOOKUP(_xlpm.gtag,Generator!$B$53:$B$58,Generator!$U$53:$U$58,0)),0)),_xlpm.gamp,IF(OR(_xlpm.gkva=0,_xlpm.gxd=0,N($D139)=0),0,ROUND(_xlpm.gkva*1000/(IF(N($CB139)=1,1,SQRT(3))*$D139*_xlpm.gxd),0)),IF(OR(_xlpm.gamp=0,NOT(ISNUMBER(_xlpm.base))),_xlpm.base,MAX(_xlpm.base,_xlpm.gamp))),_xlpm.ulim,IF(OR($A139="",$B139&lt;&gt;"UPS"),"",IFERROR(IF(_xlfn.XLOOKUP($A139,UPS!$B$57:$B$64,UPS!$E$57:$E$64,"")="None",_xlfn.XLOOKUP($A139,UPS!$B$57:$B$64,UPS!$U$57:$U$64,""),""),"")),IF(AND(ISNUMBER(_xlpm.v),ISNUMBER(_xlpm.ulim)),MIN(_xlpm.v,_xlpm.ulim),_xlpm.v))</f>
        <v/>
      </c>
      <c r="K139" s="176"/>
      <c r="L139" s="177" t="str">
        <f t="shared" si="38"/>
        <v/>
      </c>
      <c r="M139" s="177" t="str">
        <f t="shared" si="39"/>
        <v/>
      </c>
      <c r="N139" s="380" t="str">
        <f>IF($A139="","",IF($C139=0,_xlfn.LET(_xlpm.x,IFERROR(_xlfn.XLOOKUP($A139,Util_Tags,Util_XR),""),IF(N(_xlpm.x)=0,Xfmr_DefXR,_xlpm.x)),IF(LEFT($A139,2)="T-",IFERROR(_xlfn.XLOOKUP($A139,Transformers!$A$6:$A$105,Transformers!$AH$6:$AH$105),Xfmr_DefXR),IFERROR(_xlfn.XLOOKUP($E139,$A$6:$A$255,$N$6:$N$255),Xfmr_DefXR))))</f>
        <v/>
      </c>
      <c r="O139" s="177" t="str">
        <f t="shared" si="40"/>
        <v/>
      </c>
      <c r="P139" s="210" t="str">
        <f>IF($A139="","",IF(LEFT($A139,2)="T-",IF($CO139="","",_xlfn.LET(_xlpm.k,IFERROR(_xlfn.XLOOKUP($A139,Transformers!$A$6:$A$105,Transformers!$G$6:$G$105),""),_xlpm.sv,IFERROR(_xlfn.XLOOKUP($A139,Transformers!$A$6:$A$105,Transformers!$E$6:$E$105),""),IF(OR(NOT(ISNUMBER(_xlpm.k)),NOT(ISNUMBER(_xlpm.sv)),_xlpm.sv=0),"",_xlfn.LET(_xlpm.iInf,(_xlpm.k*1000/(_xlpm.sv/2))*100/$CO139,_xlpm.pri,IF(OR($CK139="",$CK139=0),"",$CK139/2),_xlpm.base,IF(_xlpm.pri="",_xlpm.iInf,_xlpm.iInf/(1+_xlpm.iInf/_xlpm.pri)),_xlpm.base+IF($L139="",0,$L139))))),IF($CP139="","",_xlfn.LET(_xlpm.pI,IFERROR(_xlfn.XLOOKUP($E139,$A$6:$A$255,$P$6:$P$255),""),IF(NOT(ISNUMBER(_xlpm.pI)),"",_xlpm.pI/(1+$CP139)+IF($L139="",0,$L139))))))</f>
        <v/>
      </c>
      <c r="Q139" s="210" t="str">
        <f t="shared" si="41"/>
        <v/>
      </c>
      <c r="R139" s="177" t="str">
        <f>IF($A139="","",IF(OR($C139=0,LEFT($A139,2)="T-"),"",IFERROR(_xlfn.LET(_xlpm.v,_xlfn.XLOOKUP($A139,Dashboard!$A$101:$A$350,Dashboard!$K$101:$K$350),IF(ISNUMBER(_xlpm.v),_xlpm.v,"")),"")))</f>
        <v/>
      </c>
      <c r="S139" s="211" t="str">
        <f t="shared" si="42"/>
        <v/>
      </c>
      <c r="T139" s="25" t="str">
        <f t="shared" si="43"/>
        <v/>
      </c>
      <c r="U139" s="364"/>
      <c r="BV139" s="20" t="str">
        <f>IF($A139="","",IFERROR(_xlfn.XLOOKUP("F-"&amp;$A139,'Feeder Schedule'!$B$5:$B$254,'Feeder Schedule'!$H$5:$H$254),""))</f>
        <v/>
      </c>
      <c r="BW139" s="20" t="str">
        <f>IF($A139="","",IFERROR(_xlfn.XLOOKUP("F-"&amp;$A139,'Feeder Schedule'!$B$5:$B$254,'Feeder Schedule'!$BV$5:$BV$254),""))</f>
        <v/>
      </c>
      <c r="BX139" s="20" t="str">
        <f>IF($A139="","",IFERROR(_xlfn.LET(_xlpm.v,_xlfn.XLOOKUP("F-"&amp;$A139,'Feeder Schedule'!$B$5:$B$254,'Feeder Schedule'!$M$5:$M$254),IF(OR(_xlpm.v="",_xlpm.v=0),Cfg_Conduit,_xlpm.v)),""))</f>
        <v/>
      </c>
      <c r="BY139" s="20" t="str">
        <f>IF($A139="","",IFERROR(_xlfn.XLOOKUP("F-"&amp;$A139,'Feeder Schedule'!$B$5:$B$254,'Feeder Schedule'!$O$5:$O$254),""))</f>
        <v/>
      </c>
      <c r="BZ139" s="20" t="str">
        <f>IF($A139="","",IFERROR(_xlfn.XLOOKUP("F-"&amp;$A139,'Feeder Schedule'!$B$5:$B$254,'Feeder Schedule'!$CH$5:$CH$254),""))</f>
        <v/>
      </c>
      <c r="CA139" s="20" t="str">
        <f>IF($A139="","",IFERROR(_xlfn.XLOOKUP("F-"&amp;$A139,'Feeder Schedule'!$B$5:$B$254,'Feeder Schedule'!$F$5:$F$254),""))</f>
        <v/>
      </c>
      <c r="CB139" s="20" t="str">
        <f>IF($A139="","",IFERROR(_xlfn.XLOOKUP("F-"&amp;$A139,'Feeder Schedule'!$B$5:$B$254,'Feeder Schedule'!$G$5:$G$254),""))</f>
        <v/>
      </c>
      <c r="CD139" s="20" t="str" cm="1">
        <f t="array" ref="CD139">IFERROR(IF($A139="","",INDEX(_xlfn.ANCHORARRAY($BK$4),ROW()-5,6)),"")</f>
        <v/>
      </c>
      <c r="CE139" s="20" t="str">
        <f t="shared" si="46"/>
        <v/>
      </c>
      <c r="CF139" s="20" t="str">
        <f t="shared" si="47"/>
        <v/>
      </c>
      <c r="CG139" s="20" t="str">
        <f t="shared" si="44"/>
        <v/>
      </c>
      <c r="CH139" s="20" t="str" cm="1">
        <f t="array" ref="CH139">IF(OR($A139="",$BZ139="",$BW139="",$BX139=""),"",_xlfn.LET(_xlpm.mag,IFERROR(_xlfn.XLOOKUP($BX139,Race_Raceway,Race_Mag),""),IF(_xlpm.mag="","",IFERROR(INDEX(Cond_Table,MATCH($BZ139,Cond_Size,0),IF(UPPER($BW139)="AL",IF(_xlpm.mag="Y",10,12),IF(_xlpm.mag="Y",9,11))),""))))</f>
        <v/>
      </c>
      <c r="CI139" s="20" t="str">
        <f t="shared" si="45"/>
        <v/>
      </c>
      <c r="CJ139" s="20" t="str">
        <f>IF(OR($A139="",LEFT($A139,2)&lt;&gt;"T-"),"",IFERROR(_xlfn.LET(_xlpm.fla,_xlfn.XLOOKUP($A139,Transformers!$A$6:$A$105,Transformers!$AK$6:$AK$105),_xlpm.z,_xlfn.XLOOKUP($A139,Transformers!$A$6:$A$105,Transformers!$AX$6:$AX$105),IF(OR(_xlpm.fla="",_xlpm.z="",_xlpm.z=0),"",_xlpm.fla*100/_xlpm.z)),""))</f>
        <v/>
      </c>
      <c r="CK139" s="20" t="str">
        <f t="shared" si="48"/>
        <v/>
      </c>
      <c r="CL139" s="20" t="str">
        <f t="shared" si="49"/>
        <v/>
      </c>
      <c r="CM139" s="373"/>
      <c r="CO139" s="20" t="str">
        <f>IF(OR($A139="",LEFT($A139,2)&lt;&gt;"T-"),"",_xlfn.LET(_xlpm.ph,IFERROR(_xlfn.XLOOKUP($A139,Transformers!$A$6:$A$105,Transformers!$C$6:$C$105),""),_xlpm.rr,IFERROR(_xlfn.XLOOKUP($A139,Transformers!$A$6:$A$105,Transformers!$AG$6:$AG$105),""),_xlpm.xx,IFERROR(_xlfn.XLOOKUP($A139,Transformers!$A$6:$A$105,Transformers!$AI$6:$AI$105),""),IF(OR(_xlpm.ph&lt;&gt;1,NOT(ISNUMBER(_xlpm.rr)),NOT(ISNUMBER(_xlpm.xx))),"",SQRT((1.5*_xlpm.rr)^2+(1.2*_xlpm.xx)^2))))</f>
        <v/>
      </c>
      <c r="CP139" s="20" t="str">
        <f t="shared" si="50"/>
        <v/>
      </c>
    </row>
    <row r="140" spans="1:94" ht="15" customHeight="1" x14ac:dyDescent="0.45">
      <c r="A140" s="275" t="str" cm="1">
        <f t="array" ref="A140">IFERROR(IF(INDEX(_xlfn.ANCHORARRAY($BK$4),ROW()-5,1)="","",INDEX(_xlfn.ANCHORARRAY($BK$4),ROW()-5,1)),"")</f>
        <v/>
      </c>
      <c r="B140" s="25" t="str" cm="1">
        <f t="array" ref="B140">IFERROR(IF($A140="","",INDEX(_xlfn.ANCHORARRAY($BK$4),ROW()-5,5)),"")</f>
        <v/>
      </c>
      <c r="C140" s="178" t="str" cm="1">
        <f t="array" ref="C140">IFERROR(IF($A140="","",INDEX(_xlfn.ANCHORARRAY($BK$4),ROW()-5,7)),"")</f>
        <v/>
      </c>
      <c r="D140" s="177" t="str" cm="1">
        <f t="array" ref="D140">IFERROR(IF($A140="","",INDEX(_xlfn.ANCHORARRAY($BK$4),ROW()-5,3)),"")</f>
        <v/>
      </c>
      <c r="E140" s="25" t="str" cm="1">
        <f t="array" ref="E140">IFERROR(IF($A140="","",INDEX(_xlfn.ANCHORARRAY($BK$4),ROW()-5,2)),"")</f>
        <v/>
      </c>
      <c r="F140" s="177" t="str">
        <f t="shared" si="34"/>
        <v/>
      </c>
      <c r="G140" s="275" t="str">
        <f t="shared" si="35"/>
        <v/>
      </c>
      <c r="H140" s="180" t="str">
        <f t="shared" si="36"/>
        <v/>
      </c>
      <c r="I140" s="180" t="str">
        <f t="shared" si="37"/>
        <v/>
      </c>
      <c r="J140" s="177" t="str">
        <f>_xlfn.LET(_xlpm.v,_xlfn.LET(_xlpm.base,IF($A140="","",IF($C140=0,IFERROR(_xlfn.XLOOKUP($A140,Util_Tags,Util_SCAEff),""),IF(LEFT($A140,2)="T-",IF($CJ140="","",$CJ140/(1+IF($CL140="",0,$CL140))),IF(OR($F140="",$I140=""),"",$F140*$I140)))),_xlpm.gtag,IF(OR($A140="",NOT(OR($B140="ATS",$B140="MTS"))),"",IFERROR(_xlfn.XLOOKUP($A140,Dashboard!$A$101:$A$350,Dashboard!$L$101:$L$350,"")&amp;"","")),_xlpm.gkva,IF(_xlpm.gtag="",0,IFERROR(N(_xlfn.XLOOKUP(_xlpm.gtag,Generator!$B$53:$B$58,Generator!$S$53:$S$58,0)),0)),_xlpm.gxd,IF(_xlpm.gtag="",0,IFERROR(N(_xlfn.XLOOKUP(_xlpm.gtag,Generator!$B$53:$B$58,Generator!$U$53:$U$58,0)),0)),_xlpm.gamp,IF(OR(_xlpm.gkva=0,_xlpm.gxd=0,N($D140)=0),0,ROUND(_xlpm.gkva*1000/(IF(N($CB140)=1,1,SQRT(3))*$D140*_xlpm.gxd),0)),IF(OR(_xlpm.gamp=0,NOT(ISNUMBER(_xlpm.base))),_xlpm.base,MAX(_xlpm.base,_xlpm.gamp))),_xlpm.ulim,IF(OR($A140="",$B140&lt;&gt;"UPS"),"",IFERROR(IF(_xlfn.XLOOKUP($A140,UPS!$B$57:$B$64,UPS!$E$57:$E$64,"")="None",_xlfn.XLOOKUP($A140,UPS!$B$57:$B$64,UPS!$U$57:$U$64,""),""),"")),IF(AND(ISNUMBER(_xlpm.v),ISNUMBER(_xlpm.ulim)),MIN(_xlpm.v,_xlpm.ulim),_xlpm.v))</f>
        <v/>
      </c>
      <c r="K140" s="176"/>
      <c r="L140" s="177" t="str">
        <f t="shared" si="38"/>
        <v/>
      </c>
      <c r="M140" s="177" t="str">
        <f t="shared" si="39"/>
        <v/>
      </c>
      <c r="N140" s="380" t="str">
        <f>IF($A140="","",IF($C140=0,_xlfn.LET(_xlpm.x,IFERROR(_xlfn.XLOOKUP($A140,Util_Tags,Util_XR),""),IF(N(_xlpm.x)=0,Xfmr_DefXR,_xlpm.x)),IF(LEFT($A140,2)="T-",IFERROR(_xlfn.XLOOKUP($A140,Transformers!$A$6:$A$105,Transformers!$AH$6:$AH$105),Xfmr_DefXR),IFERROR(_xlfn.XLOOKUP($E140,$A$6:$A$255,$N$6:$N$255),Xfmr_DefXR))))</f>
        <v/>
      </c>
      <c r="O140" s="177" t="str">
        <f t="shared" si="40"/>
        <v/>
      </c>
      <c r="P140" s="210" t="str">
        <f>IF($A140="","",IF(LEFT($A140,2)="T-",IF($CO140="","",_xlfn.LET(_xlpm.k,IFERROR(_xlfn.XLOOKUP($A140,Transformers!$A$6:$A$105,Transformers!$G$6:$G$105),""),_xlpm.sv,IFERROR(_xlfn.XLOOKUP($A140,Transformers!$A$6:$A$105,Transformers!$E$6:$E$105),""),IF(OR(NOT(ISNUMBER(_xlpm.k)),NOT(ISNUMBER(_xlpm.sv)),_xlpm.sv=0),"",_xlfn.LET(_xlpm.iInf,(_xlpm.k*1000/(_xlpm.sv/2))*100/$CO140,_xlpm.pri,IF(OR($CK140="",$CK140=0),"",$CK140/2),_xlpm.base,IF(_xlpm.pri="",_xlpm.iInf,_xlpm.iInf/(1+_xlpm.iInf/_xlpm.pri)),_xlpm.base+IF($L140="",0,$L140))))),IF($CP140="","",_xlfn.LET(_xlpm.pI,IFERROR(_xlfn.XLOOKUP($E140,$A$6:$A$255,$P$6:$P$255),""),IF(NOT(ISNUMBER(_xlpm.pI)),"",_xlpm.pI/(1+$CP140)+IF($L140="",0,$L140))))))</f>
        <v/>
      </c>
      <c r="Q140" s="210" t="str">
        <f t="shared" si="41"/>
        <v/>
      </c>
      <c r="R140" s="177" t="str">
        <f>IF($A140="","",IF(OR($C140=0,LEFT($A140,2)="T-"),"",IFERROR(_xlfn.LET(_xlpm.v,_xlfn.XLOOKUP($A140,Dashboard!$A$101:$A$350,Dashboard!$K$101:$K$350),IF(ISNUMBER(_xlpm.v),_xlpm.v,"")),"")))</f>
        <v/>
      </c>
      <c r="S140" s="211" t="str">
        <f t="shared" si="42"/>
        <v/>
      </c>
      <c r="T140" s="25" t="str">
        <f t="shared" si="43"/>
        <v/>
      </c>
      <c r="U140" s="364"/>
      <c r="BV140" s="20" t="str">
        <f>IF($A140="","",IFERROR(_xlfn.XLOOKUP("F-"&amp;$A140,'Feeder Schedule'!$B$5:$B$254,'Feeder Schedule'!$H$5:$H$254),""))</f>
        <v/>
      </c>
      <c r="BW140" s="20" t="str">
        <f>IF($A140="","",IFERROR(_xlfn.XLOOKUP("F-"&amp;$A140,'Feeder Schedule'!$B$5:$B$254,'Feeder Schedule'!$BV$5:$BV$254),""))</f>
        <v/>
      </c>
      <c r="BX140" s="20" t="str">
        <f>IF($A140="","",IFERROR(_xlfn.LET(_xlpm.v,_xlfn.XLOOKUP("F-"&amp;$A140,'Feeder Schedule'!$B$5:$B$254,'Feeder Schedule'!$M$5:$M$254),IF(OR(_xlpm.v="",_xlpm.v=0),Cfg_Conduit,_xlpm.v)),""))</f>
        <v/>
      </c>
      <c r="BY140" s="20" t="str">
        <f>IF($A140="","",IFERROR(_xlfn.XLOOKUP("F-"&amp;$A140,'Feeder Schedule'!$B$5:$B$254,'Feeder Schedule'!$O$5:$O$254),""))</f>
        <v/>
      </c>
      <c r="BZ140" s="20" t="str">
        <f>IF($A140="","",IFERROR(_xlfn.XLOOKUP("F-"&amp;$A140,'Feeder Schedule'!$B$5:$B$254,'Feeder Schedule'!$CH$5:$CH$254),""))</f>
        <v/>
      </c>
      <c r="CA140" s="20" t="str">
        <f>IF($A140="","",IFERROR(_xlfn.XLOOKUP("F-"&amp;$A140,'Feeder Schedule'!$B$5:$B$254,'Feeder Schedule'!$F$5:$F$254),""))</f>
        <v/>
      </c>
      <c r="CB140" s="20" t="str">
        <f>IF($A140="","",IFERROR(_xlfn.XLOOKUP("F-"&amp;$A140,'Feeder Schedule'!$B$5:$B$254,'Feeder Schedule'!$G$5:$G$254),""))</f>
        <v/>
      </c>
      <c r="CD140" s="20" t="str" cm="1">
        <f t="array" ref="CD140">IFERROR(IF($A140="","",INDEX(_xlfn.ANCHORARRAY($BK$4),ROW()-5,6)),"")</f>
        <v/>
      </c>
      <c r="CE140" s="20" t="str">
        <f t="shared" si="46"/>
        <v/>
      </c>
      <c r="CF140" s="20" t="str">
        <f t="shared" si="47"/>
        <v/>
      </c>
      <c r="CG140" s="20" t="str">
        <f t="shared" si="44"/>
        <v/>
      </c>
      <c r="CH140" s="20" t="str" cm="1">
        <f t="array" ref="CH140">IF(OR($A140="",$BZ140="",$BW140="",$BX140=""),"",_xlfn.LET(_xlpm.mag,IFERROR(_xlfn.XLOOKUP($BX140,Race_Raceway,Race_Mag),""),IF(_xlpm.mag="","",IFERROR(INDEX(Cond_Table,MATCH($BZ140,Cond_Size,0),IF(UPPER($BW140)="AL",IF(_xlpm.mag="Y",10,12),IF(_xlpm.mag="Y",9,11))),""))))</f>
        <v/>
      </c>
      <c r="CI140" s="20" t="str">
        <f t="shared" si="45"/>
        <v/>
      </c>
      <c r="CJ140" s="20" t="str">
        <f>IF(OR($A140="",LEFT($A140,2)&lt;&gt;"T-"),"",IFERROR(_xlfn.LET(_xlpm.fla,_xlfn.XLOOKUP($A140,Transformers!$A$6:$A$105,Transformers!$AK$6:$AK$105),_xlpm.z,_xlfn.XLOOKUP($A140,Transformers!$A$6:$A$105,Transformers!$AX$6:$AX$105),IF(OR(_xlpm.fla="",_xlpm.z="",_xlpm.z=0),"",_xlpm.fla*100/_xlpm.z)),""))</f>
        <v/>
      </c>
      <c r="CK140" s="20" t="str">
        <f t="shared" si="48"/>
        <v/>
      </c>
      <c r="CL140" s="20" t="str">
        <f t="shared" si="49"/>
        <v/>
      </c>
      <c r="CM140" s="373"/>
      <c r="CO140" s="20" t="str">
        <f>IF(OR($A140="",LEFT($A140,2)&lt;&gt;"T-"),"",_xlfn.LET(_xlpm.ph,IFERROR(_xlfn.XLOOKUP($A140,Transformers!$A$6:$A$105,Transformers!$C$6:$C$105),""),_xlpm.rr,IFERROR(_xlfn.XLOOKUP($A140,Transformers!$A$6:$A$105,Transformers!$AG$6:$AG$105),""),_xlpm.xx,IFERROR(_xlfn.XLOOKUP($A140,Transformers!$A$6:$A$105,Transformers!$AI$6:$AI$105),""),IF(OR(_xlpm.ph&lt;&gt;1,NOT(ISNUMBER(_xlpm.rr)),NOT(ISNUMBER(_xlpm.xx))),"",SQRT((1.5*_xlpm.rr)^2+(1.2*_xlpm.xx)^2))))</f>
        <v/>
      </c>
      <c r="CP140" s="20" t="str">
        <f t="shared" si="50"/>
        <v/>
      </c>
    </row>
    <row r="141" spans="1:94" ht="15" customHeight="1" x14ac:dyDescent="0.45">
      <c r="A141" s="275" t="str" cm="1">
        <f t="array" ref="A141">IFERROR(IF(INDEX(_xlfn.ANCHORARRAY($BK$4),ROW()-5,1)="","",INDEX(_xlfn.ANCHORARRAY($BK$4),ROW()-5,1)),"")</f>
        <v/>
      </c>
      <c r="B141" s="25" t="str" cm="1">
        <f t="array" ref="B141">IFERROR(IF($A141="","",INDEX(_xlfn.ANCHORARRAY($BK$4),ROW()-5,5)),"")</f>
        <v/>
      </c>
      <c r="C141" s="178" t="str" cm="1">
        <f t="array" ref="C141">IFERROR(IF($A141="","",INDEX(_xlfn.ANCHORARRAY($BK$4),ROW()-5,7)),"")</f>
        <v/>
      </c>
      <c r="D141" s="177" t="str" cm="1">
        <f t="array" ref="D141">IFERROR(IF($A141="","",INDEX(_xlfn.ANCHORARRAY($BK$4),ROW()-5,3)),"")</f>
        <v/>
      </c>
      <c r="E141" s="25" t="str" cm="1">
        <f t="array" ref="E141">IFERROR(IF($A141="","",INDEX(_xlfn.ANCHORARRAY($BK$4),ROW()-5,2)),"")</f>
        <v/>
      </c>
      <c r="F141" s="177" t="str">
        <f t="shared" si="34"/>
        <v/>
      </c>
      <c r="G141" s="275" t="str">
        <f t="shared" si="35"/>
        <v/>
      </c>
      <c r="H141" s="180" t="str">
        <f t="shared" si="36"/>
        <v/>
      </c>
      <c r="I141" s="180" t="str">
        <f t="shared" si="37"/>
        <v/>
      </c>
      <c r="J141" s="177" t="str">
        <f>_xlfn.LET(_xlpm.v,_xlfn.LET(_xlpm.base,IF($A141="","",IF($C141=0,IFERROR(_xlfn.XLOOKUP($A141,Util_Tags,Util_SCAEff),""),IF(LEFT($A141,2)="T-",IF($CJ141="","",$CJ141/(1+IF($CL141="",0,$CL141))),IF(OR($F141="",$I141=""),"",$F141*$I141)))),_xlpm.gtag,IF(OR($A141="",NOT(OR($B141="ATS",$B141="MTS"))),"",IFERROR(_xlfn.XLOOKUP($A141,Dashboard!$A$101:$A$350,Dashboard!$L$101:$L$350,"")&amp;"","")),_xlpm.gkva,IF(_xlpm.gtag="",0,IFERROR(N(_xlfn.XLOOKUP(_xlpm.gtag,Generator!$B$53:$B$58,Generator!$S$53:$S$58,0)),0)),_xlpm.gxd,IF(_xlpm.gtag="",0,IFERROR(N(_xlfn.XLOOKUP(_xlpm.gtag,Generator!$B$53:$B$58,Generator!$U$53:$U$58,0)),0)),_xlpm.gamp,IF(OR(_xlpm.gkva=0,_xlpm.gxd=0,N($D141)=0),0,ROUND(_xlpm.gkva*1000/(IF(N($CB141)=1,1,SQRT(3))*$D141*_xlpm.gxd),0)),IF(OR(_xlpm.gamp=0,NOT(ISNUMBER(_xlpm.base))),_xlpm.base,MAX(_xlpm.base,_xlpm.gamp))),_xlpm.ulim,IF(OR($A141="",$B141&lt;&gt;"UPS"),"",IFERROR(IF(_xlfn.XLOOKUP($A141,UPS!$B$57:$B$64,UPS!$E$57:$E$64,"")="None",_xlfn.XLOOKUP($A141,UPS!$B$57:$B$64,UPS!$U$57:$U$64,""),""),"")),IF(AND(ISNUMBER(_xlpm.v),ISNUMBER(_xlpm.ulim)),MIN(_xlpm.v,_xlpm.ulim),_xlpm.v))</f>
        <v/>
      </c>
      <c r="K141" s="176"/>
      <c r="L141" s="177" t="str">
        <f t="shared" si="38"/>
        <v/>
      </c>
      <c r="M141" s="177" t="str">
        <f t="shared" si="39"/>
        <v/>
      </c>
      <c r="N141" s="380" t="str">
        <f>IF($A141="","",IF($C141=0,_xlfn.LET(_xlpm.x,IFERROR(_xlfn.XLOOKUP($A141,Util_Tags,Util_XR),""),IF(N(_xlpm.x)=0,Xfmr_DefXR,_xlpm.x)),IF(LEFT($A141,2)="T-",IFERROR(_xlfn.XLOOKUP($A141,Transformers!$A$6:$A$105,Transformers!$AH$6:$AH$105),Xfmr_DefXR),IFERROR(_xlfn.XLOOKUP($E141,$A$6:$A$255,$N$6:$N$255),Xfmr_DefXR))))</f>
        <v/>
      </c>
      <c r="O141" s="177" t="str">
        <f t="shared" si="40"/>
        <v/>
      </c>
      <c r="P141" s="210" t="str">
        <f>IF($A141="","",IF(LEFT($A141,2)="T-",IF($CO141="","",_xlfn.LET(_xlpm.k,IFERROR(_xlfn.XLOOKUP($A141,Transformers!$A$6:$A$105,Transformers!$G$6:$G$105),""),_xlpm.sv,IFERROR(_xlfn.XLOOKUP($A141,Transformers!$A$6:$A$105,Transformers!$E$6:$E$105),""),IF(OR(NOT(ISNUMBER(_xlpm.k)),NOT(ISNUMBER(_xlpm.sv)),_xlpm.sv=0),"",_xlfn.LET(_xlpm.iInf,(_xlpm.k*1000/(_xlpm.sv/2))*100/$CO141,_xlpm.pri,IF(OR($CK141="",$CK141=0),"",$CK141/2),_xlpm.base,IF(_xlpm.pri="",_xlpm.iInf,_xlpm.iInf/(1+_xlpm.iInf/_xlpm.pri)),_xlpm.base+IF($L141="",0,$L141))))),IF($CP141="","",_xlfn.LET(_xlpm.pI,IFERROR(_xlfn.XLOOKUP($E141,$A$6:$A$255,$P$6:$P$255),""),IF(NOT(ISNUMBER(_xlpm.pI)),"",_xlpm.pI/(1+$CP141)+IF($L141="",0,$L141))))))</f>
        <v/>
      </c>
      <c r="Q141" s="210" t="str">
        <f t="shared" si="41"/>
        <v/>
      </c>
      <c r="R141" s="177" t="str">
        <f>IF($A141="","",IF(OR($C141=0,LEFT($A141,2)="T-"),"",IFERROR(_xlfn.LET(_xlpm.v,_xlfn.XLOOKUP($A141,Dashboard!$A$101:$A$350,Dashboard!$K$101:$K$350),IF(ISNUMBER(_xlpm.v),_xlpm.v,"")),"")))</f>
        <v/>
      </c>
      <c r="S141" s="211" t="str">
        <f t="shared" si="42"/>
        <v/>
      </c>
      <c r="T141" s="25" t="str">
        <f t="shared" si="43"/>
        <v/>
      </c>
      <c r="U141" s="364"/>
      <c r="BV141" s="20" t="str">
        <f>IF($A141="","",IFERROR(_xlfn.XLOOKUP("F-"&amp;$A141,'Feeder Schedule'!$B$5:$B$254,'Feeder Schedule'!$H$5:$H$254),""))</f>
        <v/>
      </c>
      <c r="BW141" s="20" t="str">
        <f>IF($A141="","",IFERROR(_xlfn.XLOOKUP("F-"&amp;$A141,'Feeder Schedule'!$B$5:$B$254,'Feeder Schedule'!$BV$5:$BV$254),""))</f>
        <v/>
      </c>
      <c r="BX141" s="20" t="str">
        <f>IF($A141="","",IFERROR(_xlfn.LET(_xlpm.v,_xlfn.XLOOKUP("F-"&amp;$A141,'Feeder Schedule'!$B$5:$B$254,'Feeder Schedule'!$M$5:$M$254),IF(OR(_xlpm.v="",_xlpm.v=0),Cfg_Conduit,_xlpm.v)),""))</f>
        <v/>
      </c>
      <c r="BY141" s="20" t="str">
        <f>IF($A141="","",IFERROR(_xlfn.XLOOKUP("F-"&amp;$A141,'Feeder Schedule'!$B$5:$B$254,'Feeder Schedule'!$O$5:$O$254),""))</f>
        <v/>
      </c>
      <c r="BZ141" s="20" t="str">
        <f>IF($A141="","",IFERROR(_xlfn.XLOOKUP("F-"&amp;$A141,'Feeder Schedule'!$B$5:$B$254,'Feeder Schedule'!$CH$5:$CH$254),""))</f>
        <v/>
      </c>
      <c r="CA141" s="20" t="str">
        <f>IF($A141="","",IFERROR(_xlfn.XLOOKUP("F-"&amp;$A141,'Feeder Schedule'!$B$5:$B$254,'Feeder Schedule'!$F$5:$F$254),""))</f>
        <v/>
      </c>
      <c r="CB141" s="20" t="str">
        <f>IF($A141="","",IFERROR(_xlfn.XLOOKUP("F-"&amp;$A141,'Feeder Schedule'!$B$5:$B$254,'Feeder Schedule'!$G$5:$G$254),""))</f>
        <v/>
      </c>
      <c r="CD141" s="20" t="str" cm="1">
        <f t="array" ref="CD141">IFERROR(IF($A141="","",INDEX(_xlfn.ANCHORARRAY($BK$4),ROW()-5,6)),"")</f>
        <v/>
      </c>
      <c r="CE141" s="20" t="str">
        <f t="shared" si="46"/>
        <v/>
      </c>
      <c r="CF141" s="20" t="str">
        <f t="shared" si="47"/>
        <v/>
      </c>
      <c r="CG141" s="20" t="str">
        <f t="shared" si="44"/>
        <v/>
      </c>
      <c r="CH141" s="20" t="str" cm="1">
        <f t="array" ref="CH141">IF(OR($A141="",$BZ141="",$BW141="",$BX141=""),"",_xlfn.LET(_xlpm.mag,IFERROR(_xlfn.XLOOKUP($BX141,Race_Raceway,Race_Mag),""),IF(_xlpm.mag="","",IFERROR(INDEX(Cond_Table,MATCH($BZ141,Cond_Size,0),IF(UPPER($BW141)="AL",IF(_xlpm.mag="Y",10,12),IF(_xlpm.mag="Y",9,11))),""))))</f>
        <v/>
      </c>
      <c r="CI141" s="20" t="str">
        <f t="shared" si="45"/>
        <v/>
      </c>
      <c r="CJ141" s="20" t="str">
        <f>IF(OR($A141="",LEFT($A141,2)&lt;&gt;"T-"),"",IFERROR(_xlfn.LET(_xlpm.fla,_xlfn.XLOOKUP($A141,Transformers!$A$6:$A$105,Transformers!$AK$6:$AK$105),_xlpm.z,_xlfn.XLOOKUP($A141,Transformers!$A$6:$A$105,Transformers!$AX$6:$AX$105),IF(OR(_xlpm.fla="",_xlpm.z="",_xlpm.z=0),"",_xlpm.fla*100/_xlpm.z)),""))</f>
        <v/>
      </c>
      <c r="CK141" s="20" t="str">
        <f t="shared" si="48"/>
        <v/>
      </c>
      <c r="CL141" s="20" t="str">
        <f t="shared" si="49"/>
        <v/>
      </c>
      <c r="CM141" s="373"/>
      <c r="CO141" s="20" t="str">
        <f>IF(OR($A141="",LEFT($A141,2)&lt;&gt;"T-"),"",_xlfn.LET(_xlpm.ph,IFERROR(_xlfn.XLOOKUP($A141,Transformers!$A$6:$A$105,Transformers!$C$6:$C$105),""),_xlpm.rr,IFERROR(_xlfn.XLOOKUP($A141,Transformers!$A$6:$A$105,Transformers!$AG$6:$AG$105),""),_xlpm.xx,IFERROR(_xlfn.XLOOKUP($A141,Transformers!$A$6:$A$105,Transformers!$AI$6:$AI$105),""),IF(OR(_xlpm.ph&lt;&gt;1,NOT(ISNUMBER(_xlpm.rr)),NOT(ISNUMBER(_xlpm.xx))),"",SQRT((1.5*_xlpm.rr)^2+(1.2*_xlpm.xx)^2))))</f>
        <v/>
      </c>
      <c r="CP141" s="20" t="str">
        <f t="shared" si="50"/>
        <v/>
      </c>
    </row>
    <row r="142" spans="1:94" ht="15" customHeight="1" x14ac:dyDescent="0.45">
      <c r="A142" s="275" t="str" cm="1">
        <f t="array" ref="A142">IFERROR(IF(INDEX(_xlfn.ANCHORARRAY($BK$4),ROW()-5,1)="","",INDEX(_xlfn.ANCHORARRAY($BK$4),ROW()-5,1)),"")</f>
        <v/>
      </c>
      <c r="B142" s="25" t="str" cm="1">
        <f t="array" ref="B142">IFERROR(IF($A142="","",INDEX(_xlfn.ANCHORARRAY($BK$4),ROW()-5,5)),"")</f>
        <v/>
      </c>
      <c r="C142" s="178" t="str" cm="1">
        <f t="array" ref="C142">IFERROR(IF($A142="","",INDEX(_xlfn.ANCHORARRAY($BK$4),ROW()-5,7)),"")</f>
        <v/>
      </c>
      <c r="D142" s="177" t="str" cm="1">
        <f t="array" ref="D142">IFERROR(IF($A142="","",INDEX(_xlfn.ANCHORARRAY($BK$4),ROW()-5,3)),"")</f>
        <v/>
      </c>
      <c r="E142" s="25" t="str" cm="1">
        <f t="array" ref="E142">IFERROR(IF($A142="","",INDEX(_xlfn.ANCHORARRAY($BK$4),ROW()-5,2)),"")</f>
        <v/>
      </c>
      <c r="F142" s="177" t="str">
        <f t="shared" si="34"/>
        <v/>
      </c>
      <c r="G142" s="275" t="str">
        <f t="shared" si="35"/>
        <v/>
      </c>
      <c r="H142" s="180" t="str">
        <f t="shared" si="36"/>
        <v/>
      </c>
      <c r="I142" s="180" t="str">
        <f t="shared" si="37"/>
        <v/>
      </c>
      <c r="J142" s="177" t="str">
        <f>_xlfn.LET(_xlpm.v,_xlfn.LET(_xlpm.base,IF($A142="","",IF($C142=0,IFERROR(_xlfn.XLOOKUP($A142,Util_Tags,Util_SCAEff),""),IF(LEFT($A142,2)="T-",IF($CJ142="","",$CJ142/(1+IF($CL142="",0,$CL142))),IF(OR($F142="",$I142=""),"",$F142*$I142)))),_xlpm.gtag,IF(OR($A142="",NOT(OR($B142="ATS",$B142="MTS"))),"",IFERROR(_xlfn.XLOOKUP($A142,Dashboard!$A$101:$A$350,Dashboard!$L$101:$L$350,"")&amp;"","")),_xlpm.gkva,IF(_xlpm.gtag="",0,IFERROR(N(_xlfn.XLOOKUP(_xlpm.gtag,Generator!$B$53:$B$58,Generator!$S$53:$S$58,0)),0)),_xlpm.gxd,IF(_xlpm.gtag="",0,IFERROR(N(_xlfn.XLOOKUP(_xlpm.gtag,Generator!$B$53:$B$58,Generator!$U$53:$U$58,0)),0)),_xlpm.gamp,IF(OR(_xlpm.gkva=0,_xlpm.gxd=0,N($D142)=0),0,ROUND(_xlpm.gkva*1000/(IF(N($CB142)=1,1,SQRT(3))*$D142*_xlpm.gxd),0)),IF(OR(_xlpm.gamp=0,NOT(ISNUMBER(_xlpm.base))),_xlpm.base,MAX(_xlpm.base,_xlpm.gamp))),_xlpm.ulim,IF(OR($A142="",$B142&lt;&gt;"UPS"),"",IFERROR(IF(_xlfn.XLOOKUP($A142,UPS!$B$57:$B$64,UPS!$E$57:$E$64,"")="None",_xlfn.XLOOKUP($A142,UPS!$B$57:$B$64,UPS!$U$57:$U$64,""),""),"")),IF(AND(ISNUMBER(_xlpm.v),ISNUMBER(_xlpm.ulim)),MIN(_xlpm.v,_xlpm.ulim),_xlpm.v))</f>
        <v/>
      </c>
      <c r="K142" s="176"/>
      <c r="L142" s="177" t="str">
        <f t="shared" si="38"/>
        <v/>
      </c>
      <c r="M142" s="177" t="str">
        <f t="shared" si="39"/>
        <v/>
      </c>
      <c r="N142" s="380" t="str">
        <f>IF($A142="","",IF($C142=0,_xlfn.LET(_xlpm.x,IFERROR(_xlfn.XLOOKUP($A142,Util_Tags,Util_XR),""),IF(N(_xlpm.x)=0,Xfmr_DefXR,_xlpm.x)),IF(LEFT($A142,2)="T-",IFERROR(_xlfn.XLOOKUP($A142,Transformers!$A$6:$A$105,Transformers!$AH$6:$AH$105),Xfmr_DefXR),IFERROR(_xlfn.XLOOKUP($E142,$A$6:$A$255,$N$6:$N$255),Xfmr_DefXR))))</f>
        <v/>
      </c>
      <c r="O142" s="177" t="str">
        <f t="shared" si="40"/>
        <v/>
      </c>
      <c r="P142" s="210" t="str">
        <f>IF($A142="","",IF(LEFT($A142,2)="T-",IF($CO142="","",_xlfn.LET(_xlpm.k,IFERROR(_xlfn.XLOOKUP($A142,Transformers!$A$6:$A$105,Transformers!$G$6:$G$105),""),_xlpm.sv,IFERROR(_xlfn.XLOOKUP($A142,Transformers!$A$6:$A$105,Transformers!$E$6:$E$105),""),IF(OR(NOT(ISNUMBER(_xlpm.k)),NOT(ISNUMBER(_xlpm.sv)),_xlpm.sv=0),"",_xlfn.LET(_xlpm.iInf,(_xlpm.k*1000/(_xlpm.sv/2))*100/$CO142,_xlpm.pri,IF(OR($CK142="",$CK142=0),"",$CK142/2),_xlpm.base,IF(_xlpm.pri="",_xlpm.iInf,_xlpm.iInf/(1+_xlpm.iInf/_xlpm.pri)),_xlpm.base+IF($L142="",0,$L142))))),IF($CP142="","",_xlfn.LET(_xlpm.pI,IFERROR(_xlfn.XLOOKUP($E142,$A$6:$A$255,$P$6:$P$255),""),IF(NOT(ISNUMBER(_xlpm.pI)),"",_xlpm.pI/(1+$CP142)+IF($L142="",0,$L142))))))</f>
        <v/>
      </c>
      <c r="Q142" s="210" t="str">
        <f t="shared" si="41"/>
        <v/>
      </c>
      <c r="R142" s="177" t="str">
        <f>IF($A142="","",IF(OR($C142=0,LEFT($A142,2)="T-"),"",IFERROR(_xlfn.LET(_xlpm.v,_xlfn.XLOOKUP($A142,Dashboard!$A$101:$A$350,Dashboard!$K$101:$K$350),IF(ISNUMBER(_xlpm.v),_xlpm.v,"")),"")))</f>
        <v/>
      </c>
      <c r="S142" s="211" t="str">
        <f t="shared" si="42"/>
        <v/>
      </c>
      <c r="T142" s="25" t="str">
        <f t="shared" si="43"/>
        <v/>
      </c>
      <c r="U142" s="364"/>
      <c r="BV142" s="20" t="str">
        <f>IF($A142="","",IFERROR(_xlfn.XLOOKUP("F-"&amp;$A142,'Feeder Schedule'!$B$5:$B$254,'Feeder Schedule'!$H$5:$H$254),""))</f>
        <v/>
      </c>
      <c r="BW142" s="20" t="str">
        <f>IF($A142="","",IFERROR(_xlfn.XLOOKUP("F-"&amp;$A142,'Feeder Schedule'!$B$5:$B$254,'Feeder Schedule'!$BV$5:$BV$254),""))</f>
        <v/>
      </c>
      <c r="BX142" s="20" t="str">
        <f>IF($A142="","",IFERROR(_xlfn.LET(_xlpm.v,_xlfn.XLOOKUP("F-"&amp;$A142,'Feeder Schedule'!$B$5:$B$254,'Feeder Schedule'!$M$5:$M$254),IF(OR(_xlpm.v="",_xlpm.v=0),Cfg_Conduit,_xlpm.v)),""))</f>
        <v/>
      </c>
      <c r="BY142" s="20" t="str">
        <f>IF($A142="","",IFERROR(_xlfn.XLOOKUP("F-"&amp;$A142,'Feeder Schedule'!$B$5:$B$254,'Feeder Schedule'!$O$5:$O$254),""))</f>
        <v/>
      </c>
      <c r="BZ142" s="20" t="str">
        <f>IF($A142="","",IFERROR(_xlfn.XLOOKUP("F-"&amp;$A142,'Feeder Schedule'!$B$5:$B$254,'Feeder Schedule'!$CH$5:$CH$254),""))</f>
        <v/>
      </c>
      <c r="CA142" s="20" t="str">
        <f>IF($A142="","",IFERROR(_xlfn.XLOOKUP("F-"&amp;$A142,'Feeder Schedule'!$B$5:$B$254,'Feeder Schedule'!$F$5:$F$254),""))</f>
        <v/>
      </c>
      <c r="CB142" s="20" t="str">
        <f>IF($A142="","",IFERROR(_xlfn.XLOOKUP("F-"&amp;$A142,'Feeder Schedule'!$B$5:$B$254,'Feeder Schedule'!$G$5:$G$254),""))</f>
        <v/>
      </c>
      <c r="CD142" s="20" t="str" cm="1">
        <f t="array" ref="CD142">IFERROR(IF($A142="","",INDEX(_xlfn.ANCHORARRAY($BK$4),ROW()-5,6)),"")</f>
        <v/>
      </c>
      <c r="CE142" s="20" t="str">
        <f t="shared" si="46"/>
        <v/>
      </c>
      <c r="CF142" s="20" t="str">
        <f t="shared" si="47"/>
        <v/>
      </c>
      <c r="CG142" s="20" t="str">
        <f t="shared" si="44"/>
        <v/>
      </c>
      <c r="CH142" s="20" t="str" cm="1">
        <f t="array" ref="CH142">IF(OR($A142="",$BZ142="",$BW142="",$BX142=""),"",_xlfn.LET(_xlpm.mag,IFERROR(_xlfn.XLOOKUP($BX142,Race_Raceway,Race_Mag),""),IF(_xlpm.mag="","",IFERROR(INDEX(Cond_Table,MATCH($BZ142,Cond_Size,0),IF(UPPER($BW142)="AL",IF(_xlpm.mag="Y",10,12),IF(_xlpm.mag="Y",9,11))),""))))</f>
        <v/>
      </c>
      <c r="CI142" s="20" t="str">
        <f t="shared" si="45"/>
        <v/>
      </c>
      <c r="CJ142" s="20" t="str">
        <f>IF(OR($A142="",LEFT($A142,2)&lt;&gt;"T-"),"",IFERROR(_xlfn.LET(_xlpm.fla,_xlfn.XLOOKUP($A142,Transformers!$A$6:$A$105,Transformers!$AK$6:$AK$105),_xlpm.z,_xlfn.XLOOKUP($A142,Transformers!$A$6:$A$105,Transformers!$AX$6:$AX$105),IF(OR(_xlpm.fla="",_xlpm.z="",_xlpm.z=0),"",_xlpm.fla*100/_xlpm.z)),""))</f>
        <v/>
      </c>
      <c r="CK142" s="20" t="str">
        <f t="shared" si="48"/>
        <v/>
      </c>
      <c r="CL142" s="20" t="str">
        <f t="shared" si="49"/>
        <v/>
      </c>
      <c r="CM142" s="373"/>
      <c r="CO142" s="20" t="str">
        <f>IF(OR($A142="",LEFT($A142,2)&lt;&gt;"T-"),"",_xlfn.LET(_xlpm.ph,IFERROR(_xlfn.XLOOKUP($A142,Transformers!$A$6:$A$105,Transformers!$C$6:$C$105),""),_xlpm.rr,IFERROR(_xlfn.XLOOKUP($A142,Transformers!$A$6:$A$105,Transformers!$AG$6:$AG$105),""),_xlpm.xx,IFERROR(_xlfn.XLOOKUP($A142,Transformers!$A$6:$A$105,Transformers!$AI$6:$AI$105),""),IF(OR(_xlpm.ph&lt;&gt;1,NOT(ISNUMBER(_xlpm.rr)),NOT(ISNUMBER(_xlpm.xx))),"",SQRT((1.5*_xlpm.rr)^2+(1.2*_xlpm.xx)^2))))</f>
        <v/>
      </c>
      <c r="CP142" s="20" t="str">
        <f t="shared" si="50"/>
        <v/>
      </c>
    </row>
    <row r="143" spans="1:94" ht="15" customHeight="1" x14ac:dyDescent="0.45">
      <c r="A143" s="275" t="str" cm="1">
        <f t="array" ref="A143">IFERROR(IF(INDEX(_xlfn.ANCHORARRAY($BK$4),ROW()-5,1)="","",INDEX(_xlfn.ANCHORARRAY($BK$4),ROW()-5,1)),"")</f>
        <v/>
      </c>
      <c r="B143" s="25" t="str" cm="1">
        <f t="array" ref="B143">IFERROR(IF($A143="","",INDEX(_xlfn.ANCHORARRAY($BK$4),ROW()-5,5)),"")</f>
        <v/>
      </c>
      <c r="C143" s="178" t="str" cm="1">
        <f t="array" ref="C143">IFERROR(IF($A143="","",INDEX(_xlfn.ANCHORARRAY($BK$4),ROW()-5,7)),"")</f>
        <v/>
      </c>
      <c r="D143" s="177" t="str" cm="1">
        <f t="array" ref="D143">IFERROR(IF($A143="","",INDEX(_xlfn.ANCHORARRAY($BK$4),ROW()-5,3)),"")</f>
        <v/>
      </c>
      <c r="E143" s="25" t="str" cm="1">
        <f t="array" ref="E143">IFERROR(IF($A143="","",INDEX(_xlfn.ANCHORARRAY($BK$4),ROW()-5,2)),"")</f>
        <v/>
      </c>
      <c r="F143" s="177" t="str">
        <f t="shared" si="34"/>
        <v/>
      </c>
      <c r="G143" s="275" t="str">
        <f t="shared" si="35"/>
        <v/>
      </c>
      <c r="H143" s="180" t="str">
        <f t="shared" si="36"/>
        <v/>
      </c>
      <c r="I143" s="180" t="str">
        <f t="shared" si="37"/>
        <v/>
      </c>
      <c r="J143" s="177" t="str">
        <f>_xlfn.LET(_xlpm.v,_xlfn.LET(_xlpm.base,IF($A143="","",IF($C143=0,IFERROR(_xlfn.XLOOKUP($A143,Util_Tags,Util_SCAEff),""),IF(LEFT($A143,2)="T-",IF($CJ143="","",$CJ143/(1+IF($CL143="",0,$CL143))),IF(OR($F143="",$I143=""),"",$F143*$I143)))),_xlpm.gtag,IF(OR($A143="",NOT(OR($B143="ATS",$B143="MTS"))),"",IFERROR(_xlfn.XLOOKUP($A143,Dashboard!$A$101:$A$350,Dashboard!$L$101:$L$350,"")&amp;"","")),_xlpm.gkva,IF(_xlpm.gtag="",0,IFERROR(N(_xlfn.XLOOKUP(_xlpm.gtag,Generator!$B$53:$B$58,Generator!$S$53:$S$58,0)),0)),_xlpm.gxd,IF(_xlpm.gtag="",0,IFERROR(N(_xlfn.XLOOKUP(_xlpm.gtag,Generator!$B$53:$B$58,Generator!$U$53:$U$58,0)),0)),_xlpm.gamp,IF(OR(_xlpm.gkva=0,_xlpm.gxd=0,N($D143)=0),0,ROUND(_xlpm.gkva*1000/(IF(N($CB143)=1,1,SQRT(3))*$D143*_xlpm.gxd),0)),IF(OR(_xlpm.gamp=0,NOT(ISNUMBER(_xlpm.base))),_xlpm.base,MAX(_xlpm.base,_xlpm.gamp))),_xlpm.ulim,IF(OR($A143="",$B143&lt;&gt;"UPS"),"",IFERROR(IF(_xlfn.XLOOKUP($A143,UPS!$B$57:$B$64,UPS!$E$57:$E$64,"")="None",_xlfn.XLOOKUP($A143,UPS!$B$57:$B$64,UPS!$U$57:$U$64,""),""),"")),IF(AND(ISNUMBER(_xlpm.v),ISNUMBER(_xlpm.ulim)),MIN(_xlpm.v,_xlpm.ulim),_xlpm.v))</f>
        <v/>
      </c>
      <c r="K143" s="176"/>
      <c r="L143" s="177" t="str">
        <f t="shared" si="38"/>
        <v/>
      </c>
      <c r="M143" s="177" t="str">
        <f t="shared" si="39"/>
        <v/>
      </c>
      <c r="N143" s="380" t="str">
        <f>IF($A143="","",IF($C143=0,_xlfn.LET(_xlpm.x,IFERROR(_xlfn.XLOOKUP($A143,Util_Tags,Util_XR),""),IF(N(_xlpm.x)=0,Xfmr_DefXR,_xlpm.x)),IF(LEFT($A143,2)="T-",IFERROR(_xlfn.XLOOKUP($A143,Transformers!$A$6:$A$105,Transformers!$AH$6:$AH$105),Xfmr_DefXR),IFERROR(_xlfn.XLOOKUP($E143,$A$6:$A$255,$N$6:$N$255),Xfmr_DefXR))))</f>
        <v/>
      </c>
      <c r="O143" s="177" t="str">
        <f t="shared" si="40"/>
        <v/>
      </c>
      <c r="P143" s="210" t="str">
        <f>IF($A143="","",IF(LEFT($A143,2)="T-",IF($CO143="","",_xlfn.LET(_xlpm.k,IFERROR(_xlfn.XLOOKUP($A143,Transformers!$A$6:$A$105,Transformers!$G$6:$G$105),""),_xlpm.sv,IFERROR(_xlfn.XLOOKUP($A143,Transformers!$A$6:$A$105,Transformers!$E$6:$E$105),""),IF(OR(NOT(ISNUMBER(_xlpm.k)),NOT(ISNUMBER(_xlpm.sv)),_xlpm.sv=0),"",_xlfn.LET(_xlpm.iInf,(_xlpm.k*1000/(_xlpm.sv/2))*100/$CO143,_xlpm.pri,IF(OR($CK143="",$CK143=0),"",$CK143/2),_xlpm.base,IF(_xlpm.pri="",_xlpm.iInf,_xlpm.iInf/(1+_xlpm.iInf/_xlpm.pri)),_xlpm.base+IF($L143="",0,$L143))))),IF($CP143="","",_xlfn.LET(_xlpm.pI,IFERROR(_xlfn.XLOOKUP($E143,$A$6:$A$255,$P$6:$P$255),""),IF(NOT(ISNUMBER(_xlpm.pI)),"",_xlpm.pI/(1+$CP143)+IF($L143="",0,$L143))))))</f>
        <v/>
      </c>
      <c r="Q143" s="210" t="str">
        <f t="shared" si="41"/>
        <v/>
      </c>
      <c r="R143" s="177" t="str">
        <f>IF($A143="","",IF(OR($C143=0,LEFT($A143,2)="T-"),"",IFERROR(_xlfn.LET(_xlpm.v,_xlfn.XLOOKUP($A143,Dashboard!$A$101:$A$350,Dashboard!$K$101:$K$350),IF(ISNUMBER(_xlpm.v),_xlpm.v,"")),"")))</f>
        <v/>
      </c>
      <c r="S143" s="211" t="str">
        <f t="shared" si="42"/>
        <v/>
      </c>
      <c r="T143" s="25" t="str">
        <f t="shared" si="43"/>
        <v/>
      </c>
      <c r="U143" s="364"/>
      <c r="BV143" s="20" t="str">
        <f>IF($A143="","",IFERROR(_xlfn.XLOOKUP("F-"&amp;$A143,'Feeder Schedule'!$B$5:$B$254,'Feeder Schedule'!$H$5:$H$254),""))</f>
        <v/>
      </c>
      <c r="BW143" s="20" t="str">
        <f>IF($A143="","",IFERROR(_xlfn.XLOOKUP("F-"&amp;$A143,'Feeder Schedule'!$B$5:$B$254,'Feeder Schedule'!$BV$5:$BV$254),""))</f>
        <v/>
      </c>
      <c r="BX143" s="20" t="str">
        <f>IF($A143="","",IFERROR(_xlfn.LET(_xlpm.v,_xlfn.XLOOKUP("F-"&amp;$A143,'Feeder Schedule'!$B$5:$B$254,'Feeder Schedule'!$M$5:$M$254),IF(OR(_xlpm.v="",_xlpm.v=0),Cfg_Conduit,_xlpm.v)),""))</f>
        <v/>
      </c>
      <c r="BY143" s="20" t="str">
        <f>IF($A143="","",IFERROR(_xlfn.XLOOKUP("F-"&amp;$A143,'Feeder Schedule'!$B$5:$B$254,'Feeder Schedule'!$O$5:$O$254),""))</f>
        <v/>
      </c>
      <c r="BZ143" s="20" t="str">
        <f>IF($A143="","",IFERROR(_xlfn.XLOOKUP("F-"&amp;$A143,'Feeder Schedule'!$B$5:$B$254,'Feeder Schedule'!$CH$5:$CH$254),""))</f>
        <v/>
      </c>
      <c r="CA143" s="20" t="str">
        <f>IF($A143="","",IFERROR(_xlfn.XLOOKUP("F-"&amp;$A143,'Feeder Schedule'!$B$5:$B$254,'Feeder Schedule'!$F$5:$F$254),""))</f>
        <v/>
      </c>
      <c r="CB143" s="20" t="str">
        <f>IF($A143="","",IFERROR(_xlfn.XLOOKUP("F-"&amp;$A143,'Feeder Schedule'!$B$5:$B$254,'Feeder Schedule'!$G$5:$G$254),""))</f>
        <v/>
      </c>
      <c r="CD143" s="20" t="str" cm="1">
        <f t="array" ref="CD143">IFERROR(IF($A143="","",INDEX(_xlfn.ANCHORARRAY($BK$4),ROW()-5,6)),"")</f>
        <v/>
      </c>
      <c r="CE143" s="20" t="str">
        <f t="shared" si="46"/>
        <v/>
      </c>
      <c r="CF143" s="20" t="str">
        <f t="shared" si="47"/>
        <v/>
      </c>
      <c r="CG143" s="20" t="str">
        <f t="shared" si="44"/>
        <v/>
      </c>
      <c r="CH143" s="20" t="str" cm="1">
        <f t="array" ref="CH143">IF(OR($A143="",$BZ143="",$BW143="",$BX143=""),"",_xlfn.LET(_xlpm.mag,IFERROR(_xlfn.XLOOKUP($BX143,Race_Raceway,Race_Mag),""),IF(_xlpm.mag="","",IFERROR(INDEX(Cond_Table,MATCH($BZ143,Cond_Size,0),IF(UPPER($BW143)="AL",IF(_xlpm.mag="Y",10,12),IF(_xlpm.mag="Y",9,11))),""))))</f>
        <v/>
      </c>
      <c r="CI143" s="20" t="str">
        <f t="shared" si="45"/>
        <v/>
      </c>
      <c r="CJ143" s="20" t="str">
        <f>IF(OR($A143="",LEFT($A143,2)&lt;&gt;"T-"),"",IFERROR(_xlfn.LET(_xlpm.fla,_xlfn.XLOOKUP($A143,Transformers!$A$6:$A$105,Transformers!$AK$6:$AK$105),_xlpm.z,_xlfn.XLOOKUP($A143,Transformers!$A$6:$A$105,Transformers!$AX$6:$AX$105),IF(OR(_xlpm.fla="",_xlpm.z="",_xlpm.z=0),"",_xlpm.fla*100/_xlpm.z)),""))</f>
        <v/>
      </c>
      <c r="CK143" s="20" t="str">
        <f t="shared" si="48"/>
        <v/>
      </c>
      <c r="CL143" s="20" t="str">
        <f t="shared" si="49"/>
        <v/>
      </c>
      <c r="CM143" s="373"/>
      <c r="CO143" s="20" t="str">
        <f>IF(OR($A143="",LEFT($A143,2)&lt;&gt;"T-"),"",_xlfn.LET(_xlpm.ph,IFERROR(_xlfn.XLOOKUP($A143,Transformers!$A$6:$A$105,Transformers!$C$6:$C$105),""),_xlpm.rr,IFERROR(_xlfn.XLOOKUP($A143,Transformers!$A$6:$A$105,Transformers!$AG$6:$AG$105),""),_xlpm.xx,IFERROR(_xlfn.XLOOKUP($A143,Transformers!$A$6:$A$105,Transformers!$AI$6:$AI$105),""),IF(OR(_xlpm.ph&lt;&gt;1,NOT(ISNUMBER(_xlpm.rr)),NOT(ISNUMBER(_xlpm.xx))),"",SQRT((1.5*_xlpm.rr)^2+(1.2*_xlpm.xx)^2))))</f>
        <v/>
      </c>
      <c r="CP143" s="20" t="str">
        <f t="shared" si="50"/>
        <v/>
      </c>
    </row>
    <row r="144" spans="1:94" ht="15" customHeight="1" x14ac:dyDescent="0.45">
      <c r="A144" s="275" t="str" cm="1">
        <f t="array" ref="A144">IFERROR(IF(INDEX(_xlfn.ANCHORARRAY($BK$4),ROW()-5,1)="","",INDEX(_xlfn.ANCHORARRAY($BK$4),ROW()-5,1)),"")</f>
        <v/>
      </c>
      <c r="B144" s="25" t="str" cm="1">
        <f t="array" ref="B144">IFERROR(IF($A144="","",INDEX(_xlfn.ANCHORARRAY($BK$4),ROW()-5,5)),"")</f>
        <v/>
      </c>
      <c r="C144" s="178" t="str" cm="1">
        <f t="array" ref="C144">IFERROR(IF($A144="","",INDEX(_xlfn.ANCHORARRAY($BK$4),ROW()-5,7)),"")</f>
        <v/>
      </c>
      <c r="D144" s="177" t="str" cm="1">
        <f t="array" ref="D144">IFERROR(IF($A144="","",INDEX(_xlfn.ANCHORARRAY($BK$4),ROW()-5,3)),"")</f>
        <v/>
      </c>
      <c r="E144" s="25" t="str" cm="1">
        <f t="array" ref="E144">IFERROR(IF($A144="","",INDEX(_xlfn.ANCHORARRAY($BK$4),ROW()-5,2)),"")</f>
        <v/>
      </c>
      <c r="F144" s="177" t="str">
        <f t="shared" si="34"/>
        <v/>
      </c>
      <c r="G144" s="275" t="str">
        <f t="shared" si="35"/>
        <v/>
      </c>
      <c r="H144" s="180" t="str">
        <f t="shared" si="36"/>
        <v/>
      </c>
      <c r="I144" s="180" t="str">
        <f t="shared" si="37"/>
        <v/>
      </c>
      <c r="J144" s="177" t="str">
        <f>_xlfn.LET(_xlpm.v,_xlfn.LET(_xlpm.base,IF($A144="","",IF($C144=0,IFERROR(_xlfn.XLOOKUP($A144,Util_Tags,Util_SCAEff),""),IF(LEFT($A144,2)="T-",IF($CJ144="","",$CJ144/(1+IF($CL144="",0,$CL144))),IF(OR($F144="",$I144=""),"",$F144*$I144)))),_xlpm.gtag,IF(OR($A144="",NOT(OR($B144="ATS",$B144="MTS"))),"",IFERROR(_xlfn.XLOOKUP($A144,Dashboard!$A$101:$A$350,Dashboard!$L$101:$L$350,"")&amp;"","")),_xlpm.gkva,IF(_xlpm.gtag="",0,IFERROR(N(_xlfn.XLOOKUP(_xlpm.gtag,Generator!$B$53:$B$58,Generator!$S$53:$S$58,0)),0)),_xlpm.gxd,IF(_xlpm.gtag="",0,IFERROR(N(_xlfn.XLOOKUP(_xlpm.gtag,Generator!$B$53:$B$58,Generator!$U$53:$U$58,0)),0)),_xlpm.gamp,IF(OR(_xlpm.gkva=0,_xlpm.gxd=0,N($D144)=0),0,ROUND(_xlpm.gkva*1000/(IF(N($CB144)=1,1,SQRT(3))*$D144*_xlpm.gxd),0)),IF(OR(_xlpm.gamp=0,NOT(ISNUMBER(_xlpm.base))),_xlpm.base,MAX(_xlpm.base,_xlpm.gamp))),_xlpm.ulim,IF(OR($A144="",$B144&lt;&gt;"UPS"),"",IFERROR(IF(_xlfn.XLOOKUP($A144,UPS!$B$57:$B$64,UPS!$E$57:$E$64,"")="None",_xlfn.XLOOKUP($A144,UPS!$B$57:$B$64,UPS!$U$57:$U$64,""),""),"")),IF(AND(ISNUMBER(_xlpm.v),ISNUMBER(_xlpm.ulim)),MIN(_xlpm.v,_xlpm.ulim),_xlpm.v))</f>
        <v/>
      </c>
      <c r="K144" s="176"/>
      <c r="L144" s="177" t="str">
        <f t="shared" si="38"/>
        <v/>
      </c>
      <c r="M144" s="177" t="str">
        <f t="shared" si="39"/>
        <v/>
      </c>
      <c r="N144" s="380" t="str">
        <f>IF($A144="","",IF($C144=0,_xlfn.LET(_xlpm.x,IFERROR(_xlfn.XLOOKUP($A144,Util_Tags,Util_XR),""),IF(N(_xlpm.x)=0,Xfmr_DefXR,_xlpm.x)),IF(LEFT($A144,2)="T-",IFERROR(_xlfn.XLOOKUP($A144,Transformers!$A$6:$A$105,Transformers!$AH$6:$AH$105),Xfmr_DefXR),IFERROR(_xlfn.XLOOKUP($E144,$A$6:$A$255,$N$6:$N$255),Xfmr_DefXR))))</f>
        <v/>
      </c>
      <c r="O144" s="177" t="str">
        <f t="shared" si="40"/>
        <v/>
      </c>
      <c r="P144" s="210" t="str">
        <f>IF($A144="","",IF(LEFT($A144,2)="T-",IF($CO144="","",_xlfn.LET(_xlpm.k,IFERROR(_xlfn.XLOOKUP($A144,Transformers!$A$6:$A$105,Transformers!$G$6:$G$105),""),_xlpm.sv,IFERROR(_xlfn.XLOOKUP($A144,Transformers!$A$6:$A$105,Transformers!$E$6:$E$105),""),IF(OR(NOT(ISNUMBER(_xlpm.k)),NOT(ISNUMBER(_xlpm.sv)),_xlpm.sv=0),"",_xlfn.LET(_xlpm.iInf,(_xlpm.k*1000/(_xlpm.sv/2))*100/$CO144,_xlpm.pri,IF(OR($CK144="",$CK144=0),"",$CK144/2),_xlpm.base,IF(_xlpm.pri="",_xlpm.iInf,_xlpm.iInf/(1+_xlpm.iInf/_xlpm.pri)),_xlpm.base+IF($L144="",0,$L144))))),IF($CP144="","",_xlfn.LET(_xlpm.pI,IFERROR(_xlfn.XLOOKUP($E144,$A$6:$A$255,$P$6:$P$255),""),IF(NOT(ISNUMBER(_xlpm.pI)),"",_xlpm.pI/(1+$CP144)+IF($L144="",0,$L144))))))</f>
        <v/>
      </c>
      <c r="Q144" s="210" t="str">
        <f t="shared" si="41"/>
        <v/>
      </c>
      <c r="R144" s="177" t="str">
        <f>IF($A144="","",IF(OR($C144=0,LEFT($A144,2)="T-"),"",IFERROR(_xlfn.LET(_xlpm.v,_xlfn.XLOOKUP($A144,Dashboard!$A$101:$A$350,Dashboard!$K$101:$K$350),IF(ISNUMBER(_xlpm.v),_xlpm.v,"")),"")))</f>
        <v/>
      </c>
      <c r="S144" s="211" t="str">
        <f t="shared" si="42"/>
        <v/>
      </c>
      <c r="T144" s="25" t="str">
        <f t="shared" si="43"/>
        <v/>
      </c>
      <c r="U144" s="364"/>
      <c r="BV144" s="20" t="str">
        <f>IF($A144="","",IFERROR(_xlfn.XLOOKUP("F-"&amp;$A144,'Feeder Schedule'!$B$5:$B$254,'Feeder Schedule'!$H$5:$H$254),""))</f>
        <v/>
      </c>
      <c r="BW144" s="20" t="str">
        <f>IF($A144="","",IFERROR(_xlfn.XLOOKUP("F-"&amp;$A144,'Feeder Schedule'!$B$5:$B$254,'Feeder Schedule'!$BV$5:$BV$254),""))</f>
        <v/>
      </c>
      <c r="BX144" s="20" t="str">
        <f>IF($A144="","",IFERROR(_xlfn.LET(_xlpm.v,_xlfn.XLOOKUP("F-"&amp;$A144,'Feeder Schedule'!$B$5:$B$254,'Feeder Schedule'!$M$5:$M$254),IF(OR(_xlpm.v="",_xlpm.v=0),Cfg_Conduit,_xlpm.v)),""))</f>
        <v/>
      </c>
      <c r="BY144" s="20" t="str">
        <f>IF($A144="","",IFERROR(_xlfn.XLOOKUP("F-"&amp;$A144,'Feeder Schedule'!$B$5:$B$254,'Feeder Schedule'!$O$5:$O$254),""))</f>
        <v/>
      </c>
      <c r="BZ144" s="20" t="str">
        <f>IF($A144="","",IFERROR(_xlfn.XLOOKUP("F-"&amp;$A144,'Feeder Schedule'!$B$5:$B$254,'Feeder Schedule'!$CH$5:$CH$254),""))</f>
        <v/>
      </c>
      <c r="CA144" s="20" t="str">
        <f>IF($A144="","",IFERROR(_xlfn.XLOOKUP("F-"&amp;$A144,'Feeder Schedule'!$B$5:$B$254,'Feeder Schedule'!$F$5:$F$254),""))</f>
        <v/>
      </c>
      <c r="CB144" s="20" t="str">
        <f>IF($A144="","",IFERROR(_xlfn.XLOOKUP("F-"&amp;$A144,'Feeder Schedule'!$B$5:$B$254,'Feeder Schedule'!$G$5:$G$254),""))</f>
        <v/>
      </c>
      <c r="CD144" s="20" t="str" cm="1">
        <f t="array" ref="CD144">IFERROR(IF($A144="","",INDEX(_xlfn.ANCHORARRAY($BK$4),ROW()-5,6)),"")</f>
        <v/>
      </c>
      <c r="CE144" s="20" t="str">
        <f t="shared" si="46"/>
        <v/>
      </c>
      <c r="CF144" s="20" t="str">
        <f t="shared" si="47"/>
        <v/>
      </c>
      <c r="CG144" s="20" t="str">
        <f t="shared" si="44"/>
        <v/>
      </c>
      <c r="CH144" s="20" t="str" cm="1">
        <f t="array" ref="CH144">IF(OR($A144="",$BZ144="",$BW144="",$BX144=""),"",_xlfn.LET(_xlpm.mag,IFERROR(_xlfn.XLOOKUP($BX144,Race_Raceway,Race_Mag),""),IF(_xlpm.mag="","",IFERROR(INDEX(Cond_Table,MATCH($BZ144,Cond_Size,0),IF(UPPER($BW144)="AL",IF(_xlpm.mag="Y",10,12),IF(_xlpm.mag="Y",9,11))),""))))</f>
        <v/>
      </c>
      <c r="CI144" s="20" t="str">
        <f t="shared" si="45"/>
        <v/>
      </c>
      <c r="CJ144" s="20" t="str">
        <f>IF(OR($A144="",LEFT($A144,2)&lt;&gt;"T-"),"",IFERROR(_xlfn.LET(_xlpm.fla,_xlfn.XLOOKUP($A144,Transformers!$A$6:$A$105,Transformers!$AK$6:$AK$105),_xlpm.z,_xlfn.XLOOKUP($A144,Transformers!$A$6:$A$105,Transformers!$AX$6:$AX$105),IF(OR(_xlpm.fla="",_xlpm.z="",_xlpm.z=0),"",_xlpm.fla*100/_xlpm.z)),""))</f>
        <v/>
      </c>
      <c r="CK144" s="20" t="str">
        <f t="shared" si="48"/>
        <v/>
      </c>
      <c r="CL144" s="20" t="str">
        <f t="shared" si="49"/>
        <v/>
      </c>
      <c r="CM144" s="373"/>
      <c r="CO144" s="20" t="str">
        <f>IF(OR($A144="",LEFT($A144,2)&lt;&gt;"T-"),"",_xlfn.LET(_xlpm.ph,IFERROR(_xlfn.XLOOKUP($A144,Transformers!$A$6:$A$105,Transformers!$C$6:$C$105),""),_xlpm.rr,IFERROR(_xlfn.XLOOKUP($A144,Transformers!$A$6:$A$105,Transformers!$AG$6:$AG$105),""),_xlpm.xx,IFERROR(_xlfn.XLOOKUP($A144,Transformers!$A$6:$A$105,Transformers!$AI$6:$AI$105),""),IF(OR(_xlpm.ph&lt;&gt;1,NOT(ISNUMBER(_xlpm.rr)),NOT(ISNUMBER(_xlpm.xx))),"",SQRT((1.5*_xlpm.rr)^2+(1.2*_xlpm.xx)^2))))</f>
        <v/>
      </c>
      <c r="CP144" s="20" t="str">
        <f t="shared" si="50"/>
        <v/>
      </c>
    </row>
    <row r="145" spans="1:94" ht="15" customHeight="1" x14ac:dyDescent="0.45">
      <c r="A145" s="275" t="str" cm="1">
        <f t="array" ref="A145">IFERROR(IF(INDEX(_xlfn.ANCHORARRAY($BK$4),ROW()-5,1)="","",INDEX(_xlfn.ANCHORARRAY($BK$4),ROW()-5,1)),"")</f>
        <v/>
      </c>
      <c r="B145" s="25" t="str" cm="1">
        <f t="array" ref="B145">IFERROR(IF($A145="","",INDEX(_xlfn.ANCHORARRAY($BK$4),ROW()-5,5)),"")</f>
        <v/>
      </c>
      <c r="C145" s="178" t="str" cm="1">
        <f t="array" ref="C145">IFERROR(IF($A145="","",INDEX(_xlfn.ANCHORARRAY($BK$4),ROW()-5,7)),"")</f>
        <v/>
      </c>
      <c r="D145" s="177" t="str" cm="1">
        <f t="array" ref="D145">IFERROR(IF($A145="","",INDEX(_xlfn.ANCHORARRAY($BK$4),ROW()-5,3)),"")</f>
        <v/>
      </c>
      <c r="E145" s="25" t="str" cm="1">
        <f t="array" ref="E145">IFERROR(IF($A145="","",INDEX(_xlfn.ANCHORARRAY($BK$4),ROW()-5,2)),"")</f>
        <v/>
      </c>
      <c r="F145" s="177" t="str">
        <f t="shared" si="34"/>
        <v/>
      </c>
      <c r="G145" s="275" t="str">
        <f t="shared" si="35"/>
        <v/>
      </c>
      <c r="H145" s="180" t="str">
        <f t="shared" si="36"/>
        <v/>
      </c>
      <c r="I145" s="180" t="str">
        <f t="shared" si="37"/>
        <v/>
      </c>
      <c r="J145" s="177" t="str">
        <f>_xlfn.LET(_xlpm.v,_xlfn.LET(_xlpm.base,IF($A145="","",IF($C145=0,IFERROR(_xlfn.XLOOKUP($A145,Util_Tags,Util_SCAEff),""),IF(LEFT($A145,2)="T-",IF($CJ145="","",$CJ145/(1+IF($CL145="",0,$CL145))),IF(OR($F145="",$I145=""),"",$F145*$I145)))),_xlpm.gtag,IF(OR($A145="",NOT(OR($B145="ATS",$B145="MTS"))),"",IFERROR(_xlfn.XLOOKUP($A145,Dashboard!$A$101:$A$350,Dashboard!$L$101:$L$350,"")&amp;"","")),_xlpm.gkva,IF(_xlpm.gtag="",0,IFERROR(N(_xlfn.XLOOKUP(_xlpm.gtag,Generator!$B$53:$B$58,Generator!$S$53:$S$58,0)),0)),_xlpm.gxd,IF(_xlpm.gtag="",0,IFERROR(N(_xlfn.XLOOKUP(_xlpm.gtag,Generator!$B$53:$B$58,Generator!$U$53:$U$58,0)),0)),_xlpm.gamp,IF(OR(_xlpm.gkva=0,_xlpm.gxd=0,N($D145)=0),0,ROUND(_xlpm.gkva*1000/(IF(N($CB145)=1,1,SQRT(3))*$D145*_xlpm.gxd),0)),IF(OR(_xlpm.gamp=0,NOT(ISNUMBER(_xlpm.base))),_xlpm.base,MAX(_xlpm.base,_xlpm.gamp))),_xlpm.ulim,IF(OR($A145="",$B145&lt;&gt;"UPS"),"",IFERROR(IF(_xlfn.XLOOKUP($A145,UPS!$B$57:$B$64,UPS!$E$57:$E$64,"")="None",_xlfn.XLOOKUP($A145,UPS!$B$57:$B$64,UPS!$U$57:$U$64,""),""),"")),IF(AND(ISNUMBER(_xlpm.v),ISNUMBER(_xlpm.ulim)),MIN(_xlpm.v,_xlpm.ulim),_xlpm.v))</f>
        <v/>
      </c>
      <c r="K145" s="176"/>
      <c r="L145" s="177" t="str">
        <f t="shared" si="38"/>
        <v/>
      </c>
      <c r="M145" s="177" t="str">
        <f t="shared" si="39"/>
        <v/>
      </c>
      <c r="N145" s="380" t="str">
        <f>IF($A145="","",IF($C145=0,_xlfn.LET(_xlpm.x,IFERROR(_xlfn.XLOOKUP($A145,Util_Tags,Util_XR),""),IF(N(_xlpm.x)=0,Xfmr_DefXR,_xlpm.x)),IF(LEFT($A145,2)="T-",IFERROR(_xlfn.XLOOKUP($A145,Transformers!$A$6:$A$105,Transformers!$AH$6:$AH$105),Xfmr_DefXR),IFERROR(_xlfn.XLOOKUP($E145,$A$6:$A$255,$N$6:$N$255),Xfmr_DefXR))))</f>
        <v/>
      </c>
      <c r="O145" s="177" t="str">
        <f t="shared" si="40"/>
        <v/>
      </c>
      <c r="P145" s="210" t="str">
        <f>IF($A145="","",IF(LEFT($A145,2)="T-",IF($CO145="","",_xlfn.LET(_xlpm.k,IFERROR(_xlfn.XLOOKUP($A145,Transformers!$A$6:$A$105,Transformers!$G$6:$G$105),""),_xlpm.sv,IFERROR(_xlfn.XLOOKUP($A145,Transformers!$A$6:$A$105,Transformers!$E$6:$E$105),""),IF(OR(NOT(ISNUMBER(_xlpm.k)),NOT(ISNUMBER(_xlpm.sv)),_xlpm.sv=0),"",_xlfn.LET(_xlpm.iInf,(_xlpm.k*1000/(_xlpm.sv/2))*100/$CO145,_xlpm.pri,IF(OR($CK145="",$CK145=0),"",$CK145/2),_xlpm.base,IF(_xlpm.pri="",_xlpm.iInf,_xlpm.iInf/(1+_xlpm.iInf/_xlpm.pri)),_xlpm.base+IF($L145="",0,$L145))))),IF($CP145="","",_xlfn.LET(_xlpm.pI,IFERROR(_xlfn.XLOOKUP($E145,$A$6:$A$255,$P$6:$P$255),""),IF(NOT(ISNUMBER(_xlpm.pI)),"",_xlpm.pI/(1+$CP145)+IF($L145="",0,$L145))))))</f>
        <v/>
      </c>
      <c r="Q145" s="210" t="str">
        <f t="shared" si="41"/>
        <v/>
      </c>
      <c r="R145" s="177" t="str">
        <f>IF($A145="","",IF(OR($C145=0,LEFT($A145,2)="T-"),"",IFERROR(_xlfn.LET(_xlpm.v,_xlfn.XLOOKUP($A145,Dashboard!$A$101:$A$350,Dashboard!$K$101:$K$350),IF(ISNUMBER(_xlpm.v),_xlpm.v,"")),"")))</f>
        <v/>
      </c>
      <c r="S145" s="211" t="str">
        <f t="shared" si="42"/>
        <v/>
      </c>
      <c r="T145" s="25" t="str">
        <f t="shared" si="43"/>
        <v/>
      </c>
      <c r="U145" s="364"/>
      <c r="BV145" s="20" t="str">
        <f>IF($A145="","",IFERROR(_xlfn.XLOOKUP("F-"&amp;$A145,'Feeder Schedule'!$B$5:$B$254,'Feeder Schedule'!$H$5:$H$254),""))</f>
        <v/>
      </c>
      <c r="BW145" s="20" t="str">
        <f>IF($A145="","",IFERROR(_xlfn.XLOOKUP("F-"&amp;$A145,'Feeder Schedule'!$B$5:$B$254,'Feeder Schedule'!$BV$5:$BV$254),""))</f>
        <v/>
      </c>
      <c r="BX145" s="20" t="str">
        <f>IF($A145="","",IFERROR(_xlfn.LET(_xlpm.v,_xlfn.XLOOKUP("F-"&amp;$A145,'Feeder Schedule'!$B$5:$B$254,'Feeder Schedule'!$M$5:$M$254),IF(OR(_xlpm.v="",_xlpm.v=0),Cfg_Conduit,_xlpm.v)),""))</f>
        <v/>
      </c>
      <c r="BY145" s="20" t="str">
        <f>IF($A145="","",IFERROR(_xlfn.XLOOKUP("F-"&amp;$A145,'Feeder Schedule'!$B$5:$B$254,'Feeder Schedule'!$O$5:$O$254),""))</f>
        <v/>
      </c>
      <c r="BZ145" s="20" t="str">
        <f>IF($A145="","",IFERROR(_xlfn.XLOOKUP("F-"&amp;$A145,'Feeder Schedule'!$B$5:$B$254,'Feeder Schedule'!$CH$5:$CH$254),""))</f>
        <v/>
      </c>
      <c r="CA145" s="20" t="str">
        <f>IF($A145="","",IFERROR(_xlfn.XLOOKUP("F-"&amp;$A145,'Feeder Schedule'!$B$5:$B$254,'Feeder Schedule'!$F$5:$F$254),""))</f>
        <v/>
      </c>
      <c r="CB145" s="20" t="str">
        <f>IF($A145="","",IFERROR(_xlfn.XLOOKUP("F-"&amp;$A145,'Feeder Schedule'!$B$5:$B$254,'Feeder Schedule'!$G$5:$G$254),""))</f>
        <v/>
      </c>
      <c r="CD145" s="20" t="str" cm="1">
        <f t="array" ref="CD145">IFERROR(IF($A145="","",INDEX(_xlfn.ANCHORARRAY($BK$4),ROW()-5,6)),"")</f>
        <v/>
      </c>
      <c r="CE145" s="20" t="str">
        <f t="shared" si="46"/>
        <v/>
      </c>
      <c r="CF145" s="20" t="str">
        <f t="shared" si="47"/>
        <v/>
      </c>
      <c r="CG145" s="20" t="str">
        <f t="shared" si="44"/>
        <v/>
      </c>
      <c r="CH145" s="20" t="str" cm="1">
        <f t="array" ref="CH145">IF(OR($A145="",$BZ145="",$BW145="",$BX145=""),"",_xlfn.LET(_xlpm.mag,IFERROR(_xlfn.XLOOKUP($BX145,Race_Raceway,Race_Mag),""),IF(_xlpm.mag="","",IFERROR(INDEX(Cond_Table,MATCH($BZ145,Cond_Size,0),IF(UPPER($BW145)="AL",IF(_xlpm.mag="Y",10,12),IF(_xlpm.mag="Y",9,11))),""))))</f>
        <v/>
      </c>
      <c r="CI145" s="20" t="str">
        <f t="shared" si="45"/>
        <v/>
      </c>
      <c r="CJ145" s="20" t="str">
        <f>IF(OR($A145="",LEFT($A145,2)&lt;&gt;"T-"),"",IFERROR(_xlfn.LET(_xlpm.fla,_xlfn.XLOOKUP($A145,Transformers!$A$6:$A$105,Transformers!$AK$6:$AK$105),_xlpm.z,_xlfn.XLOOKUP($A145,Transformers!$A$6:$A$105,Transformers!$AX$6:$AX$105),IF(OR(_xlpm.fla="",_xlpm.z="",_xlpm.z=0),"",_xlpm.fla*100/_xlpm.z)),""))</f>
        <v/>
      </c>
      <c r="CK145" s="20" t="str">
        <f t="shared" si="48"/>
        <v/>
      </c>
      <c r="CL145" s="20" t="str">
        <f t="shared" si="49"/>
        <v/>
      </c>
      <c r="CM145" s="373"/>
      <c r="CO145" s="20" t="str">
        <f>IF(OR($A145="",LEFT($A145,2)&lt;&gt;"T-"),"",_xlfn.LET(_xlpm.ph,IFERROR(_xlfn.XLOOKUP($A145,Transformers!$A$6:$A$105,Transformers!$C$6:$C$105),""),_xlpm.rr,IFERROR(_xlfn.XLOOKUP($A145,Transformers!$A$6:$A$105,Transformers!$AG$6:$AG$105),""),_xlpm.xx,IFERROR(_xlfn.XLOOKUP($A145,Transformers!$A$6:$A$105,Transformers!$AI$6:$AI$105),""),IF(OR(_xlpm.ph&lt;&gt;1,NOT(ISNUMBER(_xlpm.rr)),NOT(ISNUMBER(_xlpm.xx))),"",SQRT((1.5*_xlpm.rr)^2+(1.2*_xlpm.xx)^2))))</f>
        <v/>
      </c>
      <c r="CP145" s="20" t="str">
        <f t="shared" si="50"/>
        <v/>
      </c>
    </row>
    <row r="146" spans="1:94" ht="15" customHeight="1" x14ac:dyDescent="0.45">
      <c r="A146" s="275" t="str" cm="1">
        <f t="array" ref="A146">IFERROR(IF(INDEX(_xlfn.ANCHORARRAY($BK$4),ROW()-5,1)="","",INDEX(_xlfn.ANCHORARRAY($BK$4),ROW()-5,1)),"")</f>
        <v/>
      </c>
      <c r="B146" s="25" t="str" cm="1">
        <f t="array" ref="B146">IFERROR(IF($A146="","",INDEX(_xlfn.ANCHORARRAY($BK$4),ROW()-5,5)),"")</f>
        <v/>
      </c>
      <c r="C146" s="178" t="str" cm="1">
        <f t="array" ref="C146">IFERROR(IF($A146="","",INDEX(_xlfn.ANCHORARRAY($BK$4),ROW()-5,7)),"")</f>
        <v/>
      </c>
      <c r="D146" s="177" t="str" cm="1">
        <f t="array" ref="D146">IFERROR(IF($A146="","",INDEX(_xlfn.ANCHORARRAY($BK$4),ROW()-5,3)),"")</f>
        <v/>
      </c>
      <c r="E146" s="25" t="str" cm="1">
        <f t="array" ref="E146">IFERROR(IF($A146="","",INDEX(_xlfn.ANCHORARRAY($BK$4),ROW()-5,2)),"")</f>
        <v/>
      </c>
      <c r="F146" s="177" t="str">
        <f t="shared" si="34"/>
        <v/>
      </c>
      <c r="G146" s="275" t="str">
        <f t="shared" si="35"/>
        <v/>
      </c>
      <c r="H146" s="180" t="str">
        <f t="shared" si="36"/>
        <v/>
      </c>
      <c r="I146" s="180" t="str">
        <f t="shared" si="37"/>
        <v/>
      </c>
      <c r="J146" s="177" t="str">
        <f>_xlfn.LET(_xlpm.v,_xlfn.LET(_xlpm.base,IF($A146="","",IF($C146=0,IFERROR(_xlfn.XLOOKUP($A146,Util_Tags,Util_SCAEff),""),IF(LEFT($A146,2)="T-",IF($CJ146="","",$CJ146/(1+IF($CL146="",0,$CL146))),IF(OR($F146="",$I146=""),"",$F146*$I146)))),_xlpm.gtag,IF(OR($A146="",NOT(OR($B146="ATS",$B146="MTS"))),"",IFERROR(_xlfn.XLOOKUP($A146,Dashboard!$A$101:$A$350,Dashboard!$L$101:$L$350,"")&amp;"","")),_xlpm.gkva,IF(_xlpm.gtag="",0,IFERROR(N(_xlfn.XLOOKUP(_xlpm.gtag,Generator!$B$53:$B$58,Generator!$S$53:$S$58,0)),0)),_xlpm.gxd,IF(_xlpm.gtag="",0,IFERROR(N(_xlfn.XLOOKUP(_xlpm.gtag,Generator!$B$53:$B$58,Generator!$U$53:$U$58,0)),0)),_xlpm.gamp,IF(OR(_xlpm.gkva=0,_xlpm.gxd=0,N($D146)=0),0,ROUND(_xlpm.gkva*1000/(IF(N($CB146)=1,1,SQRT(3))*$D146*_xlpm.gxd),0)),IF(OR(_xlpm.gamp=0,NOT(ISNUMBER(_xlpm.base))),_xlpm.base,MAX(_xlpm.base,_xlpm.gamp))),_xlpm.ulim,IF(OR($A146="",$B146&lt;&gt;"UPS"),"",IFERROR(IF(_xlfn.XLOOKUP($A146,UPS!$B$57:$B$64,UPS!$E$57:$E$64,"")="None",_xlfn.XLOOKUP($A146,UPS!$B$57:$B$64,UPS!$U$57:$U$64,""),""),"")),IF(AND(ISNUMBER(_xlpm.v),ISNUMBER(_xlpm.ulim)),MIN(_xlpm.v,_xlpm.ulim),_xlpm.v))</f>
        <v/>
      </c>
      <c r="K146" s="176"/>
      <c r="L146" s="177" t="str">
        <f t="shared" si="38"/>
        <v/>
      </c>
      <c r="M146" s="177" t="str">
        <f t="shared" si="39"/>
        <v/>
      </c>
      <c r="N146" s="380" t="str">
        <f>IF($A146="","",IF($C146=0,_xlfn.LET(_xlpm.x,IFERROR(_xlfn.XLOOKUP($A146,Util_Tags,Util_XR),""),IF(N(_xlpm.x)=0,Xfmr_DefXR,_xlpm.x)),IF(LEFT($A146,2)="T-",IFERROR(_xlfn.XLOOKUP($A146,Transformers!$A$6:$A$105,Transformers!$AH$6:$AH$105),Xfmr_DefXR),IFERROR(_xlfn.XLOOKUP($E146,$A$6:$A$255,$N$6:$N$255),Xfmr_DefXR))))</f>
        <v/>
      </c>
      <c r="O146" s="177" t="str">
        <f t="shared" si="40"/>
        <v/>
      </c>
      <c r="P146" s="210" t="str">
        <f>IF($A146="","",IF(LEFT($A146,2)="T-",IF($CO146="","",_xlfn.LET(_xlpm.k,IFERROR(_xlfn.XLOOKUP($A146,Transformers!$A$6:$A$105,Transformers!$G$6:$G$105),""),_xlpm.sv,IFERROR(_xlfn.XLOOKUP($A146,Transformers!$A$6:$A$105,Transformers!$E$6:$E$105),""),IF(OR(NOT(ISNUMBER(_xlpm.k)),NOT(ISNUMBER(_xlpm.sv)),_xlpm.sv=0),"",_xlfn.LET(_xlpm.iInf,(_xlpm.k*1000/(_xlpm.sv/2))*100/$CO146,_xlpm.pri,IF(OR($CK146="",$CK146=0),"",$CK146/2),_xlpm.base,IF(_xlpm.pri="",_xlpm.iInf,_xlpm.iInf/(1+_xlpm.iInf/_xlpm.pri)),_xlpm.base+IF($L146="",0,$L146))))),IF($CP146="","",_xlfn.LET(_xlpm.pI,IFERROR(_xlfn.XLOOKUP($E146,$A$6:$A$255,$P$6:$P$255),""),IF(NOT(ISNUMBER(_xlpm.pI)),"",_xlpm.pI/(1+$CP146)+IF($L146="",0,$L146))))))</f>
        <v/>
      </c>
      <c r="Q146" s="210" t="str">
        <f t="shared" si="41"/>
        <v/>
      </c>
      <c r="R146" s="177" t="str">
        <f>IF($A146="","",IF(OR($C146=0,LEFT($A146,2)="T-"),"",IFERROR(_xlfn.LET(_xlpm.v,_xlfn.XLOOKUP($A146,Dashboard!$A$101:$A$350,Dashboard!$K$101:$K$350),IF(ISNUMBER(_xlpm.v),_xlpm.v,"")),"")))</f>
        <v/>
      </c>
      <c r="S146" s="211" t="str">
        <f t="shared" si="42"/>
        <v/>
      </c>
      <c r="T146" s="25" t="str">
        <f t="shared" si="43"/>
        <v/>
      </c>
      <c r="U146" s="364"/>
      <c r="BV146" s="20" t="str">
        <f>IF($A146="","",IFERROR(_xlfn.XLOOKUP("F-"&amp;$A146,'Feeder Schedule'!$B$5:$B$254,'Feeder Schedule'!$H$5:$H$254),""))</f>
        <v/>
      </c>
      <c r="BW146" s="20" t="str">
        <f>IF($A146="","",IFERROR(_xlfn.XLOOKUP("F-"&amp;$A146,'Feeder Schedule'!$B$5:$B$254,'Feeder Schedule'!$BV$5:$BV$254),""))</f>
        <v/>
      </c>
      <c r="BX146" s="20" t="str">
        <f>IF($A146="","",IFERROR(_xlfn.LET(_xlpm.v,_xlfn.XLOOKUP("F-"&amp;$A146,'Feeder Schedule'!$B$5:$B$254,'Feeder Schedule'!$M$5:$M$254),IF(OR(_xlpm.v="",_xlpm.v=0),Cfg_Conduit,_xlpm.v)),""))</f>
        <v/>
      </c>
      <c r="BY146" s="20" t="str">
        <f>IF($A146="","",IFERROR(_xlfn.XLOOKUP("F-"&amp;$A146,'Feeder Schedule'!$B$5:$B$254,'Feeder Schedule'!$O$5:$O$254),""))</f>
        <v/>
      </c>
      <c r="BZ146" s="20" t="str">
        <f>IF($A146="","",IFERROR(_xlfn.XLOOKUP("F-"&amp;$A146,'Feeder Schedule'!$B$5:$B$254,'Feeder Schedule'!$CH$5:$CH$254),""))</f>
        <v/>
      </c>
      <c r="CA146" s="20" t="str">
        <f>IF($A146="","",IFERROR(_xlfn.XLOOKUP("F-"&amp;$A146,'Feeder Schedule'!$B$5:$B$254,'Feeder Schedule'!$F$5:$F$254),""))</f>
        <v/>
      </c>
      <c r="CB146" s="20" t="str">
        <f>IF($A146="","",IFERROR(_xlfn.XLOOKUP("F-"&amp;$A146,'Feeder Schedule'!$B$5:$B$254,'Feeder Schedule'!$G$5:$G$254),""))</f>
        <v/>
      </c>
      <c r="CD146" s="20" t="str" cm="1">
        <f t="array" ref="CD146">IFERROR(IF($A146="","",INDEX(_xlfn.ANCHORARRAY($BK$4),ROW()-5,6)),"")</f>
        <v/>
      </c>
      <c r="CE146" s="20" t="str">
        <f t="shared" si="46"/>
        <v/>
      </c>
      <c r="CF146" s="20" t="str">
        <f t="shared" si="47"/>
        <v/>
      </c>
      <c r="CG146" s="20" t="str">
        <f t="shared" si="44"/>
        <v/>
      </c>
      <c r="CH146" s="20" t="str" cm="1">
        <f t="array" ref="CH146">IF(OR($A146="",$BZ146="",$BW146="",$BX146=""),"",_xlfn.LET(_xlpm.mag,IFERROR(_xlfn.XLOOKUP($BX146,Race_Raceway,Race_Mag),""),IF(_xlpm.mag="","",IFERROR(INDEX(Cond_Table,MATCH($BZ146,Cond_Size,0),IF(UPPER($BW146)="AL",IF(_xlpm.mag="Y",10,12),IF(_xlpm.mag="Y",9,11))),""))))</f>
        <v/>
      </c>
      <c r="CI146" s="20" t="str">
        <f t="shared" si="45"/>
        <v/>
      </c>
      <c r="CJ146" s="20" t="str">
        <f>IF(OR($A146="",LEFT($A146,2)&lt;&gt;"T-"),"",IFERROR(_xlfn.LET(_xlpm.fla,_xlfn.XLOOKUP($A146,Transformers!$A$6:$A$105,Transformers!$AK$6:$AK$105),_xlpm.z,_xlfn.XLOOKUP($A146,Transformers!$A$6:$A$105,Transformers!$AX$6:$AX$105),IF(OR(_xlpm.fla="",_xlpm.z="",_xlpm.z=0),"",_xlpm.fla*100/_xlpm.z)),""))</f>
        <v/>
      </c>
      <c r="CK146" s="20" t="str">
        <f t="shared" si="48"/>
        <v/>
      </c>
      <c r="CL146" s="20" t="str">
        <f t="shared" si="49"/>
        <v/>
      </c>
      <c r="CM146" s="373"/>
      <c r="CO146" s="20" t="str">
        <f>IF(OR($A146="",LEFT($A146,2)&lt;&gt;"T-"),"",_xlfn.LET(_xlpm.ph,IFERROR(_xlfn.XLOOKUP($A146,Transformers!$A$6:$A$105,Transformers!$C$6:$C$105),""),_xlpm.rr,IFERROR(_xlfn.XLOOKUP($A146,Transformers!$A$6:$A$105,Transformers!$AG$6:$AG$105),""),_xlpm.xx,IFERROR(_xlfn.XLOOKUP($A146,Transformers!$A$6:$A$105,Transformers!$AI$6:$AI$105),""),IF(OR(_xlpm.ph&lt;&gt;1,NOT(ISNUMBER(_xlpm.rr)),NOT(ISNUMBER(_xlpm.xx))),"",SQRT((1.5*_xlpm.rr)^2+(1.2*_xlpm.xx)^2))))</f>
        <v/>
      </c>
      <c r="CP146" s="20" t="str">
        <f t="shared" si="50"/>
        <v/>
      </c>
    </row>
    <row r="147" spans="1:94" ht="15" customHeight="1" x14ac:dyDescent="0.45">
      <c r="A147" s="275" t="str" cm="1">
        <f t="array" ref="A147">IFERROR(IF(INDEX(_xlfn.ANCHORARRAY($BK$4),ROW()-5,1)="","",INDEX(_xlfn.ANCHORARRAY($BK$4),ROW()-5,1)),"")</f>
        <v/>
      </c>
      <c r="B147" s="25" t="str" cm="1">
        <f t="array" ref="B147">IFERROR(IF($A147="","",INDEX(_xlfn.ANCHORARRAY($BK$4),ROW()-5,5)),"")</f>
        <v/>
      </c>
      <c r="C147" s="178" t="str" cm="1">
        <f t="array" ref="C147">IFERROR(IF($A147="","",INDEX(_xlfn.ANCHORARRAY($BK$4),ROW()-5,7)),"")</f>
        <v/>
      </c>
      <c r="D147" s="177" t="str" cm="1">
        <f t="array" ref="D147">IFERROR(IF($A147="","",INDEX(_xlfn.ANCHORARRAY($BK$4),ROW()-5,3)),"")</f>
        <v/>
      </c>
      <c r="E147" s="25" t="str" cm="1">
        <f t="array" ref="E147">IFERROR(IF($A147="","",INDEX(_xlfn.ANCHORARRAY($BK$4),ROW()-5,2)),"")</f>
        <v/>
      </c>
      <c r="F147" s="177" t="str">
        <f t="shared" si="34"/>
        <v/>
      </c>
      <c r="G147" s="275" t="str">
        <f t="shared" si="35"/>
        <v/>
      </c>
      <c r="H147" s="180" t="str">
        <f t="shared" si="36"/>
        <v/>
      </c>
      <c r="I147" s="180" t="str">
        <f t="shared" si="37"/>
        <v/>
      </c>
      <c r="J147" s="177" t="str">
        <f>_xlfn.LET(_xlpm.v,_xlfn.LET(_xlpm.base,IF($A147="","",IF($C147=0,IFERROR(_xlfn.XLOOKUP($A147,Util_Tags,Util_SCAEff),""),IF(LEFT($A147,2)="T-",IF($CJ147="","",$CJ147/(1+IF($CL147="",0,$CL147))),IF(OR($F147="",$I147=""),"",$F147*$I147)))),_xlpm.gtag,IF(OR($A147="",NOT(OR($B147="ATS",$B147="MTS"))),"",IFERROR(_xlfn.XLOOKUP($A147,Dashboard!$A$101:$A$350,Dashboard!$L$101:$L$350,"")&amp;"","")),_xlpm.gkva,IF(_xlpm.gtag="",0,IFERROR(N(_xlfn.XLOOKUP(_xlpm.gtag,Generator!$B$53:$B$58,Generator!$S$53:$S$58,0)),0)),_xlpm.gxd,IF(_xlpm.gtag="",0,IFERROR(N(_xlfn.XLOOKUP(_xlpm.gtag,Generator!$B$53:$B$58,Generator!$U$53:$U$58,0)),0)),_xlpm.gamp,IF(OR(_xlpm.gkva=0,_xlpm.gxd=0,N($D147)=0),0,ROUND(_xlpm.gkva*1000/(IF(N($CB147)=1,1,SQRT(3))*$D147*_xlpm.gxd),0)),IF(OR(_xlpm.gamp=0,NOT(ISNUMBER(_xlpm.base))),_xlpm.base,MAX(_xlpm.base,_xlpm.gamp))),_xlpm.ulim,IF(OR($A147="",$B147&lt;&gt;"UPS"),"",IFERROR(IF(_xlfn.XLOOKUP($A147,UPS!$B$57:$B$64,UPS!$E$57:$E$64,"")="None",_xlfn.XLOOKUP($A147,UPS!$B$57:$B$64,UPS!$U$57:$U$64,""),""),"")),IF(AND(ISNUMBER(_xlpm.v),ISNUMBER(_xlpm.ulim)),MIN(_xlpm.v,_xlpm.ulim),_xlpm.v))</f>
        <v/>
      </c>
      <c r="K147" s="176"/>
      <c r="L147" s="177" t="str">
        <f t="shared" si="38"/>
        <v/>
      </c>
      <c r="M147" s="177" t="str">
        <f t="shared" si="39"/>
        <v/>
      </c>
      <c r="N147" s="380" t="str">
        <f>IF($A147="","",IF($C147=0,_xlfn.LET(_xlpm.x,IFERROR(_xlfn.XLOOKUP($A147,Util_Tags,Util_XR),""),IF(N(_xlpm.x)=0,Xfmr_DefXR,_xlpm.x)),IF(LEFT($A147,2)="T-",IFERROR(_xlfn.XLOOKUP($A147,Transformers!$A$6:$A$105,Transformers!$AH$6:$AH$105),Xfmr_DefXR),IFERROR(_xlfn.XLOOKUP($E147,$A$6:$A$255,$N$6:$N$255),Xfmr_DefXR))))</f>
        <v/>
      </c>
      <c r="O147" s="177" t="str">
        <f t="shared" si="40"/>
        <v/>
      </c>
      <c r="P147" s="210" t="str">
        <f>IF($A147="","",IF(LEFT($A147,2)="T-",IF($CO147="","",_xlfn.LET(_xlpm.k,IFERROR(_xlfn.XLOOKUP($A147,Transformers!$A$6:$A$105,Transformers!$G$6:$G$105),""),_xlpm.sv,IFERROR(_xlfn.XLOOKUP($A147,Transformers!$A$6:$A$105,Transformers!$E$6:$E$105),""),IF(OR(NOT(ISNUMBER(_xlpm.k)),NOT(ISNUMBER(_xlpm.sv)),_xlpm.sv=0),"",_xlfn.LET(_xlpm.iInf,(_xlpm.k*1000/(_xlpm.sv/2))*100/$CO147,_xlpm.pri,IF(OR($CK147="",$CK147=0),"",$CK147/2),_xlpm.base,IF(_xlpm.pri="",_xlpm.iInf,_xlpm.iInf/(1+_xlpm.iInf/_xlpm.pri)),_xlpm.base+IF($L147="",0,$L147))))),IF($CP147="","",_xlfn.LET(_xlpm.pI,IFERROR(_xlfn.XLOOKUP($E147,$A$6:$A$255,$P$6:$P$255),""),IF(NOT(ISNUMBER(_xlpm.pI)),"",_xlpm.pI/(1+$CP147)+IF($L147="",0,$L147))))))</f>
        <v/>
      </c>
      <c r="Q147" s="210" t="str">
        <f t="shared" si="41"/>
        <v/>
      </c>
      <c r="R147" s="177" t="str">
        <f>IF($A147="","",IF(OR($C147=0,LEFT($A147,2)="T-"),"",IFERROR(_xlfn.LET(_xlpm.v,_xlfn.XLOOKUP($A147,Dashboard!$A$101:$A$350,Dashboard!$K$101:$K$350),IF(ISNUMBER(_xlpm.v),_xlpm.v,"")),"")))</f>
        <v/>
      </c>
      <c r="S147" s="211" t="str">
        <f t="shared" si="42"/>
        <v/>
      </c>
      <c r="T147" s="25" t="str">
        <f t="shared" si="43"/>
        <v/>
      </c>
      <c r="U147" s="364"/>
      <c r="BV147" s="20" t="str">
        <f>IF($A147="","",IFERROR(_xlfn.XLOOKUP("F-"&amp;$A147,'Feeder Schedule'!$B$5:$B$254,'Feeder Schedule'!$H$5:$H$254),""))</f>
        <v/>
      </c>
      <c r="BW147" s="20" t="str">
        <f>IF($A147="","",IFERROR(_xlfn.XLOOKUP("F-"&amp;$A147,'Feeder Schedule'!$B$5:$B$254,'Feeder Schedule'!$BV$5:$BV$254),""))</f>
        <v/>
      </c>
      <c r="BX147" s="20" t="str">
        <f>IF($A147="","",IFERROR(_xlfn.LET(_xlpm.v,_xlfn.XLOOKUP("F-"&amp;$A147,'Feeder Schedule'!$B$5:$B$254,'Feeder Schedule'!$M$5:$M$254),IF(OR(_xlpm.v="",_xlpm.v=0),Cfg_Conduit,_xlpm.v)),""))</f>
        <v/>
      </c>
      <c r="BY147" s="20" t="str">
        <f>IF($A147="","",IFERROR(_xlfn.XLOOKUP("F-"&amp;$A147,'Feeder Schedule'!$B$5:$B$254,'Feeder Schedule'!$O$5:$O$254),""))</f>
        <v/>
      </c>
      <c r="BZ147" s="20" t="str">
        <f>IF($A147="","",IFERROR(_xlfn.XLOOKUP("F-"&amp;$A147,'Feeder Schedule'!$B$5:$B$254,'Feeder Schedule'!$CH$5:$CH$254),""))</f>
        <v/>
      </c>
      <c r="CA147" s="20" t="str">
        <f>IF($A147="","",IFERROR(_xlfn.XLOOKUP("F-"&amp;$A147,'Feeder Schedule'!$B$5:$B$254,'Feeder Schedule'!$F$5:$F$254),""))</f>
        <v/>
      </c>
      <c r="CB147" s="20" t="str">
        <f>IF($A147="","",IFERROR(_xlfn.XLOOKUP("F-"&amp;$A147,'Feeder Schedule'!$B$5:$B$254,'Feeder Schedule'!$G$5:$G$254),""))</f>
        <v/>
      </c>
      <c r="CD147" s="20" t="str" cm="1">
        <f t="array" ref="CD147">IFERROR(IF($A147="","",INDEX(_xlfn.ANCHORARRAY($BK$4),ROW()-5,6)),"")</f>
        <v/>
      </c>
      <c r="CE147" s="20" t="str">
        <f t="shared" si="46"/>
        <v/>
      </c>
      <c r="CF147" s="20" t="str">
        <f t="shared" si="47"/>
        <v/>
      </c>
      <c r="CG147" s="20" t="str">
        <f t="shared" si="44"/>
        <v/>
      </c>
      <c r="CH147" s="20" t="str" cm="1">
        <f t="array" ref="CH147">IF(OR($A147="",$BZ147="",$BW147="",$BX147=""),"",_xlfn.LET(_xlpm.mag,IFERROR(_xlfn.XLOOKUP($BX147,Race_Raceway,Race_Mag),""),IF(_xlpm.mag="","",IFERROR(INDEX(Cond_Table,MATCH($BZ147,Cond_Size,0),IF(UPPER($BW147)="AL",IF(_xlpm.mag="Y",10,12),IF(_xlpm.mag="Y",9,11))),""))))</f>
        <v/>
      </c>
      <c r="CI147" s="20" t="str">
        <f t="shared" si="45"/>
        <v/>
      </c>
      <c r="CJ147" s="20" t="str">
        <f>IF(OR($A147="",LEFT($A147,2)&lt;&gt;"T-"),"",IFERROR(_xlfn.LET(_xlpm.fla,_xlfn.XLOOKUP($A147,Transformers!$A$6:$A$105,Transformers!$AK$6:$AK$105),_xlpm.z,_xlfn.XLOOKUP($A147,Transformers!$A$6:$A$105,Transformers!$AX$6:$AX$105),IF(OR(_xlpm.fla="",_xlpm.z="",_xlpm.z=0),"",_xlpm.fla*100/_xlpm.z)),""))</f>
        <v/>
      </c>
      <c r="CK147" s="20" t="str">
        <f t="shared" si="48"/>
        <v/>
      </c>
      <c r="CL147" s="20" t="str">
        <f t="shared" si="49"/>
        <v/>
      </c>
      <c r="CM147" s="373"/>
      <c r="CO147" s="20" t="str">
        <f>IF(OR($A147="",LEFT($A147,2)&lt;&gt;"T-"),"",_xlfn.LET(_xlpm.ph,IFERROR(_xlfn.XLOOKUP($A147,Transformers!$A$6:$A$105,Transformers!$C$6:$C$105),""),_xlpm.rr,IFERROR(_xlfn.XLOOKUP($A147,Transformers!$A$6:$A$105,Transformers!$AG$6:$AG$105),""),_xlpm.xx,IFERROR(_xlfn.XLOOKUP($A147,Transformers!$A$6:$A$105,Transformers!$AI$6:$AI$105),""),IF(OR(_xlpm.ph&lt;&gt;1,NOT(ISNUMBER(_xlpm.rr)),NOT(ISNUMBER(_xlpm.xx))),"",SQRT((1.5*_xlpm.rr)^2+(1.2*_xlpm.xx)^2))))</f>
        <v/>
      </c>
      <c r="CP147" s="20" t="str">
        <f t="shared" si="50"/>
        <v/>
      </c>
    </row>
    <row r="148" spans="1:94" ht="15" customHeight="1" x14ac:dyDescent="0.45">
      <c r="A148" s="275" t="str" cm="1">
        <f t="array" ref="A148">IFERROR(IF(INDEX(_xlfn.ANCHORARRAY($BK$4),ROW()-5,1)="","",INDEX(_xlfn.ANCHORARRAY($BK$4),ROW()-5,1)),"")</f>
        <v/>
      </c>
      <c r="B148" s="25" t="str" cm="1">
        <f t="array" ref="B148">IFERROR(IF($A148="","",INDEX(_xlfn.ANCHORARRAY($BK$4),ROW()-5,5)),"")</f>
        <v/>
      </c>
      <c r="C148" s="178" t="str" cm="1">
        <f t="array" ref="C148">IFERROR(IF($A148="","",INDEX(_xlfn.ANCHORARRAY($BK$4),ROW()-5,7)),"")</f>
        <v/>
      </c>
      <c r="D148" s="177" t="str" cm="1">
        <f t="array" ref="D148">IFERROR(IF($A148="","",INDEX(_xlfn.ANCHORARRAY($BK$4),ROW()-5,3)),"")</f>
        <v/>
      </c>
      <c r="E148" s="25" t="str" cm="1">
        <f t="array" ref="E148">IFERROR(IF($A148="","",INDEX(_xlfn.ANCHORARRAY($BK$4),ROW()-5,2)),"")</f>
        <v/>
      </c>
      <c r="F148" s="177" t="str">
        <f t="shared" si="34"/>
        <v/>
      </c>
      <c r="G148" s="275" t="str">
        <f t="shared" si="35"/>
        <v/>
      </c>
      <c r="H148" s="180" t="str">
        <f t="shared" si="36"/>
        <v/>
      </c>
      <c r="I148" s="180" t="str">
        <f t="shared" si="37"/>
        <v/>
      </c>
      <c r="J148" s="177" t="str">
        <f>_xlfn.LET(_xlpm.v,_xlfn.LET(_xlpm.base,IF($A148="","",IF($C148=0,IFERROR(_xlfn.XLOOKUP($A148,Util_Tags,Util_SCAEff),""),IF(LEFT($A148,2)="T-",IF($CJ148="","",$CJ148/(1+IF($CL148="",0,$CL148))),IF(OR($F148="",$I148=""),"",$F148*$I148)))),_xlpm.gtag,IF(OR($A148="",NOT(OR($B148="ATS",$B148="MTS"))),"",IFERROR(_xlfn.XLOOKUP($A148,Dashboard!$A$101:$A$350,Dashboard!$L$101:$L$350,"")&amp;"","")),_xlpm.gkva,IF(_xlpm.gtag="",0,IFERROR(N(_xlfn.XLOOKUP(_xlpm.gtag,Generator!$B$53:$B$58,Generator!$S$53:$S$58,0)),0)),_xlpm.gxd,IF(_xlpm.gtag="",0,IFERROR(N(_xlfn.XLOOKUP(_xlpm.gtag,Generator!$B$53:$B$58,Generator!$U$53:$U$58,0)),0)),_xlpm.gamp,IF(OR(_xlpm.gkva=0,_xlpm.gxd=0,N($D148)=0),0,ROUND(_xlpm.gkva*1000/(IF(N($CB148)=1,1,SQRT(3))*$D148*_xlpm.gxd),0)),IF(OR(_xlpm.gamp=0,NOT(ISNUMBER(_xlpm.base))),_xlpm.base,MAX(_xlpm.base,_xlpm.gamp))),_xlpm.ulim,IF(OR($A148="",$B148&lt;&gt;"UPS"),"",IFERROR(IF(_xlfn.XLOOKUP($A148,UPS!$B$57:$B$64,UPS!$E$57:$E$64,"")="None",_xlfn.XLOOKUP($A148,UPS!$B$57:$B$64,UPS!$U$57:$U$64,""),""),"")),IF(AND(ISNUMBER(_xlpm.v),ISNUMBER(_xlpm.ulim)),MIN(_xlpm.v,_xlpm.ulim),_xlpm.v))</f>
        <v/>
      </c>
      <c r="K148" s="176"/>
      <c r="L148" s="177" t="str">
        <f t="shared" si="38"/>
        <v/>
      </c>
      <c r="M148" s="177" t="str">
        <f t="shared" si="39"/>
        <v/>
      </c>
      <c r="N148" s="380" t="str">
        <f>IF($A148="","",IF($C148=0,_xlfn.LET(_xlpm.x,IFERROR(_xlfn.XLOOKUP($A148,Util_Tags,Util_XR),""),IF(N(_xlpm.x)=0,Xfmr_DefXR,_xlpm.x)),IF(LEFT($A148,2)="T-",IFERROR(_xlfn.XLOOKUP($A148,Transformers!$A$6:$A$105,Transformers!$AH$6:$AH$105),Xfmr_DefXR),IFERROR(_xlfn.XLOOKUP($E148,$A$6:$A$255,$N$6:$N$255),Xfmr_DefXR))))</f>
        <v/>
      </c>
      <c r="O148" s="177" t="str">
        <f t="shared" si="40"/>
        <v/>
      </c>
      <c r="P148" s="210" t="str">
        <f>IF($A148="","",IF(LEFT($A148,2)="T-",IF($CO148="","",_xlfn.LET(_xlpm.k,IFERROR(_xlfn.XLOOKUP($A148,Transformers!$A$6:$A$105,Transformers!$G$6:$G$105),""),_xlpm.sv,IFERROR(_xlfn.XLOOKUP($A148,Transformers!$A$6:$A$105,Transformers!$E$6:$E$105),""),IF(OR(NOT(ISNUMBER(_xlpm.k)),NOT(ISNUMBER(_xlpm.sv)),_xlpm.sv=0),"",_xlfn.LET(_xlpm.iInf,(_xlpm.k*1000/(_xlpm.sv/2))*100/$CO148,_xlpm.pri,IF(OR($CK148="",$CK148=0),"",$CK148/2),_xlpm.base,IF(_xlpm.pri="",_xlpm.iInf,_xlpm.iInf/(1+_xlpm.iInf/_xlpm.pri)),_xlpm.base+IF($L148="",0,$L148))))),IF($CP148="","",_xlfn.LET(_xlpm.pI,IFERROR(_xlfn.XLOOKUP($E148,$A$6:$A$255,$P$6:$P$255),""),IF(NOT(ISNUMBER(_xlpm.pI)),"",_xlpm.pI/(1+$CP148)+IF($L148="",0,$L148))))))</f>
        <v/>
      </c>
      <c r="Q148" s="210" t="str">
        <f t="shared" si="41"/>
        <v/>
      </c>
      <c r="R148" s="177" t="str">
        <f>IF($A148="","",IF(OR($C148=0,LEFT($A148,2)="T-"),"",IFERROR(_xlfn.LET(_xlpm.v,_xlfn.XLOOKUP($A148,Dashboard!$A$101:$A$350,Dashboard!$K$101:$K$350),IF(ISNUMBER(_xlpm.v),_xlpm.v,"")),"")))</f>
        <v/>
      </c>
      <c r="S148" s="211" t="str">
        <f t="shared" si="42"/>
        <v/>
      </c>
      <c r="T148" s="25" t="str">
        <f t="shared" si="43"/>
        <v/>
      </c>
      <c r="U148" s="364"/>
      <c r="BV148" s="20" t="str">
        <f>IF($A148="","",IFERROR(_xlfn.XLOOKUP("F-"&amp;$A148,'Feeder Schedule'!$B$5:$B$254,'Feeder Schedule'!$H$5:$H$254),""))</f>
        <v/>
      </c>
      <c r="BW148" s="20" t="str">
        <f>IF($A148="","",IFERROR(_xlfn.XLOOKUP("F-"&amp;$A148,'Feeder Schedule'!$B$5:$B$254,'Feeder Schedule'!$BV$5:$BV$254),""))</f>
        <v/>
      </c>
      <c r="BX148" s="20" t="str">
        <f>IF($A148="","",IFERROR(_xlfn.LET(_xlpm.v,_xlfn.XLOOKUP("F-"&amp;$A148,'Feeder Schedule'!$B$5:$B$254,'Feeder Schedule'!$M$5:$M$254),IF(OR(_xlpm.v="",_xlpm.v=0),Cfg_Conduit,_xlpm.v)),""))</f>
        <v/>
      </c>
      <c r="BY148" s="20" t="str">
        <f>IF($A148="","",IFERROR(_xlfn.XLOOKUP("F-"&amp;$A148,'Feeder Schedule'!$B$5:$B$254,'Feeder Schedule'!$O$5:$O$254),""))</f>
        <v/>
      </c>
      <c r="BZ148" s="20" t="str">
        <f>IF($A148="","",IFERROR(_xlfn.XLOOKUP("F-"&amp;$A148,'Feeder Schedule'!$B$5:$B$254,'Feeder Schedule'!$CH$5:$CH$254),""))</f>
        <v/>
      </c>
      <c r="CA148" s="20" t="str">
        <f>IF($A148="","",IFERROR(_xlfn.XLOOKUP("F-"&amp;$A148,'Feeder Schedule'!$B$5:$B$254,'Feeder Schedule'!$F$5:$F$254),""))</f>
        <v/>
      </c>
      <c r="CB148" s="20" t="str">
        <f>IF($A148="","",IFERROR(_xlfn.XLOOKUP("F-"&amp;$A148,'Feeder Schedule'!$B$5:$B$254,'Feeder Schedule'!$G$5:$G$254),""))</f>
        <v/>
      </c>
      <c r="CD148" s="20" t="str" cm="1">
        <f t="array" ref="CD148">IFERROR(IF($A148="","",INDEX(_xlfn.ANCHORARRAY($BK$4),ROW()-5,6)),"")</f>
        <v/>
      </c>
      <c r="CE148" s="20" t="str">
        <f t="shared" si="46"/>
        <v/>
      </c>
      <c r="CF148" s="20" t="str">
        <f t="shared" si="47"/>
        <v/>
      </c>
      <c r="CG148" s="20" t="str">
        <f t="shared" si="44"/>
        <v/>
      </c>
      <c r="CH148" s="20" t="str" cm="1">
        <f t="array" ref="CH148">IF(OR($A148="",$BZ148="",$BW148="",$BX148=""),"",_xlfn.LET(_xlpm.mag,IFERROR(_xlfn.XLOOKUP($BX148,Race_Raceway,Race_Mag),""),IF(_xlpm.mag="","",IFERROR(INDEX(Cond_Table,MATCH($BZ148,Cond_Size,0),IF(UPPER($BW148)="AL",IF(_xlpm.mag="Y",10,12),IF(_xlpm.mag="Y",9,11))),""))))</f>
        <v/>
      </c>
      <c r="CI148" s="20" t="str">
        <f t="shared" si="45"/>
        <v/>
      </c>
      <c r="CJ148" s="20" t="str">
        <f>IF(OR($A148="",LEFT($A148,2)&lt;&gt;"T-"),"",IFERROR(_xlfn.LET(_xlpm.fla,_xlfn.XLOOKUP($A148,Transformers!$A$6:$A$105,Transformers!$AK$6:$AK$105),_xlpm.z,_xlfn.XLOOKUP($A148,Transformers!$A$6:$A$105,Transformers!$AX$6:$AX$105),IF(OR(_xlpm.fla="",_xlpm.z="",_xlpm.z=0),"",_xlpm.fla*100/_xlpm.z)),""))</f>
        <v/>
      </c>
      <c r="CK148" s="20" t="str">
        <f t="shared" si="48"/>
        <v/>
      </c>
      <c r="CL148" s="20" t="str">
        <f t="shared" si="49"/>
        <v/>
      </c>
      <c r="CM148" s="373"/>
      <c r="CO148" s="20" t="str">
        <f>IF(OR($A148="",LEFT($A148,2)&lt;&gt;"T-"),"",_xlfn.LET(_xlpm.ph,IFERROR(_xlfn.XLOOKUP($A148,Transformers!$A$6:$A$105,Transformers!$C$6:$C$105),""),_xlpm.rr,IFERROR(_xlfn.XLOOKUP($A148,Transformers!$A$6:$A$105,Transformers!$AG$6:$AG$105),""),_xlpm.xx,IFERROR(_xlfn.XLOOKUP($A148,Transformers!$A$6:$A$105,Transformers!$AI$6:$AI$105),""),IF(OR(_xlpm.ph&lt;&gt;1,NOT(ISNUMBER(_xlpm.rr)),NOT(ISNUMBER(_xlpm.xx))),"",SQRT((1.5*_xlpm.rr)^2+(1.2*_xlpm.xx)^2))))</f>
        <v/>
      </c>
      <c r="CP148" s="20" t="str">
        <f t="shared" si="50"/>
        <v/>
      </c>
    </row>
    <row r="149" spans="1:94" ht="15" customHeight="1" x14ac:dyDescent="0.45">
      <c r="A149" s="275" t="str" cm="1">
        <f t="array" ref="A149">IFERROR(IF(INDEX(_xlfn.ANCHORARRAY($BK$4),ROW()-5,1)="","",INDEX(_xlfn.ANCHORARRAY($BK$4),ROW()-5,1)),"")</f>
        <v/>
      </c>
      <c r="B149" s="25" t="str" cm="1">
        <f t="array" ref="B149">IFERROR(IF($A149="","",INDEX(_xlfn.ANCHORARRAY($BK$4),ROW()-5,5)),"")</f>
        <v/>
      </c>
      <c r="C149" s="178" t="str" cm="1">
        <f t="array" ref="C149">IFERROR(IF($A149="","",INDEX(_xlfn.ANCHORARRAY($BK$4),ROW()-5,7)),"")</f>
        <v/>
      </c>
      <c r="D149" s="177" t="str" cm="1">
        <f t="array" ref="D149">IFERROR(IF($A149="","",INDEX(_xlfn.ANCHORARRAY($BK$4),ROW()-5,3)),"")</f>
        <v/>
      </c>
      <c r="E149" s="25" t="str" cm="1">
        <f t="array" ref="E149">IFERROR(IF($A149="","",INDEX(_xlfn.ANCHORARRAY($BK$4),ROW()-5,2)),"")</f>
        <v/>
      </c>
      <c r="F149" s="177" t="str">
        <f t="shared" si="34"/>
        <v/>
      </c>
      <c r="G149" s="275" t="str">
        <f t="shared" si="35"/>
        <v/>
      </c>
      <c r="H149" s="180" t="str">
        <f t="shared" si="36"/>
        <v/>
      </c>
      <c r="I149" s="180" t="str">
        <f t="shared" si="37"/>
        <v/>
      </c>
      <c r="J149" s="177" t="str">
        <f>_xlfn.LET(_xlpm.v,_xlfn.LET(_xlpm.base,IF($A149="","",IF($C149=0,IFERROR(_xlfn.XLOOKUP($A149,Util_Tags,Util_SCAEff),""),IF(LEFT($A149,2)="T-",IF($CJ149="","",$CJ149/(1+IF($CL149="",0,$CL149))),IF(OR($F149="",$I149=""),"",$F149*$I149)))),_xlpm.gtag,IF(OR($A149="",NOT(OR($B149="ATS",$B149="MTS"))),"",IFERROR(_xlfn.XLOOKUP($A149,Dashboard!$A$101:$A$350,Dashboard!$L$101:$L$350,"")&amp;"","")),_xlpm.gkva,IF(_xlpm.gtag="",0,IFERROR(N(_xlfn.XLOOKUP(_xlpm.gtag,Generator!$B$53:$B$58,Generator!$S$53:$S$58,0)),0)),_xlpm.gxd,IF(_xlpm.gtag="",0,IFERROR(N(_xlfn.XLOOKUP(_xlpm.gtag,Generator!$B$53:$B$58,Generator!$U$53:$U$58,0)),0)),_xlpm.gamp,IF(OR(_xlpm.gkva=0,_xlpm.gxd=0,N($D149)=0),0,ROUND(_xlpm.gkva*1000/(IF(N($CB149)=1,1,SQRT(3))*$D149*_xlpm.gxd),0)),IF(OR(_xlpm.gamp=0,NOT(ISNUMBER(_xlpm.base))),_xlpm.base,MAX(_xlpm.base,_xlpm.gamp))),_xlpm.ulim,IF(OR($A149="",$B149&lt;&gt;"UPS"),"",IFERROR(IF(_xlfn.XLOOKUP($A149,UPS!$B$57:$B$64,UPS!$E$57:$E$64,"")="None",_xlfn.XLOOKUP($A149,UPS!$B$57:$B$64,UPS!$U$57:$U$64,""),""),"")),IF(AND(ISNUMBER(_xlpm.v),ISNUMBER(_xlpm.ulim)),MIN(_xlpm.v,_xlpm.ulim),_xlpm.v))</f>
        <v/>
      </c>
      <c r="K149" s="176"/>
      <c r="L149" s="177" t="str">
        <f t="shared" si="38"/>
        <v/>
      </c>
      <c r="M149" s="177" t="str">
        <f t="shared" si="39"/>
        <v/>
      </c>
      <c r="N149" s="380" t="str">
        <f>IF($A149="","",IF($C149=0,_xlfn.LET(_xlpm.x,IFERROR(_xlfn.XLOOKUP($A149,Util_Tags,Util_XR),""),IF(N(_xlpm.x)=0,Xfmr_DefXR,_xlpm.x)),IF(LEFT($A149,2)="T-",IFERROR(_xlfn.XLOOKUP($A149,Transformers!$A$6:$A$105,Transformers!$AH$6:$AH$105),Xfmr_DefXR),IFERROR(_xlfn.XLOOKUP($E149,$A$6:$A$255,$N$6:$N$255),Xfmr_DefXR))))</f>
        <v/>
      </c>
      <c r="O149" s="177" t="str">
        <f t="shared" si="40"/>
        <v/>
      </c>
      <c r="P149" s="210" t="str">
        <f>IF($A149="","",IF(LEFT($A149,2)="T-",IF($CO149="","",_xlfn.LET(_xlpm.k,IFERROR(_xlfn.XLOOKUP($A149,Transformers!$A$6:$A$105,Transformers!$G$6:$G$105),""),_xlpm.sv,IFERROR(_xlfn.XLOOKUP($A149,Transformers!$A$6:$A$105,Transformers!$E$6:$E$105),""),IF(OR(NOT(ISNUMBER(_xlpm.k)),NOT(ISNUMBER(_xlpm.sv)),_xlpm.sv=0),"",_xlfn.LET(_xlpm.iInf,(_xlpm.k*1000/(_xlpm.sv/2))*100/$CO149,_xlpm.pri,IF(OR($CK149="",$CK149=0),"",$CK149/2),_xlpm.base,IF(_xlpm.pri="",_xlpm.iInf,_xlpm.iInf/(1+_xlpm.iInf/_xlpm.pri)),_xlpm.base+IF($L149="",0,$L149))))),IF($CP149="","",_xlfn.LET(_xlpm.pI,IFERROR(_xlfn.XLOOKUP($E149,$A$6:$A$255,$P$6:$P$255),""),IF(NOT(ISNUMBER(_xlpm.pI)),"",_xlpm.pI/(1+$CP149)+IF($L149="",0,$L149))))))</f>
        <v/>
      </c>
      <c r="Q149" s="210" t="str">
        <f t="shared" si="41"/>
        <v/>
      </c>
      <c r="R149" s="177" t="str">
        <f>IF($A149="","",IF(OR($C149=0,LEFT($A149,2)="T-"),"",IFERROR(_xlfn.LET(_xlpm.v,_xlfn.XLOOKUP($A149,Dashboard!$A$101:$A$350,Dashboard!$K$101:$K$350),IF(ISNUMBER(_xlpm.v),_xlpm.v,"")),"")))</f>
        <v/>
      </c>
      <c r="S149" s="211" t="str">
        <f t="shared" si="42"/>
        <v/>
      </c>
      <c r="T149" s="25" t="str">
        <f t="shared" si="43"/>
        <v/>
      </c>
      <c r="U149" s="364"/>
      <c r="BV149" s="20" t="str">
        <f>IF($A149="","",IFERROR(_xlfn.XLOOKUP("F-"&amp;$A149,'Feeder Schedule'!$B$5:$B$254,'Feeder Schedule'!$H$5:$H$254),""))</f>
        <v/>
      </c>
      <c r="BW149" s="20" t="str">
        <f>IF($A149="","",IFERROR(_xlfn.XLOOKUP("F-"&amp;$A149,'Feeder Schedule'!$B$5:$B$254,'Feeder Schedule'!$BV$5:$BV$254),""))</f>
        <v/>
      </c>
      <c r="BX149" s="20" t="str">
        <f>IF($A149="","",IFERROR(_xlfn.LET(_xlpm.v,_xlfn.XLOOKUP("F-"&amp;$A149,'Feeder Schedule'!$B$5:$B$254,'Feeder Schedule'!$M$5:$M$254),IF(OR(_xlpm.v="",_xlpm.v=0),Cfg_Conduit,_xlpm.v)),""))</f>
        <v/>
      </c>
      <c r="BY149" s="20" t="str">
        <f>IF($A149="","",IFERROR(_xlfn.XLOOKUP("F-"&amp;$A149,'Feeder Schedule'!$B$5:$B$254,'Feeder Schedule'!$O$5:$O$254),""))</f>
        <v/>
      </c>
      <c r="BZ149" s="20" t="str">
        <f>IF($A149="","",IFERROR(_xlfn.XLOOKUP("F-"&amp;$A149,'Feeder Schedule'!$B$5:$B$254,'Feeder Schedule'!$CH$5:$CH$254),""))</f>
        <v/>
      </c>
      <c r="CA149" s="20" t="str">
        <f>IF($A149="","",IFERROR(_xlfn.XLOOKUP("F-"&amp;$A149,'Feeder Schedule'!$B$5:$B$254,'Feeder Schedule'!$F$5:$F$254),""))</f>
        <v/>
      </c>
      <c r="CB149" s="20" t="str">
        <f>IF($A149="","",IFERROR(_xlfn.XLOOKUP("F-"&amp;$A149,'Feeder Schedule'!$B$5:$B$254,'Feeder Schedule'!$G$5:$G$254),""))</f>
        <v/>
      </c>
      <c r="CD149" s="20" t="str" cm="1">
        <f t="array" ref="CD149">IFERROR(IF($A149="","",INDEX(_xlfn.ANCHORARRAY($BK$4),ROW()-5,6)),"")</f>
        <v/>
      </c>
      <c r="CE149" s="20" t="str">
        <f t="shared" si="46"/>
        <v/>
      </c>
      <c r="CF149" s="20" t="str">
        <f t="shared" si="47"/>
        <v/>
      </c>
      <c r="CG149" s="20" t="str">
        <f t="shared" si="44"/>
        <v/>
      </c>
      <c r="CH149" s="20" t="str" cm="1">
        <f t="array" ref="CH149">IF(OR($A149="",$BZ149="",$BW149="",$BX149=""),"",_xlfn.LET(_xlpm.mag,IFERROR(_xlfn.XLOOKUP($BX149,Race_Raceway,Race_Mag),""),IF(_xlpm.mag="","",IFERROR(INDEX(Cond_Table,MATCH($BZ149,Cond_Size,0),IF(UPPER($BW149)="AL",IF(_xlpm.mag="Y",10,12),IF(_xlpm.mag="Y",9,11))),""))))</f>
        <v/>
      </c>
      <c r="CI149" s="20" t="str">
        <f t="shared" si="45"/>
        <v/>
      </c>
      <c r="CJ149" s="20" t="str">
        <f>IF(OR($A149="",LEFT($A149,2)&lt;&gt;"T-"),"",IFERROR(_xlfn.LET(_xlpm.fla,_xlfn.XLOOKUP($A149,Transformers!$A$6:$A$105,Transformers!$AK$6:$AK$105),_xlpm.z,_xlfn.XLOOKUP($A149,Transformers!$A$6:$A$105,Transformers!$AX$6:$AX$105),IF(OR(_xlpm.fla="",_xlpm.z="",_xlpm.z=0),"",_xlpm.fla*100/_xlpm.z)),""))</f>
        <v/>
      </c>
      <c r="CK149" s="20" t="str">
        <f t="shared" si="48"/>
        <v/>
      </c>
      <c r="CL149" s="20" t="str">
        <f t="shared" si="49"/>
        <v/>
      </c>
      <c r="CM149" s="373"/>
      <c r="CO149" s="20" t="str">
        <f>IF(OR($A149="",LEFT($A149,2)&lt;&gt;"T-"),"",_xlfn.LET(_xlpm.ph,IFERROR(_xlfn.XLOOKUP($A149,Transformers!$A$6:$A$105,Transformers!$C$6:$C$105),""),_xlpm.rr,IFERROR(_xlfn.XLOOKUP($A149,Transformers!$A$6:$A$105,Transformers!$AG$6:$AG$105),""),_xlpm.xx,IFERROR(_xlfn.XLOOKUP($A149,Transformers!$A$6:$A$105,Transformers!$AI$6:$AI$105),""),IF(OR(_xlpm.ph&lt;&gt;1,NOT(ISNUMBER(_xlpm.rr)),NOT(ISNUMBER(_xlpm.xx))),"",SQRT((1.5*_xlpm.rr)^2+(1.2*_xlpm.xx)^2))))</f>
        <v/>
      </c>
      <c r="CP149" s="20" t="str">
        <f t="shared" si="50"/>
        <v/>
      </c>
    </row>
    <row r="150" spans="1:94" ht="15" customHeight="1" x14ac:dyDescent="0.45">
      <c r="A150" s="275" t="str" cm="1">
        <f t="array" ref="A150">IFERROR(IF(INDEX(_xlfn.ANCHORARRAY($BK$4),ROW()-5,1)="","",INDEX(_xlfn.ANCHORARRAY($BK$4),ROW()-5,1)),"")</f>
        <v/>
      </c>
      <c r="B150" s="25" t="str" cm="1">
        <f t="array" ref="B150">IFERROR(IF($A150="","",INDEX(_xlfn.ANCHORARRAY($BK$4),ROW()-5,5)),"")</f>
        <v/>
      </c>
      <c r="C150" s="178" t="str" cm="1">
        <f t="array" ref="C150">IFERROR(IF($A150="","",INDEX(_xlfn.ANCHORARRAY($BK$4),ROW()-5,7)),"")</f>
        <v/>
      </c>
      <c r="D150" s="177" t="str" cm="1">
        <f t="array" ref="D150">IFERROR(IF($A150="","",INDEX(_xlfn.ANCHORARRAY($BK$4),ROW()-5,3)),"")</f>
        <v/>
      </c>
      <c r="E150" s="25" t="str" cm="1">
        <f t="array" ref="E150">IFERROR(IF($A150="","",INDEX(_xlfn.ANCHORARRAY($BK$4),ROW()-5,2)),"")</f>
        <v/>
      </c>
      <c r="F150" s="177" t="str">
        <f t="shared" si="34"/>
        <v/>
      </c>
      <c r="G150" s="275" t="str">
        <f t="shared" si="35"/>
        <v/>
      </c>
      <c r="H150" s="180" t="str">
        <f t="shared" si="36"/>
        <v/>
      </c>
      <c r="I150" s="180" t="str">
        <f t="shared" si="37"/>
        <v/>
      </c>
      <c r="J150" s="177" t="str">
        <f>_xlfn.LET(_xlpm.v,_xlfn.LET(_xlpm.base,IF($A150="","",IF($C150=0,IFERROR(_xlfn.XLOOKUP($A150,Util_Tags,Util_SCAEff),""),IF(LEFT($A150,2)="T-",IF($CJ150="","",$CJ150/(1+IF($CL150="",0,$CL150))),IF(OR($F150="",$I150=""),"",$F150*$I150)))),_xlpm.gtag,IF(OR($A150="",NOT(OR($B150="ATS",$B150="MTS"))),"",IFERROR(_xlfn.XLOOKUP($A150,Dashboard!$A$101:$A$350,Dashboard!$L$101:$L$350,"")&amp;"","")),_xlpm.gkva,IF(_xlpm.gtag="",0,IFERROR(N(_xlfn.XLOOKUP(_xlpm.gtag,Generator!$B$53:$B$58,Generator!$S$53:$S$58,0)),0)),_xlpm.gxd,IF(_xlpm.gtag="",0,IFERROR(N(_xlfn.XLOOKUP(_xlpm.gtag,Generator!$B$53:$B$58,Generator!$U$53:$U$58,0)),0)),_xlpm.gamp,IF(OR(_xlpm.gkva=0,_xlpm.gxd=0,N($D150)=0),0,ROUND(_xlpm.gkva*1000/(IF(N($CB150)=1,1,SQRT(3))*$D150*_xlpm.gxd),0)),IF(OR(_xlpm.gamp=0,NOT(ISNUMBER(_xlpm.base))),_xlpm.base,MAX(_xlpm.base,_xlpm.gamp))),_xlpm.ulim,IF(OR($A150="",$B150&lt;&gt;"UPS"),"",IFERROR(IF(_xlfn.XLOOKUP($A150,UPS!$B$57:$B$64,UPS!$E$57:$E$64,"")="None",_xlfn.XLOOKUP($A150,UPS!$B$57:$B$64,UPS!$U$57:$U$64,""),""),"")),IF(AND(ISNUMBER(_xlpm.v),ISNUMBER(_xlpm.ulim)),MIN(_xlpm.v,_xlpm.ulim),_xlpm.v))</f>
        <v/>
      </c>
      <c r="K150" s="176"/>
      <c r="L150" s="177" t="str">
        <f t="shared" si="38"/>
        <v/>
      </c>
      <c r="M150" s="177" t="str">
        <f t="shared" si="39"/>
        <v/>
      </c>
      <c r="N150" s="380" t="str">
        <f>IF($A150="","",IF($C150=0,_xlfn.LET(_xlpm.x,IFERROR(_xlfn.XLOOKUP($A150,Util_Tags,Util_XR),""),IF(N(_xlpm.x)=0,Xfmr_DefXR,_xlpm.x)),IF(LEFT($A150,2)="T-",IFERROR(_xlfn.XLOOKUP($A150,Transformers!$A$6:$A$105,Transformers!$AH$6:$AH$105),Xfmr_DefXR),IFERROR(_xlfn.XLOOKUP($E150,$A$6:$A$255,$N$6:$N$255),Xfmr_DefXR))))</f>
        <v/>
      </c>
      <c r="O150" s="177" t="str">
        <f t="shared" si="40"/>
        <v/>
      </c>
      <c r="P150" s="210" t="str">
        <f>IF($A150="","",IF(LEFT($A150,2)="T-",IF($CO150="","",_xlfn.LET(_xlpm.k,IFERROR(_xlfn.XLOOKUP($A150,Transformers!$A$6:$A$105,Transformers!$G$6:$G$105),""),_xlpm.sv,IFERROR(_xlfn.XLOOKUP($A150,Transformers!$A$6:$A$105,Transformers!$E$6:$E$105),""),IF(OR(NOT(ISNUMBER(_xlpm.k)),NOT(ISNUMBER(_xlpm.sv)),_xlpm.sv=0),"",_xlfn.LET(_xlpm.iInf,(_xlpm.k*1000/(_xlpm.sv/2))*100/$CO150,_xlpm.pri,IF(OR($CK150="",$CK150=0),"",$CK150/2),_xlpm.base,IF(_xlpm.pri="",_xlpm.iInf,_xlpm.iInf/(1+_xlpm.iInf/_xlpm.pri)),_xlpm.base+IF($L150="",0,$L150))))),IF($CP150="","",_xlfn.LET(_xlpm.pI,IFERROR(_xlfn.XLOOKUP($E150,$A$6:$A$255,$P$6:$P$255),""),IF(NOT(ISNUMBER(_xlpm.pI)),"",_xlpm.pI/(1+$CP150)+IF($L150="",0,$L150))))))</f>
        <v/>
      </c>
      <c r="Q150" s="210" t="str">
        <f t="shared" si="41"/>
        <v/>
      </c>
      <c r="R150" s="177" t="str">
        <f>IF($A150="","",IF(OR($C150=0,LEFT($A150,2)="T-"),"",IFERROR(_xlfn.LET(_xlpm.v,_xlfn.XLOOKUP($A150,Dashboard!$A$101:$A$350,Dashboard!$K$101:$K$350),IF(ISNUMBER(_xlpm.v),_xlpm.v,"")),"")))</f>
        <v/>
      </c>
      <c r="S150" s="211" t="str">
        <f t="shared" si="42"/>
        <v/>
      </c>
      <c r="T150" s="25" t="str">
        <f t="shared" si="43"/>
        <v/>
      </c>
      <c r="U150" s="364"/>
      <c r="BV150" s="20" t="str">
        <f>IF($A150="","",IFERROR(_xlfn.XLOOKUP("F-"&amp;$A150,'Feeder Schedule'!$B$5:$B$254,'Feeder Schedule'!$H$5:$H$254),""))</f>
        <v/>
      </c>
      <c r="BW150" s="20" t="str">
        <f>IF($A150="","",IFERROR(_xlfn.XLOOKUP("F-"&amp;$A150,'Feeder Schedule'!$B$5:$B$254,'Feeder Schedule'!$BV$5:$BV$254),""))</f>
        <v/>
      </c>
      <c r="BX150" s="20" t="str">
        <f>IF($A150="","",IFERROR(_xlfn.LET(_xlpm.v,_xlfn.XLOOKUP("F-"&amp;$A150,'Feeder Schedule'!$B$5:$B$254,'Feeder Schedule'!$M$5:$M$254),IF(OR(_xlpm.v="",_xlpm.v=0),Cfg_Conduit,_xlpm.v)),""))</f>
        <v/>
      </c>
      <c r="BY150" s="20" t="str">
        <f>IF($A150="","",IFERROR(_xlfn.XLOOKUP("F-"&amp;$A150,'Feeder Schedule'!$B$5:$B$254,'Feeder Schedule'!$O$5:$O$254),""))</f>
        <v/>
      </c>
      <c r="BZ150" s="20" t="str">
        <f>IF($A150="","",IFERROR(_xlfn.XLOOKUP("F-"&amp;$A150,'Feeder Schedule'!$B$5:$B$254,'Feeder Schedule'!$CH$5:$CH$254),""))</f>
        <v/>
      </c>
      <c r="CA150" s="20" t="str">
        <f>IF($A150="","",IFERROR(_xlfn.XLOOKUP("F-"&amp;$A150,'Feeder Schedule'!$B$5:$B$254,'Feeder Schedule'!$F$5:$F$254),""))</f>
        <v/>
      </c>
      <c r="CB150" s="20" t="str">
        <f>IF($A150="","",IFERROR(_xlfn.XLOOKUP("F-"&amp;$A150,'Feeder Schedule'!$B$5:$B$254,'Feeder Schedule'!$G$5:$G$254),""))</f>
        <v/>
      </c>
      <c r="CD150" s="20" t="str" cm="1">
        <f t="array" ref="CD150">IFERROR(IF($A150="","",INDEX(_xlfn.ANCHORARRAY($BK$4),ROW()-5,6)),"")</f>
        <v/>
      </c>
      <c r="CE150" s="20" t="str">
        <f t="shared" si="46"/>
        <v/>
      </c>
      <c r="CF150" s="20" t="str">
        <f t="shared" si="47"/>
        <v/>
      </c>
      <c r="CG150" s="20" t="str">
        <f t="shared" si="44"/>
        <v/>
      </c>
      <c r="CH150" s="20" t="str" cm="1">
        <f t="array" ref="CH150">IF(OR($A150="",$BZ150="",$BW150="",$BX150=""),"",_xlfn.LET(_xlpm.mag,IFERROR(_xlfn.XLOOKUP($BX150,Race_Raceway,Race_Mag),""),IF(_xlpm.mag="","",IFERROR(INDEX(Cond_Table,MATCH($BZ150,Cond_Size,0),IF(UPPER($BW150)="AL",IF(_xlpm.mag="Y",10,12),IF(_xlpm.mag="Y",9,11))),""))))</f>
        <v/>
      </c>
      <c r="CI150" s="20" t="str">
        <f t="shared" si="45"/>
        <v/>
      </c>
      <c r="CJ150" s="20" t="str">
        <f>IF(OR($A150="",LEFT($A150,2)&lt;&gt;"T-"),"",IFERROR(_xlfn.LET(_xlpm.fla,_xlfn.XLOOKUP($A150,Transformers!$A$6:$A$105,Transformers!$AK$6:$AK$105),_xlpm.z,_xlfn.XLOOKUP($A150,Transformers!$A$6:$A$105,Transformers!$AX$6:$AX$105),IF(OR(_xlpm.fla="",_xlpm.z="",_xlpm.z=0),"",_xlpm.fla*100/_xlpm.z)),""))</f>
        <v/>
      </c>
      <c r="CK150" s="20" t="str">
        <f t="shared" si="48"/>
        <v/>
      </c>
      <c r="CL150" s="20" t="str">
        <f t="shared" si="49"/>
        <v/>
      </c>
      <c r="CM150" s="373"/>
      <c r="CO150" s="20" t="str">
        <f>IF(OR($A150="",LEFT($A150,2)&lt;&gt;"T-"),"",_xlfn.LET(_xlpm.ph,IFERROR(_xlfn.XLOOKUP($A150,Transformers!$A$6:$A$105,Transformers!$C$6:$C$105),""),_xlpm.rr,IFERROR(_xlfn.XLOOKUP($A150,Transformers!$A$6:$A$105,Transformers!$AG$6:$AG$105),""),_xlpm.xx,IFERROR(_xlfn.XLOOKUP($A150,Transformers!$A$6:$A$105,Transformers!$AI$6:$AI$105),""),IF(OR(_xlpm.ph&lt;&gt;1,NOT(ISNUMBER(_xlpm.rr)),NOT(ISNUMBER(_xlpm.xx))),"",SQRT((1.5*_xlpm.rr)^2+(1.2*_xlpm.xx)^2))))</f>
        <v/>
      </c>
      <c r="CP150" s="20" t="str">
        <f t="shared" si="50"/>
        <v/>
      </c>
    </row>
    <row r="151" spans="1:94" ht="15" customHeight="1" x14ac:dyDescent="0.45">
      <c r="A151" s="275" t="str" cm="1">
        <f t="array" ref="A151">IFERROR(IF(INDEX(_xlfn.ANCHORARRAY($BK$4),ROW()-5,1)="","",INDEX(_xlfn.ANCHORARRAY($BK$4),ROW()-5,1)),"")</f>
        <v/>
      </c>
      <c r="B151" s="25" t="str" cm="1">
        <f t="array" ref="B151">IFERROR(IF($A151="","",INDEX(_xlfn.ANCHORARRAY($BK$4),ROW()-5,5)),"")</f>
        <v/>
      </c>
      <c r="C151" s="178" t="str" cm="1">
        <f t="array" ref="C151">IFERROR(IF($A151="","",INDEX(_xlfn.ANCHORARRAY($BK$4),ROW()-5,7)),"")</f>
        <v/>
      </c>
      <c r="D151" s="177" t="str" cm="1">
        <f t="array" ref="D151">IFERROR(IF($A151="","",INDEX(_xlfn.ANCHORARRAY($BK$4),ROW()-5,3)),"")</f>
        <v/>
      </c>
      <c r="E151" s="25" t="str" cm="1">
        <f t="array" ref="E151">IFERROR(IF($A151="","",INDEX(_xlfn.ANCHORARRAY($BK$4),ROW()-5,2)),"")</f>
        <v/>
      </c>
      <c r="F151" s="177" t="str">
        <f t="shared" si="34"/>
        <v/>
      </c>
      <c r="G151" s="275" t="str">
        <f t="shared" si="35"/>
        <v/>
      </c>
      <c r="H151" s="180" t="str">
        <f t="shared" si="36"/>
        <v/>
      </c>
      <c r="I151" s="180" t="str">
        <f t="shared" si="37"/>
        <v/>
      </c>
      <c r="J151" s="177" t="str">
        <f>_xlfn.LET(_xlpm.v,_xlfn.LET(_xlpm.base,IF($A151="","",IF($C151=0,IFERROR(_xlfn.XLOOKUP($A151,Util_Tags,Util_SCAEff),""),IF(LEFT($A151,2)="T-",IF($CJ151="","",$CJ151/(1+IF($CL151="",0,$CL151))),IF(OR($F151="",$I151=""),"",$F151*$I151)))),_xlpm.gtag,IF(OR($A151="",NOT(OR($B151="ATS",$B151="MTS"))),"",IFERROR(_xlfn.XLOOKUP($A151,Dashboard!$A$101:$A$350,Dashboard!$L$101:$L$350,"")&amp;"","")),_xlpm.gkva,IF(_xlpm.gtag="",0,IFERROR(N(_xlfn.XLOOKUP(_xlpm.gtag,Generator!$B$53:$B$58,Generator!$S$53:$S$58,0)),0)),_xlpm.gxd,IF(_xlpm.gtag="",0,IFERROR(N(_xlfn.XLOOKUP(_xlpm.gtag,Generator!$B$53:$B$58,Generator!$U$53:$U$58,0)),0)),_xlpm.gamp,IF(OR(_xlpm.gkva=0,_xlpm.gxd=0,N($D151)=0),0,ROUND(_xlpm.gkva*1000/(IF(N($CB151)=1,1,SQRT(3))*$D151*_xlpm.gxd),0)),IF(OR(_xlpm.gamp=0,NOT(ISNUMBER(_xlpm.base))),_xlpm.base,MAX(_xlpm.base,_xlpm.gamp))),_xlpm.ulim,IF(OR($A151="",$B151&lt;&gt;"UPS"),"",IFERROR(IF(_xlfn.XLOOKUP($A151,UPS!$B$57:$B$64,UPS!$E$57:$E$64,"")="None",_xlfn.XLOOKUP($A151,UPS!$B$57:$B$64,UPS!$U$57:$U$64,""),""),"")),IF(AND(ISNUMBER(_xlpm.v),ISNUMBER(_xlpm.ulim)),MIN(_xlpm.v,_xlpm.ulim),_xlpm.v))</f>
        <v/>
      </c>
      <c r="K151" s="176"/>
      <c r="L151" s="177" t="str">
        <f t="shared" si="38"/>
        <v/>
      </c>
      <c r="M151" s="177" t="str">
        <f t="shared" si="39"/>
        <v/>
      </c>
      <c r="N151" s="380" t="str">
        <f>IF($A151="","",IF($C151=0,_xlfn.LET(_xlpm.x,IFERROR(_xlfn.XLOOKUP($A151,Util_Tags,Util_XR),""),IF(N(_xlpm.x)=0,Xfmr_DefXR,_xlpm.x)),IF(LEFT($A151,2)="T-",IFERROR(_xlfn.XLOOKUP($A151,Transformers!$A$6:$A$105,Transformers!$AH$6:$AH$105),Xfmr_DefXR),IFERROR(_xlfn.XLOOKUP($E151,$A$6:$A$255,$N$6:$N$255),Xfmr_DefXR))))</f>
        <v/>
      </c>
      <c r="O151" s="177" t="str">
        <f t="shared" si="40"/>
        <v/>
      </c>
      <c r="P151" s="210" t="str">
        <f>IF($A151="","",IF(LEFT($A151,2)="T-",IF($CO151="","",_xlfn.LET(_xlpm.k,IFERROR(_xlfn.XLOOKUP($A151,Transformers!$A$6:$A$105,Transformers!$G$6:$G$105),""),_xlpm.sv,IFERROR(_xlfn.XLOOKUP($A151,Transformers!$A$6:$A$105,Transformers!$E$6:$E$105),""),IF(OR(NOT(ISNUMBER(_xlpm.k)),NOT(ISNUMBER(_xlpm.sv)),_xlpm.sv=0),"",_xlfn.LET(_xlpm.iInf,(_xlpm.k*1000/(_xlpm.sv/2))*100/$CO151,_xlpm.pri,IF(OR($CK151="",$CK151=0),"",$CK151/2),_xlpm.base,IF(_xlpm.pri="",_xlpm.iInf,_xlpm.iInf/(1+_xlpm.iInf/_xlpm.pri)),_xlpm.base+IF($L151="",0,$L151))))),IF($CP151="","",_xlfn.LET(_xlpm.pI,IFERROR(_xlfn.XLOOKUP($E151,$A$6:$A$255,$P$6:$P$255),""),IF(NOT(ISNUMBER(_xlpm.pI)),"",_xlpm.pI/(1+$CP151)+IF($L151="",0,$L151))))))</f>
        <v/>
      </c>
      <c r="Q151" s="210" t="str">
        <f t="shared" si="41"/>
        <v/>
      </c>
      <c r="R151" s="177" t="str">
        <f>IF($A151="","",IF(OR($C151=0,LEFT($A151,2)="T-"),"",IFERROR(_xlfn.LET(_xlpm.v,_xlfn.XLOOKUP($A151,Dashboard!$A$101:$A$350,Dashboard!$K$101:$K$350),IF(ISNUMBER(_xlpm.v),_xlpm.v,"")),"")))</f>
        <v/>
      </c>
      <c r="S151" s="211" t="str">
        <f t="shared" si="42"/>
        <v/>
      </c>
      <c r="T151" s="25" t="str">
        <f t="shared" si="43"/>
        <v/>
      </c>
      <c r="U151" s="364"/>
      <c r="BV151" s="20" t="str">
        <f>IF($A151="","",IFERROR(_xlfn.XLOOKUP("F-"&amp;$A151,'Feeder Schedule'!$B$5:$B$254,'Feeder Schedule'!$H$5:$H$254),""))</f>
        <v/>
      </c>
      <c r="BW151" s="20" t="str">
        <f>IF($A151="","",IFERROR(_xlfn.XLOOKUP("F-"&amp;$A151,'Feeder Schedule'!$B$5:$B$254,'Feeder Schedule'!$BV$5:$BV$254),""))</f>
        <v/>
      </c>
      <c r="BX151" s="20" t="str">
        <f>IF($A151="","",IFERROR(_xlfn.LET(_xlpm.v,_xlfn.XLOOKUP("F-"&amp;$A151,'Feeder Schedule'!$B$5:$B$254,'Feeder Schedule'!$M$5:$M$254),IF(OR(_xlpm.v="",_xlpm.v=0),Cfg_Conduit,_xlpm.v)),""))</f>
        <v/>
      </c>
      <c r="BY151" s="20" t="str">
        <f>IF($A151="","",IFERROR(_xlfn.XLOOKUP("F-"&amp;$A151,'Feeder Schedule'!$B$5:$B$254,'Feeder Schedule'!$O$5:$O$254),""))</f>
        <v/>
      </c>
      <c r="BZ151" s="20" t="str">
        <f>IF($A151="","",IFERROR(_xlfn.XLOOKUP("F-"&amp;$A151,'Feeder Schedule'!$B$5:$B$254,'Feeder Schedule'!$CH$5:$CH$254),""))</f>
        <v/>
      </c>
      <c r="CA151" s="20" t="str">
        <f>IF($A151="","",IFERROR(_xlfn.XLOOKUP("F-"&amp;$A151,'Feeder Schedule'!$B$5:$B$254,'Feeder Schedule'!$F$5:$F$254),""))</f>
        <v/>
      </c>
      <c r="CB151" s="20" t="str">
        <f>IF($A151="","",IFERROR(_xlfn.XLOOKUP("F-"&amp;$A151,'Feeder Schedule'!$B$5:$B$254,'Feeder Schedule'!$G$5:$G$254),""))</f>
        <v/>
      </c>
      <c r="CD151" s="20" t="str" cm="1">
        <f t="array" ref="CD151">IFERROR(IF($A151="","",INDEX(_xlfn.ANCHORARRAY($BK$4),ROW()-5,6)),"")</f>
        <v/>
      </c>
      <c r="CE151" s="20" t="str">
        <f t="shared" si="46"/>
        <v/>
      </c>
      <c r="CF151" s="20" t="str">
        <f t="shared" si="47"/>
        <v/>
      </c>
      <c r="CG151" s="20" t="str">
        <f t="shared" si="44"/>
        <v/>
      </c>
      <c r="CH151" s="20" t="str" cm="1">
        <f t="array" ref="CH151">IF(OR($A151="",$BZ151="",$BW151="",$BX151=""),"",_xlfn.LET(_xlpm.mag,IFERROR(_xlfn.XLOOKUP($BX151,Race_Raceway,Race_Mag),""),IF(_xlpm.mag="","",IFERROR(INDEX(Cond_Table,MATCH($BZ151,Cond_Size,0),IF(UPPER($BW151)="AL",IF(_xlpm.mag="Y",10,12),IF(_xlpm.mag="Y",9,11))),""))))</f>
        <v/>
      </c>
      <c r="CI151" s="20" t="str">
        <f t="shared" si="45"/>
        <v/>
      </c>
      <c r="CJ151" s="20" t="str">
        <f>IF(OR($A151="",LEFT($A151,2)&lt;&gt;"T-"),"",IFERROR(_xlfn.LET(_xlpm.fla,_xlfn.XLOOKUP($A151,Transformers!$A$6:$A$105,Transformers!$AK$6:$AK$105),_xlpm.z,_xlfn.XLOOKUP($A151,Transformers!$A$6:$A$105,Transformers!$AX$6:$AX$105),IF(OR(_xlpm.fla="",_xlpm.z="",_xlpm.z=0),"",_xlpm.fla*100/_xlpm.z)),""))</f>
        <v/>
      </c>
      <c r="CK151" s="20" t="str">
        <f t="shared" si="48"/>
        <v/>
      </c>
      <c r="CL151" s="20" t="str">
        <f t="shared" si="49"/>
        <v/>
      </c>
      <c r="CM151" s="373"/>
      <c r="CO151" s="20" t="str">
        <f>IF(OR($A151="",LEFT($A151,2)&lt;&gt;"T-"),"",_xlfn.LET(_xlpm.ph,IFERROR(_xlfn.XLOOKUP($A151,Transformers!$A$6:$A$105,Transformers!$C$6:$C$105),""),_xlpm.rr,IFERROR(_xlfn.XLOOKUP($A151,Transformers!$A$6:$A$105,Transformers!$AG$6:$AG$105),""),_xlpm.xx,IFERROR(_xlfn.XLOOKUP($A151,Transformers!$A$6:$A$105,Transformers!$AI$6:$AI$105),""),IF(OR(_xlpm.ph&lt;&gt;1,NOT(ISNUMBER(_xlpm.rr)),NOT(ISNUMBER(_xlpm.xx))),"",SQRT((1.5*_xlpm.rr)^2+(1.2*_xlpm.xx)^2))))</f>
        <v/>
      </c>
      <c r="CP151" s="20" t="str">
        <f t="shared" si="50"/>
        <v/>
      </c>
    </row>
    <row r="152" spans="1:94" ht="15" customHeight="1" x14ac:dyDescent="0.45">
      <c r="A152" s="275" t="str" cm="1">
        <f t="array" ref="A152">IFERROR(IF(INDEX(_xlfn.ANCHORARRAY($BK$4),ROW()-5,1)="","",INDEX(_xlfn.ANCHORARRAY($BK$4),ROW()-5,1)),"")</f>
        <v/>
      </c>
      <c r="B152" s="25" t="str" cm="1">
        <f t="array" ref="B152">IFERROR(IF($A152="","",INDEX(_xlfn.ANCHORARRAY($BK$4),ROW()-5,5)),"")</f>
        <v/>
      </c>
      <c r="C152" s="178" t="str" cm="1">
        <f t="array" ref="C152">IFERROR(IF($A152="","",INDEX(_xlfn.ANCHORARRAY($BK$4),ROW()-5,7)),"")</f>
        <v/>
      </c>
      <c r="D152" s="177" t="str" cm="1">
        <f t="array" ref="D152">IFERROR(IF($A152="","",INDEX(_xlfn.ANCHORARRAY($BK$4),ROW()-5,3)),"")</f>
        <v/>
      </c>
      <c r="E152" s="25" t="str" cm="1">
        <f t="array" ref="E152">IFERROR(IF($A152="","",INDEX(_xlfn.ANCHORARRAY($BK$4),ROW()-5,2)),"")</f>
        <v/>
      </c>
      <c r="F152" s="177" t="str">
        <f t="shared" si="34"/>
        <v/>
      </c>
      <c r="G152" s="275" t="str">
        <f t="shared" si="35"/>
        <v/>
      </c>
      <c r="H152" s="180" t="str">
        <f t="shared" si="36"/>
        <v/>
      </c>
      <c r="I152" s="180" t="str">
        <f t="shared" si="37"/>
        <v/>
      </c>
      <c r="J152" s="177" t="str">
        <f>_xlfn.LET(_xlpm.v,_xlfn.LET(_xlpm.base,IF($A152="","",IF($C152=0,IFERROR(_xlfn.XLOOKUP($A152,Util_Tags,Util_SCAEff),""),IF(LEFT($A152,2)="T-",IF($CJ152="","",$CJ152/(1+IF($CL152="",0,$CL152))),IF(OR($F152="",$I152=""),"",$F152*$I152)))),_xlpm.gtag,IF(OR($A152="",NOT(OR($B152="ATS",$B152="MTS"))),"",IFERROR(_xlfn.XLOOKUP($A152,Dashboard!$A$101:$A$350,Dashboard!$L$101:$L$350,"")&amp;"","")),_xlpm.gkva,IF(_xlpm.gtag="",0,IFERROR(N(_xlfn.XLOOKUP(_xlpm.gtag,Generator!$B$53:$B$58,Generator!$S$53:$S$58,0)),0)),_xlpm.gxd,IF(_xlpm.gtag="",0,IFERROR(N(_xlfn.XLOOKUP(_xlpm.gtag,Generator!$B$53:$B$58,Generator!$U$53:$U$58,0)),0)),_xlpm.gamp,IF(OR(_xlpm.gkva=0,_xlpm.gxd=0,N($D152)=0),0,ROUND(_xlpm.gkva*1000/(IF(N($CB152)=1,1,SQRT(3))*$D152*_xlpm.gxd),0)),IF(OR(_xlpm.gamp=0,NOT(ISNUMBER(_xlpm.base))),_xlpm.base,MAX(_xlpm.base,_xlpm.gamp))),_xlpm.ulim,IF(OR($A152="",$B152&lt;&gt;"UPS"),"",IFERROR(IF(_xlfn.XLOOKUP($A152,UPS!$B$57:$B$64,UPS!$E$57:$E$64,"")="None",_xlfn.XLOOKUP($A152,UPS!$B$57:$B$64,UPS!$U$57:$U$64,""),""),"")),IF(AND(ISNUMBER(_xlpm.v),ISNUMBER(_xlpm.ulim)),MIN(_xlpm.v,_xlpm.ulim),_xlpm.v))</f>
        <v/>
      </c>
      <c r="K152" s="176"/>
      <c r="L152" s="177" t="str">
        <f t="shared" si="38"/>
        <v/>
      </c>
      <c r="M152" s="177" t="str">
        <f t="shared" si="39"/>
        <v/>
      </c>
      <c r="N152" s="380" t="str">
        <f>IF($A152="","",IF($C152=0,_xlfn.LET(_xlpm.x,IFERROR(_xlfn.XLOOKUP($A152,Util_Tags,Util_XR),""),IF(N(_xlpm.x)=0,Xfmr_DefXR,_xlpm.x)),IF(LEFT($A152,2)="T-",IFERROR(_xlfn.XLOOKUP($A152,Transformers!$A$6:$A$105,Transformers!$AH$6:$AH$105),Xfmr_DefXR),IFERROR(_xlfn.XLOOKUP($E152,$A$6:$A$255,$N$6:$N$255),Xfmr_DefXR))))</f>
        <v/>
      </c>
      <c r="O152" s="177" t="str">
        <f t="shared" si="40"/>
        <v/>
      </c>
      <c r="P152" s="210" t="str">
        <f>IF($A152="","",IF(LEFT($A152,2)="T-",IF($CO152="","",_xlfn.LET(_xlpm.k,IFERROR(_xlfn.XLOOKUP($A152,Transformers!$A$6:$A$105,Transformers!$G$6:$G$105),""),_xlpm.sv,IFERROR(_xlfn.XLOOKUP($A152,Transformers!$A$6:$A$105,Transformers!$E$6:$E$105),""),IF(OR(NOT(ISNUMBER(_xlpm.k)),NOT(ISNUMBER(_xlpm.sv)),_xlpm.sv=0),"",_xlfn.LET(_xlpm.iInf,(_xlpm.k*1000/(_xlpm.sv/2))*100/$CO152,_xlpm.pri,IF(OR($CK152="",$CK152=0),"",$CK152/2),_xlpm.base,IF(_xlpm.pri="",_xlpm.iInf,_xlpm.iInf/(1+_xlpm.iInf/_xlpm.pri)),_xlpm.base+IF($L152="",0,$L152))))),IF($CP152="","",_xlfn.LET(_xlpm.pI,IFERROR(_xlfn.XLOOKUP($E152,$A$6:$A$255,$P$6:$P$255),""),IF(NOT(ISNUMBER(_xlpm.pI)),"",_xlpm.pI/(1+$CP152)+IF($L152="",0,$L152))))))</f>
        <v/>
      </c>
      <c r="Q152" s="210" t="str">
        <f t="shared" si="41"/>
        <v/>
      </c>
      <c r="R152" s="177" t="str">
        <f>IF($A152="","",IF(OR($C152=0,LEFT($A152,2)="T-"),"",IFERROR(_xlfn.LET(_xlpm.v,_xlfn.XLOOKUP($A152,Dashboard!$A$101:$A$350,Dashboard!$K$101:$K$350),IF(ISNUMBER(_xlpm.v),_xlpm.v,"")),"")))</f>
        <v/>
      </c>
      <c r="S152" s="211" t="str">
        <f t="shared" si="42"/>
        <v/>
      </c>
      <c r="T152" s="25" t="str">
        <f t="shared" si="43"/>
        <v/>
      </c>
      <c r="U152" s="364"/>
      <c r="BV152" s="20" t="str">
        <f>IF($A152="","",IFERROR(_xlfn.XLOOKUP("F-"&amp;$A152,'Feeder Schedule'!$B$5:$B$254,'Feeder Schedule'!$H$5:$H$254),""))</f>
        <v/>
      </c>
      <c r="BW152" s="20" t="str">
        <f>IF($A152="","",IFERROR(_xlfn.XLOOKUP("F-"&amp;$A152,'Feeder Schedule'!$B$5:$B$254,'Feeder Schedule'!$BV$5:$BV$254),""))</f>
        <v/>
      </c>
      <c r="BX152" s="20" t="str">
        <f>IF($A152="","",IFERROR(_xlfn.LET(_xlpm.v,_xlfn.XLOOKUP("F-"&amp;$A152,'Feeder Schedule'!$B$5:$B$254,'Feeder Schedule'!$M$5:$M$254),IF(OR(_xlpm.v="",_xlpm.v=0),Cfg_Conduit,_xlpm.v)),""))</f>
        <v/>
      </c>
      <c r="BY152" s="20" t="str">
        <f>IF($A152="","",IFERROR(_xlfn.XLOOKUP("F-"&amp;$A152,'Feeder Schedule'!$B$5:$B$254,'Feeder Schedule'!$O$5:$O$254),""))</f>
        <v/>
      </c>
      <c r="BZ152" s="20" t="str">
        <f>IF($A152="","",IFERROR(_xlfn.XLOOKUP("F-"&amp;$A152,'Feeder Schedule'!$B$5:$B$254,'Feeder Schedule'!$CH$5:$CH$254),""))</f>
        <v/>
      </c>
      <c r="CA152" s="20" t="str">
        <f>IF($A152="","",IFERROR(_xlfn.XLOOKUP("F-"&amp;$A152,'Feeder Schedule'!$B$5:$B$254,'Feeder Schedule'!$F$5:$F$254),""))</f>
        <v/>
      </c>
      <c r="CB152" s="20" t="str">
        <f>IF($A152="","",IFERROR(_xlfn.XLOOKUP("F-"&amp;$A152,'Feeder Schedule'!$B$5:$B$254,'Feeder Schedule'!$G$5:$G$254),""))</f>
        <v/>
      </c>
      <c r="CD152" s="20" t="str" cm="1">
        <f t="array" ref="CD152">IFERROR(IF($A152="","",INDEX(_xlfn.ANCHORARRAY($BK$4),ROW()-5,6)),"")</f>
        <v/>
      </c>
      <c r="CE152" s="20" t="str">
        <f t="shared" si="46"/>
        <v/>
      </c>
      <c r="CF152" s="20" t="str">
        <f t="shared" si="47"/>
        <v/>
      </c>
      <c r="CG152" s="20" t="str">
        <f t="shared" si="44"/>
        <v/>
      </c>
      <c r="CH152" s="20" t="str" cm="1">
        <f t="array" ref="CH152">IF(OR($A152="",$BZ152="",$BW152="",$BX152=""),"",_xlfn.LET(_xlpm.mag,IFERROR(_xlfn.XLOOKUP($BX152,Race_Raceway,Race_Mag),""),IF(_xlpm.mag="","",IFERROR(INDEX(Cond_Table,MATCH($BZ152,Cond_Size,0),IF(UPPER($BW152)="AL",IF(_xlpm.mag="Y",10,12),IF(_xlpm.mag="Y",9,11))),""))))</f>
        <v/>
      </c>
      <c r="CI152" s="20" t="str">
        <f t="shared" si="45"/>
        <v/>
      </c>
      <c r="CJ152" s="20" t="str">
        <f>IF(OR($A152="",LEFT($A152,2)&lt;&gt;"T-"),"",IFERROR(_xlfn.LET(_xlpm.fla,_xlfn.XLOOKUP($A152,Transformers!$A$6:$A$105,Transformers!$AK$6:$AK$105),_xlpm.z,_xlfn.XLOOKUP($A152,Transformers!$A$6:$A$105,Transformers!$AX$6:$AX$105),IF(OR(_xlpm.fla="",_xlpm.z="",_xlpm.z=0),"",_xlpm.fla*100/_xlpm.z)),""))</f>
        <v/>
      </c>
      <c r="CK152" s="20" t="str">
        <f t="shared" si="48"/>
        <v/>
      </c>
      <c r="CL152" s="20" t="str">
        <f t="shared" si="49"/>
        <v/>
      </c>
      <c r="CM152" s="373"/>
      <c r="CO152" s="20" t="str">
        <f>IF(OR($A152="",LEFT($A152,2)&lt;&gt;"T-"),"",_xlfn.LET(_xlpm.ph,IFERROR(_xlfn.XLOOKUP($A152,Transformers!$A$6:$A$105,Transformers!$C$6:$C$105),""),_xlpm.rr,IFERROR(_xlfn.XLOOKUP($A152,Transformers!$A$6:$A$105,Transformers!$AG$6:$AG$105),""),_xlpm.xx,IFERROR(_xlfn.XLOOKUP($A152,Transformers!$A$6:$A$105,Transformers!$AI$6:$AI$105),""),IF(OR(_xlpm.ph&lt;&gt;1,NOT(ISNUMBER(_xlpm.rr)),NOT(ISNUMBER(_xlpm.xx))),"",SQRT((1.5*_xlpm.rr)^2+(1.2*_xlpm.xx)^2))))</f>
        <v/>
      </c>
      <c r="CP152" s="20" t="str">
        <f t="shared" si="50"/>
        <v/>
      </c>
    </row>
    <row r="153" spans="1:94" ht="15" customHeight="1" x14ac:dyDescent="0.45">
      <c r="A153" s="275" t="str" cm="1">
        <f t="array" ref="A153">IFERROR(IF(INDEX(_xlfn.ANCHORARRAY($BK$4),ROW()-5,1)="","",INDEX(_xlfn.ANCHORARRAY($BK$4),ROW()-5,1)),"")</f>
        <v/>
      </c>
      <c r="B153" s="25" t="str" cm="1">
        <f t="array" ref="B153">IFERROR(IF($A153="","",INDEX(_xlfn.ANCHORARRAY($BK$4),ROW()-5,5)),"")</f>
        <v/>
      </c>
      <c r="C153" s="178" t="str" cm="1">
        <f t="array" ref="C153">IFERROR(IF($A153="","",INDEX(_xlfn.ANCHORARRAY($BK$4),ROW()-5,7)),"")</f>
        <v/>
      </c>
      <c r="D153" s="177" t="str" cm="1">
        <f t="array" ref="D153">IFERROR(IF($A153="","",INDEX(_xlfn.ANCHORARRAY($BK$4),ROW()-5,3)),"")</f>
        <v/>
      </c>
      <c r="E153" s="25" t="str" cm="1">
        <f t="array" ref="E153">IFERROR(IF($A153="","",INDEX(_xlfn.ANCHORARRAY($BK$4),ROW()-5,2)),"")</f>
        <v/>
      </c>
      <c r="F153" s="177" t="str">
        <f t="shared" si="34"/>
        <v/>
      </c>
      <c r="G153" s="275" t="str">
        <f t="shared" si="35"/>
        <v/>
      </c>
      <c r="H153" s="180" t="str">
        <f t="shared" si="36"/>
        <v/>
      </c>
      <c r="I153" s="180" t="str">
        <f t="shared" si="37"/>
        <v/>
      </c>
      <c r="J153" s="177" t="str">
        <f>_xlfn.LET(_xlpm.v,_xlfn.LET(_xlpm.base,IF($A153="","",IF($C153=0,IFERROR(_xlfn.XLOOKUP($A153,Util_Tags,Util_SCAEff),""),IF(LEFT($A153,2)="T-",IF($CJ153="","",$CJ153/(1+IF($CL153="",0,$CL153))),IF(OR($F153="",$I153=""),"",$F153*$I153)))),_xlpm.gtag,IF(OR($A153="",NOT(OR($B153="ATS",$B153="MTS"))),"",IFERROR(_xlfn.XLOOKUP($A153,Dashboard!$A$101:$A$350,Dashboard!$L$101:$L$350,"")&amp;"","")),_xlpm.gkva,IF(_xlpm.gtag="",0,IFERROR(N(_xlfn.XLOOKUP(_xlpm.gtag,Generator!$B$53:$B$58,Generator!$S$53:$S$58,0)),0)),_xlpm.gxd,IF(_xlpm.gtag="",0,IFERROR(N(_xlfn.XLOOKUP(_xlpm.gtag,Generator!$B$53:$B$58,Generator!$U$53:$U$58,0)),0)),_xlpm.gamp,IF(OR(_xlpm.gkva=0,_xlpm.gxd=0,N($D153)=0),0,ROUND(_xlpm.gkva*1000/(IF(N($CB153)=1,1,SQRT(3))*$D153*_xlpm.gxd),0)),IF(OR(_xlpm.gamp=0,NOT(ISNUMBER(_xlpm.base))),_xlpm.base,MAX(_xlpm.base,_xlpm.gamp))),_xlpm.ulim,IF(OR($A153="",$B153&lt;&gt;"UPS"),"",IFERROR(IF(_xlfn.XLOOKUP($A153,UPS!$B$57:$B$64,UPS!$E$57:$E$64,"")="None",_xlfn.XLOOKUP($A153,UPS!$B$57:$B$64,UPS!$U$57:$U$64,""),""),"")),IF(AND(ISNUMBER(_xlpm.v),ISNUMBER(_xlpm.ulim)),MIN(_xlpm.v,_xlpm.ulim),_xlpm.v))</f>
        <v/>
      </c>
      <c r="K153" s="176"/>
      <c r="L153" s="177" t="str">
        <f t="shared" si="38"/>
        <v/>
      </c>
      <c r="M153" s="177" t="str">
        <f t="shared" si="39"/>
        <v/>
      </c>
      <c r="N153" s="380" t="str">
        <f>IF($A153="","",IF($C153=0,_xlfn.LET(_xlpm.x,IFERROR(_xlfn.XLOOKUP($A153,Util_Tags,Util_XR),""),IF(N(_xlpm.x)=0,Xfmr_DefXR,_xlpm.x)),IF(LEFT($A153,2)="T-",IFERROR(_xlfn.XLOOKUP($A153,Transformers!$A$6:$A$105,Transformers!$AH$6:$AH$105),Xfmr_DefXR),IFERROR(_xlfn.XLOOKUP($E153,$A$6:$A$255,$N$6:$N$255),Xfmr_DefXR))))</f>
        <v/>
      </c>
      <c r="O153" s="177" t="str">
        <f t="shared" si="40"/>
        <v/>
      </c>
      <c r="P153" s="210" t="str">
        <f>IF($A153="","",IF(LEFT($A153,2)="T-",IF($CO153="","",_xlfn.LET(_xlpm.k,IFERROR(_xlfn.XLOOKUP($A153,Transformers!$A$6:$A$105,Transformers!$G$6:$G$105),""),_xlpm.sv,IFERROR(_xlfn.XLOOKUP($A153,Transformers!$A$6:$A$105,Transformers!$E$6:$E$105),""),IF(OR(NOT(ISNUMBER(_xlpm.k)),NOT(ISNUMBER(_xlpm.sv)),_xlpm.sv=0),"",_xlfn.LET(_xlpm.iInf,(_xlpm.k*1000/(_xlpm.sv/2))*100/$CO153,_xlpm.pri,IF(OR($CK153="",$CK153=0),"",$CK153/2),_xlpm.base,IF(_xlpm.pri="",_xlpm.iInf,_xlpm.iInf/(1+_xlpm.iInf/_xlpm.pri)),_xlpm.base+IF($L153="",0,$L153))))),IF($CP153="","",_xlfn.LET(_xlpm.pI,IFERROR(_xlfn.XLOOKUP($E153,$A$6:$A$255,$P$6:$P$255),""),IF(NOT(ISNUMBER(_xlpm.pI)),"",_xlpm.pI/(1+$CP153)+IF($L153="",0,$L153))))))</f>
        <v/>
      </c>
      <c r="Q153" s="210" t="str">
        <f t="shared" si="41"/>
        <v/>
      </c>
      <c r="R153" s="177" t="str">
        <f>IF($A153="","",IF(OR($C153=0,LEFT($A153,2)="T-"),"",IFERROR(_xlfn.LET(_xlpm.v,_xlfn.XLOOKUP($A153,Dashboard!$A$101:$A$350,Dashboard!$K$101:$K$350),IF(ISNUMBER(_xlpm.v),_xlpm.v,"")),"")))</f>
        <v/>
      </c>
      <c r="S153" s="211" t="str">
        <f t="shared" si="42"/>
        <v/>
      </c>
      <c r="T153" s="25" t="str">
        <f t="shared" si="43"/>
        <v/>
      </c>
      <c r="U153" s="364"/>
      <c r="BV153" s="20" t="str">
        <f>IF($A153="","",IFERROR(_xlfn.XLOOKUP("F-"&amp;$A153,'Feeder Schedule'!$B$5:$B$254,'Feeder Schedule'!$H$5:$H$254),""))</f>
        <v/>
      </c>
      <c r="BW153" s="20" t="str">
        <f>IF($A153="","",IFERROR(_xlfn.XLOOKUP("F-"&amp;$A153,'Feeder Schedule'!$B$5:$B$254,'Feeder Schedule'!$BV$5:$BV$254),""))</f>
        <v/>
      </c>
      <c r="BX153" s="20" t="str">
        <f>IF($A153="","",IFERROR(_xlfn.LET(_xlpm.v,_xlfn.XLOOKUP("F-"&amp;$A153,'Feeder Schedule'!$B$5:$B$254,'Feeder Schedule'!$M$5:$M$254),IF(OR(_xlpm.v="",_xlpm.v=0),Cfg_Conduit,_xlpm.v)),""))</f>
        <v/>
      </c>
      <c r="BY153" s="20" t="str">
        <f>IF($A153="","",IFERROR(_xlfn.XLOOKUP("F-"&amp;$A153,'Feeder Schedule'!$B$5:$B$254,'Feeder Schedule'!$O$5:$O$254),""))</f>
        <v/>
      </c>
      <c r="BZ153" s="20" t="str">
        <f>IF($A153="","",IFERROR(_xlfn.XLOOKUP("F-"&amp;$A153,'Feeder Schedule'!$B$5:$B$254,'Feeder Schedule'!$CH$5:$CH$254),""))</f>
        <v/>
      </c>
      <c r="CA153" s="20" t="str">
        <f>IF($A153="","",IFERROR(_xlfn.XLOOKUP("F-"&amp;$A153,'Feeder Schedule'!$B$5:$B$254,'Feeder Schedule'!$F$5:$F$254),""))</f>
        <v/>
      </c>
      <c r="CB153" s="20" t="str">
        <f>IF($A153="","",IFERROR(_xlfn.XLOOKUP("F-"&amp;$A153,'Feeder Schedule'!$B$5:$B$254,'Feeder Schedule'!$G$5:$G$254),""))</f>
        <v/>
      </c>
      <c r="CD153" s="20" t="str" cm="1">
        <f t="array" ref="CD153">IFERROR(IF($A153="","",INDEX(_xlfn.ANCHORARRAY($BK$4),ROW()-5,6)),"")</f>
        <v/>
      </c>
      <c r="CE153" s="20" t="str">
        <f t="shared" si="46"/>
        <v/>
      </c>
      <c r="CF153" s="20" t="str">
        <f t="shared" si="47"/>
        <v/>
      </c>
      <c r="CG153" s="20" t="str">
        <f t="shared" si="44"/>
        <v/>
      </c>
      <c r="CH153" s="20" t="str" cm="1">
        <f t="array" ref="CH153">IF(OR($A153="",$BZ153="",$BW153="",$BX153=""),"",_xlfn.LET(_xlpm.mag,IFERROR(_xlfn.XLOOKUP($BX153,Race_Raceway,Race_Mag),""),IF(_xlpm.mag="","",IFERROR(INDEX(Cond_Table,MATCH($BZ153,Cond_Size,0),IF(UPPER($BW153)="AL",IF(_xlpm.mag="Y",10,12),IF(_xlpm.mag="Y",9,11))),""))))</f>
        <v/>
      </c>
      <c r="CI153" s="20" t="str">
        <f t="shared" si="45"/>
        <v/>
      </c>
      <c r="CJ153" s="20" t="str">
        <f>IF(OR($A153="",LEFT($A153,2)&lt;&gt;"T-"),"",IFERROR(_xlfn.LET(_xlpm.fla,_xlfn.XLOOKUP($A153,Transformers!$A$6:$A$105,Transformers!$AK$6:$AK$105),_xlpm.z,_xlfn.XLOOKUP($A153,Transformers!$A$6:$A$105,Transformers!$AX$6:$AX$105),IF(OR(_xlpm.fla="",_xlpm.z="",_xlpm.z=0),"",_xlpm.fla*100/_xlpm.z)),""))</f>
        <v/>
      </c>
      <c r="CK153" s="20" t="str">
        <f t="shared" si="48"/>
        <v/>
      </c>
      <c r="CL153" s="20" t="str">
        <f t="shared" si="49"/>
        <v/>
      </c>
      <c r="CM153" s="373"/>
      <c r="CO153" s="20" t="str">
        <f>IF(OR($A153="",LEFT($A153,2)&lt;&gt;"T-"),"",_xlfn.LET(_xlpm.ph,IFERROR(_xlfn.XLOOKUP($A153,Transformers!$A$6:$A$105,Transformers!$C$6:$C$105),""),_xlpm.rr,IFERROR(_xlfn.XLOOKUP($A153,Transformers!$A$6:$A$105,Transformers!$AG$6:$AG$105),""),_xlpm.xx,IFERROR(_xlfn.XLOOKUP($A153,Transformers!$A$6:$A$105,Transformers!$AI$6:$AI$105),""),IF(OR(_xlpm.ph&lt;&gt;1,NOT(ISNUMBER(_xlpm.rr)),NOT(ISNUMBER(_xlpm.xx))),"",SQRT((1.5*_xlpm.rr)^2+(1.2*_xlpm.xx)^2))))</f>
        <v/>
      </c>
      <c r="CP153" s="20" t="str">
        <f t="shared" si="50"/>
        <v/>
      </c>
    </row>
    <row r="154" spans="1:94" ht="15" customHeight="1" x14ac:dyDescent="0.45">
      <c r="A154" s="275" t="str" cm="1">
        <f t="array" ref="A154">IFERROR(IF(INDEX(_xlfn.ANCHORARRAY($BK$4),ROW()-5,1)="","",INDEX(_xlfn.ANCHORARRAY($BK$4),ROW()-5,1)),"")</f>
        <v/>
      </c>
      <c r="B154" s="25" t="str" cm="1">
        <f t="array" ref="B154">IFERROR(IF($A154="","",INDEX(_xlfn.ANCHORARRAY($BK$4),ROW()-5,5)),"")</f>
        <v/>
      </c>
      <c r="C154" s="178" t="str" cm="1">
        <f t="array" ref="C154">IFERROR(IF($A154="","",INDEX(_xlfn.ANCHORARRAY($BK$4),ROW()-5,7)),"")</f>
        <v/>
      </c>
      <c r="D154" s="177" t="str" cm="1">
        <f t="array" ref="D154">IFERROR(IF($A154="","",INDEX(_xlfn.ANCHORARRAY($BK$4),ROW()-5,3)),"")</f>
        <v/>
      </c>
      <c r="E154" s="25" t="str" cm="1">
        <f t="array" ref="E154">IFERROR(IF($A154="","",INDEX(_xlfn.ANCHORARRAY($BK$4),ROW()-5,2)),"")</f>
        <v/>
      </c>
      <c r="F154" s="177" t="str">
        <f t="shared" si="34"/>
        <v/>
      </c>
      <c r="G154" s="275" t="str">
        <f t="shared" si="35"/>
        <v/>
      </c>
      <c r="H154" s="180" t="str">
        <f t="shared" si="36"/>
        <v/>
      </c>
      <c r="I154" s="180" t="str">
        <f t="shared" si="37"/>
        <v/>
      </c>
      <c r="J154" s="177" t="str">
        <f>_xlfn.LET(_xlpm.v,_xlfn.LET(_xlpm.base,IF($A154="","",IF($C154=0,IFERROR(_xlfn.XLOOKUP($A154,Util_Tags,Util_SCAEff),""),IF(LEFT($A154,2)="T-",IF($CJ154="","",$CJ154/(1+IF($CL154="",0,$CL154))),IF(OR($F154="",$I154=""),"",$F154*$I154)))),_xlpm.gtag,IF(OR($A154="",NOT(OR($B154="ATS",$B154="MTS"))),"",IFERROR(_xlfn.XLOOKUP($A154,Dashboard!$A$101:$A$350,Dashboard!$L$101:$L$350,"")&amp;"","")),_xlpm.gkva,IF(_xlpm.gtag="",0,IFERROR(N(_xlfn.XLOOKUP(_xlpm.gtag,Generator!$B$53:$B$58,Generator!$S$53:$S$58,0)),0)),_xlpm.gxd,IF(_xlpm.gtag="",0,IFERROR(N(_xlfn.XLOOKUP(_xlpm.gtag,Generator!$B$53:$B$58,Generator!$U$53:$U$58,0)),0)),_xlpm.gamp,IF(OR(_xlpm.gkva=0,_xlpm.gxd=0,N($D154)=0),0,ROUND(_xlpm.gkva*1000/(IF(N($CB154)=1,1,SQRT(3))*$D154*_xlpm.gxd),0)),IF(OR(_xlpm.gamp=0,NOT(ISNUMBER(_xlpm.base))),_xlpm.base,MAX(_xlpm.base,_xlpm.gamp))),_xlpm.ulim,IF(OR($A154="",$B154&lt;&gt;"UPS"),"",IFERROR(IF(_xlfn.XLOOKUP($A154,UPS!$B$57:$B$64,UPS!$E$57:$E$64,"")="None",_xlfn.XLOOKUP($A154,UPS!$B$57:$B$64,UPS!$U$57:$U$64,""),""),"")),IF(AND(ISNUMBER(_xlpm.v),ISNUMBER(_xlpm.ulim)),MIN(_xlpm.v,_xlpm.ulim),_xlpm.v))</f>
        <v/>
      </c>
      <c r="K154" s="176"/>
      <c r="L154" s="177" t="str">
        <f t="shared" si="38"/>
        <v/>
      </c>
      <c r="M154" s="177" t="str">
        <f t="shared" si="39"/>
        <v/>
      </c>
      <c r="N154" s="380" t="str">
        <f>IF($A154="","",IF($C154=0,_xlfn.LET(_xlpm.x,IFERROR(_xlfn.XLOOKUP($A154,Util_Tags,Util_XR),""),IF(N(_xlpm.x)=0,Xfmr_DefXR,_xlpm.x)),IF(LEFT($A154,2)="T-",IFERROR(_xlfn.XLOOKUP($A154,Transformers!$A$6:$A$105,Transformers!$AH$6:$AH$105),Xfmr_DefXR),IFERROR(_xlfn.XLOOKUP($E154,$A$6:$A$255,$N$6:$N$255),Xfmr_DefXR))))</f>
        <v/>
      </c>
      <c r="O154" s="177" t="str">
        <f t="shared" si="40"/>
        <v/>
      </c>
      <c r="P154" s="210" t="str">
        <f>IF($A154="","",IF(LEFT($A154,2)="T-",IF($CO154="","",_xlfn.LET(_xlpm.k,IFERROR(_xlfn.XLOOKUP($A154,Transformers!$A$6:$A$105,Transformers!$G$6:$G$105),""),_xlpm.sv,IFERROR(_xlfn.XLOOKUP($A154,Transformers!$A$6:$A$105,Transformers!$E$6:$E$105),""),IF(OR(NOT(ISNUMBER(_xlpm.k)),NOT(ISNUMBER(_xlpm.sv)),_xlpm.sv=0),"",_xlfn.LET(_xlpm.iInf,(_xlpm.k*1000/(_xlpm.sv/2))*100/$CO154,_xlpm.pri,IF(OR($CK154="",$CK154=0),"",$CK154/2),_xlpm.base,IF(_xlpm.pri="",_xlpm.iInf,_xlpm.iInf/(1+_xlpm.iInf/_xlpm.pri)),_xlpm.base+IF($L154="",0,$L154))))),IF($CP154="","",_xlfn.LET(_xlpm.pI,IFERROR(_xlfn.XLOOKUP($E154,$A$6:$A$255,$P$6:$P$255),""),IF(NOT(ISNUMBER(_xlpm.pI)),"",_xlpm.pI/(1+$CP154)+IF($L154="",0,$L154))))))</f>
        <v/>
      </c>
      <c r="Q154" s="210" t="str">
        <f t="shared" si="41"/>
        <v/>
      </c>
      <c r="R154" s="177" t="str">
        <f>IF($A154="","",IF(OR($C154=0,LEFT($A154,2)="T-"),"",IFERROR(_xlfn.LET(_xlpm.v,_xlfn.XLOOKUP($A154,Dashboard!$A$101:$A$350,Dashboard!$K$101:$K$350),IF(ISNUMBER(_xlpm.v),_xlpm.v,"")),"")))</f>
        <v/>
      </c>
      <c r="S154" s="211" t="str">
        <f t="shared" si="42"/>
        <v/>
      </c>
      <c r="T154" s="25" t="str">
        <f t="shared" si="43"/>
        <v/>
      </c>
      <c r="U154" s="364"/>
      <c r="BV154" s="20" t="str">
        <f>IF($A154="","",IFERROR(_xlfn.XLOOKUP("F-"&amp;$A154,'Feeder Schedule'!$B$5:$B$254,'Feeder Schedule'!$H$5:$H$254),""))</f>
        <v/>
      </c>
      <c r="BW154" s="20" t="str">
        <f>IF($A154="","",IFERROR(_xlfn.XLOOKUP("F-"&amp;$A154,'Feeder Schedule'!$B$5:$B$254,'Feeder Schedule'!$BV$5:$BV$254),""))</f>
        <v/>
      </c>
      <c r="BX154" s="20" t="str">
        <f>IF($A154="","",IFERROR(_xlfn.LET(_xlpm.v,_xlfn.XLOOKUP("F-"&amp;$A154,'Feeder Schedule'!$B$5:$B$254,'Feeder Schedule'!$M$5:$M$254),IF(OR(_xlpm.v="",_xlpm.v=0),Cfg_Conduit,_xlpm.v)),""))</f>
        <v/>
      </c>
      <c r="BY154" s="20" t="str">
        <f>IF($A154="","",IFERROR(_xlfn.XLOOKUP("F-"&amp;$A154,'Feeder Schedule'!$B$5:$B$254,'Feeder Schedule'!$O$5:$O$254),""))</f>
        <v/>
      </c>
      <c r="BZ154" s="20" t="str">
        <f>IF($A154="","",IFERROR(_xlfn.XLOOKUP("F-"&amp;$A154,'Feeder Schedule'!$B$5:$B$254,'Feeder Schedule'!$CH$5:$CH$254),""))</f>
        <v/>
      </c>
      <c r="CA154" s="20" t="str">
        <f>IF($A154="","",IFERROR(_xlfn.XLOOKUP("F-"&amp;$A154,'Feeder Schedule'!$B$5:$B$254,'Feeder Schedule'!$F$5:$F$254),""))</f>
        <v/>
      </c>
      <c r="CB154" s="20" t="str">
        <f>IF($A154="","",IFERROR(_xlfn.XLOOKUP("F-"&amp;$A154,'Feeder Schedule'!$B$5:$B$254,'Feeder Schedule'!$G$5:$G$254),""))</f>
        <v/>
      </c>
      <c r="CD154" s="20" t="str" cm="1">
        <f t="array" ref="CD154">IFERROR(IF($A154="","",INDEX(_xlfn.ANCHORARRAY($BK$4),ROW()-5,6)),"")</f>
        <v/>
      </c>
      <c r="CE154" s="20" t="str">
        <f t="shared" si="46"/>
        <v/>
      </c>
      <c r="CF154" s="20" t="str">
        <f t="shared" si="47"/>
        <v/>
      </c>
      <c r="CG154" s="20" t="str">
        <f t="shared" si="44"/>
        <v/>
      </c>
      <c r="CH154" s="20" t="str" cm="1">
        <f t="array" ref="CH154">IF(OR($A154="",$BZ154="",$BW154="",$BX154=""),"",_xlfn.LET(_xlpm.mag,IFERROR(_xlfn.XLOOKUP($BX154,Race_Raceway,Race_Mag),""),IF(_xlpm.mag="","",IFERROR(INDEX(Cond_Table,MATCH($BZ154,Cond_Size,0),IF(UPPER($BW154)="AL",IF(_xlpm.mag="Y",10,12),IF(_xlpm.mag="Y",9,11))),""))))</f>
        <v/>
      </c>
      <c r="CI154" s="20" t="str">
        <f t="shared" si="45"/>
        <v/>
      </c>
      <c r="CJ154" s="20" t="str">
        <f>IF(OR($A154="",LEFT($A154,2)&lt;&gt;"T-"),"",IFERROR(_xlfn.LET(_xlpm.fla,_xlfn.XLOOKUP($A154,Transformers!$A$6:$A$105,Transformers!$AK$6:$AK$105),_xlpm.z,_xlfn.XLOOKUP($A154,Transformers!$A$6:$A$105,Transformers!$AX$6:$AX$105),IF(OR(_xlpm.fla="",_xlpm.z="",_xlpm.z=0),"",_xlpm.fla*100/_xlpm.z)),""))</f>
        <v/>
      </c>
      <c r="CK154" s="20" t="str">
        <f t="shared" si="48"/>
        <v/>
      </c>
      <c r="CL154" s="20" t="str">
        <f t="shared" si="49"/>
        <v/>
      </c>
      <c r="CM154" s="373"/>
      <c r="CO154" s="20" t="str">
        <f>IF(OR($A154="",LEFT($A154,2)&lt;&gt;"T-"),"",_xlfn.LET(_xlpm.ph,IFERROR(_xlfn.XLOOKUP($A154,Transformers!$A$6:$A$105,Transformers!$C$6:$C$105),""),_xlpm.rr,IFERROR(_xlfn.XLOOKUP($A154,Transformers!$A$6:$A$105,Transformers!$AG$6:$AG$105),""),_xlpm.xx,IFERROR(_xlfn.XLOOKUP($A154,Transformers!$A$6:$A$105,Transformers!$AI$6:$AI$105),""),IF(OR(_xlpm.ph&lt;&gt;1,NOT(ISNUMBER(_xlpm.rr)),NOT(ISNUMBER(_xlpm.xx))),"",SQRT((1.5*_xlpm.rr)^2+(1.2*_xlpm.xx)^2))))</f>
        <v/>
      </c>
      <c r="CP154" s="20" t="str">
        <f t="shared" si="50"/>
        <v/>
      </c>
    </row>
    <row r="155" spans="1:94" ht="15" customHeight="1" x14ac:dyDescent="0.45">
      <c r="A155" s="275" t="str" cm="1">
        <f t="array" ref="A155">IFERROR(IF(INDEX(_xlfn.ANCHORARRAY($BK$4),ROW()-5,1)="","",INDEX(_xlfn.ANCHORARRAY($BK$4),ROW()-5,1)),"")</f>
        <v/>
      </c>
      <c r="B155" s="25" t="str" cm="1">
        <f t="array" ref="B155">IFERROR(IF($A155="","",INDEX(_xlfn.ANCHORARRAY($BK$4),ROW()-5,5)),"")</f>
        <v/>
      </c>
      <c r="C155" s="178" t="str" cm="1">
        <f t="array" ref="C155">IFERROR(IF($A155="","",INDEX(_xlfn.ANCHORARRAY($BK$4),ROW()-5,7)),"")</f>
        <v/>
      </c>
      <c r="D155" s="177" t="str" cm="1">
        <f t="array" ref="D155">IFERROR(IF($A155="","",INDEX(_xlfn.ANCHORARRAY($BK$4),ROW()-5,3)),"")</f>
        <v/>
      </c>
      <c r="E155" s="25" t="str" cm="1">
        <f t="array" ref="E155">IFERROR(IF($A155="","",INDEX(_xlfn.ANCHORARRAY($BK$4),ROW()-5,2)),"")</f>
        <v/>
      </c>
      <c r="F155" s="177" t="str">
        <f t="shared" si="34"/>
        <v/>
      </c>
      <c r="G155" s="275" t="str">
        <f t="shared" si="35"/>
        <v/>
      </c>
      <c r="H155" s="180" t="str">
        <f t="shared" si="36"/>
        <v/>
      </c>
      <c r="I155" s="180" t="str">
        <f t="shared" si="37"/>
        <v/>
      </c>
      <c r="J155" s="177" t="str">
        <f>_xlfn.LET(_xlpm.v,_xlfn.LET(_xlpm.base,IF($A155="","",IF($C155=0,IFERROR(_xlfn.XLOOKUP($A155,Util_Tags,Util_SCAEff),""),IF(LEFT($A155,2)="T-",IF($CJ155="","",$CJ155/(1+IF($CL155="",0,$CL155))),IF(OR($F155="",$I155=""),"",$F155*$I155)))),_xlpm.gtag,IF(OR($A155="",NOT(OR($B155="ATS",$B155="MTS"))),"",IFERROR(_xlfn.XLOOKUP($A155,Dashboard!$A$101:$A$350,Dashboard!$L$101:$L$350,"")&amp;"","")),_xlpm.gkva,IF(_xlpm.gtag="",0,IFERROR(N(_xlfn.XLOOKUP(_xlpm.gtag,Generator!$B$53:$B$58,Generator!$S$53:$S$58,0)),0)),_xlpm.gxd,IF(_xlpm.gtag="",0,IFERROR(N(_xlfn.XLOOKUP(_xlpm.gtag,Generator!$B$53:$B$58,Generator!$U$53:$U$58,0)),0)),_xlpm.gamp,IF(OR(_xlpm.gkva=0,_xlpm.gxd=0,N($D155)=0),0,ROUND(_xlpm.gkva*1000/(IF(N($CB155)=1,1,SQRT(3))*$D155*_xlpm.gxd),0)),IF(OR(_xlpm.gamp=0,NOT(ISNUMBER(_xlpm.base))),_xlpm.base,MAX(_xlpm.base,_xlpm.gamp))),_xlpm.ulim,IF(OR($A155="",$B155&lt;&gt;"UPS"),"",IFERROR(IF(_xlfn.XLOOKUP($A155,UPS!$B$57:$B$64,UPS!$E$57:$E$64,"")="None",_xlfn.XLOOKUP($A155,UPS!$B$57:$B$64,UPS!$U$57:$U$64,""),""),"")),IF(AND(ISNUMBER(_xlpm.v),ISNUMBER(_xlpm.ulim)),MIN(_xlpm.v,_xlpm.ulim),_xlpm.v))</f>
        <v/>
      </c>
      <c r="K155" s="176"/>
      <c r="L155" s="177" t="str">
        <f t="shared" si="38"/>
        <v/>
      </c>
      <c r="M155" s="177" t="str">
        <f t="shared" si="39"/>
        <v/>
      </c>
      <c r="N155" s="380" t="str">
        <f>IF($A155="","",IF($C155=0,_xlfn.LET(_xlpm.x,IFERROR(_xlfn.XLOOKUP($A155,Util_Tags,Util_XR),""),IF(N(_xlpm.x)=0,Xfmr_DefXR,_xlpm.x)),IF(LEFT($A155,2)="T-",IFERROR(_xlfn.XLOOKUP($A155,Transformers!$A$6:$A$105,Transformers!$AH$6:$AH$105),Xfmr_DefXR),IFERROR(_xlfn.XLOOKUP($E155,$A$6:$A$255,$N$6:$N$255),Xfmr_DefXR))))</f>
        <v/>
      </c>
      <c r="O155" s="177" t="str">
        <f t="shared" si="40"/>
        <v/>
      </c>
      <c r="P155" s="210" t="str">
        <f>IF($A155="","",IF(LEFT($A155,2)="T-",IF($CO155="","",_xlfn.LET(_xlpm.k,IFERROR(_xlfn.XLOOKUP($A155,Transformers!$A$6:$A$105,Transformers!$G$6:$G$105),""),_xlpm.sv,IFERROR(_xlfn.XLOOKUP($A155,Transformers!$A$6:$A$105,Transformers!$E$6:$E$105),""),IF(OR(NOT(ISNUMBER(_xlpm.k)),NOT(ISNUMBER(_xlpm.sv)),_xlpm.sv=0),"",_xlfn.LET(_xlpm.iInf,(_xlpm.k*1000/(_xlpm.sv/2))*100/$CO155,_xlpm.pri,IF(OR($CK155="",$CK155=0),"",$CK155/2),_xlpm.base,IF(_xlpm.pri="",_xlpm.iInf,_xlpm.iInf/(1+_xlpm.iInf/_xlpm.pri)),_xlpm.base+IF($L155="",0,$L155))))),IF($CP155="","",_xlfn.LET(_xlpm.pI,IFERROR(_xlfn.XLOOKUP($E155,$A$6:$A$255,$P$6:$P$255),""),IF(NOT(ISNUMBER(_xlpm.pI)),"",_xlpm.pI/(1+$CP155)+IF($L155="",0,$L155))))))</f>
        <v/>
      </c>
      <c r="Q155" s="210" t="str">
        <f t="shared" si="41"/>
        <v/>
      </c>
      <c r="R155" s="177" t="str">
        <f>IF($A155="","",IF(OR($C155=0,LEFT($A155,2)="T-"),"",IFERROR(_xlfn.LET(_xlpm.v,_xlfn.XLOOKUP($A155,Dashboard!$A$101:$A$350,Dashboard!$K$101:$K$350),IF(ISNUMBER(_xlpm.v),_xlpm.v,"")),"")))</f>
        <v/>
      </c>
      <c r="S155" s="211" t="str">
        <f t="shared" si="42"/>
        <v/>
      </c>
      <c r="T155" s="25" t="str">
        <f t="shared" si="43"/>
        <v/>
      </c>
      <c r="U155" s="364"/>
      <c r="BV155" s="20" t="str">
        <f>IF($A155="","",IFERROR(_xlfn.XLOOKUP("F-"&amp;$A155,'Feeder Schedule'!$B$5:$B$254,'Feeder Schedule'!$H$5:$H$254),""))</f>
        <v/>
      </c>
      <c r="BW155" s="20" t="str">
        <f>IF($A155="","",IFERROR(_xlfn.XLOOKUP("F-"&amp;$A155,'Feeder Schedule'!$B$5:$B$254,'Feeder Schedule'!$BV$5:$BV$254),""))</f>
        <v/>
      </c>
      <c r="BX155" s="20" t="str">
        <f>IF($A155="","",IFERROR(_xlfn.LET(_xlpm.v,_xlfn.XLOOKUP("F-"&amp;$A155,'Feeder Schedule'!$B$5:$B$254,'Feeder Schedule'!$M$5:$M$254),IF(OR(_xlpm.v="",_xlpm.v=0),Cfg_Conduit,_xlpm.v)),""))</f>
        <v/>
      </c>
      <c r="BY155" s="20" t="str">
        <f>IF($A155="","",IFERROR(_xlfn.XLOOKUP("F-"&amp;$A155,'Feeder Schedule'!$B$5:$B$254,'Feeder Schedule'!$O$5:$O$254),""))</f>
        <v/>
      </c>
      <c r="BZ155" s="20" t="str">
        <f>IF($A155="","",IFERROR(_xlfn.XLOOKUP("F-"&amp;$A155,'Feeder Schedule'!$B$5:$B$254,'Feeder Schedule'!$CH$5:$CH$254),""))</f>
        <v/>
      </c>
      <c r="CA155" s="20" t="str">
        <f>IF($A155="","",IFERROR(_xlfn.XLOOKUP("F-"&amp;$A155,'Feeder Schedule'!$B$5:$B$254,'Feeder Schedule'!$F$5:$F$254),""))</f>
        <v/>
      </c>
      <c r="CB155" s="20" t="str">
        <f>IF($A155="","",IFERROR(_xlfn.XLOOKUP("F-"&amp;$A155,'Feeder Schedule'!$B$5:$B$254,'Feeder Schedule'!$G$5:$G$254),""))</f>
        <v/>
      </c>
      <c r="CD155" s="20" t="str" cm="1">
        <f t="array" ref="CD155">IFERROR(IF($A155="","",INDEX(_xlfn.ANCHORARRAY($BK$4),ROW()-5,6)),"")</f>
        <v/>
      </c>
      <c r="CE155" s="20" t="str">
        <f t="shared" si="46"/>
        <v/>
      </c>
      <c r="CF155" s="20" t="str">
        <f t="shared" si="47"/>
        <v/>
      </c>
      <c r="CG155" s="20" t="str">
        <f t="shared" si="44"/>
        <v/>
      </c>
      <c r="CH155" s="20" t="str" cm="1">
        <f t="array" ref="CH155">IF(OR($A155="",$BZ155="",$BW155="",$BX155=""),"",_xlfn.LET(_xlpm.mag,IFERROR(_xlfn.XLOOKUP($BX155,Race_Raceway,Race_Mag),""),IF(_xlpm.mag="","",IFERROR(INDEX(Cond_Table,MATCH($BZ155,Cond_Size,0),IF(UPPER($BW155)="AL",IF(_xlpm.mag="Y",10,12),IF(_xlpm.mag="Y",9,11))),""))))</f>
        <v/>
      </c>
      <c r="CI155" s="20" t="str">
        <f t="shared" si="45"/>
        <v/>
      </c>
      <c r="CJ155" s="20" t="str">
        <f>IF(OR($A155="",LEFT($A155,2)&lt;&gt;"T-"),"",IFERROR(_xlfn.LET(_xlpm.fla,_xlfn.XLOOKUP($A155,Transformers!$A$6:$A$105,Transformers!$AK$6:$AK$105),_xlpm.z,_xlfn.XLOOKUP($A155,Transformers!$A$6:$A$105,Transformers!$AX$6:$AX$105),IF(OR(_xlpm.fla="",_xlpm.z="",_xlpm.z=0),"",_xlpm.fla*100/_xlpm.z)),""))</f>
        <v/>
      </c>
      <c r="CK155" s="20" t="str">
        <f t="shared" si="48"/>
        <v/>
      </c>
      <c r="CL155" s="20" t="str">
        <f t="shared" si="49"/>
        <v/>
      </c>
      <c r="CM155" s="373"/>
      <c r="CO155" s="20" t="str">
        <f>IF(OR($A155="",LEFT($A155,2)&lt;&gt;"T-"),"",_xlfn.LET(_xlpm.ph,IFERROR(_xlfn.XLOOKUP($A155,Transformers!$A$6:$A$105,Transformers!$C$6:$C$105),""),_xlpm.rr,IFERROR(_xlfn.XLOOKUP($A155,Transformers!$A$6:$A$105,Transformers!$AG$6:$AG$105),""),_xlpm.xx,IFERROR(_xlfn.XLOOKUP($A155,Transformers!$A$6:$A$105,Transformers!$AI$6:$AI$105),""),IF(OR(_xlpm.ph&lt;&gt;1,NOT(ISNUMBER(_xlpm.rr)),NOT(ISNUMBER(_xlpm.xx))),"",SQRT((1.5*_xlpm.rr)^2+(1.2*_xlpm.xx)^2))))</f>
        <v/>
      </c>
      <c r="CP155" s="20" t="str">
        <f t="shared" si="50"/>
        <v/>
      </c>
    </row>
    <row r="156" spans="1:94" ht="15" customHeight="1" x14ac:dyDescent="0.45">
      <c r="A156" s="275" t="str" cm="1">
        <f t="array" ref="A156">IFERROR(IF(INDEX(_xlfn.ANCHORARRAY($BK$4),ROW()-5,1)="","",INDEX(_xlfn.ANCHORARRAY($BK$4),ROW()-5,1)),"")</f>
        <v/>
      </c>
      <c r="B156" s="25" t="str" cm="1">
        <f t="array" ref="B156">IFERROR(IF($A156="","",INDEX(_xlfn.ANCHORARRAY($BK$4),ROW()-5,5)),"")</f>
        <v/>
      </c>
      <c r="C156" s="178" t="str" cm="1">
        <f t="array" ref="C156">IFERROR(IF($A156="","",INDEX(_xlfn.ANCHORARRAY($BK$4),ROW()-5,7)),"")</f>
        <v/>
      </c>
      <c r="D156" s="177" t="str" cm="1">
        <f t="array" ref="D156">IFERROR(IF($A156="","",INDEX(_xlfn.ANCHORARRAY($BK$4),ROW()-5,3)),"")</f>
        <v/>
      </c>
      <c r="E156" s="25" t="str" cm="1">
        <f t="array" ref="E156">IFERROR(IF($A156="","",INDEX(_xlfn.ANCHORARRAY($BK$4),ROW()-5,2)),"")</f>
        <v/>
      </c>
      <c r="F156" s="177" t="str">
        <f t="shared" si="34"/>
        <v/>
      </c>
      <c r="G156" s="275" t="str">
        <f t="shared" si="35"/>
        <v/>
      </c>
      <c r="H156" s="180" t="str">
        <f t="shared" si="36"/>
        <v/>
      </c>
      <c r="I156" s="180" t="str">
        <f t="shared" si="37"/>
        <v/>
      </c>
      <c r="J156" s="177" t="str">
        <f>_xlfn.LET(_xlpm.v,_xlfn.LET(_xlpm.base,IF($A156="","",IF($C156=0,IFERROR(_xlfn.XLOOKUP($A156,Util_Tags,Util_SCAEff),""),IF(LEFT($A156,2)="T-",IF($CJ156="","",$CJ156/(1+IF($CL156="",0,$CL156))),IF(OR($F156="",$I156=""),"",$F156*$I156)))),_xlpm.gtag,IF(OR($A156="",NOT(OR($B156="ATS",$B156="MTS"))),"",IFERROR(_xlfn.XLOOKUP($A156,Dashboard!$A$101:$A$350,Dashboard!$L$101:$L$350,"")&amp;"","")),_xlpm.gkva,IF(_xlpm.gtag="",0,IFERROR(N(_xlfn.XLOOKUP(_xlpm.gtag,Generator!$B$53:$B$58,Generator!$S$53:$S$58,0)),0)),_xlpm.gxd,IF(_xlpm.gtag="",0,IFERROR(N(_xlfn.XLOOKUP(_xlpm.gtag,Generator!$B$53:$B$58,Generator!$U$53:$U$58,0)),0)),_xlpm.gamp,IF(OR(_xlpm.gkva=0,_xlpm.gxd=0,N($D156)=0),0,ROUND(_xlpm.gkva*1000/(IF(N($CB156)=1,1,SQRT(3))*$D156*_xlpm.gxd),0)),IF(OR(_xlpm.gamp=0,NOT(ISNUMBER(_xlpm.base))),_xlpm.base,MAX(_xlpm.base,_xlpm.gamp))),_xlpm.ulim,IF(OR($A156="",$B156&lt;&gt;"UPS"),"",IFERROR(IF(_xlfn.XLOOKUP($A156,UPS!$B$57:$B$64,UPS!$E$57:$E$64,"")="None",_xlfn.XLOOKUP($A156,UPS!$B$57:$B$64,UPS!$U$57:$U$64,""),""),"")),IF(AND(ISNUMBER(_xlpm.v),ISNUMBER(_xlpm.ulim)),MIN(_xlpm.v,_xlpm.ulim),_xlpm.v))</f>
        <v/>
      </c>
      <c r="K156" s="176"/>
      <c r="L156" s="177" t="str">
        <f t="shared" si="38"/>
        <v/>
      </c>
      <c r="M156" s="177" t="str">
        <f t="shared" si="39"/>
        <v/>
      </c>
      <c r="N156" s="380" t="str">
        <f>IF($A156="","",IF($C156=0,_xlfn.LET(_xlpm.x,IFERROR(_xlfn.XLOOKUP($A156,Util_Tags,Util_XR),""),IF(N(_xlpm.x)=0,Xfmr_DefXR,_xlpm.x)),IF(LEFT($A156,2)="T-",IFERROR(_xlfn.XLOOKUP($A156,Transformers!$A$6:$A$105,Transformers!$AH$6:$AH$105),Xfmr_DefXR),IFERROR(_xlfn.XLOOKUP($E156,$A$6:$A$255,$N$6:$N$255),Xfmr_DefXR))))</f>
        <v/>
      </c>
      <c r="O156" s="177" t="str">
        <f t="shared" si="40"/>
        <v/>
      </c>
      <c r="P156" s="210" t="str">
        <f>IF($A156="","",IF(LEFT($A156,2)="T-",IF($CO156="","",_xlfn.LET(_xlpm.k,IFERROR(_xlfn.XLOOKUP($A156,Transformers!$A$6:$A$105,Transformers!$G$6:$G$105),""),_xlpm.sv,IFERROR(_xlfn.XLOOKUP($A156,Transformers!$A$6:$A$105,Transformers!$E$6:$E$105),""),IF(OR(NOT(ISNUMBER(_xlpm.k)),NOT(ISNUMBER(_xlpm.sv)),_xlpm.sv=0),"",_xlfn.LET(_xlpm.iInf,(_xlpm.k*1000/(_xlpm.sv/2))*100/$CO156,_xlpm.pri,IF(OR($CK156="",$CK156=0),"",$CK156/2),_xlpm.base,IF(_xlpm.pri="",_xlpm.iInf,_xlpm.iInf/(1+_xlpm.iInf/_xlpm.pri)),_xlpm.base+IF($L156="",0,$L156))))),IF($CP156="","",_xlfn.LET(_xlpm.pI,IFERROR(_xlfn.XLOOKUP($E156,$A$6:$A$255,$P$6:$P$255),""),IF(NOT(ISNUMBER(_xlpm.pI)),"",_xlpm.pI/(1+$CP156)+IF($L156="",0,$L156))))))</f>
        <v/>
      </c>
      <c r="Q156" s="210" t="str">
        <f t="shared" si="41"/>
        <v/>
      </c>
      <c r="R156" s="177" t="str">
        <f>IF($A156="","",IF(OR($C156=0,LEFT($A156,2)="T-"),"",IFERROR(_xlfn.LET(_xlpm.v,_xlfn.XLOOKUP($A156,Dashboard!$A$101:$A$350,Dashboard!$K$101:$K$350),IF(ISNUMBER(_xlpm.v),_xlpm.v,"")),"")))</f>
        <v/>
      </c>
      <c r="S156" s="211" t="str">
        <f t="shared" si="42"/>
        <v/>
      </c>
      <c r="T156" s="25" t="str">
        <f t="shared" si="43"/>
        <v/>
      </c>
      <c r="U156" s="364"/>
      <c r="BV156" s="20" t="str">
        <f>IF($A156="","",IFERROR(_xlfn.XLOOKUP("F-"&amp;$A156,'Feeder Schedule'!$B$5:$B$254,'Feeder Schedule'!$H$5:$H$254),""))</f>
        <v/>
      </c>
      <c r="BW156" s="20" t="str">
        <f>IF($A156="","",IFERROR(_xlfn.XLOOKUP("F-"&amp;$A156,'Feeder Schedule'!$B$5:$B$254,'Feeder Schedule'!$BV$5:$BV$254),""))</f>
        <v/>
      </c>
      <c r="BX156" s="20" t="str">
        <f>IF($A156="","",IFERROR(_xlfn.LET(_xlpm.v,_xlfn.XLOOKUP("F-"&amp;$A156,'Feeder Schedule'!$B$5:$B$254,'Feeder Schedule'!$M$5:$M$254),IF(OR(_xlpm.v="",_xlpm.v=0),Cfg_Conduit,_xlpm.v)),""))</f>
        <v/>
      </c>
      <c r="BY156" s="20" t="str">
        <f>IF($A156="","",IFERROR(_xlfn.XLOOKUP("F-"&amp;$A156,'Feeder Schedule'!$B$5:$B$254,'Feeder Schedule'!$O$5:$O$254),""))</f>
        <v/>
      </c>
      <c r="BZ156" s="20" t="str">
        <f>IF($A156="","",IFERROR(_xlfn.XLOOKUP("F-"&amp;$A156,'Feeder Schedule'!$B$5:$B$254,'Feeder Schedule'!$CH$5:$CH$254),""))</f>
        <v/>
      </c>
      <c r="CA156" s="20" t="str">
        <f>IF($A156="","",IFERROR(_xlfn.XLOOKUP("F-"&amp;$A156,'Feeder Schedule'!$B$5:$B$254,'Feeder Schedule'!$F$5:$F$254),""))</f>
        <v/>
      </c>
      <c r="CB156" s="20" t="str">
        <f>IF($A156="","",IFERROR(_xlfn.XLOOKUP("F-"&amp;$A156,'Feeder Schedule'!$B$5:$B$254,'Feeder Schedule'!$G$5:$G$254),""))</f>
        <v/>
      </c>
      <c r="CD156" s="20" t="str" cm="1">
        <f t="array" ref="CD156">IFERROR(IF($A156="","",INDEX(_xlfn.ANCHORARRAY($BK$4),ROW()-5,6)),"")</f>
        <v/>
      </c>
      <c r="CE156" s="20" t="str">
        <f t="shared" si="46"/>
        <v/>
      </c>
      <c r="CF156" s="20" t="str">
        <f t="shared" si="47"/>
        <v/>
      </c>
      <c r="CG156" s="20" t="str">
        <f t="shared" si="44"/>
        <v/>
      </c>
      <c r="CH156" s="20" t="str" cm="1">
        <f t="array" ref="CH156">IF(OR($A156="",$BZ156="",$BW156="",$BX156=""),"",_xlfn.LET(_xlpm.mag,IFERROR(_xlfn.XLOOKUP($BX156,Race_Raceway,Race_Mag),""),IF(_xlpm.mag="","",IFERROR(INDEX(Cond_Table,MATCH($BZ156,Cond_Size,0),IF(UPPER($BW156)="AL",IF(_xlpm.mag="Y",10,12),IF(_xlpm.mag="Y",9,11))),""))))</f>
        <v/>
      </c>
      <c r="CI156" s="20" t="str">
        <f t="shared" si="45"/>
        <v/>
      </c>
      <c r="CJ156" s="20" t="str">
        <f>IF(OR($A156="",LEFT($A156,2)&lt;&gt;"T-"),"",IFERROR(_xlfn.LET(_xlpm.fla,_xlfn.XLOOKUP($A156,Transformers!$A$6:$A$105,Transformers!$AK$6:$AK$105),_xlpm.z,_xlfn.XLOOKUP($A156,Transformers!$A$6:$A$105,Transformers!$AX$6:$AX$105),IF(OR(_xlpm.fla="",_xlpm.z="",_xlpm.z=0),"",_xlpm.fla*100/_xlpm.z)),""))</f>
        <v/>
      </c>
      <c r="CK156" s="20" t="str">
        <f t="shared" si="48"/>
        <v/>
      </c>
      <c r="CL156" s="20" t="str">
        <f t="shared" si="49"/>
        <v/>
      </c>
      <c r="CM156" s="373"/>
      <c r="CO156" s="20" t="str">
        <f>IF(OR($A156="",LEFT($A156,2)&lt;&gt;"T-"),"",_xlfn.LET(_xlpm.ph,IFERROR(_xlfn.XLOOKUP($A156,Transformers!$A$6:$A$105,Transformers!$C$6:$C$105),""),_xlpm.rr,IFERROR(_xlfn.XLOOKUP($A156,Transformers!$A$6:$A$105,Transformers!$AG$6:$AG$105),""),_xlpm.xx,IFERROR(_xlfn.XLOOKUP($A156,Transformers!$A$6:$A$105,Transformers!$AI$6:$AI$105),""),IF(OR(_xlpm.ph&lt;&gt;1,NOT(ISNUMBER(_xlpm.rr)),NOT(ISNUMBER(_xlpm.xx))),"",SQRT((1.5*_xlpm.rr)^2+(1.2*_xlpm.xx)^2))))</f>
        <v/>
      </c>
      <c r="CP156" s="20" t="str">
        <f t="shared" si="50"/>
        <v/>
      </c>
    </row>
    <row r="157" spans="1:94" ht="15" customHeight="1" x14ac:dyDescent="0.45">
      <c r="A157" s="275" t="str" cm="1">
        <f t="array" ref="A157">IFERROR(IF(INDEX(_xlfn.ANCHORARRAY($BK$4),ROW()-5,1)="","",INDEX(_xlfn.ANCHORARRAY($BK$4),ROW()-5,1)),"")</f>
        <v/>
      </c>
      <c r="B157" s="25" t="str" cm="1">
        <f t="array" ref="B157">IFERROR(IF($A157="","",INDEX(_xlfn.ANCHORARRAY($BK$4),ROW()-5,5)),"")</f>
        <v/>
      </c>
      <c r="C157" s="178" t="str" cm="1">
        <f t="array" ref="C157">IFERROR(IF($A157="","",INDEX(_xlfn.ANCHORARRAY($BK$4),ROW()-5,7)),"")</f>
        <v/>
      </c>
      <c r="D157" s="177" t="str" cm="1">
        <f t="array" ref="D157">IFERROR(IF($A157="","",INDEX(_xlfn.ANCHORARRAY($BK$4),ROW()-5,3)),"")</f>
        <v/>
      </c>
      <c r="E157" s="25" t="str" cm="1">
        <f t="array" ref="E157">IFERROR(IF($A157="","",INDEX(_xlfn.ANCHORARRAY($BK$4),ROW()-5,2)),"")</f>
        <v/>
      </c>
      <c r="F157" s="177" t="str">
        <f t="shared" si="34"/>
        <v/>
      </c>
      <c r="G157" s="275" t="str">
        <f t="shared" si="35"/>
        <v/>
      </c>
      <c r="H157" s="180" t="str">
        <f t="shared" si="36"/>
        <v/>
      </c>
      <c r="I157" s="180" t="str">
        <f t="shared" si="37"/>
        <v/>
      </c>
      <c r="J157" s="177" t="str">
        <f>_xlfn.LET(_xlpm.v,_xlfn.LET(_xlpm.base,IF($A157="","",IF($C157=0,IFERROR(_xlfn.XLOOKUP($A157,Util_Tags,Util_SCAEff),""),IF(LEFT($A157,2)="T-",IF($CJ157="","",$CJ157/(1+IF($CL157="",0,$CL157))),IF(OR($F157="",$I157=""),"",$F157*$I157)))),_xlpm.gtag,IF(OR($A157="",NOT(OR($B157="ATS",$B157="MTS"))),"",IFERROR(_xlfn.XLOOKUP($A157,Dashboard!$A$101:$A$350,Dashboard!$L$101:$L$350,"")&amp;"","")),_xlpm.gkva,IF(_xlpm.gtag="",0,IFERROR(N(_xlfn.XLOOKUP(_xlpm.gtag,Generator!$B$53:$B$58,Generator!$S$53:$S$58,0)),0)),_xlpm.gxd,IF(_xlpm.gtag="",0,IFERROR(N(_xlfn.XLOOKUP(_xlpm.gtag,Generator!$B$53:$B$58,Generator!$U$53:$U$58,0)),0)),_xlpm.gamp,IF(OR(_xlpm.gkva=0,_xlpm.gxd=0,N($D157)=0),0,ROUND(_xlpm.gkva*1000/(IF(N($CB157)=1,1,SQRT(3))*$D157*_xlpm.gxd),0)),IF(OR(_xlpm.gamp=0,NOT(ISNUMBER(_xlpm.base))),_xlpm.base,MAX(_xlpm.base,_xlpm.gamp))),_xlpm.ulim,IF(OR($A157="",$B157&lt;&gt;"UPS"),"",IFERROR(IF(_xlfn.XLOOKUP($A157,UPS!$B$57:$B$64,UPS!$E$57:$E$64,"")="None",_xlfn.XLOOKUP($A157,UPS!$B$57:$B$64,UPS!$U$57:$U$64,""),""),"")),IF(AND(ISNUMBER(_xlpm.v),ISNUMBER(_xlpm.ulim)),MIN(_xlpm.v,_xlpm.ulim),_xlpm.v))</f>
        <v/>
      </c>
      <c r="K157" s="176"/>
      <c r="L157" s="177" t="str">
        <f t="shared" si="38"/>
        <v/>
      </c>
      <c r="M157" s="177" t="str">
        <f t="shared" si="39"/>
        <v/>
      </c>
      <c r="N157" s="380" t="str">
        <f>IF($A157="","",IF($C157=0,_xlfn.LET(_xlpm.x,IFERROR(_xlfn.XLOOKUP($A157,Util_Tags,Util_XR),""),IF(N(_xlpm.x)=0,Xfmr_DefXR,_xlpm.x)),IF(LEFT($A157,2)="T-",IFERROR(_xlfn.XLOOKUP($A157,Transformers!$A$6:$A$105,Transformers!$AH$6:$AH$105),Xfmr_DefXR),IFERROR(_xlfn.XLOOKUP($E157,$A$6:$A$255,$N$6:$N$255),Xfmr_DefXR))))</f>
        <v/>
      </c>
      <c r="O157" s="177" t="str">
        <f t="shared" si="40"/>
        <v/>
      </c>
      <c r="P157" s="210" t="str">
        <f>IF($A157="","",IF(LEFT($A157,2)="T-",IF($CO157="","",_xlfn.LET(_xlpm.k,IFERROR(_xlfn.XLOOKUP($A157,Transformers!$A$6:$A$105,Transformers!$G$6:$G$105),""),_xlpm.sv,IFERROR(_xlfn.XLOOKUP($A157,Transformers!$A$6:$A$105,Transformers!$E$6:$E$105),""),IF(OR(NOT(ISNUMBER(_xlpm.k)),NOT(ISNUMBER(_xlpm.sv)),_xlpm.sv=0),"",_xlfn.LET(_xlpm.iInf,(_xlpm.k*1000/(_xlpm.sv/2))*100/$CO157,_xlpm.pri,IF(OR($CK157="",$CK157=0),"",$CK157/2),_xlpm.base,IF(_xlpm.pri="",_xlpm.iInf,_xlpm.iInf/(1+_xlpm.iInf/_xlpm.pri)),_xlpm.base+IF($L157="",0,$L157))))),IF($CP157="","",_xlfn.LET(_xlpm.pI,IFERROR(_xlfn.XLOOKUP($E157,$A$6:$A$255,$P$6:$P$255),""),IF(NOT(ISNUMBER(_xlpm.pI)),"",_xlpm.pI/(1+$CP157)+IF($L157="",0,$L157))))))</f>
        <v/>
      </c>
      <c r="Q157" s="210" t="str">
        <f t="shared" si="41"/>
        <v/>
      </c>
      <c r="R157" s="177" t="str">
        <f>IF($A157="","",IF(OR($C157=0,LEFT($A157,2)="T-"),"",IFERROR(_xlfn.LET(_xlpm.v,_xlfn.XLOOKUP($A157,Dashboard!$A$101:$A$350,Dashboard!$K$101:$K$350),IF(ISNUMBER(_xlpm.v),_xlpm.v,"")),"")))</f>
        <v/>
      </c>
      <c r="S157" s="211" t="str">
        <f t="shared" si="42"/>
        <v/>
      </c>
      <c r="T157" s="25" t="str">
        <f t="shared" si="43"/>
        <v/>
      </c>
      <c r="U157" s="364"/>
      <c r="BV157" s="20" t="str">
        <f>IF($A157="","",IFERROR(_xlfn.XLOOKUP("F-"&amp;$A157,'Feeder Schedule'!$B$5:$B$254,'Feeder Schedule'!$H$5:$H$254),""))</f>
        <v/>
      </c>
      <c r="BW157" s="20" t="str">
        <f>IF($A157="","",IFERROR(_xlfn.XLOOKUP("F-"&amp;$A157,'Feeder Schedule'!$B$5:$B$254,'Feeder Schedule'!$BV$5:$BV$254),""))</f>
        <v/>
      </c>
      <c r="BX157" s="20" t="str">
        <f>IF($A157="","",IFERROR(_xlfn.LET(_xlpm.v,_xlfn.XLOOKUP("F-"&amp;$A157,'Feeder Schedule'!$B$5:$B$254,'Feeder Schedule'!$M$5:$M$254),IF(OR(_xlpm.v="",_xlpm.v=0),Cfg_Conduit,_xlpm.v)),""))</f>
        <v/>
      </c>
      <c r="BY157" s="20" t="str">
        <f>IF($A157="","",IFERROR(_xlfn.XLOOKUP("F-"&amp;$A157,'Feeder Schedule'!$B$5:$B$254,'Feeder Schedule'!$O$5:$O$254),""))</f>
        <v/>
      </c>
      <c r="BZ157" s="20" t="str">
        <f>IF($A157="","",IFERROR(_xlfn.XLOOKUP("F-"&amp;$A157,'Feeder Schedule'!$B$5:$B$254,'Feeder Schedule'!$CH$5:$CH$254),""))</f>
        <v/>
      </c>
      <c r="CA157" s="20" t="str">
        <f>IF($A157="","",IFERROR(_xlfn.XLOOKUP("F-"&amp;$A157,'Feeder Schedule'!$B$5:$B$254,'Feeder Schedule'!$F$5:$F$254),""))</f>
        <v/>
      </c>
      <c r="CB157" s="20" t="str">
        <f>IF($A157="","",IFERROR(_xlfn.XLOOKUP("F-"&amp;$A157,'Feeder Schedule'!$B$5:$B$254,'Feeder Schedule'!$G$5:$G$254),""))</f>
        <v/>
      </c>
      <c r="CD157" s="20" t="str" cm="1">
        <f t="array" ref="CD157">IFERROR(IF($A157="","",INDEX(_xlfn.ANCHORARRAY($BK$4),ROW()-5,6)),"")</f>
        <v/>
      </c>
      <c r="CE157" s="20" t="str">
        <f t="shared" si="46"/>
        <v/>
      </c>
      <c r="CF157" s="20" t="str">
        <f t="shared" si="47"/>
        <v/>
      </c>
      <c r="CG157" s="20" t="str">
        <f t="shared" si="44"/>
        <v/>
      </c>
      <c r="CH157" s="20" t="str" cm="1">
        <f t="array" ref="CH157">IF(OR($A157="",$BZ157="",$BW157="",$BX157=""),"",_xlfn.LET(_xlpm.mag,IFERROR(_xlfn.XLOOKUP($BX157,Race_Raceway,Race_Mag),""),IF(_xlpm.mag="","",IFERROR(INDEX(Cond_Table,MATCH($BZ157,Cond_Size,0),IF(UPPER($BW157)="AL",IF(_xlpm.mag="Y",10,12),IF(_xlpm.mag="Y",9,11))),""))))</f>
        <v/>
      </c>
      <c r="CI157" s="20" t="str">
        <f t="shared" si="45"/>
        <v/>
      </c>
      <c r="CJ157" s="20" t="str">
        <f>IF(OR($A157="",LEFT($A157,2)&lt;&gt;"T-"),"",IFERROR(_xlfn.LET(_xlpm.fla,_xlfn.XLOOKUP($A157,Transformers!$A$6:$A$105,Transformers!$AK$6:$AK$105),_xlpm.z,_xlfn.XLOOKUP($A157,Transformers!$A$6:$A$105,Transformers!$AX$6:$AX$105),IF(OR(_xlpm.fla="",_xlpm.z="",_xlpm.z=0),"",_xlpm.fla*100/_xlpm.z)),""))</f>
        <v/>
      </c>
      <c r="CK157" s="20" t="str">
        <f t="shared" si="48"/>
        <v/>
      </c>
      <c r="CL157" s="20" t="str">
        <f t="shared" si="49"/>
        <v/>
      </c>
      <c r="CM157" s="373"/>
      <c r="CO157" s="20" t="str">
        <f>IF(OR($A157="",LEFT($A157,2)&lt;&gt;"T-"),"",_xlfn.LET(_xlpm.ph,IFERROR(_xlfn.XLOOKUP($A157,Transformers!$A$6:$A$105,Transformers!$C$6:$C$105),""),_xlpm.rr,IFERROR(_xlfn.XLOOKUP($A157,Transformers!$A$6:$A$105,Transformers!$AG$6:$AG$105),""),_xlpm.xx,IFERROR(_xlfn.XLOOKUP($A157,Transformers!$A$6:$A$105,Transformers!$AI$6:$AI$105),""),IF(OR(_xlpm.ph&lt;&gt;1,NOT(ISNUMBER(_xlpm.rr)),NOT(ISNUMBER(_xlpm.xx))),"",SQRT((1.5*_xlpm.rr)^2+(1.2*_xlpm.xx)^2))))</f>
        <v/>
      </c>
      <c r="CP157" s="20" t="str">
        <f t="shared" si="50"/>
        <v/>
      </c>
    </row>
    <row r="158" spans="1:94" ht="15" customHeight="1" x14ac:dyDescent="0.45">
      <c r="A158" s="275" t="str" cm="1">
        <f t="array" ref="A158">IFERROR(IF(INDEX(_xlfn.ANCHORARRAY($BK$4),ROW()-5,1)="","",INDEX(_xlfn.ANCHORARRAY($BK$4),ROW()-5,1)),"")</f>
        <v/>
      </c>
      <c r="B158" s="25" t="str" cm="1">
        <f t="array" ref="B158">IFERROR(IF($A158="","",INDEX(_xlfn.ANCHORARRAY($BK$4),ROW()-5,5)),"")</f>
        <v/>
      </c>
      <c r="C158" s="178" t="str" cm="1">
        <f t="array" ref="C158">IFERROR(IF($A158="","",INDEX(_xlfn.ANCHORARRAY($BK$4),ROW()-5,7)),"")</f>
        <v/>
      </c>
      <c r="D158" s="177" t="str" cm="1">
        <f t="array" ref="D158">IFERROR(IF($A158="","",INDEX(_xlfn.ANCHORARRAY($BK$4),ROW()-5,3)),"")</f>
        <v/>
      </c>
      <c r="E158" s="25" t="str" cm="1">
        <f t="array" ref="E158">IFERROR(IF($A158="","",INDEX(_xlfn.ANCHORARRAY($BK$4),ROW()-5,2)),"")</f>
        <v/>
      </c>
      <c r="F158" s="177" t="str">
        <f t="shared" si="34"/>
        <v/>
      </c>
      <c r="G158" s="275" t="str">
        <f t="shared" si="35"/>
        <v/>
      </c>
      <c r="H158" s="180" t="str">
        <f t="shared" si="36"/>
        <v/>
      </c>
      <c r="I158" s="180" t="str">
        <f t="shared" si="37"/>
        <v/>
      </c>
      <c r="J158" s="177" t="str">
        <f>_xlfn.LET(_xlpm.v,_xlfn.LET(_xlpm.base,IF($A158="","",IF($C158=0,IFERROR(_xlfn.XLOOKUP($A158,Util_Tags,Util_SCAEff),""),IF(LEFT($A158,2)="T-",IF($CJ158="","",$CJ158/(1+IF($CL158="",0,$CL158))),IF(OR($F158="",$I158=""),"",$F158*$I158)))),_xlpm.gtag,IF(OR($A158="",NOT(OR($B158="ATS",$B158="MTS"))),"",IFERROR(_xlfn.XLOOKUP($A158,Dashboard!$A$101:$A$350,Dashboard!$L$101:$L$350,"")&amp;"","")),_xlpm.gkva,IF(_xlpm.gtag="",0,IFERROR(N(_xlfn.XLOOKUP(_xlpm.gtag,Generator!$B$53:$B$58,Generator!$S$53:$S$58,0)),0)),_xlpm.gxd,IF(_xlpm.gtag="",0,IFERROR(N(_xlfn.XLOOKUP(_xlpm.gtag,Generator!$B$53:$B$58,Generator!$U$53:$U$58,0)),0)),_xlpm.gamp,IF(OR(_xlpm.gkva=0,_xlpm.gxd=0,N($D158)=0),0,ROUND(_xlpm.gkva*1000/(IF(N($CB158)=1,1,SQRT(3))*$D158*_xlpm.gxd),0)),IF(OR(_xlpm.gamp=0,NOT(ISNUMBER(_xlpm.base))),_xlpm.base,MAX(_xlpm.base,_xlpm.gamp))),_xlpm.ulim,IF(OR($A158="",$B158&lt;&gt;"UPS"),"",IFERROR(IF(_xlfn.XLOOKUP($A158,UPS!$B$57:$B$64,UPS!$E$57:$E$64,"")="None",_xlfn.XLOOKUP($A158,UPS!$B$57:$B$64,UPS!$U$57:$U$64,""),""),"")),IF(AND(ISNUMBER(_xlpm.v),ISNUMBER(_xlpm.ulim)),MIN(_xlpm.v,_xlpm.ulim),_xlpm.v))</f>
        <v/>
      </c>
      <c r="K158" s="176"/>
      <c r="L158" s="177" t="str">
        <f t="shared" si="38"/>
        <v/>
      </c>
      <c r="M158" s="177" t="str">
        <f t="shared" si="39"/>
        <v/>
      </c>
      <c r="N158" s="380" t="str">
        <f>IF($A158="","",IF($C158=0,_xlfn.LET(_xlpm.x,IFERROR(_xlfn.XLOOKUP($A158,Util_Tags,Util_XR),""),IF(N(_xlpm.x)=0,Xfmr_DefXR,_xlpm.x)),IF(LEFT($A158,2)="T-",IFERROR(_xlfn.XLOOKUP($A158,Transformers!$A$6:$A$105,Transformers!$AH$6:$AH$105),Xfmr_DefXR),IFERROR(_xlfn.XLOOKUP($E158,$A$6:$A$255,$N$6:$N$255),Xfmr_DefXR))))</f>
        <v/>
      </c>
      <c r="O158" s="177" t="str">
        <f t="shared" si="40"/>
        <v/>
      </c>
      <c r="P158" s="210" t="str">
        <f>IF($A158="","",IF(LEFT($A158,2)="T-",IF($CO158="","",_xlfn.LET(_xlpm.k,IFERROR(_xlfn.XLOOKUP($A158,Transformers!$A$6:$A$105,Transformers!$G$6:$G$105),""),_xlpm.sv,IFERROR(_xlfn.XLOOKUP($A158,Transformers!$A$6:$A$105,Transformers!$E$6:$E$105),""),IF(OR(NOT(ISNUMBER(_xlpm.k)),NOT(ISNUMBER(_xlpm.sv)),_xlpm.sv=0),"",_xlfn.LET(_xlpm.iInf,(_xlpm.k*1000/(_xlpm.sv/2))*100/$CO158,_xlpm.pri,IF(OR($CK158="",$CK158=0),"",$CK158/2),_xlpm.base,IF(_xlpm.pri="",_xlpm.iInf,_xlpm.iInf/(1+_xlpm.iInf/_xlpm.pri)),_xlpm.base+IF($L158="",0,$L158))))),IF($CP158="","",_xlfn.LET(_xlpm.pI,IFERROR(_xlfn.XLOOKUP($E158,$A$6:$A$255,$P$6:$P$255),""),IF(NOT(ISNUMBER(_xlpm.pI)),"",_xlpm.pI/(1+$CP158)+IF($L158="",0,$L158))))))</f>
        <v/>
      </c>
      <c r="Q158" s="210" t="str">
        <f t="shared" si="41"/>
        <v/>
      </c>
      <c r="R158" s="177" t="str">
        <f>IF($A158="","",IF(OR($C158=0,LEFT($A158,2)="T-"),"",IFERROR(_xlfn.LET(_xlpm.v,_xlfn.XLOOKUP($A158,Dashboard!$A$101:$A$350,Dashboard!$K$101:$K$350),IF(ISNUMBER(_xlpm.v),_xlpm.v,"")),"")))</f>
        <v/>
      </c>
      <c r="S158" s="211" t="str">
        <f t="shared" si="42"/>
        <v/>
      </c>
      <c r="T158" s="25" t="str">
        <f t="shared" si="43"/>
        <v/>
      </c>
      <c r="U158" s="364"/>
      <c r="BV158" s="20" t="str">
        <f>IF($A158="","",IFERROR(_xlfn.XLOOKUP("F-"&amp;$A158,'Feeder Schedule'!$B$5:$B$254,'Feeder Schedule'!$H$5:$H$254),""))</f>
        <v/>
      </c>
      <c r="BW158" s="20" t="str">
        <f>IF($A158="","",IFERROR(_xlfn.XLOOKUP("F-"&amp;$A158,'Feeder Schedule'!$B$5:$B$254,'Feeder Schedule'!$BV$5:$BV$254),""))</f>
        <v/>
      </c>
      <c r="BX158" s="20" t="str">
        <f>IF($A158="","",IFERROR(_xlfn.LET(_xlpm.v,_xlfn.XLOOKUP("F-"&amp;$A158,'Feeder Schedule'!$B$5:$B$254,'Feeder Schedule'!$M$5:$M$254),IF(OR(_xlpm.v="",_xlpm.v=0),Cfg_Conduit,_xlpm.v)),""))</f>
        <v/>
      </c>
      <c r="BY158" s="20" t="str">
        <f>IF($A158="","",IFERROR(_xlfn.XLOOKUP("F-"&amp;$A158,'Feeder Schedule'!$B$5:$B$254,'Feeder Schedule'!$O$5:$O$254),""))</f>
        <v/>
      </c>
      <c r="BZ158" s="20" t="str">
        <f>IF($A158="","",IFERROR(_xlfn.XLOOKUP("F-"&amp;$A158,'Feeder Schedule'!$B$5:$B$254,'Feeder Schedule'!$CH$5:$CH$254),""))</f>
        <v/>
      </c>
      <c r="CA158" s="20" t="str">
        <f>IF($A158="","",IFERROR(_xlfn.XLOOKUP("F-"&amp;$A158,'Feeder Schedule'!$B$5:$B$254,'Feeder Schedule'!$F$5:$F$254),""))</f>
        <v/>
      </c>
      <c r="CB158" s="20" t="str">
        <f>IF($A158="","",IFERROR(_xlfn.XLOOKUP("F-"&amp;$A158,'Feeder Schedule'!$B$5:$B$254,'Feeder Schedule'!$G$5:$G$254),""))</f>
        <v/>
      </c>
      <c r="CD158" s="20" t="str" cm="1">
        <f t="array" ref="CD158">IFERROR(IF($A158="","",INDEX(_xlfn.ANCHORARRAY($BK$4),ROW()-5,6)),"")</f>
        <v/>
      </c>
      <c r="CE158" s="20" t="str">
        <f t="shared" si="46"/>
        <v/>
      </c>
      <c r="CF158" s="20" t="str">
        <f t="shared" si="47"/>
        <v/>
      </c>
      <c r="CG158" s="20" t="str">
        <f t="shared" si="44"/>
        <v/>
      </c>
      <c r="CH158" s="20" t="str" cm="1">
        <f t="array" ref="CH158">IF(OR($A158="",$BZ158="",$BW158="",$BX158=""),"",_xlfn.LET(_xlpm.mag,IFERROR(_xlfn.XLOOKUP($BX158,Race_Raceway,Race_Mag),""),IF(_xlpm.mag="","",IFERROR(INDEX(Cond_Table,MATCH($BZ158,Cond_Size,0),IF(UPPER($BW158)="AL",IF(_xlpm.mag="Y",10,12),IF(_xlpm.mag="Y",9,11))),""))))</f>
        <v/>
      </c>
      <c r="CI158" s="20" t="str">
        <f t="shared" si="45"/>
        <v/>
      </c>
      <c r="CJ158" s="20" t="str">
        <f>IF(OR($A158="",LEFT($A158,2)&lt;&gt;"T-"),"",IFERROR(_xlfn.LET(_xlpm.fla,_xlfn.XLOOKUP($A158,Transformers!$A$6:$A$105,Transformers!$AK$6:$AK$105),_xlpm.z,_xlfn.XLOOKUP($A158,Transformers!$A$6:$A$105,Transformers!$AX$6:$AX$105),IF(OR(_xlpm.fla="",_xlpm.z="",_xlpm.z=0),"",_xlpm.fla*100/_xlpm.z)),""))</f>
        <v/>
      </c>
      <c r="CK158" s="20" t="str">
        <f t="shared" si="48"/>
        <v/>
      </c>
      <c r="CL158" s="20" t="str">
        <f t="shared" si="49"/>
        <v/>
      </c>
      <c r="CM158" s="373"/>
      <c r="CO158" s="20" t="str">
        <f>IF(OR($A158="",LEFT($A158,2)&lt;&gt;"T-"),"",_xlfn.LET(_xlpm.ph,IFERROR(_xlfn.XLOOKUP($A158,Transformers!$A$6:$A$105,Transformers!$C$6:$C$105),""),_xlpm.rr,IFERROR(_xlfn.XLOOKUP($A158,Transformers!$A$6:$A$105,Transformers!$AG$6:$AG$105),""),_xlpm.xx,IFERROR(_xlfn.XLOOKUP($A158,Transformers!$A$6:$A$105,Transformers!$AI$6:$AI$105),""),IF(OR(_xlpm.ph&lt;&gt;1,NOT(ISNUMBER(_xlpm.rr)),NOT(ISNUMBER(_xlpm.xx))),"",SQRT((1.5*_xlpm.rr)^2+(1.2*_xlpm.xx)^2))))</f>
        <v/>
      </c>
      <c r="CP158" s="20" t="str">
        <f t="shared" si="50"/>
        <v/>
      </c>
    </row>
    <row r="159" spans="1:94" ht="15" customHeight="1" x14ac:dyDescent="0.45">
      <c r="A159" s="275" t="str" cm="1">
        <f t="array" ref="A159">IFERROR(IF(INDEX(_xlfn.ANCHORARRAY($BK$4),ROW()-5,1)="","",INDEX(_xlfn.ANCHORARRAY($BK$4),ROW()-5,1)),"")</f>
        <v/>
      </c>
      <c r="B159" s="25" t="str" cm="1">
        <f t="array" ref="B159">IFERROR(IF($A159="","",INDEX(_xlfn.ANCHORARRAY($BK$4),ROW()-5,5)),"")</f>
        <v/>
      </c>
      <c r="C159" s="178" t="str" cm="1">
        <f t="array" ref="C159">IFERROR(IF($A159="","",INDEX(_xlfn.ANCHORARRAY($BK$4),ROW()-5,7)),"")</f>
        <v/>
      </c>
      <c r="D159" s="177" t="str" cm="1">
        <f t="array" ref="D159">IFERROR(IF($A159="","",INDEX(_xlfn.ANCHORARRAY($BK$4),ROW()-5,3)),"")</f>
        <v/>
      </c>
      <c r="E159" s="25" t="str" cm="1">
        <f t="array" ref="E159">IFERROR(IF($A159="","",INDEX(_xlfn.ANCHORARRAY($BK$4),ROW()-5,2)),"")</f>
        <v/>
      </c>
      <c r="F159" s="177" t="str">
        <f t="shared" si="34"/>
        <v/>
      </c>
      <c r="G159" s="275" t="str">
        <f t="shared" si="35"/>
        <v/>
      </c>
      <c r="H159" s="180" t="str">
        <f t="shared" si="36"/>
        <v/>
      </c>
      <c r="I159" s="180" t="str">
        <f t="shared" si="37"/>
        <v/>
      </c>
      <c r="J159" s="177" t="str">
        <f>_xlfn.LET(_xlpm.v,_xlfn.LET(_xlpm.base,IF($A159="","",IF($C159=0,IFERROR(_xlfn.XLOOKUP($A159,Util_Tags,Util_SCAEff),""),IF(LEFT($A159,2)="T-",IF($CJ159="","",$CJ159/(1+IF($CL159="",0,$CL159))),IF(OR($F159="",$I159=""),"",$F159*$I159)))),_xlpm.gtag,IF(OR($A159="",NOT(OR($B159="ATS",$B159="MTS"))),"",IFERROR(_xlfn.XLOOKUP($A159,Dashboard!$A$101:$A$350,Dashboard!$L$101:$L$350,"")&amp;"","")),_xlpm.gkva,IF(_xlpm.gtag="",0,IFERROR(N(_xlfn.XLOOKUP(_xlpm.gtag,Generator!$B$53:$B$58,Generator!$S$53:$S$58,0)),0)),_xlpm.gxd,IF(_xlpm.gtag="",0,IFERROR(N(_xlfn.XLOOKUP(_xlpm.gtag,Generator!$B$53:$B$58,Generator!$U$53:$U$58,0)),0)),_xlpm.gamp,IF(OR(_xlpm.gkva=0,_xlpm.gxd=0,N($D159)=0),0,ROUND(_xlpm.gkva*1000/(IF(N($CB159)=1,1,SQRT(3))*$D159*_xlpm.gxd),0)),IF(OR(_xlpm.gamp=0,NOT(ISNUMBER(_xlpm.base))),_xlpm.base,MAX(_xlpm.base,_xlpm.gamp))),_xlpm.ulim,IF(OR($A159="",$B159&lt;&gt;"UPS"),"",IFERROR(IF(_xlfn.XLOOKUP($A159,UPS!$B$57:$B$64,UPS!$E$57:$E$64,"")="None",_xlfn.XLOOKUP($A159,UPS!$B$57:$B$64,UPS!$U$57:$U$64,""),""),"")),IF(AND(ISNUMBER(_xlpm.v),ISNUMBER(_xlpm.ulim)),MIN(_xlpm.v,_xlpm.ulim),_xlpm.v))</f>
        <v/>
      </c>
      <c r="K159" s="176"/>
      <c r="L159" s="177" t="str">
        <f t="shared" si="38"/>
        <v/>
      </c>
      <c r="M159" s="177" t="str">
        <f t="shared" si="39"/>
        <v/>
      </c>
      <c r="N159" s="380" t="str">
        <f>IF($A159="","",IF($C159=0,_xlfn.LET(_xlpm.x,IFERROR(_xlfn.XLOOKUP($A159,Util_Tags,Util_XR),""),IF(N(_xlpm.x)=0,Xfmr_DefXR,_xlpm.x)),IF(LEFT($A159,2)="T-",IFERROR(_xlfn.XLOOKUP($A159,Transformers!$A$6:$A$105,Transformers!$AH$6:$AH$105),Xfmr_DefXR),IFERROR(_xlfn.XLOOKUP($E159,$A$6:$A$255,$N$6:$N$255),Xfmr_DefXR))))</f>
        <v/>
      </c>
      <c r="O159" s="177" t="str">
        <f t="shared" si="40"/>
        <v/>
      </c>
      <c r="P159" s="210" t="str">
        <f>IF($A159="","",IF(LEFT($A159,2)="T-",IF($CO159="","",_xlfn.LET(_xlpm.k,IFERROR(_xlfn.XLOOKUP($A159,Transformers!$A$6:$A$105,Transformers!$G$6:$G$105),""),_xlpm.sv,IFERROR(_xlfn.XLOOKUP($A159,Transformers!$A$6:$A$105,Transformers!$E$6:$E$105),""),IF(OR(NOT(ISNUMBER(_xlpm.k)),NOT(ISNUMBER(_xlpm.sv)),_xlpm.sv=0),"",_xlfn.LET(_xlpm.iInf,(_xlpm.k*1000/(_xlpm.sv/2))*100/$CO159,_xlpm.pri,IF(OR($CK159="",$CK159=0),"",$CK159/2),_xlpm.base,IF(_xlpm.pri="",_xlpm.iInf,_xlpm.iInf/(1+_xlpm.iInf/_xlpm.pri)),_xlpm.base+IF($L159="",0,$L159))))),IF($CP159="","",_xlfn.LET(_xlpm.pI,IFERROR(_xlfn.XLOOKUP($E159,$A$6:$A$255,$P$6:$P$255),""),IF(NOT(ISNUMBER(_xlpm.pI)),"",_xlpm.pI/(1+$CP159)+IF($L159="",0,$L159))))))</f>
        <v/>
      </c>
      <c r="Q159" s="210" t="str">
        <f t="shared" si="41"/>
        <v/>
      </c>
      <c r="R159" s="177" t="str">
        <f>IF($A159="","",IF(OR($C159=0,LEFT($A159,2)="T-"),"",IFERROR(_xlfn.LET(_xlpm.v,_xlfn.XLOOKUP($A159,Dashboard!$A$101:$A$350,Dashboard!$K$101:$K$350),IF(ISNUMBER(_xlpm.v),_xlpm.v,"")),"")))</f>
        <v/>
      </c>
      <c r="S159" s="211" t="str">
        <f t="shared" si="42"/>
        <v/>
      </c>
      <c r="T159" s="25" t="str">
        <f t="shared" si="43"/>
        <v/>
      </c>
      <c r="U159" s="364"/>
      <c r="BV159" s="20" t="str">
        <f>IF($A159="","",IFERROR(_xlfn.XLOOKUP("F-"&amp;$A159,'Feeder Schedule'!$B$5:$B$254,'Feeder Schedule'!$H$5:$H$254),""))</f>
        <v/>
      </c>
      <c r="BW159" s="20" t="str">
        <f>IF($A159="","",IFERROR(_xlfn.XLOOKUP("F-"&amp;$A159,'Feeder Schedule'!$B$5:$B$254,'Feeder Schedule'!$BV$5:$BV$254),""))</f>
        <v/>
      </c>
      <c r="BX159" s="20" t="str">
        <f>IF($A159="","",IFERROR(_xlfn.LET(_xlpm.v,_xlfn.XLOOKUP("F-"&amp;$A159,'Feeder Schedule'!$B$5:$B$254,'Feeder Schedule'!$M$5:$M$254),IF(OR(_xlpm.v="",_xlpm.v=0),Cfg_Conduit,_xlpm.v)),""))</f>
        <v/>
      </c>
      <c r="BY159" s="20" t="str">
        <f>IF($A159="","",IFERROR(_xlfn.XLOOKUP("F-"&amp;$A159,'Feeder Schedule'!$B$5:$B$254,'Feeder Schedule'!$O$5:$O$254),""))</f>
        <v/>
      </c>
      <c r="BZ159" s="20" t="str">
        <f>IF($A159="","",IFERROR(_xlfn.XLOOKUP("F-"&amp;$A159,'Feeder Schedule'!$B$5:$B$254,'Feeder Schedule'!$CH$5:$CH$254),""))</f>
        <v/>
      </c>
      <c r="CA159" s="20" t="str">
        <f>IF($A159="","",IFERROR(_xlfn.XLOOKUP("F-"&amp;$A159,'Feeder Schedule'!$B$5:$B$254,'Feeder Schedule'!$F$5:$F$254),""))</f>
        <v/>
      </c>
      <c r="CB159" s="20" t="str">
        <f>IF($A159="","",IFERROR(_xlfn.XLOOKUP("F-"&amp;$A159,'Feeder Schedule'!$B$5:$B$254,'Feeder Schedule'!$G$5:$G$254),""))</f>
        <v/>
      </c>
      <c r="CD159" s="20" t="str" cm="1">
        <f t="array" ref="CD159">IFERROR(IF($A159="","",INDEX(_xlfn.ANCHORARRAY($BK$4),ROW()-5,6)),"")</f>
        <v/>
      </c>
      <c r="CE159" s="20" t="str">
        <f t="shared" si="46"/>
        <v/>
      </c>
      <c r="CF159" s="20" t="str">
        <f t="shared" si="47"/>
        <v/>
      </c>
      <c r="CG159" s="20" t="str">
        <f t="shared" si="44"/>
        <v/>
      </c>
      <c r="CH159" s="20" t="str" cm="1">
        <f t="array" ref="CH159">IF(OR($A159="",$BZ159="",$BW159="",$BX159=""),"",_xlfn.LET(_xlpm.mag,IFERROR(_xlfn.XLOOKUP($BX159,Race_Raceway,Race_Mag),""),IF(_xlpm.mag="","",IFERROR(INDEX(Cond_Table,MATCH($BZ159,Cond_Size,0),IF(UPPER($BW159)="AL",IF(_xlpm.mag="Y",10,12),IF(_xlpm.mag="Y",9,11))),""))))</f>
        <v/>
      </c>
      <c r="CI159" s="20" t="str">
        <f t="shared" si="45"/>
        <v/>
      </c>
      <c r="CJ159" s="20" t="str">
        <f>IF(OR($A159="",LEFT($A159,2)&lt;&gt;"T-"),"",IFERROR(_xlfn.LET(_xlpm.fla,_xlfn.XLOOKUP($A159,Transformers!$A$6:$A$105,Transformers!$AK$6:$AK$105),_xlpm.z,_xlfn.XLOOKUP($A159,Transformers!$A$6:$A$105,Transformers!$AX$6:$AX$105),IF(OR(_xlpm.fla="",_xlpm.z="",_xlpm.z=0),"",_xlpm.fla*100/_xlpm.z)),""))</f>
        <v/>
      </c>
      <c r="CK159" s="20" t="str">
        <f t="shared" si="48"/>
        <v/>
      </c>
      <c r="CL159" s="20" t="str">
        <f t="shared" si="49"/>
        <v/>
      </c>
      <c r="CM159" s="373"/>
      <c r="CO159" s="20" t="str">
        <f>IF(OR($A159="",LEFT($A159,2)&lt;&gt;"T-"),"",_xlfn.LET(_xlpm.ph,IFERROR(_xlfn.XLOOKUP($A159,Transformers!$A$6:$A$105,Transformers!$C$6:$C$105),""),_xlpm.rr,IFERROR(_xlfn.XLOOKUP($A159,Transformers!$A$6:$A$105,Transformers!$AG$6:$AG$105),""),_xlpm.xx,IFERROR(_xlfn.XLOOKUP($A159,Transformers!$A$6:$A$105,Transformers!$AI$6:$AI$105),""),IF(OR(_xlpm.ph&lt;&gt;1,NOT(ISNUMBER(_xlpm.rr)),NOT(ISNUMBER(_xlpm.xx))),"",SQRT((1.5*_xlpm.rr)^2+(1.2*_xlpm.xx)^2))))</f>
        <v/>
      </c>
      <c r="CP159" s="20" t="str">
        <f t="shared" si="50"/>
        <v/>
      </c>
    </row>
    <row r="160" spans="1:94" ht="15" customHeight="1" x14ac:dyDescent="0.45">
      <c r="A160" s="275" t="str" cm="1">
        <f t="array" ref="A160">IFERROR(IF(INDEX(_xlfn.ANCHORARRAY($BK$4),ROW()-5,1)="","",INDEX(_xlfn.ANCHORARRAY($BK$4),ROW()-5,1)),"")</f>
        <v/>
      </c>
      <c r="B160" s="25" t="str" cm="1">
        <f t="array" ref="B160">IFERROR(IF($A160="","",INDEX(_xlfn.ANCHORARRAY($BK$4),ROW()-5,5)),"")</f>
        <v/>
      </c>
      <c r="C160" s="178" t="str" cm="1">
        <f t="array" ref="C160">IFERROR(IF($A160="","",INDEX(_xlfn.ANCHORARRAY($BK$4),ROW()-5,7)),"")</f>
        <v/>
      </c>
      <c r="D160" s="177" t="str" cm="1">
        <f t="array" ref="D160">IFERROR(IF($A160="","",INDEX(_xlfn.ANCHORARRAY($BK$4),ROW()-5,3)),"")</f>
        <v/>
      </c>
      <c r="E160" s="25" t="str" cm="1">
        <f t="array" ref="E160">IFERROR(IF($A160="","",INDEX(_xlfn.ANCHORARRAY($BK$4),ROW()-5,2)),"")</f>
        <v/>
      </c>
      <c r="F160" s="177" t="str">
        <f t="shared" si="34"/>
        <v/>
      </c>
      <c r="G160" s="275" t="str">
        <f t="shared" si="35"/>
        <v/>
      </c>
      <c r="H160" s="180" t="str">
        <f t="shared" si="36"/>
        <v/>
      </c>
      <c r="I160" s="180" t="str">
        <f t="shared" si="37"/>
        <v/>
      </c>
      <c r="J160" s="177" t="str">
        <f>_xlfn.LET(_xlpm.v,_xlfn.LET(_xlpm.base,IF($A160="","",IF($C160=0,IFERROR(_xlfn.XLOOKUP($A160,Util_Tags,Util_SCAEff),""),IF(LEFT($A160,2)="T-",IF($CJ160="","",$CJ160/(1+IF($CL160="",0,$CL160))),IF(OR($F160="",$I160=""),"",$F160*$I160)))),_xlpm.gtag,IF(OR($A160="",NOT(OR($B160="ATS",$B160="MTS"))),"",IFERROR(_xlfn.XLOOKUP($A160,Dashboard!$A$101:$A$350,Dashboard!$L$101:$L$350,"")&amp;"","")),_xlpm.gkva,IF(_xlpm.gtag="",0,IFERROR(N(_xlfn.XLOOKUP(_xlpm.gtag,Generator!$B$53:$B$58,Generator!$S$53:$S$58,0)),0)),_xlpm.gxd,IF(_xlpm.gtag="",0,IFERROR(N(_xlfn.XLOOKUP(_xlpm.gtag,Generator!$B$53:$B$58,Generator!$U$53:$U$58,0)),0)),_xlpm.gamp,IF(OR(_xlpm.gkva=0,_xlpm.gxd=0,N($D160)=0),0,ROUND(_xlpm.gkva*1000/(IF(N($CB160)=1,1,SQRT(3))*$D160*_xlpm.gxd),0)),IF(OR(_xlpm.gamp=0,NOT(ISNUMBER(_xlpm.base))),_xlpm.base,MAX(_xlpm.base,_xlpm.gamp))),_xlpm.ulim,IF(OR($A160="",$B160&lt;&gt;"UPS"),"",IFERROR(IF(_xlfn.XLOOKUP($A160,UPS!$B$57:$B$64,UPS!$E$57:$E$64,"")="None",_xlfn.XLOOKUP($A160,UPS!$B$57:$B$64,UPS!$U$57:$U$64,""),""),"")),IF(AND(ISNUMBER(_xlpm.v),ISNUMBER(_xlpm.ulim)),MIN(_xlpm.v,_xlpm.ulim),_xlpm.v))</f>
        <v/>
      </c>
      <c r="K160" s="176"/>
      <c r="L160" s="177" t="str">
        <f t="shared" si="38"/>
        <v/>
      </c>
      <c r="M160" s="177" t="str">
        <f t="shared" si="39"/>
        <v/>
      </c>
      <c r="N160" s="380" t="str">
        <f>IF($A160="","",IF($C160=0,_xlfn.LET(_xlpm.x,IFERROR(_xlfn.XLOOKUP($A160,Util_Tags,Util_XR),""),IF(N(_xlpm.x)=0,Xfmr_DefXR,_xlpm.x)),IF(LEFT($A160,2)="T-",IFERROR(_xlfn.XLOOKUP($A160,Transformers!$A$6:$A$105,Transformers!$AH$6:$AH$105),Xfmr_DefXR),IFERROR(_xlfn.XLOOKUP($E160,$A$6:$A$255,$N$6:$N$255),Xfmr_DefXR))))</f>
        <v/>
      </c>
      <c r="O160" s="177" t="str">
        <f t="shared" si="40"/>
        <v/>
      </c>
      <c r="P160" s="210" t="str">
        <f>IF($A160="","",IF(LEFT($A160,2)="T-",IF($CO160="","",_xlfn.LET(_xlpm.k,IFERROR(_xlfn.XLOOKUP($A160,Transformers!$A$6:$A$105,Transformers!$G$6:$G$105),""),_xlpm.sv,IFERROR(_xlfn.XLOOKUP($A160,Transformers!$A$6:$A$105,Transformers!$E$6:$E$105),""),IF(OR(NOT(ISNUMBER(_xlpm.k)),NOT(ISNUMBER(_xlpm.sv)),_xlpm.sv=0),"",_xlfn.LET(_xlpm.iInf,(_xlpm.k*1000/(_xlpm.sv/2))*100/$CO160,_xlpm.pri,IF(OR($CK160="",$CK160=0),"",$CK160/2),_xlpm.base,IF(_xlpm.pri="",_xlpm.iInf,_xlpm.iInf/(1+_xlpm.iInf/_xlpm.pri)),_xlpm.base+IF($L160="",0,$L160))))),IF($CP160="","",_xlfn.LET(_xlpm.pI,IFERROR(_xlfn.XLOOKUP($E160,$A$6:$A$255,$P$6:$P$255),""),IF(NOT(ISNUMBER(_xlpm.pI)),"",_xlpm.pI/(1+$CP160)+IF($L160="",0,$L160))))))</f>
        <v/>
      </c>
      <c r="Q160" s="210" t="str">
        <f t="shared" si="41"/>
        <v/>
      </c>
      <c r="R160" s="177" t="str">
        <f>IF($A160="","",IF(OR($C160=0,LEFT($A160,2)="T-"),"",IFERROR(_xlfn.LET(_xlpm.v,_xlfn.XLOOKUP($A160,Dashboard!$A$101:$A$350,Dashboard!$K$101:$K$350),IF(ISNUMBER(_xlpm.v),_xlpm.v,"")),"")))</f>
        <v/>
      </c>
      <c r="S160" s="211" t="str">
        <f t="shared" si="42"/>
        <v/>
      </c>
      <c r="T160" s="25" t="str">
        <f t="shared" si="43"/>
        <v/>
      </c>
      <c r="U160" s="364"/>
      <c r="BV160" s="20" t="str">
        <f>IF($A160="","",IFERROR(_xlfn.XLOOKUP("F-"&amp;$A160,'Feeder Schedule'!$B$5:$B$254,'Feeder Schedule'!$H$5:$H$254),""))</f>
        <v/>
      </c>
      <c r="BW160" s="20" t="str">
        <f>IF($A160="","",IFERROR(_xlfn.XLOOKUP("F-"&amp;$A160,'Feeder Schedule'!$B$5:$B$254,'Feeder Schedule'!$BV$5:$BV$254),""))</f>
        <v/>
      </c>
      <c r="BX160" s="20" t="str">
        <f>IF($A160="","",IFERROR(_xlfn.LET(_xlpm.v,_xlfn.XLOOKUP("F-"&amp;$A160,'Feeder Schedule'!$B$5:$B$254,'Feeder Schedule'!$M$5:$M$254),IF(OR(_xlpm.v="",_xlpm.v=0),Cfg_Conduit,_xlpm.v)),""))</f>
        <v/>
      </c>
      <c r="BY160" s="20" t="str">
        <f>IF($A160="","",IFERROR(_xlfn.XLOOKUP("F-"&amp;$A160,'Feeder Schedule'!$B$5:$B$254,'Feeder Schedule'!$O$5:$O$254),""))</f>
        <v/>
      </c>
      <c r="BZ160" s="20" t="str">
        <f>IF($A160="","",IFERROR(_xlfn.XLOOKUP("F-"&amp;$A160,'Feeder Schedule'!$B$5:$B$254,'Feeder Schedule'!$CH$5:$CH$254),""))</f>
        <v/>
      </c>
      <c r="CA160" s="20" t="str">
        <f>IF($A160="","",IFERROR(_xlfn.XLOOKUP("F-"&amp;$A160,'Feeder Schedule'!$B$5:$B$254,'Feeder Schedule'!$F$5:$F$254),""))</f>
        <v/>
      </c>
      <c r="CB160" s="20" t="str">
        <f>IF($A160="","",IFERROR(_xlfn.XLOOKUP("F-"&amp;$A160,'Feeder Schedule'!$B$5:$B$254,'Feeder Schedule'!$G$5:$G$254),""))</f>
        <v/>
      </c>
      <c r="CD160" s="20" t="str" cm="1">
        <f t="array" ref="CD160">IFERROR(IF($A160="","",INDEX(_xlfn.ANCHORARRAY($BK$4),ROW()-5,6)),"")</f>
        <v/>
      </c>
      <c r="CE160" s="20" t="str">
        <f t="shared" si="46"/>
        <v/>
      </c>
      <c r="CF160" s="20" t="str">
        <f t="shared" si="47"/>
        <v/>
      </c>
      <c r="CG160" s="20" t="str">
        <f t="shared" si="44"/>
        <v/>
      </c>
      <c r="CH160" s="20" t="str" cm="1">
        <f t="array" ref="CH160">IF(OR($A160="",$BZ160="",$BW160="",$BX160=""),"",_xlfn.LET(_xlpm.mag,IFERROR(_xlfn.XLOOKUP($BX160,Race_Raceway,Race_Mag),""),IF(_xlpm.mag="","",IFERROR(INDEX(Cond_Table,MATCH($BZ160,Cond_Size,0),IF(UPPER($BW160)="AL",IF(_xlpm.mag="Y",10,12),IF(_xlpm.mag="Y",9,11))),""))))</f>
        <v/>
      </c>
      <c r="CI160" s="20" t="str">
        <f t="shared" si="45"/>
        <v/>
      </c>
      <c r="CJ160" s="20" t="str">
        <f>IF(OR($A160="",LEFT($A160,2)&lt;&gt;"T-"),"",IFERROR(_xlfn.LET(_xlpm.fla,_xlfn.XLOOKUP($A160,Transformers!$A$6:$A$105,Transformers!$AK$6:$AK$105),_xlpm.z,_xlfn.XLOOKUP($A160,Transformers!$A$6:$A$105,Transformers!$AX$6:$AX$105),IF(OR(_xlpm.fla="",_xlpm.z="",_xlpm.z=0),"",_xlpm.fla*100/_xlpm.z)),""))</f>
        <v/>
      </c>
      <c r="CK160" s="20" t="str">
        <f t="shared" si="48"/>
        <v/>
      </c>
      <c r="CL160" s="20" t="str">
        <f t="shared" si="49"/>
        <v/>
      </c>
      <c r="CM160" s="373"/>
      <c r="CO160" s="20" t="str">
        <f>IF(OR($A160="",LEFT($A160,2)&lt;&gt;"T-"),"",_xlfn.LET(_xlpm.ph,IFERROR(_xlfn.XLOOKUP($A160,Transformers!$A$6:$A$105,Transformers!$C$6:$C$105),""),_xlpm.rr,IFERROR(_xlfn.XLOOKUP($A160,Transformers!$A$6:$A$105,Transformers!$AG$6:$AG$105),""),_xlpm.xx,IFERROR(_xlfn.XLOOKUP($A160,Transformers!$A$6:$A$105,Transformers!$AI$6:$AI$105),""),IF(OR(_xlpm.ph&lt;&gt;1,NOT(ISNUMBER(_xlpm.rr)),NOT(ISNUMBER(_xlpm.xx))),"",SQRT((1.5*_xlpm.rr)^2+(1.2*_xlpm.xx)^2))))</f>
        <v/>
      </c>
      <c r="CP160" s="20" t="str">
        <f t="shared" si="50"/>
        <v/>
      </c>
    </row>
    <row r="161" spans="1:94" ht="15" customHeight="1" x14ac:dyDescent="0.45">
      <c r="A161" s="275" t="str" cm="1">
        <f t="array" ref="A161">IFERROR(IF(INDEX(_xlfn.ANCHORARRAY($BK$4),ROW()-5,1)="","",INDEX(_xlfn.ANCHORARRAY($BK$4),ROW()-5,1)),"")</f>
        <v/>
      </c>
      <c r="B161" s="25" t="str" cm="1">
        <f t="array" ref="B161">IFERROR(IF($A161="","",INDEX(_xlfn.ANCHORARRAY($BK$4),ROW()-5,5)),"")</f>
        <v/>
      </c>
      <c r="C161" s="178" t="str" cm="1">
        <f t="array" ref="C161">IFERROR(IF($A161="","",INDEX(_xlfn.ANCHORARRAY($BK$4),ROW()-5,7)),"")</f>
        <v/>
      </c>
      <c r="D161" s="177" t="str" cm="1">
        <f t="array" ref="D161">IFERROR(IF($A161="","",INDEX(_xlfn.ANCHORARRAY($BK$4),ROW()-5,3)),"")</f>
        <v/>
      </c>
      <c r="E161" s="25" t="str" cm="1">
        <f t="array" ref="E161">IFERROR(IF($A161="","",INDEX(_xlfn.ANCHORARRAY($BK$4),ROW()-5,2)),"")</f>
        <v/>
      </c>
      <c r="F161" s="177" t="str">
        <f t="shared" si="34"/>
        <v/>
      </c>
      <c r="G161" s="275" t="str">
        <f t="shared" si="35"/>
        <v/>
      </c>
      <c r="H161" s="180" t="str">
        <f t="shared" si="36"/>
        <v/>
      </c>
      <c r="I161" s="180" t="str">
        <f t="shared" si="37"/>
        <v/>
      </c>
      <c r="J161" s="177" t="str">
        <f>_xlfn.LET(_xlpm.v,_xlfn.LET(_xlpm.base,IF($A161="","",IF($C161=0,IFERROR(_xlfn.XLOOKUP($A161,Util_Tags,Util_SCAEff),""),IF(LEFT($A161,2)="T-",IF($CJ161="","",$CJ161/(1+IF($CL161="",0,$CL161))),IF(OR($F161="",$I161=""),"",$F161*$I161)))),_xlpm.gtag,IF(OR($A161="",NOT(OR($B161="ATS",$B161="MTS"))),"",IFERROR(_xlfn.XLOOKUP($A161,Dashboard!$A$101:$A$350,Dashboard!$L$101:$L$350,"")&amp;"","")),_xlpm.gkva,IF(_xlpm.gtag="",0,IFERROR(N(_xlfn.XLOOKUP(_xlpm.gtag,Generator!$B$53:$B$58,Generator!$S$53:$S$58,0)),0)),_xlpm.gxd,IF(_xlpm.gtag="",0,IFERROR(N(_xlfn.XLOOKUP(_xlpm.gtag,Generator!$B$53:$B$58,Generator!$U$53:$U$58,0)),0)),_xlpm.gamp,IF(OR(_xlpm.gkva=0,_xlpm.gxd=0,N($D161)=0),0,ROUND(_xlpm.gkva*1000/(IF(N($CB161)=1,1,SQRT(3))*$D161*_xlpm.gxd),0)),IF(OR(_xlpm.gamp=0,NOT(ISNUMBER(_xlpm.base))),_xlpm.base,MAX(_xlpm.base,_xlpm.gamp))),_xlpm.ulim,IF(OR($A161="",$B161&lt;&gt;"UPS"),"",IFERROR(IF(_xlfn.XLOOKUP($A161,UPS!$B$57:$B$64,UPS!$E$57:$E$64,"")="None",_xlfn.XLOOKUP($A161,UPS!$B$57:$B$64,UPS!$U$57:$U$64,""),""),"")),IF(AND(ISNUMBER(_xlpm.v),ISNUMBER(_xlpm.ulim)),MIN(_xlpm.v,_xlpm.ulim),_xlpm.v))</f>
        <v/>
      </c>
      <c r="K161" s="176"/>
      <c r="L161" s="177" t="str">
        <f t="shared" si="38"/>
        <v/>
      </c>
      <c r="M161" s="177" t="str">
        <f t="shared" si="39"/>
        <v/>
      </c>
      <c r="N161" s="380" t="str">
        <f>IF($A161="","",IF($C161=0,_xlfn.LET(_xlpm.x,IFERROR(_xlfn.XLOOKUP($A161,Util_Tags,Util_XR),""),IF(N(_xlpm.x)=0,Xfmr_DefXR,_xlpm.x)),IF(LEFT($A161,2)="T-",IFERROR(_xlfn.XLOOKUP($A161,Transformers!$A$6:$A$105,Transformers!$AH$6:$AH$105),Xfmr_DefXR),IFERROR(_xlfn.XLOOKUP($E161,$A$6:$A$255,$N$6:$N$255),Xfmr_DefXR))))</f>
        <v/>
      </c>
      <c r="O161" s="177" t="str">
        <f t="shared" si="40"/>
        <v/>
      </c>
      <c r="P161" s="210" t="str">
        <f>IF($A161="","",IF(LEFT($A161,2)="T-",IF($CO161="","",_xlfn.LET(_xlpm.k,IFERROR(_xlfn.XLOOKUP($A161,Transformers!$A$6:$A$105,Transformers!$G$6:$G$105),""),_xlpm.sv,IFERROR(_xlfn.XLOOKUP($A161,Transformers!$A$6:$A$105,Transformers!$E$6:$E$105),""),IF(OR(NOT(ISNUMBER(_xlpm.k)),NOT(ISNUMBER(_xlpm.sv)),_xlpm.sv=0),"",_xlfn.LET(_xlpm.iInf,(_xlpm.k*1000/(_xlpm.sv/2))*100/$CO161,_xlpm.pri,IF(OR($CK161="",$CK161=0),"",$CK161/2),_xlpm.base,IF(_xlpm.pri="",_xlpm.iInf,_xlpm.iInf/(1+_xlpm.iInf/_xlpm.pri)),_xlpm.base+IF($L161="",0,$L161))))),IF($CP161="","",_xlfn.LET(_xlpm.pI,IFERROR(_xlfn.XLOOKUP($E161,$A$6:$A$255,$P$6:$P$255),""),IF(NOT(ISNUMBER(_xlpm.pI)),"",_xlpm.pI/(1+$CP161)+IF($L161="",0,$L161))))))</f>
        <v/>
      </c>
      <c r="Q161" s="210" t="str">
        <f t="shared" si="41"/>
        <v/>
      </c>
      <c r="R161" s="177" t="str">
        <f>IF($A161="","",IF(OR($C161=0,LEFT($A161,2)="T-"),"",IFERROR(_xlfn.LET(_xlpm.v,_xlfn.XLOOKUP($A161,Dashboard!$A$101:$A$350,Dashboard!$K$101:$K$350),IF(ISNUMBER(_xlpm.v),_xlpm.v,"")),"")))</f>
        <v/>
      </c>
      <c r="S161" s="211" t="str">
        <f t="shared" si="42"/>
        <v/>
      </c>
      <c r="T161" s="25" t="str">
        <f t="shared" si="43"/>
        <v/>
      </c>
      <c r="U161" s="364"/>
      <c r="BV161" s="20" t="str">
        <f>IF($A161="","",IFERROR(_xlfn.XLOOKUP("F-"&amp;$A161,'Feeder Schedule'!$B$5:$B$254,'Feeder Schedule'!$H$5:$H$254),""))</f>
        <v/>
      </c>
      <c r="BW161" s="20" t="str">
        <f>IF($A161="","",IFERROR(_xlfn.XLOOKUP("F-"&amp;$A161,'Feeder Schedule'!$B$5:$B$254,'Feeder Schedule'!$BV$5:$BV$254),""))</f>
        <v/>
      </c>
      <c r="BX161" s="20" t="str">
        <f>IF($A161="","",IFERROR(_xlfn.LET(_xlpm.v,_xlfn.XLOOKUP("F-"&amp;$A161,'Feeder Schedule'!$B$5:$B$254,'Feeder Schedule'!$M$5:$M$254),IF(OR(_xlpm.v="",_xlpm.v=0),Cfg_Conduit,_xlpm.v)),""))</f>
        <v/>
      </c>
      <c r="BY161" s="20" t="str">
        <f>IF($A161="","",IFERROR(_xlfn.XLOOKUP("F-"&amp;$A161,'Feeder Schedule'!$B$5:$B$254,'Feeder Schedule'!$O$5:$O$254),""))</f>
        <v/>
      </c>
      <c r="BZ161" s="20" t="str">
        <f>IF($A161="","",IFERROR(_xlfn.XLOOKUP("F-"&amp;$A161,'Feeder Schedule'!$B$5:$B$254,'Feeder Schedule'!$CH$5:$CH$254),""))</f>
        <v/>
      </c>
      <c r="CA161" s="20" t="str">
        <f>IF($A161="","",IFERROR(_xlfn.XLOOKUP("F-"&amp;$A161,'Feeder Schedule'!$B$5:$B$254,'Feeder Schedule'!$F$5:$F$254),""))</f>
        <v/>
      </c>
      <c r="CB161" s="20" t="str">
        <f>IF($A161="","",IFERROR(_xlfn.XLOOKUP("F-"&amp;$A161,'Feeder Schedule'!$B$5:$B$254,'Feeder Schedule'!$G$5:$G$254),""))</f>
        <v/>
      </c>
      <c r="CD161" s="20" t="str" cm="1">
        <f t="array" ref="CD161">IFERROR(IF($A161="","",INDEX(_xlfn.ANCHORARRAY($BK$4),ROW()-5,6)),"")</f>
        <v/>
      </c>
      <c r="CE161" s="20" t="str">
        <f t="shared" si="46"/>
        <v/>
      </c>
      <c r="CF161" s="20" t="str">
        <f t="shared" si="47"/>
        <v/>
      </c>
      <c r="CG161" s="20" t="str">
        <f t="shared" si="44"/>
        <v/>
      </c>
      <c r="CH161" s="20" t="str" cm="1">
        <f t="array" ref="CH161">IF(OR($A161="",$BZ161="",$BW161="",$BX161=""),"",_xlfn.LET(_xlpm.mag,IFERROR(_xlfn.XLOOKUP($BX161,Race_Raceway,Race_Mag),""),IF(_xlpm.mag="","",IFERROR(INDEX(Cond_Table,MATCH($BZ161,Cond_Size,0),IF(UPPER($BW161)="AL",IF(_xlpm.mag="Y",10,12),IF(_xlpm.mag="Y",9,11))),""))))</f>
        <v/>
      </c>
      <c r="CI161" s="20" t="str">
        <f t="shared" si="45"/>
        <v/>
      </c>
      <c r="CJ161" s="20" t="str">
        <f>IF(OR($A161="",LEFT($A161,2)&lt;&gt;"T-"),"",IFERROR(_xlfn.LET(_xlpm.fla,_xlfn.XLOOKUP($A161,Transformers!$A$6:$A$105,Transformers!$AK$6:$AK$105),_xlpm.z,_xlfn.XLOOKUP($A161,Transformers!$A$6:$A$105,Transformers!$AX$6:$AX$105),IF(OR(_xlpm.fla="",_xlpm.z="",_xlpm.z=0),"",_xlpm.fla*100/_xlpm.z)),""))</f>
        <v/>
      </c>
      <c r="CK161" s="20" t="str">
        <f t="shared" si="48"/>
        <v/>
      </c>
      <c r="CL161" s="20" t="str">
        <f t="shared" si="49"/>
        <v/>
      </c>
      <c r="CM161" s="373"/>
      <c r="CO161" s="20" t="str">
        <f>IF(OR($A161="",LEFT($A161,2)&lt;&gt;"T-"),"",_xlfn.LET(_xlpm.ph,IFERROR(_xlfn.XLOOKUP($A161,Transformers!$A$6:$A$105,Transformers!$C$6:$C$105),""),_xlpm.rr,IFERROR(_xlfn.XLOOKUP($A161,Transformers!$A$6:$A$105,Transformers!$AG$6:$AG$105),""),_xlpm.xx,IFERROR(_xlfn.XLOOKUP($A161,Transformers!$A$6:$A$105,Transformers!$AI$6:$AI$105),""),IF(OR(_xlpm.ph&lt;&gt;1,NOT(ISNUMBER(_xlpm.rr)),NOT(ISNUMBER(_xlpm.xx))),"",SQRT((1.5*_xlpm.rr)^2+(1.2*_xlpm.xx)^2))))</f>
        <v/>
      </c>
      <c r="CP161" s="20" t="str">
        <f t="shared" si="50"/>
        <v/>
      </c>
    </row>
    <row r="162" spans="1:94" ht="15" customHeight="1" x14ac:dyDescent="0.45">
      <c r="A162" s="275" t="str" cm="1">
        <f t="array" ref="A162">IFERROR(IF(INDEX(_xlfn.ANCHORARRAY($BK$4),ROW()-5,1)="","",INDEX(_xlfn.ANCHORARRAY($BK$4),ROW()-5,1)),"")</f>
        <v/>
      </c>
      <c r="B162" s="25" t="str" cm="1">
        <f t="array" ref="B162">IFERROR(IF($A162="","",INDEX(_xlfn.ANCHORARRAY($BK$4),ROW()-5,5)),"")</f>
        <v/>
      </c>
      <c r="C162" s="178" t="str" cm="1">
        <f t="array" ref="C162">IFERROR(IF($A162="","",INDEX(_xlfn.ANCHORARRAY($BK$4),ROW()-5,7)),"")</f>
        <v/>
      </c>
      <c r="D162" s="177" t="str" cm="1">
        <f t="array" ref="D162">IFERROR(IF($A162="","",INDEX(_xlfn.ANCHORARRAY($BK$4),ROW()-5,3)),"")</f>
        <v/>
      </c>
      <c r="E162" s="25" t="str" cm="1">
        <f t="array" ref="E162">IFERROR(IF($A162="","",INDEX(_xlfn.ANCHORARRAY($BK$4),ROW()-5,2)),"")</f>
        <v/>
      </c>
      <c r="F162" s="177" t="str">
        <f t="shared" si="34"/>
        <v/>
      </c>
      <c r="G162" s="275" t="str">
        <f t="shared" si="35"/>
        <v/>
      </c>
      <c r="H162" s="180" t="str">
        <f t="shared" si="36"/>
        <v/>
      </c>
      <c r="I162" s="180" t="str">
        <f t="shared" si="37"/>
        <v/>
      </c>
      <c r="J162" s="177" t="str">
        <f>_xlfn.LET(_xlpm.v,_xlfn.LET(_xlpm.base,IF($A162="","",IF($C162=0,IFERROR(_xlfn.XLOOKUP($A162,Util_Tags,Util_SCAEff),""),IF(LEFT($A162,2)="T-",IF($CJ162="","",$CJ162/(1+IF($CL162="",0,$CL162))),IF(OR($F162="",$I162=""),"",$F162*$I162)))),_xlpm.gtag,IF(OR($A162="",NOT(OR($B162="ATS",$B162="MTS"))),"",IFERROR(_xlfn.XLOOKUP($A162,Dashboard!$A$101:$A$350,Dashboard!$L$101:$L$350,"")&amp;"","")),_xlpm.gkva,IF(_xlpm.gtag="",0,IFERROR(N(_xlfn.XLOOKUP(_xlpm.gtag,Generator!$B$53:$B$58,Generator!$S$53:$S$58,0)),0)),_xlpm.gxd,IF(_xlpm.gtag="",0,IFERROR(N(_xlfn.XLOOKUP(_xlpm.gtag,Generator!$B$53:$B$58,Generator!$U$53:$U$58,0)),0)),_xlpm.gamp,IF(OR(_xlpm.gkva=0,_xlpm.gxd=0,N($D162)=0),0,ROUND(_xlpm.gkva*1000/(IF(N($CB162)=1,1,SQRT(3))*$D162*_xlpm.gxd),0)),IF(OR(_xlpm.gamp=0,NOT(ISNUMBER(_xlpm.base))),_xlpm.base,MAX(_xlpm.base,_xlpm.gamp))),_xlpm.ulim,IF(OR($A162="",$B162&lt;&gt;"UPS"),"",IFERROR(IF(_xlfn.XLOOKUP($A162,UPS!$B$57:$B$64,UPS!$E$57:$E$64,"")="None",_xlfn.XLOOKUP($A162,UPS!$B$57:$B$64,UPS!$U$57:$U$64,""),""),"")),IF(AND(ISNUMBER(_xlpm.v),ISNUMBER(_xlpm.ulim)),MIN(_xlpm.v,_xlpm.ulim),_xlpm.v))</f>
        <v/>
      </c>
      <c r="K162" s="176"/>
      <c r="L162" s="177" t="str">
        <f t="shared" si="38"/>
        <v/>
      </c>
      <c r="M162" s="177" t="str">
        <f t="shared" si="39"/>
        <v/>
      </c>
      <c r="N162" s="380" t="str">
        <f>IF($A162="","",IF($C162=0,_xlfn.LET(_xlpm.x,IFERROR(_xlfn.XLOOKUP($A162,Util_Tags,Util_XR),""),IF(N(_xlpm.x)=0,Xfmr_DefXR,_xlpm.x)),IF(LEFT($A162,2)="T-",IFERROR(_xlfn.XLOOKUP($A162,Transformers!$A$6:$A$105,Transformers!$AH$6:$AH$105),Xfmr_DefXR),IFERROR(_xlfn.XLOOKUP($E162,$A$6:$A$255,$N$6:$N$255),Xfmr_DefXR))))</f>
        <v/>
      </c>
      <c r="O162" s="177" t="str">
        <f t="shared" si="40"/>
        <v/>
      </c>
      <c r="P162" s="210" t="str">
        <f>IF($A162="","",IF(LEFT($A162,2)="T-",IF($CO162="","",_xlfn.LET(_xlpm.k,IFERROR(_xlfn.XLOOKUP($A162,Transformers!$A$6:$A$105,Transformers!$G$6:$G$105),""),_xlpm.sv,IFERROR(_xlfn.XLOOKUP($A162,Transformers!$A$6:$A$105,Transformers!$E$6:$E$105),""),IF(OR(NOT(ISNUMBER(_xlpm.k)),NOT(ISNUMBER(_xlpm.sv)),_xlpm.sv=0),"",_xlfn.LET(_xlpm.iInf,(_xlpm.k*1000/(_xlpm.sv/2))*100/$CO162,_xlpm.pri,IF(OR($CK162="",$CK162=0),"",$CK162/2),_xlpm.base,IF(_xlpm.pri="",_xlpm.iInf,_xlpm.iInf/(1+_xlpm.iInf/_xlpm.pri)),_xlpm.base+IF($L162="",0,$L162))))),IF($CP162="","",_xlfn.LET(_xlpm.pI,IFERROR(_xlfn.XLOOKUP($E162,$A$6:$A$255,$P$6:$P$255),""),IF(NOT(ISNUMBER(_xlpm.pI)),"",_xlpm.pI/(1+$CP162)+IF($L162="",0,$L162))))))</f>
        <v/>
      </c>
      <c r="Q162" s="210" t="str">
        <f t="shared" si="41"/>
        <v/>
      </c>
      <c r="R162" s="177" t="str">
        <f>IF($A162="","",IF(OR($C162=0,LEFT($A162,2)="T-"),"",IFERROR(_xlfn.LET(_xlpm.v,_xlfn.XLOOKUP($A162,Dashboard!$A$101:$A$350,Dashboard!$K$101:$K$350),IF(ISNUMBER(_xlpm.v),_xlpm.v,"")),"")))</f>
        <v/>
      </c>
      <c r="S162" s="211" t="str">
        <f t="shared" si="42"/>
        <v/>
      </c>
      <c r="T162" s="25" t="str">
        <f t="shared" si="43"/>
        <v/>
      </c>
      <c r="U162" s="364"/>
      <c r="BV162" s="20" t="str">
        <f>IF($A162="","",IFERROR(_xlfn.XLOOKUP("F-"&amp;$A162,'Feeder Schedule'!$B$5:$B$254,'Feeder Schedule'!$H$5:$H$254),""))</f>
        <v/>
      </c>
      <c r="BW162" s="20" t="str">
        <f>IF($A162="","",IFERROR(_xlfn.XLOOKUP("F-"&amp;$A162,'Feeder Schedule'!$B$5:$B$254,'Feeder Schedule'!$BV$5:$BV$254),""))</f>
        <v/>
      </c>
      <c r="BX162" s="20" t="str">
        <f>IF($A162="","",IFERROR(_xlfn.LET(_xlpm.v,_xlfn.XLOOKUP("F-"&amp;$A162,'Feeder Schedule'!$B$5:$B$254,'Feeder Schedule'!$M$5:$M$254),IF(OR(_xlpm.v="",_xlpm.v=0),Cfg_Conduit,_xlpm.v)),""))</f>
        <v/>
      </c>
      <c r="BY162" s="20" t="str">
        <f>IF($A162="","",IFERROR(_xlfn.XLOOKUP("F-"&amp;$A162,'Feeder Schedule'!$B$5:$B$254,'Feeder Schedule'!$O$5:$O$254),""))</f>
        <v/>
      </c>
      <c r="BZ162" s="20" t="str">
        <f>IF($A162="","",IFERROR(_xlfn.XLOOKUP("F-"&amp;$A162,'Feeder Schedule'!$B$5:$B$254,'Feeder Schedule'!$CH$5:$CH$254),""))</f>
        <v/>
      </c>
      <c r="CA162" s="20" t="str">
        <f>IF($A162="","",IFERROR(_xlfn.XLOOKUP("F-"&amp;$A162,'Feeder Schedule'!$B$5:$B$254,'Feeder Schedule'!$F$5:$F$254),""))</f>
        <v/>
      </c>
      <c r="CB162" s="20" t="str">
        <f>IF($A162="","",IFERROR(_xlfn.XLOOKUP("F-"&amp;$A162,'Feeder Schedule'!$B$5:$B$254,'Feeder Schedule'!$G$5:$G$254),""))</f>
        <v/>
      </c>
      <c r="CD162" s="20" t="str" cm="1">
        <f t="array" ref="CD162">IFERROR(IF($A162="","",INDEX(_xlfn.ANCHORARRAY($BK$4),ROW()-5,6)),"")</f>
        <v/>
      </c>
      <c r="CE162" s="20" t="str">
        <f t="shared" si="46"/>
        <v/>
      </c>
      <c r="CF162" s="20" t="str">
        <f t="shared" si="47"/>
        <v/>
      </c>
      <c r="CG162" s="20" t="str">
        <f t="shared" si="44"/>
        <v/>
      </c>
      <c r="CH162" s="20" t="str" cm="1">
        <f t="array" ref="CH162">IF(OR($A162="",$BZ162="",$BW162="",$BX162=""),"",_xlfn.LET(_xlpm.mag,IFERROR(_xlfn.XLOOKUP($BX162,Race_Raceway,Race_Mag),""),IF(_xlpm.mag="","",IFERROR(INDEX(Cond_Table,MATCH($BZ162,Cond_Size,0),IF(UPPER($BW162)="AL",IF(_xlpm.mag="Y",10,12),IF(_xlpm.mag="Y",9,11))),""))))</f>
        <v/>
      </c>
      <c r="CI162" s="20" t="str">
        <f t="shared" si="45"/>
        <v/>
      </c>
      <c r="CJ162" s="20" t="str">
        <f>IF(OR($A162="",LEFT($A162,2)&lt;&gt;"T-"),"",IFERROR(_xlfn.LET(_xlpm.fla,_xlfn.XLOOKUP($A162,Transformers!$A$6:$A$105,Transformers!$AK$6:$AK$105),_xlpm.z,_xlfn.XLOOKUP($A162,Transformers!$A$6:$A$105,Transformers!$AX$6:$AX$105),IF(OR(_xlpm.fla="",_xlpm.z="",_xlpm.z=0),"",_xlpm.fla*100/_xlpm.z)),""))</f>
        <v/>
      </c>
      <c r="CK162" s="20" t="str">
        <f t="shared" si="48"/>
        <v/>
      </c>
      <c r="CL162" s="20" t="str">
        <f t="shared" si="49"/>
        <v/>
      </c>
      <c r="CM162" s="373"/>
      <c r="CO162" s="20" t="str">
        <f>IF(OR($A162="",LEFT($A162,2)&lt;&gt;"T-"),"",_xlfn.LET(_xlpm.ph,IFERROR(_xlfn.XLOOKUP($A162,Transformers!$A$6:$A$105,Transformers!$C$6:$C$105),""),_xlpm.rr,IFERROR(_xlfn.XLOOKUP($A162,Transformers!$A$6:$A$105,Transformers!$AG$6:$AG$105),""),_xlpm.xx,IFERROR(_xlfn.XLOOKUP($A162,Transformers!$A$6:$A$105,Transformers!$AI$6:$AI$105),""),IF(OR(_xlpm.ph&lt;&gt;1,NOT(ISNUMBER(_xlpm.rr)),NOT(ISNUMBER(_xlpm.xx))),"",SQRT((1.5*_xlpm.rr)^2+(1.2*_xlpm.xx)^2))))</f>
        <v/>
      </c>
      <c r="CP162" s="20" t="str">
        <f t="shared" si="50"/>
        <v/>
      </c>
    </row>
    <row r="163" spans="1:94" ht="15" customHeight="1" x14ac:dyDescent="0.45">
      <c r="A163" s="275" t="str" cm="1">
        <f t="array" ref="A163">IFERROR(IF(INDEX(_xlfn.ANCHORARRAY($BK$4),ROW()-5,1)="","",INDEX(_xlfn.ANCHORARRAY($BK$4),ROW()-5,1)),"")</f>
        <v/>
      </c>
      <c r="B163" s="25" t="str" cm="1">
        <f t="array" ref="B163">IFERROR(IF($A163="","",INDEX(_xlfn.ANCHORARRAY($BK$4),ROW()-5,5)),"")</f>
        <v/>
      </c>
      <c r="C163" s="178" t="str" cm="1">
        <f t="array" ref="C163">IFERROR(IF($A163="","",INDEX(_xlfn.ANCHORARRAY($BK$4),ROW()-5,7)),"")</f>
        <v/>
      </c>
      <c r="D163" s="177" t="str" cm="1">
        <f t="array" ref="D163">IFERROR(IF($A163="","",INDEX(_xlfn.ANCHORARRAY($BK$4),ROW()-5,3)),"")</f>
        <v/>
      </c>
      <c r="E163" s="25" t="str" cm="1">
        <f t="array" ref="E163">IFERROR(IF($A163="","",INDEX(_xlfn.ANCHORARRAY($BK$4),ROW()-5,2)),"")</f>
        <v/>
      </c>
      <c r="F163" s="177" t="str">
        <f t="shared" si="34"/>
        <v/>
      </c>
      <c r="G163" s="275" t="str">
        <f t="shared" si="35"/>
        <v/>
      </c>
      <c r="H163" s="180" t="str">
        <f t="shared" si="36"/>
        <v/>
      </c>
      <c r="I163" s="180" t="str">
        <f t="shared" si="37"/>
        <v/>
      </c>
      <c r="J163" s="177" t="str">
        <f>_xlfn.LET(_xlpm.v,_xlfn.LET(_xlpm.base,IF($A163="","",IF($C163=0,IFERROR(_xlfn.XLOOKUP($A163,Util_Tags,Util_SCAEff),""),IF(LEFT($A163,2)="T-",IF($CJ163="","",$CJ163/(1+IF($CL163="",0,$CL163))),IF(OR($F163="",$I163=""),"",$F163*$I163)))),_xlpm.gtag,IF(OR($A163="",NOT(OR($B163="ATS",$B163="MTS"))),"",IFERROR(_xlfn.XLOOKUP($A163,Dashboard!$A$101:$A$350,Dashboard!$L$101:$L$350,"")&amp;"","")),_xlpm.gkva,IF(_xlpm.gtag="",0,IFERROR(N(_xlfn.XLOOKUP(_xlpm.gtag,Generator!$B$53:$B$58,Generator!$S$53:$S$58,0)),0)),_xlpm.gxd,IF(_xlpm.gtag="",0,IFERROR(N(_xlfn.XLOOKUP(_xlpm.gtag,Generator!$B$53:$B$58,Generator!$U$53:$U$58,0)),0)),_xlpm.gamp,IF(OR(_xlpm.gkva=0,_xlpm.gxd=0,N($D163)=0),0,ROUND(_xlpm.gkva*1000/(IF(N($CB163)=1,1,SQRT(3))*$D163*_xlpm.gxd),0)),IF(OR(_xlpm.gamp=0,NOT(ISNUMBER(_xlpm.base))),_xlpm.base,MAX(_xlpm.base,_xlpm.gamp))),_xlpm.ulim,IF(OR($A163="",$B163&lt;&gt;"UPS"),"",IFERROR(IF(_xlfn.XLOOKUP($A163,UPS!$B$57:$B$64,UPS!$E$57:$E$64,"")="None",_xlfn.XLOOKUP($A163,UPS!$B$57:$B$64,UPS!$U$57:$U$64,""),""),"")),IF(AND(ISNUMBER(_xlpm.v),ISNUMBER(_xlpm.ulim)),MIN(_xlpm.v,_xlpm.ulim),_xlpm.v))</f>
        <v/>
      </c>
      <c r="K163" s="176"/>
      <c r="L163" s="177" t="str">
        <f t="shared" si="38"/>
        <v/>
      </c>
      <c r="M163" s="177" t="str">
        <f t="shared" si="39"/>
        <v/>
      </c>
      <c r="N163" s="380" t="str">
        <f>IF($A163="","",IF($C163=0,_xlfn.LET(_xlpm.x,IFERROR(_xlfn.XLOOKUP($A163,Util_Tags,Util_XR),""),IF(N(_xlpm.x)=0,Xfmr_DefXR,_xlpm.x)),IF(LEFT($A163,2)="T-",IFERROR(_xlfn.XLOOKUP($A163,Transformers!$A$6:$A$105,Transformers!$AH$6:$AH$105),Xfmr_DefXR),IFERROR(_xlfn.XLOOKUP($E163,$A$6:$A$255,$N$6:$N$255),Xfmr_DefXR))))</f>
        <v/>
      </c>
      <c r="O163" s="177" t="str">
        <f t="shared" si="40"/>
        <v/>
      </c>
      <c r="P163" s="210" t="str">
        <f>IF($A163="","",IF(LEFT($A163,2)="T-",IF($CO163="","",_xlfn.LET(_xlpm.k,IFERROR(_xlfn.XLOOKUP($A163,Transformers!$A$6:$A$105,Transformers!$G$6:$G$105),""),_xlpm.sv,IFERROR(_xlfn.XLOOKUP($A163,Transformers!$A$6:$A$105,Transformers!$E$6:$E$105),""),IF(OR(NOT(ISNUMBER(_xlpm.k)),NOT(ISNUMBER(_xlpm.sv)),_xlpm.sv=0),"",_xlfn.LET(_xlpm.iInf,(_xlpm.k*1000/(_xlpm.sv/2))*100/$CO163,_xlpm.pri,IF(OR($CK163="",$CK163=0),"",$CK163/2),_xlpm.base,IF(_xlpm.pri="",_xlpm.iInf,_xlpm.iInf/(1+_xlpm.iInf/_xlpm.pri)),_xlpm.base+IF($L163="",0,$L163))))),IF($CP163="","",_xlfn.LET(_xlpm.pI,IFERROR(_xlfn.XLOOKUP($E163,$A$6:$A$255,$P$6:$P$255),""),IF(NOT(ISNUMBER(_xlpm.pI)),"",_xlpm.pI/(1+$CP163)+IF($L163="",0,$L163))))))</f>
        <v/>
      </c>
      <c r="Q163" s="210" t="str">
        <f t="shared" si="41"/>
        <v/>
      </c>
      <c r="R163" s="177" t="str">
        <f>IF($A163="","",IF(OR($C163=0,LEFT($A163,2)="T-"),"",IFERROR(_xlfn.LET(_xlpm.v,_xlfn.XLOOKUP($A163,Dashboard!$A$101:$A$350,Dashboard!$K$101:$K$350),IF(ISNUMBER(_xlpm.v),_xlpm.v,"")),"")))</f>
        <v/>
      </c>
      <c r="S163" s="211" t="str">
        <f t="shared" si="42"/>
        <v/>
      </c>
      <c r="T163" s="25" t="str">
        <f t="shared" si="43"/>
        <v/>
      </c>
      <c r="U163" s="364"/>
      <c r="BV163" s="20" t="str">
        <f>IF($A163="","",IFERROR(_xlfn.XLOOKUP("F-"&amp;$A163,'Feeder Schedule'!$B$5:$B$254,'Feeder Schedule'!$H$5:$H$254),""))</f>
        <v/>
      </c>
      <c r="BW163" s="20" t="str">
        <f>IF($A163="","",IFERROR(_xlfn.XLOOKUP("F-"&amp;$A163,'Feeder Schedule'!$B$5:$B$254,'Feeder Schedule'!$BV$5:$BV$254),""))</f>
        <v/>
      </c>
      <c r="BX163" s="20" t="str">
        <f>IF($A163="","",IFERROR(_xlfn.LET(_xlpm.v,_xlfn.XLOOKUP("F-"&amp;$A163,'Feeder Schedule'!$B$5:$B$254,'Feeder Schedule'!$M$5:$M$254),IF(OR(_xlpm.v="",_xlpm.v=0),Cfg_Conduit,_xlpm.v)),""))</f>
        <v/>
      </c>
      <c r="BY163" s="20" t="str">
        <f>IF($A163="","",IFERROR(_xlfn.XLOOKUP("F-"&amp;$A163,'Feeder Schedule'!$B$5:$B$254,'Feeder Schedule'!$O$5:$O$254),""))</f>
        <v/>
      </c>
      <c r="BZ163" s="20" t="str">
        <f>IF($A163="","",IFERROR(_xlfn.XLOOKUP("F-"&amp;$A163,'Feeder Schedule'!$B$5:$B$254,'Feeder Schedule'!$CH$5:$CH$254),""))</f>
        <v/>
      </c>
      <c r="CA163" s="20" t="str">
        <f>IF($A163="","",IFERROR(_xlfn.XLOOKUP("F-"&amp;$A163,'Feeder Schedule'!$B$5:$B$254,'Feeder Schedule'!$F$5:$F$254),""))</f>
        <v/>
      </c>
      <c r="CB163" s="20" t="str">
        <f>IF($A163="","",IFERROR(_xlfn.XLOOKUP("F-"&amp;$A163,'Feeder Schedule'!$B$5:$B$254,'Feeder Schedule'!$G$5:$G$254),""))</f>
        <v/>
      </c>
      <c r="CD163" s="20" t="str" cm="1">
        <f t="array" ref="CD163">IFERROR(IF($A163="","",INDEX(_xlfn.ANCHORARRAY($BK$4),ROW()-5,6)),"")</f>
        <v/>
      </c>
      <c r="CE163" s="20" t="str">
        <f t="shared" si="46"/>
        <v/>
      </c>
      <c r="CF163" s="20" t="str">
        <f t="shared" si="47"/>
        <v/>
      </c>
      <c r="CG163" s="20" t="str">
        <f t="shared" si="44"/>
        <v/>
      </c>
      <c r="CH163" s="20" t="str" cm="1">
        <f t="array" ref="CH163">IF(OR($A163="",$BZ163="",$BW163="",$BX163=""),"",_xlfn.LET(_xlpm.mag,IFERROR(_xlfn.XLOOKUP($BX163,Race_Raceway,Race_Mag),""),IF(_xlpm.mag="","",IFERROR(INDEX(Cond_Table,MATCH($BZ163,Cond_Size,0),IF(UPPER($BW163)="AL",IF(_xlpm.mag="Y",10,12),IF(_xlpm.mag="Y",9,11))),""))))</f>
        <v/>
      </c>
      <c r="CI163" s="20" t="str">
        <f t="shared" si="45"/>
        <v/>
      </c>
      <c r="CJ163" s="20" t="str">
        <f>IF(OR($A163="",LEFT($A163,2)&lt;&gt;"T-"),"",IFERROR(_xlfn.LET(_xlpm.fla,_xlfn.XLOOKUP($A163,Transformers!$A$6:$A$105,Transformers!$AK$6:$AK$105),_xlpm.z,_xlfn.XLOOKUP($A163,Transformers!$A$6:$A$105,Transformers!$AX$6:$AX$105),IF(OR(_xlpm.fla="",_xlpm.z="",_xlpm.z=0),"",_xlpm.fla*100/_xlpm.z)),""))</f>
        <v/>
      </c>
      <c r="CK163" s="20" t="str">
        <f t="shared" si="48"/>
        <v/>
      </c>
      <c r="CL163" s="20" t="str">
        <f t="shared" si="49"/>
        <v/>
      </c>
      <c r="CM163" s="373"/>
      <c r="CO163" s="20" t="str">
        <f>IF(OR($A163="",LEFT($A163,2)&lt;&gt;"T-"),"",_xlfn.LET(_xlpm.ph,IFERROR(_xlfn.XLOOKUP($A163,Transformers!$A$6:$A$105,Transformers!$C$6:$C$105),""),_xlpm.rr,IFERROR(_xlfn.XLOOKUP($A163,Transformers!$A$6:$A$105,Transformers!$AG$6:$AG$105),""),_xlpm.xx,IFERROR(_xlfn.XLOOKUP($A163,Transformers!$A$6:$A$105,Transformers!$AI$6:$AI$105),""),IF(OR(_xlpm.ph&lt;&gt;1,NOT(ISNUMBER(_xlpm.rr)),NOT(ISNUMBER(_xlpm.xx))),"",SQRT((1.5*_xlpm.rr)^2+(1.2*_xlpm.xx)^2))))</f>
        <v/>
      </c>
      <c r="CP163" s="20" t="str">
        <f t="shared" si="50"/>
        <v/>
      </c>
    </row>
    <row r="164" spans="1:94" ht="15" customHeight="1" x14ac:dyDescent="0.45">
      <c r="A164" s="275" t="str" cm="1">
        <f t="array" ref="A164">IFERROR(IF(INDEX(_xlfn.ANCHORARRAY($BK$4),ROW()-5,1)="","",INDEX(_xlfn.ANCHORARRAY($BK$4),ROW()-5,1)),"")</f>
        <v/>
      </c>
      <c r="B164" s="25" t="str" cm="1">
        <f t="array" ref="B164">IFERROR(IF($A164="","",INDEX(_xlfn.ANCHORARRAY($BK$4),ROW()-5,5)),"")</f>
        <v/>
      </c>
      <c r="C164" s="178" t="str" cm="1">
        <f t="array" ref="C164">IFERROR(IF($A164="","",INDEX(_xlfn.ANCHORARRAY($BK$4),ROW()-5,7)),"")</f>
        <v/>
      </c>
      <c r="D164" s="177" t="str" cm="1">
        <f t="array" ref="D164">IFERROR(IF($A164="","",INDEX(_xlfn.ANCHORARRAY($BK$4),ROW()-5,3)),"")</f>
        <v/>
      </c>
      <c r="E164" s="25" t="str" cm="1">
        <f t="array" ref="E164">IFERROR(IF($A164="","",INDEX(_xlfn.ANCHORARRAY($BK$4),ROW()-5,2)),"")</f>
        <v/>
      </c>
      <c r="F164" s="177" t="str">
        <f t="shared" si="34"/>
        <v/>
      </c>
      <c r="G164" s="275" t="str">
        <f t="shared" si="35"/>
        <v/>
      </c>
      <c r="H164" s="180" t="str">
        <f t="shared" si="36"/>
        <v/>
      </c>
      <c r="I164" s="180" t="str">
        <f t="shared" si="37"/>
        <v/>
      </c>
      <c r="J164" s="177" t="str">
        <f>_xlfn.LET(_xlpm.v,_xlfn.LET(_xlpm.base,IF($A164="","",IF($C164=0,IFERROR(_xlfn.XLOOKUP($A164,Util_Tags,Util_SCAEff),""),IF(LEFT($A164,2)="T-",IF($CJ164="","",$CJ164/(1+IF($CL164="",0,$CL164))),IF(OR($F164="",$I164=""),"",$F164*$I164)))),_xlpm.gtag,IF(OR($A164="",NOT(OR($B164="ATS",$B164="MTS"))),"",IFERROR(_xlfn.XLOOKUP($A164,Dashboard!$A$101:$A$350,Dashboard!$L$101:$L$350,"")&amp;"","")),_xlpm.gkva,IF(_xlpm.gtag="",0,IFERROR(N(_xlfn.XLOOKUP(_xlpm.gtag,Generator!$B$53:$B$58,Generator!$S$53:$S$58,0)),0)),_xlpm.gxd,IF(_xlpm.gtag="",0,IFERROR(N(_xlfn.XLOOKUP(_xlpm.gtag,Generator!$B$53:$B$58,Generator!$U$53:$U$58,0)),0)),_xlpm.gamp,IF(OR(_xlpm.gkva=0,_xlpm.gxd=0,N($D164)=0),0,ROUND(_xlpm.gkva*1000/(IF(N($CB164)=1,1,SQRT(3))*$D164*_xlpm.gxd),0)),IF(OR(_xlpm.gamp=0,NOT(ISNUMBER(_xlpm.base))),_xlpm.base,MAX(_xlpm.base,_xlpm.gamp))),_xlpm.ulim,IF(OR($A164="",$B164&lt;&gt;"UPS"),"",IFERROR(IF(_xlfn.XLOOKUP($A164,UPS!$B$57:$B$64,UPS!$E$57:$E$64,"")="None",_xlfn.XLOOKUP($A164,UPS!$B$57:$B$64,UPS!$U$57:$U$64,""),""),"")),IF(AND(ISNUMBER(_xlpm.v),ISNUMBER(_xlpm.ulim)),MIN(_xlpm.v,_xlpm.ulim),_xlpm.v))</f>
        <v/>
      </c>
      <c r="K164" s="176"/>
      <c r="L164" s="177" t="str">
        <f t="shared" si="38"/>
        <v/>
      </c>
      <c r="M164" s="177" t="str">
        <f t="shared" si="39"/>
        <v/>
      </c>
      <c r="N164" s="380" t="str">
        <f>IF($A164="","",IF($C164=0,_xlfn.LET(_xlpm.x,IFERROR(_xlfn.XLOOKUP($A164,Util_Tags,Util_XR),""),IF(N(_xlpm.x)=0,Xfmr_DefXR,_xlpm.x)),IF(LEFT($A164,2)="T-",IFERROR(_xlfn.XLOOKUP($A164,Transformers!$A$6:$A$105,Transformers!$AH$6:$AH$105),Xfmr_DefXR),IFERROR(_xlfn.XLOOKUP($E164,$A$6:$A$255,$N$6:$N$255),Xfmr_DefXR))))</f>
        <v/>
      </c>
      <c r="O164" s="177" t="str">
        <f t="shared" si="40"/>
        <v/>
      </c>
      <c r="P164" s="210" t="str">
        <f>IF($A164="","",IF(LEFT($A164,2)="T-",IF($CO164="","",_xlfn.LET(_xlpm.k,IFERROR(_xlfn.XLOOKUP($A164,Transformers!$A$6:$A$105,Transformers!$G$6:$G$105),""),_xlpm.sv,IFERROR(_xlfn.XLOOKUP($A164,Transformers!$A$6:$A$105,Transformers!$E$6:$E$105),""),IF(OR(NOT(ISNUMBER(_xlpm.k)),NOT(ISNUMBER(_xlpm.sv)),_xlpm.sv=0),"",_xlfn.LET(_xlpm.iInf,(_xlpm.k*1000/(_xlpm.sv/2))*100/$CO164,_xlpm.pri,IF(OR($CK164="",$CK164=0),"",$CK164/2),_xlpm.base,IF(_xlpm.pri="",_xlpm.iInf,_xlpm.iInf/(1+_xlpm.iInf/_xlpm.pri)),_xlpm.base+IF($L164="",0,$L164))))),IF($CP164="","",_xlfn.LET(_xlpm.pI,IFERROR(_xlfn.XLOOKUP($E164,$A$6:$A$255,$P$6:$P$255),""),IF(NOT(ISNUMBER(_xlpm.pI)),"",_xlpm.pI/(1+$CP164)+IF($L164="",0,$L164))))))</f>
        <v/>
      </c>
      <c r="Q164" s="210" t="str">
        <f t="shared" si="41"/>
        <v/>
      </c>
      <c r="R164" s="177" t="str">
        <f>IF($A164="","",IF(OR($C164=0,LEFT($A164,2)="T-"),"",IFERROR(_xlfn.LET(_xlpm.v,_xlfn.XLOOKUP($A164,Dashboard!$A$101:$A$350,Dashboard!$K$101:$K$350),IF(ISNUMBER(_xlpm.v),_xlpm.v,"")),"")))</f>
        <v/>
      </c>
      <c r="S164" s="211" t="str">
        <f t="shared" si="42"/>
        <v/>
      </c>
      <c r="T164" s="25" t="str">
        <f t="shared" si="43"/>
        <v/>
      </c>
      <c r="U164" s="364"/>
      <c r="BV164" s="20" t="str">
        <f>IF($A164="","",IFERROR(_xlfn.XLOOKUP("F-"&amp;$A164,'Feeder Schedule'!$B$5:$B$254,'Feeder Schedule'!$H$5:$H$254),""))</f>
        <v/>
      </c>
      <c r="BW164" s="20" t="str">
        <f>IF($A164="","",IFERROR(_xlfn.XLOOKUP("F-"&amp;$A164,'Feeder Schedule'!$B$5:$B$254,'Feeder Schedule'!$BV$5:$BV$254),""))</f>
        <v/>
      </c>
      <c r="BX164" s="20" t="str">
        <f>IF($A164="","",IFERROR(_xlfn.LET(_xlpm.v,_xlfn.XLOOKUP("F-"&amp;$A164,'Feeder Schedule'!$B$5:$B$254,'Feeder Schedule'!$M$5:$M$254),IF(OR(_xlpm.v="",_xlpm.v=0),Cfg_Conduit,_xlpm.v)),""))</f>
        <v/>
      </c>
      <c r="BY164" s="20" t="str">
        <f>IF($A164="","",IFERROR(_xlfn.XLOOKUP("F-"&amp;$A164,'Feeder Schedule'!$B$5:$B$254,'Feeder Schedule'!$O$5:$O$254),""))</f>
        <v/>
      </c>
      <c r="BZ164" s="20" t="str">
        <f>IF($A164="","",IFERROR(_xlfn.XLOOKUP("F-"&amp;$A164,'Feeder Schedule'!$B$5:$B$254,'Feeder Schedule'!$CH$5:$CH$254),""))</f>
        <v/>
      </c>
      <c r="CA164" s="20" t="str">
        <f>IF($A164="","",IFERROR(_xlfn.XLOOKUP("F-"&amp;$A164,'Feeder Schedule'!$B$5:$B$254,'Feeder Schedule'!$F$5:$F$254),""))</f>
        <v/>
      </c>
      <c r="CB164" s="20" t="str">
        <f>IF($A164="","",IFERROR(_xlfn.XLOOKUP("F-"&amp;$A164,'Feeder Schedule'!$B$5:$B$254,'Feeder Schedule'!$G$5:$G$254),""))</f>
        <v/>
      </c>
      <c r="CD164" s="20" t="str" cm="1">
        <f t="array" ref="CD164">IFERROR(IF($A164="","",INDEX(_xlfn.ANCHORARRAY($BK$4),ROW()-5,6)),"")</f>
        <v/>
      </c>
      <c r="CE164" s="20" t="str">
        <f t="shared" si="46"/>
        <v/>
      </c>
      <c r="CF164" s="20" t="str">
        <f t="shared" si="47"/>
        <v/>
      </c>
      <c r="CG164" s="20" t="str">
        <f t="shared" si="44"/>
        <v/>
      </c>
      <c r="CH164" s="20" t="str" cm="1">
        <f t="array" ref="CH164">IF(OR($A164="",$BZ164="",$BW164="",$BX164=""),"",_xlfn.LET(_xlpm.mag,IFERROR(_xlfn.XLOOKUP($BX164,Race_Raceway,Race_Mag),""),IF(_xlpm.mag="","",IFERROR(INDEX(Cond_Table,MATCH($BZ164,Cond_Size,0),IF(UPPER($BW164)="AL",IF(_xlpm.mag="Y",10,12),IF(_xlpm.mag="Y",9,11))),""))))</f>
        <v/>
      </c>
      <c r="CI164" s="20" t="str">
        <f t="shared" si="45"/>
        <v/>
      </c>
      <c r="CJ164" s="20" t="str">
        <f>IF(OR($A164="",LEFT($A164,2)&lt;&gt;"T-"),"",IFERROR(_xlfn.LET(_xlpm.fla,_xlfn.XLOOKUP($A164,Transformers!$A$6:$A$105,Transformers!$AK$6:$AK$105),_xlpm.z,_xlfn.XLOOKUP($A164,Transformers!$A$6:$A$105,Transformers!$AX$6:$AX$105),IF(OR(_xlpm.fla="",_xlpm.z="",_xlpm.z=0),"",_xlpm.fla*100/_xlpm.z)),""))</f>
        <v/>
      </c>
      <c r="CK164" s="20" t="str">
        <f t="shared" si="48"/>
        <v/>
      </c>
      <c r="CL164" s="20" t="str">
        <f t="shared" si="49"/>
        <v/>
      </c>
      <c r="CM164" s="373"/>
      <c r="CO164" s="20" t="str">
        <f>IF(OR($A164="",LEFT($A164,2)&lt;&gt;"T-"),"",_xlfn.LET(_xlpm.ph,IFERROR(_xlfn.XLOOKUP($A164,Transformers!$A$6:$A$105,Transformers!$C$6:$C$105),""),_xlpm.rr,IFERROR(_xlfn.XLOOKUP($A164,Transformers!$A$6:$A$105,Transformers!$AG$6:$AG$105),""),_xlpm.xx,IFERROR(_xlfn.XLOOKUP($A164,Transformers!$A$6:$A$105,Transformers!$AI$6:$AI$105),""),IF(OR(_xlpm.ph&lt;&gt;1,NOT(ISNUMBER(_xlpm.rr)),NOT(ISNUMBER(_xlpm.xx))),"",SQRT((1.5*_xlpm.rr)^2+(1.2*_xlpm.xx)^2))))</f>
        <v/>
      </c>
      <c r="CP164" s="20" t="str">
        <f t="shared" si="50"/>
        <v/>
      </c>
    </row>
    <row r="165" spans="1:94" ht="15" customHeight="1" x14ac:dyDescent="0.45">
      <c r="A165" s="275" t="str" cm="1">
        <f t="array" ref="A165">IFERROR(IF(INDEX(_xlfn.ANCHORARRAY($BK$4),ROW()-5,1)="","",INDEX(_xlfn.ANCHORARRAY($BK$4),ROW()-5,1)),"")</f>
        <v/>
      </c>
      <c r="B165" s="25" t="str" cm="1">
        <f t="array" ref="B165">IFERROR(IF($A165="","",INDEX(_xlfn.ANCHORARRAY($BK$4),ROW()-5,5)),"")</f>
        <v/>
      </c>
      <c r="C165" s="178" t="str" cm="1">
        <f t="array" ref="C165">IFERROR(IF($A165="","",INDEX(_xlfn.ANCHORARRAY($BK$4),ROW()-5,7)),"")</f>
        <v/>
      </c>
      <c r="D165" s="177" t="str" cm="1">
        <f t="array" ref="D165">IFERROR(IF($A165="","",INDEX(_xlfn.ANCHORARRAY($BK$4),ROW()-5,3)),"")</f>
        <v/>
      </c>
      <c r="E165" s="25" t="str" cm="1">
        <f t="array" ref="E165">IFERROR(IF($A165="","",INDEX(_xlfn.ANCHORARRAY($BK$4),ROW()-5,2)),"")</f>
        <v/>
      </c>
      <c r="F165" s="177" t="str">
        <f t="shared" si="34"/>
        <v/>
      </c>
      <c r="G165" s="275" t="str">
        <f t="shared" si="35"/>
        <v/>
      </c>
      <c r="H165" s="180" t="str">
        <f t="shared" si="36"/>
        <v/>
      </c>
      <c r="I165" s="180" t="str">
        <f t="shared" si="37"/>
        <v/>
      </c>
      <c r="J165" s="177" t="str">
        <f>_xlfn.LET(_xlpm.v,_xlfn.LET(_xlpm.base,IF($A165="","",IF($C165=0,IFERROR(_xlfn.XLOOKUP($A165,Util_Tags,Util_SCAEff),""),IF(LEFT($A165,2)="T-",IF($CJ165="","",$CJ165/(1+IF($CL165="",0,$CL165))),IF(OR($F165="",$I165=""),"",$F165*$I165)))),_xlpm.gtag,IF(OR($A165="",NOT(OR($B165="ATS",$B165="MTS"))),"",IFERROR(_xlfn.XLOOKUP($A165,Dashboard!$A$101:$A$350,Dashboard!$L$101:$L$350,"")&amp;"","")),_xlpm.gkva,IF(_xlpm.gtag="",0,IFERROR(N(_xlfn.XLOOKUP(_xlpm.gtag,Generator!$B$53:$B$58,Generator!$S$53:$S$58,0)),0)),_xlpm.gxd,IF(_xlpm.gtag="",0,IFERROR(N(_xlfn.XLOOKUP(_xlpm.gtag,Generator!$B$53:$B$58,Generator!$U$53:$U$58,0)),0)),_xlpm.gamp,IF(OR(_xlpm.gkva=0,_xlpm.gxd=0,N($D165)=0),0,ROUND(_xlpm.gkva*1000/(IF(N($CB165)=1,1,SQRT(3))*$D165*_xlpm.gxd),0)),IF(OR(_xlpm.gamp=0,NOT(ISNUMBER(_xlpm.base))),_xlpm.base,MAX(_xlpm.base,_xlpm.gamp))),_xlpm.ulim,IF(OR($A165="",$B165&lt;&gt;"UPS"),"",IFERROR(IF(_xlfn.XLOOKUP($A165,UPS!$B$57:$B$64,UPS!$E$57:$E$64,"")="None",_xlfn.XLOOKUP($A165,UPS!$B$57:$B$64,UPS!$U$57:$U$64,""),""),"")),IF(AND(ISNUMBER(_xlpm.v),ISNUMBER(_xlpm.ulim)),MIN(_xlpm.v,_xlpm.ulim),_xlpm.v))</f>
        <v/>
      </c>
      <c r="K165" s="176"/>
      <c r="L165" s="177" t="str">
        <f t="shared" si="38"/>
        <v/>
      </c>
      <c r="M165" s="177" t="str">
        <f t="shared" si="39"/>
        <v/>
      </c>
      <c r="N165" s="380" t="str">
        <f>IF($A165="","",IF($C165=0,_xlfn.LET(_xlpm.x,IFERROR(_xlfn.XLOOKUP($A165,Util_Tags,Util_XR),""),IF(N(_xlpm.x)=0,Xfmr_DefXR,_xlpm.x)),IF(LEFT($A165,2)="T-",IFERROR(_xlfn.XLOOKUP($A165,Transformers!$A$6:$A$105,Transformers!$AH$6:$AH$105),Xfmr_DefXR),IFERROR(_xlfn.XLOOKUP($E165,$A$6:$A$255,$N$6:$N$255),Xfmr_DefXR))))</f>
        <v/>
      </c>
      <c r="O165" s="177" t="str">
        <f t="shared" si="40"/>
        <v/>
      </c>
      <c r="P165" s="210" t="str">
        <f>IF($A165="","",IF(LEFT($A165,2)="T-",IF($CO165="","",_xlfn.LET(_xlpm.k,IFERROR(_xlfn.XLOOKUP($A165,Transformers!$A$6:$A$105,Transformers!$G$6:$G$105),""),_xlpm.sv,IFERROR(_xlfn.XLOOKUP($A165,Transformers!$A$6:$A$105,Transformers!$E$6:$E$105),""),IF(OR(NOT(ISNUMBER(_xlpm.k)),NOT(ISNUMBER(_xlpm.sv)),_xlpm.sv=0),"",_xlfn.LET(_xlpm.iInf,(_xlpm.k*1000/(_xlpm.sv/2))*100/$CO165,_xlpm.pri,IF(OR($CK165="",$CK165=0),"",$CK165/2),_xlpm.base,IF(_xlpm.pri="",_xlpm.iInf,_xlpm.iInf/(1+_xlpm.iInf/_xlpm.pri)),_xlpm.base+IF($L165="",0,$L165))))),IF($CP165="","",_xlfn.LET(_xlpm.pI,IFERROR(_xlfn.XLOOKUP($E165,$A$6:$A$255,$P$6:$P$255),""),IF(NOT(ISNUMBER(_xlpm.pI)),"",_xlpm.pI/(1+$CP165)+IF($L165="",0,$L165))))))</f>
        <v/>
      </c>
      <c r="Q165" s="210" t="str">
        <f t="shared" si="41"/>
        <v/>
      </c>
      <c r="R165" s="177" t="str">
        <f>IF($A165="","",IF(OR($C165=0,LEFT($A165,2)="T-"),"",IFERROR(_xlfn.LET(_xlpm.v,_xlfn.XLOOKUP($A165,Dashboard!$A$101:$A$350,Dashboard!$K$101:$K$350),IF(ISNUMBER(_xlpm.v),_xlpm.v,"")),"")))</f>
        <v/>
      </c>
      <c r="S165" s="211" t="str">
        <f t="shared" si="42"/>
        <v/>
      </c>
      <c r="T165" s="25" t="str">
        <f t="shared" si="43"/>
        <v/>
      </c>
      <c r="U165" s="364"/>
      <c r="BV165" s="20" t="str">
        <f>IF($A165="","",IFERROR(_xlfn.XLOOKUP("F-"&amp;$A165,'Feeder Schedule'!$B$5:$B$254,'Feeder Schedule'!$H$5:$H$254),""))</f>
        <v/>
      </c>
      <c r="BW165" s="20" t="str">
        <f>IF($A165="","",IFERROR(_xlfn.XLOOKUP("F-"&amp;$A165,'Feeder Schedule'!$B$5:$B$254,'Feeder Schedule'!$BV$5:$BV$254),""))</f>
        <v/>
      </c>
      <c r="BX165" s="20" t="str">
        <f>IF($A165="","",IFERROR(_xlfn.LET(_xlpm.v,_xlfn.XLOOKUP("F-"&amp;$A165,'Feeder Schedule'!$B$5:$B$254,'Feeder Schedule'!$M$5:$M$254),IF(OR(_xlpm.v="",_xlpm.v=0),Cfg_Conduit,_xlpm.v)),""))</f>
        <v/>
      </c>
      <c r="BY165" s="20" t="str">
        <f>IF($A165="","",IFERROR(_xlfn.XLOOKUP("F-"&amp;$A165,'Feeder Schedule'!$B$5:$B$254,'Feeder Schedule'!$O$5:$O$254),""))</f>
        <v/>
      </c>
      <c r="BZ165" s="20" t="str">
        <f>IF($A165="","",IFERROR(_xlfn.XLOOKUP("F-"&amp;$A165,'Feeder Schedule'!$B$5:$B$254,'Feeder Schedule'!$CH$5:$CH$254),""))</f>
        <v/>
      </c>
      <c r="CA165" s="20" t="str">
        <f>IF($A165="","",IFERROR(_xlfn.XLOOKUP("F-"&amp;$A165,'Feeder Schedule'!$B$5:$B$254,'Feeder Schedule'!$F$5:$F$254),""))</f>
        <v/>
      </c>
      <c r="CB165" s="20" t="str">
        <f>IF($A165="","",IFERROR(_xlfn.XLOOKUP("F-"&amp;$A165,'Feeder Schedule'!$B$5:$B$254,'Feeder Schedule'!$G$5:$G$254),""))</f>
        <v/>
      </c>
      <c r="CD165" s="20" t="str" cm="1">
        <f t="array" ref="CD165">IFERROR(IF($A165="","",INDEX(_xlfn.ANCHORARRAY($BK$4),ROW()-5,6)),"")</f>
        <v/>
      </c>
      <c r="CE165" s="20" t="str">
        <f t="shared" si="46"/>
        <v/>
      </c>
      <c r="CF165" s="20" t="str">
        <f t="shared" si="47"/>
        <v/>
      </c>
      <c r="CG165" s="20" t="str">
        <f t="shared" si="44"/>
        <v/>
      </c>
      <c r="CH165" s="20" t="str" cm="1">
        <f t="array" ref="CH165">IF(OR($A165="",$BZ165="",$BW165="",$BX165=""),"",_xlfn.LET(_xlpm.mag,IFERROR(_xlfn.XLOOKUP($BX165,Race_Raceway,Race_Mag),""),IF(_xlpm.mag="","",IFERROR(INDEX(Cond_Table,MATCH($BZ165,Cond_Size,0),IF(UPPER($BW165)="AL",IF(_xlpm.mag="Y",10,12),IF(_xlpm.mag="Y",9,11))),""))))</f>
        <v/>
      </c>
      <c r="CI165" s="20" t="str">
        <f t="shared" si="45"/>
        <v/>
      </c>
      <c r="CJ165" s="20" t="str">
        <f>IF(OR($A165="",LEFT($A165,2)&lt;&gt;"T-"),"",IFERROR(_xlfn.LET(_xlpm.fla,_xlfn.XLOOKUP($A165,Transformers!$A$6:$A$105,Transformers!$AK$6:$AK$105),_xlpm.z,_xlfn.XLOOKUP($A165,Transformers!$A$6:$A$105,Transformers!$AX$6:$AX$105),IF(OR(_xlpm.fla="",_xlpm.z="",_xlpm.z=0),"",_xlpm.fla*100/_xlpm.z)),""))</f>
        <v/>
      </c>
      <c r="CK165" s="20" t="str">
        <f t="shared" si="48"/>
        <v/>
      </c>
      <c r="CL165" s="20" t="str">
        <f t="shared" si="49"/>
        <v/>
      </c>
      <c r="CM165" s="373"/>
      <c r="CO165" s="20" t="str">
        <f>IF(OR($A165="",LEFT($A165,2)&lt;&gt;"T-"),"",_xlfn.LET(_xlpm.ph,IFERROR(_xlfn.XLOOKUP($A165,Transformers!$A$6:$A$105,Transformers!$C$6:$C$105),""),_xlpm.rr,IFERROR(_xlfn.XLOOKUP($A165,Transformers!$A$6:$A$105,Transformers!$AG$6:$AG$105),""),_xlpm.xx,IFERROR(_xlfn.XLOOKUP($A165,Transformers!$A$6:$A$105,Transformers!$AI$6:$AI$105),""),IF(OR(_xlpm.ph&lt;&gt;1,NOT(ISNUMBER(_xlpm.rr)),NOT(ISNUMBER(_xlpm.xx))),"",SQRT((1.5*_xlpm.rr)^2+(1.2*_xlpm.xx)^2))))</f>
        <v/>
      </c>
      <c r="CP165" s="20" t="str">
        <f t="shared" si="50"/>
        <v/>
      </c>
    </row>
    <row r="166" spans="1:94" ht="15" customHeight="1" x14ac:dyDescent="0.45">
      <c r="A166" s="275" t="str" cm="1">
        <f t="array" ref="A166">IFERROR(IF(INDEX(_xlfn.ANCHORARRAY($BK$4),ROW()-5,1)="","",INDEX(_xlfn.ANCHORARRAY($BK$4),ROW()-5,1)),"")</f>
        <v/>
      </c>
      <c r="B166" s="25" t="str" cm="1">
        <f t="array" ref="B166">IFERROR(IF($A166="","",INDEX(_xlfn.ANCHORARRAY($BK$4),ROW()-5,5)),"")</f>
        <v/>
      </c>
      <c r="C166" s="178" t="str" cm="1">
        <f t="array" ref="C166">IFERROR(IF($A166="","",INDEX(_xlfn.ANCHORARRAY($BK$4),ROW()-5,7)),"")</f>
        <v/>
      </c>
      <c r="D166" s="177" t="str" cm="1">
        <f t="array" ref="D166">IFERROR(IF($A166="","",INDEX(_xlfn.ANCHORARRAY($BK$4),ROW()-5,3)),"")</f>
        <v/>
      </c>
      <c r="E166" s="25" t="str" cm="1">
        <f t="array" ref="E166">IFERROR(IF($A166="","",INDEX(_xlfn.ANCHORARRAY($BK$4),ROW()-5,2)),"")</f>
        <v/>
      </c>
      <c r="F166" s="177" t="str">
        <f t="shared" si="34"/>
        <v/>
      </c>
      <c r="G166" s="275" t="str">
        <f t="shared" si="35"/>
        <v/>
      </c>
      <c r="H166" s="180" t="str">
        <f t="shared" si="36"/>
        <v/>
      </c>
      <c r="I166" s="180" t="str">
        <f t="shared" si="37"/>
        <v/>
      </c>
      <c r="J166" s="177" t="str">
        <f>_xlfn.LET(_xlpm.v,_xlfn.LET(_xlpm.base,IF($A166="","",IF($C166=0,IFERROR(_xlfn.XLOOKUP($A166,Util_Tags,Util_SCAEff),""),IF(LEFT($A166,2)="T-",IF($CJ166="","",$CJ166/(1+IF($CL166="",0,$CL166))),IF(OR($F166="",$I166=""),"",$F166*$I166)))),_xlpm.gtag,IF(OR($A166="",NOT(OR($B166="ATS",$B166="MTS"))),"",IFERROR(_xlfn.XLOOKUP($A166,Dashboard!$A$101:$A$350,Dashboard!$L$101:$L$350,"")&amp;"","")),_xlpm.gkva,IF(_xlpm.gtag="",0,IFERROR(N(_xlfn.XLOOKUP(_xlpm.gtag,Generator!$B$53:$B$58,Generator!$S$53:$S$58,0)),0)),_xlpm.gxd,IF(_xlpm.gtag="",0,IFERROR(N(_xlfn.XLOOKUP(_xlpm.gtag,Generator!$B$53:$B$58,Generator!$U$53:$U$58,0)),0)),_xlpm.gamp,IF(OR(_xlpm.gkva=0,_xlpm.gxd=0,N($D166)=0),0,ROUND(_xlpm.gkva*1000/(IF(N($CB166)=1,1,SQRT(3))*$D166*_xlpm.gxd),0)),IF(OR(_xlpm.gamp=0,NOT(ISNUMBER(_xlpm.base))),_xlpm.base,MAX(_xlpm.base,_xlpm.gamp))),_xlpm.ulim,IF(OR($A166="",$B166&lt;&gt;"UPS"),"",IFERROR(IF(_xlfn.XLOOKUP($A166,UPS!$B$57:$B$64,UPS!$E$57:$E$64,"")="None",_xlfn.XLOOKUP($A166,UPS!$B$57:$B$64,UPS!$U$57:$U$64,""),""),"")),IF(AND(ISNUMBER(_xlpm.v),ISNUMBER(_xlpm.ulim)),MIN(_xlpm.v,_xlpm.ulim),_xlpm.v))</f>
        <v/>
      </c>
      <c r="K166" s="176"/>
      <c r="L166" s="177" t="str">
        <f t="shared" si="38"/>
        <v/>
      </c>
      <c r="M166" s="177" t="str">
        <f t="shared" si="39"/>
        <v/>
      </c>
      <c r="N166" s="380" t="str">
        <f>IF($A166="","",IF($C166=0,_xlfn.LET(_xlpm.x,IFERROR(_xlfn.XLOOKUP($A166,Util_Tags,Util_XR),""),IF(N(_xlpm.x)=0,Xfmr_DefXR,_xlpm.x)),IF(LEFT($A166,2)="T-",IFERROR(_xlfn.XLOOKUP($A166,Transformers!$A$6:$A$105,Transformers!$AH$6:$AH$105),Xfmr_DefXR),IFERROR(_xlfn.XLOOKUP($E166,$A$6:$A$255,$N$6:$N$255),Xfmr_DefXR))))</f>
        <v/>
      </c>
      <c r="O166" s="177" t="str">
        <f t="shared" si="40"/>
        <v/>
      </c>
      <c r="P166" s="210" t="str">
        <f>IF($A166="","",IF(LEFT($A166,2)="T-",IF($CO166="","",_xlfn.LET(_xlpm.k,IFERROR(_xlfn.XLOOKUP($A166,Transformers!$A$6:$A$105,Transformers!$G$6:$G$105),""),_xlpm.sv,IFERROR(_xlfn.XLOOKUP($A166,Transformers!$A$6:$A$105,Transformers!$E$6:$E$105),""),IF(OR(NOT(ISNUMBER(_xlpm.k)),NOT(ISNUMBER(_xlpm.sv)),_xlpm.sv=0),"",_xlfn.LET(_xlpm.iInf,(_xlpm.k*1000/(_xlpm.sv/2))*100/$CO166,_xlpm.pri,IF(OR($CK166="",$CK166=0),"",$CK166/2),_xlpm.base,IF(_xlpm.pri="",_xlpm.iInf,_xlpm.iInf/(1+_xlpm.iInf/_xlpm.pri)),_xlpm.base+IF($L166="",0,$L166))))),IF($CP166="","",_xlfn.LET(_xlpm.pI,IFERROR(_xlfn.XLOOKUP($E166,$A$6:$A$255,$P$6:$P$255),""),IF(NOT(ISNUMBER(_xlpm.pI)),"",_xlpm.pI/(1+$CP166)+IF($L166="",0,$L166))))))</f>
        <v/>
      </c>
      <c r="Q166" s="210" t="str">
        <f t="shared" si="41"/>
        <v/>
      </c>
      <c r="R166" s="177" t="str">
        <f>IF($A166="","",IF(OR($C166=0,LEFT($A166,2)="T-"),"",IFERROR(_xlfn.LET(_xlpm.v,_xlfn.XLOOKUP($A166,Dashboard!$A$101:$A$350,Dashboard!$K$101:$K$350),IF(ISNUMBER(_xlpm.v),_xlpm.v,"")),"")))</f>
        <v/>
      </c>
      <c r="S166" s="211" t="str">
        <f t="shared" si="42"/>
        <v/>
      </c>
      <c r="T166" s="25" t="str">
        <f t="shared" si="43"/>
        <v/>
      </c>
      <c r="U166" s="364"/>
      <c r="BV166" s="20" t="str">
        <f>IF($A166="","",IFERROR(_xlfn.XLOOKUP("F-"&amp;$A166,'Feeder Schedule'!$B$5:$B$254,'Feeder Schedule'!$H$5:$H$254),""))</f>
        <v/>
      </c>
      <c r="BW166" s="20" t="str">
        <f>IF($A166="","",IFERROR(_xlfn.XLOOKUP("F-"&amp;$A166,'Feeder Schedule'!$B$5:$B$254,'Feeder Schedule'!$BV$5:$BV$254),""))</f>
        <v/>
      </c>
      <c r="BX166" s="20" t="str">
        <f>IF($A166="","",IFERROR(_xlfn.LET(_xlpm.v,_xlfn.XLOOKUP("F-"&amp;$A166,'Feeder Schedule'!$B$5:$B$254,'Feeder Schedule'!$M$5:$M$254),IF(OR(_xlpm.v="",_xlpm.v=0),Cfg_Conduit,_xlpm.v)),""))</f>
        <v/>
      </c>
      <c r="BY166" s="20" t="str">
        <f>IF($A166="","",IFERROR(_xlfn.XLOOKUP("F-"&amp;$A166,'Feeder Schedule'!$B$5:$B$254,'Feeder Schedule'!$O$5:$O$254),""))</f>
        <v/>
      </c>
      <c r="BZ166" s="20" t="str">
        <f>IF($A166="","",IFERROR(_xlfn.XLOOKUP("F-"&amp;$A166,'Feeder Schedule'!$B$5:$B$254,'Feeder Schedule'!$CH$5:$CH$254),""))</f>
        <v/>
      </c>
      <c r="CA166" s="20" t="str">
        <f>IF($A166="","",IFERROR(_xlfn.XLOOKUP("F-"&amp;$A166,'Feeder Schedule'!$B$5:$B$254,'Feeder Schedule'!$F$5:$F$254),""))</f>
        <v/>
      </c>
      <c r="CB166" s="20" t="str">
        <f>IF($A166="","",IFERROR(_xlfn.XLOOKUP("F-"&amp;$A166,'Feeder Schedule'!$B$5:$B$254,'Feeder Schedule'!$G$5:$G$254),""))</f>
        <v/>
      </c>
      <c r="CD166" s="20" t="str" cm="1">
        <f t="array" ref="CD166">IFERROR(IF($A166="","",INDEX(_xlfn.ANCHORARRAY($BK$4),ROW()-5,6)),"")</f>
        <v/>
      </c>
      <c r="CE166" s="20" t="str">
        <f t="shared" si="46"/>
        <v/>
      </c>
      <c r="CF166" s="20" t="str">
        <f t="shared" si="47"/>
        <v/>
      </c>
      <c r="CG166" s="20" t="str">
        <f t="shared" si="44"/>
        <v/>
      </c>
      <c r="CH166" s="20" t="str" cm="1">
        <f t="array" ref="CH166">IF(OR($A166="",$BZ166="",$BW166="",$BX166=""),"",_xlfn.LET(_xlpm.mag,IFERROR(_xlfn.XLOOKUP($BX166,Race_Raceway,Race_Mag),""),IF(_xlpm.mag="","",IFERROR(INDEX(Cond_Table,MATCH($BZ166,Cond_Size,0),IF(UPPER($BW166)="AL",IF(_xlpm.mag="Y",10,12),IF(_xlpm.mag="Y",9,11))),""))))</f>
        <v/>
      </c>
      <c r="CI166" s="20" t="str">
        <f t="shared" si="45"/>
        <v/>
      </c>
      <c r="CJ166" s="20" t="str">
        <f>IF(OR($A166="",LEFT($A166,2)&lt;&gt;"T-"),"",IFERROR(_xlfn.LET(_xlpm.fla,_xlfn.XLOOKUP($A166,Transformers!$A$6:$A$105,Transformers!$AK$6:$AK$105),_xlpm.z,_xlfn.XLOOKUP($A166,Transformers!$A$6:$A$105,Transformers!$AX$6:$AX$105),IF(OR(_xlpm.fla="",_xlpm.z="",_xlpm.z=0),"",_xlpm.fla*100/_xlpm.z)),""))</f>
        <v/>
      </c>
      <c r="CK166" s="20" t="str">
        <f t="shared" si="48"/>
        <v/>
      </c>
      <c r="CL166" s="20" t="str">
        <f t="shared" si="49"/>
        <v/>
      </c>
      <c r="CM166" s="373"/>
      <c r="CO166" s="20" t="str">
        <f>IF(OR($A166="",LEFT($A166,2)&lt;&gt;"T-"),"",_xlfn.LET(_xlpm.ph,IFERROR(_xlfn.XLOOKUP($A166,Transformers!$A$6:$A$105,Transformers!$C$6:$C$105),""),_xlpm.rr,IFERROR(_xlfn.XLOOKUP($A166,Transformers!$A$6:$A$105,Transformers!$AG$6:$AG$105),""),_xlpm.xx,IFERROR(_xlfn.XLOOKUP($A166,Transformers!$A$6:$A$105,Transformers!$AI$6:$AI$105),""),IF(OR(_xlpm.ph&lt;&gt;1,NOT(ISNUMBER(_xlpm.rr)),NOT(ISNUMBER(_xlpm.xx))),"",SQRT((1.5*_xlpm.rr)^2+(1.2*_xlpm.xx)^2))))</f>
        <v/>
      </c>
      <c r="CP166" s="20" t="str">
        <f t="shared" si="50"/>
        <v/>
      </c>
    </row>
    <row r="167" spans="1:94" ht="15" customHeight="1" x14ac:dyDescent="0.45">
      <c r="A167" s="275" t="str" cm="1">
        <f t="array" ref="A167">IFERROR(IF(INDEX(_xlfn.ANCHORARRAY($BK$4),ROW()-5,1)="","",INDEX(_xlfn.ANCHORARRAY($BK$4),ROW()-5,1)),"")</f>
        <v/>
      </c>
      <c r="B167" s="25" t="str" cm="1">
        <f t="array" ref="B167">IFERROR(IF($A167="","",INDEX(_xlfn.ANCHORARRAY($BK$4),ROW()-5,5)),"")</f>
        <v/>
      </c>
      <c r="C167" s="178" t="str" cm="1">
        <f t="array" ref="C167">IFERROR(IF($A167="","",INDEX(_xlfn.ANCHORARRAY($BK$4),ROW()-5,7)),"")</f>
        <v/>
      </c>
      <c r="D167" s="177" t="str" cm="1">
        <f t="array" ref="D167">IFERROR(IF($A167="","",INDEX(_xlfn.ANCHORARRAY($BK$4),ROW()-5,3)),"")</f>
        <v/>
      </c>
      <c r="E167" s="25" t="str" cm="1">
        <f t="array" ref="E167">IFERROR(IF($A167="","",INDEX(_xlfn.ANCHORARRAY($BK$4),ROW()-5,2)),"")</f>
        <v/>
      </c>
      <c r="F167" s="177" t="str">
        <f t="shared" si="34"/>
        <v/>
      </c>
      <c r="G167" s="275" t="str">
        <f t="shared" si="35"/>
        <v/>
      </c>
      <c r="H167" s="180" t="str">
        <f t="shared" si="36"/>
        <v/>
      </c>
      <c r="I167" s="180" t="str">
        <f t="shared" si="37"/>
        <v/>
      </c>
      <c r="J167" s="177" t="str">
        <f>_xlfn.LET(_xlpm.v,_xlfn.LET(_xlpm.base,IF($A167="","",IF($C167=0,IFERROR(_xlfn.XLOOKUP($A167,Util_Tags,Util_SCAEff),""),IF(LEFT($A167,2)="T-",IF($CJ167="","",$CJ167/(1+IF($CL167="",0,$CL167))),IF(OR($F167="",$I167=""),"",$F167*$I167)))),_xlpm.gtag,IF(OR($A167="",NOT(OR($B167="ATS",$B167="MTS"))),"",IFERROR(_xlfn.XLOOKUP($A167,Dashboard!$A$101:$A$350,Dashboard!$L$101:$L$350,"")&amp;"","")),_xlpm.gkva,IF(_xlpm.gtag="",0,IFERROR(N(_xlfn.XLOOKUP(_xlpm.gtag,Generator!$B$53:$B$58,Generator!$S$53:$S$58,0)),0)),_xlpm.gxd,IF(_xlpm.gtag="",0,IFERROR(N(_xlfn.XLOOKUP(_xlpm.gtag,Generator!$B$53:$B$58,Generator!$U$53:$U$58,0)),0)),_xlpm.gamp,IF(OR(_xlpm.gkva=0,_xlpm.gxd=0,N($D167)=0),0,ROUND(_xlpm.gkva*1000/(IF(N($CB167)=1,1,SQRT(3))*$D167*_xlpm.gxd),0)),IF(OR(_xlpm.gamp=0,NOT(ISNUMBER(_xlpm.base))),_xlpm.base,MAX(_xlpm.base,_xlpm.gamp))),_xlpm.ulim,IF(OR($A167="",$B167&lt;&gt;"UPS"),"",IFERROR(IF(_xlfn.XLOOKUP($A167,UPS!$B$57:$B$64,UPS!$E$57:$E$64,"")="None",_xlfn.XLOOKUP($A167,UPS!$B$57:$B$64,UPS!$U$57:$U$64,""),""),"")),IF(AND(ISNUMBER(_xlpm.v),ISNUMBER(_xlpm.ulim)),MIN(_xlpm.v,_xlpm.ulim),_xlpm.v))</f>
        <v/>
      </c>
      <c r="K167" s="176"/>
      <c r="L167" s="177" t="str">
        <f t="shared" si="38"/>
        <v/>
      </c>
      <c r="M167" s="177" t="str">
        <f t="shared" si="39"/>
        <v/>
      </c>
      <c r="N167" s="380" t="str">
        <f>IF($A167="","",IF($C167=0,_xlfn.LET(_xlpm.x,IFERROR(_xlfn.XLOOKUP($A167,Util_Tags,Util_XR),""),IF(N(_xlpm.x)=0,Xfmr_DefXR,_xlpm.x)),IF(LEFT($A167,2)="T-",IFERROR(_xlfn.XLOOKUP($A167,Transformers!$A$6:$A$105,Transformers!$AH$6:$AH$105),Xfmr_DefXR),IFERROR(_xlfn.XLOOKUP($E167,$A$6:$A$255,$N$6:$N$255),Xfmr_DefXR))))</f>
        <v/>
      </c>
      <c r="O167" s="177" t="str">
        <f t="shared" si="40"/>
        <v/>
      </c>
      <c r="P167" s="210" t="str">
        <f>IF($A167="","",IF(LEFT($A167,2)="T-",IF($CO167="","",_xlfn.LET(_xlpm.k,IFERROR(_xlfn.XLOOKUP($A167,Transformers!$A$6:$A$105,Transformers!$G$6:$G$105),""),_xlpm.sv,IFERROR(_xlfn.XLOOKUP($A167,Transformers!$A$6:$A$105,Transformers!$E$6:$E$105),""),IF(OR(NOT(ISNUMBER(_xlpm.k)),NOT(ISNUMBER(_xlpm.sv)),_xlpm.sv=0),"",_xlfn.LET(_xlpm.iInf,(_xlpm.k*1000/(_xlpm.sv/2))*100/$CO167,_xlpm.pri,IF(OR($CK167="",$CK167=0),"",$CK167/2),_xlpm.base,IF(_xlpm.pri="",_xlpm.iInf,_xlpm.iInf/(1+_xlpm.iInf/_xlpm.pri)),_xlpm.base+IF($L167="",0,$L167))))),IF($CP167="","",_xlfn.LET(_xlpm.pI,IFERROR(_xlfn.XLOOKUP($E167,$A$6:$A$255,$P$6:$P$255),""),IF(NOT(ISNUMBER(_xlpm.pI)),"",_xlpm.pI/(1+$CP167)+IF($L167="",0,$L167))))))</f>
        <v/>
      </c>
      <c r="Q167" s="210" t="str">
        <f t="shared" si="41"/>
        <v/>
      </c>
      <c r="R167" s="177" t="str">
        <f>IF($A167="","",IF(OR($C167=0,LEFT($A167,2)="T-"),"",IFERROR(_xlfn.LET(_xlpm.v,_xlfn.XLOOKUP($A167,Dashboard!$A$101:$A$350,Dashboard!$K$101:$K$350),IF(ISNUMBER(_xlpm.v),_xlpm.v,"")),"")))</f>
        <v/>
      </c>
      <c r="S167" s="211" t="str">
        <f t="shared" si="42"/>
        <v/>
      </c>
      <c r="T167" s="25" t="str">
        <f t="shared" si="43"/>
        <v/>
      </c>
      <c r="U167" s="364"/>
      <c r="BV167" s="20" t="str">
        <f>IF($A167="","",IFERROR(_xlfn.XLOOKUP("F-"&amp;$A167,'Feeder Schedule'!$B$5:$B$254,'Feeder Schedule'!$H$5:$H$254),""))</f>
        <v/>
      </c>
      <c r="BW167" s="20" t="str">
        <f>IF($A167="","",IFERROR(_xlfn.XLOOKUP("F-"&amp;$A167,'Feeder Schedule'!$B$5:$B$254,'Feeder Schedule'!$BV$5:$BV$254),""))</f>
        <v/>
      </c>
      <c r="BX167" s="20" t="str">
        <f>IF($A167="","",IFERROR(_xlfn.LET(_xlpm.v,_xlfn.XLOOKUP("F-"&amp;$A167,'Feeder Schedule'!$B$5:$B$254,'Feeder Schedule'!$M$5:$M$254),IF(OR(_xlpm.v="",_xlpm.v=0),Cfg_Conduit,_xlpm.v)),""))</f>
        <v/>
      </c>
      <c r="BY167" s="20" t="str">
        <f>IF($A167="","",IFERROR(_xlfn.XLOOKUP("F-"&amp;$A167,'Feeder Schedule'!$B$5:$B$254,'Feeder Schedule'!$O$5:$O$254),""))</f>
        <v/>
      </c>
      <c r="BZ167" s="20" t="str">
        <f>IF($A167="","",IFERROR(_xlfn.XLOOKUP("F-"&amp;$A167,'Feeder Schedule'!$B$5:$B$254,'Feeder Schedule'!$CH$5:$CH$254),""))</f>
        <v/>
      </c>
      <c r="CA167" s="20" t="str">
        <f>IF($A167="","",IFERROR(_xlfn.XLOOKUP("F-"&amp;$A167,'Feeder Schedule'!$B$5:$B$254,'Feeder Schedule'!$F$5:$F$254),""))</f>
        <v/>
      </c>
      <c r="CB167" s="20" t="str">
        <f>IF($A167="","",IFERROR(_xlfn.XLOOKUP("F-"&amp;$A167,'Feeder Schedule'!$B$5:$B$254,'Feeder Schedule'!$G$5:$G$254),""))</f>
        <v/>
      </c>
      <c r="CD167" s="20" t="str" cm="1">
        <f t="array" ref="CD167">IFERROR(IF($A167="","",INDEX(_xlfn.ANCHORARRAY($BK$4),ROW()-5,6)),"")</f>
        <v/>
      </c>
      <c r="CE167" s="20" t="str">
        <f t="shared" si="46"/>
        <v/>
      </c>
      <c r="CF167" s="20" t="str">
        <f t="shared" si="47"/>
        <v/>
      </c>
      <c r="CG167" s="20" t="str">
        <f t="shared" si="44"/>
        <v/>
      </c>
      <c r="CH167" s="20" t="str" cm="1">
        <f t="array" ref="CH167">IF(OR($A167="",$BZ167="",$BW167="",$BX167=""),"",_xlfn.LET(_xlpm.mag,IFERROR(_xlfn.XLOOKUP($BX167,Race_Raceway,Race_Mag),""),IF(_xlpm.mag="","",IFERROR(INDEX(Cond_Table,MATCH($BZ167,Cond_Size,0),IF(UPPER($BW167)="AL",IF(_xlpm.mag="Y",10,12),IF(_xlpm.mag="Y",9,11))),""))))</f>
        <v/>
      </c>
      <c r="CI167" s="20" t="str">
        <f t="shared" si="45"/>
        <v/>
      </c>
      <c r="CJ167" s="20" t="str">
        <f>IF(OR($A167="",LEFT($A167,2)&lt;&gt;"T-"),"",IFERROR(_xlfn.LET(_xlpm.fla,_xlfn.XLOOKUP($A167,Transformers!$A$6:$A$105,Transformers!$AK$6:$AK$105),_xlpm.z,_xlfn.XLOOKUP($A167,Transformers!$A$6:$A$105,Transformers!$AX$6:$AX$105),IF(OR(_xlpm.fla="",_xlpm.z="",_xlpm.z=0),"",_xlpm.fla*100/_xlpm.z)),""))</f>
        <v/>
      </c>
      <c r="CK167" s="20" t="str">
        <f t="shared" si="48"/>
        <v/>
      </c>
      <c r="CL167" s="20" t="str">
        <f t="shared" si="49"/>
        <v/>
      </c>
      <c r="CM167" s="373"/>
      <c r="CO167" s="20" t="str">
        <f>IF(OR($A167="",LEFT($A167,2)&lt;&gt;"T-"),"",_xlfn.LET(_xlpm.ph,IFERROR(_xlfn.XLOOKUP($A167,Transformers!$A$6:$A$105,Transformers!$C$6:$C$105),""),_xlpm.rr,IFERROR(_xlfn.XLOOKUP($A167,Transformers!$A$6:$A$105,Transformers!$AG$6:$AG$105),""),_xlpm.xx,IFERROR(_xlfn.XLOOKUP($A167,Transformers!$A$6:$A$105,Transformers!$AI$6:$AI$105),""),IF(OR(_xlpm.ph&lt;&gt;1,NOT(ISNUMBER(_xlpm.rr)),NOT(ISNUMBER(_xlpm.xx))),"",SQRT((1.5*_xlpm.rr)^2+(1.2*_xlpm.xx)^2))))</f>
        <v/>
      </c>
      <c r="CP167" s="20" t="str">
        <f t="shared" si="50"/>
        <v/>
      </c>
    </row>
    <row r="168" spans="1:94" ht="15" customHeight="1" x14ac:dyDescent="0.45">
      <c r="A168" s="275" t="str" cm="1">
        <f t="array" ref="A168">IFERROR(IF(INDEX(_xlfn.ANCHORARRAY($BK$4),ROW()-5,1)="","",INDEX(_xlfn.ANCHORARRAY($BK$4),ROW()-5,1)),"")</f>
        <v/>
      </c>
      <c r="B168" s="25" t="str" cm="1">
        <f t="array" ref="B168">IFERROR(IF($A168="","",INDEX(_xlfn.ANCHORARRAY($BK$4),ROW()-5,5)),"")</f>
        <v/>
      </c>
      <c r="C168" s="178" t="str" cm="1">
        <f t="array" ref="C168">IFERROR(IF($A168="","",INDEX(_xlfn.ANCHORARRAY($BK$4),ROW()-5,7)),"")</f>
        <v/>
      </c>
      <c r="D168" s="177" t="str" cm="1">
        <f t="array" ref="D168">IFERROR(IF($A168="","",INDEX(_xlfn.ANCHORARRAY($BK$4),ROW()-5,3)),"")</f>
        <v/>
      </c>
      <c r="E168" s="25" t="str" cm="1">
        <f t="array" ref="E168">IFERROR(IF($A168="","",INDEX(_xlfn.ANCHORARRAY($BK$4),ROW()-5,2)),"")</f>
        <v/>
      </c>
      <c r="F168" s="177" t="str">
        <f t="shared" si="34"/>
        <v/>
      </c>
      <c r="G168" s="275" t="str">
        <f t="shared" si="35"/>
        <v/>
      </c>
      <c r="H168" s="180" t="str">
        <f t="shared" si="36"/>
        <v/>
      </c>
      <c r="I168" s="180" t="str">
        <f t="shared" si="37"/>
        <v/>
      </c>
      <c r="J168" s="177" t="str">
        <f>_xlfn.LET(_xlpm.v,_xlfn.LET(_xlpm.base,IF($A168="","",IF($C168=0,IFERROR(_xlfn.XLOOKUP($A168,Util_Tags,Util_SCAEff),""),IF(LEFT($A168,2)="T-",IF($CJ168="","",$CJ168/(1+IF($CL168="",0,$CL168))),IF(OR($F168="",$I168=""),"",$F168*$I168)))),_xlpm.gtag,IF(OR($A168="",NOT(OR($B168="ATS",$B168="MTS"))),"",IFERROR(_xlfn.XLOOKUP($A168,Dashboard!$A$101:$A$350,Dashboard!$L$101:$L$350,"")&amp;"","")),_xlpm.gkva,IF(_xlpm.gtag="",0,IFERROR(N(_xlfn.XLOOKUP(_xlpm.gtag,Generator!$B$53:$B$58,Generator!$S$53:$S$58,0)),0)),_xlpm.gxd,IF(_xlpm.gtag="",0,IFERROR(N(_xlfn.XLOOKUP(_xlpm.gtag,Generator!$B$53:$B$58,Generator!$U$53:$U$58,0)),0)),_xlpm.gamp,IF(OR(_xlpm.gkva=0,_xlpm.gxd=0,N($D168)=0),0,ROUND(_xlpm.gkva*1000/(IF(N($CB168)=1,1,SQRT(3))*$D168*_xlpm.gxd),0)),IF(OR(_xlpm.gamp=0,NOT(ISNUMBER(_xlpm.base))),_xlpm.base,MAX(_xlpm.base,_xlpm.gamp))),_xlpm.ulim,IF(OR($A168="",$B168&lt;&gt;"UPS"),"",IFERROR(IF(_xlfn.XLOOKUP($A168,UPS!$B$57:$B$64,UPS!$E$57:$E$64,"")="None",_xlfn.XLOOKUP($A168,UPS!$B$57:$B$64,UPS!$U$57:$U$64,""),""),"")),IF(AND(ISNUMBER(_xlpm.v),ISNUMBER(_xlpm.ulim)),MIN(_xlpm.v,_xlpm.ulim),_xlpm.v))</f>
        <v/>
      </c>
      <c r="K168" s="176"/>
      <c r="L168" s="177" t="str">
        <f t="shared" si="38"/>
        <v/>
      </c>
      <c r="M168" s="177" t="str">
        <f t="shared" si="39"/>
        <v/>
      </c>
      <c r="N168" s="380" t="str">
        <f>IF($A168="","",IF($C168=0,_xlfn.LET(_xlpm.x,IFERROR(_xlfn.XLOOKUP($A168,Util_Tags,Util_XR),""),IF(N(_xlpm.x)=0,Xfmr_DefXR,_xlpm.x)),IF(LEFT($A168,2)="T-",IFERROR(_xlfn.XLOOKUP($A168,Transformers!$A$6:$A$105,Transformers!$AH$6:$AH$105),Xfmr_DefXR),IFERROR(_xlfn.XLOOKUP($E168,$A$6:$A$255,$N$6:$N$255),Xfmr_DefXR))))</f>
        <v/>
      </c>
      <c r="O168" s="177" t="str">
        <f t="shared" si="40"/>
        <v/>
      </c>
      <c r="P168" s="210" t="str">
        <f>IF($A168="","",IF(LEFT($A168,2)="T-",IF($CO168="","",_xlfn.LET(_xlpm.k,IFERROR(_xlfn.XLOOKUP($A168,Transformers!$A$6:$A$105,Transformers!$G$6:$G$105),""),_xlpm.sv,IFERROR(_xlfn.XLOOKUP($A168,Transformers!$A$6:$A$105,Transformers!$E$6:$E$105),""),IF(OR(NOT(ISNUMBER(_xlpm.k)),NOT(ISNUMBER(_xlpm.sv)),_xlpm.sv=0),"",_xlfn.LET(_xlpm.iInf,(_xlpm.k*1000/(_xlpm.sv/2))*100/$CO168,_xlpm.pri,IF(OR($CK168="",$CK168=0),"",$CK168/2),_xlpm.base,IF(_xlpm.pri="",_xlpm.iInf,_xlpm.iInf/(1+_xlpm.iInf/_xlpm.pri)),_xlpm.base+IF($L168="",0,$L168))))),IF($CP168="","",_xlfn.LET(_xlpm.pI,IFERROR(_xlfn.XLOOKUP($E168,$A$6:$A$255,$P$6:$P$255),""),IF(NOT(ISNUMBER(_xlpm.pI)),"",_xlpm.pI/(1+$CP168)+IF($L168="",0,$L168))))))</f>
        <v/>
      </c>
      <c r="Q168" s="210" t="str">
        <f t="shared" si="41"/>
        <v/>
      </c>
      <c r="R168" s="177" t="str">
        <f>IF($A168="","",IF(OR($C168=0,LEFT($A168,2)="T-"),"",IFERROR(_xlfn.LET(_xlpm.v,_xlfn.XLOOKUP($A168,Dashboard!$A$101:$A$350,Dashboard!$K$101:$K$350),IF(ISNUMBER(_xlpm.v),_xlpm.v,"")),"")))</f>
        <v/>
      </c>
      <c r="S168" s="211" t="str">
        <f t="shared" si="42"/>
        <v/>
      </c>
      <c r="T168" s="25" t="str">
        <f t="shared" si="43"/>
        <v/>
      </c>
      <c r="U168" s="364"/>
      <c r="BV168" s="20" t="str">
        <f>IF($A168="","",IFERROR(_xlfn.XLOOKUP("F-"&amp;$A168,'Feeder Schedule'!$B$5:$B$254,'Feeder Schedule'!$H$5:$H$254),""))</f>
        <v/>
      </c>
      <c r="BW168" s="20" t="str">
        <f>IF($A168="","",IFERROR(_xlfn.XLOOKUP("F-"&amp;$A168,'Feeder Schedule'!$B$5:$B$254,'Feeder Schedule'!$BV$5:$BV$254),""))</f>
        <v/>
      </c>
      <c r="BX168" s="20" t="str">
        <f>IF($A168="","",IFERROR(_xlfn.LET(_xlpm.v,_xlfn.XLOOKUP("F-"&amp;$A168,'Feeder Schedule'!$B$5:$B$254,'Feeder Schedule'!$M$5:$M$254),IF(OR(_xlpm.v="",_xlpm.v=0),Cfg_Conduit,_xlpm.v)),""))</f>
        <v/>
      </c>
      <c r="BY168" s="20" t="str">
        <f>IF($A168="","",IFERROR(_xlfn.XLOOKUP("F-"&amp;$A168,'Feeder Schedule'!$B$5:$B$254,'Feeder Schedule'!$O$5:$O$254),""))</f>
        <v/>
      </c>
      <c r="BZ168" s="20" t="str">
        <f>IF($A168="","",IFERROR(_xlfn.XLOOKUP("F-"&amp;$A168,'Feeder Schedule'!$B$5:$B$254,'Feeder Schedule'!$CH$5:$CH$254),""))</f>
        <v/>
      </c>
      <c r="CA168" s="20" t="str">
        <f>IF($A168="","",IFERROR(_xlfn.XLOOKUP("F-"&amp;$A168,'Feeder Schedule'!$B$5:$B$254,'Feeder Schedule'!$F$5:$F$254),""))</f>
        <v/>
      </c>
      <c r="CB168" s="20" t="str">
        <f>IF($A168="","",IFERROR(_xlfn.XLOOKUP("F-"&amp;$A168,'Feeder Schedule'!$B$5:$B$254,'Feeder Schedule'!$G$5:$G$254),""))</f>
        <v/>
      </c>
      <c r="CD168" s="20" t="str" cm="1">
        <f t="array" ref="CD168">IFERROR(IF($A168="","",INDEX(_xlfn.ANCHORARRAY($BK$4),ROW()-5,6)),"")</f>
        <v/>
      </c>
      <c r="CE168" s="20" t="str">
        <f t="shared" si="46"/>
        <v/>
      </c>
      <c r="CF168" s="20" t="str">
        <f t="shared" si="47"/>
        <v/>
      </c>
      <c r="CG168" s="20" t="str">
        <f t="shared" si="44"/>
        <v/>
      </c>
      <c r="CH168" s="20" t="str" cm="1">
        <f t="array" ref="CH168">IF(OR($A168="",$BZ168="",$BW168="",$BX168=""),"",_xlfn.LET(_xlpm.mag,IFERROR(_xlfn.XLOOKUP($BX168,Race_Raceway,Race_Mag),""),IF(_xlpm.mag="","",IFERROR(INDEX(Cond_Table,MATCH($BZ168,Cond_Size,0),IF(UPPER($BW168)="AL",IF(_xlpm.mag="Y",10,12),IF(_xlpm.mag="Y",9,11))),""))))</f>
        <v/>
      </c>
      <c r="CI168" s="20" t="str">
        <f t="shared" si="45"/>
        <v/>
      </c>
      <c r="CJ168" s="20" t="str">
        <f>IF(OR($A168="",LEFT($A168,2)&lt;&gt;"T-"),"",IFERROR(_xlfn.LET(_xlpm.fla,_xlfn.XLOOKUP($A168,Transformers!$A$6:$A$105,Transformers!$AK$6:$AK$105),_xlpm.z,_xlfn.XLOOKUP($A168,Transformers!$A$6:$A$105,Transformers!$AX$6:$AX$105),IF(OR(_xlpm.fla="",_xlpm.z="",_xlpm.z=0),"",_xlpm.fla*100/_xlpm.z)),""))</f>
        <v/>
      </c>
      <c r="CK168" s="20" t="str">
        <f t="shared" si="48"/>
        <v/>
      </c>
      <c r="CL168" s="20" t="str">
        <f t="shared" si="49"/>
        <v/>
      </c>
      <c r="CM168" s="373"/>
      <c r="CO168" s="20" t="str">
        <f>IF(OR($A168="",LEFT($A168,2)&lt;&gt;"T-"),"",_xlfn.LET(_xlpm.ph,IFERROR(_xlfn.XLOOKUP($A168,Transformers!$A$6:$A$105,Transformers!$C$6:$C$105),""),_xlpm.rr,IFERROR(_xlfn.XLOOKUP($A168,Transformers!$A$6:$A$105,Transformers!$AG$6:$AG$105),""),_xlpm.xx,IFERROR(_xlfn.XLOOKUP($A168,Transformers!$A$6:$A$105,Transformers!$AI$6:$AI$105),""),IF(OR(_xlpm.ph&lt;&gt;1,NOT(ISNUMBER(_xlpm.rr)),NOT(ISNUMBER(_xlpm.xx))),"",SQRT((1.5*_xlpm.rr)^2+(1.2*_xlpm.xx)^2))))</f>
        <v/>
      </c>
      <c r="CP168" s="20" t="str">
        <f t="shared" si="50"/>
        <v/>
      </c>
    </row>
    <row r="169" spans="1:94" ht="15" customHeight="1" x14ac:dyDescent="0.45">
      <c r="A169" s="275" t="str" cm="1">
        <f t="array" ref="A169">IFERROR(IF(INDEX(_xlfn.ANCHORARRAY($BK$4),ROW()-5,1)="","",INDEX(_xlfn.ANCHORARRAY($BK$4),ROW()-5,1)),"")</f>
        <v/>
      </c>
      <c r="B169" s="25" t="str" cm="1">
        <f t="array" ref="B169">IFERROR(IF($A169="","",INDEX(_xlfn.ANCHORARRAY($BK$4),ROW()-5,5)),"")</f>
        <v/>
      </c>
      <c r="C169" s="178" t="str" cm="1">
        <f t="array" ref="C169">IFERROR(IF($A169="","",INDEX(_xlfn.ANCHORARRAY($BK$4),ROW()-5,7)),"")</f>
        <v/>
      </c>
      <c r="D169" s="177" t="str" cm="1">
        <f t="array" ref="D169">IFERROR(IF($A169="","",INDEX(_xlfn.ANCHORARRAY($BK$4),ROW()-5,3)),"")</f>
        <v/>
      </c>
      <c r="E169" s="25" t="str" cm="1">
        <f t="array" ref="E169">IFERROR(IF($A169="","",INDEX(_xlfn.ANCHORARRAY($BK$4),ROW()-5,2)),"")</f>
        <v/>
      </c>
      <c r="F169" s="177" t="str">
        <f t="shared" si="34"/>
        <v/>
      </c>
      <c r="G169" s="275" t="str">
        <f t="shared" si="35"/>
        <v/>
      </c>
      <c r="H169" s="180" t="str">
        <f t="shared" si="36"/>
        <v/>
      </c>
      <c r="I169" s="180" t="str">
        <f t="shared" si="37"/>
        <v/>
      </c>
      <c r="J169" s="177" t="str">
        <f>_xlfn.LET(_xlpm.v,_xlfn.LET(_xlpm.base,IF($A169="","",IF($C169=0,IFERROR(_xlfn.XLOOKUP($A169,Util_Tags,Util_SCAEff),""),IF(LEFT($A169,2)="T-",IF($CJ169="","",$CJ169/(1+IF($CL169="",0,$CL169))),IF(OR($F169="",$I169=""),"",$F169*$I169)))),_xlpm.gtag,IF(OR($A169="",NOT(OR($B169="ATS",$B169="MTS"))),"",IFERROR(_xlfn.XLOOKUP($A169,Dashboard!$A$101:$A$350,Dashboard!$L$101:$L$350,"")&amp;"","")),_xlpm.gkva,IF(_xlpm.gtag="",0,IFERROR(N(_xlfn.XLOOKUP(_xlpm.gtag,Generator!$B$53:$B$58,Generator!$S$53:$S$58,0)),0)),_xlpm.gxd,IF(_xlpm.gtag="",0,IFERROR(N(_xlfn.XLOOKUP(_xlpm.gtag,Generator!$B$53:$B$58,Generator!$U$53:$U$58,0)),0)),_xlpm.gamp,IF(OR(_xlpm.gkva=0,_xlpm.gxd=0,N($D169)=0),0,ROUND(_xlpm.gkva*1000/(IF(N($CB169)=1,1,SQRT(3))*$D169*_xlpm.gxd),0)),IF(OR(_xlpm.gamp=0,NOT(ISNUMBER(_xlpm.base))),_xlpm.base,MAX(_xlpm.base,_xlpm.gamp))),_xlpm.ulim,IF(OR($A169="",$B169&lt;&gt;"UPS"),"",IFERROR(IF(_xlfn.XLOOKUP($A169,UPS!$B$57:$B$64,UPS!$E$57:$E$64,"")="None",_xlfn.XLOOKUP($A169,UPS!$B$57:$B$64,UPS!$U$57:$U$64,""),""),"")),IF(AND(ISNUMBER(_xlpm.v),ISNUMBER(_xlpm.ulim)),MIN(_xlpm.v,_xlpm.ulim),_xlpm.v))</f>
        <v/>
      </c>
      <c r="K169" s="176"/>
      <c r="L169" s="177" t="str">
        <f t="shared" si="38"/>
        <v/>
      </c>
      <c r="M169" s="177" t="str">
        <f t="shared" si="39"/>
        <v/>
      </c>
      <c r="N169" s="380" t="str">
        <f>IF($A169="","",IF($C169=0,_xlfn.LET(_xlpm.x,IFERROR(_xlfn.XLOOKUP($A169,Util_Tags,Util_XR),""),IF(N(_xlpm.x)=0,Xfmr_DefXR,_xlpm.x)),IF(LEFT($A169,2)="T-",IFERROR(_xlfn.XLOOKUP($A169,Transformers!$A$6:$A$105,Transformers!$AH$6:$AH$105),Xfmr_DefXR),IFERROR(_xlfn.XLOOKUP($E169,$A$6:$A$255,$N$6:$N$255),Xfmr_DefXR))))</f>
        <v/>
      </c>
      <c r="O169" s="177" t="str">
        <f t="shared" si="40"/>
        <v/>
      </c>
      <c r="P169" s="210" t="str">
        <f>IF($A169="","",IF(LEFT($A169,2)="T-",IF($CO169="","",_xlfn.LET(_xlpm.k,IFERROR(_xlfn.XLOOKUP($A169,Transformers!$A$6:$A$105,Transformers!$G$6:$G$105),""),_xlpm.sv,IFERROR(_xlfn.XLOOKUP($A169,Transformers!$A$6:$A$105,Transformers!$E$6:$E$105),""),IF(OR(NOT(ISNUMBER(_xlpm.k)),NOT(ISNUMBER(_xlpm.sv)),_xlpm.sv=0),"",_xlfn.LET(_xlpm.iInf,(_xlpm.k*1000/(_xlpm.sv/2))*100/$CO169,_xlpm.pri,IF(OR($CK169="",$CK169=0),"",$CK169/2),_xlpm.base,IF(_xlpm.pri="",_xlpm.iInf,_xlpm.iInf/(1+_xlpm.iInf/_xlpm.pri)),_xlpm.base+IF($L169="",0,$L169))))),IF($CP169="","",_xlfn.LET(_xlpm.pI,IFERROR(_xlfn.XLOOKUP($E169,$A$6:$A$255,$P$6:$P$255),""),IF(NOT(ISNUMBER(_xlpm.pI)),"",_xlpm.pI/(1+$CP169)+IF($L169="",0,$L169))))))</f>
        <v/>
      </c>
      <c r="Q169" s="210" t="str">
        <f t="shared" si="41"/>
        <v/>
      </c>
      <c r="R169" s="177" t="str">
        <f>IF($A169="","",IF(OR($C169=0,LEFT($A169,2)="T-"),"",IFERROR(_xlfn.LET(_xlpm.v,_xlfn.XLOOKUP($A169,Dashboard!$A$101:$A$350,Dashboard!$K$101:$K$350),IF(ISNUMBER(_xlpm.v),_xlpm.v,"")),"")))</f>
        <v/>
      </c>
      <c r="S169" s="211" t="str">
        <f t="shared" si="42"/>
        <v/>
      </c>
      <c r="T169" s="25" t="str">
        <f t="shared" si="43"/>
        <v/>
      </c>
      <c r="U169" s="364"/>
      <c r="BV169" s="20" t="str">
        <f>IF($A169="","",IFERROR(_xlfn.XLOOKUP("F-"&amp;$A169,'Feeder Schedule'!$B$5:$B$254,'Feeder Schedule'!$H$5:$H$254),""))</f>
        <v/>
      </c>
      <c r="BW169" s="20" t="str">
        <f>IF($A169="","",IFERROR(_xlfn.XLOOKUP("F-"&amp;$A169,'Feeder Schedule'!$B$5:$B$254,'Feeder Schedule'!$BV$5:$BV$254),""))</f>
        <v/>
      </c>
      <c r="BX169" s="20" t="str">
        <f>IF($A169="","",IFERROR(_xlfn.LET(_xlpm.v,_xlfn.XLOOKUP("F-"&amp;$A169,'Feeder Schedule'!$B$5:$B$254,'Feeder Schedule'!$M$5:$M$254),IF(OR(_xlpm.v="",_xlpm.v=0),Cfg_Conduit,_xlpm.v)),""))</f>
        <v/>
      </c>
      <c r="BY169" s="20" t="str">
        <f>IF($A169="","",IFERROR(_xlfn.XLOOKUP("F-"&amp;$A169,'Feeder Schedule'!$B$5:$B$254,'Feeder Schedule'!$O$5:$O$254),""))</f>
        <v/>
      </c>
      <c r="BZ169" s="20" t="str">
        <f>IF($A169="","",IFERROR(_xlfn.XLOOKUP("F-"&amp;$A169,'Feeder Schedule'!$B$5:$B$254,'Feeder Schedule'!$CH$5:$CH$254),""))</f>
        <v/>
      </c>
      <c r="CA169" s="20" t="str">
        <f>IF($A169="","",IFERROR(_xlfn.XLOOKUP("F-"&amp;$A169,'Feeder Schedule'!$B$5:$B$254,'Feeder Schedule'!$F$5:$F$254),""))</f>
        <v/>
      </c>
      <c r="CB169" s="20" t="str">
        <f>IF($A169="","",IFERROR(_xlfn.XLOOKUP("F-"&amp;$A169,'Feeder Schedule'!$B$5:$B$254,'Feeder Schedule'!$G$5:$G$254),""))</f>
        <v/>
      </c>
      <c r="CD169" s="20" t="str" cm="1">
        <f t="array" ref="CD169">IFERROR(IF($A169="","",INDEX(_xlfn.ANCHORARRAY($BK$4),ROW()-5,6)),"")</f>
        <v/>
      </c>
      <c r="CE169" s="20" t="str">
        <f t="shared" si="46"/>
        <v/>
      </c>
      <c r="CF169" s="20" t="str">
        <f t="shared" si="47"/>
        <v/>
      </c>
      <c r="CG169" s="20" t="str">
        <f t="shared" si="44"/>
        <v/>
      </c>
      <c r="CH169" s="20" t="str" cm="1">
        <f t="array" ref="CH169">IF(OR($A169="",$BZ169="",$BW169="",$BX169=""),"",_xlfn.LET(_xlpm.mag,IFERROR(_xlfn.XLOOKUP($BX169,Race_Raceway,Race_Mag),""),IF(_xlpm.mag="","",IFERROR(INDEX(Cond_Table,MATCH($BZ169,Cond_Size,0),IF(UPPER($BW169)="AL",IF(_xlpm.mag="Y",10,12),IF(_xlpm.mag="Y",9,11))),""))))</f>
        <v/>
      </c>
      <c r="CI169" s="20" t="str">
        <f t="shared" si="45"/>
        <v/>
      </c>
      <c r="CJ169" s="20" t="str">
        <f>IF(OR($A169="",LEFT($A169,2)&lt;&gt;"T-"),"",IFERROR(_xlfn.LET(_xlpm.fla,_xlfn.XLOOKUP($A169,Transformers!$A$6:$A$105,Transformers!$AK$6:$AK$105),_xlpm.z,_xlfn.XLOOKUP($A169,Transformers!$A$6:$A$105,Transformers!$AX$6:$AX$105),IF(OR(_xlpm.fla="",_xlpm.z="",_xlpm.z=0),"",_xlpm.fla*100/_xlpm.z)),""))</f>
        <v/>
      </c>
      <c r="CK169" s="20" t="str">
        <f t="shared" si="48"/>
        <v/>
      </c>
      <c r="CL169" s="20" t="str">
        <f t="shared" si="49"/>
        <v/>
      </c>
      <c r="CM169" s="373"/>
      <c r="CO169" s="20" t="str">
        <f>IF(OR($A169="",LEFT($A169,2)&lt;&gt;"T-"),"",_xlfn.LET(_xlpm.ph,IFERROR(_xlfn.XLOOKUP($A169,Transformers!$A$6:$A$105,Transformers!$C$6:$C$105),""),_xlpm.rr,IFERROR(_xlfn.XLOOKUP($A169,Transformers!$A$6:$A$105,Transformers!$AG$6:$AG$105),""),_xlpm.xx,IFERROR(_xlfn.XLOOKUP($A169,Transformers!$A$6:$A$105,Transformers!$AI$6:$AI$105),""),IF(OR(_xlpm.ph&lt;&gt;1,NOT(ISNUMBER(_xlpm.rr)),NOT(ISNUMBER(_xlpm.xx))),"",SQRT((1.5*_xlpm.rr)^2+(1.2*_xlpm.xx)^2))))</f>
        <v/>
      </c>
      <c r="CP169" s="20" t="str">
        <f t="shared" si="50"/>
        <v/>
      </c>
    </row>
    <row r="170" spans="1:94" ht="15" customHeight="1" x14ac:dyDescent="0.45">
      <c r="A170" s="275" t="str" cm="1">
        <f t="array" ref="A170">IFERROR(IF(INDEX(_xlfn.ANCHORARRAY($BK$4),ROW()-5,1)="","",INDEX(_xlfn.ANCHORARRAY($BK$4),ROW()-5,1)),"")</f>
        <v/>
      </c>
      <c r="B170" s="25" t="str" cm="1">
        <f t="array" ref="B170">IFERROR(IF($A170="","",INDEX(_xlfn.ANCHORARRAY($BK$4),ROW()-5,5)),"")</f>
        <v/>
      </c>
      <c r="C170" s="178" t="str" cm="1">
        <f t="array" ref="C170">IFERROR(IF($A170="","",INDEX(_xlfn.ANCHORARRAY($BK$4),ROW()-5,7)),"")</f>
        <v/>
      </c>
      <c r="D170" s="177" t="str" cm="1">
        <f t="array" ref="D170">IFERROR(IF($A170="","",INDEX(_xlfn.ANCHORARRAY($BK$4),ROW()-5,3)),"")</f>
        <v/>
      </c>
      <c r="E170" s="25" t="str" cm="1">
        <f t="array" ref="E170">IFERROR(IF($A170="","",INDEX(_xlfn.ANCHORARRAY($BK$4),ROW()-5,2)),"")</f>
        <v/>
      </c>
      <c r="F170" s="177" t="str">
        <f t="shared" si="34"/>
        <v/>
      </c>
      <c r="G170" s="275" t="str">
        <f t="shared" si="35"/>
        <v/>
      </c>
      <c r="H170" s="180" t="str">
        <f t="shared" si="36"/>
        <v/>
      </c>
      <c r="I170" s="180" t="str">
        <f t="shared" si="37"/>
        <v/>
      </c>
      <c r="J170" s="177" t="str">
        <f>_xlfn.LET(_xlpm.v,_xlfn.LET(_xlpm.base,IF($A170="","",IF($C170=0,IFERROR(_xlfn.XLOOKUP($A170,Util_Tags,Util_SCAEff),""),IF(LEFT($A170,2)="T-",IF($CJ170="","",$CJ170/(1+IF($CL170="",0,$CL170))),IF(OR($F170="",$I170=""),"",$F170*$I170)))),_xlpm.gtag,IF(OR($A170="",NOT(OR($B170="ATS",$B170="MTS"))),"",IFERROR(_xlfn.XLOOKUP($A170,Dashboard!$A$101:$A$350,Dashboard!$L$101:$L$350,"")&amp;"","")),_xlpm.gkva,IF(_xlpm.gtag="",0,IFERROR(N(_xlfn.XLOOKUP(_xlpm.gtag,Generator!$B$53:$B$58,Generator!$S$53:$S$58,0)),0)),_xlpm.gxd,IF(_xlpm.gtag="",0,IFERROR(N(_xlfn.XLOOKUP(_xlpm.gtag,Generator!$B$53:$B$58,Generator!$U$53:$U$58,0)),0)),_xlpm.gamp,IF(OR(_xlpm.gkva=0,_xlpm.gxd=0,N($D170)=0),0,ROUND(_xlpm.gkva*1000/(IF(N($CB170)=1,1,SQRT(3))*$D170*_xlpm.gxd),0)),IF(OR(_xlpm.gamp=0,NOT(ISNUMBER(_xlpm.base))),_xlpm.base,MAX(_xlpm.base,_xlpm.gamp))),_xlpm.ulim,IF(OR($A170="",$B170&lt;&gt;"UPS"),"",IFERROR(IF(_xlfn.XLOOKUP($A170,UPS!$B$57:$B$64,UPS!$E$57:$E$64,"")="None",_xlfn.XLOOKUP($A170,UPS!$B$57:$B$64,UPS!$U$57:$U$64,""),""),"")),IF(AND(ISNUMBER(_xlpm.v),ISNUMBER(_xlpm.ulim)),MIN(_xlpm.v,_xlpm.ulim),_xlpm.v))</f>
        <v/>
      </c>
      <c r="K170" s="176"/>
      <c r="L170" s="177" t="str">
        <f t="shared" si="38"/>
        <v/>
      </c>
      <c r="M170" s="177" t="str">
        <f t="shared" si="39"/>
        <v/>
      </c>
      <c r="N170" s="380" t="str">
        <f>IF($A170="","",IF($C170=0,_xlfn.LET(_xlpm.x,IFERROR(_xlfn.XLOOKUP($A170,Util_Tags,Util_XR),""),IF(N(_xlpm.x)=0,Xfmr_DefXR,_xlpm.x)),IF(LEFT($A170,2)="T-",IFERROR(_xlfn.XLOOKUP($A170,Transformers!$A$6:$A$105,Transformers!$AH$6:$AH$105),Xfmr_DefXR),IFERROR(_xlfn.XLOOKUP($E170,$A$6:$A$255,$N$6:$N$255),Xfmr_DefXR))))</f>
        <v/>
      </c>
      <c r="O170" s="177" t="str">
        <f t="shared" si="40"/>
        <v/>
      </c>
      <c r="P170" s="210" t="str">
        <f>IF($A170="","",IF(LEFT($A170,2)="T-",IF($CO170="","",_xlfn.LET(_xlpm.k,IFERROR(_xlfn.XLOOKUP($A170,Transformers!$A$6:$A$105,Transformers!$G$6:$G$105),""),_xlpm.sv,IFERROR(_xlfn.XLOOKUP($A170,Transformers!$A$6:$A$105,Transformers!$E$6:$E$105),""),IF(OR(NOT(ISNUMBER(_xlpm.k)),NOT(ISNUMBER(_xlpm.sv)),_xlpm.sv=0),"",_xlfn.LET(_xlpm.iInf,(_xlpm.k*1000/(_xlpm.sv/2))*100/$CO170,_xlpm.pri,IF(OR($CK170="",$CK170=0),"",$CK170/2),_xlpm.base,IF(_xlpm.pri="",_xlpm.iInf,_xlpm.iInf/(1+_xlpm.iInf/_xlpm.pri)),_xlpm.base+IF($L170="",0,$L170))))),IF($CP170="","",_xlfn.LET(_xlpm.pI,IFERROR(_xlfn.XLOOKUP($E170,$A$6:$A$255,$P$6:$P$255),""),IF(NOT(ISNUMBER(_xlpm.pI)),"",_xlpm.pI/(1+$CP170)+IF($L170="",0,$L170))))))</f>
        <v/>
      </c>
      <c r="Q170" s="210" t="str">
        <f t="shared" si="41"/>
        <v/>
      </c>
      <c r="R170" s="177" t="str">
        <f>IF($A170="","",IF(OR($C170=0,LEFT($A170,2)="T-"),"",IFERROR(_xlfn.LET(_xlpm.v,_xlfn.XLOOKUP($A170,Dashboard!$A$101:$A$350,Dashboard!$K$101:$K$350),IF(ISNUMBER(_xlpm.v),_xlpm.v,"")),"")))</f>
        <v/>
      </c>
      <c r="S170" s="211" t="str">
        <f t="shared" si="42"/>
        <v/>
      </c>
      <c r="T170" s="25" t="str">
        <f t="shared" si="43"/>
        <v/>
      </c>
      <c r="U170" s="364"/>
      <c r="BV170" s="20" t="str">
        <f>IF($A170="","",IFERROR(_xlfn.XLOOKUP("F-"&amp;$A170,'Feeder Schedule'!$B$5:$B$254,'Feeder Schedule'!$H$5:$H$254),""))</f>
        <v/>
      </c>
      <c r="BW170" s="20" t="str">
        <f>IF($A170="","",IFERROR(_xlfn.XLOOKUP("F-"&amp;$A170,'Feeder Schedule'!$B$5:$B$254,'Feeder Schedule'!$BV$5:$BV$254),""))</f>
        <v/>
      </c>
      <c r="BX170" s="20" t="str">
        <f>IF($A170="","",IFERROR(_xlfn.LET(_xlpm.v,_xlfn.XLOOKUP("F-"&amp;$A170,'Feeder Schedule'!$B$5:$B$254,'Feeder Schedule'!$M$5:$M$254),IF(OR(_xlpm.v="",_xlpm.v=0),Cfg_Conduit,_xlpm.v)),""))</f>
        <v/>
      </c>
      <c r="BY170" s="20" t="str">
        <f>IF($A170="","",IFERROR(_xlfn.XLOOKUP("F-"&amp;$A170,'Feeder Schedule'!$B$5:$B$254,'Feeder Schedule'!$O$5:$O$254),""))</f>
        <v/>
      </c>
      <c r="BZ170" s="20" t="str">
        <f>IF($A170="","",IFERROR(_xlfn.XLOOKUP("F-"&amp;$A170,'Feeder Schedule'!$B$5:$B$254,'Feeder Schedule'!$CH$5:$CH$254),""))</f>
        <v/>
      </c>
      <c r="CA170" s="20" t="str">
        <f>IF($A170="","",IFERROR(_xlfn.XLOOKUP("F-"&amp;$A170,'Feeder Schedule'!$B$5:$B$254,'Feeder Schedule'!$F$5:$F$254),""))</f>
        <v/>
      </c>
      <c r="CB170" s="20" t="str">
        <f>IF($A170="","",IFERROR(_xlfn.XLOOKUP("F-"&amp;$A170,'Feeder Schedule'!$B$5:$B$254,'Feeder Schedule'!$G$5:$G$254),""))</f>
        <v/>
      </c>
      <c r="CD170" s="20" t="str" cm="1">
        <f t="array" ref="CD170">IFERROR(IF($A170="","",INDEX(_xlfn.ANCHORARRAY($BK$4),ROW()-5,6)),"")</f>
        <v/>
      </c>
      <c r="CE170" s="20" t="str">
        <f t="shared" si="46"/>
        <v/>
      </c>
      <c r="CF170" s="20" t="str">
        <f t="shared" si="47"/>
        <v/>
      </c>
      <c r="CG170" s="20" t="str">
        <f t="shared" si="44"/>
        <v/>
      </c>
      <c r="CH170" s="20" t="str" cm="1">
        <f t="array" ref="CH170">IF(OR($A170="",$BZ170="",$BW170="",$BX170=""),"",_xlfn.LET(_xlpm.mag,IFERROR(_xlfn.XLOOKUP($BX170,Race_Raceway,Race_Mag),""),IF(_xlpm.mag="","",IFERROR(INDEX(Cond_Table,MATCH($BZ170,Cond_Size,0),IF(UPPER($BW170)="AL",IF(_xlpm.mag="Y",10,12),IF(_xlpm.mag="Y",9,11))),""))))</f>
        <v/>
      </c>
      <c r="CI170" s="20" t="str">
        <f t="shared" si="45"/>
        <v/>
      </c>
      <c r="CJ170" s="20" t="str">
        <f>IF(OR($A170="",LEFT($A170,2)&lt;&gt;"T-"),"",IFERROR(_xlfn.LET(_xlpm.fla,_xlfn.XLOOKUP($A170,Transformers!$A$6:$A$105,Transformers!$AK$6:$AK$105),_xlpm.z,_xlfn.XLOOKUP($A170,Transformers!$A$6:$A$105,Transformers!$AX$6:$AX$105),IF(OR(_xlpm.fla="",_xlpm.z="",_xlpm.z=0),"",_xlpm.fla*100/_xlpm.z)),""))</f>
        <v/>
      </c>
      <c r="CK170" s="20" t="str">
        <f t="shared" si="48"/>
        <v/>
      </c>
      <c r="CL170" s="20" t="str">
        <f t="shared" si="49"/>
        <v/>
      </c>
      <c r="CM170" s="373"/>
      <c r="CO170" s="20" t="str">
        <f>IF(OR($A170="",LEFT($A170,2)&lt;&gt;"T-"),"",_xlfn.LET(_xlpm.ph,IFERROR(_xlfn.XLOOKUP($A170,Transformers!$A$6:$A$105,Transformers!$C$6:$C$105),""),_xlpm.rr,IFERROR(_xlfn.XLOOKUP($A170,Transformers!$A$6:$A$105,Transformers!$AG$6:$AG$105),""),_xlpm.xx,IFERROR(_xlfn.XLOOKUP($A170,Transformers!$A$6:$A$105,Transformers!$AI$6:$AI$105),""),IF(OR(_xlpm.ph&lt;&gt;1,NOT(ISNUMBER(_xlpm.rr)),NOT(ISNUMBER(_xlpm.xx))),"",SQRT((1.5*_xlpm.rr)^2+(1.2*_xlpm.xx)^2))))</f>
        <v/>
      </c>
      <c r="CP170" s="20" t="str">
        <f t="shared" si="50"/>
        <v/>
      </c>
    </row>
    <row r="171" spans="1:94" ht="15" customHeight="1" x14ac:dyDescent="0.45">
      <c r="A171" s="275" t="str" cm="1">
        <f t="array" ref="A171">IFERROR(IF(INDEX(_xlfn.ANCHORARRAY($BK$4),ROW()-5,1)="","",INDEX(_xlfn.ANCHORARRAY($BK$4),ROW()-5,1)),"")</f>
        <v/>
      </c>
      <c r="B171" s="25" t="str" cm="1">
        <f t="array" ref="B171">IFERROR(IF($A171="","",INDEX(_xlfn.ANCHORARRAY($BK$4),ROW()-5,5)),"")</f>
        <v/>
      </c>
      <c r="C171" s="178" t="str" cm="1">
        <f t="array" ref="C171">IFERROR(IF($A171="","",INDEX(_xlfn.ANCHORARRAY($BK$4),ROW()-5,7)),"")</f>
        <v/>
      </c>
      <c r="D171" s="177" t="str" cm="1">
        <f t="array" ref="D171">IFERROR(IF($A171="","",INDEX(_xlfn.ANCHORARRAY($BK$4),ROW()-5,3)),"")</f>
        <v/>
      </c>
      <c r="E171" s="25" t="str" cm="1">
        <f t="array" ref="E171">IFERROR(IF($A171="","",INDEX(_xlfn.ANCHORARRAY($BK$4),ROW()-5,2)),"")</f>
        <v/>
      </c>
      <c r="F171" s="177" t="str">
        <f t="shared" si="34"/>
        <v/>
      </c>
      <c r="G171" s="275" t="str">
        <f t="shared" si="35"/>
        <v/>
      </c>
      <c r="H171" s="180" t="str">
        <f t="shared" si="36"/>
        <v/>
      </c>
      <c r="I171" s="180" t="str">
        <f t="shared" si="37"/>
        <v/>
      </c>
      <c r="J171" s="177" t="str">
        <f>_xlfn.LET(_xlpm.v,_xlfn.LET(_xlpm.base,IF($A171="","",IF($C171=0,IFERROR(_xlfn.XLOOKUP($A171,Util_Tags,Util_SCAEff),""),IF(LEFT($A171,2)="T-",IF($CJ171="","",$CJ171/(1+IF($CL171="",0,$CL171))),IF(OR($F171="",$I171=""),"",$F171*$I171)))),_xlpm.gtag,IF(OR($A171="",NOT(OR($B171="ATS",$B171="MTS"))),"",IFERROR(_xlfn.XLOOKUP($A171,Dashboard!$A$101:$A$350,Dashboard!$L$101:$L$350,"")&amp;"","")),_xlpm.gkva,IF(_xlpm.gtag="",0,IFERROR(N(_xlfn.XLOOKUP(_xlpm.gtag,Generator!$B$53:$B$58,Generator!$S$53:$S$58,0)),0)),_xlpm.gxd,IF(_xlpm.gtag="",0,IFERROR(N(_xlfn.XLOOKUP(_xlpm.gtag,Generator!$B$53:$B$58,Generator!$U$53:$U$58,0)),0)),_xlpm.gamp,IF(OR(_xlpm.gkva=0,_xlpm.gxd=0,N($D171)=0),0,ROUND(_xlpm.gkva*1000/(IF(N($CB171)=1,1,SQRT(3))*$D171*_xlpm.gxd),0)),IF(OR(_xlpm.gamp=0,NOT(ISNUMBER(_xlpm.base))),_xlpm.base,MAX(_xlpm.base,_xlpm.gamp))),_xlpm.ulim,IF(OR($A171="",$B171&lt;&gt;"UPS"),"",IFERROR(IF(_xlfn.XLOOKUP($A171,UPS!$B$57:$B$64,UPS!$E$57:$E$64,"")="None",_xlfn.XLOOKUP($A171,UPS!$B$57:$B$64,UPS!$U$57:$U$64,""),""),"")),IF(AND(ISNUMBER(_xlpm.v),ISNUMBER(_xlpm.ulim)),MIN(_xlpm.v,_xlpm.ulim),_xlpm.v))</f>
        <v/>
      </c>
      <c r="K171" s="176"/>
      <c r="L171" s="177" t="str">
        <f t="shared" si="38"/>
        <v/>
      </c>
      <c r="M171" s="177" t="str">
        <f t="shared" si="39"/>
        <v/>
      </c>
      <c r="N171" s="380" t="str">
        <f>IF($A171="","",IF($C171=0,_xlfn.LET(_xlpm.x,IFERROR(_xlfn.XLOOKUP($A171,Util_Tags,Util_XR),""),IF(N(_xlpm.x)=0,Xfmr_DefXR,_xlpm.x)),IF(LEFT($A171,2)="T-",IFERROR(_xlfn.XLOOKUP($A171,Transformers!$A$6:$A$105,Transformers!$AH$6:$AH$105),Xfmr_DefXR),IFERROR(_xlfn.XLOOKUP($E171,$A$6:$A$255,$N$6:$N$255),Xfmr_DefXR))))</f>
        <v/>
      </c>
      <c r="O171" s="177" t="str">
        <f t="shared" si="40"/>
        <v/>
      </c>
      <c r="P171" s="210" t="str">
        <f>IF($A171="","",IF(LEFT($A171,2)="T-",IF($CO171="","",_xlfn.LET(_xlpm.k,IFERROR(_xlfn.XLOOKUP($A171,Transformers!$A$6:$A$105,Transformers!$G$6:$G$105),""),_xlpm.sv,IFERROR(_xlfn.XLOOKUP($A171,Transformers!$A$6:$A$105,Transformers!$E$6:$E$105),""),IF(OR(NOT(ISNUMBER(_xlpm.k)),NOT(ISNUMBER(_xlpm.sv)),_xlpm.sv=0),"",_xlfn.LET(_xlpm.iInf,(_xlpm.k*1000/(_xlpm.sv/2))*100/$CO171,_xlpm.pri,IF(OR($CK171="",$CK171=0),"",$CK171/2),_xlpm.base,IF(_xlpm.pri="",_xlpm.iInf,_xlpm.iInf/(1+_xlpm.iInf/_xlpm.pri)),_xlpm.base+IF($L171="",0,$L171))))),IF($CP171="","",_xlfn.LET(_xlpm.pI,IFERROR(_xlfn.XLOOKUP($E171,$A$6:$A$255,$P$6:$P$255),""),IF(NOT(ISNUMBER(_xlpm.pI)),"",_xlpm.pI/(1+$CP171)+IF($L171="",0,$L171))))))</f>
        <v/>
      </c>
      <c r="Q171" s="210" t="str">
        <f t="shared" si="41"/>
        <v/>
      </c>
      <c r="R171" s="177" t="str">
        <f>IF($A171="","",IF(OR($C171=0,LEFT($A171,2)="T-"),"",IFERROR(_xlfn.LET(_xlpm.v,_xlfn.XLOOKUP($A171,Dashboard!$A$101:$A$350,Dashboard!$K$101:$K$350),IF(ISNUMBER(_xlpm.v),_xlpm.v,"")),"")))</f>
        <v/>
      </c>
      <c r="S171" s="211" t="str">
        <f t="shared" si="42"/>
        <v/>
      </c>
      <c r="T171" s="25" t="str">
        <f t="shared" si="43"/>
        <v/>
      </c>
      <c r="U171" s="364"/>
      <c r="BV171" s="20" t="str">
        <f>IF($A171="","",IFERROR(_xlfn.XLOOKUP("F-"&amp;$A171,'Feeder Schedule'!$B$5:$B$254,'Feeder Schedule'!$H$5:$H$254),""))</f>
        <v/>
      </c>
      <c r="BW171" s="20" t="str">
        <f>IF($A171="","",IFERROR(_xlfn.XLOOKUP("F-"&amp;$A171,'Feeder Schedule'!$B$5:$B$254,'Feeder Schedule'!$BV$5:$BV$254),""))</f>
        <v/>
      </c>
      <c r="BX171" s="20" t="str">
        <f>IF($A171="","",IFERROR(_xlfn.LET(_xlpm.v,_xlfn.XLOOKUP("F-"&amp;$A171,'Feeder Schedule'!$B$5:$B$254,'Feeder Schedule'!$M$5:$M$254),IF(OR(_xlpm.v="",_xlpm.v=0),Cfg_Conduit,_xlpm.v)),""))</f>
        <v/>
      </c>
      <c r="BY171" s="20" t="str">
        <f>IF($A171="","",IFERROR(_xlfn.XLOOKUP("F-"&amp;$A171,'Feeder Schedule'!$B$5:$B$254,'Feeder Schedule'!$O$5:$O$254),""))</f>
        <v/>
      </c>
      <c r="BZ171" s="20" t="str">
        <f>IF($A171="","",IFERROR(_xlfn.XLOOKUP("F-"&amp;$A171,'Feeder Schedule'!$B$5:$B$254,'Feeder Schedule'!$CH$5:$CH$254),""))</f>
        <v/>
      </c>
      <c r="CA171" s="20" t="str">
        <f>IF($A171="","",IFERROR(_xlfn.XLOOKUP("F-"&amp;$A171,'Feeder Schedule'!$B$5:$B$254,'Feeder Schedule'!$F$5:$F$254),""))</f>
        <v/>
      </c>
      <c r="CB171" s="20" t="str">
        <f>IF($A171="","",IFERROR(_xlfn.XLOOKUP("F-"&amp;$A171,'Feeder Schedule'!$B$5:$B$254,'Feeder Schedule'!$G$5:$G$254),""))</f>
        <v/>
      </c>
      <c r="CD171" s="20" t="str" cm="1">
        <f t="array" ref="CD171">IFERROR(IF($A171="","",INDEX(_xlfn.ANCHORARRAY($BK$4),ROW()-5,6)),"")</f>
        <v/>
      </c>
      <c r="CE171" s="20" t="str">
        <f t="shared" si="46"/>
        <v/>
      </c>
      <c r="CF171" s="20" t="str">
        <f t="shared" si="47"/>
        <v/>
      </c>
      <c r="CG171" s="20" t="str">
        <f t="shared" si="44"/>
        <v/>
      </c>
      <c r="CH171" s="20" t="str" cm="1">
        <f t="array" ref="CH171">IF(OR($A171="",$BZ171="",$BW171="",$BX171=""),"",_xlfn.LET(_xlpm.mag,IFERROR(_xlfn.XLOOKUP($BX171,Race_Raceway,Race_Mag),""),IF(_xlpm.mag="","",IFERROR(INDEX(Cond_Table,MATCH($BZ171,Cond_Size,0),IF(UPPER($BW171)="AL",IF(_xlpm.mag="Y",10,12),IF(_xlpm.mag="Y",9,11))),""))))</f>
        <v/>
      </c>
      <c r="CI171" s="20" t="str">
        <f t="shared" si="45"/>
        <v/>
      </c>
      <c r="CJ171" s="20" t="str">
        <f>IF(OR($A171="",LEFT($A171,2)&lt;&gt;"T-"),"",IFERROR(_xlfn.LET(_xlpm.fla,_xlfn.XLOOKUP($A171,Transformers!$A$6:$A$105,Transformers!$AK$6:$AK$105),_xlpm.z,_xlfn.XLOOKUP($A171,Transformers!$A$6:$A$105,Transformers!$AX$6:$AX$105),IF(OR(_xlpm.fla="",_xlpm.z="",_xlpm.z=0),"",_xlpm.fla*100/_xlpm.z)),""))</f>
        <v/>
      </c>
      <c r="CK171" s="20" t="str">
        <f t="shared" si="48"/>
        <v/>
      </c>
      <c r="CL171" s="20" t="str">
        <f t="shared" si="49"/>
        <v/>
      </c>
      <c r="CM171" s="373"/>
      <c r="CO171" s="20" t="str">
        <f>IF(OR($A171="",LEFT($A171,2)&lt;&gt;"T-"),"",_xlfn.LET(_xlpm.ph,IFERROR(_xlfn.XLOOKUP($A171,Transformers!$A$6:$A$105,Transformers!$C$6:$C$105),""),_xlpm.rr,IFERROR(_xlfn.XLOOKUP($A171,Transformers!$A$6:$A$105,Transformers!$AG$6:$AG$105),""),_xlpm.xx,IFERROR(_xlfn.XLOOKUP($A171,Transformers!$A$6:$A$105,Transformers!$AI$6:$AI$105),""),IF(OR(_xlpm.ph&lt;&gt;1,NOT(ISNUMBER(_xlpm.rr)),NOT(ISNUMBER(_xlpm.xx))),"",SQRT((1.5*_xlpm.rr)^2+(1.2*_xlpm.xx)^2))))</f>
        <v/>
      </c>
      <c r="CP171" s="20" t="str">
        <f t="shared" si="50"/>
        <v/>
      </c>
    </row>
    <row r="172" spans="1:94" ht="15" customHeight="1" x14ac:dyDescent="0.45">
      <c r="A172" s="275" t="str" cm="1">
        <f t="array" ref="A172">IFERROR(IF(INDEX(_xlfn.ANCHORARRAY($BK$4),ROW()-5,1)="","",INDEX(_xlfn.ANCHORARRAY($BK$4),ROW()-5,1)),"")</f>
        <v/>
      </c>
      <c r="B172" s="25" t="str" cm="1">
        <f t="array" ref="B172">IFERROR(IF($A172="","",INDEX(_xlfn.ANCHORARRAY($BK$4),ROW()-5,5)),"")</f>
        <v/>
      </c>
      <c r="C172" s="178" t="str" cm="1">
        <f t="array" ref="C172">IFERROR(IF($A172="","",INDEX(_xlfn.ANCHORARRAY($BK$4),ROW()-5,7)),"")</f>
        <v/>
      </c>
      <c r="D172" s="177" t="str" cm="1">
        <f t="array" ref="D172">IFERROR(IF($A172="","",INDEX(_xlfn.ANCHORARRAY($BK$4),ROW()-5,3)),"")</f>
        <v/>
      </c>
      <c r="E172" s="25" t="str" cm="1">
        <f t="array" ref="E172">IFERROR(IF($A172="","",INDEX(_xlfn.ANCHORARRAY($BK$4),ROW()-5,2)),"")</f>
        <v/>
      </c>
      <c r="F172" s="177" t="str">
        <f t="shared" si="34"/>
        <v/>
      </c>
      <c r="G172" s="275" t="str">
        <f t="shared" si="35"/>
        <v/>
      </c>
      <c r="H172" s="180" t="str">
        <f t="shared" si="36"/>
        <v/>
      </c>
      <c r="I172" s="180" t="str">
        <f t="shared" si="37"/>
        <v/>
      </c>
      <c r="J172" s="177" t="str">
        <f>_xlfn.LET(_xlpm.v,_xlfn.LET(_xlpm.base,IF($A172="","",IF($C172=0,IFERROR(_xlfn.XLOOKUP($A172,Util_Tags,Util_SCAEff),""),IF(LEFT($A172,2)="T-",IF($CJ172="","",$CJ172/(1+IF($CL172="",0,$CL172))),IF(OR($F172="",$I172=""),"",$F172*$I172)))),_xlpm.gtag,IF(OR($A172="",NOT(OR($B172="ATS",$B172="MTS"))),"",IFERROR(_xlfn.XLOOKUP($A172,Dashboard!$A$101:$A$350,Dashboard!$L$101:$L$350,"")&amp;"","")),_xlpm.gkva,IF(_xlpm.gtag="",0,IFERROR(N(_xlfn.XLOOKUP(_xlpm.gtag,Generator!$B$53:$B$58,Generator!$S$53:$S$58,0)),0)),_xlpm.gxd,IF(_xlpm.gtag="",0,IFERROR(N(_xlfn.XLOOKUP(_xlpm.gtag,Generator!$B$53:$B$58,Generator!$U$53:$U$58,0)),0)),_xlpm.gamp,IF(OR(_xlpm.gkva=0,_xlpm.gxd=0,N($D172)=0),0,ROUND(_xlpm.gkva*1000/(IF(N($CB172)=1,1,SQRT(3))*$D172*_xlpm.gxd),0)),IF(OR(_xlpm.gamp=0,NOT(ISNUMBER(_xlpm.base))),_xlpm.base,MAX(_xlpm.base,_xlpm.gamp))),_xlpm.ulim,IF(OR($A172="",$B172&lt;&gt;"UPS"),"",IFERROR(IF(_xlfn.XLOOKUP($A172,UPS!$B$57:$B$64,UPS!$E$57:$E$64,"")="None",_xlfn.XLOOKUP($A172,UPS!$B$57:$B$64,UPS!$U$57:$U$64,""),""),"")),IF(AND(ISNUMBER(_xlpm.v),ISNUMBER(_xlpm.ulim)),MIN(_xlpm.v,_xlpm.ulim),_xlpm.v))</f>
        <v/>
      </c>
      <c r="K172" s="176"/>
      <c r="L172" s="177" t="str">
        <f t="shared" si="38"/>
        <v/>
      </c>
      <c r="M172" s="177" t="str">
        <f t="shared" si="39"/>
        <v/>
      </c>
      <c r="N172" s="380" t="str">
        <f>IF($A172="","",IF($C172=0,_xlfn.LET(_xlpm.x,IFERROR(_xlfn.XLOOKUP($A172,Util_Tags,Util_XR),""),IF(N(_xlpm.x)=0,Xfmr_DefXR,_xlpm.x)),IF(LEFT($A172,2)="T-",IFERROR(_xlfn.XLOOKUP($A172,Transformers!$A$6:$A$105,Transformers!$AH$6:$AH$105),Xfmr_DefXR),IFERROR(_xlfn.XLOOKUP($E172,$A$6:$A$255,$N$6:$N$255),Xfmr_DefXR))))</f>
        <v/>
      </c>
      <c r="O172" s="177" t="str">
        <f t="shared" si="40"/>
        <v/>
      </c>
      <c r="P172" s="210" t="str">
        <f>IF($A172="","",IF(LEFT($A172,2)="T-",IF($CO172="","",_xlfn.LET(_xlpm.k,IFERROR(_xlfn.XLOOKUP($A172,Transformers!$A$6:$A$105,Transformers!$G$6:$G$105),""),_xlpm.sv,IFERROR(_xlfn.XLOOKUP($A172,Transformers!$A$6:$A$105,Transformers!$E$6:$E$105),""),IF(OR(NOT(ISNUMBER(_xlpm.k)),NOT(ISNUMBER(_xlpm.sv)),_xlpm.sv=0),"",_xlfn.LET(_xlpm.iInf,(_xlpm.k*1000/(_xlpm.sv/2))*100/$CO172,_xlpm.pri,IF(OR($CK172="",$CK172=0),"",$CK172/2),_xlpm.base,IF(_xlpm.pri="",_xlpm.iInf,_xlpm.iInf/(1+_xlpm.iInf/_xlpm.pri)),_xlpm.base+IF($L172="",0,$L172))))),IF($CP172="","",_xlfn.LET(_xlpm.pI,IFERROR(_xlfn.XLOOKUP($E172,$A$6:$A$255,$P$6:$P$255),""),IF(NOT(ISNUMBER(_xlpm.pI)),"",_xlpm.pI/(1+$CP172)+IF($L172="",0,$L172))))))</f>
        <v/>
      </c>
      <c r="Q172" s="210" t="str">
        <f t="shared" si="41"/>
        <v/>
      </c>
      <c r="R172" s="177" t="str">
        <f>IF($A172="","",IF(OR($C172=0,LEFT($A172,2)="T-"),"",IFERROR(_xlfn.LET(_xlpm.v,_xlfn.XLOOKUP($A172,Dashboard!$A$101:$A$350,Dashboard!$K$101:$K$350),IF(ISNUMBER(_xlpm.v),_xlpm.v,"")),"")))</f>
        <v/>
      </c>
      <c r="S172" s="211" t="str">
        <f t="shared" si="42"/>
        <v/>
      </c>
      <c r="T172" s="25" t="str">
        <f t="shared" si="43"/>
        <v/>
      </c>
      <c r="U172" s="364"/>
      <c r="BV172" s="20" t="str">
        <f>IF($A172="","",IFERROR(_xlfn.XLOOKUP("F-"&amp;$A172,'Feeder Schedule'!$B$5:$B$254,'Feeder Schedule'!$H$5:$H$254),""))</f>
        <v/>
      </c>
      <c r="BW172" s="20" t="str">
        <f>IF($A172="","",IFERROR(_xlfn.XLOOKUP("F-"&amp;$A172,'Feeder Schedule'!$B$5:$B$254,'Feeder Schedule'!$BV$5:$BV$254),""))</f>
        <v/>
      </c>
      <c r="BX172" s="20" t="str">
        <f>IF($A172="","",IFERROR(_xlfn.LET(_xlpm.v,_xlfn.XLOOKUP("F-"&amp;$A172,'Feeder Schedule'!$B$5:$B$254,'Feeder Schedule'!$M$5:$M$254),IF(OR(_xlpm.v="",_xlpm.v=0),Cfg_Conduit,_xlpm.v)),""))</f>
        <v/>
      </c>
      <c r="BY172" s="20" t="str">
        <f>IF($A172="","",IFERROR(_xlfn.XLOOKUP("F-"&amp;$A172,'Feeder Schedule'!$B$5:$B$254,'Feeder Schedule'!$O$5:$O$254),""))</f>
        <v/>
      </c>
      <c r="BZ172" s="20" t="str">
        <f>IF($A172="","",IFERROR(_xlfn.XLOOKUP("F-"&amp;$A172,'Feeder Schedule'!$B$5:$B$254,'Feeder Schedule'!$CH$5:$CH$254),""))</f>
        <v/>
      </c>
      <c r="CA172" s="20" t="str">
        <f>IF($A172="","",IFERROR(_xlfn.XLOOKUP("F-"&amp;$A172,'Feeder Schedule'!$B$5:$B$254,'Feeder Schedule'!$F$5:$F$254),""))</f>
        <v/>
      </c>
      <c r="CB172" s="20" t="str">
        <f>IF($A172="","",IFERROR(_xlfn.XLOOKUP("F-"&amp;$A172,'Feeder Schedule'!$B$5:$B$254,'Feeder Schedule'!$G$5:$G$254),""))</f>
        <v/>
      </c>
      <c r="CD172" s="20" t="str" cm="1">
        <f t="array" ref="CD172">IFERROR(IF($A172="","",INDEX(_xlfn.ANCHORARRAY($BK$4),ROW()-5,6)),"")</f>
        <v/>
      </c>
      <c r="CE172" s="20" t="str">
        <f t="shared" si="46"/>
        <v/>
      </c>
      <c r="CF172" s="20" t="str">
        <f t="shared" si="47"/>
        <v/>
      </c>
      <c r="CG172" s="20" t="str">
        <f t="shared" si="44"/>
        <v/>
      </c>
      <c r="CH172" s="20" t="str" cm="1">
        <f t="array" ref="CH172">IF(OR($A172="",$BZ172="",$BW172="",$BX172=""),"",_xlfn.LET(_xlpm.mag,IFERROR(_xlfn.XLOOKUP($BX172,Race_Raceway,Race_Mag),""),IF(_xlpm.mag="","",IFERROR(INDEX(Cond_Table,MATCH($BZ172,Cond_Size,0),IF(UPPER($BW172)="AL",IF(_xlpm.mag="Y",10,12),IF(_xlpm.mag="Y",9,11))),""))))</f>
        <v/>
      </c>
      <c r="CI172" s="20" t="str">
        <f t="shared" si="45"/>
        <v/>
      </c>
      <c r="CJ172" s="20" t="str">
        <f>IF(OR($A172="",LEFT($A172,2)&lt;&gt;"T-"),"",IFERROR(_xlfn.LET(_xlpm.fla,_xlfn.XLOOKUP($A172,Transformers!$A$6:$A$105,Transformers!$AK$6:$AK$105),_xlpm.z,_xlfn.XLOOKUP($A172,Transformers!$A$6:$A$105,Transformers!$AX$6:$AX$105),IF(OR(_xlpm.fla="",_xlpm.z="",_xlpm.z=0),"",_xlpm.fla*100/_xlpm.z)),""))</f>
        <v/>
      </c>
      <c r="CK172" s="20" t="str">
        <f t="shared" si="48"/>
        <v/>
      </c>
      <c r="CL172" s="20" t="str">
        <f t="shared" si="49"/>
        <v/>
      </c>
      <c r="CM172" s="373"/>
      <c r="CO172" s="20" t="str">
        <f>IF(OR($A172="",LEFT($A172,2)&lt;&gt;"T-"),"",_xlfn.LET(_xlpm.ph,IFERROR(_xlfn.XLOOKUP($A172,Transformers!$A$6:$A$105,Transformers!$C$6:$C$105),""),_xlpm.rr,IFERROR(_xlfn.XLOOKUP($A172,Transformers!$A$6:$A$105,Transformers!$AG$6:$AG$105),""),_xlpm.xx,IFERROR(_xlfn.XLOOKUP($A172,Transformers!$A$6:$A$105,Transformers!$AI$6:$AI$105),""),IF(OR(_xlpm.ph&lt;&gt;1,NOT(ISNUMBER(_xlpm.rr)),NOT(ISNUMBER(_xlpm.xx))),"",SQRT((1.5*_xlpm.rr)^2+(1.2*_xlpm.xx)^2))))</f>
        <v/>
      </c>
      <c r="CP172" s="20" t="str">
        <f t="shared" si="50"/>
        <v/>
      </c>
    </row>
    <row r="173" spans="1:94" ht="15" customHeight="1" x14ac:dyDescent="0.45">
      <c r="A173" s="275" t="str" cm="1">
        <f t="array" ref="A173">IFERROR(IF(INDEX(_xlfn.ANCHORARRAY($BK$4),ROW()-5,1)="","",INDEX(_xlfn.ANCHORARRAY($BK$4),ROW()-5,1)),"")</f>
        <v/>
      </c>
      <c r="B173" s="25" t="str" cm="1">
        <f t="array" ref="B173">IFERROR(IF($A173="","",INDEX(_xlfn.ANCHORARRAY($BK$4),ROW()-5,5)),"")</f>
        <v/>
      </c>
      <c r="C173" s="178" t="str" cm="1">
        <f t="array" ref="C173">IFERROR(IF($A173="","",INDEX(_xlfn.ANCHORARRAY($BK$4),ROW()-5,7)),"")</f>
        <v/>
      </c>
      <c r="D173" s="177" t="str" cm="1">
        <f t="array" ref="D173">IFERROR(IF($A173="","",INDEX(_xlfn.ANCHORARRAY($BK$4),ROW()-5,3)),"")</f>
        <v/>
      </c>
      <c r="E173" s="25" t="str" cm="1">
        <f t="array" ref="E173">IFERROR(IF($A173="","",INDEX(_xlfn.ANCHORARRAY($BK$4),ROW()-5,2)),"")</f>
        <v/>
      </c>
      <c r="F173" s="177" t="str">
        <f t="shared" si="34"/>
        <v/>
      </c>
      <c r="G173" s="275" t="str">
        <f t="shared" si="35"/>
        <v/>
      </c>
      <c r="H173" s="180" t="str">
        <f t="shared" si="36"/>
        <v/>
      </c>
      <c r="I173" s="180" t="str">
        <f t="shared" si="37"/>
        <v/>
      </c>
      <c r="J173" s="177" t="str">
        <f>_xlfn.LET(_xlpm.v,_xlfn.LET(_xlpm.base,IF($A173="","",IF($C173=0,IFERROR(_xlfn.XLOOKUP($A173,Util_Tags,Util_SCAEff),""),IF(LEFT($A173,2)="T-",IF($CJ173="","",$CJ173/(1+IF($CL173="",0,$CL173))),IF(OR($F173="",$I173=""),"",$F173*$I173)))),_xlpm.gtag,IF(OR($A173="",NOT(OR($B173="ATS",$B173="MTS"))),"",IFERROR(_xlfn.XLOOKUP($A173,Dashboard!$A$101:$A$350,Dashboard!$L$101:$L$350,"")&amp;"","")),_xlpm.gkva,IF(_xlpm.gtag="",0,IFERROR(N(_xlfn.XLOOKUP(_xlpm.gtag,Generator!$B$53:$B$58,Generator!$S$53:$S$58,0)),0)),_xlpm.gxd,IF(_xlpm.gtag="",0,IFERROR(N(_xlfn.XLOOKUP(_xlpm.gtag,Generator!$B$53:$B$58,Generator!$U$53:$U$58,0)),0)),_xlpm.gamp,IF(OR(_xlpm.gkva=0,_xlpm.gxd=0,N($D173)=0),0,ROUND(_xlpm.gkva*1000/(IF(N($CB173)=1,1,SQRT(3))*$D173*_xlpm.gxd),0)),IF(OR(_xlpm.gamp=0,NOT(ISNUMBER(_xlpm.base))),_xlpm.base,MAX(_xlpm.base,_xlpm.gamp))),_xlpm.ulim,IF(OR($A173="",$B173&lt;&gt;"UPS"),"",IFERROR(IF(_xlfn.XLOOKUP($A173,UPS!$B$57:$B$64,UPS!$E$57:$E$64,"")="None",_xlfn.XLOOKUP($A173,UPS!$B$57:$B$64,UPS!$U$57:$U$64,""),""),"")),IF(AND(ISNUMBER(_xlpm.v),ISNUMBER(_xlpm.ulim)),MIN(_xlpm.v,_xlpm.ulim),_xlpm.v))</f>
        <v/>
      </c>
      <c r="K173" s="176"/>
      <c r="L173" s="177" t="str">
        <f t="shared" si="38"/>
        <v/>
      </c>
      <c r="M173" s="177" t="str">
        <f t="shared" si="39"/>
        <v/>
      </c>
      <c r="N173" s="380" t="str">
        <f>IF($A173="","",IF($C173=0,_xlfn.LET(_xlpm.x,IFERROR(_xlfn.XLOOKUP($A173,Util_Tags,Util_XR),""),IF(N(_xlpm.x)=0,Xfmr_DefXR,_xlpm.x)),IF(LEFT($A173,2)="T-",IFERROR(_xlfn.XLOOKUP($A173,Transformers!$A$6:$A$105,Transformers!$AH$6:$AH$105),Xfmr_DefXR),IFERROR(_xlfn.XLOOKUP($E173,$A$6:$A$255,$N$6:$N$255),Xfmr_DefXR))))</f>
        <v/>
      </c>
      <c r="O173" s="177" t="str">
        <f t="shared" si="40"/>
        <v/>
      </c>
      <c r="P173" s="210" t="str">
        <f>IF($A173="","",IF(LEFT($A173,2)="T-",IF($CO173="","",_xlfn.LET(_xlpm.k,IFERROR(_xlfn.XLOOKUP($A173,Transformers!$A$6:$A$105,Transformers!$G$6:$G$105),""),_xlpm.sv,IFERROR(_xlfn.XLOOKUP($A173,Transformers!$A$6:$A$105,Transformers!$E$6:$E$105),""),IF(OR(NOT(ISNUMBER(_xlpm.k)),NOT(ISNUMBER(_xlpm.sv)),_xlpm.sv=0),"",_xlfn.LET(_xlpm.iInf,(_xlpm.k*1000/(_xlpm.sv/2))*100/$CO173,_xlpm.pri,IF(OR($CK173="",$CK173=0),"",$CK173/2),_xlpm.base,IF(_xlpm.pri="",_xlpm.iInf,_xlpm.iInf/(1+_xlpm.iInf/_xlpm.pri)),_xlpm.base+IF($L173="",0,$L173))))),IF($CP173="","",_xlfn.LET(_xlpm.pI,IFERROR(_xlfn.XLOOKUP($E173,$A$6:$A$255,$P$6:$P$255),""),IF(NOT(ISNUMBER(_xlpm.pI)),"",_xlpm.pI/(1+$CP173)+IF($L173="",0,$L173))))))</f>
        <v/>
      </c>
      <c r="Q173" s="210" t="str">
        <f t="shared" si="41"/>
        <v/>
      </c>
      <c r="R173" s="177" t="str">
        <f>IF($A173="","",IF(OR($C173=0,LEFT($A173,2)="T-"),"",IFERROR(_xlfn.LET(_xlpm.v,_xlfn.XLOOKUP($A173,Dashboard!$A$101:$A$350,Dashboard!$K$101:$K$350),IF(ISNUMBER(_xlpm.v),_xlpm.v,"")),"")))</f>
        <v/>
      </c>
      <c r="S173" s="211" t="str">
        <f t="shared" si="42"/>
        <v/>
      </c>
      <c r="T173" s="25" t="str">
        <f t="shared" si="43"/>
        <v/>
      </c>
      <c r="U173" s="364"/>
      <c r="BV173" s="20" t="str">
        <f>IF($A173="","",IFERROR(_xlfn.XLOOKUP("F-"&amp;$A173,'Feeder Schedule'!$B$5:$B$254,'Feeder Schedule'!$H$5:$H$254),""))</f>
        <v/>
      </c>
      <c r="BW173" s="20" t="str">
        <f>IF($A173="","",IFERROR(_xlfn.XLOOKUP("F-"&amp;$A173,'Feeder Schedule'!$B$5:$B$254,'Feeder Schedule'!$BV$5:$BV$254),""))</f>
        <v/>
      </c>
      <c r="BX173" s="20" t="str">
        <f>IF($A173="","",IFERROR(_xlfn.LET(_xlpm.v,_xlfn.XLOOKUP("F-"&amp;$A173,'Feeder Schedule'!$B$5:$B$254,'Feeder Schedule'!$M$5:$M$254),IF(OR(_xlpm.v="",_xlpm.v=0),Cfg_Conduit,_xlpm.v)),""))</f>
        <v/>
      </c>
      <c r="BY173" s="20" t="str">
        <f>IF($A173="","",IFERROR(_xlfn.XLOOKUP("F-"&amp;$A173,'Feeder Schedule'!$B$5:$B$254,'Feeder Schedule'!$O$5:$O$254),""))</f>
        <v/>
      </c>
      <c r="BZ173" s="20" t="str">
        <f>IF($A173="","",IFERROR(_xlfn.XLOOKUP("F-"&amp;$A173,'Feeder Schedule'!$B$5:$B$254,'Feeder Schedule'!$CH$5:$CH$254),""))</f>
        <v/>
      </c>
      <c r="CA173" s="20" t="str">
        <f>IF($A173="","",IFERROR(_xlfn.XLOOKUP("F-"&amp;$A173,'Feeder Schedule'!$B$5:$B$254,'Feeder Schedule'!$F$5:$F$254),""))</f>
        <v/>
      </c>
      <c r="CB173" s="20" t="str">
        <f>IF($A173="","",IFERROR(_xlfn.XLOOKUP("F-"&amp;$A173,'Feeder Schedule'!$B$5:$B$254,'Feeder Schedule'!$G$5:$G$254),""))</f>
        <v/>
      </c>
      <c r="CD173" s="20" t="str" cm="1">
        <f t="array" ref="CD173">IFERROR(IF($A173="","",INDEX(_xlfn.ANCHORARRAY($BK$4),ROW()-5,6)),"")</f>
        <v/>
      </c>
      <c r="CE173" s="20" t="str">
        <f t="shared" si="46"/>
        <v/>
      </c>
      <c r="CF173" s="20" t="str">
        <f t="shared" si="47"/>
        <v/>
      </c>
      <c r="CG173" s="20" t="str">
        <f t="shared" si="44"/>
        <v/>
      </c>
      <c r="CH173" s="20" t="str" cm="1">
        <f t="array" ref="CH173">IF(OR($A173="",$BZ173="",$BW173="",$BX173=""),"",_xlfn.LET(_xlpm.mag,IFERROR(_xlfn.XLOOKUP($BX173,Race_Raceway,Race_Mag),""),IF(_xlpm.mag="","",IFERROR(INDEX(Cond_Table,MATCH($BZ173,Cond_Size,0),IF(UPPER($BW173)="AL",IF(_xlpm.mag="Y",10,12),IF(_xlpm.mag="Y",9,11))),""))))</f>
        <v/>
      </c>
      <c r="CI173" s="20" t="str">
        <f t="shared" si="45"/>
        <v/>
      </c>
      <c r="CJ173" s="20" t="str">
        <f>IF(OR($A173="",LEFT($A173,2)&lt;&gt;"T-"),"",IFERROR(_xlfn.LET(_xlpm.fla,_xlfn.XLOOKUP($A173,Transformers!$A$6:$A$105,Transformers!$AK$6:$AK$105),_xlpm.z,_xlfn.XLOOKUP($A173,Transformers!$A$6:$A$105,Transformers!$AX$6:$AX$105),IF(OR(_xlpm.fla="",_xlpm.z="",_xlpm.z=0),"",_xlpm.fla*100/_xlpm.z)),""))</f>
        <v/>
      </c>
      <c r="CK173" s="20" t="str">
        <f t="shared" si="48"/>
        <v/>
      </c>
      <c r="CL173" s="20" t="str">
        <f t="shared" si="49"/>
        <v/>
      </c>
      <c r="CM173" s="373"/>
      <c r="CO173" s="20" t="str">
        <f>IF(OR($A173="",LEFT($A173,2)&lt;&gt;"T-"),"",_xlfn.LET(_xlpm.ph,IFERROR(_xlfn.XLOOKUP($A173,Transformers!$A$6:$A$105,Transformers!$C$6:$C$105),""),_xlpm.rr,IFERROR(_xlfn.XLOOKUP($A173,Transformers!$A$6:$A$105,Transformers!$AG$6:$AG$105),""),_xlpm.xx,IFERROR(_xlfn.XLOOKUP($A173,Transformers!$A$6:$A$105,Transformers!$AI$6:$AI$105),""),IF(OR(_xlpm.ph&lt;&gt;1,NOT(ISNUMBER(_xlpm.rr)),NOT(ISNUMBER(_xlpm.xx))),"",SQRT((1.5*_xlpm.rr)^2+(1.2*_xlpm.xx)^2))))</f>
        <v/>
      </c>
      <c r="CP173" s="20" t="str">
        <f t="shared" si="50"/>
        <v/>
      </c>
    </row>
    <row r="174" spans="1:94" ht="15" customHeight="1" x14ac:dyDescent="0.45">
      <c r="A174" s="275" t="str" cm="1">
        <f t="array" ref="A174">IFERROR(IF(INDEX(_xlfn.ANCHORARRAY($BK$4),ROW()-5,1)="","",INDEX(_xlfn.ANCHORARRAY($BK$4),ROW()-5,1)),"")</f>
        <v/>
      </c>
      <c r="B174" s="25" t="str" cm="1">
        <f t="array" ref="B174">IFERROR(IF($A174="","",INDEX(_xlfn.ANCHORARRAY($BK$4),ROW()-5,5)),"")</f>
        <v/>
      </c>
      <c r="C174" s="178" t="str" cm="1">
        <f t="array" ref="C174">IFERROR(IF($A174="","",INDEX(_xlfn.ANCHORARRAY($BK$4),ROW()-5,7)),"")</f>
        <v/>
      </c>
      <c r="D174" s="177" t="str" cm="1">
        <f t="array" ref="D174">IFERROR(IF($A174="","",INDEX(_xlfn.ANCHORARRAY($BK$4),ROW()-5,3)),"")</f>
        <v/>
      </c>
      <c r="E174" s="25" t="str" cm="1">
        <f t="array" ref="E174">IFERROR(IF($A174="","",INDEX(_xlfn.ANCHORARRAY($BK$4),ROW()-5,2)),"")</f>
        <v/>
      </c>
      <c r="F174" s="177" t="str">
        <f t="shared" si="34"/>
        <v/>
      </c>
      <c r="G174" s="275" t="str">
        <f t="shared" si="35"/>
        <v/>
      </c>
      <c r="H174" s="180" t="str">
        <f t="shared" si="36"/>
        <v/>
      </c>
      <c r="I174" s="180" t="str">
        <f t="shared" si="37"/>
        <v/>
      </c>
      <c r="J174" s="177" t="str">
        <f>_xlfn.LET(_xlpm.v,_xlfn.LET(_xlpm.base,IF($A174="","",IF($C174=0,IFERROR(_xlfn.XLOOKUP($A174,Util_Tags,Util_SCAEff),""),IF(LEFT($A174,2)="T-",IF($CJ174="","",$CJ174/(1+IF($CL174="",0,$CL174))),IF(OR($F174="",$I174=""),"",$F174*$I174)))),_xlpm.gtag,IF(OR($A174="",NOT(OR($B174="ATS",$B174="MTS"))),"",IFERROR(_xlfn.XLOOKUP($A174,Dashboard!$A$101:$A$350,Dashboard!$L$101:$L$350,"")&amp;"","")),_xlpm.gkva,IF(_xlpm.gtag="",0,IFERROR(N(_xlfn.XLOOKUP(_xlpm.gtag,Generator!$B$53:$B$58,Generator!$S$53:$S$58,0)),0)),_xlpm.gxd,IF(_xlpm.gtag="",0,IFERROR(N(_xlfn.XLOOKUP(_xlpm.gtag,Generator!$B$53:$B$58,Generator!$U$53:$U$58,0)),0)),_xlpm.gamp,IF(OR(_xlpm.gkva=0,_xlpm.gxd=0,N($D174)=0),0,ROUND(_xlpm.gkva*1000/(IF(N($CB174)=1,1,SQRT(3))*$D174*_xlpm.gxd),0)),IF(OR(_xlpm.gamp=0,NOT(ISNUMBER(_xlpm.base))),_xlpm.base,MAX(_xlpm.base,_xlpm.gamp))),_xlpm.ulim,IF(OR($A174="",$B174&lt;&gt;"UPS"),"",IFERROR(IF(_xlfn.XLOOKUP($A174,UPS!$B$57:$B$64,UPS!$E$57:$E$64,"")="None",_xlfn.XLOOKUP($A174,UPS!$B$57:$B$64,UPS!$U$57:$U$64,""),""),"")),IF(AND(ISNUMBER(_xlpm.v),ISNUMBER(_xlpm.ulim)),MIN(_xlpm.v,_xlpm.ulim),_xlpm.v))</f>
        <v/>
      </c>
      <c r="K174" s="176"/>
      <c r="L174" s="177" t="str">
        <f t="shared" si="38"/>
        <v/>
      </c>
      <c r="M174" s="177" t="str">
        <f t="shared" si="39"/>
        <v/>
      </c>
      <c r="N174" s="380" t="str">
        <f>IF($A174="","",IF($C174=0,_xlfn.LET(_xlpm.x,IFERROR(_xlfn.XLOOKUP($A174,Util_Tags,Util_XR),""),IF(N(_xlpm.x)=0,Xfmr_DefXR,_xlpm.x)),IF(LEFT($A174,2)="T-",IFERROR(_xlfn.XLOOKUP($A174,Transformers!$A$6:$A$105,Transformers!$AH$6:$AH$105),Xfmr_DefXR),IFERROR(_xlfn.XLOOKUP($E174,$A$6:$A$255,$N$6:$N$255),Xfmr_DefXR))))</f>
        <v/>
      </c>
      <c r="O174" s="177" t="str">
        <f t="shared" si="40"/>
        <v/>
      </c>
      <c r="P174" s="210" t="str">
        <f>IF($A174="","",IF(LEFT($A174,2)="T-",IF($CO174="","",_xlfn.LET(_xlpm.k,IFERROR(_xlfn.XLOOKUP($A174,Transformers!$A$6:$A$105,Transformers!$G$6:$G$105),""),_xlpm.sv,IFERROR(_xlfn.XLOOKUP($A174,Transformers!$A$6:$A$105,Transformers!$E$6:$E$105),""),IF(OR(NOT(ISNUMBER(_xlpm.k)),NOT(ISNUMBER(_xlpm.sv)),_xlpm.sv=0),"",_xlfn.LET(_xlpm.iInf,(_xlpm.k*1000/(_xlpm.sv/2))*100/$CO174,_xlpm.pri,IF(OR($CK174="",$CK174=0),"",$CK174/2),_xlpm.base,IF(_xlpm.pri="",_xlpm.iInf,_xlpm.iInf/(1+_xlpm.iInf/_xlpm.pri)),_xlpm.base+IF($L174="",0,$L174))))),IF($CP174="","",_xlfn.LET(_xlpm.pI,IFERROR(_xlfn.XLOOKUP($E174,$A$6:$A$255,$P$6:$P$255),""),IF(NOT(ISNUMBER(_xlpm.pI)),"",_xlpm.pI/(1+$CP174)+IF($L174="",0,$L174))))))</f>
        <v/>
      </c>
      <c r="Q174" s="210" t="str">
        <f t="shared" si="41"/>
        <v/>
      </c>
      <c r="R174" s="177" t="str">
        <f>IF($A174="","",IF(OR($C174=0,LEFT($A174,2)="T-"),"",IFERROR(_xlfn.LET(_xlpm.v,_xlfn.XLOOKUP($A174,Dashboard!$A$101:$A$350,Dashboard!$K$101:$K$350),IF(ISNUMBER(_xlpm.v),_xlpm.v,"")),"")))</f>
        <v/>
      </c>
      <c r="S174" s="211" t="str">
        <f t="shared" si="42"/>
        <v/>
      </c>
      <c r="T174" s="25" t="str">
        <f t="shared" si="43"/>
        <v/>
      </c>
      <c r="U174" s="364"/>
      <c r="BV174" s="20" t="str">
        <f>IF($A174="","",IFERROR(_xlfn.XLOOKUP("F-"&amp;$A174,'Feeder Schedule'!$B$5:$B$254,'Feeder Schedule'!$H$5:$H$254),""))</f>
        <v/>
      </c>
      <c r="BW174" s="20" t="str">
        <f>IF($A174="","",IFERROR(_xlfn.XLOOKUP("F-"&amp;$A174,'Feeder Schedule'!$B$5:$B$254,'Feeder Schedule'!$BV$5:$BV$254),""))</f>
        <v/>
      </c>
      <c r="BX174" s="20" t="str">
        <f>IF($A174="","",IFERROR(_xlfn.LET(_xlpm.v,_xlfn.XLOOKUP("F-"&amp;$A174,'Feeder Schedule'!$B$5:$B$254,'Feeder Schedule'!$M$5:$M$254),IF(OR(_xlpm.v="",_xlpm.v=0),Cfg_Conduit,_xlpm.v)),""))</f>
        <v/>
      </c>
      <c r="BY174" s="20" t="str">
        <f>IF($A174="","",IFERROR(_xlfn.XLOOKUP("F-"&amp;$A174,'Feeder Schedule'!$B$5:$B$254,'Feeder Schedule'!$O$5:$O$254),""))</f>
        <v/>
      </c>
      <c r="BZ174" s="20" t="str">
        <f>IF($A174="","",IFERROR(_xlfn.XLOOKUP("F-"&amp;$A174,'Feeder Schedule'!$B$5:$B$254,'Feeder Schedule'!$CH$5:$CH$254),""))</f>
        <v/>
      </c>
      <c r="CA174" s="20" t="str">
        <f>IF($A174="","",IFERROR(_xlfn.XLOOKUP("F-"&amp;$A174,'Feeder Schedule'!$B$5:$B$254,'Feeder Schedule'!$F$5:$F$254),""))</f>
        <v/>
      </c>
      <c r="CB174" s="20" t="str">
        <f>IF($A174="","",IFERROR(_xlfn.XLOOKUP("F-"&amp;$A174,'Feeder Schedule'!$B$5:$B$254,'Feeder Schedule'!$G$5:$G$254),""))</f>
        <v/>
      </c>
      <c r="CD174" s="20" t="str" cm="1">
        <f t="array" ref="CD174">IFERROR(IF($A174="","",INDEX(_xlfn.ANCHORARRAY($BK$4),ROW()-5,6)),"")</f>
        <v/>
      </c>
      <c r="CE174" s="20" t="str">
        <f t="shared" si="46"/>
        <v/>
      </c>
      <c r="CF174" s="20" t="str">
        <f t="shared" si="47"/>
        <v/>
      </c>
      <c r="CG174" s="20" t="str">
        <f t="shared" si="44"/>
        <v/>
      </c>
      <c r="CH174" s="20" t="str" cm="1">
        <f t="array" ref="CH174">IF(OR($A174="",$BZ174="",$BW174="",$BX174=""),"",_xlfn.LET(_xlpm.mag,IFERROR(_xlfn.XLOOKUP($BX174,Race_Raceway,Race_Mag),""),IF(_xlpm.mag="","",IFERROR(INDEX(Cond_Table,MATCH($BZ174,Cond_Size,0),IF(UPPER($BW174)="AL",IF(_xlpm.mag="Y",10,12),IF(_xlpm.mag="Y",9,11))),""))))</f>
        <v/>
      </c>
      <c r="CI174" s="20" t="str">
        <f t="shared" si="45"/>
        <v/>
      </c>
      <c r="CJ174" s="20" t="str">
        <f>IF(OR($A174="",LEFT($A174,2)&lt;&gt;"T-"),"",IFERROR(_xlfn.LET(_xlpm.fla,_xlfn.XLOOKUP($A174,Transformers!$A$6:$A$105,Transformers!$AK$6:$AK$105),_xlpm.z,_xlfn.XLOOKUP($A174,Transformers!$A$6:$A$105,Transformers!$AX$6:$AX$105),IF(OR(_xlpm.fla="",_xlpm.z="",_xlpm.z=0),"",_xlpm.fla*100/_xlpm.z)),""))</f>
        <v/>
      </c>
      <c r="CK174" s="20" t="str">
        <f t="shared" si="48"/>
        <v/>
      </c>
      <c r="CL174" s="20" t="str">
        <f t="shared" si="49"/>
        <v/>
      </c>
      <c r="CM174" s="373"/>
      <c r="CO174" s="20" t="str">
        <f>IF(OR($A174="",LEFT($A174,2)&lt;&gt;"T-"),"",_xlfn.LET(_xlpm.ph,IFERROR(_xlfn.XLOOKUP($A174,Transformers!$A$6:$A$105,Transformers!$C$6:$C$105),""),_xlpm.rr,IFERROR(_xlfn.XLOOKUP($A174,Transformers!$A$6:$A$105,Transformers!$AG$6:$AG$105),""),_xlpm.xx,IFERROR(_xlfn.XLOOKUP($A174,Transformers!$A$6:$A$105,Transformers!$AI$6:$AI$105),""),IF(OR(_xlpm.ph&lt;&gt;1,NOT(ISNUMBER(_xlpm.rr)),NOT(ISNUMBER(_xlpm.xx))),"",SQRT((1.5*_xlpm.rr)^2+(1.2*_xlpm.xx)^2))))</f>
        <v/>
      </c>
      <c r="CP174" s="20" t="str">
        <f t="shared" si="50"/>
        <v/>
      </c>
    </row>
    <row r="175" spans="1:94" ht="15" customHeight="1" x14ac:dyDescent="0.45">
      <c r="A175" s="275" t="str" cm="1">
        <f t="array" ref="A175">IFERROR(IF(INDEX(_xlfn.ANCHORARRAY($BK$4),ROW()-5,1)="","",INDEX(_xlfn.ANCHORARRAY($BK$4),ROW()-5,1)),"")</f>
        <v/>
      </c>
      <c r="B175" s="25" t="str" cm="1">
        <f t="array" ref="B175">IFERROR(IF($A175="","",INDEX(_xlfn.ANCHORARRAY($BK$4),ROW()-5,5)),"")</f>
        <v/>
      </c>
      <c r="C175" s="178" t="str" cm="1">
        <f t="array" ref="C175">IFERROR(IF($A175="","",INDEX(_xlfn.ANCHORARRAY($BK$4),ROW()-5,7)),"")</f>
        <v/>
      </c>
      <c r="D175" s="177" t="str" cm="1">
        <f t="array" ref="D175">IFERROR(IF($A175="","",INDEX(_xlfn.ANCHORARRAY($BK$4),ROW()-5,3)),"")</f>
        <v/>
      </c>
      <c r="E175" s="25" t="str" cm="1">
        <f t="array" ref="E175">IFERROR(IF($A175="","",INDEX(_xlfn.ANCHORARRAY($BK$4),ROW()-5,2)),"")</f>
        <v/>
      </c>
      <c r="F175" s="177" t="str">
        <f t="shared" si="34"/>
        <v/>
      </c>
      <c r="G175" s="275" t="str">
        <f t="shared" si="35"/>
        <v/>
      </c>
      <c r="H175" s="180" t="str">
        <f t="shared" si="36"/>
        <v/>
      </c>
      <c r="I175" s="180" t="str">
        <f t="shared" si="37"/>
        <v/>
      </c>
      <c r="J175" s="177" t="str">
        <f>_xlfn.LET(_xlpm.v,_xlfn.LET(_xlpm.base,IF($A175="","",IF($C175=0,IFERROR(_xlfn.XLOOKUP($A175,Util_Tags,Util_SCAEff),""),IF(LEFT($A175,2)="T-",IF($CJ175="","",$CJ175/(1+IF($CL175="",0,$CL175))),IF(OR($F175="",$I175=""),"",$F175*$I175)))),_xlpm.gtag,IF(OR($A175="",NOT(OR($B175="ATS",$B175="MTS"))),"",IFERROR(_xlfn.XLOOKUP($A175,Dashboard!$A$101:$A$350,Dashboard!$L$101:$L$350,"")&amp;"","")),_xlpm.gkva,IF(_xlpm.gtag="",0,IFERROR(N(_xlfn.XLOOKUP(_xlpm.gtag,Generator!$B$53:$B$58,Generator!$S$53:$S$58,0)),0)),_xlpm.gxd,IF(_xlpm.gtag="",0,IFERROR(N(_xlfn.XLOOKUP(_xlpm.gtag,Generator!$B$53:$B$58,Generator!$U$53:$U$58,0)),0)),_xlpm.gamp,IF(OR(_xlpm.gkva=0,_xlpm.gxd=0,N($D175)=0),0,ROUND(_xlpm.gkva*1000/(IF(N($CB175)=1,1,SQRT(3))*$D175*_xlpm.gxd),0)),IF(OR(_xlpm.gamp=0,NOT(ISNUMBER(_xlpm.base))),_xlpm.base,MAX(_xlpm.base,_xlpm.gamp))),_xlpm.ulim,IF(OR($A175="",$B175&lt;&gt;"UPS"),"",IFERROR(IF(_xlfn.XLOOKUP($A175,UPS!$B$57:$B$64,UPS!$E$57:$E$64,"")="None",_xlfn.XLOOKUP($A175,UPS!$B$57:$B$64,UPS!$U$57:$U$64,""),""),"")),IF(AND(ISNUMBER(_xlpm.v),ISNUMBER(_xlpm.ulim)),MIN(_xlpm.v,_xlpm.ulim),_xlpm.v))</f>
        <v/>
      </c>
      <c r="K175" s="176"/>
      <c r="L175" s="177" t="str">
        <f t="shared" si="38"/>
        <v/>
      </c>
      <c r="M175" s="177" t="str">
        <f t="shared" si="39"/>
        <v/>
      </c>
      <c r="N175" s="380" t="str">
        <f>IF($A175="","",IF($C175=0,_xlfn.LET(_xlpm.x,IFERROR(_xlfn.XLOOKUP($A175,Util_Tags,Util_XR),""),IF(N(_xlpm.x)=0,Xfmr_DefXR,_xlpm.x)),IF(LEFT($A175,2)="T-",IFERROR(_xlfn.XLOOKUP($A175,Transformers!$A$6:$A$105,Transformers!$AH$6:$AH$105),Xfmr_DefXR),IFERROR(_xlfn.XLOOKUP($E175,$A$6:$A$255,$N$6:$N$255),Xfmr_DefXR))))</f>
        <v/>
      </c>
      <c r="O175" s="177" t="str">
        <f t="shared" si="40"/>
        <v/>
      </c>
      <c r="P175" s="210" t="str">
        <f>IF($A175="","",IF(LEFT($A175,2)="T-",IF($CO175="","",_xlfn.LET(_xlpm.k,IFERROR(_xlfn.XLOOKUP($A175,Transformers!$A$6:$A$105,Transformers!$G$6:$G$105),""),_xlpm.sv,IFERROR(_xlfn.XLOOKUP($A175,Transformers!$A$6:$A$105,Transformers!$E$6:$E$105),""),IF(OR(NOT(ISNUMBER(_xlpm.k)),NOT(ISNUMBER(_xlpm.sv)),_xlpm.sv=0),"",_xlfn.LET(_xlpm.iInf,(_xlpm.k*1000/(_xlpm.sv/2))*100/$CO175,_xlpm.pri,IF(OR($CK175="",$CK175=0),"",$CK175/2),_xlpm.base,IF(_xlpm.pri="",_xlpm.iInf,_xlpm.iInf/(1+_xlpm.iInf/_xlpm.pri)),_xlpm.base+IF($L175="",0,$L175))))),IF($CP175="","",_xlfn.LET(_xlpm.pI,IFERROR(_xlfn.XLOOKUP($E175,$A$6:$A$255,$P$6:$P$255),""),IF(NOT(ISNUMBER(_xlpm.pI)),"",_xlpm.pI/(1+$CP175)+IF($L175="",0,$L175))))))</f>
        <v/>
      </c>
      <c r="Q175" s="210" t="str">
        <f t="shared" si="41"/>
        <v/>
      </c>
      <c r="R175" s="177" t="str">
        <f>IF($A175="","",IF(OR($C175=0,LEFT($A175,2)="T-"),"",IFERROR(_xlfn.LET(_xlpm.v,_xlfn.XLOOKUP($A175,Dashboard!$A$101:$A$350,Dashboard!$K$101:$K$350),IF(ISNUMBER(_xlpm.v),_xlpm.v,"")),"")))</f>
        <v/>
      </c>
      <c r="S175" s="211" t="str">
        <f t="shared" si="42"/>
        <v/>
      </c>
      <c r="T175" s="25" t="str">
        <f t="shared" si="43"/>
        <v/>
      </c>
      <c r="U175" s="364"/>
      <c r="BV175" s="20" t="str">
        <f>IF($A175="","",IFERROR(_xlfn.XLOOKUP("F-"&amp;$A175,'Feeder Schedule'!$B$5:$B$254,'Feeder Schedule'!$H$5:$H$254),""))</f>
        <v/>
      </c>
      <c r="BW175" s="20" t="str">
        <f>IF($A175="","",IFERROR(_xlfn.XLOOKUP("F-"&amp;$A175,'Feeder Schedule'!$B$5:$B$254,'Feeder Schedule'!$BV$5:$BV$254),""))</f>
        <v/>
      </c>
      <c r="BX175" s="20" t="str">
        <f>IF($A175="","",IFERROR(_xlfn.LET(_xlpm.v,_xlfn.XLOOKUP("F-"&amp;$A175,'Feeder Schedule'!$B$5:$B$254,'Feeder Schedule'!$M$5:$M$254),IF(OR(_xlpm.v="",_xlpm.v=0),Cfg_Conduit,_xlpm.v)),""))</f>
        <v/>
      </c>
      <c r="BY175" s="20" t="str">
        <f>IF($A175="","",IFERROR(_xlfn.XLOOKUP("F-"&amp;$A175,'Feeder Schedule'!$B$5:$B$254,'Feeder Schedule'!$O$5:$O$254),""))</f>
        <v/>
      </c>
      <c r="BZ175" s="20" t="str">
        <f>IF($A175="","",IFERROR(_xlfn.XLOOKUP("F-"&amp;$A175,'Feeder Schedule'!$B$5:$B$254,'Feeder Schedule'!$CH$5:$CH$254),""))</f>
        <v/>
      </c>
      <c r="CA175" s="20" t="str">
        <f>IF($A175="","",IFERROR(_xlfn.XLOOKUP("F-"&amp;$A175,'Feeder Schedule'!$B$5:$B$254,'Feeder Schedule'!$F$5:$F$254),""))</f>
        <v/>
      </c>
      <c r="CB175" s="20" t="str">
        <f>IF($A175="","",IFERROR(_xlfn.XLOOKUP("F-"&amp;$A175,'Feeder Schedule'!$B$5:$B$254,'Feeder Schedule'!$G$5:$G$254),""))</f>
        <v/>
      </c>
      <c r="CD175" s="20" t="str" cm="1">
        <f t="array" ref="CD175">IFERROR(IF($A175="","",INDEX(_xlfn.ANCHORARRAY($BK$4),ROW()-5,6)),"")</f>
        <v/>
      </c>
      <c r="CE175" s="20" t="str">
        <f t="shared" si="46"/>
        <v/>
      </c>
      <c r="CF175" s="20" t="str">
        <f t="shared" si="47"/>
        <v/>
      </c>
      <c r="CG175" s="20" t="str">
        <f t="shared" si="44"/>
        <v/>
      </c>
      <c r="CH175" s="20" t="str" cm="1">
        <f t="array" ref="CH175">IF(OR($A175="",$BZ175="",$BW175="",$BX175=""),"",_xlfn.LET(_xlpm.mag,IFERROR(_xlfn.XLOOKUP($BX175,Race_Raceway,Race_Mag),""),IF(_xlpm.mag="","",IFERROR(INDEX(Cond_Table,MATCH($BZ175,Cond_Size,0),IF(UPPER($BW175)="AL",IF(_xlpm.mag="Y",10,12),IF(_xlpm.mag="Y",9,11))),""))))</f>
        <v/>
      </c>
      <c r="CI175" s="20" t="str">
        <f t="shared" si="45"/>
        <v/>
      </c>
      <c r="CJ175" s="20" t="str">
        <f>IF(OR($A175="",LEFT($A175,2)&lt;&gt;"T-"),"",IFERROR(_xlfn.LET(_xlpm.fla,_xlfn.XLOOKUP($A175,Transformers!$A$6:$A$105,Transformers!$AK$6:$AK$105),_xlpm.z,_xlfn.XLOOKUP($A175,Transformers!$A$6:$A$105,Transformers!$AX$6:$AX$105),IF(OR(_xlpm.fla="",_xlpm.z="",_xlpm.z=0),"",_xlpm.fla*100/_xlpm.z)),""))</f>
        <v/>
      </c>
      <c r="CK175" s="20" t="str">
        <f t="shared" si="48"/>
        <v/>
      </c>
      <c r="CL175" s="20" t="str">
        <f t="shared" si="49"/>
        <v/>
      </c>
      <c r="CM175" s="373"/>
      <c r="CO175" s="20" t="str">
        <f>IF(OR($A175="",LEFT($A175,2)&lt;&gt;"T-"),"",_xlfn.LET(_xlpm.ph,IFERROR(_xlfn.XLOOKUP($A175,Transformers!$A$6:$A$105,Transformers!$C$6:$C$105),""),_xlpm.rr,IFERROR(_xlfn.XLOOKUP($A175,Transformers!$A$6:$A$105,Transformers!$AG$6:$AG$105),""),_xlpm.xx,IFERROR(_xlfn.XLOOKUP($A175,Transformers!$A$6:$A$105,Transformers!$AI$6:$AI$105),""),IF(OR(_xlpm.ph&lt;&gt;1,NOT(ISNUMBER(_xlpm.rr)),NOT(ISNUMBER(_xlpm.xx))),"",SQRT((1.5*_xlpm.rr)^2+(1.2*_xlpm.xx)^2))))</f>
        <v/>
      </c>
      <c r="CP175" s="20" t="str">
        <f t="shared" si="50"/>
        <v/>
      </c>
    </row>
    <row r="176" spans="1:94" ht="15" customHeight="1" x14ac:dyDescent="0.45">
      <c r="A176" s="275" t="str" cm="1">
        <f t="array" ref="A176">IFERROR(IF(INDEX(_xlfn.ANCHORARRAY($BK$4),ROW()-5,1)="","",INDEX(_xlfn.ANCHORARRAY($BK$4),ROW()-5,1)),"")</f>
        <v/>
      </c>
      <c r="B176" s="25" t="str" cm="1">
        <f t="array" ref="B176">IFERROR(IF($A176="","",INDEX(_xlfn.ANCHORARRAY($BK$4),ROW()-5,5)),"")</f>
        <v/>
      </c>
      <c r="C176" s="178" t="str" cm="1">
        <f t="array" ref="C176">IFERROR(IF($A176="","",INDEX(_xlfn.ANCHORARRAY($BK$4),ROW()-5,7)),"")</f>
        <v/>
      </c>
      <c r="D176" s="177" t="str" cm="1">
        <f t="array" ref="D176">IFERROR(IF($A176="","",INDEX(_xlfn.ANCHORARRAY($BK$4),ROW()-5,3)),"")</f>
        <v/>
      </c>
      <c r="E176" s="25" t="str" cm="1">
        <f t="array" ref="E176">IFERROR(IF($A176="","",INDEX(_xlfn.ANCHORARRAY($BK$4),ROW()-5,2)),"")</f>
        <v/>
      </c>
      <c r="F176" s="177" t="str">
        <f t="shared" si="34"/>
        <v/>
      </c>
      <c r="G176" s="275" t="str">
        <f t="shared" si="35"/>
        <v/>
      </c>
      <c r="H176" s="180" t="str">
        <f t="shared" si="36"/>
        <v/>
      </c>
      <c r="I176" s="180" t="str">
        <f t="shared" si="37"/>
        <v/>
      </c>
      <c r="J176" s="177" t="str">
        <f>_xlfn.LET(_xlpm.v,_xlfn.LET(_xlpm.base,IF($A176="","",IF($C176=0,IFERROR(_xlfn.XLOOKUP($A176,Util_Tags,Util_SCAEff),""),IF(LEFT($A176,2)="T-",IF($CJ176="","",$CJ176/(1+IF($CL176="",0,$CL176))),IF(OR($F176="",$I176=""),"",$F176*$I176)))),_xlpm.gtag,IF(OR($A176="",NOT(OR($B176="ATS",$B176="MTS"))),"",IFERROR(_xlfn.XLOOKUP($A176,Dashboard!$A$101:$A$350,Dashboard!$L$101:$L$350,"")&amp;"","")),_xlpm.gkva,IF(_xlpm.gtag="",0,IFERROR(N(_xlfn.XLOOKUP(_xlpm.gtag,Generator!$B$53:$B$58,Generator!$S$53:$S$58,0)),0)),_xlpm.gxd,IF(_xlpm.gtag="",0,IFERROR(N(_xlfn.XLOOKUP(_xlpm.gtag,Generator!$B$53:$B$58,Generator!$U$53:$U$58,0)),0)),_xlpm.gamp,IF(OR(_xlpm.gkva=0,_xlpm.gxd=0,N($D176)=0),0,ROUND(_xlpm.gkva*1000/(IF(N($CB176)=1,1,SQRT(3))*$D176*_xlpm.gxd),0)),IF(OR(_xlpm.gamp=0,NOT(ISNUMBER(_xlpm.base))),_xlpm.base,MAX(_xlpm.base,_xlpm.gamp))),_xlpm.ulim,IF(OR($A176="",$B176&lt;&gt;"UPS"),"",IFERROR(IF(_xlfn.XLOOKUP($A176,UPS!$B$57:$B$64,UPS!$E$57:$E$64,"")="None",_xlfn.XLOOKUP($A176,UPS!$B$57:$B$64,UPS!$U$57:$U$64,""),""),"")),IF(AND(ISNUMBER(_xlpm.v),ISNUMBER(_xlpm.ulim)),MIN(_xlpm.v,_xlpm.ulim),_xlpm.v))</f>
        <v/>
      </c>
      <c r="K176" s="176"/>
      <c r="L176" s="177" t="str">
        <f t="shared" si="38"/>
        <v/>
      </c>
      <c r="M176" s="177" t="str">
        <f t="shared" si="39"/>
        <v/>
      </c>
      <c r="N176" s="380" t="str">
        <f>IF($A176="","",IF($C176=0,_xlfn.LET(_xlpm.x,IFERROR(_xlfn.XLOOKUP($A176,Util_Tags,Util_XR),""),IF(N(_xlpm.x)=0,Xfmr_DefXR,_xlpm.x)),IF(LEFT($A176,2)="T-",IFERROR(_xlfn.XLOOKUP($A176,Transformers!$A$6:$A$105,Transformers!$AH$6:$AH$105),Xfmr_DefXR),IFERROR(_xlfn.XLOOKUP($E176,$A$6:$A$255,$N$6:$N$255),Xfmr_DefXR))))</f>
        <v/>
      </c>
      <c r="O176" s="177" t="str">
        <f t="shared" si="40"/>
        <v/>
      </c>
      <c r="P176" s="210" t="str">
        <f>IF($A176="","",IF(LEFT($A176,2)="T-",IF($CO176="","",_xlfn.LET(_xlpm.k,IFERROR(_xlfn.XLOOKUP($A176,Transformers!$A$6:$A$105,Transformers!$G$6:$G$105),""),_xlpm.sv,IFERROR(_xlfn.XLOOKUP($A176,Transformers!$A$6:$A$105,Transformers!$E$6:$E$105),""),IF(OR(NOT(ISNUMBER(_xlpm.k)),NOT(ISNUMBER(_xlpm.sv)),_xlpm.sv=0),"",_xlfn.LET(_xlpm.iInf,(_xlpm.k*1000/(_xlpm.sv/2))*100/$CO176,_xlpm.pri,IF(OR($CK176="",$CK176=0),"",$CK176/2),_xlpm.base,IF(_xlpm.pri="",_xlpm.iInf,_xlpm.iInf/(1+_xlpm.iInf/_xlpm.pri)),_xlpm.base+IF($L176="",0,$L176))))),IF($CP176="","",_xlfn.LET(_xlpm.pI,IFERROR(_xlfn.XLOOKUP($E176,$A$6:$A$255,$P$6:$P$255),""),IF(NOT(ISNUMBER(_xlpm.pI)),"",_xlpm.pI/(1+$CP176)+IF($L176="",0,$L176))))))</f>
        <v/>
      </c>
      <c r="Q176" s="210" t="str">
        <f t="shared" si="41"/>
        <v/>
      </c>
      <c r="R176" s="177" t="str">
        <f>IF($A176="","",IF(OR($C176=0,LEFT($A176,2)="T-"),"",IFERROR(_xlfn.LET(_xlpm.v,_xlfn.XLOOKUP($A176,Dashboard!$A$101:$A$350,Dashboard!$K$101:$K$350),IF(ISNUMBER(_xlpm.v),_xlpm.v,"")),"")))</f>
        <v/>
      </c>
      <c r="S176" s="211" t="str">
        <f t="shared" si="42"/>
        <v/>
      </c>
      <c r="T176" s="25" t="str">
        <f t="shared" si="43"/>
        <v/>
      </c>
      <c r="U176" s="364"/>
      <c r="BV176" s="20" t="str">
        <f>IF($A176="","",IFERROR(_xlfn.XLOOKUP("F-"&amp;$A176,'Feeder Schedule'!$B$5:$B$254,'Feeder Schedule'!$H$5:$H$254),""))</f>
        <v/>
      </c>
      <c r="BW176" s="20" t="str">
        <f>IF($A176="","",IFERROR(_xlfn.XLOOKUP("F-"&amp;$A176,'Feeder Schedule'!$B$5:$B$254,'Feeder Schedule'!$BV$5:$BV$254),""))</f>
        <v/>
      </c>
      <c r="BX176" s="20" t="str">
        <f>IF($A176="","",IFERROR(_xlfn.LET(_xlpm.v,_xlfn.XLOOKUP("F-"&amp;$A176,'Feeder Schedule'!$B$5:$B$254,'Feeder Schedule'!$M$5:$M$254),IF(OR(_xlpm.v="",_xlpm.v=0),Cfg_Conduit,_xlpm.v)),""))</f>
        <v/>
      </c>
      <c r="BY176" s="20" t="str">
        <f>IF($A176="","",IFERROR(_xlfn.XLOOKUP("F-"&amp;$A176,'Feeder Schedule'!$B$5:$B$254,'Feeder Schedule'!$O$5:$O$254),""))</f>
        <v/>
      </c>
      <c r="BZ176" s="20" t="str">
        <f>IF($A176="","",IFERROR(_xlfn.XLOOKUP("F-"&amp;$A176,'Feeder Schedule'!$B$5:$B$254,'Feeder Schedule'!$CH$5:$CH$254),""))</f>
        <v/>
      </c>
      <c r="CA176" s="20" t="str">
        <f>IF($A176="","",IFERROR(_xlfn.XLOOKUP("F-"&amp;$A176,'Feeder Schedule'!$B$5:$B$254,'Feeder Schedule'!$F$5:$F$254),""))</f>
        <v/>
      </c>
      <c r="CB176" s="20" t="str">
        <f>IF($A176="","",IFERROR(_xlfn.XLOOKUP("F-"&amp;$A176,'Feeder Schedule'!$B$5:$B$254,'Feeder Schedule'!$G$5:$G$254),""))</f>
        <v/>
      </c>
      <c r="CD176" s="20" t="str" cm="1">
        <f t="array" ref="CD176">IFERROR(IF($A176="","",INDEX(_xlfn.ANCHORARRAY($BK$4),ROW()-5,6)),"")</f>
        <v/>
      </c>
      <c r="CE176" s="20" t="str">
        <f t="shared" si="46"/>
        <v/>
      </c>
      <c r="CF176" s="20" t="str">
        <f t="shared" si="47"/>
        <v/>
      </c>
      <c r="CG176" s="20" t="str">
        <f t="shared" si="44"/>
        <v/>
      </c>
      <c r="CH176" s="20" t="str" cm="1">
        <f t="array" ref="CH176">IF(OR($A176="",$BZ176="",$BW176="",$BX176=""),"",_xlfn.LET(_xlpm.mag,IFERROR(_xlfn.XLOOKUP($BX176,Race_Raceway,Race_Mag),""),IF(_xlpm.mag="","",IFERROR(INDEX(Cond_Table,MATCH($BZ176,Cond_Size,0),IF(UPPER($BW176)="AL",IF(_xlpm.mag="Y",10,12),IF(_xlpm.mag="Y",9,11))),""))))</f>
        <v/>
      </c>
      <c r="CI176" s="20" t="str">
        <f t="shared" si="45"/>
        <v/>
      </c>
      <c r="CJ176" s="20" t="str">
        <f>IF(OR($A176="",LEFT($A176,2)&lt;&gt;"T-"),"",IFERROR(_xlfn.LET(_xlpm.fla,_xlfn.XLOOKUP($A176,Transformers!$A$6:$A$105,Transformers!$AK$6:$AK$105),_xlpm.z,_xlfn.XLOOKUP($A176,Transformers!$A$6:$A$105,Transformers!$AX$6:$AX$105),IF(OR(_xlpm.fla="",_xlpm.z="",_xlpm.z=0),"",_xlpm.fla*100/_xlpm.z)),""))</f>
        <v/>
      </c>
      <c r="CK176" s="20" t="str">
        <f t="shared" si="48"/>
        <v/>
      </c>
      <c r="CL176" s="20" t="str">
        <f t="shared" si="49"/>
        <v/>
      </c>
      <c r="CM176" s="373"/>
      <c r="CO176" s="20" t="str">
        <f>IF(OR($A176="",LEFT($A176,2)&lt;&gt;"T-"),"",_xlfn.LET(_xlpm.ph,IFERROR(_xlfn.XLOOKUP($A176,Transformers!$A$6:$A$105,Transformers!$C$6:$C$105),""),_xlpm.rr,IFERROR(_xlfn.XLOOKUP($A176,Transformers!$A$6:$A$105,Transformers!$AG$6:$AG$105),""),_xlpm.xx,IFERROR(_xlfn.XLOOKUP($A176,Transformers!$A$6:$A$105,Transformers!$AI$6:$AI$105),""),IF(OR(_xlpm.ph&lt;&gt;1,NOT(ISNUMBER(_xlpm.rr)),NOT(ISNUMBER(_xlpm.xx))),"",SQRT((1.5*_xlpm.rr)^2+(1.2*_xlpm.xx)^2))))</f>
        <v/>
      </c>
      <c r="CP176" s="20" t="str">
        <f t="shared" si="50"/>
        <v/>
      </c>
    </row>
    <row r="177" spans="1:94" ht="15" customHeight="1" x14ac:dyDescent="0.45">
      <c r="A177" s="275" t="str" cm="1">
        <f t="array" ref="A177">IFERROR(IF(INDEX(_xlfn.ANCHORARRAY($BK$4),ROW()-5,1)="","",INDEX(_xlfn.ANCHORARRAY($BK$4),ROW()-5,1)),"")</f>
        <v/>
      </c>
      <c r="B177" s="25" t="str" cm="1">
        <f t="array" ref="B177">IFERROR(IF($A177="","",INDEX(_xlfn.ANCHORARRAY($BK$4),ROW()-5,5)),"")</f>
        <v/>
      </c>
      <c r="C177" s="178" t="str" cm="1">
        <f t="array" ref="C177">IFERROR(IF($A177="","",INDEX(_xlfn.ANCHORARRAY($BK$4),ROW()-5,7)),"")</f>
        <v/>
      </c>
      <c r="D177" s="177" t="str" cm="1">
        <f t="array" ref="D177">IFERROR(IF($A177="","",INDEX(_xlfn.ANCHORARRAY($BK$4),ROW()-5,3)),"")</f>
        <v/>
      </c>
      <c r="E177" s="25" t="str" cm="1">
        <f t="array" ref="E177">IFERROR(IF($A177="","",INDEX(_xlfn.ANCHORARRAY($BK$4),ROW()-5,2)),"")</f>
        <v/>
      </c>
      <c r="F177" s="177" t="str">
        <f t="shared" si="34"/>
        <v/>
      </c>
      <c r="G177" s="275" t="str">
        <f t="shared" si="35"/>
        <v/>
      </c>
      <c r="H177" s="180" t="str">
        <f t="shared" si="36"/>
        <v/>
      </c>
      <c r="I177" s="180" t="str">
        <f t="shared" si="37"/>
        <v/>
      </c>
      <c r="J177" s="177" t="str">
        <f>_xlfn.LET(_xlpm.v,_xlfn.LET(_xlpm.base,IF($A177="","",IF($C177=0,IFERROR(_xlfn.XLOOKUP($A177,Util_Tags,Util_SCAEff),""),IF(LEFT($A177,2)="T-",IF($CJ177="","",$CJ177/(1+IF($CL177="",0,$CL177))),IF(OR($F177="",$I177=""),"",$F177*$I177)))),_xlpm.gtag,IF(OR($A177="",NOT(OR($B177="ATS",$B177="MTS"))),"",IFERROR(_xlfn.XLOOKUP($A177,Dashboard!$A$101:$A$350,Dashboard!$L$101:$L$350,"")&amp;"","")),_xlpm.gkva,IF(_xlpm.gtag="",0,IFERROR(N(_xlfn.XLOOKUP(_xlpm.gtag,Generator!$B$53:$B$58,Generator!$S$53:$S$58,0)),0)),_xlpm.gxd,IF(_xlpm.gtag="",0,IFERROR(N(_xlfn.XLOOKUP(_xlpm.gtag,Generator!$B$53:$B$58,Generator!$U$53:$U$58,0)),0)),_xlpm.gamp,IF(OR(_xlpm.gkva=0,_xlpm.gxd=0,N($D177)=0),0,ROUND(_xlpm.gkva*1000/(IF(N($CB177)=1,1,SQRT(3))*$D177*_xlpm.gxd),0)),IF(OR(_xlpm.gamp=0,NOT(ISNUMBER(_xlpm.base))),_xlpm.base,MAX(_xlpm.base,_xlpm.gamp))),_xlpm.ulim,IF(OR($A177="",$B177&lt;&gt;"UPS"),"",IFERROR(IF(_xlfn.XLOOKUP($A177,UPS!$B$57:$B$64,UPS!$E$57:$E$64,"")="None",_xlfn.XLOOKUP($A177,UPS!$B$57:$B$64,UPS!$U$57:$U$64,""),""),"")),IF(AND(ISNUMBER(_xlpm.v),ISNUMBER(_xlpm.ulim)),MIN(_xlpm.v,_xlpm.ulim),_xlpm.v))</f>
        <v/>
      </c>
      <c r="K177" s="176"/>
      <c r="L177" s="177" t="str">
        <f t="shared" si="38"/>
        <v/>
      </c>
      <c r="M177" s="177" t="str">
        <f t="shared" si="39"/>
        <v/>
      </c>
      <c r="N177" s="380" t="str">
        <f>IF($A177="","",IF($C177=0,_xlfn.LET(_xlpm.x,IFERROR(_xlfn.XLOOKUP($A177,Util_Tags,Util_XR),""),IF(N(_xlpm.x)=0,Xfmr_DefXR,_xlpm.x)),IF(LEFT($A177,2)="T-",IFERROR(_xlfn.XLOOKUP($A177,Transformers!$A$6:$A$105,Transformers!$AH$6:$AH$105),Xfmr_DefXR),IFERROR(_xlfn.XLOOKUP($E177,$A$6:$A$255,$N$6:$N$255),Xfmr_DefXR))))</f>
        <v/>
      </c>
      <c r="O177" s="177" t="str">
        <f t="shared" si="40"/>
        <v/>
      </c>
      <c r="P177" s="210" t="str">
        <f>IF($A177="","",IF(LEFT($A177,2)="T-",IF($CO177="","",_xlfn.LET(_xlpm.k,IFERROR(_xlfn.XLOOKUP($A177,Transformers!$A$6:$A$105,Transformers!$G$6:$G$105),""),_xlpm.sv,IFERROR(_xlfn.XLOOKUP($A177,Transformers!$A$6:$A$105,Transformers!$E$6:$E$105),""),IF(OR(NOT(ISNUMBER(_xlpm.k)),NOT(ISNUMBER(_xlpm.sv)),_xlpm.sv=0),"",_xlfn.LET(_xlpm.iInf,(_xlpm.k*1000/(_xlpm.sv/2))*100/$CO177,_xlpm.pri,IF(OR($CK177="",$CK177=0),"",$CK177/2),_xlpm.base,IF(_xlpm.pri="",_xlpm.iInf,_xlpm.iInf/(1+_xlpm.iInf/_xlpm.pri)),_xlpm.base+IF($L177="",0,$L177))))),IF($CP177="","",_xlfn.LET(_xlpm.pI,IFERROR(_xlfn.XLOOKUP($E177,$A$6:$A$255,$P$6:$P$255),""),IF(NOT(ISNUMBER(_xlpm.pI)),"",_xlpm.pI/(1+$CP177)+IF($L177="",0,$L177))))))</f>
        <v/>
      </c>
      <c r="Q177" s="210" t="str">
        <f t="shared" si="41"/>
        <v/>
      </c>
      <c r="R177" s="177" t="str">
        <f>IF($A177="","",IF(OR($C177=0,LEFT($A177,2)="T-"),"",IFERROR(_xlfn.LET(_xlpm.v,_xlfn.XLOOKUP($A177,Dashboard!$A$101:$A$350,Dashboard!$K$101:$K$350),IF(ISNUMBER(_xlpm.v),_xlpm.v,"")),"")))</f>
        <v/>
      </c>
      <c r="S177" s="211" t="str">
        <f t="shared" si="42"/>
        <v/>
      </c>
      <c r="T177" s="25" t="str">
        <f t="shared" si="43"/>
        <v/>
      </c>
      <c r="U177" s="364"/>
      <c r="BV177" s="20" t="str">
        <f>IF($A177="","",IFERROR(_xlfn.XLOOKUP("F-"&amp;$A177,'Feeder Schedule'!$B$5:$B$254,'Feeder Schedule'!$H$5:$H$254),""))</f>
        <v/>
      </c>
      <c r="BW177" s="20" t="str">
        <f>IF($A177="","",IFERROR(_xlfn.XLOOKUP("F-"&amp;$A177,'Feeder Schedule'!$B$5:$B$254,'Feeder Schedule'!$BV$5:$BV$254),""))</f>
        <v/>
      </c>
      <c r="BX177" s="20" t="str">
        <f>IF($A177="","",IFERROR(_xlfn.LET(_xlpm.v,_xlfn.XLOOKUP("F-"&amp;$A177,'Feeder Schedule'!$B$5:$B$254,'Feeder Schedule'!$M$5:$M$254),IF(OR(_xlpm.v="",_xlpm.v=0),Cfg_Conduit,_xlpm.v)),""))</f>
        <v/>
      </c>
      <c r="BY177" s="20" t="str">
        <f>IF($A177="","",IFERROR(_xlfn.XLOOKUP("F-"&amp;$A177,'Feeder Schedule'!$B$5:$B$254,'Feeder Schedule'!$O$5:$O$254),""))</f>
        <v/>
      </c>
      <c r="BZ177" s="20" t="str">
        <f>IF($A177="","",IFERROR(_xlfn.XLOOKUP("F-"&amp;$A177,'Feeder Schedule'!$B$5:$B$254,'Feeder Schedule'!$CH$5:$CH$254),""))</f>
        <v/>
      </c>
      <c r="CA177" s="20" t="str">
        <f>IF($A177="","",IFERROR(_xlfn.XLOOKUP("F-"&amp;$A177,'Feeder Schedule'!$B$5:$B$254,'Feeder Schedule'!$F$5:$F$254),""))</f>
        <v/>
      </c>
      <c r="CB177" s="20" t="str">
        <f>IF($A177="","",IFERROR(_xlfn.XLOOKUP("F-"&amp;$A177,'Feeder Schedule'!$B$5:$B$254,'Feeder Schedule'!$G$5:$G$254),""))</f>
        <v/>
      </c>
      <c r="CD177" s="20" t="str" cm="1">
        <f t="array" ref="CD177">IFERROR(IF($A177="","",INDEX(_xlfn.ANCHORARRAY($BK$4),ROW()-5,6)),"")</f>
        <v/>
      </c>
      <c r="CE177" s="20" t="str">
        <f t="shared" si="46"/>
        <v/>
      </c>
      <c r="CF177" s="20" t="str">
        <f t="shared" si="47"/>
        <v/>
      </c>
      <c r="CG177" s="20" t="str">
        <f t="shared" si="44"/>
        <v/>
      </c>
      <c r="CH177" s="20" t="str" cm="1">
        <f t="array" ref="CH177">IF(OR($A177="",$BZ177="",$BW177="",$BX177=""),"",_xlfn.LET(_xlpm.mag,IFERROR(_xlfn.XLOOKUP($BX177,Race_Raceway,Race_Mag),""),IF(_xlpm.mag="","",IFERROR(INDEX(Cond_Table,MATCH($BZ177,Cond_Size,0),IF(UPPER($BW177)="AL",IF(_xlpm.mag="Y",10,12),IF(_xlpm.mag="Y",9,11))),""))))</f>
        <v/>
      </c>
      <c r="CI177" s="20" t="str">
        <f t="shared" si="45"/>
        <v/>
      </c>
      <c r="CJ177" s="20" t="str">
        <f>IF(OR($A177="",LEFT($A177,2)&lt;&gt;"T-"),"",IFERROR(_xlfn.LET(_xlpm.fla,_xlfn.XLOOKUP($A177,Transformers!$A$6:$A$105,Transformers!$AK$6:$AK$105),_xlpm.z,_xlfn.XLOOKUP($A177,Transformers!$A$6:$A$105,Transformers!$AX$6:$AX$105),IF(OR(_xlpm.fla="",_xlpm.z="",_xlpm.z=0),"",_xlpm.fla*100/_xlpm.z)),""))</f>
        <v/>
      </c>
      <c r="CK177" s="20" t="str">
        <f t="shared" si="48"/>
        <v/>
      </c>
      <c r="CL177" s="20" t="str">
        <f t="shared" si="49"/>
        <v/>
      </c>
      <c r="CM177" s="373"/>
      <c r="CO177" s="20" t="str">
        <f>IF(OR($A177="",LEFT($A177,2)&lt;&gt;"T-"),"",_xlfn.LET(_xlpm.ph,IFERROR(_xlfn.XLOOKUP($A177,Transformers!$A$6:$A$105,Transformers!$C$6:$C$105),""),_xlpm.rr,IFERROR(_xlfn.XLOOKUP($A177,Transformers!$A$6:$A$105,Transformers!$AG$6:$AG$105),""),_xlpm.xx,IFERROR(_xlfn.XLOOKUP($A177,Transformers!$A$6:$A$105,Transformers!$AI$6:$AI$105),""),IF(OR(_xlpm.ph&lt;&gt;1,NOT(ISNUMBER(_xlpm.rr)),NOT(ISNUMBER(_xlpm.xx))),"",SQRT((1.5*_xlpm.rr)^2+(1.2*_xlpm.xx)^2))))</f>
        <v/>
      </c>
      <c r="CP177" s="20" t="str">
        <f t="shared" si="50"/>
        <v/>
      </c>
    </row>
    <row r="178" spans="1:94" ht="15" customHeight="1" x14ac:dyDescent="0.45">
      <c r="A178" s="275" t="str" cm="1">
        <f t="array" ref="A178">IFERROR(IF(INDEX(_xlfn.ANCHORARRAY($BK$4),ROW()-5,1)="","",INDEX(_xlfn.ANCHORARRAY($BK$4),ROW()-5,1)),"")</f>
        <v/>
      </c>
      <c r="B178" s="25" t="str" cm="1">
        <f t="array" ref="B178">IFERROR(IF($A178="","",INDEX(_xlfn.ANCHORARRAY($BK$4),ROW()-5,5)),"")</f>
        <v/>
      </c>
      <c r="C178" s="178" t="str" cm="1">
        <f t="array" ref="C178">IFERROR(IF($A178="","",INDEX(_xlfn.ANCHORARRAY($BK$4),ROW()-5,7)),"")</f>
        <v/>
      </c>
      <c r="D178" s="177" t="str" cm="1">
        <f t="array" ref="D178">IFERROR(IF($A178="","",INDEX(_xlfn.ANCHORARRAY($BK$4),ROW()-5,3)),"")</f>
        <v/>
      </c>
      <c r="E178" s="25" t="str" cm="1">
        <f t="array" ref="E178">IFERROR(IF($A178="","",INDEX(_xlfn.ANCHORARRAY($BK$4),ROW()-5,2)),"")</f>
        <v/>
      </c>
      <c r="F178" s="177" t="str">
        <f t="shared" si="34"/>
        <v/>
      </c>
      <c r="G178" s="275" t="str">
        <f t="shared" si="35"/>
        <v/>
      </c>
      <c r="H178" s="180" t="str">
        <f t="shared" si="36"/>
        <v/>
      </c>
      <c r="I178" s="180" t="str">
        <f t="shared" si="37"/>
        <v/>
      </c>
      <c r="J178" s="177" t="str">
        <f>_xlfn.LET(_xlpm.v,_xlfn.LET(_xlpm.base,IF($A178="","",IF($C178=0,IFERROR(_xlfn.XLOOKUP($A178,Util_Tags,Util_SCAEff),""),IF(LEFT($A178,2)="T-",IF($CJ178="","",$CJ178/(1+IF($CL178="",0,$CL178))),IF(OR($F178="",$I178=""),"",$F178*$I178)))),_xlpm.gtag,IF(OR($A178="",NOT(OR($B178="ATS",$B178="MTS"))),"",IFERROR(_xlfn.XLOOKUP($A178,Dashboard!$A$101:$A$350,Dashboard!$L$101:$L$350,"")&amp;"","")),_xlpm.gkva,IF(_xlpm.gtag="",0,IFERROR(N(_xlfn.XLOOKUP(_xlpm.gtag,Generator!$B$53:$B$58,Generator!$S$53:$S$58,0)),0)),_xlpm.gxd,IF(_xlpm.gtag="",0,IFERROR(N(_xlfn.XLOOKUP(_xlpm.gtag,Generator!$B$53:$B$58,Generator!$U$53:$U$58,0)),0)),_xlpm.gamp,IF(OR(_xlpm.gkva=0,_xlpm.gxd=0,N($D178)=0),0,ROUND(_xlpm.gkva*1000/(IF(N($CB178)=1,1,SQRT(3))*$D178*_xlpm.gxd),0)),IF(OR(_xlpm.gamp=0,NOT(ISNUMBER(_xlpm.base))),_xlpm.base,MAX(_xlpm.base,_xlpm.gamp))),_xlpm.ulim,IF(OR($A178="",$B178&lt;&gt;"UPS"),"",IFERROR(IF(_xlfn.XLOOKUP($A178,UPS!$B$57:$B$64,UPS!$E$57:$E$64,"")="None",_xlfn.XLOOKUP($A178,UPS!$B$57:$B$64,UPS!$U$57:$U$64,""),""),"")),IF(AND(ISNUMBER(_xlpm.v),ISNUMBER(_xlpm.ulim)),MIN(_xlpm.v,_xlpm.ulim),_xlpm.v))</f>
        <v/>
      </c>
      <c r="K178" s="176"/>
      <c r="L178" s="177" t="str">
        <f t="shared" si="38"/>
        <v/>
      </c>
      <c r="M178" s="177" t="str">
        <f t="shared" si="39"/>
        <v/>
      </c>
      <c r="N178" s="380" t="str">
        <f>IF($A178="","",IF($C178=0,_xlfn.LET(_xlpm.x,IFERROR(_xlfn.XLOOKUP($A178,Util_Tags,Util_XR),""),IF(N(_xlpm.x)=0,Xfmr_DefXR,_xlpm.x)),IF(LEFT($A178,2)="T-",IFERROR(_xlfn.XLOOKUP($A178,Transformers!$A$6:$A$105,Transformers!$AH$6:$AH$105),Xfmr_DefXR),IFERROR(_xlfn.XLOOKUP($E178,$A$6:$A$255,$N$6:$N$255),Xfmr_DefXR))))</f>
        <v/>
      </c>
      <c r="O178" s="177" t="str">
        <f t="shared" si="40"/>
        <v/>
      </c>
      <c r="P178" s="210" t="str">
        <f>IF($A178="","",IF(LEFT($A178,2)="T-",IF($CO178="","",_xlfn.LET(_xlpm.k,IFERROR(_xlfn.XLOOKUP($A178,Transformers!$A$6:$A$105,Transformers!$G$6:$G$105),""),_xlpm.sv,IFERROR(_xlfn.XLOOKUP($A178,Transformers!$A$6:$A$105,Transformers!$E$6:$E$105),""),IF(OR(NOT(ISNUMBER(_xlpm.k)),NOT(ISNUMBER(_xlpm.sv)),_xlpm.sv=0),"",_xlfn.LET(_xlpm.iInf,(_xlpm.k*1000/(_xlpm.sv/2))*100/$CO178,_xlpm.pri,IF(OR($CK178="",$CK178=0),"",$CK178/2),_xlpm.base,IF(_xlpm.pri="",_xlpm.iInf,_xlpm.iInf/(1+_xlpm.iInf/_xlpm.pri)),_xlpm.base+IF($L178="",0,$L178))))),IF($CP178="","",_xlfn.LET(_xlpm.pI,IFERROR(_xlfn.XLOOKUP($E178,$A$6:$A$255,$P$6:$P$255),""),IF(NOT(ISNUMBER(_xlpm.pI)),"",_xlpm.pI/(1+$CP178)+IF($L178="",0,$L178))))))</f>
        <v/>
      </c>
      <c r="Q178" s="210" t="str">
        <f t="shared" si="41"/>
        <v/>
      </c>
      <c r="R178" s="177" t="str">
        <f>IF($A178="","",IF(OR($C178=0,LEFT($A178,2)="T-"),"",IFERROR(_xlfn.LET(_xlpm.v,_xlfn.XLOOKUP($A178,Dashboard!$A$101:$A$350,Dashboard!$K$101:$K$350),IF(ISNUMBER(_xlpm.v),_xlpm.v,"")),"")))</f>
        <v/>
      </c>
      <c r="S178" s="211" t="str">
        <f t="shared" si="42"/>
        <v/>
      </c>
      <c r="T178" s="25" t="str">
        <f t="shared" si="43"/>
        <v/>
      </c>
      <c r="U178" s="364"/>
      <c r="BV178" s="20" t="str">
        <f>IF($A178="","",IFERROR(_xlfn.XLOOKUP("F-"&amp;$A178,'Feeder Schedule'!$B$5:$B$254,'Feeder Schedule'!$H$5:$H$254),""))</f>
        <v/>
      </c>
      <c r="BW178" s="20" t="str">
        <f>IF($A178="","",IFERROR(_xlfn.XLOOKUP("F-"&amp;$A178,'Feeder Schedule'!$B$5:$B$254,'Feeder Schedule'!$BV$5:$BV$254),""))</f>
        <v/>
      </c>
      <c r="BX178" s="20" t="str">
        <f>IF($A178="","",IFERROR(_xlfn.LET(_xlpm.v,_xlfn.XLOOKUP("F-"&amp;$A178,'Feeder Schedule'!$B$5:$B$254,'Feeder Schedule'!$M$5:$M$254),IF(OR(_xlpm.v="",_xlpm.v=0),Cfg_Conduit,_xlpm.v)),""))</f>
        <v/>
      </c>
      <c r="BY178" s="20" t="str">
        <f>IF($A178="","",IFERROR(_xlfn.XLOOKUP("F-"&amp;$A178,'Feeder Schedule'!$B$5:$B$254,'Feeder Schedule'!$O$5:$O$254),""))</f>
        <v/>
      </c>
      <c r="BZ178" s="20" t="str">
        <f>IF($A178="","",IFERROR(_xlfn.XLOOKUP("F-"&amp;$A178,'Feeder Schedule'!$B$5:$B$254,'Feeder Schedule'!$CH$5:$CH$254),""))</f>
        <v/>
      </c>
      <c r="CA178" s="20" t="str">
        <f>IF($A178="","",IFERROR(_xlfn.XLOOKUP("F-"&amp;$A178,'Feeder Schedule'!$B$5:$B$254,'Feeder Schedule'!$F$5:$F$254),""))</f>
        <v/>
      </c>
      <c r="CB178" s="20" t="str">
        <f>IF($A178="","",IFERROR(_xlfn.XLOOKUP("F-"&amp;$A178,'Feeder Schedule'!$B$5:$B$254,'Feeder Schedule'!$G$5:$G$254),""))</f>
        <v/>
      </c>
      <c r="CD178" s="20" t="str" cm="1">
        <f t="array" ref="CD178">IFERROR(IF($A178="","",INDEX(_xlfn.ANCHORARRAY($BK$4),ROW()-5,6)),"")</f>
        <v/>
      </c>
      <c r="CE178" s="20" t="str">
        <f t="shared" si="46"/>
        <v/>
      </c>
      <c r="CF178" s="20" t="str">
        <f t="shared" si="47"/>
        <v/>
      </c>
      <c r="CG178" s="20" t="str">
        <f t="shared" si="44"/>
        <v/>
      </c>
      <c r="CH178" s="20" t="str" cm="1">
        <f t="array" ref="CH178">IF(OR($A178="",$BZ178="",$BW178="",$BX178=""),"",_xlfn.LET(_xlpm.mag,IFERROR(_xlfn.XLOOKUP($BX178,Race_Raceway,Race_Mag),""),IF(_xlpm.mag="","",IFERROR(INDEX(Cond_Table,MATCH($BZ178,Cond_Size,0),IF(UPPER($BW178)="AL",IF(_xlpm.mag="Y",10,12),IF(_xlpm.mag="Y",9,11))),""))))</f>
        <v/>
      </c>
      <c r="CI178" s="20" t="str">
        <f t="shared" si="45"/>
        <v/>
      </c>
      <c r="CJ178" s="20" t="str">
        <f>IF(OR($A178="",LEFT($A178,2)&lt;&gt;"T-"),"",IFERROR(_xlfn.LET(_xlpm.fla,_xlfn.XLOOKUP($A178,Transformers!$A$6:$A$105,Transformers!$AK$6:$AK$105),_xlpm.z,_xlfn.XLOOKUP($A178,Transformers!$A$6:$A$105,Transformers!$AX$6:$AX$105),IF(OR(_xlpm.fla="",_xlpm.z="",_xlpm.z=0),"",_xlpm.fla*100/_xlpm.z)),""))</f>
        <v/>
      </c>
      <c r="CK178" s="20" t="str">
        <f t="shared" si="48"/>
        <v/>
      </c>
      <c r="CL178" s="20" t="str">
        <f t="shared" si="49"/>
        <v/>
      </c>
      <c r="CM178" s="373"/>
      <c r="CO178" s="20" t="str">
        <f>IF(OR($A178="",LEFT($A178,2)&lt;&gt;"T-"),"",_xlfn.LET(_xlpm.ph,IFERROR(_xlfn.XLOOKUP($A178,Transformers!$A$6:$A$105,Transformers!$C$6:$C$105),""),_xlpm.rr,IFERROR(_xlfn.XLOOKUP($A178,Transformers!$A$6:$A$105,Transformers!$AG$6:$AG$105),""),_xlpm.xx,IFERROR(_xlfn.XLOOKUP($A178,Transformers!$A$6:$A$105,Transformers!$AI$6:$AI$105),""),IF(OR(_xlpm.ph&lt;&gt;1,NOT(ISNUMBER(_xlpm.rr)),NOT(ISNUMBER(_xlpm.xx))),"",SQRT((1.5*_xlpm.rr)^2+(1.2*_xlpm.xx)^2))))</f>
        <v/>
      </c>
      <c r="CP178" s="20" t="str">
        <f t="shared" si="50"/>
        <v/>
      </c>
    </row>
    <row r="179" spans="1:94" ht="15" customHeight="1" x14ac:dyDescent="0.45">
      <c r="A179" s="275" t="str" cm="1">
        <f t="array" ref="A179">IFERROR(IF(INDEX(_xlfn.ANCHORARRAY($BK$4),ROW()-5,1)="","",INDEX(_xlfn.ANCHORARRAY($BK$4),ROW()-5,1)),"")</f>
        <v/>
      </c>
      <c r="B179" s="25" t="str" cm="1">
        <f t="array" ref="B179">IFERROR(IF($A179="","",INDEX(_xlfn.ANCHORARRAY($BK$4),ROW()-5,5)),"")</f>
        <v/>
      </c>
      <c r="C179" s="178" t="str" cm="1">
        <f t="array" ref="C179">IFERROR(IF($A179="","",INDEX(_xlfn.ANCHORARRAY($BK$4),ROW()-5,7)),"")</f>
        <v/>
      </c>
      <c r="D179" s="177" t="str" cm="1">
        <f t="array" ref="D179">IFERROR(IF($A179="","",INDEX(_xlfn.ANCHORARRAY($BK$4),ROW()-5,3)),"")</f>
        <v/>
      </c>
      <c r="E179" s="25" t="str" cm="1">
        <f t="array" ref="E179">IFERROR(IF($A179="","",INDEX(_xlfn.ANCHORARRAY($BK$4),ROW()-5,2)),"")</f>
        <v/>
      </c>
      <c r="F179" s="177" t="str">
        <f t="shared" si="34"/>
        <v/>
      </c>
      <c r="G179" s="275" t="str">
        <f t="shared" si="35"/>
        <v/>
      </c>
      <c r="H179" s="180" t="str">
        <f t="shared" si="36"/>
        <v/>
      </c>
      <c r="I179" s="180" t="str">
        <f t="shared" si="37"/>
        <v/>
      </c>
      <c r="J179" s="177" t="str">
        <f>_xlfn.LET(_xlpm.v,_xlfn.LET(_xlpm.base,IF($A179="","",IF($C179=0,IFERROR(_xlfn.XLOOKUP($A179,Util_Tags,Util_SCAEff),""),IF(LEFT($A179,2)="T-",IF($CJ179="","",$CJ179/(1+IF($CL179="",0,$CL179))),IF(OR($F179="",$I179=""),"",$F179*$I179)))),_xlpm.gtag,IF(OR($A179="",NOT(OR($B179="ATS",$B179="MTS"))),"",IFERROR(_xlfn.XLOOKUP($A179,Dashboard!$A$101:$A$350,Dashboard!$L$101:$L$350,"")&amp;"","")),_xlpm.gkva,IF(_xlpm.gtag="",0,IFERROR(N(_xlfn.XLOOKUP(_xlpm.gtag,Generator!$B$53:$B$58,Generator!$S$53:$S$58,0)),0)),_xlpm.gxd,IF(_xlpm.gtag="",0,IFERROR(N(_xlfn.XLOOKUP(_xlpm.gtag,Generator!$B$53:$B$58,Generator!$U$53:$U$58,0)),0)),_xlpm.gamp,IF(OR(_xlpm.gkva=0,_xlpm.gxd=0,N($D179)=0),0,ROUND(_xlpm.gkva*1000/(IF(N($CB179)=1,1,SQRT(3))*$D179*_xlpm.gxd),0)),IF(OR(_xlpm.gamp=0,NOT(ISNUMBER(_xlpm.base))),_xlpm.base,MAX(_xlpm.base,_xlpm.gamp))),_xlpm.ulim,IF(OR($A179="",$B179&lt;&gt;"UPS"),"",IFERROR(IF(_xlfn.XLOOKUP($A179,UPS!$B$57:$B$64,UPS!$E$57:$E$64,"")="None",_xlfn.XLOOKUP($A179,UPS!$B$57:$B$64,UPS!$U$57:$U$64,""),""),"")),IF(AND(ISNUMBER(_xlpm.v),ISNUMBER(_xlpm.ulim)),MIN(_xlpm.v,_xlpm.ulim),_xlpm.v))</f>
        <v/>
      </c>
      <c r="K179" s="176"/>
      <c r="L179" s="177" t="str">
        <f t="shared" si="38"/>
        <v/>
      </c>
      <c r="M179" s="177" t="str">
        <f t="shared" si="39"/>
        <v/>
      </c>
      <c r="N179" s="380" t="str">
        <f>IF($A179="","",IF($C179=0,_xlfn.LET(_xlpm.x,IFERROR(_xlfn.XLOOKUP($A179,Util_Tags,Util_XR),""),IF(N(_xlpm.x)=0,Xfmr_DefXR,_xlpm.x)),IF(LEFT($A179,2)="T-",IFERROR(_xlfn.XLOOKUP($A179,Transformers!$A$6:$A$105,Transformers!$AH$6:$AH$105),Xfmr_DefXR),IFERROR(_xlfn.XLOOKUP($E179,$A$6:$A$255,$N$6:$N$255),Xfmr_DefXR))))</f>
        <v/>
      </c>
      <c r="O179" s="177" t="str">
        <f t="shared" si="40"/>
        <v/>
      </c>
      <c r="P179" s="210" t="str">
        <f>IF($A179="","",IF(LEFT($A179,2)="T-",IF($CO179="","",_xlfn.LET(_xlpm.k,IFERROR(_xlfn.XLOOKUP($A179,Transformers!$A$6:$A$105,Transformers!$G$6:$G$105),""),_xlpm.sv,IFERROR(_xlfn.XLOOKUP($A179,Transformers!$A$6:$A$105,Transformers!$E$6:$E$105),""),IF(OR(NOT(ISNUMBER(_xlpm.k)),NOT(ISNUMBER(_xlpm.sv)),_xlpm.sv=0),"",_xlfn.LET(_xlpm.iInf,(_xlpm.k*1000/(_xlpm.sv/2))*100/$CO179,_xlpm.pri,IF(OR($CK179="",$CK179=0),"",$CK179/2),_xlpm.base,IF(_xlpm.pri="",_xlpm.iInf,_xlpm.iInf/(1+_xlpm.iInf/_xlpm.pri)),_xlpm.base+IF($L179="",0,$L179))))),IF($CP179="","",_xlfn.LET(_xlpm.pI,IFERROR(_xlfn.XLOOKUP($E179,$A$6:$A$255,$P$6:$P$255),""),IF(NOT(ISNUMBER(_xlpm.pI)),"",_xlpm.pI/(1+$CP179)+IF($L179="",0,$L179))))))</f>
        <v/>
      </c>
      <c r="Q179" s="210" t="str">
        <f t="shared" si="41"/>
        <v/>
      </c>
      <c r="R179" s="177" t="str">
        <f>IF($A179="","",IF(OR($C179=0,LEFT($A179,2)="T-"),"",IFERROR(_xlfn.LET(_xlpm.v,_xlfn.XLOOKUP($A179,Dashboard!$A$101:$A$350,Dashboard!$K$101:$K$350),IF(ISNUMBER(_xlpm.v),_xlpm.v,"")),"")))</f>
        <v/>
      </c>
      <c r="S179" s="211" t="str">
        <f t="shared" si="42"/>
        <v/>
      </c>
      <c r="T179" s="25" t="str">
        <f t="shared" si="43"/>
        <v/>
      </c>
      <c r="U179" s="364"/>
      <c r="BV179" s="20" t="str">
        <f>IF($A179="","",IFERROR(_xlfn.XLOOKUP("F-"&amp;$A179,'Feeder Schedule'!$B$5:$B$254,'Feeder Schedule'!$H$5:$H$254),""))</f>
        <v/>
      </c>
      <c r="BW179" s="20" t="str">
        <f>IF($A179="","",IFERROR(_xlfn.XLOOKUP("F-"&amp;$A179,'Feeder Schedule'!$B$5:$B$254,'Feeder Schedule'!$BV$5:$BV$254),""))</f>
        <v/>
      </c>
      <c r="BX179" s="20" t="str">
        <f>IF($A179="","",IFERROR(_xlfn.LET(_xlpm.v,_xlfn.XLOOKUP("F-"&amp;$A179,'Feeder Schedule'!$B$5:$B$254,'Feeder Schedule'!$M$5:$M$254),IF(OR(_xlpm.v="",_xlpm.v=0),Cfg_Conduit,_xlpm.v)),""))</f>
        <v/>
      </c>
      <c r="BY179" s="20" t="str">
        <f>IF($A179="","",IFERROR(_xlfn.XLOOKUP("F-"&amp;$A179,'Feeder Schedule'!$B$5:$B$254,'Feeder Schedule'!$O$5:$O$254),""))</f>
        <v/>
      </c>
      <c r="BZ179" s="20" t="str">
        <f>IF($A179="","",IFERROR(_xlfn.XLOOKUP("F-"&amp;$A179,'Feeder Schedule'!$B$5:$B$254,'Feeder Schedule'!$CH$5:$CH$254),""))</f>
        <v/>
      </c>
      <c r="CA179" s="20" t="str">
        <f>IF($A179="","",IFERROR(_xlfn.XLOOKUP("F-"&amp;$A179,'Feeder Schedule'!$B$5:$B$254,'Feeder Schedule'!$F$5:$F$254),""))</f>
        <v/>
      </c>
      <c r="CB179" s="20" t="str">
        <f>IF($A179="","",IFERROR(_xlfn.XLOOKUP("F-"&amp;$A179,'Feeder Schedule'!$B$5:$B$254,'Feeder Schedule'!$G$5:$G$254),""))</f>
        <v/>
      </c>
      <c r="CD179" s="20" t="str" cm="1">
        <f t="array" ref="CD179">IFERROR(IF($A179="","",INDEX(_xlfn.ANCHORARRAY($BK$4),ROW()-5,6)),"")</f>
        <v/>
      </c>
      <c r="CE179" s="20" t="str">
        <f t="shared" si="46"/>
        <v/>
      </c>
      <c r="CF179" s="20" t="str">
        <f t="shared" si="47"/>
        <v/>
      </c>
      <c r="CG179" s="20" t="str">
        <f t="shared" si="44"/>
        <v/>
      </c>
      <c r="CH179" s="20" t="str" cm="1">
        <f t="array" ref="CH179">IF(OR($A179="",$BZ179="",$BW179="",$BX179=""),"",_xlfn.LET(_xlpm.mag,IFERROR(_xlfn.XLOOKUP($BX179,Race_Raceway,Race_Mag),""),IF(_xlpm.mag="","",IFERROR(INDEX(Cond_Table,MATCH($BZ179,Cond_Size,0),IF(UPPER($BW179)="AL",IF(_xlpm.mag="Y",10,12),IF(_xlpm.mag="Y",9,11))),""))))</f>
        <v/>
      </c>
      <c r="CI179" s="20" t="str">
        <f t="shared" si="45"/>
        <v/>
      </c>
      <c r="CJ179" s="20" t="str">
        <f>IF(OR($A179="",LEFT($A179,2)&lt;&gt;"T-"),"",IFERROR(_xlfn.LET(_xlpm.fla,_xlfn.XLOOKUP($A179,Transformers!$A$6:$A$105,Transformers!$AK$6:$AK$105),_xlpm.z,_xlfn.XLOOKUP($A179,Transformers!$A$6:$A$105,Transformers!$AX$6:$AX$105),IF(OR(_xlpm.fla="",_xlpm.z="",_xlpm.z=0),"",_xlpm.fla*100/_xlpm.z)),""))</f>
        <v/>
      </c>
      <c r="CK179" s="20" t="str">
        <f t="shared" si="48"/>
        <v/>
      </c>
      <c r="CL179" s="20" t="str">
        <f t="shared" si="49"/>
        <v/>
      </c>
      <c r="CM179" s="373"/>
      <c r="CO179" s="20" t="str">
        <f>IF(OR($A179="",LEFT($A179,2)&lt;&gt;"T-"),"",_xlfn.LET(_xlpm.ph,IFERROR(_xlfn.XLOOKUP($A179,Transformers!$A$6:$A$105,Transformers!$C$6:$C$105),""),_xlpm.rr,IFERROR(_xlfn.XLOOKUP($A179,Transformers!$A$6:$A$105,Transformers!$AG$6:$AG$105),""),_xlpm.xx,IFERROR(_xlfn.XLOOKUP($A179,Transformers!$A$6:$A$105,Transformers!$AI$6:$AI$105),""),IF(OR(_xlpm.ph&lt;&gt;1,NOT(ISNUMBER(_xlpm.rr)),NOT(ISNUMBER(_xlpm.xx))),"",SQRT((1.5*_xlpm.rr)^2+(1.2*_xlpm.xx)^2))))</f>
        <v/>
      </c>
      <c r="CP179" s="20" t="str">
        <f t="shared" si="50"/>
        <v/>
      </c>
    </row>
    <row r="180" spans="1:94" ht="15" customHeight="1" x14ac:dyDescent="0.45">
      <c r="A180" s="275" t="str" cm="1">
        <f t="array" ref="A180">IFERROR(IF(INDEX(_xlfn.ANCHORARRAY($BK$4),ROW()-5,1)="","",INDEX(_xlfn.ANCHORARRAY($BK$4),ROW()-5,1)),"")</f>
        <v/>
      </c>
      <c r="B180" s="25" t="str" cm="1">
        <f t="array" ref="B180">IFERROR(IF($A180="","",INDEX(_xlfn.ANCHORARRAY($BK$4),ROW()-5,5)),"")</f>
        <v/>
      </c>
      <c r="C180" s="178" t="str" cm="1">
        <f t="array" ref="C180">IFERROR(IF($A180="","",INDEX(_xlfn.ANCHORARRAY($BK$4),ROW()-5,7)),"")</f>
        <v/>
      </c>
      <c r="D180" s="177" t="str" cm="1">
        <f t="array" ref="D180">IFERROR(IF($A180="","",INDEX(_xlfn.ANCHORARRAY($BK$4),ROW()-5,3)),"")</f>
        <v/>
      </c>
      <c r="E180" s="25" t="str" cm="1">
        <f t="array" ref="E180">IFERROR(IF($A180="","",INDEX(_xlfn.ANCHORARRAY($BK$4),ROW()-5,2)),"")</f>
        <v/>
      </c>
      <c r="F180" s="177" t="str">
        <f t="shared" si="34"/>
        <v/>
      </c>
      <c r="G180" s="275" t="str">
        <f t="shared" si="35"/>
        <v/>
      </c>
      <c r="H180" s="180" t="str">
        <f t="shared" si="36"/>
        <v/>
      </c>
      <c r="I180" s="180" t="str">
        <f t="shared" si="37"/>
        <v/>
      </c>
      <c r="J180" s="177" t="str">
        <f>_xlfn.LET(_xlpm.v,_xlfn.LET(_xlpm.base,IF($A180="","",IF($C180=0,IFERROR(_xlfn.XLOOKUP($A180,Util_Tags,Util_SCAEff),""),IF(LEFT($A180,2)="T-",IF($CJ180="","",$CJ180/(1+IF($CL180="",0,$CL180))),IF(OR($F180="",$I180=""),"",$F180*$I180)))),_xlpm.gtag,IF(OR($A180="",NOT(OR($B180="ATS",$B180="MTS"))),"",IFERROR(_xlfn.XLOOKUP($A180,Dashboard!$A$101:$A$350,Dashboard!$L$101:$L$350,"")&amp;"","")),_xlpm.gkva,IF(_xlpm.gtag="",0,IFERROR(N(_xlfn.XLOOKUP(_xlpm.gtag,Generator!$B$53:$B$58,Generator!$S$53:$S$58,0)),0)),_xlpm.gxd,IF(_xlpm.gtag="",0,IFERROR(N(_xlfn.XLOOKUP(_xlpm.gtag,Generator!$B$53:$B$58,Generator!$U$53:$U$58,0)),0)),_xlpm.gamp,IF(OR(_xlpm.gkva=0,_xlpm.gxd=0,N($D180)=0),0,ROUND(_xlpm.gkva*1000/(IF(N($CB180)=1,1,SQRT(3))*$D180*_xlpm.gxd),0)),IF(OR(_xlpm.gamp=0,NOT(ISNUMBER(_xlpm.base))),_xlpm.base,MAX(_xlpm.base,_xlpm.gamp))),_xlpm.ulim,IF(OR($A180="",$B180&lt;&gt;"UPS"),"",IFERROR(IF(_xlfn.XLOOKUP($A180,UPS!$B$57:$B$64,UPS!$E$57:$E$64,"")="None",_xlfn.XLOOKUP($A180,UPS!$B$57:$B$64,UPS!$U$57:$U$64,""),""),"")),IF(AND(ISNUMBER(_xlpm.v),ISNUMBER(_xlpm.ulim)),MIN(_xlpm.v,_xlpm.ulim),_xlpm.v))</f>
        <v/>
      </c>
      <c r="K180" s="176"/>
      <c r="L180" s="177" t="str">
        <f t="shared" si="38"/>
        <v/>
      </c>
      <c r="M180" s="177" t="str">
        <f t="shared" si="39"/>
        <v/>
      </c>
      <c r="N180" s="380" t="str">
        <f>IF($A180="","",IF($C180=0,_xlfn.LET(_xlpm.x,IFERROR(_xlfn.XLOOKUP($A180,Util_Tags,Util_XR),""),IF(N(_xlpm.x)=0,Xfmr_DefXR,_xlpm.x)),IF(LEFT($A180,2)="T-",IFERROR(_xlfn.XLOOKUP($A180,Transformers!$A$6:$A$105,Transformers!$AH$6:$AH$105),Xfmr_DefXR),IFERROR(_xlfn.XLOOKUP($E180,$A$6:$A$255,$N$6:$N$255),Xfmr_DefXR))))</f>
        <v/>
      </c>
      <c r="O180" s="177" t="str">
        <f t="shared" si="40"/>
        <v/>
      </c>
      <c r="P180" s="210" t="str">
        <f>IF($A180="","",IF(LEFT($A180,2)="T-",IF($CO180="","",_xlfn.LET(_xlpm.k,IFERROR(_xlfn.XLOOKUP($A180,Transformers!$A$6:$A$105,Transformers!$G$6:$G$105),""),_xlpm.sv,IFERROR(_xlfn.XLOOKUP($A180,Transformers!$A$6:$A$105,Transformers!$E$6:$E$105),""),IF(OR(NOT(ISNUMBER(_xlpm.k)),NOT(ISNUMBER(_xlpm.sv)),_xlpm.sv=0),"",_xlfn.LET(_xlpm.iInf,(_xlpm.k*1000/(_xlpm.sv/2))*100/$CO180,_xlpm.pri,IF(OR($CK180="",$CK180=0),"",$CK180/2),_xlpm.base,IF(_xlpm.pri="",_xlpm.iInf,_xlpm.iInf/(1+_xlpm.iInf/_xlpm.pri)),_xlpm.base+IF($L180="",0,$L180))))),IF($CP180="","",_xlfn.LET(_xlpm.pI,IFERROR(_xlfn.XLOOKUP($E180,$A$6:$A$255,$P$6:$P$255),""),IF(NOT(ISNUMBER(_xlpm.pI)),"",_xlpm.pI/(1+$CP180)+IF($L180="",0,$L180))))))</f>
        <v/>
      </c>
      <c r="Q180" s="210" t="str">
        <f t="shared" si="41"/>
        <v/>
      </c>
      <c r="R180" s="177" t="str">
        <f>IF($A180="","",IF(OR($C180=0,LEFT($A180,2)="T-"),"",IFERROR(_xlfn.LET(_xlpm.v,_xlfn.XLOOKUP($A180,Dashboard!$A$101:$A$350,Dashboard!$K$101:$K$350),IF(ISNUMBER(_xlpm.v),_xlpm.v,"")),"")))</f>
        <v/>
      </c>
      <c r="S180" s="211" t="str">
        <f t="shared" si="42"/>
        <v/>
      </c>
      <c r="T180" s="25" t="str">
        <f t="shared" si="43"/>
        <v/>
      </c>
      <c r="U180" s="364"/>
      <c r="BV180" s="20" t="str">
        <f>IF($A180="","",IFERROR(_xlfn.XLOOKUP("F-"&amp;$A180,'Feeder Schedule'!$B$5:$B$254,'Feeder Schedule'!$H$5:$H$254),""))</f>
        <v/>
      </c>
      <c r="BW180" s="20" t="str">
        <f>IF($A180="","",IFERROR(_xlfn.XLOOKUP("F-"&amp;$A180,'Feeder Schedule'!$B$5:$B$254,'Feeder Schedule'!$BV$5:$BV$254),""))</f>
        <v/>
      </c>
      <c r="BX180" s="20" t="str">
        <f>IF($A180="","",IFERROR(_xlfn.LET(_xlpm.v,_xlfn.XLOOKUP("F-"&amp;$A180,'Feeder Schedule'!$B$5:$B$254,'Feeder Schedule'!$M$5:$M$254),IF(OR(_xlpm.v="",_xlpm.v=0),Cfg_Conduit,_xlpm.v)),""))</f>
        <v/>
      </c>
      <c r="BY180" s="20" t="str">
        <f>IF($A180="","",IFERROR(_xlfn.XLOOKUP("F-"&amp;$A180,'Feeder Schedule'!$B$5:$B$254,'Feeder Schedule'!$O$5:$O$254),""))</f>
        <v/>
      </c>
      <c r="BZ180" s="20" t="str">
        <f>IF($A180="","",IFERROR(_xlfn.XLOOKUP("F-"&amp;$A180,'Feeder Schedule'!$B$5:$B$254,'Feeder Schedule'!$CH$5:$CH$254),""))</f>
        <v/>
      </c>
      <c r="CA180" s="20" t="str">
        <f>IF($A180="","",IFERROR(_xlfn.XLOOKUP("F-"&amp;$A180,'Feeder Schedule'!$B$5:$B$254,'Feeder Schedule'!$F$5:$F$254),""))</f>
        <v/>
      </c>
      <c r="CB180" s="20" t="str">
        <f>IF($A180="","",IFERROR(_xlfn.XLOOKUP("F-"&amp;$A180,'Feeder Schedule'!$B$5:$B$254,'Feeder Schedule'!$G$5:$G$254),""))</f>
        <v/>
      </c>
      <c r="CD180" s="20" t="str" cm="1">
        <f t="array" ref="CD180">IFERROR(IF($A180="","",INDEX(_xlfn.ANCHORARRAY($BK$4),ROW()-5,6)),"")</f>
        <v/>
      </c>
      <c r="CE180" s="20" t="str">
        <f t="shared" si="46"/>
        <v/>
      </c>
      <c r="CF180" s="20" t="str">
        <f t="shared" si="47"/>
        <v/>
      </c>
      <c r="CG180" s="20" t="str">
        <f t="shared" si="44"/>
        <v/>
      </c>
      <c r="CH180" s="20" t="str" cm="1">
        <f t="array" ref="CH180">IF(OR($A180="",$BZ180="",$BW180="",$BX180=""),"",_xlfn.LET(_xlpm.mag,IFERROR(_xlfn.XLOOKUP($BX180,Race_Raceway,Race_Mag),""),IF(_xlpm.mag="","",IFERROR(INDEX(Cond_Table,MATCH($BZ180,Cond_Size,0),IF(UPPER($BW180)="AL",IF(_xlpm.mag="Y",10,12),IF(_xlpm.mag="Y",9,11))),""))))</f>
        <v/>
      </c>
      <c r="CI180" s="20" t="str">
        <f t="shared" si="45"/>
        <v/>
      </c>
      <c r="CJ180" s="20" t="str">
        <f>IF(OR($A180="",LEFT($A180,2)&lt;&gt;"T-"),"",IFERROR(_xlfn.LET(_xlpm.fla,_xlfn.XLOOKUP($A180,Transformers!$A$6:$A$105,Transformers!$AK$6:$AK$105),_xlpm.z,_xlfn.XLOOKUP($A180,Transformers!$A$6:$A$105,Transformers!$AX$6:$AX$105),IF(OR(_xlpm.fla="",_xlpm.z="",_xlpm.z=0),"",_xlpm.fla*100/_xlpm.z)),""))</f>
        <v/>
      </c>
      <c r="CK180" s="20" t="str">
        <f t="shared" si="48"/>
        <v/>
      </c>
      <c r="CL180" s="20" t="str">
        <f t="shared" si="49"/>
        <v/>
      </c>
      <c r="CM180" s="373"/>
      <c r="CO180" s="20" t="str">
        <f>IF(OR($A180="",LEFT($A180,2)&lt;&gt;"T-"),"",_xlfn.LET(_xlpm.ph,IFERROR(_xlfn.XLOOKUP($A180,Transformers!$A$6:$A$105,Transformers!$C$6:$C$105),""),_xlpm.rr,IFERROR(_xlfn.XLOOKUP($A180,Transformers!$A$6:$A$105,Transformers!$AG$6:$AG$105),""),_xlpm.xx,IFERROR(_xlfn.XLOOKUP($A180,Transformers!$A$6:$A$105,Transformers!$AI$6:$AI$105),""),IF(OR(_xlpm.ph&lt;&gt;1,NOT(ISNUMBER(_xlpm.rr)),NOT(ISNUMBER(_xlpm.xx))),"",SQRT((1.5*_xlpm.rr)^2+(1.2*_xlpm.xx)^2))))</f>
        <v/>
      </c>
      <c r="CP180" s="20" t="str">
        <f t="shared" si="50"/>
        <v/>
      </c>
    </row>
    <row r="181" spans="1:94" ht="15" customHeight="1" x14ac:dyDescent="0.45">
      <c r="A181" s="275" t="str" cm="1">
        <f t="array" ref="A181">IFERROR(IF(INDEX(_xlfn.ANCHORARRAY($BK$4),ROW()-5,1)="","",INDEX(_xlfn.ANCHORARRAY($BK$4),ROW()-5,1)),"")</f>
        <v/>
      </c>
      <c r="B181" s="25" t="str" cm="1">
        <f t="array" ref="B181">IFERROR(IF($A181="","",INDEX(_xlfn.ANCHORARRAY($BK$4),ROW()-5,5)),"")</f>
        <v/>
      </c>
      <c r="C181" s="178" t="str" cm="1">
        <f t="array" ref="C181">IFERROR(IF($A181="","",INDEX(_xlfn.ANCHORARRAY($BK$4),ROW()-5,7)),"")</f>
        <v/>
      </c>
      <c r="D181" s="177" t="str" cm="1">
        <f t="array" ref="D181">IFERROR(IF($A181="","",INDEX(_xlfn.ANCHORARRAY($BK$4),ROW()-5,3)),"")</f>
        <v/>
      </c>
      <c r="E181" s="25" t="str" cm="1">
        <f t="array" ref="E181">IFERROR(IF($A181="","",INDEX(_xlfn.ANCHORARRAY($BK$4),ROW()-5,2)),"")</f>
        <v/>
      </c>
      <c r="F181" s="177" t="str">
        <f t="shared" si="34"/>
        <v/>
      </c>
      <c r="G181" s="275" t="str">
        <f t="shared" si="35"/>
        <v/>
      </c>
      <c r="H181" s="180" t="str">
        <f t="shared" si="36"/>
        <v/>
      </c>
      <c r="I181" s="180" t="str">
        <f t="shared" si="37"/>
        <v/>
      </c>
      <c r="J181" s="177" t="str">
        <f>_xlfn.LET(_xlpm.v,_xlfn.LET(_xlpm.base,IF($A181="","",IF($C181=0,IFERROR(_xlfn.XLOOKUP($A181,Util_Tags,Util_SCAEff),""),IF(LEFT($A181,2)="T-",IF($CJ181="","",$CJ181/(1+IF($CL181="",0,$CL181))),IF(OR($F181="",$I181=""),"",$F181*$I181)))),_xlpm.gtag,IF(OR($A181="",NOT(OR($B181="ATS",$B181="MTS"))),"",IFERROR(_xlfn.XLOOKUP($A181,Dashboard!$A$101:$A$350,Dashboard!$L$101:$L$350,"")&amp;"","")),_xlpm.gkva,IF(_xlpm.gtag="",0,IFERROR(N(_xlfn.XLOOKUP(_xlpm.gtag,Generator!$B$53:$B$58,Generator!$S$53:$S$58,0)),0)),_xlpm.gxd,IF(_xlpm.gtag="",0,IFERROR(N(_xlfn.XLOOKUP(_xlpm.gtag,Generator!$B$53:$B$58,Generator!$U$53:$U$58,0)),0)),_xlpm.gamp,IF(OR(_xlpm.gkva=0,_xlpm.gxd=0,N($D181)=0),0,ROUND(_xlpm.gkva*1000/(IF(N($CB181)=1,1,SQRT(3))*$D181*_xlpm.gxd),0)),IF(OR(_xlpm.gamp=0,NOT(ISNUMBER(_xlpm.base))),_xlpm.base,MAX(_xlpm.base,_xlpm.gamp))),_xlpm.ulim,IF(OR($A181="",$B181&lt;&gt;"UPS"),"",IFERROR(IF(_xlfn.XLOOKUP($A181,UPS!$B$57:$B$64,UPS!$E$57:$E$64,"")="None",_xlfn.XLOOKUP($A181,UPS!$B$57:$B$64,UPS!$U$57:$U$64,""),""),"")),IF(AND(ISNUMBER(_xlpm.v),ISNUMBER(_xlpm.ulim)),MIN(_xlpm.v,_xlpm.ulim),_xlpm.v))</f>
        <v/>
      </c>
      <c r="K181" s="176"/>
      <c r="L181" s="177" t="str">
        <f t="shared" si="38"/>
        <v/>
      </c>
      <c r="M181" s="177" t="str">
        <f t="shared" si="39"/>
        <v/>
      </c>
      <c r="N181" s="380" t="str">
        <f>IF($A181="","",IF($C181=0,_xlfn.LET(_xlpm.x,IFERROR(_xlfn.XLOOKUP($A181,Util_Tags,Util_XR),""),IF(N(_xlpm.x)=0,Xfmr_DefXR,_xlpm.x)),IF(LEFT($A181,2)="T-",IFERROR(_xlfn.XLOOKUP($A181,Transformers!$A$6:$A$105,Transformers!$AH$6:$AH$105),Xfmr_DefXR),IFERROR(_xlfn.XLOOKUP($E181,$A$6:$A$255,$N$6:$N$255),Xfmr_DefXR))))</f>
        <v/>
      </c>
      <c r="O181" s="177" t="str">
        <f t="shared" si="40"/>
        <v/>
      </c>
      <c r="P181" s="210" t="str">
        <f>IF($A181="","",IF(LEFT($A181,2)="T-",IF($CO181="","",_xlfn.LET(_xlpm.k,IFERROR(_xlfn.XLOOKUP($A181,Transformers!$A$6:$A$105,Transformers!$G$6:$G$105),""),_xlpm.sv,IFERROR(_xlfn.XLOOKUP($A181,Transformers!$A$6:$A$105,Transformers!$E$6:$E$105),""),IF(OR(NOT(ISNUMBER(_xlpm.k)),NOT(ISNUMBER(_xlpm.sv)),_xlpm.sv=0),"",_xlfn.LET(_xlpm.iInf,(_xlpm.k*1000/(_xlpm.sv/2))*100/$CO181,_xlpm.pri,IF(OR($CK181="",$CK181=0),"",$CK181/2),_xlpm.base,IF(_xlpm.pri="",_xlpm.iInf,_xlpm.iInf/(1+_xlpm.iInf/_xlpm.pri)),_xlpm.base+IF($L181="",0,$L181))))),IF($CP181="","",_xlfn.LET(_xlpm.pI,IFERROR(_xlfn.XLOOKUP($E181,$A$6:$A$255,$P$6:$P$255),""),IF(NOT(ISNUMBER(_xlpm.pI)),"",_xlpm.pI/(1+$CP181)+IF($L181="",0,$L181))))))</f>
        <v/>
      </c>
      <c r="Q181" s="210" t="str">
        <f t="shared" si="41"/>
        <v/>
      </c>
      <c r="R181" s="177" t="str">
        <f>IF($A181="","",IF(OR($C181=0,LEFT($A181,2)="T-"),"",IFERROR(_xlfn.LET(_xlpm.v,_xlfn.XLOOKUP($A181,Dashboard!$A$101:$A$350,Dashboard!$K$101:$K$350),IF(ISNUMBER(_xlpm.v),_xlpm.v,"")),"")))</f>
        <v/>
      </c>
      <c r="S181" s="211" t="str">
        <f t="shared" si="42"/>
        <v/>
      </c>
      <c r="T181" s="25" t="str">
        <f t="shared" si="43"/>
        <v/>
      </c>
      <c r="U181" s="364"/>
      <c r="BV181" s="20" t="str">
        <f>IF($A181="","",IFERROR(_xlfn.XLOOKUP("F-"&amp;$A181,'Feeder Schedule'!$B$5:$B$254,'Feeder Schedule'!$H$5:$H$254),""))</f>
        <v/>
      </c>
      <c r="BW181" s="20" t="str">
        <f>IF($A181="","",IFERROR(_xlfn.XLOOKUP("F-"&amp;$A181,'Feeder Schedule'!$B$5:$B$254,'Feeder Schedule'!$BV$5:$BV$254),""))</f>
        <v/>
      </c>
      <c r="BX181" s="20" t="str">
        <f>IF($A181="","",IFERROR(_xlfn.LET(_xlpm.v,_xlfn.XLOOKUP("F-"&amp;$A181,'Feeder Schedule'!$B$5:$B$254,'Feeder Schedule'!$M$5:$M$254),IF(OR(_xlpm.v="",_xlpm.v=0),Cfg_Conduit,_xlpm.v)),""))</f>
        <v/>
      </c>
      <c r="BY181" s="20" t="str">
        <f>IF($A181="","",IFERROR(_xlfn.XLOOKUP("F-"&amp;$A181,'Feeder Schedule'!$B$5:$B$254,'Feeder Schedule'!$O$5:$O$254),""))</f>
        <v/>
      </c>
      <c r="BZ181" s="20" t="str">
        <f>IF($A181="","",IFERROR(_xlfn.XLOOKUP("F-"&amp;$A181,'Feeder Schedule'!$B$5:$B$254,'Feeder Schedule'!$CH$5:$CH$254),""))</f>
        <v/>
      </c>
      <c r="CA181" s="20" t="str">
        <f>IF($A181="","",IFERROR(_xlfn.XLOOKUP("F-"&amp;$A181,'Feeder Schedule'!$B$5:$B$254,'Feeder Schedule'!$F$5:$F$254),""))</f>
        <v/>
      </c>
      <c r="CB181" s="20" t="str">
        <f>IF($A181="","",IFERROR(_xlfn.XLOOKUP("F-"&amp;$A181,'Feeder Schedule'!$B$5:$B$254,'Feeder Schedule'!$G$5:$G$254),""))</f>
        <v/>
      </c>
      <c r="CD181" s="20" t="str" cm="1">
        <f t="array" ref="CD181">IFERROR(IF($A181="","",INDEX(_xlfn.ANCHORARRAY($BK$4),ROW()-5,6)),"")</f>
        <v/>
      </c>
      <c r="CE181" s="20" t="str">
        <f t="shared" si="46"/>
        <v/>
      </c>
      <c r="CF181" s="20" t="str">
        <f t="shared" si="47"/>
        <v/>
      </c>
      <c r="CG181" s="20" t="str">
        <f t="shared" si="44"/>
        <v/>
      </c>
      <c r="CH181" s="20" t="str" cm="1">
        <f t="array" ref="CH181">IF(OR($A181="",$BZ181="",$BW181="",$BX181=""),"",_xlfn.LET(_xlpm.mag,IFERROR(_xlfn.XLOOKUP($BX181,Race_Raceway,Race_Mag),""),IF(_xlpm.mag="","",IFERROR(INDEX(Cond_Table,MATCH($BZ181,Cond_Size,0),IF(UPPER($BW181)="AL",IF(_xlpm.mag="Y",10,12),IF(_xlpm.mag="Y",9,11))),""))))</f>
        <v/>
      </c>
      <c r="CI181" s="20" t="str">
        <f t="shared" si="45"/>
        <v/>
      </c>
      <c r="CJ181" s="20" t="str">
        <f>IF(OR($A181="",LEFT($A181,2)&lt;&gt;"T-"),"",IFERROR(_xlfn.LET(_xlpm.fla,_xlfn.XLOOKUP($A181,Transformers!$A$6:$A$105,Transformers!$AK$6:$AK$105),_xlpm.z,_xlfn.XLOOKUP($A181,Transformers!$A$6:$A$105,Transformers!$AX$6:$AX$105),IF(OR(_xlpm.fla="",_xlpm.z="",_xlpm.z=0),"",_xlpm.fla*100/_xlpm.z)),""))</f>
        <v/>
      </c>
      <c r="CK181" s="20" t="str">
        <f t="shared" si="48"/>
        <v/>
      </c>
      <c r="CL181" s="20" t="str">
        <f t="shared" si="49"/>
        <v/>
      </c>
      <c r="CM181" s="373"/>
      <c r="CO181" s="20" t="str">
        <f>IF(OR($A181="",LEFT($A181,2)&lt;&gt;"T-"),"",_xlfn.LET(_xlpm.ph,IFERROR(_xlfn.XLOOKUP($A181,Transformers!$A$6:$A$105,Transformers!$C$6:$C$105),""),_xlpm.rr,IFERROR(_xlfn.XLOOKUP($A181,Transformers!$A$6:$A$105,Transformers!$AG$6:$AG$105),""),_xlpm.xx,IFERROR(_xlfn.XLOOKUP($A181,Transformers!$A$6:$A$105,Transformers!$AI$6:$AI$105),""),IF(OR(_xlpm.ph&lt;&gt;1,NOT(ISNUMBER(_xlpm.rr)),NOT(ISNUMBER(_xlpm.xx))),"",SQRT((1.5*_xlpm.rr)^2+(1.2*_xlpm.xx)^2))))</f>
        <v/>
      </c>
      <c r="CP181" s="20" t="str">
        <f t="shared" si="50"/>
        <v/>
      </c>
    </row>
    <row r="182" spans="1:94" ht="15" customHeight="1" x14ac:dyDescent="0.45">
      <c r="A182" s="275" t="str" cm="1">
        <f t="array" ref="A182">IFERROR(IF(INDEX(_xlfn.ANCHORARRAY($BK$4),ROW()-5,1)="","",INDEX(_xlfn.ANCHORARRAY($BK$4),ROW()-5,1)),"")</f>
        <v/>
      </c>
      <c r="B182" s="25" t="str" cm="1">
        <f t="array" ref="B182">IFERROR(IF($A182="","",INDEX(_xlfn.ANCHORARRAY($BK$4),ROW()-5,5)),"")</f>
        <v/>
      </c>
      <c r="C182" s="178" t="str" cm="1">
        <f t="array" ref="C182">IFERROR(IF($A182="","",INDEX(_xlfn.ANCHORARRAY($BK$4),ROW()-5,7)),"")</f>
        <v/>
      </c>
      <c r="D182" s="177" t="str" cm="1">
        <f t="array" ref="D182">IFERROR(IF($A182="","",INDEX(_xlfn.ANCHORARRAY($BK$4),ROW()-5,3)),"")</f>
        <v/>
      </c>
      <c r="E182" s="25" t="str" cm="1">
        <f t="array" ref="E182">IFERROR(IF($A182="","",INDEX(_xlfn.ANCHORARRAY($BK$4),ROW()-5,2)),"")</f>
        <v/>
      </c>
      <c r="F182" s="177" t="str">
        <f t="shared" si="34"/>
        <v/>
      </c>
      <c r="G182" s="275" t="str">
        <f t="shared" si="35"/>
        <v/>
      </c>
      <c r="H182" s="180" t="str">
        <f t="shared" si="36"/>
        <v/>
      </c>
      <c r="I182" s="180" t="str">
        <f t="shared" si="37"/>
        <v/>
      </c>
      <c r="J182" s="177" t="str">
        <f>_xlfn.LET(_xlpm.v,_xlfn.LET(_xlpm.base,IF($A182="","",IF($C182=0,IFERROR(_xlfn.XLOOKUP($A182,Util_Tags,Util_SCAEff),""),IF(LEFT($A182,2)="T-",IF($CJ182="","",$CJ182/(1+IF($CL182="",0,$CL182))),IF(OR($F182="",$I182=""),"",$F182*$I182)))),_xlpm.gtag,IF(OR($A182="",NOT(OR($B182="ATS",$B182="MTS"))),"",IFERROR(_xlfn.XLOOKUP($A182,Dashboard!$A$101:$A$350,Dashboard!$L$101:$L$350,"")&amp;"","")),_xlpm.gkva,IF(_xlpm.gtag="",0,IFERROR(N(_xlfn.XLOOKUP(_xlpm.gtag,Generator!$B$53:$B$58,Generator!$S$53:$S$58,0)),0)),_xlpm.gxd,IF(_xlpm.gtag="",0,IFERROR(N(_xlfn.XLOOKUP(_xlpm.gtag,Generator!$B$53:$B$58,Generator!$U$53:$U$58,0)),0)),_xlpm.gamp,IF(OR(_xlpm.gkva=0,_xlpm.gxd=0,N($D182)=0),0,ROUND(_xlpm.gkva*1000/(IF(N($CB182)=1,1,SQRT(3))*$D182*_xlpm.gxd),0)),IF(OR(_xlpm.gamp=0,NOT(ISNUMBER(_xlpm.base))),_xlpm.base,MAX(_xlpm.base,_xlpm.gamp))),_xlpm.ulim,IF(OR($A182="",$B182&lt;&gt;"UPS"),"",IFERROR(IF(_xlfn.XLOOKUP($A182,UPS!$B$57:$B$64,UPS!$E$57:$E$64,"")="None",_xlfn.XLOOKUP($A182,UPS!$B$57:$B$64,UPS!$U$57:$U$64,""),""),"")),IF(AND(ISNUMBER(_xlpm.v),ISNUMBER(_xlpm.ulim)),MIN(_xlpm.v,_xlpm.ulim),_xlpm.v))</f>
        <v/>
      </c>
      <c r="K182" s="176"/>
      <c r="L182" s="177" t="str">
        <f t="shared" si="38"/>
        <v/>
      </c>
      <c r="M182" s="177" t="str">
        <f t="shared" si="39"/>
        <v/>
      </c>
      <c r="N182" s="380" t="str">
        <f>IF($A182="","",IF($C182=0,_xlfn.LET(_xlpm.x,IFERROR(_xlfn.XLOOKUP($A182,Util_Tags,Util_XR),""),IF(N(_xlpm.x)=0,Xfmr_DefXR,_xlpm.x)),IF(LEFT($A182,2)="T-",IFERROR(_xlfn.XLOOKUP($A182,Transformers!$A$6:$A$105,Transformers!$AH$6:$AH$105),Xfmr_DefXR),IFERROR(_xlfn.XLOOKUP($E182,$A$6:$A$255,$N$6:$N$255),Xfmr_DefXR))))</f>
        <v/>
      </c>
      <c r="O182" s="177" t="str">
        <f t="shared" si="40"/>
        <v/>
      </c>
      <c r="P182" s="210" t="str">
        <f>IF($A182="","",IF(LEFT($A182,2)="T-",IF($CO182="","",_xlfn.LET(_xlpm.k,IFERROR(_xlfn.XLOOKUP($A182,Transformers!$A$6:$A$105,Transformers!$G$6:$G$105),""),_xlpm.sv,IFERROR(_xlfn.XLOOKUP($A182,Transformers!$A$6:$A$105,Transformers!$E$6:$E$105),""),IF(OR(NOT(ISNUMBER(_xlpm.k)),NOT(ISNUMBER(_xlpm.sv)),_xlpm.sv=0),"",_xlfn.LET(_xlpm.iInf,(_xlpm.k*1000/(_xlpm.sv/2))*100/$CO182,_xlpm.pri,IF(OR($CK182="",$CK182=0),"",$CK182/2),_xlpm.base,IF(_xlpm.pri="",_xlpm.iInf,_xlpm.iInf/(1+_xlpm.iInf/_xlpm.pri)),_xlpm.base+IF($L182="",0,$L182))))),IF($CP182="","",_xlfn.LET(_xlpm.pI,IFERROR(_xlfn.XLOOKUP($E182,$A$6:$A$255,$P$6:$P$255),""),IF(NOT(ISNUMBER(_xlpm.pI)),"",_xlpm.pI/(1+$CP182)+IF($L182="",0,$L182))))))</f>
        <v/>
      </c>
      <c r="Q182" s="210" t="str">
        <f t="shared" si="41"/>
        <v/>
      </c>
      <c r="R182" s="177" t="str">
        <f>IF($A182="","",IF(OR($C182=0,LEFT($A182,2)="T-"),"",IFERROR(_xlfn.LET(_xlpm.v,_xlfn.XLOOKUP($A182,Dashboard!$A$101:$A$350,Dashboard!$K$101:$K$350),IF(ISNUMBER(_xlpm.v),_xlpm.v,"")),"")))</f>
        <v/>
      </c>
      <c r="S182" s="211" t="str">
        <f t="shared" si="42"/>
        <v/>
      </c>
      <c r="T182" s="25" t="str">
        <f t="shared" si="43"/>
        <v/>
      </c>
      <c r="U182" s="364"/>
      <c r="BV182" s="20" t="str">
        <f>IF($A182="","",IFERROR(_xlfn.XLOOKUP("F-"&amp;$A182,'Feeder Schedule'!$B$5:$B$254,'Feeder Schedule'!$H$5:$H$254),""))</f>
        <v/>
      </c>
      <c r="BW182" s="20" t="str">
        <f>IF($A182="","",IFERROR(_xlfn.XLOOKUP("F-"&amp;$A182,'Feeder Schedule'!$B$5:$B$254,'Feeder Schedule'!$BV$5:$BV$254),""))</f>
        <v/>
      </c>
      <c r="BX182" s="20" t="str">
        <f>IF($A182="","",IFERROR(_xlfn.LET(_xlpm.v,_xlfn.XLOOKUP("F-"&amp;$A182,'Feeder Schedule'!$B$5:$B$254,'Feeder Schedule'!$M$5:$M$254),IF(OR(_xlpm.v="",_xlpm.v=0),Cfg_Conduit,_xlpm.v)),""))</f>
        <v/>
      </c>
      <c r="BY182" s="20" t="str">
        <f>IF($A182="","",IFERROR(_xlfn.XLOOKUP("F-"&amp;$A182,'Feeder Schedule'!$B$5:$B$254,'Feeder Schedule'!$O$5:$O$254),""))</f>
        <v/>
      </c>
      <c r="BZ182" s="20" t="str">
        <f>IF($A182="","",IFERROR(_xlfn.XLOOKUP("F-"&amp;$A182,'Feeder Schedule'!$B$5:$B$254,'Feeder Schedule'!$CH$5:$CH$254),""))</f>
        <v/>
      </c>
      <c r="CA182" s="20" t="str">
        <f>IF($A182="","",IFERROR(_xlfn.XLOOKUP("F-"&amp;$A182,'Feeder Schedule'!$B$5:$B$254,'Feeder Schedule'!$F$5:$F$254),""))</f>
        <v/>
      </c>
      <c r="CB182" s="20" t="str">
        <f>IF($A182="","",IFERROR(_xlfn.XLOOKUP("F-"&amp;$A182,'Feeder Schedule'!$B$5:$B$254,'Feeder Schedule'!$G$5:$G$254),""))</f>
        <v/>
      </c>
      <c r="CD182" s="20" t="str" cm="1">
        <f t="array" ref="CD182">IFERROR(IF($A182="","",INDEX(_xlfn.ANCHORARRAY($BK$4),ROW()-5,6)),"")</f>
        <v/>
      </c>
      <c r="CE182" s="20" t="str">
        <f t="shared" si="46"/>
        <v/>
      </c>
      <c r="CF182" s="20" t="str">
        <f t="shared" si="47"/>
        <v/>
      </c>
      <c r="CG182" s="20" t="str">
        <f t="shared" si="44"/>
        <v/>
      </c>
      <c r="CH182" s="20" t="str" cm="1">
        <f t="array" ref="CH182">IF(OR($A182="",$BZ182="",$BW182="",$BX182=""),"",_xlfn.LET(_xlpm.mag,IFERROR(_xlfn.XLOOKUP($BX182,Race_Raceway,Race_Mag),""),IF(_xlpm.mag="","",IFERROR(INDEX(Cond_Table,MATCH($BZ182,Cond_Size,0),IF(UPPER($BW182)="AL",IF(_xlpm.mag="Y",10,12),IF(_xlpm.mag="Y",9,11))),""))))</f>
        <v/>
      </c>
      <c r="CI182" s="20" t="str">
        <f t="shared" si="45"/>
        <v/>
      </c>
      <c r="CJ182" s="20" t="str">
        <f>IF(OR($A182="",LEFT($A182,2)&lt;&gt;"T-"),"",IFERROR(_xlfn.LET(_xlpm.fla,_xlfn.XLOOKUP($A182,Transformers!$A$6:$A$105,Transformers!$AK$6:$AK$105),_xlpm.z,_xlfn.XLOOKUP($A182,Transformers!$A$6:$A$105,Transformers!$AX$6:$AX$105),IF(OR(_xlpm.fla="",_xlpm.z="",_xlpm.z=0),"",_xlpm.fla*100/_xlpm.z)),""))</f>
        <v/>
      </c>
      <c r="CK182" s="20" t="str">
        <f t="shared" si="48"/>
        <v/>
      </c>
      <c r="CL182" s="20" t="str">
        <f t="shared" si="49"/>
        <v/>
      </c>
      <c r="CM182" s="373"/>
      <c r="CO182" s="20" t="str">
        <f>IF(OR($A182="",LEFT($A182,2)&lt;&gt;"T-"),"",_xlfn.LET(_xlpm.ph,IFERROR(_xlfn.XLOOKUP($A182,Transformers!$A$6:$A$105,Transformers!$C$6:$C$105),""),_xlpm.rr,IFERROR(_xlfn.XLOOKUP($A182,Transformers!$A$6:$A$105,Transformers!$AG$6:$AG$105),""),_xlpm.xx,IFERROR(_xlfn.XLOOKUP($A182,Transformers!$A$6:$A$105,Transformers!$AI$6:$AI$105),""),IF(OR(_xlpm.ph&lt;&gt;1,NOT(ISNUMBER(_xlpm.rr)),NOT(ISNUMBER(_xlpm.xx))),"",SQRT((1.5*_xlpm.rr)^2+(1.2*_xlpm.xx)^2))))</f>
        <v/>
      </c>
      <c r="CP182" s="20" t="str">
        <f t="shared" si="50"/>
        <v/>
      </c>
    </row>
    <row r="183" spans="1:94" ht="15" customHeight="1" x14ac:dyDescent="0.45">
      <c r="A183" s="275" t="str" cm="1">
        <f t="array" ref="A183">IFERROR(IF(INDEX(_xlfn.ANCHORARRAY($BK$4),ROW()-5,1)="","",INDEX(_xlfn.ANCHORARRAY($BK$4),ROW()-5,1)),"")</f>
        <v/>
      </c>
      <c r="B183" s="25" t="str" cm="1">
        <f t="array" ref="B183">IFERROR(IF($A183="","",INDEX(_xlfn.ANCHORARRAY($BK$4),ROW()-5,5)),"")</f>
        <v/>
      </c>
      <c r="C183" s="178" t="str" cm="1">
        <f t="array" ref="C183">IFERROR(IF($A183="","",INDEX(_xlfn.ANCHORARRAY($BK$4),ROW()-5,7)),"")</f>
        <v/>
      </c>
      <c r="D183" s="177" t="str" cm="1">
        <f t="array" ref="D183">IFERROR(IF($A183="","",INDEX(_xlfn.ANCHORARRAY($BK$4),ROW()-5,3)),"")</f>
        <v/>
      </c>
      <c r="E183" s="25" t="str" cm="1">
        <f t="array" ref="E183">IFERROR(IF($A183="","",INDEX(_xlfn.ANCHORARRAY($BK$4),ROW()-5,2)),"")</f>
        <v/>
      </c>
      <c r="F183" s="177" t="str">
        <f t="shared" si="34"/>
        <v/>
      </c>
      <c r="G183" s="275" t="str">
        <f t="shared" si="35"/>
        <v/>
      </c>
      <c r="H183" s="180" t="str">
        <f t="shared" si="36"/>
        <v/>
      </c>
      <c r="I183" s="180" t="str">
        <f t="shared" si="37"/>
        <v/>
      </c>
      <c r="J183" s="177" t="str">
        <f>_xlfn.LET(_xlpm.v,_xlfn.LET(_xlpm.base,IF($A183="","",IF($C183=0,IFERROR(_xlfn.XLOOKUP($A183,Util_Tags,Util_SCAEff),""),IF(LEFT($A183,2)="T-",IF($CJ183="","",$CJ183/(1+IF($CL183="",0,$CL183))),IF(OR($F183="",$I183=""),"",$F183*$I183)))),_xlpm.gtag,IF(OR($A183="",NOT(OR($B183="ATS",$B183="MTS"))),"",IFERROR(_xlfn.XLOOKUP($A183,Dashboard!$A$101:$A$350,Dashboard!$L$101:$L$350,"")&amp;"","")),_xlpm.gkva,IF(_xlpm.gtag="",0,IFERROR(N(_xlfn.XLOOKUP(_xlpm.gtag,Generator!$B$53:$B$58,Generator!$S$53:$S$58,0)),0)),_xlpm.gxd,IF(_xlpm.gtag="",0,IFERROR(N(_xlfn.XLOOKUP(_xlpm.gtag,Generator!$B$53:$B$58,Generator!$U$53:$U$58,0)),0)),_xlpm.gamp,IF(OR(_xlpm.gkva=0,_xlpm.gxd=0,N($D183)=0),0,ROUND(_xlpm.gkva*1000/(IF(N($CB183)=1,1,SQRT(3))*$D183*_xlpm.gxd),0)),IF(OR(_xlpm.gamp=0,NOT(ISNUMBER(_xlpm.base))),_xlpm.base,MAX(_xlpm.base,_xlpm.gamp))),_xlpm.ulim,IF(OR($A183="",$B183&lt;&gt;"UPS"),"",IFERROR(IF(_xlfn.XLOOKUP($A183,UPS!$B$57:$B$64,UPS!$E$57:$E$64,"")="None",_xlfn.XLOOKUP($A183,UPS!$B$57:$B$64,UPS!$U$57:$U$64,""),""),"")),IF(AND(ISNUMBER(_xlpm.v),ISNUMBER(_xlpm.ulim)),MIN(_xlpm.v,_xlpm.ulim),_xlpm.v))</f>
        <v/>
      </c>
      <c r="K183" s="176"/>
      <c r="L183" s="177" t="str">
        <f t="shared" si="38"/>
        <v/>
      </c>
      <c r="M183" s="177" t="str">
        <f t="shared" si="39"/>
        <v/>
      </c>
      <c r="N183" s="380" t="str">
        <f>IF($A183="","",IF($C183=0,_xlfn.LET(_xlpm.x,IFERROR(_xlfn.XLOOKUP($A183,Util_Tags,Util_XR),""),IF(N(_xlpm.x)=0,Xfmr_DefXR,_xlpm.x)),IF(LEFT($A183,2)="T-",IFERROR(_xlfn.XLOOKUP($A183,Transformers!$A$6:$A$105,Transformers!$AH$6:$AH$105),Xfmr_DefXR),IFERROR(_xlfn.XLOOKUP($E183,$A$6:$A$255,$N$6:$N$255),Xfmr_DefXR))))</f>
        <v/>
      </c>
      <c r="O183" s="177" t="str">
        <f t="shared" si="40"/>
        <v/>
      </c>
      <c r="P183" s="210" t="str">
        <f>IF($A183="","",IF(LEFT($A183,2)="T-",IF($CO183="","",_xlfn.LET(_xlpm.k,IFERROR(_xlfn.XLOOKUP($A183,Transformers!$A$6:$A$105,Transformers!$G$6:$G$105),""),_xlpm.sv,IFERROR(_xlfn.XLOOKUP($A183,Transformers!$A$6:$A$105,Transformers!$E$6:$E$105),""),IF(OR(NOT(ISNUMBER(_xlpm.k)),NOT(ISNUMBER(_xlpm.sv)),_xlpm.sv=0),"",_xlfn.LET(_xlpm.iInf,(_xlpm.k*1000/(_xlpm.sv/2))*100/$CO183,_xlpm.pri,IF(OR($CK183="",$CK183=0),"",$CK183/2),_xlpm.base,IF(_xlpm.pri="",_xlpm.iInf,_xlpm.iInf/(1+_xlpm.iInf/_xlpm.pri)),_xlpm.base+IF($L183="",0,$L183))))),IF($CP183="","",_xlfn.LET(_xlpm.pI,IFERROR(_xlfn.XLOOKUP($E183,$A$6:$A$255,$P$6:$P$255),""),IF(NOT(ISNUMBER(_xlpm.pI)),"",_xlpm.pI/(1+$CP183)+IF($L183="",0,$L183))))))</f>
        <v/>
      </c>
      <c r="Q183" s="210" t="str">
        <f t="shared" si="41"/>
        <v/>
      </c>
      <c r="R183" s="177" t="str">
        <f>IF($A183="","",IF(OR($C183=0,LEFT($A183,2)="T-"),"",IFERROR(_xlfn.LET(_xlpm.v,_xlfn.XLOOKUP($A183,Dashboard!$A$101:$A$350,Dashboard!$K$101:$K$350),IF(ISNUMBER(_xlpm.v),_xlpm.v,"")),"")))</f>
        <v/>
      </c>
      <c r="S183" s="211" t="str">
        <f t="shared" si="42"/>
        <v/>
      </c>
      <c r="T183" s="25" t="str">
        <f t="shared" si="43"/>
        <v/>
      </c>
      <c r="U183" s="364"/>
      <c r="BV183" s="20" t="str">
        <f>IF($A183="","",IFERROR(_xlfn.XLOOKUP("F-"&amp;$A183,'Feeder Schedule'!$B$5:$B$254,'Feeder Schedule'!$H$5:$H$254),""))</f>
        <v/>
      </c>
      <c r="BW183" s="20" t="str">
        <f>IF($A183="","",IFERROR(_xlfn.XLOOKUP("F-"&amp;$A183,'Feeder Schedule'!$B$5:$B$254,'Feeder Schedule'!$BV$5:$BV$254),""))</f>
        <v/>
      </c>
      <c r="BX183" s="20" t="str">
        <f>IF($A183="","",IFERROR(_xlfn.LET(_xlpm.v,_xlfn.XLOOKUP("F-"&amp;$A183,'Feeder Schedule'!$B$5:$B$254,'Feeder Schedule'!$M$5:$M$254),IF(OR(_xlpm.v="",_xlpm.v=0),Cfg_Conduit,_xlpm.v)),""))</f>
        <v/>
      </c>
      <c r="BY183" s="20" t="str">
        <f>IF($A183="","",IFERROR(_xlfn.XLOOKUP("F-"&amp;$A183,'Feeder Schedule'!$B$5:$B$254,'Feeder Schedule'!$O$5:$O$254),""))</f>
        <v/>
      </c>
      <c r="BZ183" s="20" t="str">
        <f>IF($A183="","",IFERROR(_xlfn.XLOOKUP("F-"&amp;$A183,'Feeder Schedule'!$B$5:$B$254,'Feeder Schedule'!$CH$5:$CH$254),""))</f>
        <v/>
      </c>
      <c r="CA183" s="20" t="str">
        <f>IF($A183="","",IFERROR(_xlfn.XLOOKUP("F-"&amp;$A183,'Feeder Schedule'!$B$5:$B$254,'Feeder Schedule'!$F$5:$F$254),""))</f>
        <v/>
      </c>
      <c r="CB183" s="20" t="str">
        <f>IF($A183="","",IFERROR(_xlfn.XLOOKUP("F-"&amp;$A183,'Feeder Schedule'!$B$5:$B$254,'Feeder Schedule'!$G$5:$G$254),""))</f>
        <v/>
      </c>
      <c r="CD183" s="20" t="str" cm="1">
        <f t="array" ref="CD183">IFERROR(IF($A183="","",INDEX(_xlfn.ANCHORARRAY($BK$4),ROW()-5,6)),"")</f>
        <v/>
      </c>
      <c r="CE183" s="20" t="str">
        <f t="shared" si="46"/>
        <v/>
      </c>
      <c r="CF183" s="20" t="str">
        <f t="shared" si="47"/>
        <v/>
      </c>
      <c r="CG183" s="20" t="str">
        <f t="shared" si="44"/>
        <v/>
      </c>
      <c r="CH183" s="20" t="str" cm="1">
        <f t="array" ref="CH183">IF(OR($A183="",$BZ183="",$BW183="",$BX183=""),"",_xlfn.LET(_xlpm.mag,IFERROR(_xlfn.XLOOKUP($BX183,Race_Raceway,Race_Mag),""),IF(_xlpm.mag="","",IFERROR(INDEX(Cond_Table,MATCH($BZ183,Cond_Size,0),IF(UPPER($BW183)="AL",IF(_xlpm.mag="Y",10,12),IF(_xlpm.mag="Y",9,11))),""))))</f>
        <v/>
      </c>
      <c r="CI183" s="20" t="str">
        <f t="shared" si="45"/>
        <v/>
      </c>
      <c r="CJ183" s="20" t="str">
        <f>IF(OR($A183="",LEFT($A183,2)&lt;&gt;"T-"),"",IFERROR(_xlfn.LET(_xlpm.fla,_xlfn.XLOOKUP($A183,Transformers!$A$6:$A$105,Transformers!$AK$6:$AK$105),_xlpm.z,_xlfn.XLOOKUP($A183,Transformers!$A$6:$A$105,Transformers!$AX$6:$AX$105),IF(OR(_xlpm.fla="",_xlpm.z="",_xlpm.z=0),"",_xlpm.fla*100/_xlpm.z)),""))</f>
        <v/>
      </c>
      <c r="CK183" s="20" t="str">
        <f t="shared" si="48"/>
        <v/>
      </c>
      <c r="CL183" s="20" t="str">
        <f t="shared" si="49"/>
        <v/>
      </c>
      <c r="CM183" s="373"/>
      <c r="CO183" s="20" t="str">
        <f>IF(OR($A183="",LEFT($A183,2)&lt;&gt;"T-"),"",_xlfn.LET(_xlpm.ph,IFERROR(_xlfn.XLOOKUP($A183,Transformers!$A$6:$A$105,Transformers!$C$6:$C$105),""),_xlpm.rr,IFERROR(_xlfn.XLOOKUP($A183,Transformers!$A$6:$A$105,Transformers!$AG$6:$AG$105),""),_xlpm.xx,IFERROR(_xlfn.XLOOKUP($A183,Transformers!$A$6:$A$105,Transformers!$AI$6:$AI$105),""),IF(OR(_xlpm.ph&lt;&gt;1,NOT(ISNUMBER(_xlpm.rr)),NOT(ISNUMBER(_xlpm.xx))),"",SQRT((1.5*_xlpm.rr)^2+(1.2*_xlpm.xx)^2))))</f>
        <v/>
      </c>
      <c r="CP183" s="20" t="str">
        <f t="shared" si="50"/>
        <v/>
      </c>
    </row>
    <row r="184" spans="1:94" ht="15" customHeight="1" x14ac:dyDescent="0.45">
      <c r="A184" s="275" t="str" cm="1">
        <f t="array" ref="A184">IFERROR(IF(INDEX(_xlfn.ANCHORARRAY($BK$4),ROW()-5,1)="","",INDEX(_xlfn.ANCHORARRAY($BK$4),ROW()-5,1)),"")</f>
        <v/>
      </c>
      <c r="B184" s="25" t="str" cm="1">
        <f t="array" ref="B184">IFERROR(IF($A184="","",INDEX(_xlfn.ANCHORARRAY($BK$4),ROW()-5,5)),"")</f>
        <v/>
      </c>
      <c r="C184" s="178" t="str" cm="1">
        <f t="array" ref="C184">IFERROR(IF($A184="","",INDEX(_xlfn.ANCHORARRAY($BK$4),ROW()-5,7)),"")</f>
        <v/>
      </c>
      <c r="D184" s="177" t="str" cm="1">
        <f t="array" ref="D184">IFERROR(IF($A184="","",INDEX(_xlfn.ANCHORARRAY($BK$4),ROW()-5,3)),"")</f>
        <v/>
      </c>
      <c r="E184" s="25" t="str" cm="1">
        <f t="array" ref="E184">IFERROR(IF($A184="","",INDEX(_xlfn.ANCHORARRAY($BK$4),ROW()-5,2)),"")</f>
        <v/>
      </c>
      <c r="F184" s="177" t="str">
        <f t="shared" si="34"/>
        <v/>
      </c>
      <c r="G184" s="275" t="str">
        <f t="shared" si="35"/>
        <v/>
      </c>
      <c r="H184" s="180" t="str">
        <f t="shared" si="36"/>
        <v/>
      </c>
      <c r="I184" s="180" t="str">
        <f t="shared" si="37"/>
        <v/>
      </c>
      <c r="J184" s="177" t="str">
        <f>_xlfn.LET(_xlpm.v,_xlfn.LET(_xlpm.base,IF($A184="","",IF($C184=0,IFERROR(_xlfn.XLOOKUP($A184,Util_Tags,Util_SCAEff),""),IF(LEFT($A184,2)="T-",IF($CJ184="","",$CJ184/(1+IF($CL184="",0,$CL184))),IF(OR($F184="",$I184=""),"",$F184*$I184)))),_xlpm.gtag,IF(OR($A184="",NOT(OR($B184="ATS",$B184="MTS"))),"",IFERROR(_xlfn.XLOOKUP($A184,Dashboard!$A$101:$A$350,Dashboard!$L$101:$L$350,"")&amp;"","")),_xlpm.gkva,IF(_xlpm.gtag="",0,IFERROR(N(_xlfn.XLOOKUP(_xlpm.gtag,Generator!$B$53:$B$58,Generator!$S$53:$S$58,0)),0)),_xlpm.gxd,IF(_xlpm.gtag="",0,IFERROR(N(_xlfn.XLOOKUP(_xlpm.gtag,Generator!$B$53:$B$58,Generator!$U$53:$U$58,0)),0)),_xlpm.gamp,IF(OR(_xlpm.gkva=0,_xlpm.gxd=0,N($D184)=0),0,ROUND(_xlpm.gkva*1000/(IF(N($CB184)=1,1,SQRT(3))*$D184*_xlpm.gxd),0)),IF(OR(_xlpm.gamp=0,NOT(ISNUMBER(_xlpm.base))),_xlpm.base,MAX(_xlpm.base,_xlpm.gamp))),_xlpm.ulim,IF(OR($A184="",$B184&lt;&gt;"UPS"),"",IFERROR(IF(_xlfn.XLOOKUP($A184,UPS!$B$57:$B$64,UPS!$E$57:$E$64,"")="None",_xlfn.XLOOKUP($A184,UPS!$B$57:$B$64,UPS!$U$57:$U$64,""),""),"")),IF(AND(ISNUMBER(_xlpm.v),ISNUMBER(_xlpm.ulim)),MIN(_xlpm.v,_xlpm.ulim),_xlpm.v))</f>
        <v/>
      </c>
      <c r="K184" s="176"/>
      <c r="L184" s="177" t="str">
        <f t="shared" si="38"/>
        <v/>
      </c>
      <c r="M184" s="177" t="str">
        <f t="shared" si="39"/>
        <v/>
      </c>
      <c r="N184" s="380" t="str">
        <f>IF($A184="","",IF($C184=0,_xlfn.LET(_xlpm.x,IFERROR(_xlfn.XLOOKUP($A184,Util_Tags,Util_XR),""),IF(N(_xlpm.x)=0,Xfmr_DefXR,_xlpm.x)),IF(LEFT($A184,2)="T-",IFERROR(_xlfn.XLOOKUP($A184,Transformers!$A$6:$A$105,Transformers!$AH$6:$AH$105),Xfmr_DefXR),IFERROR(_xlfn.XLOOKUP($E184,$A$6:$A$255,$N$6:$N$255),Xfmr_DefXR))))</f>
        <v/>
      </c>
      <c r="O184" s="177" t="str">
        <f t="shared" si="40"/>
        <v/>
      </c>
      <c r="P184" s="210" t="str">
        <f>IF($A184="","",IF(LEFT($A184,2)="T-",IF($CO184="","",_xlfn.LET(_xlpm.k,IFERROR(_xlfn.XLOOKUP($A184,Transformers!$A$6:$A$105,Transformers!$G$6:$G$105),""),_xlpm.sv,IFERROR(_xlfn.XLOOKUP($A184,Transformers!$A$6:$A$105,Transformers!$E$6:$E$105),""),IF(OR(NOT(ISNUMBER(_xlpm.k)),NOT(ISNUMBER(_xlpm.sv)),_xlpm.sv=0),"",_xlfn.LET(_xlpm.iInf,(_xlpm.k*1000/(_xlpm.sv/2))*100/$CO184,_xlpm.pri,IF(OR($CK184="",$CK184=0),"",$CK184/2),_xlpm.base,IF(_xlpm.pri="",_xlpm.iInf,_xlpm.iInf/(1+_xlpm.iInf/_xlpm.pri)),_xlpm.base+IF($L184="",0,$L184))))),IF($CP184="","",_xlfn.LET(_xlpm.pI,IFERROR(_xlfn.XLOOKUP($E184,$A$6:$A$255,$P$6:$P$255),""),IF(NOT(ISNUMBER(_xlpm.pI)),"",_xlpm.pI/(1+$CP184)+IF($L184="",0,$L184))))))</f>
        <v/>
      </c>
      <c r="Q184" s="210" t="str">
        <f t="shared" si="41"/>
        <v/>
      </c>
      <c r="R184" s="177" t="str">
        <f>IF($A184="","",IF(OR($C184=0,LEFT($A184,2)="T-"),"",IFERROR(_xlfn.LET(_xlpm.v,_xlfn.XLOOKUP($A184,Dashboard!$A$101:$A$350,Dashboard!$K$101:$K$350),IF(ISNUMBER(_xlpm.v),_xlpm.v,"")),"")))</f>
        <v/>
      </c>
      <c r="S184" s="211" t="str">
        <f t="shared" si="42"/>
        <v/>
      </c>
      <c r="T184" s="25" t="str">
        <f t="shared" si="43"/>
        <v/>
      </c>
      <c r="U184" s="364"/>
      <c r="BV184" s="20" t="str">
        <f>IF($A184="","",IFERROR(_xlfn.XLOOKUP("F-"&amp;$A184,'Feeder Schedule'!$B$5:$B$254,'Feeder Schedule'!$H$5:$H$254),""))</f>
        <v/>
      </c>
      <c r="BW184" s="20" t="str">
        <f>IF($A184="","",IFERROR(_xlfn.XLOOKUP("F-"&amp;$A184,'Feeder Schedule'!$B$5:$B$254,'Feeder Schedule'!$BV$5:$BV$254),""))</f>
        <v/>
      </c>
      <c r="BX184" s="20" t="str">
        <f>IF($A184="","",IFERROR(_xlfn.LET(_xlpm.v,_xlfn.XLOOKUP("F-"&amp;$A184,'Feeder Schedule'!$B$5:$B$254,'Feeder Schedule'!$M$5:$M$254),IF(OR(_xlpm.v="",_xlpm.v=0),Cfg_Conduit,_xlpm.v)),""))</f>
        <v/>
      </c>
      <c r="BY184" s="20" t="str">
        <f>IF($A184="","",IFERROR(_xlfn.XLOOKUP("F-"&amp;$A184,'Feeder Schedule'!$B$5:$B$254,'Feeder Schedule'!$O$5:$O$254),""))</f>
        <v/>
      </c>
      <c r="BZ184" s="20" t="str">
        <f>IF($A184="","",IFERROR(_xlfn.XLOOKUP("F-"&amp;$A184,'Feeder Schedule'!$B$5:$B$254,'Feeder Schedule'!$CH$5:$CH$254),""))</f>
        <v/>
      </c>
      <c r="CA184" s="20" t="str">
        <f>IF($A184="","",IFERROR(_xlfn.XLOOKUP("F-"&amp;$A184,'Feeder Schedule'!$B$5:$B$254,'Feeder Schedule'!$F$5:$F$254),""))</f>
        <v/>
      </c>
      <c r="CB184" s="20" t="str">
        <f>IF($A184="","",IFERROR(_xlfn.XLOOKUP("F-"&amp;$A184,'Feeder Schedule'!$B$5:$B$254,'Feeder Schedule'!$G$5:$G$254),""))</f>
        <v/>
      </c>
      <c r="CD184" s="20" t="str" cm="1">
        <f t="array" ref="CD184">IFERROR(IF($A184="","",INDEX(_xlfn.ANCHORARRAY($BK$4),ROW()-5,6)),"")</f>
        <v/>
      </c>
      <c r="CE184" s="20" t="str">
        <f t="shared" si="46"/>
        <v/>
      </c>
      <c r="CF184" s="20" t="str">
        <f t="shared" si="47"/>
        <v/>
      </c>
      <c r="CG184" s="20" t="str">
        <f t="shared" si="44"/>
        <v/>
      </c>
      <c r="CH184" s="20" t="str" cm="1">
        <f t="array" ref="CH184">IF(OR($A184="",$BZ184="",$BW184="",$BX184=""),"",_xlfn.LET(_xlpm.mag,IFERROR(_xlfn.XLOOKUP($BX184,Race_Raceway,Race_Mag),""),IF(_xlpm.mag="","",IFERROR(INDEX(Cond_Table,MATCH($BZ184,Cond_Size,0),IF(UPPER($BW184)="AL",IF(_xlpm.mag="Y",10,12),IF(_xlpm.mag="Y",9,11))),""))))</f>
        <v/>
      </c>
      <c r="CI184" s="20" t="str">
        <f t="shared" si="45"/>
        <v/>
      </c>
      <c r="CJ184" s="20" t="str">
        <f>IF(OR($A184="",LEFT($A184,2)&lt;&gt;"T-"),"",IFERROR(_xlfn.LET(_xlpm.fla,_xlfn.XLOOKUP($A184,Transformers!$A$6:$A$105,Transformers!$AK$6:$AK$105),_xlpm.z,_xlfn.XLOOKUP($A184,Transformers!$A$6:$A$105,Transformers!$AX$6:$AX$105),IF(OR(_xlpm.fla="",_xlpm.z="",_xlpm.z=0),"",_xlpm.fla*100/_xlpm.z)),""))</f>
        <v/>
      </c>
      <c r="CK184" s="20" t="str">
        <f t="shared" si="48"/>
        <v/>
      </c>
      <c r="CL184" s="20" t="str">
        <f t="shared" si="49"/>
        <v/>
      </c>
      <c r="CM184" s="373"/>
      <c r="CO184" s="20" t="str">
        <f>IF(OR($A184="",LEFT($A184,2)&lt;&gt;"T-"),"",_xlfn.LET(_xlpm.ph,IFERROR(_xlfn.XLOOKUP($A184,Transformers!$A$6:$A$105,Transformers!$C$6:$C$105),""),_xlpm.rr,IFERROR(_xlfn.XLOOKUP($A184,Transformers!$A$6:$A$105,Transformers!$AG$6:$AG$105),""),_xlpm.xx,IFERROR(_xlfn.XLOOKUP($A184,Transformers!$A$6:$A$105,Transformers!$AI$6:$AI$105),""),IF(OR(_xlpm.ph&lt;&gt;1,NOT(ISNUMBER(_xlpm.rr)),NOT(ISNUMBER(_xlpm.xx))),"",SQRT((1.5*_xlpm.rr)^2+(1.2*_xlpm.xx)^2))))</f>
        <v/>
      </c>
      <c r="CP184" s="20" t="str">
        <f t="shared" si="50"/>
        <v/>
      </c>
    </row>
    <row r="185" spans="1:94" ht="15" customHeight="1" x14ac:dyDescent="0.45">
      <c r="A185" s="275" t="str" cm="1">
        <f t="array" ref="A185">IFERROR(IF(INDEX(_xlfn.ANCHORARRAY($BK$4),ROW()-5,1)="","",INDEX(_xlfn.ANCHORARRAY($BK$4),ROW()-5,1)),"")</f>
        <v/>
      </c>
      <c r="B185" s="25" t="str" cm="1">
        <f t="array" ref="B185">IFERROR(IF($A185="","",INDEX(_xlfn.ANCHORARRAY($BK$4),ROW()-5,5)),"")</f>
        <v/>
      </c>
      <c r="C185" s="178" t="str" cm="1">
        <f t="array" ref="C185">IFERROR(IF($A185="","",INDEX(_xlfn.ANCHORARRAY($BK$4),ROW()-5,7)),"")</f>
        <v/>
      </c>
      <c r="D185" s="177" t="str" cm="1">
        <f t="array" ref="D185">IFERROR(IF($A185="","",INDEX(_xlfn.ANCHORARRAY($BK$4),ROW()-5,3)),"")</f>
        <v/>
      </c>
      <c r="E185" s="25" t="str" cm="1">
        <f t="array" ref="E185">IFERROR(IF($A185="","",INDEX(_xlfn.ANCHORARRAY($BK$4),ROW()-5,2)),"")</f>
        <v/>
      </c>
      <c r="F185" s="177" t="str">
        <f t="shared" si="34"/>
        <v/>
      </c>
      <c r="G185" s="275" t="str">
        <f t="shared" si="35"/>
        <v/>
      </c>
      <c r="H185" s="180" t="str">
        <f t="shared" si="36"/>
        <v/>
      </c>
      <c r="I185" s="180" t="str">
        <f t="shared" si="37"/>
        <v/>
      </c>
      <c r="J185" s="177" t="str">
        <f>_xlfn.LET(_xlpm.v,_xlfn.LET(_xlpm.base,IF($A185="","",IF($C185=0,IFERROR(_xlfn.XLOOKUP($A185,Util_Tags,Util_SCAEff),""),IF(LEFT($A185,2)="T-",IF($CJ185="","",$CJ185/(1+IF($CL185="",0,$CL185))),IF(OR($F185="",$I185=""),"",$F185*$I185)))),_xlpm.gtag,IF(OR($A185="",NOT(OR($B185="ATS",$B185="MTS"))),"",IFERROR(_xlfn.XLOOKUP($A185,Dashboard!$A$101:$A$350,Dashboard!$L$101:$L$350,"")&amp;"","")),_xlpm.gkva,IF(_xlpm.gtag="",0,IFERROR(N(_xlfn.XLOOKUP(_xlpm.gtag,Generator!$B$53:$B$58,Generator!$S$53:$S$58,0)),0)),_xlpm.gxd,IF(_xlpm.gtag="",0,IFERROR(N(_xlfn.XLOOKUP(_xlpm.gtag,Generator!$B$53:$B$58,Generator!$U$53:$U$58,0)),0)),_xlpm.gamp,IF(OR(_xlpm.gkva=0,_xlpm.gxd=0,N($D185)=0),0,ROUND(_xlpm.gkva*1000/(IF(N($CB185)=1,1,SQRT(3))*$D185*_xlpm.gxd),0)),IF(OR(_xlpm.gamp=0,NOT(ISNUMBER(_xlpm.base))),_xlpm.base,MAX(_xlpm.base,_xlpm.gamp))),_xlpm.ulim,IF(OR($A185="",$B185&lt;&gt;"UPS"),"",IFERROR(IF(_xlfn.XLOOKUP($A185,UPS!$B$57:$B$64,UPS!$E$57:$E$64,"")="None",_xlfn.XLOOKUP($A185,UPS!$B$57:$B$64,UPS!$U$57:$U$64,""),""),"")),IF(AND(ISNUMBER(_xlpm.v),ISNUMBER(_xlpm.ulim)),MIN(_xlpm.v,_xlpm.ulim),_xlpm.v))</f>
        <v/>
      </c>
      <c r="K185" s="176"/>
      <c r="L185" s="177" t="str">
        <f t="shared" si="38"/>
        <v/>
      </c>
      <c r="M185" s="177" t="str">
        <f t="shared" si="39"/>
        <v/>
      </c>
      <c r="N185" s="380" t="str">
        <f>IF($A185="","",IF($C185=0,_xlfn.LET(_xlpm.x,IFERROR(_xlfn.XLOOKUP($A185,Util_Tags,Util_XR),""),IF(N(_xlpm.x)=0,Xfmr_DefXR,_xlpm.x)),IF(LEFT($A185,2)="T-",IFERROR(_xlfn.XLOOKUP($A185,Transformers!$A$6:$A$105,Transformers!$AH$6:$AH$105),Xfmr_DefXR),IFERROR(_xlfn.XLOOKUP($E185,$A$6:$A$255,$N$6:$N$255),Xfmr_DefXR))))</f>
        <v/>
      </c>
      <c r="O185" s="177" t="str">
        <f t="shared" si="40"/>
        <v/>
      </c>
      <c r="P185" s="210" t="str">
        <f>IF($A185="","",IF(LEFT($A185,2)="T-",IF($CO185="","",_xlfn.LET(_xlpm.k,IFERROR(_xlfn.XLOOKUP($A185,Transformers!$A$6:$A$105,Transformers!$G$6:$G$105),""),_xlpm.sv,IFERROR(_xlfn.XLOOKUP($A185,Transformers!$A$6:$A$105,Transformers!$E$6:$E$105),""),IF(OR(NOT(ISNUMBER(_xlpm.k)),NOT(ISNUMBER(_xlpm.sv)),_xlpm.sv=0),"",_xlfn.LET(_xlpm.iInf,(_xlpm.k*1000/(_xlpm.sv/2))*100/$CO185,_xlpm.pri,IF(OR($CK185="",$CK185=0),"",$CK185/2),_xlpm.base,IF(_xlpm.pri="",_xlpm.iInf,_xlpm.iInf/(1+_xlpm.iInf/_xlpm.pri)),_xlpm.base+IF($L185="",0,$L185))))),IF($CP185="","",_xlfn.LET(_xlpm.pI,IFERROR(_xlfn.XLOOKUP($E185,$A$6:$A$255,$P$6:$P$255),""),IF(NOT(ISNUMBER(_xlpm.pI)),"",_xlpm.pI/(1+$CP185)+IF($L185="",0,$L185))))))</f>
        <v/>
      </c>
      <c r="Q185" s="210" t="str">
        <f t="shared" si="41"/>
        <v/>
      </c>
      <c r="R185" s="177" t="str">
        <f>IF($A185="","",IF(OR($C185=0,LEFT($A185,2)="T-"),"",IFERROR(_xlfn.LET(_xlpm.v,_xlfn.XLOOKUP($A185,Dashboard!$A$101:$A$350,Dashboard!$K$101:$K$350),IF(ISNUMBER(_xlpm.v),_xlpm.v,"")),"")))</f>
        <v/>
      </c>
      <c r="S185" s="211" t="str">
        <f t="shared" si="42"/>
        <v/>
      </c>
      <c r="T185" s="25" t="str">
        <f t="shared" si="43"/>
        <v/>
      </c>
      <c r="U185" s="364"/>
      <c r="BV185" s="20" t="str">
        <f>IF($A185="","",IFERROR(_xlfn.XLOOKUP("F-"&amp;$A185,'Feeder Schedule'!$B$5:$B$254,'Feeder Schedule'!$H$5:$H$254),""))</f>
        <v/>
      </c>
      <c r="BW185" s="20" t="str">
        <f>IF($A185="","",IFERROR(_xlfn.XLOOKUP("F-"&amp;$A185,'Feeder Schedule'!$B$5:$B$254,'Feeder Schedule'!$BV$5:$BV$254),""))</f>
        <v/>
      </c>
      <c r="BX185" s="20" t="str">
        <f>IF($A185="","",IFERROR(_xlfn.LET(_xlpm.v,_xlfn.XLOOKUP("F-"&amp;$A185,'Feeder Schedule'!$B$5:$B$254,'Feeder Schedule'!$M$5:$M$254),IF(OR(_xlpm.v="",_xlpm.v=0),Cfg_Conduit,_xlpm.v)),""))</f>
        <v/>
      </c>
      <c r="BY185" s="20" t="str">
        <f>IF($A185="","",IFERROR(_xlfn.XLOOKUP("F-"&amp;$A185,'Feeder Schedule'!$B$5:$B$254,'Feeder Schedule'!$O$5:$O$254),""))</f>
        <v/>
      </c>
      <c r="BZ185" s="20" t="str">
        <f>IF($A185="","",IFERROR(_xlfn.XLOOKUP("F-"&amp;$A185,'Feeder Schedule'!$B$5:$B$254,'Feeder Schedule'!$CH$5:$CH$254),""))</f>
        <v/>
      </c>
      <c r="CA185" s="20" t="str">
        <f>IF($A185="","",IFERROR(_xlfn.XLOOKUP("F-"&amp;$A185,'Feeder Schedule'!$B$5:$B$254,'Feeder Schedule'!$F$5:$F$254),""))</f>
        <v/>
      </c>
      <c r="CB185" s="20" t="str">
        <f>IF($A185="","",IFERROR(_xlfn.XLOOKUP("F-"&amp;$A185,'Feeder Schedule'!$B$5:$B$254,'Feeder Schedule'!$G$5:$G$254),""))</f>
        <v/>
      </c>
      <c r="CD185" s="20" t="str" cm="1">
        <f t="array" ref="CD185">IFERROR(IF($A185="","",INDEX(_xlfn.ANCHORARRAY($BK$4),ROW()-5,6)),"")</f>
        <v/>
      </c>
      <c r="CE185" s="20" t="str">
        <f t="shared" si="46"/>
        <v/>
      </c>
      <c r="CF185" s="20" t="str">
        <f t="shared" si="47"/>
        <v/>
      </c>
      <c r="CG185" s="20" t="str">
        <f t="shared" si="44"/>
        <v/>
      </c>
      <c r="CH185" s="20" t="str" cm="1">
        <f t="array" ref="CH185">IF(OR($A185="",$BZ185="",$BW185="",$BX185=""),"",_xlfn.LET(_xlpm.mag,IFERROR(_xlfn.XLOOKUP($BX185,Race_Raceway,Race_Mag),""),IF(_xlpm.mag="","",IFERROR(INDEX(Cond_Table,MATCH($BZ185,Cond_Size,0),IF(UPPER($BW185)="AL",IF(_xlpm.mag="Y",10,12),IF(_xlpm.mag="Y",9,11))),""))))</f>
        <v/>
      </c>
      <c r="CI185" s="20" t="str">
        <f t="shared" si="45"/>
        <v/>
      </c>
      <c r="CJ185" s="20" t="str">
        <f>IF(OR($A185="",LEFT($A185,2)&lt;&gt;"T-"),"",IFERROR(_xlfn.LET(_xlpm.fla,_xlfn.XLOOKUP($A185,Transformers!$A$6:$A$105,Transformers!$AK$6:$AK$105),_xlpm.z,_xlfn.XLOOKUP($A185,Transformers!$A$6:$A$105,Transformers!$AX$6:$AX$105),IF(OR(_xlpm.fla="",_xlpm.z="",_xlpm.z=0),"",_xlpm.fla*100/_xlpm.z)),""))</f>
        <v/>
      </c>
      <c r="CK185" s="20" t="str">
        <f t="shared" si="48"/>
        <v/>
      </c>
      <c r="CL185" s="20" t="str">
        <f t="shared" si="49"/>
        <v/>
      </c>
      <c r="CM185" s="373"/>
      <c r="CO185" s="20" t="str">
        <f>IF(OR($A185="",LEFT($A185,2)&lt;&gt;"T-"),"",_xlfn.LET(_xlpm.ph,IFERROR(_xlfn.XLOOKUP($A185,Transformers!$A$6:$A$105,Transformers!$C$6:$C$105),""),_xlpm.rr,IFERROR(_xlfn.XLOOKUP($A185,Transformers!$A$6:$A$105,Transformers!$AG$6:$AG$105),""),_xlpm.xx,IFERROR(_xlfn.XLOOKUP($A185,Transformers!$A$6:$A$105,Transformers!$AI$6:$AI$105),""),IF(OR(_xlpm.ph&lt;&gt;1,NOT(ISNUMBER(_xlpm.rr)),NOT(ISNUMBER(_xlpm.xx))),"",SQRT((1.5*_xlpm.rr)^2+(1.2*_xlpm.xx)^2))))</f>
        <v/>
      </c>
      <c r="CP185" s="20" t="str">
        <f t="shared" si="50"/>
        <v/>
      </c>
    </row>
    <row r="186" spans="1:94" ht="15" customHeight="1" x14ac:dyDescent="0.45">
      <c r="A186" s="275" t="str" cm="1">
        <f t="array" ref="A186">IFERROR(IF(INDEX(_xlfn.ANCHORARRAY($BK$4),ROW()-5,1)="","",INDEX(_xlfn.ANCHORARRAY($BK$4),ROW()-5,1)),"")</f>
        <v/>
      </c>
      <c r="B186" s="25" t="str" cm="1">
        <f t="array" ref="B186">IFERROR(IF($A186="","",INDEX(_xlfn.ANCHORARRAY($BK$4),ROW()-5,5)),"")</f>
        <v/>
      </c>
      <c r="C186" s="178" t="str" cm="1">
        <f t="array" ref="C186">IFERROR(IF($A186="","",INDEX(_xlfn.ANCHORARRAY($BK$4),ROW()-5,7)),"")</f>
        <v/>
      </c>
      <c r="D186" s="177" t="str" cm="1">
        <f t="array" ref="D186">IFERROR(IF($A186="","",INDEX(_xlfn.ANCHORARRAY($BK$4),ROW()-5,3)),"")</f>
        <v/>
      </c>
      <c r="E186" s="25" t="str" cm="1">
        <f t="array" ref="E186">IFERROR(IF($A186="","",INDEX(_xlfn.ANCHORARRAY($BK$4),ROW()-5,2)),"")</f>
        <v/>
      </c>
      <c r="F186" s="177" t="str">
        <f t="shared" si="34"/>
        <v/>
      </c>
      <c r="G186" s="275" t="str">
        <f t="shared" si="35"/>
        <v/>
      </c>
      <c r="H186" s="180" t="str">
        <f t="shared" si="36"/>
        <v/>
      </c>
      <c r="I186" s="180" t="str">
        <f t="shared" si="37"/>
        <v/>
      </c>
      <c r="J186" s="177" t="str">
        <f>_xlfn.LET(_xlpm.v,_xlfn.LET(_xlpm.base,IF($A186="","",IF($C186=0,IFERROR(_xlfn.XLOOKUP($A186,Util_Tags,Util_SCAEff),""),IF(LEFT($A186,2)="T-",IF($CJ186="","",$CJ186/(1+IF($CL186="",0,$CL186))),IF(OR($F186="",$I186=""),"",$F186*$I186)))),_xlpm.gtag,IF(OR($A186="",NOT(OR($B186="ATS",$B186="MTS"))),"",IFERROR(_xlfn.XLOOKUP($A186,Dashboard!$A$101:$A$350,Dashboard!$L$101:$L$350,"")&amp;"","")),_xlpm.gkva,IF(_xlpm.gtag="",0,IFERROR(N(_xlfn.XLOOKUP(_xlpm.gtag,Generator!$B$53:$B$58,Generator!$S$53:$S$58,0)),0)),_xlpm.gxd,IF(_xlpm.gtag="",0,IFERROR(N(_xlfn.XLOOKUP(_xlpm.gtag,Generator!$B$53:$B$58,Generator!$U$53:$U$58,0)),0)),_xlpm.gamp,IF(OR(_xlpm.gkva=0,_xlpm.gxd=0,N($D186)=0),0,ROUND(_xlpm.gkva*1000/(IF(N($CB186)=1,1,SQRT(3))*$D186*_xlpm.gxd),0)),IF(OR(_xlpm.gamp=0,NOT(ISNUMBER(_xlpm.base))),_xlpm.base,MAX(_xlpm.base,_xlpm.gamp))),_xlpm.ulim,IF(OR($A186="",$B186&lt;&gt;"UPS"),"",IFERROR(IF(_xlfn.XLOOKUP($A186,UPS!$B$57:$B$64,UPS!$E$57:$E$64,"")="None",_xlfn.XLOOKUP($A186,UPS!$B$57:$B$64,UPS!$U$57:$U$64,""),""),"")),IF(AND(ISNUMBER(_xlpm.v),ISNUMBER(_xlpm.ulim)),MIN(_xlpm.v,_xlpm.ulim),_xlpm.v))</f>
        <v/>
      </c>
      <c r="K186" s="176"/>
      <c r="L186" s="177" t="str">
        <f t="shared" si="38"/>
        <v/>
      </c>
      <c r="M186" s="177" t="str">
        <f t="shared" si="39"/>
        <v/>
      </c>
      <c r="N186" s="380" t="str">
        <f>IF($A186="","",IF($C186=0,_xlfn.LET(_xlpm.x,IFERROR(_xlfn.XLOOKUP($A186,Util_Tags,Util_XR),""),IF(N(_xlpm.x)=0,Xfmr_DefXR,_xlpm.x)),IF(LEFT($A186,2)="T-",IFERROR(_xlfn.XLOOKUP($A186,Transformers!$A$6:$A$105,Transformers!$AH$6:$AH$105),Xfmr_DefXR),IFERROR(_xlfn.XLOOKUP($E186,$A$6:$A$255,$N$6:$N$255),Xfmr_DefXR))))</f>
        <v/>
      </c>
      <c r="O186" s="177" t="str">
        <f t="shared" si="40"/>
        <v/>
      </c>
      <c r="P186" s="210" t="str">
        <f>IF($A186="","",IF(LEFT($A186,2)="T-",IF($CO186="","",_xlfn.LET(_xlpm.k,IFERROR(_xlfn.XLOOKUP($A186,Transformers!$A$6:$A$105,Transformers!$G$6:$G$105),""),_xlpm.sv,IFERROR(_xlfn.XLOOKUP($A186,Transformers!$A$6:$A$105,Transformers!$E$6:$E$105),""),IF(OR(NOT(ISNUMBER(_xlpm.k)),NOT(ISNUMBER(_xlpm.sv)),_xlpm.sv=0),"",_xlfn.LET(_xlpm.iInf,(_xlpm.k*1000/(_xlpm.sv/2))*100/$CO186,_xlpm.pri,IF(OR($CK186="",$CK186=0),"",$CK186/2),_xlpm.base,IF(_xlpm.pri="",_xlpm.iInf,_xlpm.iInf/(1+_xlpm.iInf/_xlpm.pri)),_xlpm.base+IF($L186="",0,$L186))))),IF($CP186="","",_xlfn.LET(_xlpm.pI,IFERROR(_xlfn.XLOOKUP($E186,$A$6:$A$255,$P$6:$P$255),""),IF(NOT(ISNUMBER(_xlpm.pI)),"",_xlpm.pI/(1+$CP186)+IF($L186="",0,$L186))))))</f>
        <v/>
      </c>
      <c r="Q186" s="210" t="str">
        <f t="shared" si="41"/>
        <v/>
      </c>
      <c r="R186" s="177" t="str">
        <f>IF($A186="","",IF(OR($C186=0,LEFT($A186,2)="T-"),"",IFERROR(_xlfn.LET(_xlpm.v,_xlfn.XLOOKUP($A186,Dashboard!$A$101:$A$350,Dashboard!$K$101:$K$350),IF(ISNUMBER(_xlpm.v),_xlpm.v,"")),"")))</f>
        <v/>
      </c>
      <c r="S186" s="211" t="str">
        <f t="shared" si="42"/>
        <v/>
      </c>
      <c r="T186" s="25" t="str">
        <f t="shared" si="43"/>
        <v/>
      </c>
      <c r="U186" s="364"/>
      <c r="BV186" s="20" t="str">
        <f>IF($A186="","",IFERROR(_xlfn.XLOOKUP("F-"&amp;$A186,'Feeder Schedule'!$B$5:$B$254,'Feeder Schedule'!$H$5:$H$254),""))</f>
        <v/>
      </c>
      <c r="BW186" s="20" t="str">
        <f>IF($A186="","",IFERROR(_xlfn.XLOOKUP("F-"&amp;$A186,'Feeder Schedule'!$B$5:$B$254,'Feeder Schedule'!$BV$5:$BV$254),""))</f>
        <v/>
      </c>
      <c r="BX186" s="20" t="str">
        <f>IF($A186="","",IFERROR(_xlfn.LET(_xlpm.v,_xlfn.XLOOKUP("F-"&amp;$A186,'Feeder Schedule'!$B$5:$B$254,'Feeder Schedule'!$M$5:$M$254),IF(OR(_xlpm.v="",_xlpm.v=0),Cfg_Conduit,_xlpm.v)),""))</f>
        <v/>
      </c>
      <c r="BY186" s="20" t="str">
        <f>IF($A186="","",IFERROR(_xlfn.XLOOKUP("F-"&amp;$A186,'Feeder Schedule'!$B$5:$B$254,'Feeder Schedule'!$O$5:$O$254),""))</f>
        <v/>
      </c>
      <c r="BZ186" s="20" t="str">
        <f>IF($A186="","",IFERROR(_xlfn.XLOOKUP("F-"&amp;$A186,'Feeder Schedule'!$B$5:$B$254,'Feeder Schedule'!$CH$5:$CH$254),""))</f>
        <v/>
      </c>
      <c r="CA186" s="20" t="str">
        <f>IF($A186="","",IFERROR(_xlfn.XLOOKUP("F-"&amp;$A186,'Feeder Schedule'!$B$5:$B$254,'Feeder Schedule'!$F$5:$F$254),""))</f>
        <v/>
      </c>
      <c r="CB186" s="20" t="str">
        <f>IF($A186="","",IFERROR(_xlfn.XLOOKUP("F-"&amp;$A186,'Feeder Schedule'!$B$5:$B$254,'Feeder Schedule'!$G$5:$G$254),""))</f>
        <v/>
      </c>
      <c r="CD186" s="20" t="str" cm="1">
        <f t="array" ref="CD186">IFERROR(IF($A186="","",INDEX(_xlfn.ANCHORARRAY($BK$4),ROW()-5,6)),"")</f>
        <v/>
      </c>
      <c r="CE186" s="20" t="str">
        <f t="shared" si="46"/>
        <v/>
      </c>
      <c r="CF186" s="20" t="str">
        <f t="shared" si="47"/>
        <v/>
      </c>
      <c r="CG186" s="20" t="str">
        <f t="shared" si="44"/>
        <v/>
      </c>
      <c r="CH186" s="20" t="str" cm="1">
        <f t="array" ref="CH186">IF(OR($A186="",$BZ186="",$BW186="",$BX186=""),"",_xlfn.LET(_xlpm.mag,IFERROR(_xlfn.XLOOKUP($BX186,Race_Raceway,Race_Mag),""),IF(_xlpm.mag="","",IFERROR(INDEX(Cond_Table,MATCH($BZ186,Cond_Size,0),IF(UPPER($BW186)="AL",IF(_xlpm.mag="Y",10,12),IF(_xlpm.mag="Y",9,11))),""))))</f>
        <v/>
      </c>
      <c r="CI186" s="20" t="str">
        <f t="shared" si="45"/>
        <v/>
      </c>
      <c r="CJ186" s="20" t="str">
        <f>IF(OR($A186="",LEFT($A186,2)&lt;&gt;"T-"),"",IFERROR(_xlfn.LET(_xlpm.fla,_xlfn.XLOOKUP($A186,Transformers!$A$6:$A$105,Transformers!$AK$6:$AK$105),_xlpm.z,_xlfn.XLOOKUP($A186,Transformers!$A$6:$A$105,Transformers!$AX$6:$AX$105),IF(OR(_xlpm.fla="",_xlpm.z="",_xlpm.z=0),"",_xlpm.fla*100/_xlpm.z)),""))</f>
        <v/>
      </c>
      <c r="CK186" s="20" t="str">
        <f t="shared" si="48"/>
        <v/>
      </c>
      <c r="CL186" s="20" t="str">
        <f t="shared" si="49"/>
        <v/>
      </c>
      <c r="CM186" s="373"/>
      <c r="CO186" s="20" t="str">
        <f>IF(OR($A186="",LEFT($A186,2)&lt;&gt;"T-"),"",_xlfn.LET(_xlpm.ph,IFERROR(_xlfn.XLOOKUP($A186,Transformers!$A$6:$A$105,Transformers!$C$6:$C$105),""),_xlpm.rr,IFERROR(_xlfn.XLOOKUP($A186,Transformers!$A$6:$A$105,Transformers!$AG$6:$AG$105),""),_xlpm.xx,IFERROR(_xlfn.XLOOKUP($A186,Transformers!$A$6:$A$105,Transformers!$AI$6:$AI$105),""),IF(OR(_xlpm.ph&lt;&gt;1,NOT(ISNUMBER(_xlpm.rr)),NOT(ISNUMBER(_xlpm.xx))),"",SQRT((1.5*_xlpm.rr)^2+(1.2*_xlpm.xx)^2))))</f>
        <v/>
      </c>
      <c r="CP186" s="20" t="str">
        <f t="shared" si="50"/>
        <v/>
      </c>
    </row>
    <row r="187" spans="1:94" ht="15" customHeight="1" x14ac:dyDescent="0.45">
      <c r="A187" s="275" t="str" cm="1">
        <f t="array" ref="A187">IFERROR(IF(INDEX(_xlfn.ANCHORARRAY($BK$4),ROW()-5,1)="","",INDEX(_xlfn.ANCHORARRAY($BK$4),ROW()-5,1)),"")</f>
        <v/>
      </c>
      <c r="B187" s="25" t="str" cm="1">
        <f t="array" ref="B187">IFERROR(IF($A187="","",INDEX(_xlfn.ANCHORARRAY($BK$4),ROW()-5,5)),"")</f>
        <v/>
      </c>
      <c r="C187" s="178" t="str" cm="1">
        <f t="array" ref="C187">IFERROR(IF($A187="","",INDEX(_xlfn.ANCHORARRAY($BK$4),ROW()-5,7)),"")</f>
        <v/>
      </c>
      <c r="D187" s="177" t="str" cm="1">
        <f t="array" ref="D187">IFERROR(IF($A187="","",INDEX(_xlfn.ANCHORARRAY($BK$4),ROW()-5,3)),"")</f>
        <v/>
      </c>
      <c r="E187" s="25" t="str" cm="1">
        <f t="array" ref="E187">IFERROR(IF($A187="","",INDEX(_xlfn.ANCHORARRAY($BK$4),ROW()-5,2)),"")</f>
        <v/>
      </c>
      <c r="F187" s="177" t="str">
        <f t="shared" si="34"/>
        <v/>
      </c>
      <c r="G187" s="275" t="str">
        <f t="shared" si="35"/>
        <v/>
      </c>
      <c r="H187" s="180" t="str">
        <f t="shared" si="36"/>
        <v/>
      </c>
      <c r="I187" s="180" t="str">
        <f t="shared" si="37"/>
        <v/>
      </c>
      <c r="J187" s="177" t="str">
        <f>_xlfn.LET(_xlpm.v,_xlfn.LET(_xlpm.base,IF($A187="","",IF($C187=0,IFERROR(_xlfn.XLOOKUP($A187,Util_Tags,Util_SCAEff),""),IF(LEFT($A187,2)="T-",IF($CJ187="","",$CJ187/(1+IF($CL187="",0,$CL187))),IF(OR($F187="",$I187=""),"",$F187*$I187)))),_xlpm.gtag,IF(OR($A187="",NOT(OR($B187="ATS",$B187="MTS"))),"",IFERROR(_xlfn.XLOOKUP($A187,Dashboard!$A$101:$A$350,Dashboard!$L$101:$L$350,"")&amp;"","")),_xlpm.gkva,IF(_xlpm.gtag="",0,IFERROR(N(_xlfn.XLOOKUP(_xlpm.gtag,Generator!$B$53:$B$58,Generator!$S$53:$S$58,0)),0)),_xlpm.gxd,IF(_xlpm.gtag="",0,IFERROR(N(_xlfn.XLOOKUP(_xlpm.gtag,Generator!$B$53:$B$58,Generator!$U$53:$U$58,0)),0)),_xlpm.gamp,IF(OR(_xlpm.gkva=0,_xlpm.gxd=0,N($D187)=0),0,ROUND(_xlpm.gkva*1000/(IF(N($CB187)=1,1,SQRT(3))*$D187*_xlpm.gxd),0)),IF(OR(_xlpm.gamp=0,NOT(ISNUMBER(_xlpm.base))),_xlpm.base,MAX(_xlpm.base,_xlpm.gamp))),_xlpm.ulim,IF(OR($A187="",$B187&lt;&gt;"UPS"),"",IFERROR(IF(_xlfn.XLOOKUP($A187,UPS!$B$57:$B$64,UPS!$E$57:$E$64,"")="None",_xlfn.XLOOKUP($A187,UPS!$B$57:$B$64,UPS!$U$57:$U$64,""),""),"")),IF(AND(ISNUMBER(_xlpm.v),ISNUMBER(_xlpm.ulim)),MIN(_xlpm.v,_xlpm.ulim),_xlpm.v))</f>
        <v/>
      </c>
      <c r="K187" s="176"/>
      <c r="L187" s="177" t="str">
        <f t="shared" si="38"/>
        <v/>
      </c>
      <c r="M187" s="177" t="str">
        <f t="shared" si="39"/>
        <v/>
      </c>
      <c r="N187" s="380" t="str">
        <f>IF($A187="","",IF($C187=0,_xlfn.LET(_xlpm.x,IFERROR(_xlfn.XLOOKUP($A187,Util_Tags,Util_XR),""),IF(N(_xlpm.x)=0,Xfmr_DefXR,_xlpm.x)),IF(LEFT($A187,2)="T-",IFERROR(_xlfn.XLOOKUP($A187,Transformers!$A$6:$A$105,Transformers!$AH$6:$AH$105),Xfmr_DefXR),IFERROR(_xlfn.XLOOKUP($E187,$A$6:$A$255,$N$6:$N$255),Xfmr_DefXR))))</f>
        <v/>
      </c>
      <c r="O187" s="177" t="str">
        <f t="shared" si="40"/>
        <v/>
      </c>
      <c r="P187" s="210" t="str">
        <f>IF($A187="","",IF(LEFT($A187,2)="T-",IF($CO187="","",_xlfn.LET(_xlpm.k,IFERROR(_xlfn.XLOOKUP($A187,Transformers!$A$6:$A$105,Transformers!$G$6:$G$105),""),_xlpm.sv,IFERROR(_xlfn.XLOOKUP($A187,Transformers!$A$6:$A$105,Transformers!$E$6:$E$105),""),IF(OR(NOT(ISNUMBER(_xlpm.k)),NOT(ISNUMBER(_xlpm.sv)),_xlpm.sv=0),"",_xlfn.LET(_xlpm.iInf,(_xlpm.k*1000/(_xlpm.sv/2))*100/$CO187,_xlpm.pri,IF(OR($CK187="",$CK187=0),"",$CK187/2),_xlpm.base,IF(_xlpm.pri="",_xlpm.iInf,_xlpm.iInf/(1+_xlpm.iInf/_xlpm.pri)),_xlpm.base+IF($L187="",0,$L187))))),IF($CP187="","",_xlfn.LET(_xlpm.pI,IFERROR(_xlfn.XLOOKUP($E187,$A$6:$A$255,$P$6:$P$255),""),IF(NOT(ISNUMBER(_xlpm.pI)),"",_xlpm.pI/(1+$CP187)+IF($L187="",0,$L187))))))</f>
        <v/>
      </c>
      <c r="Q187" s="210" t="str">
        <f t="shared" si="41"/>
        <v/>
      </c>
      <c r="R187" s="177" t="str">
        <f>IF($A187="","",IF(OR($C187=0,LEFT($A187,2)="T-"),"",IFERROR(_xlfn.LET(_xlpm.v,_xlfn.XLOOKUP($A187,Dashboard!$A$101:$A$350,Dashboard!$K$101:$K$350),IF(ISNUMBER(_xlpm.v),_xlpm.v,"")),"")))</f>
        <v/>
      </c>
      <c r="S187" s="211" t="str">
        <f t="shared" si="42"/>
        <v/>
      </c>
      <c r="T187" s="25" t="str">
        <f t="shared" si="43"/>
        <v/>
      </c>
      <c r="U187" s="364"/>
      <c r="BV187" s="20" t="str">
        <f>IF($A187="","",IFERROR(_xlfn.XLOOKUP("F-"&amp;$A187,'Feeder Schedule'!$B$5:$B$254,'Feeder Schedule'!$H$5:$H$254),""))</f>
        <v/>
      </c>
      <c r="BW187" s="20" t="str">
        <f>IF($A187="","",IFERROR(_xlfn.XLOOKUP("F-"&amp;$A187,'Feeder Schedule'!$B$5:$B$254,'Feeder Schedule'!$BV$5:$BV$254),""))</f>
        <v/>
      </c>
      <c r="BX187" s="20" t="str">
        <f>IF($A187="","",IFERROR(_xlfn.LET(_xlpm.v,_xlfn.XLOOKUP("F-"&amp;$A187,'Feeder Schedule'!$B$5:$B$254,'Feeder Schedule'!$M$5:$M$254),IF(OR(_xlpm.v="",_xlpm.v=0),Cfg_Conduit,_xlpm.v)),""))</f>
        <v/>
      </c>
      <c r="BY187" s="20" t="str">
        <f>IF($A187="","",IFERROR(_xlfn.XLOOKUP("F-"&amp;$A187,'Feeder Schedule'!$B$5:$B$254,'Feeder Schedule'!$O$5:$O$254),""))</f>
        <v/>
      </c>
      <c r="BZ187" s="20" t="str">
        <f>IF($A187="","",IFERROR(_xlfn.XLOOKUP("F-"&amp;$A187,'Feeder Schedule'!$B$5:$B$254,'Feeder Schedule'!$CH$5:$CH$254),""))</f>
        <v/>
      </c>
      <c r="CA187" s="20" t="str">
        <f>IF($A187="","",IFERROR(_xlfn.XLOOKUP("F-"&amp;$A187,'Feeder Schedule'!$B$5:$B$254,'Feeder Schedule'!$F$5:$F$254),""))</f>
        <v/>
      </c>
      <c r="CB187" s="20" t="str">
        <f>IF($A187="","",IFERROR(_xlfn.XLOOKUP("F-"&amp;$A187,'Feeder Schedule'!$B$5:$B$254,'Feeder Schedule'!$G$5:$G$254),""))</f>
        <v/>
      </c>
      <c r="CD187" s="20" t="str" cm="1">
        <f t="array" ref="CD187">IFERROR(IF($A187="","",INDEX(_xlfn.ANCHORARRAY($BK$4),ROW()-5,6)),"")</f>
        <v/>
      </c>
      <c r="CE187" s="20" t="str">
        <f t="shared" si="46"/>
        <v/>
      </c>
      <c r="CF187" s="20" t="str">
        <f t="shared" si="47"/>
        <v/>
      </c>
      <c r="CG187" s="20" t="str">
        <f t="shared" si="44"/>
        <v/>
      </c>
      <c r="CH187" s="20" t="str" cm="1">
        <f t="array" ref="CH187">IF(OR($A187="",$BZ187="",$BW187="",$BX187=""),"",_xlfn.LET(_xlpm.mag,IFERROR(_xlfn.XLOOKUP($BX187,Race_Raceway,Race_Mag),""),IF(_xlpm.mag="","",IFERROR(INDEX(Cond_Table,MATCH($BZ187,Cond_Size,0),IF(UPPER($BW187)="AL",IF(_xlpm.mag="Y",10,12),IF(_xlpm.mag="Y",9,11))),""))))</f>
        <v/>
      </c>
      <c r="CI187" s="20" t="str">
        <f t="shared" si="45"/>
        <v/>
      </c>
      <c r="CJ187" s="20" t="str">
        <f>IF(OR($A187="",LEFT($A187,2)&lt;&gt;"T-"),"",IFERROR(_xlfn.LET(_xlpm.fla,_xlfn.XLOOKUP($A187,Transformers!$A$6:$A$105,Transformers!$AK$6:$AK$105),_xlpm.z,_xlfn.XLOOKUP($A187,Transformers!$A$6:$A$105,Transformers!$AX$6:$AX$105),IF(OR(_xlpm.fla="",_xlpm.z="",_xlpm.z=0),"",_xlpm.fla*100/_xlpm.z)),""))</f>
        <v/>
      </c>
      <c r="CK187" s="20" t="str">
        <f t="shared" si="48"/>
        <v/>
      </c>
      <c r="CL187" s="20" t="str">
        <f t="shared" si="49"/>
        <v/>
      </c>
      <c r="CM187" s="373"/>
      <c r="CO187" s="20" t="str">
        <f>IF(OR($A187="",LEFT($A187,2)&lt;&gt;"T-"),"",_xlfn.LET(_xlpm.ph,IFERROR(_xlfn.XLOOKUP($A187,Transformers!$A$6:$A$105,Transformers!$C$6:$C$105),""),_xlpm.rr,IFERROR(_xlfn.XLOOKUP($A187,Transformers!$A$6:$A$105,Transformers!$AG$6:$AG$105),""),_xlpm.xx,IFERROR(_xlfn.XLOOKUP($A187,Transformers!$A$6:$A$105,Transformers!$AI$6:$AI$105),""),IF(OR(_xlpm.ph&lt;&gt;1,NOT(ISNUMBER(_xlpm.rr)),NOT(ISNUMBER(_xlpm.xx))),"",SQRT((1.5*_xlpm.rr)^2+(1.2*_xlpm.xx)^2))))</f>
        <v/>
      </c>
      <c r="CP187" s="20" t="str">
        <f t="shared" si="50"/>
        <v/>
      </c>
    </row>
    <row r="188" spans="1:94" ht="15" customHeight="1" x14ac:dyDescent="0.45">
      <c r="A188" s="275" t="str" cm="1">
        <f t="array" ref="A188">IFERROR(IF(INDEX(_xlfn.ANCHORARRAY($BK$4),ROW()-5,1)="","",INDEX(_xlfn.ANCHORARRAY($BK$4),ROW()-5,1)),"")</f>
        <v/>
      </c>
      <c r="B188" s="25" t="str" cm="1">
        <f t="array" ref="B188">IFERROR(IF($A188="","",INDEX(_xlfn.ANCHORARRAY($BK$4),ROW()-5,5)),"")</f>
        <v/>
      </c>
      <c r="C188" s="178" t="str" cm="1">
        <f t="array" ref="C188">IFERROR(IF($A188="","",INDEX(_xlfn.ANCHORARRAY($BK$4),ROW()-5,7)),"")</f>
        <v/>
      </c>
      <c r="D188" s="177" t="str" cm="1">
        <f t="array" ref="D188">IFERROR(IF($A188="","",INDEX(_xlfn.ANCHORARRAY($BK$4),ROW()-5,3)),"")</f>
        <v/>
      </c>
      <c r="E188" s="25" t="str" cm="1">
        <f t="array" ref="E188">IFERROR(IF($A188="","",INDEX(_xlfn.ANCHORARRAY($BK$4),ROW()-5,2)),"")</f>
        <v/>
      </c>
      <c r="F188" s="177" t="str">
        <f t="shared" si="34"/>
        <v/>
      </c>
      <c r="G188" s="275" t="str">
        <f t="shared" si="35"/>
        <v/>
      </c>
      <c r="H188" s="180" t="str">
        <f t="shared" si="36"/>
        <v/>
      </c>
      <c r="I188" s="180" t="str">
        <f t="shared" si="37"/>
        <v/>
      </c>
      <c r="J188" s="177" t="str">
        <f>_xlfn.LET(_xlpm.v,_xlfn.LET(_xlpm.base,IF($A188="","",IF($C188=0,IFERROR(_xlfn.XLOOKUP($A188,Util_Tags,Util_SCAEff),""),IF(LEFT($A188,2)="T-",IF($CJ188="","",$CJ188/(1+IF($CL188="",0,$CL188))),IF(OR($F188="",$I188=""),"",$F188*$I188)))),_xlpm.gtag,IF(OR($A188="",NOT(OR($B188="ATS",$B188="MTS"))),"",IFERROR(_xlfn.XLOOKUP($A188,Dashboard!$A$101:$A$350,Dashboard!$L$101:$L$350,"")&amp;"","")),_xlpm.gkva,IF(_xlpm.gtag="",0,IFERROR(N(_xlfn.XLOOKUP(_xlpm.gtag,Generator!$B$53:$B$58,Generator!$S$53:$S$58,0)),0)),_xlpm.gxd,IF(_xlpm.gtag="",0,IFERROR(N(_xlfn.XLOOKUP(_xlpm.gtag,Generator!$B$53:$B$58,Generator!$U$53:$U$58,0)),0)),_xlpm.gamp,IF(OR(_xlpm.gkva=0,_xlpm.gxd=0,N($D188)=0),0,ROUND(_xlpm.gkva*1000/(IF(N($CB188)=1,1,SQRT(3))*$D188*_xlpm.gxd),0)),IF(OR(_xlpm.gamp=0,NOT(ISNUMBER(_xlpm.base))),_xlpm.base,MAX(_xlpm.base,_xlpm.gamp))),_xlpm.ulim,IF(OR($A188="",$B188&lt;&gt;"UPS"),"",IFERROR(IF(_xlfn.XLOOKUP($A188,UPS!$B$57:$B$64,UPS!$E$57:$E$64,"")="None",_xlfn.XLOOKUP($A188,UPS!$B$57:$B$64,UPS!$U$57:$U$64,""),""),"")),IF(AND(ISNUMBER(_xlpm.v),ISNUMBER(_xlpm.ulim)),MIN(_xlpm.v,_xlpm.ulim),_xlpm.v))</f>
        <v/>
      </c>
      <c r="K188" s="176"/>
      <c r="L188" s="177" t="str">
        <f t="shared" si="38"/>
        <v/>
      </c>
      <c r="M188" s="177" t="str">
        <f t="shared" si="39"/>
        <v/>
      </c>
      <c r="N188" s="380" t="str">
        <f>IF($A188="","",IF($C188=0,_xlfn.LET(_xlpm.x,IFERROR(_xlfn.XLOOKUP($A188,Util_Tags,Util_XR),""),IF(N(_xlpm.x)=0,Xfmr_DefXR,_xlpm.x)),IF(LEFT($A188,2)="T-",IFERROR(_xlfn.XLOOKUP($A188,Transformers!$A$6:$A$105,Transformers!$AH$6:$AH$105),Xfmr_DefXR),IFERROR(_xlfn.XLOOKUP($E188,$A$6:$A$255,$N$6:$N$255),Xfmr_DefXR))))</f>
        <v/>
      </c>
      <c r="O188" s="177" t="str">
        <f t="shared" si="40"/>
        <v/>
      </c>
      <c r="P188" s="210" t="str">
        <f>IF($A188="","",IF(LEFT($A188,2)="T-",IF($CO188="","",_xlfn.LET(_xlpm.k,IFERROR(_xlfn.XLOOKUP($A188,Transformers!$A$6:$A$105,Transformers!$G$6:$G$105),""),_xlpm.sv,IFERROR(_xlfn.XLOOKUP($A188,Transformers!$A$6:$A$105,Transformers!$E$6:$E$105),""),IF(OR(NOT(ISNUMBER(_xlpm.k)),NOT(ISNUMBER(_xlpm.sv)),_xlpm.sv=0),"",_xlfn.LET(_xlpm.iInf,(_xlpm.k*1000/(_xlpm.sv/2))*100/$CO188,_xlpm.pri,IF(OR($CK188="",$CK188=0),"",$CK188/2),_xlpm.base,IF(_xlpm.pri="",_xlpm.iInf,_xlpm.iInf/(1+_xlpm.iInf/_xlpm.pri)),_xlpm.base+IF($L188="",0,$L188))))),IF($CP188="","",_xlfn.LET(_xlpm.pI,IFERROR(_xlfn.XLOOKUP($E188,$A$6:$A$255,$P$6:$P$255),""),IF(NOT(ISNUMBER(_xlpm.pI)),"",_xlpm.pI/(1+$CP188)+IF($L188="",0,$L188))))))</f>
        <v/>
      </c>
      <c r="Q188" s="210" t="str">
        <f t="shared" si="41"/>
        <v/>
      </c>
      <c r="R188" s="177" t="str">
        <f>IF($A188="","",IF(OR($C188=0,LEFT($A188,2)="T-"),"",IFERROR(_xlfn.LET(_xlpm.v,_xlfn.XLOOKUP($A188,Dashboard!$A$101:$A$350,Dashboard!$K$101:$K$350),IF(ISNUMBER(_xlpm.v),_xlpm.v,"")),"")))</f>
        <v/>
      </c>
      <c r="S188" s="211" t="str">
        <f t="shared" si="42"/>
        <v/>
      </c>
      <c r="T188" s="25" t="str">
        <f t="shared" si="43"/>
        <v/>
      </c>
      <c r="U188" s="364"/>
      <c r="BV188" s="20" t="str">
        <f>IF($A188="","",IFERROR(_xlfn.XLOOKUP("F-"&amp;$A188,'Feeder Schedule'!$B$5:$B$254,'Feeder Schedule'!$H$5:$H$254),""))</f>
        <v/>
      </c>
      <c r="BW188" s="20" t="str">
        <f>IF($A188="","",IFERROR(_xlfn.XLOOKUP("F-"&amp;$A188,'Feeder Schedule'!$B$5:$B$254,'Feeder Schedule'!$BV$5:$BV$254),""))</f>
        <v/>
      </c>
      <c r="BX188" s="20" t="str">
        <f>IF($A188="","",IFERROR(_xlfn.LET(_xlpm.v,_xlfn.XLOOKUP("F-"&amp;$A188,'Feeder Schedule'!$B$5:$B$254,'Feeder Schedule'!$M$5:$M$254),IF(OR(_xlpm.v="",_xlpm.v=0),Cfg_Conduit,_xlpm.v)),""))</f>
        <v/>
      </c>
      <c r="BY188" s="20" t="str">
        <f>IF($A188="","",IFERROR(_xlfn.XLOOKUP("F-"&amp;$A188,'Feeder Schedule'!$B$5:$B$254,'Feeder Schedule'!$O$5:$O$254),""))</f>
        <v/>
      </c>
      <c r="BZ188" s="20" t="str">
        <f>IF($A188="","",IFERROR(_xlfn.XLOOKUP("F-"&amp;$A188,'Feeder Schedule'!$B$5:$B$254,'Feeder Schedule'!$CH$5:$CH$254),""))</f>
        <v/>
      </c>
      <c r="CA188" s="20" t="str">
        <f>IF($A188="","",IFERROR(_xlfn.XLOOKUP("F-"&amp;$A188,'Feeder Schedule'!$B$5:$B$254,'Feeder Schedule'!$F$5:$F$254),""))</f>
        <v/>
      </c>
      <c r="CB188" s="20" t="str">
        <f>IF($A188="","",IFERROR(_xlfn.XLOOKUP("F-"&amp;$A188,'Feeder Schedule'!$B$5:$B$254,'Feeder Schedule'!$G$5:$G$254),""))</f>
        <v/>
      </c>
      <c r="CD188" s="20" t="str" cm="1">
        <f t="array" ref="CD188">IFERROR(IF($A188="","",INDEX(_xlfn.ANCHORARRAY($BK$4),ROW()-5,6)),"")</f>
        <v/>
      </c>
      <c r="CE188" s="20" t="str">
        <f t="shared" si="46"/>
        <v/>
      </c>
      <c r="CF188" s="20" t="str">
        <f t="shared" si="47"/>
        <v/>
      </c>
      <c r="CG188" s="20" t="str">
        <f t="shared" si="44"/>
        <v/>
      </c>
      <c r="CH188" s="20" t="str" cm="1">
        <f t="array" ref="CH188">IF(OR($A188="",$BZ188="",$BW188="",$BX188=""),"",_xlfn.LET(_xlpm.mag,IFERROR(_xlfn.XLOOKUP($BX188,Race_Raceway,Race_Mag),""),IF(_xlpm.mag="","",IFERROR(INDEX(Cond_Table,MATCH($BZ188,Cond_Size,0),IF(UPPER($BW188)="AL",IF(_xlpm.mag="Y",10,12),IF(_xlpm.mag="Y",9,11))),""))))</f>
        <v/>
      </c>
      <c r="CI188" s="20" t="str">
        <f t="shared" si="45"/>
        <v/>
      </c>
      <c r="CJ188" s="20" t="str">
        <f>IF(OR($A188="",LEFT($A188,2)&lt;&gt;"T-"),"",IFERROR(_xlfn.LET(_xlpm.fla,_xlfn.XLOOKUP($A188,Transformers!$A$6:$A$105,Transformers!$AK$6:$AK$105),_xlpm.z,_xlfn.XLOOKUP($A188,Transformers!$A$6:$A$105,Transformers!$AX$6:$AX$105),IF(OR(_xlpm.fla="",_xlpm.z="",_xlpm.z=0),"",_xlpm.fla*100/_xlpm.z)),""))</f>
        <v/>
      </c>
      <c r="CK188" s="20" t="str">
        <f t="shared" si="48"/>
        <v/>
      </c>
      <c r="CL188" s="20" t="str">
        <f t="shared" si="49"/>
        <v/>
      </c>
      <c r="CM188" s="373"/>
      <c r="CO188" s="20" t="str">
        <f>IF(OR($A188="",LEFT($A188,2)&lt;&gt;"T-"),"",_xlfn.LET(_xlpm.ph,IFERROR(_xlfn.XLOOKUP($A188,Transformers!$A$6:$A$105,Transformers!$C$6:$C$105),""),_xlpm.rr,IFERROR(_xlfn.XLOOKUP($A188,Transformers!$A$6:$A$105,Transformers!$AG$6:$AG$105),""),_xlpm.xx,IFERROR(_xlfn.XLOOKUP($A188,Transformers!$A$6:$A$105,Transformers!$AI$6:$AI$105),""),IF(OR(_xlpm.ph&lt;&gt;1,NOT(ISNUMBER(_xlpm.rr)),NOT(ISNUMBER(_xlpm.xx))),"",SQRT((1.5*_xlpm.rr)^2+(1.2*_xlpm.xx)^2))))</f>
        <v/>
      </c>
      <c r="CP188" s="20" t="str">
        <f t="shared" si="50"/>
        <v/>
      </c>
    </row>
    <row r="189" spans="1:94" ht="15" customHeight="1" x14ac:dyDescent="0.45">
      <c r="A189" s="275" t="str" cm="1">
        <f t="array" ref="A189">IFERROR(IF(INDEX(_xlfn.ANCHORARRAY($BK$4),ROW()-5,1)="","",INDEX(_xlfn.ANCHORARRAY($BK$4),ROW()-5,1)),"")</f>
        <v/>
      </c>
      <c r="B189" s="25" t="str" cm="1">
        <f t="array" ref="B189">IFERROR(IF($A189="","",INDEX(_xlfn.ANCHORARRAY($BK$4),ROW()-5,5)),"")</f>
        <v/>
      </c>
      <c r="C189" s="178" t="str" cm="1">
        <f t="array" ref="C189">IFERROR(IF($A189="","",INDEX(_xlfn.ANCHORARRAY($BK$4),ROW()-5,7)),"")</f>
        <v/>
      </c>
      <c r="D189" s="177" t="str" cm="1">
        <f t="array" ref="D189">IFERROR(IF($A189="","",INDEX(_xlfn.ANCHORARRAY($BK$4),ROW()-5,3)),"")</f>
        <v/>
      </c>
      <c r="E189" s="25" t="str" cm="1">
        <f t="array" ref="E189">IFERROR(IF($A189="","",INDEX(_xlfn.ANCHORARRAY($BK$4),ROW()-5,2)),"")</f>
        <v/>
      </c>
      <c r="F189" s="177" t="str">
        <f t="shared" si="34"/>
        <v/>
      </c>
      <c r="G189" s="275" t="str">
        <f t="shared" si="35"/>
        <v/>
      </c>
      <c r="H189" s="180" t="str">
        <f t="shared" si="36"/>
        <v/>
      </c>
      <c r="I189" s="180" t="str">
        <f t="shared" si="37"/>
        <v/>
      </c>
      <c r="J189" s="177" t="str">
        <f>_xlfn.LET(_xlpm.v,_xlfn.LET(_xlpm.base,IF($A189="","",IF($C189=0,IFERROR(_xlfn.XLOOKUP($A189,Util_Tags,Util_SCAEff),""),IF(LEFT($A189,2)="T-",IF($CJ189="","",$CJ189/(1+IF($CL189="",0,$CL189))),IF(OR($F189="",$I189=""),"",$F189*$I189)))),_xlpm.gtag,IF(OR($A189="",NOT(OR($B189="ATS",$B189="MTS"))),"",IFERROR(_xlfn.XLOOKUP($A189,Dashboard!$A$101:$A$350,Dashboard!$L$101:$L$350,"")&amp;"","")),_xlpm.gkva,IF(_xlpm.gtag="",0,IFERROR(N(_xlfn.XLOOKUP(_xlpm.gtag,Generator!$B$53:$B$58,Generator!$S$53:$S$58,0)),0)),_xlpm.gxd,IF(_xlpm.gtag="",0,IFERROR(N(_xlfn.XLOOKUP(_xlpm.gtag,Generator!$B$53:$B$58,Generator!$U$53:$U$58,0)),0)),_xlpm.gamp,IF(OR(_xlpm.gkva=0,_xlpm.gxd=0,N($D189)=0),0,ROUND(_xlpm.gkva*1000/(IF(N($CB189)=1,1,SQRT(3))*$D189*_xlpm.gxd),0)),IF(OR(_xlpm.gamp=0,NOT(ISNUMBER(_xlpm.base))),_xlpm.base,MAX(_xlpm.base,_xlpm.gamp))),_xlpm.ulim,IF(OR($A189="",$B189&lt;&gt;"UPS"),"",IFERROR(IF(_xlfn.XLOOKUP($A189,UPS!$B$57:$B$64,UPS!$E$57:$E$64,"")="None",_xlfn.XLOOKUP($A189,UPS!$B$57:$B$64,UPS!$U$57:$U$64,""),""),"")),IF(AND(ISNUMBER(_xlpm.v),ISNUMBER(_xlpm.ulim)),MIN(_xlpm.v,_xlpm.ulim),_xlpm.v))</f>
        <v/>
      </c>
      <c r="K189" s="176"/>
      <c r="L189" s="177" t="str">
        <f t="shared" si="38"/>
        <v/>
      </c>
      <c r="M189" s="177" t="str">
        <f t="shared" si="39"/>
        <v/>
      </c>
      <c r="N189" s="380" t="str">
        <f>IF($A189="","",IF($C189=0,_xlfn.LET(_xlpm.x,IFERROR(_xlfn.XLOOKUP($A189,Util_Tags,Util_XR),""),IF(N(_xlpm.x)=0,Xfmr_DefXR,_xlpm.x)),IF(LEFT($A189,2)="T-",IFERROR(_xlfn.XLOOKUP($A189,Transformers!$A$6:$A$105,Transformers!$AH$6:$AH$105),Xfmr_DefXR),IFERROR(_xlfn.XLOOKUP($E189,$A$6:$A$255,$N$6:$N$255),Xfmr_DefXR))))</f>
        <v/>
      </c>
      <c r="O189" s="177" t="str">
        <f t="shared" si="40"/>
        <v/>
      </c>
      <c r="P189" s="210" t="str">
        <f>IF($A189="","",IF(LEFT($A189,2)="T-",IF($CO189="","",_xlfn.LET(_xlpm.k,IFERROR(_xlfn.XLOOKUP($A189,Transformers!$A$6:$A$105,Transformers!$G$6:$G$105),""),_xlpm.sv,IFERROR(_xlfn.XLOOKUP($A189,Transformers!$A$6:$A$105,Transformers!$E$6:$E$105),""),IF(OR(NOT(ISNUMBER(_xlpm.k)),NOT(ISNUMBER(_xlpm.sv)),_xlpm.sv=0),"",_xlfn.LET(_xlpm.iInf,(_xlpm.k*1000/(_xlpm.sv/2))*100/$CO189,_xlpm.pri,IF(OR($CK189="",$CK189=0),"",$CK189/2),_xlpm.base,IF(_xlpm.pri="",_xlpm.iInf,_xlpm.iInf/(1+_xlpm.iInf/_xlpm.pri)),_xlpm.base+IF($L189="",0,$L189))))),IF($CP189="","",_xlfn.LET(_xlpm.pI,IFERROR(_xlfn.XLOOKUP($E189,$A$6:$A$255,$P$6:$P$255),""),IF(NOT(ISNUMBER(_xlpm.pI)),"",_xlpm.pI/(1+$CP189)+IF($L189="",0,$L189))))))</f>
        <v/>
      </c>
      <c r="Q189" s="210" t="str">
        <f t="shared" si="41"/>
        <v/>
      </c>
      <c r="R189" s="177" t="str">
        <f>IF($A189="","",IF(OR($C189=0,LEFT($A189,2)="T-"),"",IFERROR(_xlfn.LET(_xlpm.v,_xlfn.XLOOKUP($A189,Dashboard!$A$101:$A$350,Dashboard!$K$101:$K$350),IF(ISNUMBER(_xlpm.v),_xlpm.v,"")),"")))</f>
        <v/>
      </c>
      <c r="S189" s="211" t="str">
        <f t="shared" si="42"/>
        <v/>
      </c>
      <c r="T189" s="25" t="str">
        <f t="shared" si="43"/>
        <v/>
      </c>
      <c r="U189" s="364"/>
      <c r="BV189" s="20" t="str">
        <f>IF($A189="","",IFERROR(_xlfn.XLOOKUP("F-"&amp;$A189,'Feeder Schedule'!$B$5:$B$254,'Feeder Schedule'!$H$5:$H$254),""))</f>
        <v/>
      </c>
      <c r="BW189" s="20" t="str">
        <f>IF($A189="","",IFERROR(_xlfn.XLOOKUP("F-"&amp;$A189,'Feeder Schedule'!$B$5:$B$254,'Feeder Schedule'!$BV$5:$BV$254),""))</f>
        <v/>
      </c>
      <c r="BX189" s="20" t="str">
        <f>IF($A189="","",IFERROR(_xlfn.LET(_xlpm.v,_xlfn.XLOOKUP("F-"&amp;$A189,'Feeder Schedule'!$B$5:$B$254,'Feeder Schedule'!$M$5:$M$254),IF(OR(_xlpm.v="",_xlpm.v=0),Cfg_Conduit,_xlpm.v)),""))</f>
        <v/>
      </c>
      <c r="BY189" s="20" t="str">
        <f>IF($A189="","",IFERROR(_xlfn.XLOOKUP("F-"&amp;$A189,'Feeder Schedule'!$B$5:$B$254,'Feeder Schedule'!$O$5:$O$254),""))</f>
        <v/>
      </c>
      <c r="BZ189" s="20" t="str">
        <f>IF($A189="","",IFERROR(_xlfn.XLOOKUP("F-"&amp;$A189,'Feeder Schedule'!$B$5:$B$254,'Feeder Schedule'!$CH$5:$CH$254),""))</f>
        <v/>
      </c>
      <c r="CA189" s="20" t="str">
        <f>IF($A189="","",IFERROR(_xlfn.XLOOKUP("F-"&amp;$A189,'Feeder Schedule'!$B$5:$B$254,'Feeder Schedule'!$F$5:$F$254),""))</f>
        <v/>
      </c>
      <c r="CB189" s="20" t="str">
        <f>IF($A189="","",IFERROR(_xlfn.XLOOKUP("F-"&amp;$A189,'Feeder Schedule'!$B$5:$B$254,'Feeder Schedule'!$G$5:$G$254),""))</f>
        <v/>
      </c>
      <c r="CD189" s="20" t="str" cm="1">
        <f t="array" ref="CD189">IFERROR(IF($A189="","",INDEX(_xlfn.ANCHORARRAY($BK$4),ROW()-5,6)),"")</f>
        <v/>
      </c>
      <c r="CE189" s="20" t="str">
        <f t="shared" si="46"/>
        <v/>
      </c>
      <c r="CF189" s="20" t="str">
        <f t="shared" si="47"/>
        <v/>
      </c>
      <c r="CG189" s="20" t="str">
        <f t="shared" si="44"/>
        <v/>
      </c>
      <c r="CH189" s="20" t="str" cm="1">
        <f t="array" ref="CH189">IF(OR($A189="",$BZ189="",$BW189="",$BX189=""),"",_xlfn.LET(_xlpm.mag,IFERROR(_xlfn.XLOOKUP($BX189,Race_Raceway,Race_Mag),""),IF(_xlpm.mag="","",IFERROR(INDEX(Cond_Table,MATCH($BZ189,Cond_Size,0),IF(UPPER($BW189)="AL",IF(_xlpm.mag="Y",10,12),IF(_xlpm.mag="Y",9,11))),""))))</f>
        <v/>
      </c>
      <c r="CI189" s="20" t="str">
        <f t="shared" si="45"/>
        <v/>
      </c>
      <c r="CJ189" s="20" t="str">
        <f>IF(OR($A189="",LEFT($A189,2)&lt;&gt;"T-"),"",IFERROR(_xlfn.LET(_xlpm.fla,_xlfn.XLOOKUP($A189,Transformers!$A$6:$A$105,Transformers!$AK$6:$AK$105),_xlpm.z,_xlfn.XLOOKUP($A189,Transformers!$A$6:$A$105,Transformers!$AX$6:$AX$105),IF(OR(_xlpm.fla="",_xlpm.z="",_xlpm.z=0),"",_xlpm.fla*100/_xlpm.z)),""))</f>
        <v/>
      </c>
      <c r="CK189" s="20" t="str">
        <f t="shared" si="48"/>
        <v/>
      </c>
      <c r="CL189" s="20" t="str">
        <f t="shared" si="49"/>
        <v/>
      </c>
      <c r="CM189" s="373"/>
      <c r="CO189" s="20" t="str">
        <f>IF(OR($A189="",LEFT($A189,2)&lt;&gt;"T-"),"",_xlfn.LET(_xlpm.ph,IFERROR(_xlfn.XLOOKUP($A189,Transformers!$A$6:$A$105,Transformers!$C$6:$C$105),""),_xlpm.rr,IFERROR(_xlfn.XLOOKUP($A189,Transformers!$A$6:$A$105,Transformers!$AG$6:$AG$105),""),_xlpm.xx,IFERROR(_xlfn.XLOOKUP($A189,Transformers!$A$6:$A$105,Transformers!$AI$6:$AI$105),""),IF(OR(_xlpm.ph&lt;&gt;1,NOT(ISNUMBER(_xlpm.rr)),NOT(ISNUMBER(_xlpm.xx))),"",SQRT((1.5*_xlpm.rr)^2+(1.2*_xlpm.xx)^2))))</f>
        <v/>
      </c>
      <c r="CP189" s="20" t="str">
        <f t="shared" si="50"/>
        <v/>
      </c>
    </row>
    <row r="190" spans="1:94" ht="15" customHeight="1" x14ac:dyDescent="0.45">
      <c r="A190" s="275" t="str" cm="1">
        <f t="array" ref="A190">IFERROR(IF(INDEX(_xlfn.ANCHORARRAY($BK$4),ROW()-5,1)="","",INDEX(_xlfn.ANCHORARRAY($BK$4),ROW()-5,1)),"")</f>
        <v/>
      </c>
      <c r="B190" s="25" t="str" cm="1">
        <f t="array" ref="B190">IFERROR(IF($A190="","",INDEX(_xlfn.ANCHORARRAY($BK$4),ROW()-5,5)),"")</f>
        <v/>
      </c>
      <c r="C190" s="178" t="str" cm="1">
        <f t="array" ref="C190">IFERROR(IF($A190="","",INDEX(_xlfn.ANCHORARRAY($BK$4),ROW()-5,7)),"")</f>
        <v/>
      </c>
      <c r="D190" s="177" t="str" cm="1">
        <f t="array" ref="D190">IFERROR(IF($A190="","",INDEX(_xlfn.ANCHORARRAY($BK$4),ROW()-5,3)),"")</f>
        <v/>
      </c>
      <c r="E190" s="25" t="str" cm="1">
        <f t="array" ref="E190">IFERROR(IF($A190="","",INDEX(_xlfn.ANCHORARRAY($BK$4),ROW()-5,2)),"")</f>
        <v/>
      </c>
      <c r="F190" s="177" t="str">
        <f t="shared" si="34"/>
        <v/>
      </c>
      <c r="G190" s="275" t="str">
        <f t="shared" si="35"/>
        <v/>
      </c>
      <c r="H190" s="180" t="str">
        <f t="shared" si="36"/>
        <v/>
      </c>
      <c r="I190" s="180" t="str">
        <f t="shared" si="37"/>
        <v/>
      </c>
      <c r="J190" s="177" t="str">
        <f>_xlfn.LET(_xlpm.v,_xlfn.LET(_xlpm.base,IF($A190="","",IF($C190=0,IFERROR(_xlfn.XLOOKUP($A190,Util_Tags,Util_SCAEff),""),IF(LEFT($A190,2)="T-",IF($CJ190="","",$CJ190/(1+IF($CL190="",0,$CL190))),IF(OR($F190="",$I190=""),"",$F190*$I190)))),_xlpm.gtag,IF(OR($A190="",NOT(OR($B190="ATS",$B190="MTS"))),"",IFERROR(_xlfn.XLOOKUP($A190,Dashboard!$A$101:$A$350,Dashboard!$L$101:$L$350,"")&amp;"","")),_xlpm.gkva,IF(_xlpm.gtag="",0,IFERROR(N(_xlfn.XLOOKUP(_xlpm.gtag,Generator!$B$53:$B$58,Generator!$S$53:$S$58,0)),0)),_xlpm.gxd,IF(_xlpm.gtag="",0,IFERROR(N(_xlfn.XLOOKUP(_xlpm.gtag,Generator!$B$53:$B$58,Generator!$U$53:$U$58,0)),0)),_xlpm.gamp,IF(OR(_xlpm.gkva=0,_xlpm.gxd=0,N($D190)=0),0,ROUND(_xlpm.gkva*1000/(IF(N($CB190)=1,1,SQRT(3))*$D190*_xlpm.gxd),0)),IF(OR(_xlpm.gamp=0,NOT(ISNUMBER(_xlpm.base))),_xlpm.base,MAX(_xlpm.base,_xlpm.gamp))),_xlpm.ulim,IF(OR($A190="",$B190&lt;&gt;"UPS"),"",IFERROR(IF(_xlfn.XLOOKUP($A190,UPS!$B$57:$B$64,UPS!$E$57:$E$64,"")="None",_xlfn.XLOOKUP($A190,UPS!$B$57:$B$64,UPS!$U$57:$U$64,""),""),"")),IF(AND(ISNUMBER(_xlpm.v),ISNUMBER(_xlpm.ulim)),MIN(_xlpm.v,_xlpm.ulim),_xlpm.v))</f>
        <v/>
      </c>
      <c r="K190" s="176"/>
      <c r="L190" s="177" t="str">
        <f t="shared" si="38"/>
        <v/>
      </c>
      <c r="M190" s="177" t="str">
        <f t="shared" si="39"/>
        <v/>
      </c>
      <c r="N190" s="380" t="str">
        <f>IF($A190="","",IF($C190=0,_xlfn.LET(_xlpm.x,IFERROR(_xlfn.XLOOKUP($A190,Util_Tags,Util_XR),""),IF(N(_xlpm.x)=0,Xfmr_DefXR,_xlpm.x)),IF(LEFT($A190,2)="T-",IFERROR(_xlfn.XLOOKUP($A190,Transformers!$A$6:$A$105,Transformers!$AH$6:$AH$105),Xfmr_DefXR),IFERROR(_xlfn.XLOOKUP($E190,$A$6:$A$255,$N$6:$N$255),Xfmr_DefXR))))</f>
        <v/>
      </c>
      <c r="O190" s="177" t="str">
        <f t="shared" si="40"/>
        <v/>
      </c>
      <c r="P190" s="210" t="str">
        <f>IF($A190="","",IF(LEFT($A190,2)="T-",IF($CO190="","",_xlfn.LET(_xlpm.k,IFERROR(_xlfn.XLOOKUP($A190,Transformers!$A$6:$A$105,Transformers!$G$6:$G$105),""),_xlpm.sv,IFERROR(_xlfn.XLOOKUP($A190,Transformers!$A$6:$A$105,Transformers!$E$6:$E$105),""),IF(OR(NOT(ISNUMBER(_xlpm.k)),NOT(ISNUMBER(_xlpm.sv)),_xlpm.sv=0),"",_xlfn.LET(_xlpm.iInf,(_xlpm.k*1000/(_xlpm.sv/2))*100/$CO190,_xlpm.pri,IF(OR($CK190="",$CK190=0),"",$CK190/2),_xlpm.base,IF(_xlpm.pri="",_xlpm.iInf,_xlpm.iInf/(1+_xlpm.iInf/_xlpm.pri)),_xlpm.base+IF($L190="",0,$L190))))),IF($CP190="","",_xlfn.LET(_xlpm.pI,IFERROR(_xlfn.XLOOKUP($E190,$A$6:$A$255,$P$6:$P$255),""),IF(NOT(ISNUMBER(_xlpm.pI)),"",_xlpm.pI/(1+$CP190)+IF($L190="",0,$L190))))))</f>
        <v/>
      </c>
      <c r="Q190" s="210" t="str">
        <f t="shared" si="41"/>
        <v/>
      </c>
      <c r="R190" s="177" t="str">
        <f>IF($A190="","",IF(OR($C190=0,LEFT($A190,2)="T-"),"",IFERROR(_xlfn.LET(_xlpm.v,_xlfn.XLOOKUP($A190,Dashboard!$A$101:$A$350,Dashboard!$K$101:$K$350),IF(ISNUMBER(_xlpm.v),_xlpm.v,"")),"")))</f>
        <v/>
      </c>
      <c r="S190" s="211" t="str">
        <f t="shared" si="42"/>
        <v/>
      </c>
      <c r="T190" s="25" t="str">
        <f t="shared" si="43"/>
        <v/>
      </c>
      <c r="U190" s="364"/>
      <c r="BV190" s="20" t="str">
        <f>IF($A190="","",IFERROR(_xlfn.XLOOKUP("F-"&amp;$A190,'Feeder Schedule'!$B$5:$B$254,'Feeder Schedule'!$H$5:$H$254),""))</f>
        <v/>
      </c>
      <c r="BW190" s="20" t="str">
        <f>IF($A190="","",IFERROR(_xlfn.XLOOKUP("F-"&amp;$A190,'Feeder Schedule'!$B$5:$B$254,'Feeder Schedule'!$BV$5:$BV$254),""))</f>
        <v/>
      </c>
      <c r="BX190" s="20" t="str">
        <f>IF($A190="","",IFERROR(_xlfn.LET(_xlpm.v,_xlfn.XLOOKUP("F-"&amp;$A190,'Feeder Schedule'!$B$5:$B$254,'Feeder Schedule'!$M$5:$M$254),IF(OR(_xlpm.v="",_xlpm.v=0),Cfg_Conduit,_xlpm.v)),""))</f>
        <v/>
      </c>
      <c r="BY190" s="20" t="str">
        <f>IF($A190="","",IFERROR(_xlfn.XLOOKUP("F-"&amp;$A190,'Feeder Schedule'!$B$5:$B$254,'Feeder Schedule'!$O$5:$O$254),""))</f>
        <v/>
      </c>
      <c r="BZ190" s="20" t="str">
        <f>IF($A190="","",IFERROR(_xlfn.XLOOKUP("F-"&amp;$A190,'Feeder Schedule'!$B$5:$B$254,'Feeder Schedule'!$CH$5:$CH$254),""))</f>
        <v/>
      </c>
      <c r="CA190" s="20" t="str">
        <f>IF($A190="","",IFERROR(_xlfn.XLOOKUP("F-"&amp;$A190,'Feeder Schedule'!$B$5:$B$254,'Feeder Schedule'!$F$5:$F$254),""))</f>
        <v/>
      </c>
      <c r="CB190" s="20" t="str">
        <f>IF($A190="","",IFERROR(_xlfn.XLOOKUP("F-"&amp;$A190,'Feeder Schedule'!$B$5:$B$254,'Feeder Schedule'!$G$5:$G$254),""))</f>
        <v/>
      </c>
      <c r="CD190" s="20" t="str" cm="1">
        <f t="array" ref="CD190">IFERROR(IF($A190="","",INDEX(_xlfn.ANCHORARRAY($BK$4),ROW()-5,6)),"")</f>
        <v/>
      </c>
      <c r="CE190" s="20" t="str">
        <f t="shared" si="46"/>
        <v/>
      </c>
      <c r="CF190" s="20" t="str">
        <f t="shared" si="47"/>
        <v/>
      </c>
      <c r="CG190" s="20" t="str">
        <f t="shared" si="44"/>
        <v/>
      </c>
      <c r="CH190" s="20" t="str" cm="1">
        <f t="array" ref="CH190">IF(OR($A190="",$BZ190="",$BW190="",$BX190=""),"",_xlfn.LET(_xlpm.mag,IFERROR(_xlfn.XLOOKUP($BX190,Race_Raceway,Race_Mag),""),IF(_xlpm.mag="","",IFERROR(INDEX(Cond_Table,MATCH($BZ190,Cond_Size,0),IF(UPPER($BW190)="AL",IF(_xlpm.mag="Y",10,12),IF(_xlpm.mag="Y",9,11))),""))))</f>
        <v/>
      </c>
      <c r="CI190" s="20" t="str">
        <f t="shared" si="45"/>
        <v/>
      </c>
      <c r="CJ190" s="20" t="str">
        <f>IF(OR($A190="",LEFT($A190,2)&lt;&gt;"T-"),"",IFERROR(_xlfn.LET(_xlpm.fla,_xlfn.XLOOKUP($A190,Transformers!$A$6:$A$105,Transformers!$AK$6:$AK$105),_xlpm.z,_xlfn.XLOOKUP($A190,Transformers!$A$6:$A$105,Transformers!$AX$6:$AX$105),IF(OR(_xlpm.fla="",_xlpm.z="",_xlpm.z=0),"",_xlpm.fla*100/_xlpm.z)),""))</f>
        <v/>
      </c>
      <c r="CK190" s="20" t="str">
        <f t="shared" si="48"/>
        <v/>
      </c>
      <c r="CL190" s="20" t="str">
        <f t="shared" si="49"/>
        <v/>
      </c>
      <c r="CM190" s="373"/>
      <c r="CO190" s="20" t="str">
        <f>IF(OR($A190="",LEFT($A190,2)&lt;&gt;"T-"),"",_xlfn.LET(_xlpm.ph,IFERROR(_xlfn.XLOOKUP($A190,Transformers!$A$6:$A$105,Transformers!$C$6:$C$105),""),_xlpm.rr,IFERROR(_xlfn.XLOOKUP($A190,Transformers!$A$6:$A$105,Transformers!$AG$6:$AG$105),""),_xlpm.xx,IFERROR(_xlfn.XLOOKUP($A190,Transformers!$A$6:$A$105,Transformers!$AI$6:$AI$105),""),IF(OR(_xlpm.ph&lt;&gt;1,NOT(ISNUMBER(_xlpm.rr)),NOT(ISNUMBER(_xlpm.xx))),"",SQRT((1.5*_xlpm.rr)^2+(1.2*_xlpm.xx)^2))))</f>
        <v/>
      </c>
      <c r="CP190" s="20" t="str">
        <f t="shared" si="50"/>
        <v/>
      </c>
    </row>
    <row r="191" spans="1:94" ht="15" customHeight="1" x14ac:dyDescent="0.45">
      <c r="A191" s="275" t="str" cm="1">
        <f t="array" ref="A191">IFERROR(IF(INDEX(_xlfn.ANCHORARRAY($BK$4),ROW()-5,1)="","",INDEX(_xlfn.ANCHORARRAY($BK$4),ROW()-5,1)),"")</f>
        <v/>
      </c>
      <c r="B191" s="25" t="str" cm="1">
        <f t="array" ref="B191">IFERROR(IF($A191="","",INDEX(_xlfn.ANCHORARRAY($BK$4),ROW()-5,5)),"")</f>
        <v/>
      </c>
      <c r="C191" s="178" t="str" cm="1">
        <f t="array" ref="C191">IFERROR(IF($A191="","",INDEX(_xlfn.ANCHORARRAY($BK$4),ROW()-5,7)),"")</f>
        <v/>
      </c>
      <c r="D191" s="177" t="str" cm="1">
        <f t="array" ref="D191">IFERROR(IF($A191="","",INDEX(_xlfn.ANCHORARRAY($BK$4),ROW()-5,3)),"")</f>
        <v/>
      </c>
      <c r="E191" s="25" t="str" cm="1">
        <f t="array" ref="E191">IFERROR(IF($A191="","",INDEX(_xlfn.ANCHORARRAY($BK$4),ROW()-5,2)),"")</f>
        <v/>
      </c>
      <c r="F191" s="177" t="str">
        <f t="shared" si="34"/>
        <v/>
      </c>
      <c r="G191" s="275" t="str">
        <f t="shared" si="35"/>
        <v/>
      </c>
      <c r="H191" s="180" t="str">
        <f t="shared" si="36"/>
        <v/>
      </c>
      <c r="I191" s="180" t="str">
        <f t="shared" si="37"/>
        <v/>
      </c>
      <c r="J191" s="177" t="str">
        <f>_xlfn.LET(_xlpm.v,_xlfn.LET(_xlpm.base,IF($A191="","",IF($C191=0,IFERROR(_xlfn.XLOOKUP($A191,Util_Tags,Util_SCAEff),""),IF(LEFT($A191,2)="T-",IF($CJ191="","",$CJ191/(1+IF($CL191="",0,$CL191))),IF(OR($F191="",$I191=""),"",$F191*$I191)))),_xlpm.gtag,IF(OR($A191="",NOT(OR($B191="ATS",$B191="MTS"))),"",IFERROR(_xlfn.XLOOKUP($A191,Dashboard!$A$101:$A$350,Dashboard!$L$101:$L$350,"")&amp;"","")),_xlpm.gkva,IF(_xlpm.gtag="",0,IFERROR(N(_xlfn.XLOOKUP(_xlpm.gtag,Generator!$B$53:$B$58,Generator!$S$53:$S$58,0)),0)),_xlpm.gxd,IF(_xlpm.gtag="",0,IFERROR(N(_xlfn.XLOOKUP(_xlpm.gtag,Generator!$B$53:$B$58,Generator!$U$53:$U$58,0)),0)),_xlpm.gamp,IF(OR(_xlpm.gkva=0,_xlpm.gxd=0,N($D191)=0),0,ROUND(_xlpm.gkva*1000/(IF(N($CB191)=1,1,SQRT(3))*$D191*_xlpm.gxd),0)),IF(OR(_xlpm.gamp=0,NOT(ISNUMBER(_xlpm.base))),_xlpm.base,MAX(_xlpm.base,_xlpm.gamp))),_xlpm.ulim,IF(OR($A191="",$B191&lt;&gt;"UPS"),"",IFERROR(IF(_xlfn.XLOOKUP($A191,UPS!$B$57:$B$64,UPS!$E$57:$E$64,"")="None",_xlfn.XLOOKUP($A191,UPS!$B$57:$B$64,UPS!$U$57:$U$64,""),""),"")),IF(AND(ISNUMBER(_xlpm.v),ISNUMBER(_xlpm.ulim)),MIN(_xlpm.v,_xlpm.ulim),_xlpm.v))</f>
        <v/>
      </c>
      <c r="K191" s="176"/>
      <c r="L191" s="177" t="str">
        <f t="shared" si="38"/>
        <v/>
      </c>
      <c r="M191" s="177" t="str">
        <f t="shared" si="39"/>
        <v/>
      </c>
      <c r="N191" s="380" t="str">
        <f>IF($A191="","",IF($C191=0,_xlfn.LET(_xlpm.x,IFERROR(_xlfn.XLOOKUP($A191,Util_Tags,Util_XR),""),IF(N(_xlpm.x)=0,Xfmr_DefXR,_xlpm.x)),IF(LEFT($A191,2)="T-",IFERROR(_xlfn.XLOOKUP($A191,Transformers!$A$6:$A$105,Transformers!$AH$6:$AH$105),Xfmr_DefXR),IFERROR(_xlfn.XLOOKUP($E191,$A$6:$A$255,$N$6:$N$255),Xfmr_DefXR))))</f>
        <v/>
      </c>
      <c r="O191" s="177" t="str">
        <f t="shared" si="40"/>
        <v/>
      </c>
      <c r="P191" s="210" t="str">
        <f>IF($A191="","",IF(LEFT($A191,2)="T-",IF($CO191="","",_xlfn.LET(_xlpm.k,IFERROR(_xlfn.XLOOKUP($A191,Transformers!$A$6:$A$105,Transformers!$G$6:$G$105),""),_xlpm.sv,IFERROR(_xlfn.XLOOKUP($A191,Transformers!$A$6:$A$105,Transformers!$E$6:$E$105),""),IF(OR(NOT(ISNUMBER(_xlpm.k)),NOT(ISNUMBER(_xlpm.sv)),_xlpm.sv=0),"",_xlfn.LET(_xlpm.iInf,(_xlpm.k*1000/(_xlpm.sv/2))*100/$CO191,_xlpm.pri,IF(OR($CK191="",$CK191=0),"",$CK191/2),_xlpm.base,IF(_xlpm.pri="",_xlpm.iInf,_xlpm.iInf/(1+_xlpm.iInf/_xlpm.pri)),_xlpm.base+IF($L191="",0,$L191))))),IF($CP191="","",_xlfn.LET(_xlpm.pI,IFERROR(_xlfn.XLOOKUP($E191,$A$6:$A$255,$P$6:$P$255),""),IF(NOT(ISNUMBER(_xlpm.pI)),"",_xlpm.pI/(1+$CP191)+IF($L191="",0,$L191))))))</f>
        <v/>
      </c>
      <c r="Q191" s="210" t="str">
        <f t="shared" si="41"/>
        <v/>
      </c>
      <c r="R191" s="177" t="str">
        <f>IF($A191="","",IF(OR($C191=0,LEFT($A191,2)="T-"),"",IFERROR(_xlfn.LET(_xlpm.v,_xlfn.XLOOKUP($A191,Dashboard!$A$101:$A$350,Dashboard!$K$101:$K$350),IF(ISNUMBER(_xlpm.v),_xlpm.v,"")),"")))</f>
        <v/>
      </c>
      <c r="S191" s="211" t="str">
        <f t="shared" si="42"/>
        <v/>
      </c>
      <c r="T191" s="25" t="str">
        <f t="shared" si="43"/>
        <v/>
      </c>
      <c r="U191" s="364"/>
      <c r="BV191" s="20" t="str">
        <f>IF($A191="","",IFERROR(_xlfn.XLOOKUP("F-"&amp;$A191,'Feeder Schedule'!$B$5:$B$254,'Feeder Schedule'!$H$5:$H$254),""))</f>
        <v/>
      </c>
      <c r="BW191" s="20" t="str">
        <f>IF($A191="","",IFERROR(_xlfn.XLOOKUP("F-"&amp;$A191,'Feeder Schedule'!$B$5:$B$254,'Feeder Schedule'!$BV$5:$BV$254),""))</f>
        <v/>
      </c>
      <c r="BX191" s="20" t="str">
        <f>IF($A191="","",IFERROR(_xlfn.LET(_xlpm.v,_xlfn.XLOOKUP("F-"&amp;$A191,'Feeder Schedule'!$B$5:$B$254,'Feeder Schedule'!$M$5:$M$254),IF(OR(_xlpm.v="",_xlpm.v=0),Cfg_Conduit,_xlpm.v)),""))</f>
        <v/>
      </c>
      <c r="BY191" s="20" t="str">
        <f>IF($A191="","",IFERROR(_xlfn.XLOOKUP("F-"&amp;$A191,'Feeder Schedule'!$B$5:$B$254,'Feeder Schedule'!$O$5:$O$254),""))</f>
        <v/>
      </c>
      <c r="BZ191" s="20" t="str">
        <f>IF($A191="","",IFERROR(_xlfn.XLOOKUP("F-"&amp;$A191,'Feeder Schedule'!$B$5:$B$254,'Feeder Schedule'!$CH$5:$CH$254),""))</f>
        <v/>
      </c>
      <c r="CA191" s="20" t="str">
        <f>IF($A191="","",IFERROR(_xlfn.XLOOKUP("F-"&amp;$A191,'Feeder Schedule'!$B$5:$B$254,'Feeder Schedule'!$F$5:$F$254),""))</f>
        <v/>
      </c>
      <c r="CB191" s="20" t="str">
        <f>IF($A191="","",IFERROR(_xlfn.XLOOKUP("F-"&amp;$A191,'Feeder Schedule'!$B$5:$B$254,'Feeder Schedule'!$G$5:$G$254),""))</f>
        <v/>
      </c>
      <c r="CD191" s="20" t="str" cm="1">
        <f t="array" ref="CD191">IFERROR(IF($A191="","",INDEX(_xlfn.ANCHORARRAY($BK$4),ROW()-5,6)),"")</f>
        <v/>
      </c>
      <c r="CE191" s="20" t="str">
        <f t="shared" si="46"/>
        <v/>
      </c>
      <c r="CF191" s="20" t="str">
        <f t="shared" si="47"/>
        <v/>
      </c>
      <c r="CG191" s="20" t="str">
        <f t="shared" si="44"/>
        <v/>
      </c>
      <c r="CH191" s="20" t="str" cm="1">
        <f t="array" ref="CH191">IF(OR($A191="",$BZ191="",$BW191="",$BX191=""),"",_xlfn.LET(_xlpm.mag,IFERROR(_xlfn.XLOOKUP($BX191,Race_Raceway,Race_Mag),""),IF(_xlpm.mag="","",IFERROR(INDEX(Cond_Table,MATCH($BZ191,Cond_Size,0),IF(UPPER($BW191)="AL",IF(_xlpm.mag="Y",10,12),IF(_xlpm.mag="Y",9,11))),""))))</f>
        <v/>
      </c>
      <c r="CI191" s="20" t="str">
        <f t="shared" si="45"/>
        <v/>
      </c>
      <c r="CJ191" s="20" t="str">
        <f>IF(OR($A191="",LEFT($A191,2)&lt;&gt;"T-"),"",IFERROR(_xlfn.LET(_xlpm.fla,_xlfn.XLOOKUP($A191,Transformers!$A$6:$A$105,Transformers!$AK$6:$AK$105),_xlpm.z,_xlfn.XLOOKUP($A191,Transformers!$A$6:$A$105,Transformers!$AX$6:$AX$105),IF(OR(_xlpm.fla="",_xlpm.z="",_xlpm.z=0),"",_xlpm.fla*100/_xlpm.z)),""))</f>
        <v/>
      </c>
      <c r="CK191" s="20" t="str">
        <f t="shared" si="48"/>
        <v/>
      </c>
      <c r="CL191" s="20" t="str">
        <f t="shared" si="49"/>
        <v/>
      </c>
      <c r="CM191" s="373"/>
      <c r="CO191" s="20" t="str">
        <f>IF(OR($A191="",LEFT($A191,2)&lt;&gt;"T-"),"",_xlfn.LET(_xlpm.ph,IFERROR(_xlfn.XLOOKUP($A191,Transformers!$A$6:$A$105,Transformers!$C$6:$C$105),""),_xlpm.rr,IFERROR(_xlfn.XLOOKUP($A191,Transformers!$A$6:$A$105,Transformers!$AG$6:$AG$105),""),_xlpm.xx,IFERROR(_xlfn.XLOOKUP($A191,Transformers!$A$6:$A$105,Transformers!$AI$6:$AI$105),""),IF(OR(_xlpm.ph&lt;&gt;1,NOT(ISNUMBER(_xlpm.rr)),NOT(ISNUMBER(_xlpm.xx))),"",SQRT((1.5*_xlpm.rr)^2+(1.2*_xlpm.xx)^2))))</f>
        <v/>
      </c>
      <c r="CP191" s="20" t="str">
        <f t="shared" si="50"/>
        <v/>
      </c>
    </row>
    <row r="192" spans="1:94" ht="15" customHeight="1" x14ac:dyDescent="0.45">
      <c r="A192" s="275" t="str" cm="1">
        <f t="array" ref="A192">IFERROR(IF(INDEX(_xlfn.ANCHORARRAY($BK$4),ROW()-5,1)="","",INDEX(_xlfn.ANCHORARRAY($BK$4),ROW()-5,1)),"")</f>
        <v/>
      </c>
      <c r="B192" s="25" t="str" cm="1">
        <f t="array" ref="B192">IFERROR(IF($A192="","",INDEX(_xlfn.ANCHORARRAY($BK$4),ROW()-5,5)),"")</f>
        <v/>
      </c>
      <c r="C192" s="178" t="str" cm="1">
        <f t="array" ref="C192">IFERROR(IF($A192="","",INDEX(_xlfn.ANCHORARRAY($BK$4),ROW()-5,7)),"")</f>
        <v/>
      </c>
      <c r="D192" s="177" t="str" cm="1">
        <f t="array" ref="D192">IFERROR(IF($A192="","",INDEX(_xlfn.ANCHORARRAY($BK$4),ROW()-5,3)),"")</f>
        <v/>
      </c>
      <c r="E192" s="25" t="str" cm="1">
        <f t="array" ref="E192">IFERROR(IF($A192="","",INDEX(_xlfn.ANCHORARRAY($BK$4),ROW()-5,2)),"")</f>
        <v/>
      </c>
      <c r="F192" s="177" t="str">
        <f t="shared" si="34"/>
        <v/>
      </c>
      <c r="G192" s="275" t="str">
        <f t="shared" si="35"/>
        <v/>
      </c>
      <c r="H192" s="180" t="str">
        <f t="shared" si="36"/>
        <v/>
      </c>
      <c r="I192" s="180" t="str">
        <f t="shared" si="37"/>
        <v/>
      </c>
      <c r="J192" s="177" t="str">
        <f>_xlfn.LET(_xlpm.v,_xlfn.LET(_xlpm.base,IF($A192="","",IF($C192=0,IFERROR(_xlfn.XLOOKUP($A192,Util_Tags,Util_SCAEff),""),IF(LEFT($A192,2)="T-",IF($CJ192="","",$CJ192/(1+IF($CL192="",0,$CL192))),IF(OR($F192="",$I192=""),"",$F192*$I192)))),_xlpm.gtag,IF(OR($A192="",NOT(OR($B192="ATS",$B192="MTS"))),"",IFERROR(_xlfn.XLOOKUP($A192,Dashboard!$A$101:$A$350,Dashboard!$L$101:$L$350,"")&amp;"","")),_xlpm.gkva,IF(_xlpm.gtag="",0,IFERROR(N(_xlfn.XLOOKUP(_xlpm.gtag,Generator!$B$53:$B$58,Generator!$S$53:$S$58,0)),0)),_xlpm.gxd,IF(_xlpm.gtag="",0,IFERROR(N(_xlfn.XLOOKUP(_xlpm.gtag,Generator!$B$53:$B$58,Generator!$U$53:$U$58,0)),0)),_xlpm.gamp,IF(OR(_xlpm.gkva=0,_xlpm.gxd=0,N($D192)=0),0,ROUND(_xlpm.gkva*1000/(IF(N($CB192)=1,1,SQRT(3))*$D192*_xlpm.gxd),0)),IF(OR(_xlpm.gamp=0,NOT(ISNUMBER(_xlpm.base))),_xlpm.base,MAX(_xlpm.base,_xlpm.gamp))),_xlpm.ulim,IF(OR($A192="",$B192&lt;&gt;"UPS"),"",IFERROR(IF(_xlfn.XLOOKUP($A192,UPS!$B$57:$B$64,UPS!$E$57:$E$64,"")="None",_xlfn.XLOOKUP($A192,UPS!$B$57:$B$64,UPS!$U$57:$U$64,""),""),"")),IF(AND(ISNUMBER(_xlpm.v),ISNUMBER(_xlpm.ulim)),MIN(_xlpm.v,_xlpm.ulim),_xlpm.v))</f>
        <v/>
      </c>
      <c r="K192" s="176"/>
      <c r="L192" s="177" t="str">
        <f t="shared" si="38"/>
        <v/>
      </c>
      <c r="M192" s="177" t="str">
        <f t="shared" si="39"/>
        <v/>
      </c>
      <c r="N192" s="380" t="str">
        <f>IF($A192="","",IF($C192=0,_xlfn.LET(_xlpm.x,IFERROR(_xlfn.XLOOKUP($A192,Util_Tags,Util_XR),""),IF(N(_xlpm.x)=0,Xfmr_DefXR,_xlpm.x)),IF(LEFT($A192,2)="T-",IFERROR(_xlfn.XLOOKUP($A192,Transformers!$A$6:$A$105,Transformers!$AH$6:$AH$105),Xfmr_DefXR),IFERROR(_xlfn.XLOOKUP($E192,$A$6:$A$255,$N$6:$N$255),Xfmr_DefXR))))</f>
        <v/>
      </c>
      <c r="O192" s="177" t="str">
        <f t="shared" si="40"/>
        <v/>
      </c>
      <c r="P192" s="210" t="str">
        <f>IF($A192="","",IF(LEFT($A192,2)="T-",IF($CO192="","",_xlfn.LET(_xlpm.k,IFERROR(_xlfn.XLOOKUP($A192,Transformers!$A$6:$A$105,Transformers!$G$6:$G$105),""),_xlpm.sv,IFERROR(_xlfn.XLOOKUP($A192,Transformers!$A$6:$A$105,Transformers!$E$6:$E$105),""),IF(OR(NOT(ISNUMBER(_xlpm.k)),NOT(ISNUMBER(_xlpm.sv)),_xlpm.sv=0),"",_xlfn.LET(_xlpm.iInf,(_xlpm.k*1000/(_xlpm.sv/2))*100/$CO192,_xlpm.pri,IF(OR($CK192="",$CK192=0),"",$CK192/2),_xlpm.base,IF(_xlpm.pri="",_xlpm.iInf,_xlpm.iInf/(1+_xlpm.iInf/_xlpm.pri)),_xlpm.base+IF($L192="",0,$L192))))),IF($CP192="","",_xlfn.LET(_xlpm.pI,IFERROR(_xlfn.XLOOKUP($E192,$A$6:$A$255,$P$6:$P$255),""),IF(NOT(ISNUMBER(_xlpm.pI)),"",_xlpm.pI/(1+$CP192)+IF($L192="",0,$L192))))))</f>
        <v/>
      </c>
      <c r="Q192" s="210" t="str">
        <f t="shared" si="41"/>
        <v/>
      </c>
      <c r="R192" s="177" t="str">
        <f>IF($A192="","",IF(OR($C192=0,LEFT($A192,2)="T-"),"",IFERROR(_xlfn.LET(_xlpm.v,_xlfn.XLOOKUP($A192,Dashboard!$A$101:$A$350,Dashboard!$K$101:$K$350),IF(ISNUMBER(_xlpm.v),_xlpm.v,"")),"")))</f>
        <v/>
      </c>
      <c r="S192" s="211" t="str">
        <f t="shared" si="42"/>
        <v/>
      </c>
      <c r="T192" s="25" t="str">
        <f t="shared" si="43"/>
        <v/>
      </c>
      <c r="U192" s="364"/>
      <c r="BV192" s="20" t="str">
        <f>IF($A192="","",IFERROR(_xlfn.XLOOKUP("F-"&amp;$A192,'Feeder Schedule'!$B$5:$B$254,'Feeder Schedule'!$H$5:$H$254),""))</f>
        <v/>
      </c>
      <c r="BW192" s="20" t="str">
        <f>IF($A192="","",IFERROR(_xlfn.XLOOKUP("F-"&amp;$A192,'Feeder Schedule'!$B$5:$B$254,'Feeder Schedule'!$BV$5:$BV$254),""))</f>
        <v/>
      </c>
      <c r="BX192" s="20" t="str">
        <f>IF($A192="","",IFERROR(_xlfn.LET(_xlpm.v,_xlfn.XLOOKUP("F-"&amp;$A192,'Feeder Schedule'!$B$5:$B$254,'Feeder Schedule'!$M$5:$M$254),IF(OR(_xlpm.v="",_xlpm.v=0),Cfg_Conduit,_xlpm.v)),""))</f>
        <v/>
      </c>
      <c r="BY192" s="20" t="str">
        <f>IF($A192="","",IFERROR(_xlfn.XLOOKUP("F-"&amp;$A192,'Feeder Schedule'!$B$5:$B$254,'Feeder Schedule'!$O$5:$O$254),""))</f>
        <v/>
      </c>
      <c r="BZ192" s="20" t="str">
        <f>IF($A192="","",IFERROR(_xlfn.XLOOKUP("F-"&amp;$A192,'Feeder Schedule'!$B$5:$B$254,'Feeder Schedule'!$CH$5:$CH$254),""))</f>
        <v/>
      </c>
      <c r="CA192" s="20" t="str">
        <f>IF($A192="","",IFERROR(_xlfn.XLOOKUP("F-"&amp;$A192,'Feeder Schedule'!$B$5:$B$254,'Feeder Schedule'!$F$5:$F$254),""))</f>
        <v/>
      </c>
      <c r="CB192" s="20" t="str">
        <f>IF($A192="","",IFERROR(_xlfn.XLOOKUP("F-"&amp;$A192,'Feeder Schedule'!$B$5:$B$254,'Feeder Schedule'!$G$5:$G$254),""))</f>
        <v/>
      </c>
      <c r="CD192" s="20" t="str" cm="1">
        <f t="array" ref="CD192">IFERROR(IF($A192="","",INDEX(_xlfn.ANCHORARRAY($BK$4),ROW()-5,6)),"")</f>
        <v/>
      </c>
      <c r="CE192" s="20" t="str">
        <f t="shared" si="46"/>
        <v/>
      </c>
      <c r="CF192" s="20" t="str">
        <f t="shared" si="47"/>
        <v/>
      </c>
      <c r="CG192" s="20" t="str">
        <f t="shared" si="44"/>
        <v/>
      </c>
      <c r="CH192" s="20" t="str" cm="1">
        <f t="array" ref="CH192">IF(OR($A192="",$BZ192="",$BW192="",$BX192=""),"",_xlfn.LET(_xlpm.mag,IFERROR(_xlfn.XLOOKUP($BX192,Race_Raceway,Race_Mag),""),IF(_xlpm.mag="","",IFERROR(INDEX(Cond_Table,MATCH($BZ192,Cond_Size,0),IF(UPPER($BW192)="AL",IF(_xlpm.mag="Y",10,12),IF(_xlpm.mag="Y",9,11))),""))))</f>
        <v/>
      </c>
      <c r="CI192" s="20" t="str">
        <f t="shared" si="45"/>
        <v/>
      </c>
      <c r="CJ192" s="20" t="str">
        <f>IF(OR($A192="",LEFT($A192,2)&lt;&gt;"T-"),"",IFERROR(_xlfn.LET(_xlpm.fla,_xlfn.XLOOKUP($A192,Transformers!$A$6:$A$105,Transformers!$AK$6:$AK$105),_xlpm.z,_xlfn.XLOOKUP($A192,Transformers!$A$6:$A$105,Transformers!$AX$6:$AX$105),IF(OR(_xlpm.fla="",_xlpm.z="",_xlpm.z=0),"",_xlpm.fla*100/_xlpm.z)),""))</f>
        <v/>
      </c>
      <c r="CK192" s="20" t="str">
        <f t="shared" si="48"/>
        <v/>
      </c>
      <c r="CL192" s="20" t="str">
        <f t="shared" si="49"/>
        <v/>
      </c>
      <c r="CM192" s="373"/>
      <c r="CO192" s="20" t="str">
        <f>IF(OR($A192="",LEFT($A192,2)&lt;&gt;"T-"),"",_xlfn.LET(_xlpm.ph,IFERROR(_xlfn.XLOOKUP($A192,Transformers!$A$6:$A$105,Transformers!$C$6:$C$105),""),_xlpm.rr,IFERROR(_xlfn.XLOOKUP($A192,Transformers!$A$6:$A$105,Transformers!$AG$6:$AG$105),""),_xlpm.xx,IFERROR(_xlfn.XLOOKUP($A192,Transformers!$A$6:$A$105,Transformers!$AI$6:$AI$105),""),IF(OR(_xlpm.ph&lt;&gt;1,NOT(ISNUMBER(_xlpm.rr)),NOT(ISNUMBER(_xlpm.xx))),"",SQRT((1.5*_xlpm.rr)^2+(1.2*_xlpm.xx)^2))))</f>
        <v/>
      </c>
      <c r="CP192" s="20" t="str">
        <f t="shared" si="50"/>
        <v/>
      </c>
    </row>
    <row r="193" spans="1:94" ht="15" customHeight="1" x14ac:dyDescent="0.45">
      <c r="A193" s="275" t="str" cm="1">
        <f t="array" ref="A193">IFERROR(IF(INDEX(_xlfn.ANCHORARRAY($BK$4),ROW()-5,1)="","",INDEX(_xlfn.ANCHORARRAY($BK$4),ROW()-5,1)),"")</f>
        <v/>
      </c>
      <c r="B193" s="25" t="str" cm="1">
        <f t="array" ref="B193">IFERROR(IF($A193="","",INDEX(_xlfn.ANCHORARRAY($BK$4),ROW()-5,5)),"")</f>
        <v/>
      </c>
      <c r="C193" s="178" t="str" cm="1">
        <f t="array" ref="C193">IFERROR(IF($A193="","",INDEX(_xlfn.ANCHORARRAY($BK$4),ROW()-5,7)),"")</f>
        <v/>
      </c>
      <c r="D193" s="177" t="str" cm="1">
        <f t="array" ref="D193">IFERROR(IF($A193="","",INDEX(_xlfn.ANCHORARRAY($BK$4),ROW()-5,3)),"")</f>
        <v/>
      </c>
      <c r="E193" s="25" t="str" cm="1">
        <f t="array" ref="E193">IFERROR(IF($A193="","",INDEX(_xlfn.ANCHORARRAY($BK$4),ROW()-5,2)),"")</f>
        <v/>
      </c>
      <c r="F193" s="177" t="str">
        <f t="shared" si="34"/>
        <v/>
      </c>
      <c r="G193" s="275" t="str">
        <f t="shared" si="35"/>
        <v/>
      </c>
      <c r="H193" s="180" t="str">
        <f t="shared" si="36"/>
        <v/>
      </c>
      <c r="I193" s="180" t="str">
        <f t="shared" si="37"/>
        <v/>
      </c>
      <c r="J193" s="177" t="str">
        <f>_xlfn.LET(_xlpm.v,_xlfn.LET(_xlpm.base,IF($A193="","",IF($C193=0,IFERROR(_xlfn.XLOOKUP($A193,Util_Tags,Util_SCAEff),""),IF(LEFT($A193,2)="T-",IF($CJ193="","",$CJ193/(1+IF($CL193="",0,$CL193))),IF(OR($F193="",$I193=""),"",$F193*$I193)))),_xlpm.gtag,IF(OR($A193="",NOT(OR($B193="ATS",$B193="MTS"))),"",IFERROR(_xlfn.XLOOKUP($A193,Dashboard!$A$101:$A$350,Dashboard!$L$101:$L$350,"")&amp;"","")),_xlpm.gkva,IF(_xlpm.gtag="",0,IFERROR(N(_xlfn.XLOOKUP(_xlpm.gtag,Generator!$B$53:$B$58,Generator!$S$53:$S$58,0)),0)),_xlpm.gxd,IF(_xlpm.gtag="",0,IFERROR(N(_xlfn.XLOOKUP(_xlpm.gtag,Generator!$B$53:$B$58,Generator!$U$53:$U$58,0)),0)),_xlpm.gamp,IF(OR(_xlpm.gkva=0,_xlpm.gxd=0,N($D193)=0),0,ROUND(_xlpm.gkva*1000/(IF(N($CB193)=1,1,SQRT(3))*$D193*_xlpm.gxd),0)),IF(OR(_xlpm.gamp=0,NOT(ISNUMBER(_xlpm.base))),_xlpm.base,MAX(_xlpm.base,_xlpm.gamp))),_xlpm.ulim,IF(OR($A193="",$B193&lt;&gt;"UPS"),"",IFERROR(IF(_xlfn.XLOOKUP($A193,UPS!$B$57:$B$64,UPS!$E$57:$E$64,"")="None",_xlfn.XLOOKUP($A193,UPS!$B$57:$B$64,UPS!$U$57:$U$64,""),""),"")),IF(AND(ISNUMBER(_xlpm.v),ISNUMBER(_xlpm.ulim)),MIN(_xlpm.v,_xlpm.ulim),_xlpm.v))</f>
        <v/>
      </c>
      <c r="K193" s="176"/>
      <c r="L193" s="177" t="str">
        <f t="shared" si="38"/>
        <v/>
      </c>
      <c r="M193" s="177" t="str">
        <f t="shared" si="39"/>
        <v/>
      </c>
      <c r="N193" s="380" t="str">
        <f>IF($A193="","",IF($C193=0,_xlfn.LET(_xlpm.x,IFERROR(_xlfn.XLOOKUP($A193,Util_Tags,Util_XR),""),IF(N(_xlpm.x)=0,Xfmr_DefXR,_xlpm.x)),IF(LEFT($A193,2)="T-",IFERROR(_xlfn.XLOOKUP($A193,Transformers!$A$6:$A$105,Transformers!$AH$6:$AH$105),Xfmr_DefXR),IFERROR(_xlfn.XLOOKUP($E193,$A$6:$A$255,$N$6:$N$255),Xfmr_DefXR))))</f>
        <v/>
      </c>
      <c r="O193" s="177" t="str">
        <f t="shared" si="40"/>
        <v/>
      </c>
      <c r="P193" s="210" t="str">
        <f>IF($A193="","",IF(LEFT($A193,2)="T-",IF($CO193="","",_xlfn.LET(_xlpm.k,IFERROR(_xlfn.XLOOKUP($A193,Transformers!$A$6:$A$105,Transformers!$G$6:$G$105),""),_xlpm.sv,IFERROR(_xlfn.XLOOKUP($A193,Transformers!$A$6:$A$105,Transformers!$E$6:$E$105),""),IF(OR(NOT(ISNUMBER(_xlpm.k)),NOT(ISNUMBER(_xlpm.sv)),_xlpm.sv=0),"",_xlfn.LET(_xlpm.iInf,(_xlpm.k*1000/(_xlpm.sv/2))*100/$CO193,_xlpm.pri,IF(OR($CK193="",$CK193=0),"",$CK193/2),_xlpm.base,IF(_xlpm.pri="",_xlpm.iInf,_xlpm.iInf/(1+_xlpm.iInf/_xlpm.pri)),_xlpm.base+IF($L193="",0,$L193))))),IF($CP193="","",_xlfn.LET(_xlpm.pI,IFERROR(_xlfn.XLOOKUP($E193,$A$6:$A$255,$P$6:$P$255),""),IF(NOT(ISNUMBER(_xlpm.pI)),"",_xlpm.pI/(1+$CP193)+IF($L193="",0,$L193))))))</f>
        <v/>
      </c>
      <c r="Q193" s="210" t="str">
        <f t="shared" si="41"/>
        <v/>
      </c>
      <c r="R193" s="177" t="str">
        <f>IF($A193="","",IF(OR($C193=0,LEFT($A193,2)="T-"),"",IFERROR(_xlfn.LET(_xlpm.v,_xlfn.XLOOKUP($A193,Dashboard!$A$101:$A$350,Dashboard!$K$101:$K$350),IF(ISNUMBER(_xlpm.v),_xlpm.v,"")),"")))</f>
        <v/>
      </c>
      <c r="S193" s="211" t="str">
        <f t="shared" si="42"/>
        <v/>
      </c>
      <c r="T193" s="25" t="str">
        <f t="shared" si="43"/>
        <v/>
      </c>
      <c r="U193" s="364"/>
      <c r="BV193" s="20" t="str">
        <f>IF($A193="","",IFERROR(_xlfn.XLOOKUP("F-"&amp;$A193,'Feeder Schedule'!$B$5:$B$254,'Feeder Schedule'!$H$5:$H$254),""))</f>
        <v/>
      </c>
      <c r="BW193" s="20" t="str">
        <f>IF($A193="","",IFERROR(_xlfn.XLOOKUP("F-"&amp;$A193,'Feeder Schedule'!$B$5:$B$254,'Feeder Schedule'!$BV$5:$BV$254),""))</f>
        <v/>
      </c>
      <c r="BX193" s="20" t="str">
        <f>IF($A193="","",IFERROR(_xlfn.LET(_xlpm.v,_xlfn.XLOOKUP("F-"&amp;$A193,'Feeder Schedule'!$B$5:$B$254,'Feeder Schedule'!$M$5:$M$254),IF(OR(_xlpm.v="",_xlpm.v=0),Cfg_Conduit,_xlpm.v)),""))</f>
        <v/>
      </c>
      <c r="BY193" s="20" t="str">
        <f>IF($A193="","",IFERROR(_xlfn.XLOOKUP("F-"&amp;$A193,'Feeder Schedule'!$B$5:$B$254,'Feeder Schedule'!$O$5:$O$254),""))</f>
        <v/>
      </c>
      <c r="BZ193" s="20" t="str">
        <f>IF($A193="","",IFERROR(_xlfn.XLOOKUP("F-"&amp;$A193,'Feeder Schedule'!$B$5:$B$254,'Feeder Schedule'!$CH$5:$CH$254),""))</f>
        <v/>
      </c>
      <c r="CA193" s="20" t="str">
        <f>IF($A193="","",IFERROR(_xlfn.XLOOKUP("F-"&amp;$A193,'Feeder Schedule'!$B$5:$B$254,'Feeder Schedule'!$F$5:$F$254),""))</f>
        <v/>
      </c>
      <c r="CB193" s="20" t="str">
        <f>IF($A193="","",IFERROR(_xlfn.XLOOKUP("F-"&amp;$A193,'Feeder Schedule'!$B$5:$B$254,'Feeder Schedule'!$G$5:$G$254),""))</f>
        <v/>
      </c>
      <c r="CD193" s="20" t="str" cm="1">
        <f t="array" ref="CD193">IFERROR(IF($A193="","",INDEX(_xlfn.ANCHORARRAY($BK$4),ROW()-5,6)),"")</f>
        <v/>
      </c>
      <c r="CE193" s="20" t="str">
        <f t="shared" si="46"/>
        <v/>
      </c>
      <c r="CF193" s="20" t="str">
        <f t="shared" si="47"/>
        <v/>
      </c>
      <c r="CG193" s="20" t="str">
        <f t="shared" si="44"/>
        <v/>
      </c>
      <c r="CH193" s="20" t="str" cm="1">
        <f t="array" ref="CH193">IF(OR($A193="",$BZ193="",$BW193="",$BX193=""),"",_xlfn.LET(_xlpm.mag,IFERROR(_xlfn.XLOOKUP($BX193,Race_Raceway,Race_Mag),""),IF(_xlpm.mag="","",IFERROR(INDEX(Cond_Table,MATCH($BZ193,Cond_Size,0),IF(UPPER($BW193)="AL",IF(_xlpm.mag="Y",10,12),IF(_xlpm.mag="Y",9,11))),""))))</f>
        <v/>
      </c>
      <c r="CI193" s="20" t="str">
        <f t="shared" si="45"/>
        <v/>
      </c>
      <c r="CJ193" s="20" t="str">
        <f>IF(OR($A193="",LEFT($A193,2)&lt;&gt;"T-"),"",IFERROR(_xlfn.LET(_xlpm.fla,_xlfn.XLOOKUP($A193,Transformers!$A$6:$A$105,Transformers!$AK$6:$AK$105),_xlpm.z,_xlfn.XLOOKUP($A193,Transformers!$A$6:$A$105,Transformers!$AX$6:$AX$105),IF(OR(_xlpm.fla="",_xlpm.z="",_xlpm.z=0),"",_xlpm.fla*100/_xlpm.z)),""))</f>
        <v/>
      </c>
      <c r="CK193" s="20" t="str">
        <f t="shared" si="48"/>
        <v/>
      </c>
      <c r="CL193" s="20" t="str">
        <f t="shared" si="49"/>
        <v/>
      </c>
      <c r="CM193" s="373"/>
      <c r="CO193" s="20" t="str">
        <f>IF(OR($A193="",LEFT($A193,2)&lt;&gt;"T-"),"",_xlfn.LET(_xlpm.ph,IFERROR(_xlfn.XLOOKUP($A193,Transformers!$A$6:$A$105,Transformers!$C$6:$C$105),""),_xlpm.rr,IFERROR(_xlfn.XLOOKUP($A193,Transformers!$A$6:$A$105,Transformers!$AG$6:$AG$105),""),_xlpm.xx,IFERROR(_xlfn.XLOOKUP($A193,Transformers!$A$6:$A$105,Transformers!$AI$6:$AI$105),""),IF(OR(_xlpm.ph&lt;&gt;1,NOT(ISNUMBER(_xlpm.rr)),NOT(ISNUMBER(_xlpm.xx))),"",SQRT((1.5*_xlpm.rr)^2+(1.2*_xlpm.xx)^2))))</f>
        <v/>
      </c>
      <c r="CP193" s="20" t="str">
        <f t="shared" si="50"/>
        <v/>
      </c>
    </row>
    <row r="194" spans="1:94" ht="15" customHeight="1" x14ac:dyDescent="0.45">
      <c r="A194" s="275" t="str" cm="1">
        <f t="array" ref="A194">IFERROR(IF(INDEX(_xlfn.ANCHORARRAY($BK$4),ROW()-5,1)="","",INDEX(_xlfn.ANCHORARRAY($BK$4),ROW()-5,1)),"")</f>
        <v/>
      </c>
      <c r="B194" s="25" t="str" cm="1">
        <f t="array" ref="B194">IFERROR(IF($A194="","",INDEX(_xlfn.ANCHORARRAY($BK$4),ROW()-5,5)),"")</f>
        <v/>
      </c>
      <c r="C194" s="178" t="str" cm="1">
        <f t="array" ref="C194">IFERROR(IF($A194="","",INDEX(_xlfn.ANCHORARRAY($BK$4),ROW()-5,7)),"")</f>
        <v/>
      </c>
      <c r="D194" s="177" t="str" cm="1">
        <f t="array" ref="D194">IFERROR(IF($A194="","",INDEX(_xlfn.ANCHORARRAY($BK$4),ROW()-5,3)),"")</f>
        <v/>
      </c>
      <c r="E194" s="25" t="str" cm="1">
        <f t="array" ref="E194">IFERROR(IF($A194="","",INDEX(_xlfn.ANCHORARRAY($BK$4),ROW()-5,2)),"")</f>
        <v/>
      </c>
      <c r="F194" s="177" t="str">
        <f t="shared" si="34"/>
        <v/>
      </c>
      <c r="G194" s="275" t="str">
        <f t="shared" si="35"/>
        <v/>
      </c>
      <c r="H194" s="180" t="str">
        <f t="shared" si="36"/>
        <v/>
      </c>
      <c r="I194" s="180" t="str">
        <f t="shared" si="37"/>
        <v/>
      </c>
      <c r="J194" s="177" t="str">
        <f>_xlfn.LET(_xlpm.v,_xlfn.LET(_xlpm.base,IF($A194="","",IF($C194=0,IFERROR(_xlfn.XLOOKUP($A194,Util_Tags,Util_SCAEff),""),IF(LEFT($A194,2)="T-",IF($CJ194="","",$CJ194/(1+IF($CL194="",0,$CL194))),IF(OR($F194="",$I194=""),"",$F194*$I194)))),_xlpm.gtag,IF(OR($A194="",NOT(OR($B194="ATS",$B194="MTS"))),"",IFERROR(_xlfn.XLOOKUP($A194,Dashboard!$A$101:$A$350,Dashboard!$L$101:$L$350,"")&amp;"","")),_xlpm.gkva,IF(_xlpm.gtag="",0,IFERROR(N(_xlfn.XLOOKUP(_xlpm.gtag,Generator!$B$53:$B$58,Generator!$S$53:$S$58,0)),0)),_xlpm.gxd,IF(_xlpm.gtag="",0,IFERROR(N(_xlfn.XLOOKUP(_xlpm.gtag,Generator!$B$53:$B$58,Generator!$U$53:$U$58,0)),0)),_xlpm.gamp,IF(OR(_xlpm.gkva=0,_xlpm.gxd=0,N($D194)=0),0,ROUND(_xlpm.gkva*1000/(IF(N($CB194)=1,1,SQRT(3))*$D194*_xlpm.gxd),0)),IF(OR(_xlpm.gamp=0,NOT(ISNUMBER(_xlpm.base))),_xlpm.base,MAX(_xlpm.base,_xlpm.gamp))),_xlpm.ulim,IF(OR($A194="",$B194&lt;&gt;"UPS"),"",IFERROR(IF(_xlfn.XLOOKUP($A194,UPS!$B$57:$B$64,UPS!$E$57:$E$64,"")="None",_xlfn.XLOOKUP($A194,UPS!$B$57:$B$64,UPS!$U$57:$U$64,""),""),"")),IF(AND(ISNUMBER(_xlpm.v),ISNUMBER(_xlpm.ulim)),MIN(_xlpm.v,_xlpm.ulim),_xlpm.v))</f>
        <v/>
      </c>
      <c r="K194" s="176"/>
      <c r="L194" s="177" t="str">
        <f t="shared" si="38"/>
        <v/>
      </c>
      <c r="M194" s="177" t="str">
        <f t="shared" si="39"/>
        <v/>
      </c>
      <c r="N194" s="380" t="str">
        <f>IF($A194="","",IF($C194=0,_xlfn.LET(_xlpm.x,IFERROR(_xlfn.XLOOKUP($A194,Util_Tags,Util_XR),""),IF(N(_xlpm.x)=0,Xfmr_DefXR,_xlpm.x)),IF(LEFT($A194,2)="T-",IFERROR(_xlfn.XLOOKUP($A194,Transformers!$A$6:$A$105,Transformers!$AH$6:$AH$105),Xfmr_DefXR),IFERROR(_xlfn.XLOOKUP($E194,$A$6:$A$255,$N$6:$N$255),Xfmr_DefXR))))</f>
        <v/>
      </c>
      <c r="O194" s="177" t="str">
        <f t="shared" si="40"/>
        <v/>
      </c>
      <c r="P194" s="210" t="str">
        <f>IF($A194="","",IF(LEFT($A194,2)="T-",IF($CO194="","",_xlfn.LET(_xlpm.k,IFERROR(_xlfn.XLOOKUP($A194,Transformers!$A$6:$A$105,Transformers!$G$6:$G$105),""),_xlpm.sv,IFERROR(_xlfn.XLOOKUP($A194,Transformers!$A$6:$A$105,Transformers!$E$6:$E$105),""),IF(OR(NOT(ISNUMBER(_xlpm.k)),NOT(ISNUMBER(_xlpm.sv)),_xlpm.sv=0),"",_xlfn.LET(_xlpm.iInf,(_xlpm.k*1000/(_xlpm.sv/2))*100/$CO194,_xlpm.pri,IF(OR($CK194="",$CK194=0),"",$CK194/2),_xlpm.base,IF(_xlpm.pri="",_xlpm.iInf,_xlpm.iInf/(1+_xlpm.iInf/_xlpm.pri)),_xlpm.base+IF($L194="",0,$L194))))),IF($CP194="","",_xlfn.LET(_xlpm.pI,IFERROR(_xlfn.XLOOKUP($E194,$A$6:$A$255,$P$6:$P$255),""),IF(NOT(ISNUMBER(_xlpm.pI)),"",_xlpm.pI/(1+$CP194)+IF($L194="",0,$L194))))))</f>
        <v/>
      </c>
      <c r="Q194" s="210" t="str">
        <f t="shared" si="41"/>
        <v/>
      </c>
      <c r="R194" s="177" t="str">
        <f>IF($A194="","",IF(OR($C194=0,LEFT($A194,2)="T-"),"",IFERROR(_xlfn.LET(_xlpm.v,_xlfn.XLOOKUP($A194,Dashboard!$A$101:$A$350,Dashboard!$K$101:$K$350),IF(ISNUMBER(_xlpm.v),_xlpm.v,"")),"")))</f>
        <v/>
      </c>
      <c r="S194" s="211" t="str">
        <f t="shared" si="42"/>
        <v/>
      </c>
      <c r="T194" s="25" t="str">
        <f t="shared" si="43"/>
        <v/>
      </c>
      <c r="U194" s="364"/>
      <c r="BV194" s="20" t="str">
        <f>IF($A194="","",IFERROR(_xlfn.XLOOKUP("F-"&amp;$A194,'Feeder Schedule'!$B$5:$B$254,'Feeder Schedule'!$H$5:$H$254),""))</f>
        <v/>
      </c>
      <c r="BW194" s="20" t="str">
        <f>IF($A194="","",IFERROR(_xlfn.XLOOKUP("F-"&amp;$A194,'Feeder Schedule'!$B$5:$B$254,'Feeder Schedule'!$BV$5:$BV$254),""))</f>
        <v/>
      </c>
      <c r="BX194" s="20" t="str">
        <f>IF($A194="","",IFERROR(_xlfn.LET(_xlpm.v,_xlfn.XLOOKUP("F-"&amp;$A194,'Feeder Schedule'!$B$5:$B$254,'Feeder Schedule'!$M$5:$M$254),IF(OR(_xlpm.v="",_xlpm.v=0),Cfg_Conduit,_xlpm.v)),""))</f>
        <v/>
      </c>
      <c r="BY194" s="20" t="str">
        <f>IF($A194="","",IFERROR(_xlfn.XLOOKUP("F-"&amp;$A194,'Feeder Schedule'!$B$5:$B$254,'Feeder Schedule'!$O$5:$O$254),""))</f>
        <v/>
      </c>
      <c r="BZ194" s="20" t="str">
        <f>IF($A194="","",IFERROR(_xlfn.XLOOKUP("F-"&amp;$A194,'Feeder Schedule'!$B$5:$B$254,'Feeder Schedule'!$CH$5:$CH$254),""))</f>
        <v/>
      </c>
      <c r="CA194" s="20" t="str">
        <f>IF($A194="","",IFERROR(_xlfn.XLOOKUP("F-"&amp;$A194,'Feeder Schedule'!$B$5:$B$254,'Feeder Schedule'!$F$5:$F$254),""))</f>
        <v/>
      </c>
      <c r="CB194" s="20" t="str">
        <f>IF($A194="","",IFERROR(_xlfn.XLOOKUP("F-"&amp;$A194,'Feeder Schedule'!$B$5:$B$254,'Feeder Schedule'!$G$5:$G$254),""))</f>
        <v/>
      </c>
      <c r="CD194" s="20" t="str" cm="1">
        <f t="array" ref="CD194">IFERROR(IF($A194="","",INDEX(_xlfn.ANCHORARRAY($BK$4),ROW()-5,6)),"")</f>
        <v/>
      </c>
      <c r="CE194" s="20" t="str">
        <f t="shared" si="46"/>
        <v/>
      </c>
      <c r="CF194" s="20" t="str">
        <f t="shared" si="47"/>
        <v/>
      </c>
      <c r="CG194" s="20" t="str">
        <f t="shared" si="44"/>
        <v/>
      </c>
      <c r="CH194" s="20" t="str" cm="1">
        <f t="array" ref="CH194">IF(OR($A194="",$BZ194="",$BW194="",$BX194=""),"",_xlfn.LET(_xlpm.mag,IFERROR(_xlfn.XLOOKUP($BX194,Race_Raceway,Race_Mag),""),IF(_xlpm.mag="","",IFERROR(INDEX(Cond_Table,MATCH($BZ194,Cond_Size,0),IF(UPPER($BW194)="AL",IF(_xlpm.mag="Y",10,12),IF(_xlpm.mag="Y",9,11))),""))))</f>
        <v/>
      </c>
      <c r="CI194" s="20" t="str">
        <f t="shared" si="45"/>
        <v/>
      </c>
      <c r="CJ194" s="20" t="str">
        <f>IF(OR($A194="",LEFT($A194,2)&lt;&gt;"T-"),"",IFERROR(_xlfn.LET(_xlpm.fla,_xlfn.XLOOKUP($A194,Transformers!$A$6:$A$105,Transformers!$AK$6:$AK$105),_xlpm.z,_xlfn.XLOOKUP($A194,Transformers!$A$6:$A$105,Transformers!$AX$6:$AX$105),IF(OR(_xlpm.fla="",_xlpm.z="",_xlpm.z=0),"",_xlpm.fla*100/_xlpm.z)),""))</f>
        <v/>
      </c>
      <c r="CK194" s="20" t="str">
        <f t="shared" si="48"/>
        <v/>
      </c>
      <c r="CL194" s="20" t="str">
        <f t="shared" si="49"/>
        <v/>
      </c>
      <c r="CM194" s="373"/>
      <c r="CO194" s="20" t="str">
        <f>IF(OR($A194="",LEFT($A194,2)&lt;&gt;"T-"),"",_xlfn.LET(_xlpm.ph,IFERROR(_xlfn.XLOOKUP($A194,Transformers!$A$6:$A$105,Transformers!$C$6:$C$105),""),_xlpm.rr,IFERROR(_xlfn.XLOOKUP($A194,Transformers!$A$6:$A$105,Transformers!$AG$6:$AG$105),""),_xlpm.xx,IFERROR(_xlfn.XLOOKUP($A194,Transformers!$A$6:$A$105,Transformers!$AI$6:$AI$105),""),IF(OR(_xlpm.ph&lt;&gt;1,NOT(ISNUMBER(_xlpm.rr)),NOT(ISNUMBER(_xlpm.xx))),"",SQRT((1.5*_xlpm.rr)^2+(1.2*_xlpm.xx)^2))))</f>
        <v/>
      </c>
      <c r="CP194" s="20" t="str">
        <f t="shared" si="50"/>
        <v/>
      </c>
    </row>
    <row r="195" spans="1:94" ht="15" customHeight="1" x14ac:dyDescent="0.45">
      <c r="A195" s="275" t="str" cm="1">
        <f t="array" ref="A195">IFERROR(IF(INDEX(_xlfn.ANCHORARRAY($BK$4),ROW()-5,1)="","",INDEX(_xlfn.ANCHORARRAY($BK$4),ROW()-5,1)),"")</f>
        <v/>
      </c>
      <c r="B195" s="25" t="str" cm="1">
        <f t="array" ref="B195">IFERROR(IF($A195="","",INDEX(_xlfn.ANCHORARRAY($BK$4),ROW()-5,5)),"")</f>
        <v/>
      </c>
      <c r="C195" s="178" t="str" cm="1">
        <f t="array" ref="C195">IFERROR(IF($A195="","",INDEX(_xlfn.ANCHORARRAY($BK$4),ROW()-5,7)),"")</f>
        <v/>
      </c>
      <c r="D195" s="177" t="str" cm="1">
        <f t="array" ref="D195">IFERROR(IF($A195="","",INDEX(_xlfn.ANCHORARRAY($BK$4),ROW()-5,3)),"")</f>
        <v/>
      </c>
      <c r="E195" s="25" t="str" cm="1">
        <f t="array" ref="E195">IFERROR(IF($A195="","",INDEX(_xlfn.ANCHORARRAY($BK$4),ROW()-5,2)),"")</f>
        <v/>
      </c>
      <c r="F195" s="177" t="str">
        <f t="shared" si="34"/>
        <v/>
      </c>
      <c r="G195" s="275" t="str">
        <f t="shared" si="35"/>
        <v/>
      </c>
      <c r="H195" s="180" t="str">
        <f t="shared" si="36"/>
        <v/>
      </c>
      <c r="I195" s="180" t="str">
        <f t="shared" si="37"/>
        <v/>
      </c>
      <c r="J195" s="177" t="str">
        <f>_xlfn.LET(_xlpm.v,_xlfn.LET(_xlpm.base,IF($A195="","",IF($C195=0,IFERROR(_xlfn.XLOOKUP($A195,Util_Tags,Util_SCAEff),""),IF(LEFT($A195,2)="T-",IF($CJ195="","",$CJ195/(1+IF($CL195="",0,$CL195))),IF(OR($F195="",$I195=""),"",$F195*$I195)))),_xlpm.gtag,IF(OR($A195="",NOT(OR($B195="ATS",$B195="MTS"))),"",IFERROR(_xlfn.XLOOKUP($A195,Dashboard!$A$101:$A$350,Dashboard!$L$101:$L$350,"")&amp;"","")),_xlpm.gkva,IF(_xlpm.gtag="",0,IFERROR(N(_xlfn.XLOOKUP(_xlpm.gtag,Generator!$B$53:$B$58,Generator!$S$53:$S$58,0)),0)),_xlpm.gxd,IF(_xlpm.gtag="",0,IFERROR(N(_xlfn.XLOOKUP(_xlpm.gtag,Generator!$B$53:$B$58,Generator!$U$53:$U$58,0)),0)),_xlpm.gamp,IF(OR(_xlpm.gkva=0,_xlpm.gxd=0,N($D195)=0),0,ROUND(_xlpm.gkva*1000/(IF(N($CB195)=1,1,SQRT(3))*$D195*_xlpm.gxd),0)),IF(OR(_xlpm.gamp=0,NOT(ISNUMBER(_xlpm.base))),_xlpm.base,MAX(_xlpm.base,_xlpm.gamp))),_xlpm.ulim,IF(OR($A195="",$B195&lt;&gt;"UPS"),"",IFERROR(IF(_xlfn.XLOOKUP($A195,UPS!$B$57:$B$64,UPS!$E$57:$E$64,"")="None",_xlfn.XLOOKUP($A195,UPS!$B$57:$B$64,UPS!$U$57:$U$64,""),""),"")),IF(AND(ISNUMBER(_xlpm.v),ISNUMBER(_xlpm.ulim)),MIN(_xlpm.v,_xlpm.ulim),_xlpm.v))</f>
        <v/>
      </c>
      <c r="K195" s="176"/>
      <c r="L195" s="177" t="str">
        <f t="shared" si="38"/>
        <v/>
      </c>
      <c r="M195" s="177" t="str">
        <f t="shared" si="39"/>
        <v/>
      </c>
      <c r="N195" s="380" t="str">
        <f>IF($A195="","",IF($C195=0,_xlfn.LET(_xlpm.x,IFERROR(_xlfn.XLOOKUP($A195,Util_Tags,Util_XR),""),IF(N(_xlpm.x)=0,Xfmr_DefXR,_xlpm.x)),IF(LEFT($A195,2)="T-",IFERROR(_xlfn.XLOOKUP($A195,Transformers!$A$6:$A$105,Transformers!$AH$6:$AH$105),Xfmr_DefXR),IFERROR(_xlfn.XLOOKUP($E195,$A$6:$A$255,$N$6:$N$255),Xfmr_DefXR))))</f>
        <v/>
      </c>
      <c r="O195" s="177" t="str">
        <f t="shared" si="40"/>
        <v/>
      </c>
      <c r="P195" s="210" t="str">
        <f>IF($A195="","",IF(LEFT($A195,2)="T-",IF($CO195="","",_xlfn.LET(_xlpm.k,IFERROR(_xlfn.XLOOKUP($A195,Transformers!$A$6:$A$105,Transformers!$G$6:$G$105),""),_xlpm.sv,IFERROR(_xlfn.XLOOKUP($A195,Transformers!$A$6:$A$105,Transformers!$E$6:$E$105),""),IF(OR(NOT(ISNUMBER(_xlpm.k)),NOT(ISNUMBER(_xlpm.sv)),_xlpm.sv=0),"",_xlfn.LET(_xlpm.iInf,(_xlpm.k*1000/(_xlpm.sv/2))*100/$CO195,_xlpm.pri,IF(OR($CK195="",$CK195=0),"",$CK195/2),_xlpm.base,IF(_xlpm.pri="",_xlpm.iInf,_xlpm.iInf/(1+_xlpm.iInf/_xlpm.pri)),_xlpm.base+IF($L195="",0,$L195))))),IF($CP195="","",_xlfn.LET(_xlpm.pI,IFERROR(_xlfn.XLOOKUP($E195,$A$6:$A$255,$P$6:$P$255),""),IF(NOT(ISNUMBER(_xlpm.pI)),"",_xlpm.pI/(1+$CP195)+IF($L195="",0,$L195))))))</f>
        <v/>
      </c>
      <c r="Q195" s="210" t="str">
        <f t="shared" si="41"/>
        <v/>
      </c>
      <c r="R195" s="177" t="str">
        <f>IF($A195="","",IF(OR($C195=0,LEFT($A195,2)="T-"),"",IFERROR(_xlfn.LET(_xlpm.v,_xlfn.XLOOKUP($A195,Dashboard!$A$101:$A$350,Dashboard!$K$101:$K$350),IF(ISNUMBER(_xlpm.v),_xlpm.v,"")),"")))</f>
        <v/>
      </c>
      <c r="S195" s="211" t="str">
        <f t="shared" si="42"/>
        <v/>
      </c>
      <c r="T195" s="25" t="str">
        <f t="shared" si="43"/>
        <v/>
      </c>
      <c r="U195" s="364"/>
      <c r="BV195" s="20" t="str">
        <f>IF($A195="","",IFERROR(_xlfn.XLOOKUP("F-"&amp;$A195,'Feeder Schedule'!$B$5:$B$254,'Feeder Schedule'!$H$5:$H$254),""))</f>
        <v/>
      </c>
      <c r="BW195" s="20" t="str">
        <f>IF($A195="","",IFERROR(_xlfn.XLOOKUP("F-"&amp;$A195,'Feeder Schedule'!$B$5:$B$254,'Feeder Schedule'!$BV$5:$BV$254),""))</f>
        <v/>
      </c>
      <c r="BX195" s="20" t="str">
        <f>IF($A195="","",IFERROR(_xlfn.LET(_xlpm.v,_xlfn.XLOOKUP("F-"&amp;$A195,'Feeder Schedule'!$B$5:$B$254,'Feeder Schedule'!$M$5:$M$254),IF(OR(_xlpm.v="",_xlpm.v=0),Cfg_Conduit,_xlpm.v)),""))</f>
        <v/>
      </c>
      <c r="BY195" s="20" t="str">
        <f>IF($A195="","",IFERROR(_xlfn.XLOOKUP("F-"&amp;$A195,'Feeder Schedule'!$B$5:$B$254,'Feeder Schedule'!$O$5:$O$254),""))</f>
        <v/>
      </c>
      <c r="BZ195" s="20" t="str">
        <f>IF($A195="","",IFERROR(_xlfn.XLOOKUP("F-"&amp;$A195,'Feeder Schedule'!$B$5:$B$254,'Feeder Schedule'!$CH$5:$CH$254),""))</f>
        <v/>
      </c>
      <c r="CA195" s="20" t="str">
        <f>IF($A195="","",IFERROR(_xlfn.XLOOKUP("F-"&amp;$A195,'Feeder Schedule'!$B$5:$B$254,'Feeder Schedule'!$F$5:$F$254),""))</f>
        <v/>
      </c>
      <c r="CB195" s="20" t="str">
        <f>IF($A195="","",IFERROR(_xlfn.XLOOKUP("F-"&amp;$A195,'Feeder Schedule'!$B$5:$B$254,'Feeder Schedule'!$G$5:$G$254),""))</f>
        <v/>
      </c>
      <c r="CD195" s="20" t="str" cm="1">
        <f t="array" ref="CD195">IFERROR(IF($A195="","",INDEX(_xlfn.ANCHORARRAY($BK$4),ROW()-5,6)),"")</f>
        <v/>
      </c>
      <c r="CE195" s="20" t="str">
        <f t="shared" si="46"/>
        <v/>
      </c>
      <c r="CF195" s="20" t="str">
        <f t="shared" si="47"/>
        <v/>
      </c>
      <c r="CG195" s="20" t="str">
        <f t="shared" si="44"/>
        <v/>
      </c>
      <c r="CH195" s="20" t="str" cm="1">
        <f t="array" ref="CH195">IF(OR($A195="",$BZ195="",$BW195="",$BX195=""),"",_xlfn.LET(_xlpm.mag,IFERROR(_xlfn.XLOOKUP($BX195,Race_Raceway,Race_Mag),""),IF(_xlpm.mag="","",IFERROR(INDEX(Cond_Table,MATCH($BZ195,Cond_Size,0),IF(UPPER($BW195)="AL",IF(_xlpm.mag="Y",10,12),IF(_xlpm.mag="Y",9,11))),""))))</f>
        <v/>
      </c>
      <c r="CI195" s="20" t="str">
        <f t="shared" si="45"/>
        <v/>
      </c>
      <c r="CJ195" s="20" t="str">
        <f>IF(OR($A195="",LEFT($A195,2)&lt;&gt;"T-"),"",IFERROR(_xlfn.LET(_xlpm.fla,_xlfn.XLOOKUP($A195,Transformers!$A$6:$A$105,Transformers!$AK$6:$AK$105),_xlpm.z,_xlfn.XLOOKUP($A195,Transformers!$A$6:$A$105,Transformers!$AX$6:$AX$105),IF(OR(_xlpm.fla="",_xlpm.z="",_xlpm.z=0),"",_xlpm.fla*100/_xlpm.z)),""))</f>
        <v/>
      </c>
      <c r="CK195" s="20" t="str">
        <f t="shared" si="48"/>
        <v/>
      </c>
      <c r="CL195" s="20" t="str">
        <f t="shared" si="49"/>
        <v/>
      </c>
      <c r="CM195" s="373"/>
      <c r="CO195" s="20" t="str">
        <f>IF(OR($A195="",LEFT($A195,2)&lt;&gt;"T-"),"",_xlfn.LET(_xlpm.ph,IFERROR(_xlfn.XLOOKUP($A195,Transformers!$A$6:$A$105,Transformers!$C$6:$C$105),""),_xlpm.rr,IFERROR(_xlfn.XLOOKUP($A195,Transformers!$A$6:$A$105,Transformers!$AG$6:$AG$105),""),_xlpm.xx,IFERROR(_xlfn.XLOOKUP($A195,Transformers!$A$6:$A$105,Transformers!$AI$6:$AI$105),""),IF(OR(_xlpm.ph&lt;&gt;1,NOT(ISNUMBER(_xlpm.rr)),NOT(ISNUMBER(_xlpm.xx))),"",SQRT((1.5*_xlpm.rr)^2+(1.2*_xlpm.xx)^2))))</f>
        <v/>
      </c>
      <c r="CP195" s="20" t="str">
        <f t="shared" si="50"/>
        <v/>
      </c>
    </row>
    <row r="196" spans="1:94" ht="15" customHeight="1" x14ac:dyDescent="0.45">
      <c r="A196" s="275" t="str" cm="1">
        <f t="array" ref="A196">IFERROR(IF(INDEX(_xlfn.ANCHORARRAY($BK$4),ROW()-5,1)="","",INDEX(_xlfn.ANCHORARRAY($BK$4),ROW()-5,1)),"")</f>
        <v/>
      </c>
      <c r="B196" s="25" t="str" cm="1">
        <f t="array" ref="B196">IFERROR(IF($A196="","",INDEX(_xlfn.ANCHORARRAY($BK$4),ROW()-5,5)),"")</f>
        <v/>
      </c>
      <c r="C196" s="178" t="str" cm="1">
        <f t="array" ref="C196">IFERROR(IF($A196="","",INDEX(_xlfn.ANCHORARRAY($BK$4),ROW()-5,7)),"")</f>
        <v/>
      </c>
      <c r="D196" s="177" t="str" cm="1">
        <f t="array" ref="D196">IFERROR(IF($A196="","",INDEX(_xlfn.ANCHORARRAY($BK$4),ROW()-5,3)),"")</f>
        <v/>
      </c>
      <c r="E196" s="25" t="str" cm="1">
        <f t="array" ref="E196">IFERROR(IF($A196="","",INDEX(_xlfn.ANCHORARRAY($BK$4),ROW()-5,2)),"")</f>
        <v/>
      </c>
      <c r="F196" s="177" t="str">
        <f t="shared" si="34"/>
        <v/>
      </c>
      <c r="G196" s="275" t="str">
        <f t="shared" si="35"/>
        <v/>
      </c>
      <c r="H196" s="180" t="str">
        <f t="shared" si="36"/>
        <v/>
      </c>
      <c r="I196" s="180" t="str">
        <f t="shared" si="37"/>
        <v/>
      </c>
      <c r="J196" s="177" t="str">
        <f>_xlfn.LET(_xlpm.v,_xlfn.LET(_xlpm.base,IF($A196="","",IF($C196=0,IFERROR(_xlfn.XLOOKUP($A196,Util_Tags,Util_SCAEff),""),IF(LEFT($A196,2)="T-",IF($CJ196="","",$CJ196/(1+IF($CL196="",0,$CL196))),IF(OR($F196="",$I196=""),"",$F196*$I196)))),_xlpm.gtag,IF(OR($A196="",NOT(OR($B196="ATS",$B196="MTS"))),"",IFERROR(_xlfn.XLOOKUP($A196,Dashboard!$A$101:$A$350,Dashboard!$L$101:$L$350,"")&amp;"","")),_xlpm.gkva,IF(_xlpm.gtag="",0,IFERROR(N(_xlfn.XLOOKUP(_xlpm.gtag,Generator!$B$53:$B$58,Generator!$S$53:$S$58,0)),0)),_xlpm.gxd,IF(_xlpm.gtag="",0,IFERROR(N(_xlfn.XLOOKUP(_xlpm.gtag,Generator!$B$53:$B$58,Generator!$U$53:$U$58,0)),0)),_xlpm.gamp,IF(OR(_xlpm.gkva=0,_xlpm.gxd=0,N($D196)=0),0,ROUND(_xlpm.gkva*1000/(IF(N($CB196)=1,1,SQRT(3))*$D196*_xlpm.gxd),0)),IF(OR(_xlpm.gamp=0,NOT(ISNUMBER(_xlpm.base))),_xlpm.base,MAX(_xlpm.base,_xlpm.gamp))),_xlpm.ulim,IF(OR($A196="",$B196&lt;&gt;"UPS"),"",IFERROR(IF(_xlfn.XLOOKUP($A196,UPS!$B$57:$B$64,UPS!$E$57:$E$64,"")="None",_xlfn.XLOOKUP($A196,UPS!$B$57:$B$64,UPS!$U$57:$U$64,""),""),"")),IF(AND(ISNUMBER(_xlpm.v),ISNUMBER(_xlpm.ulim)),MIN(_xlpm.v,_xlpm.ulim),_xlpm.v))</f>
        <v/>
      </c>
      <c r="K196" s="176"/>
      <c r="L196" s="177" t="str">
        <f t="shared" si="38"/>
        <v/>
      </c>
      <c r="M196" s="177" t="str">
        <f t="shared" si="39"/>
        <v/>
      </c>
      <c r="N196" s="380" t="str">
        <f>IF($A196="","",IF($C196=0,_xlfn.LET(_xlpm.x,IFERROR(_xlfn.XLOOKUP($A196,Util_Tags,Util_XR),""),IF(N(_xlpm.x)=0,Xfmr_DefXR,_xlpm.x)),IF(LEFT($A196,2)="T-",IFERROR(_xlfn.XLOOKUP($A196,Transformers!$A$6:$A$105,Transformers!$AH$6:$AH$105),Xfmr_DefXR),IFERROR(_xlfn.XLOOKUP($E196,$A$6:$A$255,$N$6:$N$255),Xfmr_DefXR))))</f>
        <v/>
      </c>
      <c r="O196" s="177" t="str">
        <f t="shared" si="40"/>
        <v/>
      </c>
      <c r="P196" s="210" t="str">
        <f>IF($A196="","",IF(LEFT($A196,2)="T-",IF($CO196="","",_xlfn.LET(_xlpm.k,IFERROR(_xlfn.XLOOKUP($A196,Transformers!$A$6:$A$105,Transformers!$G$6:$G$105),""),_xlpm.sv,IFERROR(_xlfn.XLOOKUP($A196,Transformers!$A$6:$A$105,Transformers!$E$6:$E$105),""),IF(OR(NOT(ISNUMBER(_xlpm.k)),NOT(ISNUMBER(_xlpm.sv)),_xlpm.sv=0),"",_xlfn.LET(_xlpm.iInf,(_xlpm.k*1000/(_xlpm.sv/2))*100/$CO196,_xlpm.pri,IF(OR($CK196="",$CK196=0),"",$CK196/2),_xlpm.base,IF(_xlpm.pri="",_xlpm.iInf,_xlpm.iInf/(1+_xlpm.iInf/_xlpm.pri)),_xlpm.base+IF($L196="",0,$L196))))),IF($CP196="","",_xlfn.LET(_xlpm.pI,IFERROR(_xlfn.XLOOKUP($E196,$A$6:$A$255,$P$6:$P$255),""),IF(NOT(ISNUMBER(_xlpm.pI)),"",_xlpm.pI/(1+$CP196)+IF($L196="",0,$L196))))))</f>
        <v/>
      </c>
      <c r="Q196" s="210" t="str">
        <f t="shared" si="41"/>
        <v/>
      </c>
      <c r="R196" s="177" t="str">
        <f>IF($A196="","",IF(OR($C196=0,LEFT($A196,2)="T-"),"",IFERROR(_xlfn.LET(_xlpm.v,_xlfn.XLOOKUP($A196,Dashboard!$A$101:$A$350,Dashboard!$K$101:$K$350),IF(ISNUMBER(_xlpm.v),_xlpm.v,"")),"")))</f>
        <v/>
      </c>
      <c r="S196" s="211" t="str">
        <f t="shared" si="42"/>
        <v/>
      </c>
      <c r="T196" s="25" t="str">
        <f t="shared" si="43"/>
        <v/>
      </c>
      <c r="U196" s="364"/>
      <c r="BV196" s="20" t="str">
        <f>IF($A196="","",IFERROR(_xlfn.XLOOKUP("F-"&amp;$A196,'Feeder Schedule'!$B$5:$B$254,'Feeder Schedule'!$H$5:$H$254),""))</f>
        <v/>
      </c>
      <c r="BW196" s="20" t="str">
        <f>IF($A196="","",IFERROR(_xlfn.XLOOKUP("F-"&amp;$A196,'Feeder Schedule'!$B$5:$B$254,'Feeder Schedule'!$BV$5:$BV$254),""))</f>
        <v/>
      </c>
      <c r="BX196" s="20" t="str">
        <f>IF($A196="","",IFERROR(_xlfn.LET(_xlpm.v,_xlfn.XLOOKUP("F-"&amp;$A196,'Feeder Schedule'!$B$5:$B$254,'Feeder Schedule'!$M$5:$M$254),IF(OR(_xlpm.v="",_xlpm.v=0),Cfg_Conduit,_xlpm.v)),""))</f>
        <v/>
      </c>
      <c r="BY196" s="20" t="str">
        <f>IF($A196="","",IFERROR(_xlfn.XLOOKUP("F-"&amp;$A196,'Feeder Schedule'!$B$5:$B$254,'Feeder Schedule'!$O$5:$O$254),""))</f>
        <v/>
      </c>
      <c r="BZ196" s="20" t="str">
        <f>IF($A196="","",IFERROR(_xlfn.XLOOKUP("F-"&amp;$A196,'Feeder Schedule'!$B$5:$B$254,'Feeder Schedule'!$CH$5:$CH$254),""))</f>
        <v/>
      </c>
      <c r="CA196" s="20" t="str">
        <f>IF($A196="","",IFERROR(_xlfn.XLOOKUP("F-"&amp;$A196,'Feeder Schedule'!$B$5:$B$254,'Feeder Schedule'!$F$5:$F$254),""))</f>
        <v/>
      </c>
      <c r="CB196" s="20" t="str">
        <f>IF($A196="","",IFERROR(_xlfn.XLOOKUP("F-"&amp;$A196,'Feeder Schedule'!$B$5:$B$254,'Feeder Schedule'!$G$5:$G$254),""))</f>
        <v/>
      </c>
      <c r="CD196" s="20" t="str" cm="1">
        <f t="array" ref="CD196">IFERROR(IF($A196="","",INDEX(_xlfn.ANCHORARRAY($BK$4),ROW()-5,6)),"")</f>
        <v/>
      </c>
      <c r="CE196" s="20" t="str">
        <f t="shared" si="46"/>
        <v/>
      </c>
      <c r="CF196" s="20" t="str">
        <f t="shared" si="47"/>
        <v/>
      </c>
      <c r="CG196" s="20" t="str">
        <f t="shared" si="44"/>
        <v/>
      </c>
      <c r="CH196" s="20" t="str" cm="1">
        <f t="array" ref="CH196">IF(OR($A196="",$BZ196="",$BW196="",$BX196=""),"",_xlfn.LET(_xlpm.mag,IFERROR(_xlfn.XLOOKUP($BX196,Race_Raceway,Race_Mag),""),IF(_xlpm.mag="","",IFERROR(INDEX(Cond_Table,MATCH($BZ196,Cond_Size,0),IF(UPPER($BW196)="AL",IF(_xlpm.mag="Y",10,12),IF(_xlpm.mag="Y",9,11))),""))))</f>
        <v/>
      </c>
      <c r="CI196" s="20" t="str">
        <f t="shared" si="45"/>
        <v/>
      </c>
      <c r="CJ196" s="20" t="str">
        <f>IF(OR($A196="",LEFT($A196,2)&lt;&gt;"T-"),"",IFERROR(_xlfn.LET(_xlpm.fla,_xlfn.XLOOKUP($A196,Transformers!$A$6:$A$105,Transformers!$AK$6:$AK$105),_xlpm.z,_xlfn.XLOOKUP($A196,Transformers!$A$6:$A$105,Transformers!$AX$6:$AX$105),IF(OR(_xlpm.fla="",_xlpm.z="",_xlpm.z=0),"",_xlpm.fla*100/_xlpm.z)),""))</f>
        <v/>
      </c>
      <c r="CK196" s="20" t="str">
        <f t="shared" si="48"/>
        <v/>
      </c>
      <c r="CL196" s="20" t="str">
        <f t="shared" si="49"/>
        <v/>
      </c>
      <c r="CM196" s="373"/>
      <c r="CO196" s="20" t="str">
        <f>IF(OR($A196="",LEFT($A196,2)&lt;&gt;"T-"),"",_xlfn.LET(_xlpm.ph,IFERROR(_xlfn.XLOOKUP($A196,Transformers!$A$6:$A$105,Transformers!$C$6:$C$105),""),_xlpm.rr,IFERROR(_xlfn.XLOOKUP($A196,Transformers!$A$6:$A$105,Transformers!$AG$6:$AG$105),""),_xlpm.xx,IFERROR(_xlfn.XLOOKUP($A196,Transformers!$A$6:$A$105,Transformers!$AI$6:$AI$105),""),IF(OR(_xlpm.ph&lt;&gt;1,NOT(ISNUMBER(_xlpm.rr)),NOT(ISNUMBER(_xlpm.xx))),"",SQRT((1.5*_xlpm.rr)^2+(1.2*_xlpm.xx)^2))))</f>
        <v/>
      </c>
      <c r="CP196" s="20" t="str">
        <f t="shared" si="50"/>
        <v/>
      </c>
    </row>
    <row r="197" spans="1:94" ht="15" customHeight="1" x14ac:dyDescent="0.45">
      <c r="A197" s="275" t="str" cm="1">
        <f t="array" ref="A197">IFERROR(IF(INDEX(_xlfn.ANCHORARRAY($BK$4),ROW()-5,1)="","",INDEX(_xlfn.ANCHORARRAY($BK$4),ROW()-5,1)),"")</f>
        <v/>
      </c>
      <c r="B197" s="25" t="str" cm="1">
        <f t="array" ref="B197">IFERROR(IF($A197="","",INDEX(_xlfn.ANCHORARRAY($BK$4),ROW()-5,5)),"")</f>
        <v/>
      </c>
      <c r="C197" s="178" t="str" cm="1">
        <f t="array" ref="C197">IFERROR(IF($A197="","",INDEX(_xlfn.ANCHORARRAY($BK$4),ROW()-5,7)),"")</f>
        <v/>
      </c>
      <c r="D197" s="177" t="str" cm="1">
        <f t="array" ref="D197">IFERROR(IF($A197="","",INDEX(_xlfn.ANCHORARRAY($BK$4),ROW()-5,3)),"")</f>
        <v/>
      </c>
      <c r="E197" s="25" t="str" cm="1">
        <f t="array" ref="E197">IFERROR(IF($A197="","",INDEX(_xlfn.ANCHORARRAY($BK$4),ROW()-5,2)),"")</f>
        <v/>
      </c>
      <c r="F197" s="177" t="str">
        <f t="shared" si="34"/>
        <v/>
      </c>
      <c r="G197" s="275" t="str">
        <f t="shared" si="35"/>
        <v/>
      </c>
      <c r="H197" s="180" t="str">
        <f t="shared" si="36"/>
        <v/>
      </c>
      <c r="I197" s="180" t="str">
        <f t="shared" si="37"/>
        <v/>
      </c>
      <c r="J197" s="177" t="str">
        <f>_xlfn.LET(_xlpm.v,_xlfn.LET(_xlpm.base,IF($A197="","",IF($C197=0,IFERROR(_xlfn.XLOOKUP($A197,Util_Tags,Util_SCAEff),""),IF(LEFT($A197,2)="T-",IF($CJ197="","",$CJ197/(1+IF($CL197="",0,$CL197))),IF(OR($F197="",$I197=""),"",$F197*$I197)))),_xlpm.gtag,IF(OR($A197="",NOT(OR($B197="ATS",$B197="MTS"))),"",IFERROR(_xlfn.XLOOKUP($A197,Dashboard!$A$101:$A$350,Dashboard!$L$101:$L$350,"")&amp;"","")),_xlpm.gkva,IF(_xlpm.gtag="",0,IFERROR(N(_xlfn.XLOOKUP(_xlpm.gtag,Generator!$B$53:$B$58,Generator!$S$53:$S$58,0)),0)),_xlpm.gxd,IF(_xlpm.gtag="",0,IFERROR(N(_xlfn.XLOOKUP(_xlpm.gtag,Generator!$B$53:$B$58,Generator!$U$53:$U$58,0)),0)),_xlpm.gamp,IF(OR(_xlpm.gkva=0,_xlpm.gxd=0,N($D197)=0),0,ROUND(_xlpm.gkva*1000/(IF(N($CB197)=1,1,SQRT(3))*$D197*_xlpm.gxd),0)),IF(OR(_xlpm.gamp=0,NOT(ISNUMBER(_xlpm.base))),_xlpm.base,MAX(_xlpm.base,_xlpm.gamp))),_xlpm.ulim,IF(OR($A197="",$B197&lt;&gt;"UPS"),"",IFERROR(IF(_xlfn.XLOOKUP($A197,UPS!$B$57:$B$64,UPS!$E$57:$E$64,"")="None",_xlfn.XLOOKUP($A197,UPS!$B$57:$B$64,UPS!$U$57:$U$64,""),""),"")),IF(AND(ISNUMBER(_xlpm.v),ISNUMBER(_xlpm.ulim)),MIN(_xlpm.v,_xlpm.ulim),_xlpm.v))</f>
        <v/>
      </c>
      <c r="K197" s="176"/>
      <c r="L197" s="177" t="str">
        <f t="shared" si="38"/>
        <v/>
      </c>
      <c r="M197" s="177" t="str">
        <f t="shared" si="39"/>
        <v/>
      </c>
      <c r="N197" s="380" t="str">
        <f>IF($A197="","",IF($C197=0,_xlfn.LET(_xlpm.x,IFERROR(_xlfn.XLOOKUP($A197,Util_Tags,Util_XR),""),IF(N(_xlpm.x)=0,Xfmr_DefXR,_xlpm.x)),IF(LEFT($A197,2)="T-",IFERROR(_xlfn.XLOOKUP($A197,Transformers!$A$6:$A$105,Transformers!$AH$6:$AH$105),Xfmr_DefXR),IFERROR(_xlfn.XLOOKUP($E197,$A$6:$A$255,$N$6:$N$255),Xfmr_DefXR))))</f>
        <v/>
      </c>
      <c r="O197" s="177" t="str">
        <f t="shared" si="40"/>
        <v/>
      </c>
      <c r="P197" s="210" t="str">
        <f>IF($A197="","",IF(LEFT($A197,2)="T-",IF($CO197="","",_xlfn.LET(_xlpm.k,IFERROR(_xlfn.XLOOKUP($A197,Transformers!$A$6:$A$105,Transformers!$G$6:$G$105),""),_xlpm.sv,IFERROR(_xlfn.XLOOKUP($A197,Transformers!$A$6:$A$105,Transformers!$E$6:$E$105),""),IF(OR(NOT(ISNUMBER(_xlpm.k)),NOT(ISNUMBER(_xlpm.sv)),_xlpm.sv=0),"",_xlfn.LET(_xlpm.iInf,(_xlpm.k*1000/(_xlpm.sv/2))*100/$CO197,_xlpm.pri,IF(OR($CK197="",$CK197=0),"",$CK197/2),_xlpm.base,IF(_xlpm.pri="",_xlpm.iInf,_xlpm.iInf/(1+_xlpm.iInf/_xlpm.pri)),_xlpm.base+IF($L197="",0,$L197))))),IF($CP197="","",_xlfn.LET(_xlpm.pI,IFERROR(_xlfn.XLOOKUP($E197,$A$6:$A$255,$P$6:$P$255),""),IF(NOT(ISNUMBER(_xlpm.pI)),"",_xlpm.pI/(1+$CP197)+IF($L197="",0,$L197))))))</f>
        <v/>
      </c>
      <c r="Q197" s="210" t="str">
        <f t="shared" si="41"/>
        <v/>
      </c>
      <c r="R197" s="177" t="str">
        <f>IF($A197="","",IF(OR($C197=0,LEFT($A197,2)="T-"),"",IFERROR(_xlfn.LET(_xlpm.v,_xlfn.XLOOKUP($A197,Dashboard!$A$101:$A$350,Dashboard!$K$101:$K$350),IF(ISNUMBER(_xlpm.v),_xlpm.v,"")),"")))</f>
        <v/>
      </c>
      <c r="S197" s="211" t="str">
        <f t="shared" si="42"/>
        <v/>
      </c>
      <c r="T197" s="25" t="str">
        <f t="shared" si="43"/>
        <v/>
      </c>
      <c r="U197" s="364"/>
      <c r="BV197" s="20" t="str">
        <f>IF($A197="","",IFERROR(_xlfn.XLOOKUP("F-"&amp;$A197,'Feeder Schedule'!$B$5:$B$254,'Feeder Schedule'!$H$5:$H$254),""))</f>
        <v/>
      </c>
      <c r="BW197" s="20" t="str">
        <f>IF($A197="","",IFERROR(_xlfn.XLOOKUP("F-"&amp;$A197,'Feeder Schedule'!$B$5:$B$254,'Feeder Schedule'!$BV$5:$BV$254),""))</f>
        <v/>
      </c>
      <c r="BX197" s="20" t="str">
        <f>IF($A197="","",IFERROR(_xlfn.LET(_xlpm.v,_xlfn.XLOOKUP("F-"&amp;$A197,'Feeder Schedule'!$B$5:$B$254,'Feeder Schedule'!$M$5:$M$254),IF(OR(_xlpm.v="",_xlpm.v=0),Cfg_Conduit,_xlpm.v)),""))</f>
        <v/>
      </c>
      <c r="BY197" s="20" t="str">
        <f>IF($A197="","",IFERROR(_xlfn.XLOOKUP("F-"&amp;$A197,'Feeder Schedule'!$B$5:$B$254,'Feeder Schedule'!$O$5:$O$254),""))</f>
        <v/>
      </c>
      <c r="BZ197" s="20" t="str">
        <f>IF($A197="","",IFERROR(_xlfn.XLOOKUP("F-"&amp;$A197,'Feeder Schedule'!$B$5:$B$254,'Feeder Schedule'!$CH$5:$CH$254),""))</f>
        <v/>
      </c>
      <c r="CA197" s="20" t="str">
        <f>IF($A197="","",IFERROR(_xlfn.XLOOKUP("F-"&amp;$A197,'Feeder Schedule'!$B$5:$B$254,'Feeder Schedule'!$F$5:$F$254),""))</f>
        <v/>
      </c>
      <c r="CB197" s="20" t="str">
        <f>IF($A197="","",IFERROR(_xlfn.XLOOKUP("F-"&amp;$A197,'Feeder Schedule'!$B$5:$B$254,'Feeder Schedule'!$G$5:$G$254),""))</f>
        <v/>
      </c>
      <c r="CD197" s="20" t="str" cm="1">
        <f t="array" ref="CD197">IFERROR(IF($A197="","",INDEX(_xlfn.ANCHORARRAY($BK$4),ROW()-5,6)),"")</f>
        <v/>
      </c>
      <c r="CE197" s="20" t="str">
        <f t="shared" si="46"/>
        <v/>
      </c>
      <c r="CF197" s="20" t="str">
        <f t="shared" si="47"/>
        <v/>
      </c>
      <c r="CG197" s="20" t="str">
        <f t="shared" si="44"/>
        <v/>
      </c>
      <c r="CH197" s="20" t="str" cm="1">
        <f t="array" ref="CH197">IF(OR($A197="",$BZ197="",$BW197="",$BX197=""),"",_xlfn.LET(_xlpm.mag,IFERROR(_xlfn.XLOOKUP($BX197,Race_Raceway,Race_Mag),""),IF(_xlpm.mag="","",IFERROR(INDEX(Cond_Table,MATCH($BZ197,Cond_Size,0),IF(UPPER($BW197)="AL",IF(_xlpm.mag="Y",10,12),IF(_xlpm.mag="Y",9,11))),""))))</f>
        <v/>
      </c>
      <c r="CI197" s="20" t="str">
        <f t="shared" si="45"/>
        <v/>
      </c>
      <c r="CJ197" s="20" t="str">
        <f>IF(OR($A197="",LEFT($A197,2)&lt;&gt;"T-"),"",IFERROR(_xlfn.LET(_xlpm.fla,_xlfn.XLOOKUP($A197,Transformers!$A$6:$A$105,Transformers!$AK$6:$AK$105),_xlpm.z,_xlfn.XLOOKUP($A197,Transformers!$A$6:$A$105,Transformers!$AX$6:$AX$105),IF(OR(_xlpm.fla="",_xlpm.z="",_xlpm.z=0),"",_xlpm.fla*100/_xlpm.z)),""))</f>
        <v/>
      </c>
      <c r="CK197" s="20" t="str">
        <f t="shared" si="48"/>
        <v/>
      </c>
      <c r="CL197" s="20" t="str">
        <f t="shared" si="49"/>
        <v/>
      </c>
      <c r="CM197" s="373"/>
      <c r="CO197" s="20" t="str">
        <f>IF(OR($A197="",LEFT($A197,2)&lt;&gt;"T-"),"",_xlfn.LET(_xlpm.ph,IFERROR(_xlfn.XLOOKUP($A197,Transformers!$A$6:$A$105,Transformers!$C$6:$C$105),""),_xlpm.rr,IFERROR(_xlfn.XLOOKUP($A197,Transformers!$A$6:$A$105,Transformers!$AG$6:$AG$105),""),_xlpm.xx,IFERROR(_xlfn.XLOOKUP($A197,Transformers!$A$6:$A$105,Transformers!$AI$6:$AI$105),""),IF(OR(_xlpm.ph&lt;&gt;1,NOT(ISNUMBER(_xlpm.rr)),NOT(ISNUMBER(_xlpm.xx))),"",SQRT((1.5*_xlpm.rr)^2+(1.2*_xlpm.xx)^2))))</f>
        <v/>
      </c>
      <c r="CP197" s="20" t="str">
        <f t="shared" si="50"/>
        <v/>
      </c>
    </row>
    <row r="198" spans="1:94" ht="15" customHeight="1" x14ac:dyDescent="0.45">
      <c r="A198" s="275" t="str" cm="1">
        <f t="array" ref="A198">IFERROR(IF(INDEX(_xlfn.ANCHORARRAY($BK$4),ROW()-5,1)="","",INDEX(_xlfn.ANCHORARRAY($BK$4),ROW()-5,1)),"")</f>
        <v/>
      </c>
      <c r="B198" s="25" t="str" cm="1">
        <f t="array" ref="B198">IFERROR(IF($A198="","",INDEX(_xlfn.ANCHORARRAY($BK$4),ROW()-5,5)),"")</f>
        <v/>
      </c>
      <c r="C198" s="178" t="str" cm="1">
        <f t="array" ref="C198">IFERROR(IF($A198="","",INDEX(_xlfn.ANCHORARRAY($BK$4),ROW()-5,7)),"")</f>
        <v/>
      </c>
      <c r="D198" s="177" t="str" cm="1">
        <f t="array" ref="D198">IFERROR(IF($A198="","",INDEX(_xlfn.ANCHORARRAY($BK$4),ROW()-5,3)),"")</f>
        <v/>
      </c>
      <c r="E198" s="25" t="str" cm="1">
        <f t="array" ref="E198">IFERROR(IF($A198="","",INDEX(_xlfn.ANCHORARRAY($BK$4),ROW()-5,2)),"")</f>
        <v/>
      </c>
      <c r="F198" s="177" t="str">
        <f t="shared" ref="F198:F255" si="51">IF($A198="","",IF($C198=0,IFERROR(_xlfn.XLOOKUP($A198,Util_Tags,Util_SCAEff),""),IFERROR(_xlfn.XLOOKUP($E198,$A$6:$A$255,$M$6:$M$255),"")))</f>
        <v/>
      </c>
      <c r="G198" s="275" t="str">
        <f t="shared" ref="G198:G255" si="52">IF($A198="","",IF($C198=0,"— utility service —",IF($BZ198="","⚠ no feeder data",MAX($BY198,1)&amp;"-"&amp;$BZ198&amp;" "&amp;$BW198&amp;", "&amp;TEXT($BV198,"#,##0")&amp;" ft, "&amp;$BX198)))</f>
        <v/>
      </c>
      <c r="H198" s="180" t="str">
        <f t="shared" ref="H198:H255" si="53">IF(OR($A198="",$C198=0,$CH198="",$BV198="",$F198="",$CF198=""),"",$CG198*$BV198*$F198/($CH198*MAX($BY198,1)*$CF198))</f>
        <v/>
      </c>
      <c r="I198" s="180" t="str">
        <f t="shared" ref="I198:I255" si="54">IF($A198="","",IF($C198=0,1,IF($H198="","",1/(1+$H198))))</f>
        <v/>
      </c>
      <c r="J198" s="177" t="str">
        <f>_xlfn.LET(_xlpm.v,_xlfn.LET(_xlpm.base,IF($A198="","",IF($C198=0,IFERROR(_xlfn.XLOOKUP($A198,Util_Tags,Util_SCAEff),""),IF(LEFT($A198,2)="T-",IF($CJ198="","",$CJ198/(1+IF($CL198="",0,$CL198))),IF(OR($F198="",$I198=""),"",$F198*$I198)))),_xlpm.gtag,IF(OR($A198="",NOT(OR($B198="ATS",$B198="MTS"))),"",IFERROR(_xlfn.XLOOKUP($A198,Dashboard!$A$101:$A$350,Dashboard!$L$101:$L$350,"")&amp;"","")),_xlpm.gkva,IF(_xlpm.gtag="",0,IFERROR(N(_xlfn.XLOOKUP(_xlpm.gtag,Generator!$B$53:$B$58,Generator!$S$53:$S$58,0)),0)),_xlpm.gxd,IF(_xlpm.gtag="",0,IFERROR(N(_xlfn.XLOOKUP(_xlpm.gtag,Generator!$B$53:$B$58,Generator!$U$53:$U$58,0)),0)),_xlpm.gamp,IF(OR(_xlpm.gkva=0,_xlpm.gxd=0,N($D198)=0),0,ROUND(_xlpm.gkva*1000/(IF(N($CB198)=1,1,SQRT(3))*$D198*_xlpm.gxd),0)),IF(OR(_xlpm.gamp=0,NOT(ISNUMBER(_xlpm.base))),_xlpm.base,MAX(_xlpm.base,_xlpm.gamp))),_xlpm.ulim,IF(OR($A198="",$B198&lt;&gt;"UPS"),"",IFERROR(IF(_xlfn.XLOOKUP($A198,UPS!$B$57:$B$64,UPS!$E$57:$E$64,"")="None",_xlfn.XLOOKUP($A198,UPS!$B$57:$B$64,UPS!$U$57:$U$64,""),""),"")),IF(AND(ISNUMBER(_xlpm.v),ISNUMBER(_xlpm.ulim)),MIN(_xlpm.v,_xlpm.ulim),_xlpm.v))</f>
        <v/>
      </c>
      <c r="K198" s="176"/>
      <c r="L198" s="177" t="str">
        <f t="shared" ref="L198:L255" si="55">IF(OR($A198="",$K198=""),"",$K198*IF($CM198&lt;&gt;"",$CM198,IF($B198="MCC",Cfg_MotorMultMCC,Cfg_MotorMult)))</f>
        <v/>
      </c>
      <c r="M198" s="177" t="str">
        <f t="shared" ref="M198:M255" si="56">IF(OR($A198="",$J198=""),"",$J198+IF($L198="",0,$L198))</f>
        <v/>
      </c>
      <c r="N198" s="380" t="str">
        <f>IF($A198="","",IF($C198=0,_xlfn.LET(_xlpm.x,IFERROR(_xlfn.XLOOKUP($A198,Util_Tags,Util_XR),""),IF(N(_xlpm.x)=0,Xfmr_DefXR,_xlpm.x)),IF(LEFT($A198,2)="T-",IFERROR(_xlfn.XLOOKUP($A198,Transformers!$A$6:$A$105,Transformers!$AH$6:$AH$105),Xfmr_DefXR),IFERROR(_xlfn.XLOOKUP($E198,$A$6:$A$255,$N$6:$N$255),Xfmr_DefXR))))</f>
        <v/>
      </c>
      <c r="O198" s="177" t="str">
        <f t="shared" ref="O198:O255" si="57">IF(OR($A198="",$M198="",$N198=""),"",SQRT(2)*$M198*(1.02+0.98*EXP(-3/$N198)))</f>
        <v/>
      </c>
      <c r="P198" s="210" t="str">
        <f>IF($A198="","",IF(LEFT($A198,2)="T-",IF($CO198="","",_xlfn.LET(_xlpm.k,IFERROR(_xlfn.XLOOKUP($A198,Transformers!$A$6:$A$105,Transformers!$G$6:$G$105),""),_xlpm.sv,IFERROR(_xlfn.XLOOKUP($A198,Transformers!$A$6:$A$105,Transformers!$E$6:$E$105),""),IF(OR(NOT(ISNUMBER(_xlpm.k)),NOT(ISNUMBER(_xlpm.sv)),_xlpm.sv=0),"",_xlfn.LET(_xlpm.iInf,(_xlpm.k*1000/(_xlpm.sv/2))*100/$CO198,_xlpm.pri,IF(OR($CK198="",$CK198=0),"",$CK198/2),_xlpm.base,IF(_xlpm.pri="",_xlpm.iInf,_xlpm.iInf/(1+_xlpm.iInf/_xlpm.pri)),_xlpm.base+IF($L198="",0,$L198))))),IF($CP198="","",_xlfn.LET(_xlpm.pI,IFERROR(_xlfn.XLOOKUP($E198,$A$6:$A$255,$P$6:$P$255),""),IF(NOT(ISNUMBER(_xlpm.pI)),"",_xlpm.pI/(1+$CP198)+IF($L198="",0,$L198))))))</f>
        <v/>
      </c>
      <c r="Q198" s="210" t="str">
        <f t="shared" ref="Q198:Q255" si="58">IF(OR($A198="",$M198=""),"",MAX($M198,IF($P198="",0,$P198)))</f>
        <v/>
      </c>
      <c r="R198" s="177" t="str">
        <f>IF($A198="","",IF(OR($C198=0,LEFT($A198,2)="T-"),"",IFERROR(_xlfn.LET(_xlpm.v,_xlfn.XLOOKUP($A198,Dashboard!$A$101:$A$350,Dashboard!$K$101:$K$350),IF(ISNUMBER(_xlpm.v),_xlpm.v,"")),"")))</f>
        <v/>
      </c>
      <c r="S198" s="211" t="str">
        <f t="shared" ref="S198:S255" si="59">IF(OR($A198="",$R198="",$Q198=""),"",$R198-$Q198)</f>
        <v/>
      </c>
      <c r="T198" s="25" t="str">
        <f t="shared" ref="T198:T255" si="60">IF($A198="","",IF($C198=0,IF(IFERROR(_xlfn.XLOOKUP($A198,Util_Tags,Util_SCAEff),"")="","⚠ enter available fault current (Dashboard)","— utility source —"),IF($CI198&lt;&gt;"",$CI198,IF(AND($C198&gt;0,$BZ198=""),"⚠ feeder data missing",IF(AND($B198="MCC",$K198=""),"⚠ MCC: enter motor FLA",IF($M198="","⚠ fault not resolved",IF($R198="",IF(LEFT($A198,2)="T-","— transformer (no interrupting device)","⚠ enter device AIC"),IF($S198&lt;0,"FAIL — AIC below available fault",IF(AND($P198&lt;&gt;"",$P198&gt;$M198),"PASS — line-to-neutral fault governs","PASS")))))))))</f>
        <v/>
      </c>
      <c r="U198" s="364"/>
      <c r="BV198" s="20" t="str">
        <f>IF($A198="","",IFERROR(_xlfn.XLOOKUP("F-"&amp;$A198,'Feeder Schedule'!$B$5:$B$254,'Feeder Schedule'!$H$5:$H$254),""))</f>
        <v/>
      </c>
      <c r="BW198" s="20" t="str">
        <f>IF($A198="","",IFERROR(_xlfn.XLOOKUP("F-"&amp;$A198,'Feeder Schedule'!$B$5:$B$254,'Feeder Schedule'!$BV$5:$BV$254),""))</f>
        <v/>
      </c>
      <c r="BX198" s="20" t="str">
        <f>IF($A198="","",IFERROR(_xlfn.LET(_xlpm.v,_xlfn.XLOOKUP("F-"&amp;$A198,'Feeder Schedule'!$B$5:$B$254,'Feeder Schedule'!$M$5:$M$254),IF(OR(_xlpm.v="",_xlpm.v=0),Cfg_Conduit,_xlpm.v)),""))</f>
        <v/>
      </c>
      <c r="BY198" s="20" t="str">
        <f>IF($A198="","",IFERROR(_xlfn.XLOOKUP("F-"&amp;$A198,'Feeder Schedule'!$B$5:$B$254,'Feeder Schedule'!$O$5:$O$254),""))</f>
        <v/>
      </c>
      <c r="BZ198" s="20" t="str">
        <f>IF($A198="","",IFERROR(_xlfn.XLOOKUP("F-"&amp;$A198,'Feeder Schedule'!$B$5:$B$254,'Feeder Schedule'!$CH$5:$CH$254),""))</f>
        <v/>
      </c>
      <c r="CA198" s="20" t="str">
        <f>IF($A198="","",IFERROR(_xlfn.XLOOKUP("F-"&amp;$A198,'Feeder Schedule'!$B$5:$B$254,'Feeder Schedule'!$F$5:$F$254),""))</f>
        <v/>
      </c>
      <c r="CB198" s="20" t="str">
        <f>IF($A198="","",IFERROR(_xlfn.XLOOKUP("F-"&amp;$A198,'Feeder Schedule'!$B$5:$B$254,'Feeder Schedule'!$G$5:$G$254),""))</f>
        <v/>
      </c>
      <c r="CD198" s="20" t="str" cm="1">
        <f t="array" ref="CD198">IFERROR(IF($A198="","",INDEX(_xlfn.ANCHORARRAY($BK$4),ROW()-5,6)),"")</f>
        <v/>
      </c>
      <c r="CE198" s="20" t="str">
        <f t="shared" si="46"/>
        <v/>
      </c>
      <c r="CF198" s="20" t="str">
        <f t="shared" si="47"/>
        <v/>
      </c>
      <c r="CG198" s="20" t="str">
        <f t="shared" ref="CG198:CG255" si="61">IF(OR($A198="",$CB198=""),"",IF($CB198=1,2,SQRT3))</f>
        <v/>
      </c>
      <c r="CH198" s="20" t="str" cm="1">
        <f t="array" ref="CH198">IF(OR($A198="",$BZ198="",$BW198="",$BX198=""),"",_xlfn.LET(_xlpm.mag,IFERROR(_xlfn.XLOOKUP($BX198,Race_Raceway,Race_Mag),""),IF(_xlpm.mag="","",IFERROR(INDEX(Cond_Table,MATCH($BZ198,Cond_Size,0),IF(UPPER($BW198)="AL",IF(_xlpm.mag="Y",10,12),IF(_xlpm.mag="Y",9,11))),""))))</f>
        <v/>
      </c>
      <c r="CI198" s="20" t="str">
        <f t="shared" ref="CI198:CI255" si="62">IF(OR($A198="",$BX198=""),"",IF(IFERROR(_xlfn.XLOOKUP($BX198,Race_Raceway,Race_Mag),"")="","⚠ unrecognised raceway type: "&amp;$BX198,""))</f>
        <v/>
      </c>
      <c r="CJ198" s="20" t="str">
        <f>IF(OR($A198="",LEFT($A198,2)&lt;&gt;"T-"),"",IFERROR(_xlfn.LET(_xlpm.fla,_xlfn.XLOOKUP($A198,Transformers!$A$6:$A$105,Transformers!$AK$6:$AK$105),_xlpm.z,_xlfn.XLOOKUP($A198,Transformers!$A$6:$A$105,Transformers!$AX$6:$AX$105),IF(OR(_xlpm.fla="",_xlpm.z="",_xlpm.z=0),"",_xlpm.fla*100/_xlpm.z)),""))</f>
        <v/>
      </c>
      <c r="CK198" s="20" t="str">
        <f t="shared" si="48"/>
        <v/>
      </c>
      <c r="CL198" s="20" t="str">
        <f t="shared" si="49"/>
        <v/>
      </c>
      <c r="CM198" s="373"/>
      <c r="CO198" s="20" t="str">
        <f>IF(OR($A198="",LEFT($A198,2)&lt;&gt;"T-"),"",_xlfn.LET(_xlpm.ph,IFERROR(_xlfn.XLOOKUP($A198,Transformers!$A$6:$A$105,Transformers!$C$6:$C$105),""),_xlpm.rr,IFERROR(_xlfn.XLOOKUP($A198,Transformers!$A$6:$A$105,Transformers!$AG$6:$AG$105),""),_xlpm.xx,IFERROR(_xlfn.XLOOKUP($A198,Transformers!$A$6:$A$105,Transformers!$AI$6:$AI$105),""),IF(OR(_xlpm.ph&lt;&gt;1,NOT(ISNUMBER(_xlpm.rr)),NOT(ISNUMBER(_xlpm.xx))),"",SQRT((1.5*_xlpm.rr)^2+(1.2*_xlpm.xx)^2))))</f>
        <v/>
      </c>
      <c r="CP198" s="20" t="str">
        <f t="shared" si="50"/>
        <v/>
      </c>
    </row>
    <row r="199" spans="1:94" ht="15" customHeight="1" x14ac:dyDescent="0.45">
      <c r="A199" s="275" t="str" cm="1">
        <f t="array" ref="A199">IFERROR(IF(INDEX(_xlfn.ANCHORARRAY($BK$4),ROW()-5,1)="","",INDEX(_xlfn.ANCHORARRAY($BK$4),ROW()-5,1)),"")</f>
        <v/>
      </c>
      <c r="B199" s="25" t="str" cm="1">
        <f t="array" ref="B199">IFERROR(IF($A199="","",INDEX(_xlfn.ANCHORARRAY($BK$4),ROW()-5,5)),"")</f>
        <v/>
      </c>
      <c r="C199" s="178" t="str" cm="1">
        <f t="array" ref="C199">IFERROR(IF($A199="","",INDEX(_xlfn.ANCHORARRAY($BK$4),ROW()-5,7)),"")</f>
        <v/>
      </c>
      <c r="D199" s="177" t="str" cm="1">
        <f t="array" ref="D199">IFERROR(IF($A199="","",INDEX(_xlfn.ANCHORARRAY($BK$4),ROW()-5,3)),"")</f>
        <v/>
      </c>
      <c r="E199" s="25" t="str" cm="1">
        <f t="array" ref="E199">IFERROR(IF($A199="","",INDEX(_xlfn.ANCHORARRAY($BK$4),ROW()-5,2)),"")</f>
        <v/>
      </c>
      <c r="F199" s="177" t="str">
        <f t="shared" si="51"/>
        <v/>
      </c>
      <c r="G199" s="275" t="str">
        <f t="shared" si="52"/>
        <v/>
      </c>
      <c r="H199" s="180" t="str">
        <f t="shared" si="53"/>
        <v/>
      </c>
      <c r="I199" s="180" t="str">
        <f t="shared" si="54"/>
        <v/>
      </c>
      <c r="J199" s="177" t="str">
        <f>_xlfn.LET(_xlpm.v,_xlfn.LET(_xlpm.base,IF($A199="","",IF($C199=0,IFERROR(_xlfn.XLOOKUP($A199,Util_Tags,Util_SCAEff),""),IF(LEFT($A199,2)="T-",IF($CJ199="","",$CJ199/(1+IF($CL199="",0,$CL199))),IF(OR($F199="",$I199=""),"",$F199*$I199)))),_xlpm.gtag,IF(OR($A199="",NOT(OR($B199="ATS",$B199="MTS"))),"",IFERROR(_xlfn.XLOOKUP($A199,Dashboard!$A$101:$A$350,Dashboard!$L$101:$L$350,"")&amp;"","")),_xlpm.gkva,IF(_xlpm.gtag="",0,IFERROR(N(_xlfn.XLOOKUP(_xlpm.gtag,Generator!$B$53:$B$58,Generator!$S$53:$S$58,0)),0)),_xlpm.gxd,IF(_xlpm.gtag="",0,IFERROR(N(_xlfn.XLOOKUP(_xlpm.gtag,Generator!$B$53:$B$58,Generator!$U$53:$U$58,0)),0)),_xlpm.gamp,IF(OR(_xlpm.gkva=0,_xlpm.gxd=0,N($D199)=0),0,ROUND(_xlpm.gkva*1000/(IF(N($CB199)=1,1,SQRT(3))*$D199*_xlpm.gxd),0)),IF(OR(_xlpm.gamp=0,NOT(ISNUMBER(_xlpm.base))),_xlpm.base,MAX(_xlpm.base,_xlpm.gamp))),_xlpm.ulim,IF(OR($A199="",$B199&lt;&gt;"UPS"),"",IFERROR(IF(_xlfn.XLOOKUP($A199,UPS!$B$57:$B$64,UPS!$E$57:$E$64,"")="None",_xlfn.XLOOKUP($A199,UPS!$B$57:$B$64,UPS!$U$57:$U$64,""),""),"")),IF(AND(ISNUMBER(_xlpm.v),ISNUMBER(_xlpm.ulim)),MIN(_xlpm.v,_xlpm.ulim),_xlpm.v))</f>
        <v/>
      </c>
      <c r="K199" s="176"/>
      <c r="L199" s="177" t="str">
        <f t="shared" si="55"/>
        <v/>
      </c>
      <c r="M199" s="177" t="str">
        <f t="shared" si="56"/>
        <v/>
      </c>
      <c r="N199" s="380" t="str">
        <f>IF($A199="","",IF($C199=0,_xlfn.LET(_xlpm.x,IFERROR(_xlfn.XLOOKUP($A199,Util_Tags,Util_XR),""),IF(N(_xlpm.x)=0,Xfmr_DefXR,_xlpm.x)),IF(LEFT($A199,2)="T-",IFERROR(_xlfn.XLOOKUP($A199,Transformers!$A$6:$A$105,Transformers!$AH$6:$AH$105),Xfmr_DefXR),IFERROR(_xlfn.XLOOKUP($E199,$A$6:$A$255,$N$6:$N$255),Xfmr_DefXR))))</f>
        <v/>
      </c>
      <c r="O199" s="177" t="str">
        <f t="shared" si="57"/>
        <v/>
      </c>
      <c r="P199" s="210" t="str">
        <f>IF($A199="","",IF(LEFT($A199,2)="T-",IF($CO199="","",_xlfn.LET(_xlpm.k,IFERROR(_xlfn.XLOOKUP($A199,Transformers!$A$6:$A$105,Transformers!$G$6:$G$105),""),_xlpm.sv,IFERROR(_xlfn.XLOOKUP($A199,Transformers!$A$6:$A$105,Transformers!$E$6:$E$105),""),IF(OR(NOT(ISNUMBER(_xlpm.k)),NOT(ISNUMBER(_xlpm.sv)),_xlpm.sv=0),"",_xlfn.LET(_xlpm.iInf,(_xlpm.k*1000/(_xlpm.sv/2))*100/$CO199,_xlpm.pri,IF(OR($CK199="",$CK199=0),"",$CK199/2),_xlpm.base,IF(_xlpm.pri="",_xlpm.iInf,_xlpm.iInf/(1+_xlpm.iInf/_xlpm.pri)),_xlpm.base+IF($L199="",0,$L199))))),IF($CP199="","",_xlfn.LET(_xlpm.pI,IFERROR(_xlfn.XLOOKUP($E199,$A$6:$A$255,$P$6:$P$255),""),IF(NOT(ISNUMBER(_xlpm.pI)),"",_xlpm.pI/(1+$CP199)+IF($L199="",0,$L199))))))</f>
        <v/>
      </c>
      <c r="Q199" s="210" t="str">
        <f t="shared" si="58"/>
        <v/>
      </c>
      <c r="R199" s="177" t="str">
        <f>IF($A199="","",IF(OR($C199=0,LEFT($A199,2)="T-"),"",IFERROR(_xlfn.LET(_xlpm.v,_xlfn.XLOOKUP($A199,Dashboard!$A$101:$A$350,Dashboard!$K$101:$K$350),IF(ISNUMBER(_xlpm.v),_xlpm.v,"")),"")))</f>
        <v/>
      </c>
      <c r="S199" s="211" t="str">
        <f t="shared" si="59"/>
        <v/>
      </c>
      <c r="T199" s="25" t="str">
        <f t="shared" si="60"/>
        <v/>
      </c>
      <c r="U199" s="364"/>
      <c r="BV199" s="20" t="str">
        <f>IF($A199="","",IFERROR(_xlfn.XLOOKUP("F-"&amp;$A199,'Feeder Schedule'!$B$5:$B$254,'Feeder Schedule'!$H$5:$H$254),""))</f>
        <v/>
      </c>
      <c r="BW199" s="20" t="str">
        <f>IF($A199="","",IFERROR(_xlfn.XLOOKUP("F-"&amp;$A199,'Feeder Schedule'!$B$5:$B$254,'Feeder Schedule'!$BV$5:$BV$254),""))</f>
        <v/>
      </c>
      <c r="BX199" s="20" t="str">
        <f>IF($A199="","",IFERROR(_xlfn.LET(_xlpm.v,_xlfn.XLOOKUP("F-"&amp;$A199,'Feeder Schedule'!$B$5:$B$254,'Feeder Schedule'!$M$5:$M$254),IF(OR(_xlpm.v="",_xlpm.v=0),Cfg_Conduit,_xlpm.v)),""))</f>
        <v/>
      </c>
      <c r="BY199" s="20" t="str">
        <f>IF($A199="","",IFERROR(_xlfn.XLOOKUP("F-"&amp;$A199,'Feeder Schedule'!$B$5:$B$254,'Feeder Schedule'!$O$5:$O$254),""))</f>
        <v/>
      </c>
      <c r="BZ199" s="20" t="str">
        <f>IF($A199="","",IFERROR(_xlfn.XLOOKUP("F-"&amp;$A199,'Feeder Schedule'!$B$5:$B$254,'Feeder Schedule'!$CH$5:$CH$254),""))</f>
        <v/>
      </c>
      <c r="CA199" s="20" t="str">
        <f>IF($A199="","",IFERROR(_xlfn.XLOOKUP("F-"&amp;$A199,'Feeder Schedule'!$B$5:$B$254,'Feeder Schedule'!$F$5:$F$254),""))</f>
        <v/>
      </c>
      <c r="CB199" s="20" t="str">
        <f>IF($A199="","",IFERROR(_xlfn.XLOOKUP("F-"&amp;$A199,'Feeder Schedule'!$B$5:$B$254,'Feeder Schedule'!$G$5:$G$254),""))</f>
        <v/>
      </c>
      <c r="CD199" s="20" t="str" cm="1">
        <f t="array" ref="CD199">IFERROR(IF($A199="","",INDEX(_xlfn.ANCHORARRAY($BK$4),ROW()-5,6)),"")</f>
        <v/>
      </c>
      <c r="CE199" s="20" t="str">
        <f t="shared" ref="CE199:CE255" si="63">IF($A199="","",IF(LEFT($A199,2)="T-",IFERROR(_xlfn.XLOOKUP($E199,$A$6:$A$255,$CD$6:$CD$255),""),$CD199))</f>
        <v/>
      </c>
      <c r="CF199" s="20" t="str">
        <f t="shared" ref="CF199:CF255" si="64">IF(OR($A199="",$CB199="",$CA199=""),"",$CA199)</f>
        <v/>
      </c>
      <c r="CG199" s="20" t="str">
        <f t="shared" si="61"/>
        <v/>
      </c>
      <c r="CH199" s="20" t="str" cm="1">
        <f t="array" ref="CH199">IF(OR($A199="",$BZ199="",$BW199="",$BX199=""),"",_xlfn.LET(_xlpm.mag,IFERROR(_xlfn.XLOOKUP($BX199,Race_Raceway,Race_Mag),""),IF(_xlpm.mag="","",IFERROR(INDEX(Cond_Table,MATCH($BZ199,Cond_Size,0),IF(UPPER($BW199)="AL",IF(_xlpm.mag="Y",10,12),IF(_xlpm.mag="Y",9,11))),""))))</f>
        <v/>
      </c>
      <c r="CI199" s="20" t="str">
        <f t="shared" si="62"/>
        <v/>
      </c>
      <c r="CJ199" s="20" t="str">
        <f>IF(OR($A199="",LEFT($A199,2)&lt;&gt;"T-"),"",IFERROR(_xlfn.LET(_xlpm.fla,_xlfn.XLOOKUP($A199,Transformers!$A$6:$A$105,Transformers!$AK$6:$AK$105),_xlpm.z,_xlfn.XLOOKUP($A199,Transformers!$A$6:$A$105,Transformers!$AX$6:$AX$105),IF(OR(_xlpm.fla="",_xlpm.z="",_xlpm.z=0),"",_xlpm.fla*100/_xlpm.z)),""))</f>
        <v/>
      </c>
      <c r="CK199" s="20" t="str">
        <f t="shared" ref="CK199:CK255" si="65">IF(OR($A199="",LEFT($A199,2)&lt;&gt;"T-",$F199="",$I199="",$D199="",$CA199=""),"",$F199*$I199*$CA199/$D199)</f>
        <v/>
      </c>
      <c r="CL199" s="20" t="str">
        <f t="shared" ref="CL199:CL255" si="66">IF(OR($CJ199="",$CK199="",$CK199=0),"",$CJ199/$CK199)</f>
        <v/>
      </c>
      <c r="CM199" s="373"/>
      <c r="CO199" s="20" t="str">
        <f>IF(OR($A199="",LEFT($A199,2)&lt;&gt;"T-"),"",_xlfn.LET(_xlpm.ph,IFERROR(_xlfn.XLOOKUP($A199,Transformers!$A$6:$A$105,Transformers!$C$6:$C$105),""),_xlpm.rr,IFERROR(_xlfn.XLOOKUP($A199,Transformers!$A$6:$A$105,Transformers!$AG$6:$AG$105),""),_xlpm.xx,IFERROR(_xlfn.XLOOKUP($A199,Transformers!$A$6:$A$105,Transformers!$AI$6:$AI$105),""),IF(OR(_xlpm.ph&lt;&gt;1,NOT(ISNUMBER(_xlpm.rr)),NOT(ISNUMBER(_xlpm.xx))),"",SQRT((1.5*_xlpm.rr)^2+(1.2*_xlpm.xx)^2))))</f>
        <v/>
      </c>
      <c r="CP199" s="20" t="str">
        <f t="shared" ref="CP199:CP255" si="67">IF(OR($A199="",LEFT($A199,2)="T-"),"",_xlfn.LET(_xlpm.pI,IFERROR(_xlfn.XLOOKUP($E199,$A$6:$A$255,$P$6:$P$255),""),IF(OR(NOT(ISNUMBER(_xlpm.pI)),$CG199&lt;&gt;2,$BV199="",$CH199="",$CE199="",$CE199=0),"",2*$BV199*_xlpm.pI/($CH199*MAX($BY199,1)*$CE199))))</f>
        <v/>
      </c>
    </row>
    <row r="200" spans="1:94" ht="15" customHeight="1" x14ac:dyDescent="0.45">
      <c r="A200" s="275" t="str" cm="1">
        <f t="array" ref="A200">IFERROR(IF(INDEX(_xlfn.ANCHORARRAY($BK$4),ROW()-5,1)="","",INDEX(_xlfn.ANCHORARRAY($BK$4),ROW()-5,1)),"")</f>
        <v/>
      </c>
      <c r="B200" s="25" t="str" cm="1">
        <f t="array" ref="B200">IFERROR(IF($A200="","",INDEX(_xlfn.ANCHORARRAY($BK$4),ROW()-5,5)),"")</f>
        <v/>
      </c>
      <c r="C200" s="178" t="str" cm="1">
        <f t="array" ref="C200">IFERROR(IF($A200="","",INDEX(_xlfn.ANCHORARRAY($BK$4),ROW()-5,7)),"")</f>
        <v/>
      </c>
      <c r="D200" s="177" t="str" cm="1">
        <f t="array" ref="D200">IFERROR(IF($A200="","",INDEX(_xlfn.ANCHORARRAY($BK$4),ROW()-5,3)),"")</f>
        <v/>
      </c>
      <c r="E200" s="25" t="str" cm="1">
        <f t="array" ref="E200">IFERROR(IF($A200="","",INDEX(_xlfn.ANCHORARRAY($BK$4),ROW()-5,2)),"")</f>
        <v/>
      </c>
      <c r="F200" s="177" t="str">
        <f t="shared" si="51"/>
        <v/>
      </c>
      <c r="G200" s="275" t="str">
        <f t="shared" si="52"/>
        <v/>
      </c>
      <c r="H200" s="180" t="str">
        <f t="shared" si="53"/>
        <v/>
      </c>
      <c r="I200" s="180" t="str">
        <f t="shared" si="54"/>
        <v/>
      </c>
      <c r="J200" s="177" t="str">
        <f>_xlfn.LET(_xlpm.v,_xlfn.LET(_xlpm.base,IF($A200="","",IF($C200=0,IFERROR(_xlfn.XLOOKUP($A200,Util_Tags,Util_SCAEff),""),IF(LEFT($A200,2)="T-",IF($CJ200="","",$CJ200/(1+IF($CL200="",0,$CL200))),IF(OR($F200="",$I200=""),"",$F200*$I200)))),_xlpm.gtag,IF(OR($A200="",NOT(OR($B200="ATS",$B200="MTS"))),"",IFERROR(_xlfn.XLOOKUP($A200,Dashboard!$A$101:$A$350,Dashboard!$L$101:$L$350,"")&amp;"","")),_xlpm.gkva,IF(_xlpm.gtag="",0,IFERROR(N(_xlfn.XLOOKUP(_xlpm.gtag,Generator!$B$53:$B$58,Generator!$S$53:$S$58,0)),0)),_xlpm.gxd,IF(_xlpm.gtag="",0,IFERROR(N(_xlfn.XLOOKUP(_xlpm.gtag,Generator!$B$53:$B$58,Generator!$U$53:$U$58,0)),0)),_xlpm.gamp,IF(OR(_xlpm.gkva=0,_xlpm.gxd=0,N($D200)=0),0,ROUND(_xlpm.gkva*1000/(IF(N($CB200)=1,1,SQRT(3))*$D200*_xlpm.gxd),0)),IF(OR(_xlpm.gamp=0,NOT(ISNUMBER(_xlpm.base))),_xlpm.base,MAX(_xlpm.base,_xlpm.gamp))),_xlpm.ulim,IF(OR($A200="",$B200&lt;&gt;"UPS"),"",IFERROR(IF(_xlfn.XLOOKUP($A200,UPS!$B$57:$B$64,UPS!$E$57:$E$64,"")="None",_xlfn.XLOOKUP($A200,UPS!$B$57:$B$64,UPS!$U$57:$U$64,""),""),"")),IF(AND(ISNUMBER(_xlpm.v),ISNUMBER(_xlpm.ulim)),MIN(_xlpm.v,_xlpm.ulim),_xlpm.v))</f>
        <v/>
      </c>
      <c r="K200" s="176"/>
      <c r="L200" s="177" t="str">
        <f t="shared" si="55"/>
        <v/>
      </c>
      <c r="M200" s="177" t="str">
        <f t="shared" si="56"/>
        <v/>
      </c>
      <c r="N200" s="380" t="str">
        <f>IF($A200="","",IF($C200=0,_xlfn.LET(_xlpm.x,IFERROR(_xlfn.XLOOKUP($A200,Util_Tags,Util_XR),""),IF(N(_xlpm.x)=0,Xfmr_DefXR,_xlpm.x)),IF(LEFT($A200,2)="T-",IFERROR(_xlfn.XLOOKUP($A200,Transformers!$A$6:$A$105,Transformers!$AH$6:$AH$105),Xfmr_DefXR),IFERROR(_xlfn.XLOOKUP($E200,$A$6:$A$255,$N$6:$N$255),Xfmr_DefXR))))</f>
        <v/>
      </c>
      <c r="O200" s="177" t="str">
        <f t="shared" si="57"/>
        <v/>
      </c>
      <c r="P200" s="210" t="str">
        <f>IF($A200="","",IF(LEFT($A200,2)="T-",IF($CO200="","",_xlfn.LET(_xlpm.k,IFERROR(_xlfn.XLOOKUP($A200,Transformers!$A$6:$A$105,Transformers!$G$6:$G$105),""),_xlpm.sv,IFERROR(_xlfn.XLOOKUP($A200,Transformers!$A$6:$A$105,Transformers!$E$6:$E$105),""),IF(OR(NOT(ISNUMBER(_xlpm.k)),NOT(ISNUMBER(_xlpm.sv)),_xlpm.sv=0),"",_xlfn.LET(_xlpm.iInf,(_xlpm.k*1000/(_xlpm.sv/2))*100/$CO200,_xlpm.pri,IF(OR($CK200="",$CK200=0),"",$CK200/2),_xlpm.base,IF(_xlpm.pri="",_xlpm.iInf,_xlpm.iInf/(1+_xlpm.iInf/_xlpm.pri)),_xlpm.base+IF($L200="",0,$L200))))),IF($CP200="","",_xlfn.LET(_xlpm.pI,IFERROR(_xlfn.XLOOKUP($E200,$A$6:$A$255,$P$6:$P$255),""),IF(NOT(ISNUMBER(_xlpm.pI)),"",_xlpm.pI/(1+$CP200)+IF($L200="",0,$L200))))))</f>
        <v/>
      </c>
      <c r="Q200" s="210" t="str">
        <f t="shared" si="58"/>
        <v/>
      </c>
      <c r="R200" s="177" t="str">
        <f>IF($A200="","",IF(OR($C200=0,LEFT($A200,2)="T-"),"",IFERROR(_xlfn.LET(_xlpm.v,_xlfn.XLOOKUP($A200,Dashboard!$A$101:$A$350,Dashboard!$K$101:$K$350),IF(ISNUMBER(_xlpm.v),_xlpm.v,"")),"")))</f>
        <v/>
      </c>
      <c r="S200" s="211" t="str">
        <f t="shared" si="59"/>
        <v/>
      </c>
      <c r="T200" s="25" t="str">
        <f t="shared" si="60"/>
        <v/>
      </c>
      <c r="U200" s="364"/>
      <c r="BV200" s="20" t="str">
        <f>IF($A200="","",IFERROR(_xlfn.XLOOKUP("F-"&amp;$A200,'Feeder Schedule'!$B$5:$B$254,'Feeder Schedule'!$H$5:$H$254),""))</f>
        <v/>
      </c>
      <c r="BW200" s="20" t="str">
        <f>IF($A200="","",IFERROR(_xlfn.XLOOKUP("F-"&amp;$A200,'Feeder Schedule'!$B$5:$B$254,'Feeder Schedule'!$BV$5:$BV$254),""))</f>
        <v/>
      </c>
      <c r="BX200" s="20" t="str">
        <f>IF($A200="","",IFERROR(_xlfn.LET(_xlpm.v,_xlfn.XLOOKUP("F-"&amp;$A200,'Feeder Schedule'!$B$5:$B$254,'Feeder Schedule'!$M$5:$M$254),IF(OR(_xlpm.v="",_xlpm.v=0),Cfg_Conduit,_xlpm.v)),""))</f>
        <v/>
      </c>
      <c r="BY200" s="20" t="str">
        <f>IF($A200="","",IFERROR(_xlfn.XLOOKUP("F-"&amp;$A200,'Feeder Schedule'!$B$5:$B$254,'Feeder Schedule'!$O$5:$O$254),""))</f>
        <v/>
      </c>
      <c r="BZ200" s="20" t="str">
        <f>IF($A200="","",IFERROR(_xlfn.XLOOKUP("F-"&amp;$A200,'Feeder Schedule'!$B$5:$B$254,'Feeder Schedule'!$CH$5:$CH$254),""))</f>
        <v/>
      </c>
      <c r="CA200" s="20" t="str">
        <f>IF($A200="","",IFERROR(_xlfn.XLOOKUP("F-"&amp;$A200,'Feeder Schedule'!$B$5:$B$254,'Feeder Schedule'!$F$5:$F$254),""))</f>
        <v/>
      </c>
      <c r="CB200" s="20" t="str">
        <f>IF($A200="","",IFERROR(_xlfn.XLOOKUP("F-"&amp;$A200,'Feeder Schedule'!$B$5:$B$254,'Feeder Schedule'!$G$5:$G$254),""))</f>
        <v/>
      </c>
      <c r="CD200" s="20" t="str" cm="1">
        <f t="array" ref="CD200">IFERROR(IF($A200="","",INDEX(_xlfn.ANCHORARRAY($BK$4),ROW()-5,6)),"")</f>
        <v/>
      </c>
      <c r="CE200" s="20" t="str">
        <f t="shared" si="63"/>
        <v/>
      </c>
      <c r="CF200" s="20" t="str">
        <f t="shared" si="64"/>
        <v/>
      </c>
      <c r="CG200" s="20" t="str">
        <f t="shared" si="61"/>
        <v/>
      </c>
      <c r="CH200" s="20" t="str" cm="1">
        <f t="array" ref="CH200">IF(OR($A200="",$BZ200="",$BW200="",$BX200=""),"",_xlfn.LET(_xlpm.mag,IFERROR(_xlfn.XLOOKUP($BX200,Race_Raceway,Race_Mag),""),IF(_xlpm.mag="","",IFERROR(INDEX(Cond_Table,MATCH($BZ200,Cond_Size,0),IF(UPPER($BW200)="AL",IF(_xlpm.mag="Y",10,12),IF(_xlpm.mag="Y",9,11))),""))))</f>
        <v/>
      </c>
      <c r="CI200" s="20" t="str">
        <f t="shared" si="62"/>
        <v/>
      </c>
      <c r="CJ200" s="20" t="str">
        <f>IF(OR($A200="",LEFT($A200,2)&lt;&gt;"T-"),"",IFERROR(_xlfn.LET(_xlpm.fla,_xlfn.XLOOKUP($A200,Transformers!$A$6:$A$105,Transformers!$AK$6:$AK$105),_xlpm.z,_xlfn.XLOOKUP($A200,Transformers!$A$6:$A$105,Transformers!$AX$6:$AX$105),IF(OR(_xlpm.fla="",_xlpm.z="",_xlpm.z=0),"",_xlpm.fla*100/_xlpm.z)),""))</f>
        <v/>
      </c>
      <c r="CK200" s="20" t="str">
        <f t="shared" si="65"/>
        <v/>
      </c>
      <c r="CL200" s="20" t="str">
        <f t="shared" si="66"/>
        <v/>
      </c>
      <c r="CM200" s="373"/>
      <c r="CO200" s="20" t="str">
        <f>IF(OR($A200="",LEFT($A200,2)&lt;&gt;"T-"),"",_xlfn.LET(_xlpm.ph,IFERROR(_xlfn.XLOOKUP($A200,Transformers!$A$6:$A$105,Transformers!$C$6:$C$105),""),_xlpm.rr,IFERROR(_xlfn.XLOOKUP($A200,Transformers!$A$6:$A$105,Transformers!$AG$6:$AG$105),""),_xlpm.xx,IFERROR(_xlfn.XLOOKUP($A200,Transformers!$A$6:$A$105,Transformers!$AI$6:$AI$105),""),IF(OR(_xlpm.ph&lt;&gt;1,NOT(ISNUMBER(_xlpm.rr)),NOT(ISNUMBER(_xlpm.xx))),"",SQRT((1.5*_xlpm.rr)^2+(1.2*_xlpm.xx)^2))))</f>
        <v/>
      </c>
      <c r="CP200" s="20" t="str">
        <f t="shared" si="67"/>
        <v/>
      </c>
    </row>
    <row r="201" spans="1:94" ht="15" customHeight="1" x14ac:dyDescent="0.45">
      <c r="A201" s="275" t="str" cm="1">
        <f t="array" ref="A201">IFERROR(IF(INDEX(_xlfn.ANCHORARRAY($BK$4),ROW()-5,1)="","",INDEX(_xlfn.ANCHORARRAY($BK$4),ROW()-5,1)),"")</f>
        <v/>
      </c>
      <c r="B201" s="25" t="str" cm="1">
        <f t="array" ref="B201">IFERROR(IF($A201="","",INDEX(_xlfn.ANCHORARRAY($BK$4),ROW()-5,5)),"")</f>
        <v/>
      </c>
      <c r="C201" s="178" t="str" cm="1">
        <f t="array" ref="C201">IFERROR(IF($A201="","",INDEX(_xlfn.ANCHORARRAY($BK$4),ROW()-5,7)),"")</f>
        <v/>
      </c>
      <c r="D201" s="177" t="str" cm="1">
        <f t="array" ref="D201">IFERROR(IF($A201="","",INDEX(_xlfn.ANCHORARRAY($BK$4),ROW()-5,3)),"")</f>
        <v/>
      </c>
      <c r="E201" s="25" t="str" cm="1">
        <f t="array" ref="E201">IFERROR(IF($A201="","",INDEX(_xlfn.ANCHORARRAY($BK$4),ROW()-5,2)),"")</f>
        <v/>
      </c>
      <c r="F201" s="177" t="str">
        <f t="shared" si="51"/>
        <v/>
      </c>
      <c r="G201" s="275" t="str">
        <f t="shared" si="52"/>
        <v/>
      </c>
      <c r="H201" s="180" t="str">
        <f t="shared" si="53"/>
        <v/>
      </c>
      <c r="I201" s="180" t="str">
        <f t="shared" si="54"/>
        <v/>
      </c>
      <c r="J201" s="177" t="str">
        <f>_xlfn.LET(_xlpm.v,_xlfn.LET(_xlpm.base,IF($A201="","",IF($C201=0,IFERROR(_xlfn.XLOOKUP($A201,Util_Tags,Util_SCAEff),""),IF(LEFT($A201,2)="T-",IF($CJ201="","",$CJ201/(1+IF($CL201="",0,$CL201))),IF(OR($F201="",$I201=""),"",$F201*$I201)))),_xlpm.gtag,IF(OR($A201="",NOT(OR($B201="ATS",$B201="MTS"))),"",IFERROR(_xlfn.XLOOKUP($A201,Dashboard!$A$101:$A$350,Dashboard!$L$101:$L$350,"")&amp;"","")),_xlpm.gkva,IF(_xlpm.gtag="",0,IFERROR(N(_xlfn.XLOOKUP(_xlpm.gtag,Generator!$B$53:$B$58,Generator!$S$53:$S$58,0)),0)),_xlpm.gxd,IF(_xlpm.gtag="",0,IFERROR(N(_xlfn.XLOOKUP(_xlpm.gtag,Generator!$B$53:$B$58,Generator!$U$53:$U$58,0)),0)),_xlpm.gamp,IF(OR(_xlpm.gkva=0,_xlpm.gxd=0,N($D201)=0),0,ROUND(_xlpm.gkva*1000/(IF(N($CB201)=1,1,SQRT(3))*$D201*_xlpm.gxd),0)),IF(OR(_xlpm.gamp=0,NOT(ISNUMBER(_xlpm.base))),_xlpm.base,MAX(_xlpm.base,_xlpm.gamp))),_xlpm.ulim,IF(OR($A201="",$B201&lt;&gt;"UPS"),"",IFERROR(IF(_xlfn.XLOOKUP($A201,UPS!$B$57:$B$64,UPS!$E$57:$E$64,"")="None",_xlfn.XLOOKUP($A201,UPS!$B$57:$B$64,UPS!$U$57:$U$64,""),""),"")),IF(AND(ISNUMBER(_xlpm.v),ISNUMBER(_xlpm.ulim)),MIN(_xlpm.v,_xlpm.ulim),_xlpm.v))</f>
        <v/>
      </c>
      <c r="K201" s="176"/>
      <c r="L201" s="177" t="str">
        <f t="shared" si="55"/>
        <v/>
      </c>
      <c r="M201" s="177" t="str">
        <f t="shared" si="56"/>
        <v/>
      </c>
      <c r="N201" s="380" t="str">
        <f>IF($A201="","",IF($C201=0,_xlfn.LET(_xlpm.x,IFERROR(_xlfn.XLOOKUP($A201,Util_Tags,Util_XR),""),IF(N(_xlpm.x)=0,Xfmr_DefXR,_xlpm.x)),IF(LEFT($A201,2)="T-",IFERROR(_xlfn.XLOOKUP($A201,Transformers!$A$6:$A$105,Transformers!$AH$6:$AH$105),Xfmr_DefXR),IFERROR(_xlfn.XLOOKUP($E201,$A$6:$A$255,$N$6:$N$255),Xfmr_DefXR))))</f>
        <v/>
      </c>
      <c r="O201" s="177" t="str">
        <f t="shared" si="57"/>
        <v/>
      </c>
      <c r="P201" s="210" t="str">
        <f>IF($A201="","",IF(LEFT($A201,2)="T-",IF($CO201="","",_xlfn.LET(_xlpm.k,IFERROR(_xlfn.XLOOKUP($A201,Transformers!$A$6:$A$105,Transformers!$G$6:$G$105),""),_xlpm.sv,IFERROR(_xlfn.XLOOKUP($A201,Transformers!$A$6:$A$105,Transformers!$E$6:$E$105),""),IF(OR(NOT(ISNUMBER(_xlpm.k)),NOT(ISNUMBER(_xlpm.sv)),_xlpm.sv=0),"",_xlfn.LET(_xlpm.iInf,(_xlpm.k*1000/(_xlpm.sv/2))*100/$CO201,_xlpm.pri,IF(OR($CK201="",$CK201=0),"",$CK201/2),_xlpm.base,IF(_xlpm.pri="",_xlpm.iInf,_xlpm.iInf/(1+_xlpm.iInf/_xlpm.pri)),_xlpm.base+IF($L201="",0,$L201))))),IF($CP201="","",_xlfn.LET(_xlpm.pI,IFERROR(_xlfn.XLOOKUP($E201,$A$6:$A$255,$P$6:$P$255),""),IF(NOT(ISNUMBER(_xlpm.pI)),"",_xlpm.pI/(1+$CP201)+IF($L201="",0,$L201))))))</f>
        <v/>
      </c>
      <c r="Q201" s="210" t="str">
        <f t="shared" si="58"/>
        <v/>
      </c>
      <c r="R201" s="177" t="str">
        <f>IF($A201="","",IF(OR($C201=0,LEFT($A201,2)="T-"),"",IFERROR(_xlfn.LET(_xlpm.v,_xlfn.XLOOKUP($A201,Dashboard!$A$101:$A$350,Dashboard!$K$101:$K$350),IF(ISNUMBER(_xlpm.v),_xlpm.v,"")),"")))</f>
        <v/>
      </c>
      <c r="S201" s="211" t="str">
        <f t="shared" si="59"/>
        <v/>
      </c>
      <c r="T201" s="25" t="str">
        <f t="shared" si="60"/>
        <v/>
      </c>
      <c r="U201" s="364"/>
      <c r="BV201" s="20" t="str">
        <f>IF($A201="","",IFERROR(_xlfn.XLOOKUP("F-"&amp;$A201,'Feeder Schedule'!$B$5:$B$254,'Feeder Schedule'!$H$5:$H$254),""))</f>
        <v/>
      </c>
      <c r="BW201" s="20" t="str">
        <f>IF($A201="","",IFERROR(_xlfn.XLOOKUP("F-"&amp;$A201,'Feeder Schedule'!$B$5:$B$254,'Feeder Schedule'!$BV$5:$BV$254),""))</f>
        <v/>
      </c>
      <c r="BX201" s="20" t="str">
        <f>IF($A201="","",IFERROR(_xlfn.LET(_xlpm.v,_xlfn.XLOOKUP("F-"&amp;$A201,'Feeder Schedule'!$B$5:$B$254,'Feeder Schedule'!$M$5:$M$254),IF(OR(_xlpm.v="",_xlpm.v=0),Cfg_Conduit,_xlpm.v)),""))</f>
        <v/>
      </c>
      <c r="BY201" s="20" t="str">
        <f>IF($A201="","",IFERROR(_xlfn.XLOOKUP("F-"&amp;$A201,'Feeder Schedule'!$B$5:$B$254,'Feeder Schedule'!$O$5:$O$254),""))</f>
        <v/>
      </c>
      <c r="BZ201" s="20" t="str">
        <f>IF($A201="","",IFERROR(_xlfn.XLOOKUP("F-"&amp;$A201,'Feeder Schedule'!$B$5:$B$254,'Feeder Schedule'!$CH$5:$CH$254),""))</f>
        <v/>
      </c>
      <c r="CA201" s="20" t="str">
        <f>IF($A201="","",IFERROR(_xlfn.XLOOKUP("F-"&amp;$A201,'Feeder Schedule'!$B$5:$B$254,'Feeder Schedule'!$F$5:$F$254),""))</f>
        <v/>
      </c>
      <c r="CB201" s="20" t="str">
        <f>IF($A201="","",IFERROR(_xlfn.XLOOKUP("F-"&amp;$A201,'Feeder Schedule'!$B$5:$B$254,'Feeder Schedule'!$G$5:$G$254),""))</f>
        <v/>
      </c>
      <c r="CD201" s="20" t="str" cm="1">
        <f t="array" ref="CD201">IFERROR(IF($A201="","",INDEX(_xlfn.ANCHORARRAY($BK$4),ROW()-5,6)),"")</f>
        <v/>
      </c>
      <c r="CE201" s="20" t="str">
        <f t="shared" si="63"/>
        <v/>
      </c>
      <c r="CF201" s="20" t="str">
        <f t="shared" si="64"/>
        <v/>
      </c>
      <c r="CG201" s="20" t="str">
        <f t="shared" si="61"/>
        <v/>
      </c>
      <c r="CH201" s="20" t="str" cm="1">
        <f t="array" ref="CH201">IF(OR($A201="",$BZ201="",$BW201="",$BX201=""),"",_xlfn.LET(_xlpm.mag,IFERROR(_xlfn.XLOOKUP($BX201,Race_Raceway,Race_Mag),""),IF(_xlpm.mag="","",IFERROR(INDEX(Cond_Table,MATCH($BZ201,Cond_Size,0),IF(UPPER($BW201)="AL",IF(_xlpm.mag="Y",10,12),IF(_xlpm.mag="Y",9,11))),""))))</f>
        <v/>
      </c>
      <c r="CI201" s="20" t="str">
        <f t="shared" si="62"/>
        <v/>
      </c>
      <c r="CJ201" s="20" t="str">
        <f>IF(OR($A201="",LEFT($A201,2)&lt;&gt;"T-"),"",IFERROR(_xlfn.LET(_xlpm.fla,_xlfn.XLOOKUP($A201,Transformers!$A$6:$A$105,Transformers!$AK$6:$AK$105),_xlpm.z,_xlfn.XLOOKUP($A201,Transformers!$A$6:$A$105,Transformers!$AX$6:$AX$105),IF(OR(_xlpm.fla="",_xlpm.z="",_xlpm.z=0),"",_xlpm.fla*100/_xlpm.z)),""))</f>
        <v/>
      </c>
      <c r="CK201" s="20" t="str">
        <f t="shared" si="65"/>
        <v/>
      </c>
      <c r="CL201" s="20" t="str">
        <f t="shared" si="66"/>
        <v/>
      </c>
      <c r="CM201" s="373"/>
      <c r="CO201" s="20" t="str">
        <f>IF(OR($A201="",LEFT($A201,2)&lt;&gt;"T-"),"",_xlfn.LET(_xlpm.ph,IFERROR(_xlfn.XLOOKUP($A201,Transformers!$A$6:$A$105,Transformers!$C$6:$C$105),""),_xlpm.rr,IFERROR(_xlfn.XLOOKUP($A201,Transformers!$A$6:$A$105,Transformers!$AG$6:$AG$105),""),_xlpm.xx,IFERROR(_xlfn.XLOOKUP($A201,Transformers!$A$6:$A$105,Transformers!$AI$6:$AI$105),""),IF(OR(_xlpm.ph&lt;&gt;1,NOT(ISNUMBER(_xlpm.rr)),NOT(ISNUMBER(_xlpm.xx))),"",SQRT((1.5*_xlpm.rr)^2+(1.2*_xlpm.xx)^2))))</f>
        <v/>
      </c>
      <c r="CP201" s="20" t="str">
        <f t="shared" si="67"/>
        <v/>
      </c>
    </row>
    <row r="202" spans="1:94" ht="15" customHeight="1" x14ac:dyDescent="0.45">
      <c r="A202" s="275" t="str" cm="1">
        <f t="array" ref="A202">IFERROR(IF(INDEX(_xlfn.ANCHORARRAY($BK$4),ROW()-5,1)="","",INDEX(_xlfn.ANCHORARRAY($BK$4),ROW()-5,1)),"")</f>
        <v/>
      </c>
      <c r="B202" s="25" t="str" cm="1">
        <f t="array" ref="B202">IFERROR(IF($A202="","",INDEX(_xlfn.ANCHORARRAY($BK$4),ROW()-5,5)),"")</f>
        <v/>
      </c>
      <c r="C202" s="178" t="str" cm="1">
        <f t="array" ref="C202">IFERROR(IF($A202="","",INDEX(_xlfn.ANCHORARRAY($BK$4),ROW()-5,7)),"")</f>
        <v/>
      </c>
      <c r="D202" s="177" t="str" cm="1">
        <f t="array" ref="D202">IFERROR(IF($A202="","",INDEX(_xlfn.ANCHORARRAY($BK$4),ROW()-5,3)),"")</f>
        <v/>
      </c>
      <c r="E202" s="25" t="str" cm="1">
        <f t="array" ref="E202">IFERROR(IF($A202="","",INDEX(_xlfn.ANCHORARRAY($BK$4),ROW()-5,2)),"")</f>
        <v/>
      </c>
      <c r="F202" s="177" t="str">
        <f t="shared" si="51"/>
        <v/>
      </c>
      <c r="G202" s="275" t="str">
        <f t="shared" si="52"/>
        <v/>
      </c>
      <c r="H202" s="180" t="str">
        <f t="shared" si="53"/>
        <v/>
      </c>
      <c r="I202" s="180" t="str">
        <f t="shared" si="54"/>
        <v/>
      </c>
      <c r="J202" s="177" t="str">
        <f>_xlfn.LET(_xlpm.v,_xlfn.LET(_xlpm.base,IF($A202="","",IF($C202=0,IFERROR(_xlfn.XLOOKUP($A202,Util_Tags,Util_SCAEff),""),IF(LEFT($A202,2)="T-",IF($CJ202="","",$CJ202/(1+IF($CL202="",0,$CL202))),IF(OR($F202="",$I202=""),"",$F202*$I202)))),_xlpm.gtag,IF(OR($A202="",NOT(OR($B202="ATS",$B202="MTS"))),"",IFERROR(_xlfn.XLOOKUP($A202,Dashboard!$A$101:$A$350,Dashboard!$L$101:$L$350,"")&amp;"","")),_xlpm.gkva,IF(_xlpm.gtag="",0,IFERROR(N(_xlfn.XLOOKUP(_xlpm.gtag,Generator!$B$53:$B$58,Generator!$S$53:$S$58,0)),0)),_xlpm.gxd,IF(_xlpm.gtag="",0,IFERROR(N(_xlfn.XLOOKUP(_xlpm.gtag,Generator!$B$53:$B$58,Generator!$U$53:$U$58,0)),0)),_xlpm.gamp,IF(OR(_xlpm.gkva=0,_xlpm.gxd=0,N($D202)=0),0,ROUND(_xlpm.gkva*1000/(IF(N($CB202)=1,1,SQRT(3))*$D202*_xlpm.gxd),0)),IF(OR(_xlpm.gamp=0,NOT(ISNUMBER(_xlpm.base))),_xlpm.base,MAX(_xlpm.base,_xlpm.gamp))),_xlpm.ulim,IF(OR($A202="",$B202&lt;&gt;"UPS"),"",IFERROR(IF(_xlfn.XLOOKUP($A202,UPS!$B$57:$B$64,UPS!$E$57:$E$64,"")="None",_xlfn.XLOOKUP($A202,UPS!$B$57:$B$64,UPS!$U$57:$U$64,""),""),"")),IF(AND(ISNUMBER(_xlpm.v),ISNUMBER(_xlpm.ulim)),MIN(_xlpm.v,_xlpm.ulim),_xlpm.v))</f>
        <v/>
      </c>
      <c r="K202" s="176"/>
      <c r="L202" s="177" t="str">
        <f t="shared" si="55"/>
        <v/>
      </c>
      <c r="M202" s="177" t="str">
        <f t="shared" si="56"/>
        <v/>
      </c>
      <c r="N202" s="380" t="str">
        <f>IF($A202="","",IF($C202=0,_xlfn.LET(_xlpm.x,IFERROR(_xlfn.XLOOKUP($A202,Util_Tags,Util_XR),""),IF(N(_xlpm.x)=0,Xfmr_DefXR,_xlpm.x)),IF(LEFT($A202,2)="T-",IFERROR(_xlfn.XLOOKUP($A202,Transformers!$A$6:$A$105,Transformers!$AH$6:$AH$105),Xfmr_DefXR),IFERROR(_xlfn.XLOOKUP($E202,$A$6:$A$255,$N$6:$N$255),Xfmr_DefXR))))</f>
        <v/>
      </c>
      <c r="O202" s="177" t="str">
        <f t="shared" si="57"/>
        <v/>
      </c>
      <c r="P202" s="210" t="str">
        <f>IF($A202="","",IF(LEFT($A202,2)="T-",IF($CO202="","",_xlfn.LET(_xlpm.k,IFERROR(_xlfn.XLOOKUP($A202,Transformers!$A$6:$A$105,Transformers!$G$6:$G$105),""),_xlpm.sv,IFERROR(_xlfn.XLOOKUP($A202,Transformers!$A$6:$A$105,Transformers!$E$6:$E$105),""),IF(OR(NOT(ISNUMBER(_xlpm.k)),NOT(ISNUMBER(_xlpm.sv)),_xlpm.sv=0),"",_xlfn.LET(_xlpm.iInf,(_xlpm.k*1000/(_xlpm.sv/2))*100/$CO202,_xlpm.pri,IF(OR($CK202="",$CK202=0),"",$CK202/2),_xlpm.base,IF(_xlpm.pri="",_xlpm.iInf,_xlpm.iInf/(1+_xlpm.iInf/_xlpm.pri)),_xlpm.base+IF($L202="",0,$L202))))),IF($CP202="","",_xlfn.LET(_xlpm.pI,IFERROR(_xlfn.XLOOKUP($E202,$A$6:$A$255,$P$6:$P$255),""),IF(NOT(ISNUMBER(_xlpm.pI)),"",_xlpm.pI/(1+$CP202)+IF($L202="",0,$L202))))))</f>
        <v/>
      </c>
      <c r="Q202" s="210" t="str">
        <f t="shared" si="58"/>
        <v/>
      </c>
      <c r="R202" s="177" t="str">
        <f>IF($A202="","",IF(OR($C202=0,LEFT($A202,2)="T-"),"",IFERROR(_xlfn.LET(_xlpm.v,_xlfn.XLOOKUP($A202,Dashboard!$A$101:$A$350,Dashboard!$K$101:$K$350),IF(ISNUMBER(_xlpm.v),_xlpm.v,"")),"")))</f>
        <v/>
      </c>
      <c r="S202" s="211" t="str">
        <f t="shared" si="59"/>
        <v/>
      </c>
      <c r="T202" s="25" t="str">
        <f t="shared" si="60"/>
        <v/>
      </c>
      <c r="U202" s="364"/>
      <c r="BV202" s="20" t="str">
        <f>IF($A202="","",IFERROR(_xlfn.XLOOKUP("F-"&amp;$A202,'Feeder Schedule'!$B$5:$B$254,'Feeder Schedule'!$H$5:$H$254),""))</f>
        <v/>
      </c>
      <c r="BW202" s="20" t="str">
        <f>IF($A202="","",IFERROR(_xlfn.XLOOKUP("F-"&amp;$A202,'Feeder Schedule'!$B$5:$B$254,'Feeder Schedule'!$BV$5:$BV$254),""))</f>
        <v/>
      </c>
      <c r="BX202" s="20" t="str">
        <f>IF($A202="","",IFERROR(_xlfn.LET(_xlpm.v,_xlfn.XLOOKUP("F-"&amp;$A202,'Feeder Schedule'!$B$5:$B$254,'Feeder Schedule'!$M$5:$M$254),IF(OR(_xlpm.v="",_xlpm.v=0),Cfg_Conduit,_xlpm.v)),""))</f>
        <v/>
      </c>
      <c r="BY202" s="20" t="str">
        <f>IF($A202="","",IFERROR(_xlfn.XLOOKUP("F-"&amp;$A202,'Feeder Schedule'!$B$5:$B$254,'Feeder Schedule'!$O$5:$O$254),""))</f>
        <v/>
      </c>
      <c r="BZ202" s="20" t="str">
        <f>IF($A202="","",IFERROR(_xlfn.XLOOKUP("F-"&amp;$A202,'Feeder Schedule'!$B$5:$B$254,'Feeder Schedule'!$CH$5:$CH$254),""))</f>
        <v/>
      </c>
      <c r="CA202" s="20" t="str">
        <f>IF($A202="","",IFERROR(_xlfn.XLOOKUP("F-"&amp;$A202,'Feeder Schedule'!$B$5:$B$254,'Feeder Schedule'!$F$5:$F$254),""))</f>
        <v/>
      </c>
      <c r="CB202" s="20" t="str">
        <f>IF($A202="","",IFERROR(_xlfn.XLOOKUP("F-"&amp;$A202,'Feeder Schedule'!$B$5:$B$254,'Feeder Schedule'!$G$5:$G$254),""))</f>
        <v/>
      </c>
      <c r="CD202" s="20" t="str" cm="1">
        <f t="array" ref="CD202">IFERROR(IF($A202="","",INDEX(_xlfn.ANCHORARRAY($BK$4),ROW()-5,6)),"")</f>
        <v/>
      </c>
      <c r="CE202" s="20" t="str">
        <f t="shared" si="63"/>
        <v/>
      </c>
      <c r="CF202" s="20" t="str">
        <f t="shared" si="64"/>
        <v/>
      </c>
      <c r="CG202" s="20" t="str">
        <f t="shared" si="61"/>
        <v/>
      </c>
      <c r="CH202" s="20" t="str" cm="1">
        <f t="array" ref="CH202">IF(OR($A202="",$BZ202="",$BW202="",$BX202=""),"",_xlfn.LET(_xlpm.mag,IFERROR(_xlfn.XLOOKUP($BX202,Race_Raceway,Race_Mag),""),IF(_xlpm.mag="","",IFERROR(INDEX(Cond_Table,MATCH($BZ202,Cond_Size,0),IF(UPPER($BW202)="AL",IF(_xlpm.mag="Y",10,12),IF(_xlpm.mag="Y",9,11))),""))))</f>
        <v/>
      </c>
      <c r="CI202" s="20" t="str">
        <f t="shared" si="62"/>
        <v/>
      </c>
      <c r="CJ202" s="20" t="str">
        <f>IF(OR($A202="",LEFT($A202,2)&lt;&gt;"T-"),"",IFERROR(_xlfn.LET(_xlpm.fla,_xlfn.XLOOKUP($A202,Transformers!$A$6:$A$105,Transformers!$AK$6:$AK$105),_xlpm.z,_xlfn.XLOOKUP($A202,Transformers!$A$6:$A$105,Transformers!$AX$6:$AX$105),IF(OR(_xlpm.fla="",_xlpm.z="",_xlpm.z=0),"",_xlpm.fla*100/_xlpm.z)),""))</f>
        <v/>
      </c>
      <c r="CK202" s="20" t="str">
        <f t="shared" si="65"/>
        <v/>
      </c>
      <c r="CL202" s="20" t="str">
        <f t="shared" si="66"/>
        <v/>
      </c>
      <c r="CM202" s="373"/>
      <c r="CO202" s="20" t="str">
        <f>IF(OR($A202="",LEFT($A202,2)&lt;&gt;"T-"),"",_xlfn.LET(_xlpm.ph,IFERROR(_xlfn.XLOOKUP($A202,Transformers!$A$6:$A$105,Transformers!$C$6:$C$105),""),_xlpm.rr,IFERROR(_xlfn.XLOOKUP($A202,Transformers!$A$6:$A$105,Transformers!$AG$6:$AG$105),""),_xlpm.xx,IFERROR(_xlfn.XLOOKUP($A202,Transformers!$A$6:$A$105,Transformers!$AI$6:$AI$105),""),IF(OR(_xlpm.ph&lt;&gt;1,NOT(ISNUMBER(_xlpm.rr)),NOT(ISNUMBER(_xlpm.xx))),"",SQRT((1.5*_xlpm.rr)^2+(1.2*_xlpm.xx)^2))))</f>
        <v/>
      </c>
      <c r="CP202" s="20" t="str">
        <f t="shared" si="67"/>
        <v/>
      </c>
    </row>
    <row r="203" spans="1:94" ht="15" customHeight="1" x14ac:dyDescent="0.45">
      <c r="A203" s="275" t="str" cm="1">
        <f t="array" ref="A203">IFERROR(IF(INDEX(_xlfn.ANCHORARRAY($BK$4),ROW()-5,1)="","",INDEX(_xlfn.ANCHORARRAY($BK$4),ROW()-5,1)),"")</f>
        <v/>
      </c>
      <c r="B203" s="25" t="str" cm="1">
        <f t="array" ref="B203">IFERROR(IF($A203="","",INDEX(_xlfn.ANCHORARRAY($BK$4),ROW()-5,5)),"")</f>
        <v/>
      </c>
      <c r="C203" s="178" t="str" cm="1">
        <f t="array" ref="C203">IFERROR(IF($A203="","",INDEX(_xlfn.ANCHORARRAY($BK$4),ROW()-5,7)),"")</f>
        <v/>
      </c>
      <c r="D203" s="177" t="str" cm="1">
        <f t="array" ref="D203">IFERROR(IF($A203="","",INDEX(_xlfn.ANCHORARRAY($BK$4),ROW()-5,3)),"")</f>
        <v/>
      </c>
      <c r="E203" s="25" t="str" cm="1">
        <f t="array" ref="E203">IFERROR(IF($A203="","",INDEX(_xlfn.ANCHORARRAY($BK$4),ROW()-5,2)),"")</f>
        <v/>
      </c>
      <c r="F203" s="177" t="str">
        <f t="shared" si="51"/>
        <v/>
      </c>
      <c r="G203" s="275" t="str">
        <f t="shared" si="52"/>
        <v/>
      </c>
      <c r="H203" s="180" t="str">
        <f t="shared" si="53"/>
        <v/>
      </c>
      <c r="I203" s="180" t="str">
        <f t="shared" si="54"/>
        <v/>
      </c>
      <c r="J203" s="177" t="str">
        <f>_xlfn.LET(_xlpm.v,_xlfn.LET(_xlpm.base,IF($A203="","",IF($C203=0,IFERROR(_xlfn.XLOOKUP($A203,Util_Tags,Util_SCAEff),""),IF(LEFT($A203,2)="T-",IF($CJ203="","",$CJ203/(1+IF($CL203="",0,$CL203))),IF(OR($F203="",$I203=""),"",$F203*$I203)))),_xlpm.gtag,IF(OR($A203="",NOT(OR($B203="ATS",$B203="MTS"))),"",IFERROR(_xlfn.XLOOKUP($A203,Dashboard!$A$101:$A$350,Dashboard!$L$101:$L$350,"")&amp;"","")),_xlpm.gkva,IF(_xlpm.gtag="",0,IFERROR(N(_xlfn.XLOOKUP(_xlpm.gtag,Generator!$B$53:$B$58,Generator!$S$53:$S$58,0)),0)),_xlpm.gxd,IF(_xlpm.gtag="",0,IFERROR(N(_xlfn.XLOOKUP(_xlpm.gtag,Generator!$B$53:$B$58,Generator!$U$53:$U$58,0)),0)),_xlpm.gamp,IF(OR(_xlpm.gkva=0,_xlpm.gxd=0,N($D203)=0),0,ROUND(_xlpm.gkva*1000/(IF(N($CB203)=1,1,SQRT(3))*$D203*_xlpm.gxd),0)),IF(OR(_xlpm.gamp=0,NOT(ISNUMBER(_xlpm.base))),_xlpm.base,MAX(_xlpm.base,_xlpm.gamp))),_xlpm.ulim,IF(OR($A203="",$B203&lt;&gt;"UPS"),"",IFERROR(IF(_xlfn.XLOOKUP($A203,UPS!$B$57:$B$64,UPS!$E$57:$E$64,"")="None",_xlfn.XLOOKUP($A203,UPS!$B$57:$B$64,UPS!$U$57:$U$64,""),""),"")),IF(AND(ISNUMBER(_xlpm.v),ISNUMBER(_xlpm.ulim)),MIN(_xlpm.v,_xlpm.ulim),_xlpm.v))</f>
        <v/>
      </c>
      <c r="K203" s="176"/>
      <c r="L203" s="177" t="str">
        <f t="shared" si="55"/>
        <v/>
      </c>
      <c r="M203" s="177" t="str">
        <f t="shared" si="56"/>
        <v/>
      </c>
      <c r="N203" s="380" t="str">
        <f>IF($A203="","",IF($C203=0,_xlfn.LET(_xlpm.x,IFERROR(_xlfn.XLOOKUP($A203,Util_Tags,Util_XR),""),IF(N(_xlpm.x)=0,Xfmr_DefXR,_xlpm.x)),IF(LEFT($A203,2)="T-",IFERROR(_xlfn.XLOOKUP($A203,Transformers!$A$6:$A$105,Transformers!$AH$6:$AH$105),Xfmr_DefXR),IFERROR(_xlfn.XLOOKUP($E203,$A$6:$A$255,$N$6:$N$255),Xfmr_DefXR))))</f>
        <v/>
      </c>
      <c r="O203" s="177" t="str">
        <f t="shared" si="57"/>
        <v/>
      </c>
      <c r="P203" s="210" t="str">
        <f>IF($A203="","",IF(LEFT($A203,2)="T-",IF($CO203="","",_xlfn.LET(_xlpm.k,IFERROR(_xlfn.XLOOKUP($A203,Transformers!$A$6:$A$105,Transformers!$G$6:$G$105),""),_xlpm.sv,IFERROR(_xlfn.XLOOKUP($A203,Transformers!$A$6:$A$105,Transformers!$E$6:$E$105),""),IF(OR(NOT(ISNUMBER(_xlpm.k)),NOT(ISNUMBER(_xlpm.sv)),_xlpm.sv=0),"",_xlfn.LET(_xlpm.iInf,(_xlpm.k*1000/(_xlpm.sv/2))*100/$CO203,_xlpm.pri,IF(OR($CK203="",$CK203=0),"",$CK203/2),_xlpm.base,IF(_xlpm.pri="",_xlpm.iInf,_xlpm.iInf/(1+_xlpm.iInf/_xlpm.pri)),_xlpm.base+IF($L203="",0,$L203))))),IF($CP203="","",_xlfn.LET(_xlpm.pI,IFERROR(_xlfn.XLOOKUP($E203,$A$6:$A$255,$P$6:$P$255),""),IF(NOT(ISNUMBER(_xlpm.pI)),"",_xlpm.pI/(1+$CP203)+IF($L203="",0,$L203))))))</f>
        <v/>
      </c>
      <c r="Q203" s="210" t="str">
        <f t="shared" si="58"/>
        <v/>
      </c>
      <c r="R203" s="177" t="str">
        <f>IF($A203="","",IF(OR($C203=0,LEFT($A203,2)="T-"),"",IFERROR(_xlfn.LET(_xlpm.v,_xlfn.XLOOKUP($A203,Dashboard!$A$101:$A$350,Dashboard!$K$101:$K$350),IF(ISNUMBER(_xlpm.v),_xlpm.v,"")),"")))</f>
        <v/>
      </c>
      <c r="S203" s="211" t="str">
        <f t="shared" si="59"/>
        <v/>
      </c>
      <c r="T203" s="25" t="str">
        <f t="shared" si="60"/>
        <v/>
      </c>
      <c r="U203" s="364"/>
      <c r="BV203" s="20" t="str">
        <f>IF($A203="","",IFERROR(_xlfn.XLOOKUP("F-"&amp;$A203,'Feeder Schedule'!$B$5:$B$254,'Feeder Schedule'!$H$5:$H$254),""))</f>
        <v/>
      </c>
      <c r="BW203" s="20" t="str">
        <f>IF($A203="","",IFERROR(_xlfn.XLOOKUP("F-"&amp;$A203,'Feeder Schedule'!$B$5:$B$254,'Feeder Schedule'!$BV$5:$BV$254),""))</f>
        <v/>
      </c>
      <c r="BX203" s="20" t="str">
        <f>IF($A203="","",IFERROR(_xlfn.LET(_xlpm.v,_xlfn.XLOOKUP("F-"&amp;$A203,'Feeder Schedule'!$B$5:$B$254,'Feeder Schedule'!$M$5:$M$254),IF(OR(_xlpm.v="",_xlpm.v=0),Cfg_Conduit,_xlpm.v)),""))</f>
        <v/>
      </c>
      <c r="BY203" s="20" t="str">
        <f>IF($A203="","",IFERROR(_xlfn.XLOOKUP("F-"&amp;$A203,'Feeder Schedule'!$B$5:$B$254,'Feeder Schedule'!$O$5:$O$254),""))</f>
        <v/>
      </c>
      <c r="BZ203" s="20" t="str">
        <f>IF($A203="","",IFERROR(_xlfn.XLOOKUP("F-"&amp;$A203,'Feeder Schedule'!$B$5:$B$254,'Feeder Schedule'!$CH$5:$CH$254),""))</f>
        <v/>
      </c>
      <c r="CA203" s="20" t="str">
        <f>IF($A203="","",IFERROR(_xlfn.XLOOKUP("F-"&amp;$A203,'Feeder Schedule'!$B$5:$B$254,'Feeder Schedule'!$F$5:$F$254),""))</f>
        <v/>
      </c>
      <c r="CB203" s="20" t="str">
        <f>IF($A203="","",IFERROR(_xlfn.XLOOKUP("F-"&amp;$A203,'Feeder Schedule'!$B$5:$B$254,'Feeder Schedule'!$G$5:$G$254),""))</f>
        <v/>
      </c>
      <c r="CD203" s="20" t="str" cm="1">
        <f t="array" ref="CD203">IFERROR(IF($A203="","",INDEX(_xlfn.ANCHORARRAY($BK$4),ROW()-5,6)),"")</f>
        <v/>
      </c>
      <c r="CE203" s="20" t="str">
        <f t="shared" si="63"/>
        <v/>
      </c>
      <c r="CF203" s="20" t="str">
        <f t="shared" si="64"/>
        <v/>
      </c>
      <c r="CG203" s="20" t="str">
        <f t="shared" si="61"/>
        <v/>
      </c>
      <c r="CH203" s="20" t="str" cm="1">
        <f t="array" ref="CH203">IF(OR($A203="",$BZ203="",$BW203="",$BX203=""),"",_xlfn.LET(_xlpm.mag,IFERROR(_xlfn.XLOOKUP($BX203,Race_Raceway,Race_Mag),""),IF(_xlpm.mag="","",IFERROR(INDEX(Cond_Table,MATCH($BZ203,Cond_Size,0),IF(UPPER($BW203)="AL",IF(_xlpm.mag="Y",10,12),IF(_xlpm.mag="Y",9,11))),""))))</f>
        <v/>
      </c>
      <c r="CI203" s="20" t="str">
        <f t="shared" si="62"/>
        <v/>
      </c>
      <c r="CJ203" s="20" t="str">
        <f>IF(OR($A203="",LEFT($A203,2)&lt;&gt;"T-"),"",IFERROR(_xlfn.LET(_xlpm.fla,_xlfn.XLOOKUP($A203,Transformers!$A$6:$A$105,Transformers!$AK$6:$AK$105),_xlpm.z,_xlfn.XLOOKUP($A203,Transformers!$A$6:$A$105,Transformers!$AX$6:$AX$105),IF(OR(_xlpm.fla="",_xlpm.z="",_xlpm.z=0),"",_xlpm.fla*100/_xlpm.z)),""))</f>
        <v/>
      </c>
      <c r="CK203" s="20" t="str">
        <f t="shared" si="65"/>
        <v/>
      </c>
      <c r="CL203" s="20" t="str">
        <f t="shared" si="66"/>
        <v/>
      </c>
      <c r="CM203" s="373"/>
      <c r="CO203" s="20" t="str">
        <f>IF(OR($A203="",LEFT($A203,2)&lt;&gt;"T-"),"",_xlfn.LET(_xlpm.ph,IFERROR(_xlfn.XLOOKUP($A203,Transformers!$A$6:$A$105,Transformers!$C$6:$C$105),""),_xlpm.rr,IFERROR(_xlfn.XLOOKUP($A203,Transformers!$A$6:$A$105,Transformers!$AG$6:$AG$105),""),_xlpm.xx,IFERROR(_xlfn.XLOOKUP($A203,Transformers!$A$6:$A$105,Transformers!$AI$6:$AI$105),""),IF(OR(_xlpm.ph&lt;&gt;1,NOT(ISNUMBER(_xlpm.rr)),NOT(ISNUMBER(_xlpm.xx))),"",SQRT((1.5*_xlpm.rr)^2+(1.2*_xlpm.xx)^2))))</f>
        <v/>
      </c>
      <c r="CP203" s="20" t="str">
        <f t="shared" si="67"/>
        <v/>
      </c>
    </row>
    <row r="204" spans="1:94" ht="15" customHeight="1" x14ac:dyDescent="0.45">
      <c r="A204" s="275" t="str" cm="1">
        <f t="array" ref="A204">IFERROR(IF(INDEX(_xlfn.ANCHORARRAY($BK$4),ROW()-5,1)="","",INDEX(_xlfn.ANCHORARRAY($BK$4),ROW()-5,1)),"")</f>
        <v/>
      </c>
      <c r="B204" s="25" t="str" cm="1">
        <f t="array" ref="B204">IFERROR(IF($A204="","",INDEX(_xlfn.ANCHORARRAY($BK$4),ROW()-5,5)),"")</f>
        <v/>
      </c>
      <c r="C204" s="178" t="str" cm="1">
        <f t="array" ref="C204">IFERROR(IF($A204="","",INDEX(_xlfn.ANCHORARRAY($BK$4),ROW()-5,7)),"")</f>
        <v/>
      </c>
      <c r="D204" s="177" t="str" cm="1">
        <f t="array" ref="D204">IFERROR(IF($A204="","",INDEX(_xlfn.ANCHORARRAY($BK$4),ROW()-5,3)),"")</f>
        <v/>
      </c>
      <c r="E204" s="25" t="str" cm="1">
        <f t="array" ref="E204">IFERROR(IF($A204="","",INDEX(_xlfn.ANCHORARRAY($BK$4),ROW()-5,2)),"")</f>
        <v/>
      </c>
      <c r="F204" s="177" t="str">
        <f t="shared" si="51"/>
        <v/>
      </c>
      <c r="G204" s="275" t="str">
        <f t="shared" si="52"/>
        <v/>
      </c>
      <c r="H204" s="180" t="str">
        <f t="shared" si="53"/>
        <v/>
      </c>
      <c r="I204" s="180" t="str">
        <f t="shared" si="54"/>
        <v/>
      </c>
      <c r="J204" s="177" t="str">
        <f>_xlfn.LET(_xlpm.v,_xlfn.LET(_xlpm.base,IF($A204="","",IF($C204=0,IFERROR(_xlfn.XLOOKUP($A204,Util_Tags,Util_SCAEff),""),IF(LEFT($A204,2)="T-",IF($CJ204="","",$CJ204/(1+IF($CL204="",0,$CL204))),IF(OR($F204="",$I204=""),"",$F204*$I204)))),_xlpm.gtag,IF(OR($A204="",NOT(OR($B204="ATS",$B204="MTS"))),"",IFERROR(_xlfn.XLOOKUP($A204,Dashboard!$A$101:$A$350,Dashboard!$L$101:$L$350,"")&amp;"","")),_xlpm.gkva,IF(_xlpm.gtag="",0,IFERROR(N(_xlfn.XLOOKUP(_xlpm.gtag,Generator!$B$53:$B$58,Generator!$S$53:$S$58,0)),0)),_xlpm.gxd,IF(_xlpm.gtag="",0,IFERROR(N(_xlfn.XLOOKUP(_xlpm.gtag,Generator!$B$53:$B$58,Generator!$U$53:$U$58,0)),0)),_xlpm.gamp,IF(OR(_xlpm.gkva=0,_xlpm.gxd=0,N($D204)=0),0,ROUND(_xlpm.gkva*1000/(IF(N($CB204)=1,1,SQRT(3))*$D204*_xlpm.gxd),0)),IF(OR(_xlpm.gamp=0,NOT(ISNUMBER(_xlpm.base))),_xlpm.base,MAX(_xlpm.base,_xlpm.gamp))),_xlpm.ulim,IF(OR($A204="",$B204&lt;&gt;"UPS"),"",IFERROR(IF(_xlfn.XLOOKUP($A204,UPS!$B$57:$B$64,UPS!$E$57:$E$64,"")="None",_xlfn.XLOOKUP($A204,UPS!$B$57:$B$64,UPS!$U$57:$U$64,""),""),"")),IF(AND(ISNUMBER(_xlpm.v),ISNUMBER(_xlpm.ulim)),MIN(_xlpm.v,_xlpm.ulim),_xlpm.v))</f>
        <v/>
      </c>
      <c r="K204" s="176"/>
      <c r="L204" s="177" t="str">
        <f t="shared" si="55"/>
        <v/>
      </c>
      <c r="M204" s="177" t="str">
        <f t="shared" si="56"/>
        <v/>
      </c>
      <c r="N204" s="380" t="str">
        <f>IF($A204="","",IF($C204=0,_xlfn.LET(_xlpm.x,IFERROR(_xlfn.XLOOKUP($A204,Util_Tags,Util_XR),""),IF(N(_xlpm.x)=0,Xfmr_DefXR,_xlpm.x)),IF(LEFT($A204,2)="T-",IFERROR(_xlfn.XLOOKUP($A204,Transformers!$A$6:$A$105,Transformers!$AH$6:$AH$105),Xfmr_DefXR),IFERROR(_xlfn.XLOOKUP($E204,$A$6:$A$255,$N$6:$N$255),Xfmr_DefXR))))</f>
        <v/>
      </c>
      <c r="O204" s="177" t="str">
        <f t="shared" si="57"/>
        <v/>
      </c>
      <c r="P204" s="210" t="str">
        <f>IF($A204="","",IF(LEFT($A204,2)="T-",IF($CO204="","",_xlfn.LET(_xlpm.k,IFERROR(_xlfn.XLOOKUP($A204,Transformers!$A$6:$A$105,Transformers!$G$6:$G$105),""),_xlpm.sv,IFERROR(_xlfn.XLOOKUP($A204,Transformers!$A$6:$A$105,Transformers!$E$6:$E$105),""),IF(OR(NOT(ISNUMBER(_xlpm.k)),NOT(ISNUMBER(_xlpm.sv)),_xlpm.sv=0),"",_xlfn.LET(_xlpm.iInf,(_xlpm.k*1000/(_xlpm.sv/2))*100/$CO204,_xlpm.pri,IF(OR($CK204="",$CK204=0),"",$CK204/2),_xlpm.base,IF(_xlpm.pri="",_xlpm.iInf,_xlpm.iInf/(1+_xlpm.iInf/_xlpm.pri)),_xlpm.base+IF($L204="",0,$L204))))),IF($CP204="","",_xlfn.LET(_xlpm.pI,IFERROR(_xlfn.XLOOKUP($E204,$A$6:$A$255,$P$6:$P$255),""),IF(NOT(ISNUMBER(_xlpm.pI)),"",_xlpm.pI/(1+$CP204)+IF($L204="",0,$L204))))))</f>
        <v/>
      </c>
      <c r="Q204" s="210" t="str">
        <f t="shared" si="58"/>
        <v/>
      </c>
      <c r="R204" s="177" t="str">
        <f>IF($A204="","",IF(OR($C204=0,LEFT($A204,2)="T-"),"",IFERROR(_xlfn.LET(_xlpm.v,_xlfn.XLOOKUP($A204,Dashboard!$A$101:$A$350,Dashboard!$K$101:$K$350),IF(ISNUMBER(_xlpm.v),_xlpm.v,"")),"")))</f>
        <v/>
      </c>
      <c r="S204" s="211" t="str">
        <f t="shared" si="59"/>
        <v/>
      </c>
      <c r="T204" s="25" t="str">
        <f t="shared" si="60"/>
        <v/>
      </c>
      <c r="U204" s="364"/>
      <c r="BV204" s="20" t="str">
        <f>IF($A204="","",IFERROR(_xlfn.XLOOKUP("F-"&amp;$A204,'Feeder Schedule'!$B$5:$B$254,'Feeder Schedule'!$H$5:$H$254),""))</f>
        <v/>
      </c>
      <c r="BW204" s="20" t="str">
        <f>IF($A204="","",IFERROR(_xlfn.XLOOKUP("F-"&amp;$A204,'Feeder Schedule'!$B$5:$B$254,'Feeder Schedule'!$BV$5:$BV$254),""))</f>
        <v/>
      </c>
      <c r="BX204" s="20" t="str">
        <f>IF($A204="","",IFERROR(_xlfn.LET(_xlpm.v,_xlfn.XLOOKUP("F-"&amp;$A204,'Feeder Schedule'!$B$5:$B$254,'Feeder Schedule'!$M$5:$M$254),IF(OR(_xlpm.v="",_xlpm.v=0),Cfg_Conduit,_xlpm.v)),""))</f>
        <v/>
      </c>
      <c r="BY204" s="20" t="str">
        <f>IF($A204="","",IFERROR(_xlfn.XLOOKUP("F-"&amp;$A204,'Feeder Schedule'!$B$5:$B$254,'Feeder Schedule'!$O$5:$O$254),""))</f>
        <v/>
      </c>
      <c r="BZ204" s="20" t="str">
        <f>IF($A204="","",IFERROR(_xlfn.XLOOKUP("F-"&amp;$A204,'Feeder Schedule'!$B$5:$B$254,'Feeder Schedule'!$CH$5:$CH$254),""))</f>
        <v/>
      </c>
      <c r="CA204" s="20" t="str">
        <f>IF($A204="","",IFERROR(_xlfn.XLOOKUP("F-"&amp;$A204,'Feeder Schedule'!$B$5:$B$254,'Feeder Schedule'!$F$5:$F$254),""))</f>
        <v/>
      </c>
      <c r="CB204" s="20" t="str">
        <f>IF($A204="","",IFERROR(_xlfn.XLOOKUP("F-"&amp;$A204,'Feeder Schedule'!$B$5:$B$254,'Feeder Schedule'!$G$5:$G$254),""))</f>
        <v/>
      </c>
      <c r="CD204" s="20" t="str" cm="1">
        <f t="array" ref="CD204">IFERROR(IF($A204="","",INDEX(_xlfn.ANCHORARRAY($BK$4),ROW()-5,6)),"")</f>
        <v/>
      </c>
      <c r="CE204" s="20" t="str">
        <f t="shared" si="63"/>
        <v/>
      </c>
      <c r="CF204" s="20" t="str">
        <f t="shared" si="64"/>
        <v/>
      </c>
      <c r="CG204" s="20" t="str">
        <f t="shared" si="61"/>
        <v/>
      </c>
      <c r="CH204" s="20" t="str" cm="1">
        <f t="array" ref="CH204">IF(OR($A204="",$BZ204="",$BW204="",$BX204=""),"",_xlfn.LET(_xlpm.mag,IFERROR(_xlfn.XLOOKUP($BX204,Race_Raceway,Race_Mag),""),IF(_xlpm.mag="","",IFERROR(INDEX(Cond_Table,MATCH($BZ204,Cond_Size,0),IF(UPPER($BW204)="AL",IF(_xlpm.mag="Y",10,12),IF(_xlpm.mag="Y",9,11))),""))))</f>
        <v/>
      </c>
      <c r="CI204" s="20" t="str">
        <f t="shared" si="62"/>
        <v/>
      </c>
      <c r="CJ204" s="20" t="str">
        <f>IF(OR($A204="",LEFT($A204,2)&lt;&gt;"T-"),"",IFERROR(_xlfn.LET(_xlpm.fla,_xlfn.XLOOKUP($A204,Transformers!$A$6:$A$105,Transformers!$AK$6:$AK$105),_xlpm.z,_xlfn.XLOOKUP($A204,Transformers!$A$6:$A$105,Transformers!$AX$6:$AX$105),IF(OR(_xlpm.fla="",_xlpm.z="",_xlpm.z=0),"",_xlpm.fla*100/_xlpm.z)),""))</f>
        <v/>
      </c>
      <c r="CK204" s="20" t="str">
        <f t="shared" si="65"/>
        <v/>
      </c>
      <c r="CL204" s="20" t="str">
        <f t="shared" si="66"/>
        <v/>
      </c>
      <c r="CM204" s="373"/>
      <c r="CO204" s="20" t="str">
        <f>IF(OR($A204="",LEFT($A204,2)&lt;&gt;"T-"),"",_xlfn.LET(_xlpm.ph,IFERROR(_xlfn.XLOOKUP($A204,Transformers!$A$6:$A$105,Transformers!$C$6:$C$105),""),_xlpm.rr,IFERROR(_xlfn.XLOOKUP($A204,Transformers!$A$6:$A$105,Transformers!$AG$6:$AG$105),""),_xlpm.xx,IFERROR(_xlfn.XLOOKUP($A204,Transformers!$A$6:$A$105,Transformers!$AI$6:$AI$105),""),IF(OR(_xlpm.ph&lt;&gt;1,NOT(ISNUMBER(_xlpm.rr)),NOT(ISNUMBER(_xlpm.xx))),"",SQRT((1.5*_xlpm.rr)^2+(1.2*_xlpm.xx)^2))))</f>
        <v/>
      </c>
      <c r="CP204" s="20" t="str">
        <f t="shared" si="67"/>
        <v/>
      </c>
    </row>
    <row r="205" spans="1:94" ht="15" customHeight="1" x14ac:dyDescent="0.45">
      <c r="A205" s="275" t="str" cm="1">
        <f t="array" ref="A205">IFERROR(IF(INDEX(_xlfn.ANCHORARRAY($BK$4),ROW()-5,1)="","",INDEX(_xlfn.ANCHORARRAY($BK$4),ROW()-5,1)),"")</f>
        <v/>
      </c>
      <c r="B205" s="25" t="str" cm="1">
        <f t="array" ref="B205">IFERROR(IF($A205="","",INDEX(_xlfn.ANCHORARRAY($BK$4),ROW()-5,5)),"")</f>
        <v/>
      </c>
      <c r="C205" s="178" t="str" cm="1">
        <f t="array" ref="C205">IFERROR(IF($A205="","",INDEX(_xlfn.ANCHORARRAY($BK$4),ROW()-5,7)),"")</f>
        <v/>
      </c>
      <c r="D205" s="177" t="str" cm="1">
        <f t="array" ref="D205">IFERROR(IF($A205="","",INDEX(_xlfn.ANCHORARRAY($BK$4),ROW()-5,3)),"")</f>
        <v/>
      </c>
      <c r="E205" s="25" t="str" cm="1">
        <f t="array" ref="E205">IFERROR(IF($A205="","",INDEX(_xlfn.ANCHORARRAY($BK$4),ROW()-5,2)),"")</f>
        <v/>
      </c>
      <c r="F205" s="177" t="str">
        <f t="shared" si="51"/>
        <v/>
      </c>
      <c r="G205" s="275" t="str">
        <f t="shared" si="52"/>
        <v/>
      </c>
      <c r="H205" s="180" t="str">
        <f t="shared" si="53"/>
        <v/>
      </c>
      <c r="I205" s="180" t="str">
        <f t="shared" si="54"/>
        <v/>
      </c>
      <c r="J205" s="177" t="str">
        <f>_xlfn.LET(_xlpm.v,_xlfn.LET(_xlpm.base,IF($A205="","",IF($C205=0,IFERROR(_xlfn.XLOOKUP($A205,Util_Tags,Util_SCAEff),""),IF(LEFT($A205,2)="T-",IF($CJ205="","",$CJ205/(1+IF($CL205="",0,$CL205))),IF(OR($F205="",$I205=""),"",$F205*$I205)))),_xlpm.gtag,IF(OR($A205="",NOT(OR($B205="ATS",$B205="MTS"))),"",IFERROR(_xlfn.XLOOKUP($A205,Dashboard!$A$101:$A$350,Dashboard!$L$101:$L$350,"")&amp;"","")),_xlpm.gkva,IF(_xlpm.gtag="",0,IFERROR(N(_xlfn.XLOOKUP(_xlpm.gtag,Generator!$B$53:$B$58,Generator!$S$53:$S$58,0)),0)),_xlpm.gxd,IF(_xlpm.gtag="",0,IFERROR(N(_xlfn.XLOOKUP(_xlpm.gtag,Generator!$B$53:$B$58,Generator!$U$53:$U$58,0)),0)),_xlpm.gamp,IF(OR(_xlpm.gkva=0,_xlpm.gxd=0,N($D205)=0),0,ROUND(_xlpm.gkva*1000/(IF(N($CB205)=1,1,SQRT(3))*$D205*_xlpm.gxd),0)),IF(OR(_xlpm.gamp=0,NOT(ISNUMBER(_xlpm.base))),_xlpm.base,MAX(_xlpm.base,_xlpm.gamp))),_xlpm.ulim,IF(OR($A205="",$B205&lt;&gt;"UPS"),"",IFERROR(IF(_xlfn.XLOOKUP($A205,UPS!$B$57:$B$64,UPS!$E$57:$E$64,"")="None",_xlfn.XLOOKUP($A205,UPS!$B$57:$B$64,UPS!$U$57:$U$64,""),""),"")),IF(AND(ISNUMBER(_xlpm.v),ISNUMBER(_xlpm.ulim)),MIN(_xlpm.v,_xlpm.ulim),_xlpm.v))</f>
        <v/>
      </c>
      <c r="K205" s="176"/>
      <c r="L205" s="177" t="str">
        <f t="shared" si="55"/>
        <v/>
      </c>
      <c r="M205" s="177" t="str">
        <f t="shared" si="56"/>
        <v/>
      </c>
      <c r="N205" s="380" t="str">
        <f>IF($A205="","",IF($C205=0,_xlfn.LET(_xlpm.x,IFERROR(_xlfn.XLOOKUP($A205,Util_Tags,Util_XR),""),IF(N(_xlpm.x)=0,Xfmr_DefXR,_xlpm.x)),IF(LEFT($A205,2)="T-",IFERROR(_xlfn.XLOOKUP($A205,Transformers!$A$6:$A$105,Transformers!$AH$6:$AH$105),Xfmr_DefXR),IFERROR(_xlfn.XLOOKUP($E205,$A$6:$A$255,$N$6:$N$255),Xfmr_DefXR))))</f>
        <v/>
      </c>
      <c r="O205" s="177" t="str">
        <f t="shared" si="57"/>
        <v/>
      </c>
      <c r="P205" s="210" t="str">
        <f>IF($A205="","",IF(LEFT($A205,2)="T-",IF($CO205="","",_xlfn.LET(_xlpm.k,IFERROR(_xlfn.XLOOKUP($A205,Transformers!$A$6:$A$105,Transformers!$G$6:$G$105),""),_xlpm.sv,IFERROR(_xlfn.XLOOKUP($A205,Transformers!$A$6:$A$105,Transformers!$E$6:$E$105),""),IF(OR(NOT(ISNUMBER(_xlpm.k)),NOT(ISNUMBER(_xlpm.sv)),_xlpm.sv=0),"",_xlfn.LET(_xlpm.iInf,(_xlpm.k*1000/(_xlpm.sv/2))*100/$CO205,_xlpm.pri,IF(OR($CK205="",$CK205=0),"",$CK205/2),_xlpm.base,IF(_xlpm.pri="",_xlpm.iInf,_xlpm.iInf/(1+_xlpm.iInf/_xlpm.pri)),_xlpm.base+IF($L205="",0,$L205))))),IF($CP205="","",_xlfn.LET(_xlpm.pI,IFERROR(_xlfn.XLOOKUP($E205,$A$6:$A$255,$P$6:$P$255),""),IF(NOT(ISNUMBER(_xlpm.pI)),"",_xlpm.pI/(1+$CP205)+IF($L205="",0,$L205))))))</f>
        <v/>
      </c>
      <c r="Q205" s="210" t="str">
        <f t="shared" si="58"/>
        <v/>
      </c>
      <c r="R205" s="177" t="str">
        <f>IF($A205="","",IF(OR($C205=0,LEFT($A205,2)="T-"),"",IFERROR(_xlfn.LET(_xlpm.v,_xlfn.XLOOKUP($A205,Dashboard!$A$101:$A$350,Dashboard!$K$101:$K$350),IF(ISNUMBER(_xlpm.v),_xlpm.v,"")),"")))</f>
        <v/>
      </c>
      <c r="S205" s="211" t="str">
        <f t="shared" si="59"/>
        <v/>
      </c>
      <c r="T205" s="25" t="str">
        <f t="shared" si="60"/>
        <v/>
      </c>
      <c r="U205" s="364"/>
      <c r="BV205" s="20" t="str">
        <f>IF($A205="","",IFERROR(_xlfn.XLOOKUP("F-"&amp;$A205,'Feeder Schedule'!$B$5:$B$254,'Feeder Schedule'!$H$5:$H$254),""))</f>
        <v/>
      </c>
      <c r="BW205" s="20" t="str">
        <f>IF($A205="","",IFERROR(_xlfn.XLOOKUP("F-"&amp;$A205,'Feeder Schedule'!$B$5:$B$254,'Feeder Schedule'!$BV$5:$BV$254),""))</f>
        <v/>
      </c>
      <c r="BX205" s="20" t="str">
        <f>IF($A205="","",IFERROR(_xlfn.LET(_xlpm.v,_xlfn.XLOOKUP("F-"&amp;$A205,'Feeder Schedule'!$B$5:$B$254,'Feeder Schedule'!$M$5:$M$254),IF(OR(_xlpm.v="",_xlpm.v=0),Cfg_Conduit,_xlpm.v)),""))</f>
        <v/>
      </c>
      <c r="BY205" s="20" t="str">
        <f>IF($A205="","",IFERROR(_xlfn.XLOOKUP("F-"&amp;$A205,'Feeder Schedule'!$B$5:$B$254,'Feeder Schedule'!$O$5:$O$254),""))</f>
        <v/>
      </c>
      <c r="BZ205" s="20" t="str">
        <f>IF($A205="","",IFERROR(_xlfn.XLOOKUP("F-"&amp;$A205,'Feeder Schedule'!$B$5:$B$254,'Feeder Schedule'!$CH$5:$CH$254),""))</f>
        <v/>
      </c>
      <c r="CA205" s="20" t="str">
        <f>IF($A205="","",IFERROR(_xlfn.XLOOKUP("F-"&amp;$A205,'Feeder Schedule'!$B$5:$B$254,'Feeder Schedule'!$F$5:$F$254),""))</f>
        <v/>
      </c>
      <c r="CB205" s="20" t="str">
        <f>IF($A205="","",IFERROR(_xlfn.XLOOKUP("F-"&amp;$A205,'Feeder Schedule'!$B$5:$B$254,'Feeder Schedule'!$G$5:$G$254),""))</f>
        <v/>
      </c>
      <c r="CD205" s="20" t="str" cm="1">
        <f t="array" ref="CD205">IFERROR(IF($A205="","",INDEX(_xlfn.ANCHORARRAY($BK$4),ROW()-5,6)),"")</f>
        <v/>
      </c>
      <c r="CE205" s="20" t="str">
        <f t="shared" si="63"/>
        <v/>
      </c>
      <c r="CF205" s="20" t="str">
        <f t="shared" si="64"/>
        <v/>
      </c>
      <c r="CG205" s="20" t="str">
        <f t="shared" si="61"/>
        <v/>
      </c>
      <c r="CH205" s="20" t="str" cm="1">
        <f t="array" ref="CH205">IF(OR($A205="",$BZ205="",$BW205="",$BX205=""),"",_xlfn.LET(_xlpm.mag,IFERROR(_xlfn.XLOOKUP($BX205,Race_Raceway,Race_Mag),""),IF(_xlpm.mag="","",IFERROR(INDEX(Cond_Table,MATCH($BZ205,Cond_Size,0),IF(UPPER($BW205)="AL",IF(_xlpm.mag="Y",10,12),IF(_xlpm.mag="Y",9,11))),""))))</f>
        <v/>
      </c>
      <c r="CI205" s="20" t="str">
        <f t="shared" si="62"/>
        <v/>
      </c>
      <c r="CJ205" s="20" t="str">
        <f>IF(OR($A205="",LEFT($A205,2)&lt;&gt;"T-"),"",IFERROR(_xlfn.LET(_xlpm.fla,_xlfn.XLOOKUP($A205,Transformers!$A$6:$A$105,Transformers!$AK$6:$AK$105),_xlpm.z,_xlfn.XLOOKUP($A205,Transformers!$A$6:$A$105,Transformers!$AX$6:$AX$105),IF(OR(_xlpm.fla="",_xlpm.z="",_xlpm.z=0),"",_xlpm.fla*100/_xlpm.z)),""))</f>
        <v/>
      </c>
      <c r="CK205" s="20" t="str">
        <f t="shared" si="65"/>
        <v/>
      </c>
      <c r="CL205" s="20" t="str">
        <f t="shared" si="66"/>
        <v/>
      </c>
      <c r="CM205" s="373"/>
      <c r="CO205" s="20" t="str">
        <f>IF(OR($A205="",LEFT($A205,2)&lt;&gt;"T-"),"",_xlfn.LET(_xlpm.ph,IFERROR(_xlfn.XLOOKUP($A205,Transformers!$A$6:$A$105,Transformers!$C$6:$C$105),""),_xlpm.rr,IFERROR(_xlfn.XLOOKUP($A205,Transformers!$A$6:$A$105,Transformers!$AG$6:$AG$105),""),_xlpm.xx,IFERROR(_xlfn.XLOOKUP($A205,Transformers!$A$6:$A$105,Transformers!$AI$6:$AI$105),""),IF(OR(_xlpm.ph&lt;&gt;1,NOT(ISNUMBER(_xlpm.rr)),NOT(ISNUMBER(_xlpm.xx))),"",SQRT((1.5*_xlpm.rr)^2+(1.2*_xlpm.xx)^2))))</f>
        <v/>
      </c>
      <c r="CP205" s="20" t="str">
        <f t="shared" si="67"/>
        <v/>
      </c>
    </row>
    <row r="206" spans="1:94" ht="15" customHeight="1" x14ac:dyDescent="0.45">
      <c r="A206" s="275" t="str" cm="1">
        <f t="array" ref="A206">IFERROR(IF(INDEX(_xlfn.ANCHORARRAY($BK$4),ROW()-5,1)="","",INDEX(_xlfn.ANCHORARRAY($BK$4),ROW()-5,1)),"")</f>
        <v/>
      </c>
      <c r="B206" s="25" t="str" cm="1">
        <f t="array" ref="B206">IFERROR(IF($A206="","",INDEX(_xlfn.ANCHORARRAY($BK$4),ROW()-5,5)),"")</f>
        <v/>
      </c>
      <c r="C206" s="178" t="str" cm="1">
        <f t="array" ref="C206">IFERROR(IF($A206="","",INDEX(_xlfn.ANCHORARRAY($BK$4),ROW()-5,7)),"")</f>
        <v/>
      </c>
      <c r="D206" s="177" t="str" cm="1">
        <f t="array" ref="D206">IFERROR(IF($A206="","",INDEX(_xlfn.ANCHORARRAY($BK$4),ROW()-5,3)),"")</f>
        <v/>
      </c>
      <c r="E206" s="25" t="str" cm="1">
        <f t="array" ref="E206">IFERROR(IF($A206="","",INDEX(_xlfn.ANCHORARRAY($BK$4),ROW()-5,2)),"")</f>
        <v/>
      </c>
      <c r="F206" s="177" t="str">
        <f t="shared" si="51"/>
        <v/>
      </c>
      <c r="G206" s="275" t="str">
        <f t="shared" si="52"/>
        <v/>
      </c>
      <c r="H206" s="180" t="str">
        <f t="shared" si="53"/>
        <v/>
      </c>
      <c r="I206" s="180" t="str">
        <f t="shared" si="54"/>
        <v/>
      </c>
      <c r="J206" s="177" t="str">
        <f>_xlfn.LET(_xlpm.v,_xlfn.LET(_xlpm.base,IF($A206="","",IF($C206=0,IFERROR(_xlfn.XLOOKUP($A206,Util_Tags,Util_SCAEff),""),IF(LEFT($A206,2)="T-",IF($CJ206="","",$CJ206/(1+IF($CL206="",0,$CL206))),IF(OR($F206="",$I206=""),"",$F206*$I206)))),_xlpm.gtag,IF(OR($A206="",NOT(OR($B206="ATS",$B206="MTS"))),"",IFERROR(_xlfn.XLOOKUP($A206,Dashboard!$A$101:$A$350,Dashboard!$L$101:$L$350,"")&amp;"","")),_xlpm.gkva,IF(_xlpm.gtag="",0,IFERROR(N(_xlfn.XLOOKUP(_xlpm.gtag,Generator!$B$53:$B$58,Generator!$S$53:$S$58,0)),0)),_xlpm.gxd,IF(_xlpm.gtag="",0,IFERROR(N(_xlfn.XLOOKUP(_xlpm.gtag,Generator!$B$53:$B$58,Generator!$U$53:$U$58,0)),0)),_xlpm.gamp,IF(OR(_xlpm.gkva=0,_xlpm.gxd=0,N($D206)=0),0,ROUND(_xlpm.gkva*1000/(IF(N($CB206)=1,1,SQRT(3))*$D206*_xlpm.gxd),0)),IF(OR(_xlpm.gamp=0,NOT(ISNUMBER(_xlpm.base))),_xlpm.base,MAX(_xlpm.base,_xlpm.gamp))),_xlpm.ulim,IF(OR($A206="",$B206&lt;&gt;"UPS"),"",IFERROR(IF(_xlfn.XLOOKUP($A206,UPS!$B$57:$B$64,UPS!$E$57:$E$64,"")="None",_xlfn.XLOOKUP($A206,UPS!$B$57:$B$64,UPS!$U$57:$U$64,""),""),"")),IF(AND(ISNUMBER(_xlpm.v),ISNUMBER(_xlpm.ulim)),MIN(_xlpm.v,_xlpm.ulim),_xlpm.v))</f>
        <v/>
      </c>
      <c r="K206" s="176"/>
      <c r="L206" s="177" t="str">
        <f t="shared" si="55"/>
        <v/>
      </c>
      <c r="M206" s="177" t="str">
        <f t="shared" si="56"/>
        <v/>
      </c>
      <c r="N206" s="380" t="str">
        <f>IF($A206="","",IF($C206=0,_xlfn.LET(_xlpm.x,IFERROR(_xlfn.XLOOKUP($A206,Util_Tags,Util_XR),""),IF(N(_xlpm.x)=0,Xfmr_DefXR,_xlpm.x)),IF(LEFT($A206,2)="T-",IFERROR(_xlfn.XLOOKUP($A206,Transformers!$A$6:$A$105,Transformers!$AH$6:$AH$105),Xfmr_DefXR),IFERROR(_xlfn.XLOOKUP($E206,$A$6:$A$255,$N$6:$N$255),Xfmr_DefXR))))</f>
        <v/>
      </c>
      <c r="O206" s="177" t="str">
        <f t="shared" si="57"/>
        <v/>
      </c>
      <c r="P206" s="210" t="str">
        <f>IF($A206="","",IF(LEFT($A206,2)="T-",IF($CO206="","",_xlfn.LET(_xlpm.k,IFERROR(_xlfn.XLOOKUP($A206,Transformers!$A$6:$A$105,Transformers!$G$6:$G$105),""),_xlpm.sv,IFERROR(_xlfn.XLOOKUP($A206,Transformers!$A$6:$A$105,Transformers!$E$6:$E$105),""),IF(OR(NOT(ISNUMBER(_xlpm.k)),NOT(ISNUMBER(_xlpm.sv)),_xlpm.sv=0),"",_xlfn.LET(_xlpm.iInf,(_xlpm.k*1000/(_xlpm.sv/2))*100/$CO206,_xlpm.pri,IF(OR($CK206="",$CK206=0),"",$CK206/2),_xlpm.base,IF(_xlpm.pri="",_xlpm.iInf,_xlpm.iInf/(1+_xlpm.iInf/_xlpm.pri)),_xlpm.base+IF($L206="",0,$L206))))),IF($CP206="","",_xlfn.LET(_xlpm.pI,IFERROR(_xlfn.XLOOKUP($E206,$A$6:$A$255,$P$6:$P$255),""),IF(NOT(ISNUMBER(_xlpm.pI)),"",_xlpm.pI/(1+$CP206)+IF($L206="",0,$L206))))))</f>
        <v/>
      </c>
      <c r="Q206" s="210" t="str">
        <f t="shared" si="58"/>
        <v/>
      </c>
      <c r="R206" s="177" t="str">
        <f>IF($A206="","",IF(OR($C206=0,LEFT($A206,2)="T-"),"",IFERROR(_xlfn.LET(_xlpm.v,_xlfn.XLOOKUP($A206,Dashboard!$A$101:$A$350,Dashboard!$K$101:$K$350),IF(ISNUMBER(_xlpm.v),_xlpm.v,"")),"")))</f>
        <v/>
      </c>
      <c r="S206" s="211" t="str">
        <f t="shared" si="59"/>
        <v/>
      </c>
      <c r="T206" s="25" t="str">
        <f t="shared" si="60"/>
        <v/>
      </c>
      <c r="U206" s="364"/>
      <c r="BV206" s="20" t="str">
        <f>IF($A206="","",IFERROR(_xlfn.XLOOKUP("F-"&amp;$A206,'Feeder Schedule'!$B$5:$B$254,'Feeder Schedule'!$H$5:$H$254),""))</f>
        <v/>
      </c>
      <c r="BW206" s="20" t="str">
        <f>IF($A206="","",IFERROR(_xlfn.XLOOKUP("F-"&amp;$A206,'Feeder Schedule'!$B$5:$B$254,'Feeder Schedule'!$BV$5:$BV$254),""))</f>
        <v/>
      </c>
      <c r="BX206" s="20" t="str">
        <f>IF($A206="","",IFERROR(_xlfn.LET(_xlpm.v,_xlfn.XLOOKUP("F-"&amp;$A206,'Feeder Schedule'!$B$5:$B$254,'Feeder Schedule'!$M$5:$M$254),IF(OR(_xlpm.v="",_xlpm.v=0),Cfg_Conduit,_xlpm.v)),""))</f>
        <v/>
      </c>
      <c r="BY206" s="20" t="str">
        <f>IF($A206="","",IFERROR(_xlfn.XLOOKUP("F-"&amp;$A206,'Feeder Schedule'!$B$5:$B$254,'Feeder Schedule'!$O$5:$O$254),""))</f>
        <v/>
      </c>
      <c r="BZ206" s="20" t="str">
        <f>IF($A206="","",IFERROR(_xlfn.XLOOKUP("F-"&amp;$A206,'Feeder Schedule'!$B$5:$B$254,'Feeder Schedule'!$CH$5:$CH$254),""))</f>
        <v/>
      </c>
      <c r="CA206" s="20" t="str">
        <f>IF($A206="","",IFERROR(_xlfn.XLOOKUP("F-"&amp;$A206,'Feeder Schedule'!$B$5:$B$254,'Feeder Schedule'!$F$5:$F$254),""))</f>
        <v/>
      </c>
      <c r="CB206" s="20" t="str">
        <f>IF($A206="","",IFERROR(_xlfn.XLOOKUP("F-"&amp;$A206,'Feeder Schedule'!$B$5:$B$254,'Feeder Schedule'!$G$5:$G$254),""))</f>
        <v/>
      </c>
      <c r="CD206" s="20" t="str" cm="1">
        <f t="array" ref="CD206">IFERROR(IF($A206="","",INDEX(_xlfn.ANCHORARRAY($BK$4),ROW()-5,6)),"")</f>
        <v/>
      </c>
      <c r="CE206" s="20" t="str">
        <f t="shared" si="63"/>
        <v/>
      </c>
      <c r="CF206" s="20" t="str">
        <f t="shared" si="64"/>
        <v/>
      </c>
      <c r="CG206" s="20" t="str">
        <f t="shared" si="61"/>
        <v/>
      </c>
      <c r="CH206" s="20" t="str" cm="1">
        <f t="array" ref="CH206">IF(OR($A206="",$BZ206="",$BW206="",$BX206=""),"",_xlfn.LET(_xlpm.mag,IFERROR(_xlfn.XLOOKUP($BX206,Race_Raceway,Race_Mag),""),IF(_xlpm.mag="","",IFERROR(INDEX(Cond_Table,MATCH($BZ206,Cond_Size,0),IF(UPPER($BW206)="AL",IF(_xlpm.mag="Y",10,12),IF(_xlpm.mag="Y",9,11))),""))))</f>
        <v/>
      </c>
      <c r="CI206" s="20" t="str">
        <f t="shared" si="62"/>
        <v/>
      </c>
      <c r="CJ206" s="20" t="str">
        <f>IF(OR($A206="",LEFT($A206,2)&lt;&gt;"T-"),"",IFERROR(_xlfn.LET(_xlpm.fla,_xlfn.XLOOKUP($A206,Transformers!$A$6:$A$105,Transformers!$AK$6:$AK$105),_xlpm.z,_xlfn.XLOOKUP($A206,Transformers!$A$6:$A$105,Transformers!$AX$6:$AX$105),IF(OR(_xlpm.fla="",_xlpm.z="",_xlpm.z=0),"",_xlpm.fla*100/_xlpm.z)),""))</f>
        <v/>
      </c>
      <c r="CK206" s="20" t="str">
        <f t="shared" si="65"/>
        <v/>
      </c>
      <c r="CL206" s="20" t="str">
        <f t="shared" si="66"/>
        <v/>
      </c>
      <c r="CM206" s="373"/>
      <c r="CO206" s="20" t="str">
        <f>IF(OR($A206="",LEFT($A206,2)&lt;&gt;"T-"),"",_xlfn.LET(_xlpm.ph,IFERROR(_xlfn.XLOOKUP($A206,Transformers!$A$6:$A$105,Transformers!$C$6:$C$105),""),_xlpm.rr,IFERROR(_xlfn.XLOOKUP($A206,Transformers!$A$6:$A$105,Transformers!$AG$6:$AG$105),""),_xlpm.xx,IFERROR(_xlfn.XLOOKUP($A206,Transformers!$A$6:$A$105,Transformers!$AI$6:$AI$105),""),IF(OR(_xlpm.ph&lt;&gt;1,NOT(ISNUMBER(_xlpm.rr)),NOT(ISNUMBER(_xlpm.xx))),"",SQRT((1.5*_xlpm.rr)^2+(1.2*_xlpm.xx)^2))))</f>
        <v/>
      </c>
      <c r="CP206" s="20" t="str">
        <f t="shared" si="67"/>
        <v/>
      </c>
    </row>
    <row r="207" spans="1:94" ht="15" customHeight="1" x14ac:dyDescent="0.45">
      <c r="A207" s="275" t="str" cm="1">
        <f t="array" ref="A207">IFERROR(IF(INDEX(_xlfn.ANCHORARRAY($BK$4),ROW()-5,1)="","",INDEX(_xlfn.ANCHORARRAY($BK$4),ROW()-5,1)),"")</f>
        <v/>
      </c>
      <c r="B207" s="25" t="str" cm="1">
        <f t="array" ref="B207">IFERROR(IF($A207="","",INDEX(_xlfn.ANCHORARRAY($BK$4),ROW()-5,5)),"")</f>
        <v/>
      </c>
      <c r="C207" s="178" t="str" cm="1">
        <f t="array" ref="C207">IFERROR(IF($A207="","",INDEX(_xlfn.ANCHORARRAY($BK$4),ROW()-5,7)),"")</f>
        <v/>
      </c>
      <c r="D207" s="177" t="str" cm="1">
        <f t="array" ref="D207">IFERROR(IF($A207="","",INDEX(_xlfn.ANCHORARRAY($BK$4),ROW()-5,3)),"")</f>
        <v/>
      </c>
      <c r="E207" s="25" t="str" cm="1">
        <f t="array" ref="E207">IFERROR(IF($A207="","",INDEX(_xlfn.ANCHORARRAY($BK$4),ROW()-5,2)),"")</f>
        <v/>
      </c>
      <c r="F207" s="177" t="str">
        <f t="shared" si="51"/>
        <v/>
      </c>
      <c r="G207" s="275" t="str">
        <f t="shared" si="52"/>
        <v/>
      </c>
      <c r="H207" s="180" t="str">
        <f t="shared" si="53"/>
        <v/>
      </c>
      <c r="I207" s="180" t="str">
        <f t="shared" si="54"/>
        <v/>
      </c>
      <c r="J207" s="177" t="str">
        <f>_xlfn.LET(_xlpm.v,_xlfn.LET(_xlpm.base,IF($A207="","",IF($C207=0,IFERROR(_xlfn.XLOOKUP($A207,Util_Tags,Util_SCAEff),""),IF(LEFT($A207,2)="T-",IF($CJ207="","",$CJ207/(1+IF($CL207="",0,$CL207))),IF(OR($F207="",$I207=""),"",$F207*$I207)))),_xlpm.gtag,IF(OR($A207="",NOT(OR($B207="ATS",$B207="MTS"))),"",IFERROR(_xlfn.XLOOKUP($A207,Dashboard!$A$101:$A$350,Dashboard!$L$101:$L$350,"")&amp;"","")),_xlpm.gkva,IF(_xlpm.gtag="",0,IFERROR(N(_xlfn.XLOOKUP(_xlpm.gtag,Generator!$B$53:$B$58,Generator!$S$53:$S$58,0)),0)),_xlpm.gxd,IF(_xlpm.gtag="",0,IFERROR(N(_xlfn.XLOOKUP(_xlpm.gtag,Generator!$B$53:$B$58,Generator!$U$53:$U$58,0)),0)),_xlpm.gamp,IF(OR(_xlpm.gkva=0,_xlpm.gxd=0,N($D207)=0),0,ROUND(_xlpm.gkva*1000/(IF(N($CB207)=1,1,SQRT(3))*$D207*_xlpm.gxd),0)),IF(OR(_xlpm.gamp=0,NOT(ISNUMBER(_xlpm.base))),_xlpm.base,MAX(_xlpm.base,_xlpm.gamp))),_xlpm.ulim,IF(OR($A207="",$B207&lt;&gt;"UPS"),"",IFERROR(IF(_xlfn.XLOOKUP($A207,UPS!$B$57:$B$64,UPS!$E$57:$E$64,"")="None",_xlfn.XLOOKUP($A207,UPS!$B$57:$B$64,UPS!$U$57:$U$64,""),""),"")),IF(AND(ISNUMBER(_xlpm.v),ISNUMBER(_xlpm.ulim)),MIN(_xlpm.v,_xlpm.ulim),_xlpm.v))</f>
        <v/>
      </c>
      <c r="K207" s="176"/>
      <c r="L207" s="177" t="str">
        <f t="shared" si="55"/>
        <v/>
      </c>
      <c r="M207" s="177" t="str">
        <f t="shared" si="56"/>
        <v/>
      </c>
      <c r="N207" s="380" t="str">
        <f>IF($A207="","",IF($C207=0,_xlfn.LET(_xlpm.x,IFERROR(_xlfn.XLOOKUP($A207,Util_Tags,Util_XR),""),IF(N(_xlpm.x)=0,Xfmr_DefXR,_xlpm.x)),IF(LEFT($A207,2)="T-",IFERROR(_xlfn.XLOOKUP($A207,Transformers!$A$6:$A$105,Transformers!$AH$6:$AH$105),Xfmr_DefXR),IFERROR(_xlfn.XLOOKUP($E207,$A$6:$A$255,$N$6:$N$255),Xfmr_DefXR))))</f>
        <v/>
      </c>
      <c r="O207" s="177" t="str">
        <f t="shared" si="57"/>
        <v/>
      </c>
      <c r="P207" s="210" t="str">
        <f>IF($A207="","",IF(LEFT($A207,2)="T-",IF($CO207="","",_xlfn.LET(_xlpm.k,IFERROR(_xlfn.XLOOKUP($A207,Transformers!$A$6:$A$105,Transformers!$G$6:$G$105),""),_xlpm.sv,IFERROR(_xlfn.XLOOKUP($A207,Transformers!$A$6:$A$105,Transformers!$E$6:$E$105),""),IF(OR(NOT(ISNUMBER(_xlpm.k)),NOT(ISNUMBER(_xlpm.sv)),_xlpm.sv=0),"",_xlfn.LET(_xlpm.iInf,(_xlpm.k*1000/(_xlpm.sv/2))*100/$CO207,_xlpm.pri,IF(OR($CK207="",$CK207=0),"",$CK207/2),_xlpm.base,IF(_xlpm.pri="",_xlpm.iInf,_xlpm.iInf/(1+_xlpm.iInf/_xlpm.pri)),_xlpm.base+IF($L207="",0,$L207))))),IF($CP207="","",_xlfn.LET(_xlpm.pI,IFERROR(_xlfn.XLOOKUP($E207,$A$6:$A$255,$P$6:$P$255),""),IF(NOT(ISNUMBER(_xlpm.pI)),"",_xlpm.pI/(1+$CP207)+IF($L207="",0,$L207))))))</f>
        <v/>
      </c>
      <c r="Q207" s="210" t="str">
        <f t="shared" si="58"/>
        <v/>
      </c>
      <c r="R207" s="177" t="str">
        <f>IF($A207="","",IF(OR($C207=0,LEFT($A207,2)="T-"),"",IFERROR(_xlfn.LET(_xlpm.v,_xlfn.XLOOKUP($A207,Dashboard!$A$101:$A$350,Dashboard!$K$101:$K$350),IF(ISNUMBER(_xlpm.v),_xlpm.v,"")),"")))</f>
        <v/>
      </c>
      <c r="S207" s="211" t="str">
        <f t="shared" si="59"/>
        <v/>
      </c>
      <c r="T207" s="25" t="str">
        <f t="shared" si="60"/>
        <v/>
      </c>
      <c r="U207" s="364"/>
      <c r="BV207" s="20" t="str">
        <f>IF($A207="","",IFERROR(_xlfn.XLOOKUP("F-"&amp;$A207,'Feeder Schedule'!$B$5:$B$254,'Feeder Schedule'!$H$5:$H$254),""))</f>
        <v/>
      </c>
      <c r="BW207" s="20" t="str">
        <f>IF($A207="","",IFERROR(_xlfn.XLOOKUP("F-"&amp;$A207,'Feeder Schedule'!$B$5:$B$254,'Feeder Schedule'!$BV$5:$BV$254),""))</f>
        <v/>
      </c>
      <c r="BX207" s="20" t="str">
        <f>IF($A207="","",IFERROR(_xlfn.LET(_xlpm.v,_xlfn.XLOOKUP("F-"&amp;$A207,'Feeder Schedule'!$B$5:$B$254,'Feeder Schedule'!$M$5:$M$254),IF(OR(_xlpm.v="",_xlpm.v=0),Cfg_Conduit,_xlpm.v)),""))</f>
        <v/>
      </c>
      <c r="BY207" s="20" t="str">
        <f>IF($A207="","",IFERROR(_xlfn.XLOOKUP("F-"&amp;$A207,'Feeder Schedule'!$B$5:$B$254,'Feeder Schedule'!$O$5:$O$254),""))</f>
        <v/>
      </c>
      <c r="BZ207" s="20" t="str">
        <f>IF($A207="","",IFERROR(_xlfn.XLOOKUP("F-"&amp;$A207,'Feeder Schedule'!$B$5:$B$254,'Feeder Schedule'!$CH$5:$CH$254),""))</f>
        <v/>
      </c>
      <c r="CA207" s="20" t="str">
        <f>IF($A207="","",IFERROR(_xlfn.XLOOKUP("F-"&amp;$A207,'Feeder Schedule'!$B$5:$B$254,'Feeder Schedule'!$F$5:$F$254),""))</f>
        <v/>
      </c>
      <c r="CB207" s="20" t="str">
        <f>IF($A207="","",IFERROR(_xlfn.XLOOKUP("F-"&amp;$A207,'Feeder Schedule'!$B$5:$B$254,'Feeder Schedule'!$G$5:$G$254),""))</f>
        <v/>
      </c>
      <c r="CD207" s="20" t="str" cm="1">
        <f t="array" ref="CD207">IFERROR(IF($A207="","",INDEX(_xlfn.ANCHORARRAY($BK$4),ROW()-5,6)),"")</f>
        <v/>
      </c>
      <c r="CE207" s="20" t="str">
        <f t="shared" si="63"/>
        <v/>
      </c>
      <c r="CF207" s="20" t="str">
        <f t="shared" si="64"/>
        <v/>
      </c>
      <c r="CG207" s="20" t="str">
        <f t="shared" si="61"/>
        <v/>
      </c>
      <c r="CH207" s="20" t="str" cm="1">
        <f t="array" ref="CH207">IF(OR($A207="",$BZ207="",$BW207="",$BX207=""),"",_xlfn.LET(_xlpm.mag,IFERROR(_xlfn.XLOOKUP($BX207,Race_Raceway,Race_Mag),""),IF(_xlpm.mag="","",IFERROR(INDEX(Cond_Table,MATCH($BZ207,Cond_Size,0),IF(UPPER($BW207)="AL",IF(_xlpm.mag="Y",10,12),IF(_xlpm.mag="Y",9,11))),""))))</f>
        <v/>
      </c>
      <c r="CI207" s="20" t="str">
        <f t="shared" si="62"/>
        <v/>
      </c>
      <c r="CJ207" s="20" t="str">
        <f>IF(OR($A207="",LEFT($A207,2)&lt;&gt;"T-"),"",IFERROR(_xlfn.LET(_xlpm.fla,_xlfn.XLOOKUP($A207,Transformers!$A$6:$A$105,Transformers!$AK$6:$AK$105),_xlpm.z,_xlfn.XLOOKUP($A207,Transformers!$A$6:$A$105,Transformers!$AX$6:$AX$105),IF(OR(_xlpm.fla="",_xlpm.z="",_xlpm.z=0),"",_xlpm.fla*100/_xlpm.z)),""))</f>
        <v/>
      </c>
      <c r="CK207" s="20" t="str">
        <f t="shared" si="65"/>
        <v/>
      </c>
      <c r="CL207" s="20" t="str">
        <f t="shared" si="66"/>
        <v/>
      </c>
      <c r="CM207" s="373"/>
      <c r="CO207" s="20" t="str">
        <f>IF(OR($A207="",LEFT($A207,2)&lt;&gt;"T-"),"",_xlfn.LET(_xlpm.ph,IFERROR(_xlfn.XLOOKUP($A207,Transformers!$A$6:$A$105,Transformers!$C$6:$C$105),""),_xlpm.rr,IFERROR(_xlfn.XLOOKUP($A207,Transformers!$A$6:$A$105,Transformers!$AG$6:$AG$105),""),_xlpm.xx,IFERROR(_xlfn.XLOOKUP($A207,Transformers!$A$6:$A$105,Transformers!$AI$6:$AI$105),""),IF(OR(_xlpm.ph&lt;&gt;1,NOT(ISNUMBER(_xlpm.rr)),NOT(ISNUMBER(_xlpm.xx))),"",SQRT((1.5*_xlpm.rr)^2+(1.2*_xlpm.xx)^2))))</f>
        <v/>
      </c>
      <c r="CP207" s="20" t="str">
        <f t="shared" si="67"/>
        <v/>
      </c>
    </row>
    <row r="208" spans="1:94" ht="15" customHeight="1" x14ac:dyDescent="0.45">
      <c r="A208" s="275" t="str" cm="1">
        <f t="array" ref="A208">IFERROR(IF(INDEX(_xlfn.ANCHORARRAY($BK$4),ROW()-5,1)="","",INDEX(_xlfn.ANCHORARRAY($BK$4),ROW()-5,1)),"")</f>
        <v/>
      </c>
      <c r="B208" s="25" t="str" cm="1">
        <f t="array" ref="B208">IFERROR(IF($A208="","",INDEX(_xlfn.ANCHORARRAY($BK$4),ROW()-5,5)),"")</f>
        <v/>
      </c>
      <c r="C208" s="178" t="str" cm="1">
        <f t="array" ref="C208">IFERROR(IF($A208="","",INDEX(_xlfn.ANCHORARRAY($BK$4),ROW()-5,7)),"")</f>
        <v/>
      </c>
      <c r="D208" s="177" t="str" cm="1">
        <f t="array" ref="D208">IFERROR(IF($A208="","",INDEX(_xlfn.ANCHORARRAY($BK$4),ROW()-5,3)),"")</f>
        <v/>
      </c>
      <c r="E208" s="25" t="str" cm="1">
        <f t="array" ref="E208">IFERROR(IF($A208="","",INDEX(_xlfn.ANCHORARRAY($BK$4),ROW()-5,2)),"")</f>
        <v/>
      </c>
      <c r="F208" s="177" t="str">
        <f t="shared" si="51"/>
        <v/>
      </c>
      <c r="G208" s="275" t="str">
        <f t="shared" si="52"/>
        <v/>
      </c>
      <c r="H208" s="180" t="str">
        <f t="shared" si="53"/>
        <v/>
      </c>
      <c r="I208" s="180" t="str">
        <f t="shared" si="54"/>
        <v/>
      </c>
      <c r="J208" s="177" t="str">
        <f>_xlfn.LET(_xlpm.v,_xlfn.LET(_xlpm.base,IF($A208="","",IF($C208=0,IFERROR(_xlfn.XLOOKUP($A208,Util_Tags,Util_SCAEff),""),IF(LEFT($A208,2)="T-",IF($CJ208="","",$CJ208/(1+IF($CL208="",0,$CL208))),IF(OR($F208="",$I208=""),"",$F208*$I208)))),_xlpm.gtag,IF(OR($A208="",NOT(OR($B208="ATS",$B208="MTS"))),"",IFERROR(_xlfn.XLOOKUP($A208,Dashboard!$A$101:$A$350,Dashboard!$L$101:$L$350,"")&amp;"","")),_xlpm.gkva,IF(_xlpm.gtag="",0,IFERROR(N(_xlfn.XLOOKUP(_xlpm.gtag,Generator!$B$53:$B$58,Generator!$S$53:$S$58,0)),0)),_xlpm.gxd,IF(_xlpm.gtag="",0,IFERROR(N(_xlfn.XLOOKUP(_xlpm.gtag,Generator!$B$53:$B$58,Generator!$U$53:$U$58,0)),0)),_xlpm.gamp,IF(OR(_xlpm.gkva=0,_xlpm.gxd=0,N($D208)=0),0,ROUND(_xlpm.gkva*1000/(IF(N($CB208)=1,1,SQRT(3))*$D208*_xlpm.gxd),0)),IF(OR(_xlpm.gamp=0,NOT(ISNUMBER(_xlpm.base))),_xlpm.base,MAX(_xlpm.base,_xlpm.gamp))),_xlpm.ulim,IF(OR($A208="",$B208&lt;&gt;"UPS"),"",IFERROR(IF(_xlfn.XLOOKUP($A208,UPS!$B$57:$B$64,UPS!$E$57:$E$64,"")="None",_xlfn.XLOOKUP($A208,UPS!$B$57:$B$64,UPS!$U$57:$U$64,""),""),"")),IF(AND(ISNUMBER(_xlpm.v),ISNUMBER(_xlpm.ulim)),MIN(_xlpm.v,_xlpm.ulim),_xlpm.v))</f>
        <v/>
      </c>
      <c r="K208" s="176"/>
      <c r="L208" s="177" t="str">
        <f t="shared" si="55"/>
        <v/>
      </c>
      <c r="M208" s="177" t="str">
        <f t="shared" si="56"/>
        <v/>
      </c>
      <c r="N208" s="380" t="str">
        <f>IF($A208="","",IF($C208=0,_xlfn.LET(_xlpm.x,IFERROR(_xlfn.XLOOKUP($A208,Util_Tags,Util_XR),""),IF(N(_xlpm.x)=0,Xfmr_DefXR,_xlpm.x)),IF(LEFT($A208,2)="T-",IFERROR(_xlfn.XLOOKUP($A208,Transformers!$A$6:$A$105,Transformers!$AH$6:$AH$105),Xfmr_DefXR),IFERROR(_xlfn.XLOOKUP($E208,$A$6:$A$255,$N$6:$N$255),Xfmr_DefXR))))</f>
        <v/>
      </c>
      <c r="O208" s="177" t="str">
        <f t="shared" si="57"/>
        <v/>
      </c>
      <c r="P208" s="210" t="str">
        <f>IF($A208="","",IF(LEFT($A208,2)="T-",IF($CO208="","",_xlfn.LET(_xlpm.k,IFERROR(_xlfn.XLOOKUP($A208,Transformers!$A$6:$A$105,Transformers!$G$6:$G$105),""),_xlpm.sv,IFERROR(_xlfn.XLOOKUP($A208,Transformers!$A$6:$A$105,Transformers!$E$6:$E$105),""),IF(OR(NOT(ISNUMBER(_xlpm.k)),NOT(ISNUMBER(_xlpm.sv)),_xlpm.sv=0),"",_xlfn.LET(_xlpm.iInf,(_xlpm.k*1000/(_xlpm.sv/2))*100/$CO208,_xlpm.pri,IF(OR($CK208="",$CK208=0),"",$CK208/2),_xlpm.base,IF(_xlpm.pri="",_xlpm.iInf,_xlpm.iInf/(1+_xlpm.iInf/_xlpm.pri)),_xlpm.base+IF($L208="",0,$L208))))),IF($CP208="","",_xlfn.LET(_xlpm.pI,IFERROR(_xlfn.XLOOKUP($E208,$A$6:$A$255,$P$6:$P$255),""),IF(NOT(ISNUMBER(_xlpm.pI)),"",_xlpm.pI/(1+$CP208)+IF($L208="",0,$L208))))))</f>
        <v/>
      </c>
      <c r="Q208" s="210" t="str">
        <f t="shared" si="58"/>
        <v/>
      </c>
      <c r="R208" s="177" t="str">
        <f>IF($A208="","",IF(OR($C208=0,LEFT($A208,2)="T-"),"",IFERROR(_xlfn.LET(_xlpm.v,_xlfn.XLOOKUP($A208,Dashboard!$A$101:$A$350,Dashboard!$K$101:$K$350),IF(ISNUMBER(_xlpm.v),_xlpm.v,"")),"")))</f>
        <v/>
      </c>
      <c r="S208" s="211" t="str">
        <f t="shared" si="59"/>
        <v/>
      </c>
      <c r="T208" s="25" t="str">
        <f t="shared" si="60"/>
        <v/>
      </c>
      <c r="U208" s="364"/>
      <c r="BV208" s="20" t="str">
        <f>IF($A208="","",IFERROR(_xlfn.XLOOKUP("F-"&amp;$A208,'Feeder Schedule'!$B$5:$B$254,'Feeder Schedule'!$H$5:$H$254),""))</f>
        <v/>
      </c>
      <c r="BW208" s="20" t="str">
        <f>IF($A208="","",IFERROR(_xlfn.XLOOKUP("F-"&amp;$A208,'Feeder Schedule'!$B$5:$B$254,'Feeder Schedule'!$BV$5:$BV$254),""))</f>
        <v/>
      </c>
      <c r="BX208" s="20" t="str">
        <f>IF($A208="","",IFERROR(_xlfn.LET(_xlpm.v,_xlfn.XLOOKUP("F-"&amp;$A208,'Feeder Schedule'!$B$5:$B$254,'Feeder Schedule'!$M$5:$M$254),IF(OR(_xlpm.v="",_xlpm.v=0),Cfg_Conduit,_xlpm.v)),""))</f>
        <v/>
      </c>
      <c r="BY208" s="20" t="str">
        <f>IF($A208="","",IFERROR(_xlfn.XLOOKUP("F-"&amp;$A208,'Feeder Schedule'!$B$5:$B$254,'Feeder Schedule'!$O$5:$O$254),""))</f>
        <v/>
      </c>
      <c r="BZ208" s="20" t="str">
        <f>IF($A208="","",IFERROR(_xlfn.XLOOKUP("F-"&amp;$A208,'Feeder Schedule'!$B$5:$B$254,'Feeder Schedule'!$CH$5:$CH$254),""))</f>
        <v/>
      </c>
      <c r="CA208" s="20" t="str">
        <f>IF($A208="","",IFERROR(_xlfn.XLOOKUP("F-"&amp;$A208,'Feeder Schedule'!$B$5:$B$254,'Feeder Schedule'!$F$5:$F$254),""))</f>
        <v/>
      </c>
      <c r="CB208" s="20" t="str">
        <f>IF($A208="","",IFERROR(_xlfn.XLOOKUP("F-"&amp;$A208,'Feeder Schedule'!$B$5:$B$254,'Feeder Schedule'!$G$5:$G$254),""))</f>
        <v/>
      </c>
      <c r="CD208" s="20" t="str" cm="1">
        <f t="array" ref="CD208">IFERROR(IF($A208="","",INDEX(_xlfn.ANCHORARRAY($BK$4),ROW()-5,6)),"")</f>
        <v/>
      </c>
      <c r="CE208" s="20" t="str">
        <f t="shared" si="63"/>
        <v/>
      </c>
      <c r="CF208" s="20" t="str">
        <f t="shared" si="64"/>
        <v/>
      </c>
      <c r="CG208" s="20" t="str">
        <f t="shared" si="61"/>
        <v/>
      </c>
      <c r="CH208" s="20" t="str" cm="1">
        <f t="array" ref="CH208">IF(OR($A208="",$BZ208="",$BW208="",$BX208=""),"",_xlfn.LET(_xlpm.mag,IFERROR(_xlfn.XLOOKUP($BX208,Race_Raceway,Race_Mag),""),IF(_xlpm.mag="","",IFERROR(INDEX(Cond_Table,MATCH($BZ208,Cond_Size,0),IF(UPPER($BW208)="AL",IF(_xlpm.mag="Y",10,12),IF(_xlpm.mag="Y",9,11))),""))))</f>
        <v/>
      </c>
      <c r="CI208" s="20" t="str">
        <f t="shared" si="62"/>
        <v/>
      </c>
      <c r="CJ208" s="20" t="str">
        <f>IF(OR($A208="",LEFT($A208,2)&lt;&gt;"T-"),"",IFERROR(_xlfn.LET(_xlpm.fla,_xlfn.XLOOKUP($A208,Transformers!$A$6:$A$105,Transformers!$AK$6:$AK$105),_xlpm.z,_xlfn.XLOOKUP($A208,Transformers!$A$6:$A$105,Transformers!$AX$6:$AX$105),IF(OR(_xlpm.fla="",_xlpm.z="",_xlpm.z=0),"",_xlpm.fla*100/_xlpm.z)),""))</f>
        <v/>
      </c>
      <c r="CK208" s="20" t="str">
        <f t="shared" si="65"/>
        <v/>
      </c>
      <c r="CL208" s="20" t="str">
        <f t="shared" si="66"/>
        <v/>
      </c>
      <c r="CM208" s="373"/>
      <c r="CO208" s="20" t="str">
        <f>IF(OR($A208="",LEFT($A208,2)&lt;&gt;"T-"),"",_xlfn.LET(_xlpm.ph,IFERROR(_xlfn.XLOOKUP($A208,Transformers!$A$6:$A$105,Transformers!$C$6:$C$105),""),_xlpm.rr,IFERROR(_xlfn.XLOOKUP($A208,Transformers!$A$6:$A$105,Transformers!$AG$6:$AG$105),""),_xlpm.xx,IFERROR(_xlfn.XLOOKUP($A208,Transformers!$A$6:$A$105,Transformers!$AI$6:$AI$105),""),IF(OR(_xlpm.ph&lt;&gt;1,NOT(ISNUMBER(_xlpm.rr)),NOT(ISNUMBER(_xlpm.xx))),"",SQRT((1.5*_xlpm.rr)^2+(1.2*_xlpm.xx)^2))))</f>
        <v/>
      </c>
      <c r="CP208" s="20" t="str">
        <f t="shared" si="67"/>
        <v/>
      </c>
    </row>
    <row r="209" spans="1:94" ht="15" customHeight="1" x14ac:dyDescent="0.45">
      <c r="A209" s="275" t="str" cm="1">
        <f t="array" ref="A209">IFERROR(IF(INDEX(_xlfn.ANCHORARRAY($BK$4),ROW()-5,1)="","",INDEX(_xlfn.ANCHORARRAY($BK$4),ROW()-5,1)),"")</f>
        <v/>
      </c>
      <c r="B209" s="25" t="str" cm="1">
        <f t="array" ref="B209">IFERROR(IF($A209="","",INDEX(_xlfn.ANCHORARRAY($BK$4),ROW()-5,5)),"")</f>
        <v/>
      </c>
      <c r="C209" s="178" t="str" cm="1">
        <f t="array" ref="C209">IFERROR(IF($A209="","",INDEX(_xlfn.ANCHORARRAY($BK$4),ROW()-5,7)),"")</f>
        <v/>
      </c>
      <c r="D209" s="177" t="str" cm="1">
        <f t="array" ref="D209">IFERROR(IF($A209="","",INDEX(_xlfn.ANCHORARRAY($BK$4),ROW()-5,3)),"")</f>
        <v/>
      </c>
      <c r="E209" s="25" t="str" cm="1">
        <f t="array" ref="E209">IFERROR(IF($A209="","",INDEX(_xlfn.ANCHORARRAY($BK$4),ROW()-5,2)),"")</f>
        <v/>
      </c>
      <c r="F209" s="177" t="str">
        <f t="shared" si="51"/>
        <v/>
      </c>
      <c r="G209" s="275" t="str">
        <f t="shared" si="52"/>
        <v/>
      </c>
      <c r="H209" s="180" t="str">
        <f t="shared" si="53"/>
        <v/>
      </c>
      <c r="I209" s="180" t="str">
        <f t="shared" si="54"/>
        <v/>
      </c>
      <c r="J209" s="177" t="str">
        <f>_xlfn.LET(_xlpm.v,_xlfn.LET(_xlpm.base,IF($A209="","",IF($C209=0,IFERROR(_xlfn.XLOOKUP($A209,Util_Tags,Util_SCAEff),""),IF(LEFT($A209,2)="T-",IF($CJ209="","",$CJ209/(1+IF($CL209="",0,$CL209))),IF(OR($F209="",$I209=""),"",$F209*$I209)))),_xlpm.gtag,IF(OR($A209="",NOT(OR($B209="ATS",$B209="MTS"))),"",IFERROR(_xlfn.XLOOKUP($A209,Dashboard!$A$101:$A$350,Dashboard!$L$101:$L$350,"")&amp;"","")),_xlpm.gkva,IF(_xlpm.gtag="",0,IFERROR(N(_xlfn.XLOOKUP(_xlpm.gtag,Generator!$B$53:$B$58,Generator!$S$53:$S$58,0)),0)),_xlpm.gxd,IF(_xlpm.gtag="",0,IFERROR(N(_xlfn.XLOOKUP(_xlpm.gtag,Generator!$B$53:$B$58,Generator!$U$53:$U$58,0)),0)),_xlpm.gamp,IF(OR(_xlpm.gkva=0,_xlpm.gxd=0,N($D209)=0),0,ROUND(_xlpm.gkva*1000/(IF(N($CB209)=1,1,SQRT(3))*$D209*_xlpm.gxd),0)),IF(OR(_xlpm.gamp=0,NOT(ISNUMBER(_xlpm.base))),_xlpm.base,MAX(_xlpm.base,_xlpm.gamp))),_xlpm.ulim,IF(OR($A209="",$B209&lt;&gt;"UPS"),"",IFERROR(IF(_xlfn.XLOOKUP($A209,UPS!$B$57:$B$64,UPS!$E$57:$E$64,"")="None",_xlfn.XLOOKUP($A209,UPS!$B$57:$B$64,UPS!$U$57:$U$64,""),""),"")),IF(AND(ISNUMBER(_xlpm.v),ISNUMBER(_xlpm.ulim)),MIN(_xlpm.v,_xlpm.ulim),_xlpm.v))</f>
        <v/>
      </c>
      <c r="K209" s="176"/>
      <c r="L209" s="177" t="str">
        <f t="shared" si="55"/>
        <v/>
      </c>
      <c r="M209" s="177" t="str">
        <f t="shared" si="56"/>
        <v/>
      </c>
      <c r="N209" s="380" t="str">
        <f>IF($A209="","",IF($C209=0,_xlfn.LET(_xlpm.x,IFERROR(_xlfn.XLOOKUP($A209,Util_Tags,Util_XR),""),IF(N(_xlpm.x)=0,Xfmr_DefXR,_xlpm.x)),IF(LEFT($A209,2)="T-",IFERROR(_xlfn.XLOOKUP($A209,Transformers!$A$6:$A$105,Transformers!$AH$6:$AH$105),Xfmr_DefXR),IFERROR(_xlfn.XLOOKUP($E209,$A$6:$A$255,$N$6:$N$255),Xfmr_DefXR))))</f>
        <v/>
      </c>
      <c r="O209" s="177" t="str">
        <f t="shared" si="57"/>
        <v/>
      </c>
      <c r="P209" s="210" t="str">
        <f>IF($A209="","",IF(LEFT($A209,2)="T-",IF($CO209="","",_xlfn.LET(_xlpm.k,IFERROR(_xlfn.XLOOKUP($A209,Transformers!$A$6:$A$105,Transformers!$G$6:$G$105),""),_xlpm.sv,IFERROR(_xlfn.XLOOKUP($A209,Transformers!$A$6:$A$105,Transformers!$E$6:$E$105),""),IF(OR(NOT(ISNUMBER(_xlpm.k)),NOT(ISNUMBER(_xlpm.sv)),_xlpm.sv=0),"",_xlfn.LET(_xlpm.iInf,(_xlpm.k*1000/(_xlpm.sv/2))*100/$CO209,_xlpm.pri,IF(OR($CK209="",$CK209=0),"",$CK209/2),_xlpm.base,IF(_xlpm.pri="",_xlpm.iInf,_xlpm.iInf/(1+_xlpm.iInf/_xlpm.pri)),_xlpm.base+IF($L209="",0,$L209))))),IF($CP209="","",_xlfn.LET(_xlpm.pI,IFERROR(_xlfn.XLOOKUP($E209,$A$6:$A$255,$P$6:$P$255),""),IF(NOT(ISNUMBER(_xlpm.pI)),"",_xlpm.pI/(1+$CP209)+IF($L209="",0,$L209))))))</f>
        <v/>
      </c>
      <c r="Q209" s="210" t="str">
        <f t="shared" si="58"/>
        <v/>
      </c>
      <c r="R209" s="177" t="str">
        <f>IF($A209="","",IF(OR($C209=0,LEFT($A209,2)="T-"),"",IFERROR(_xlfn.LET(_xlpm.v,_xlfn.XLOOKUP($A209,Dashboard!$A$101:$A$350,Dashboard!$K$101:$K$350),IF(ISNUMBER(_xlpm.v),_xlpm.v,"")),"")))</f>
        <v/>
      </c>
      <c r="S209" s="211" t="str">
        <f t="shared" si="59"/>
        <v/>
      </c>
      <c r="T209" s="25" t="str">
        <f t="shared" si="60"/>
        <v/>
      </c>
      <c r="U209" s="364"/>
      <c r="BV209" s="20" t="str">
        <f>IF($A209="","",IFERROR(_xlfn.XLOOKUP("F-"&amp;$A209,'Feeder Schedule'!$B$5:$B$254,'Feeder Schedule'!$H$5:$H$254),""))</f>
        <v/>
      </c>
      <c r="BW209" s="20" t="str">
        <f>IF($A209="","",IFERROR(_xlfn.XLOOKUP("F-"&amp;$A209,'Feeder Schedule'!$B$5:$B$254,'Feeder Schedule'!$BV$5:$BV$254),""))</f>
        <v/>
      </c>
      <c r="BX209" s="20" t="str">
        <f>IF($A209="","",IFERROR(_xlfn.LET(_xlpm.v,_xlfn.XLOOKUP("F-"&amp;$A209,'Feeder Schedule'!$B$5:$B$254,'Feeder Schedule'!$M$5:$M$254),IF(OR(_xlpm.v="",_xlpm.v=0),Cfg_Conduit,_xlpm.v)),""))</f>
        <v/>
      </c>
      <c r="BY209" s="20" t="str">
        <f>IF($A209="","",IFERROR(_xlfn.XLOOKUP("F-"&amp;$A209,'Feeder Schedule'!$B$5:$B$254,'Feeder Schedule'!$O$5:$O$254),""))</f>
        <v/>
      </c>
      <c r="BZ209" s="20" t="str">
        <f>IF($A209="","",IFERROR(_xlfn.XLOOKUP("F-"&amp;$A209,'Feeder Schedule'!$B$5:$B$254,'Feeder Schedule'!$CH$5:$CH$254),""))</f>
        <v/>
      </c>
      <c r="CA209" s="20" t="str">
        <f>IF($A209="","",IFERROR(_xlfn.XLOOKUP("F-"&amp;$A209,'Feeder Schedule'!$B$5:$B$254,'Feeder Schedule'!$F$5:$F$254),""))</f>
        <v/>
      </c>
      <c r="CB209" s="20" t="str">
        <f>IF($A209="","",IFERROR(_xlfn.XLOOKUP("F-"&amp;$A209,'Feeder Schedule'!$B$5:$B$254,'Feeder Schedule'!$G$5:$G$254),""))</f>
        <v/>
      </c>
      <c r="CD209" s="20" t="str" cm="1">
        <f t="array" ref="CD209">IFERROR(IF($A209="","",INDEX(_xlfn.ANCHORARRAY($BK$4),ROW()-5,6)),"")</f>
        <v/>
      </c>
      <c r="CE209" s="20" t="str">
        <f t="shared" si="63"/>
        <v/>
      </c>
      <c r="CF209" s="20" t="str">
        <f t="shared" si="64"/>
        <v/>
      </c>
      <c r="CG209" s="20" t="str">
        <f t="shared" si="61"/>
        <v/>
      </c>
      <c r="CH209" s="20" t="str" cm="1">
        <f t="array" ref="CH209">IF(OR($A209="",$BZ209="",$BW209="",$BX209=""),"",_xlfn.LET(_xlpm.mag,IFERROR(_xlfn.XLOOKUP($BX209,Race_Raceway,Race_Mag),""),IF(_xlpm.mag="","",IFERROR(INDEX(Cond_Table,MATCH($BZ209,Cond_Size,0),IF(UPPER($BW209)="AL",IF(_xlpm.mag="Y",10,12),IF(_xlpm.mag="Y",9,11))),""))))</f>
        <v/>
      </c>
      <c r="CI209" s="20" t="str">
        <f t="shared" si="62"/>
        <v/>
      </c>
      <c r="CJ209" s="20" t="str">
        <f>IF(OR($A209="",LEFT($A209,2)&lt;&gt;"T-"),"",IFERROR(_xlfn.LET(_xlpm.fla,_xlfn.XLOOKUP($A209,Transformers!$A$6:$A$105,Transformers!$AK$6:$AK$105),_xlpm.z,_xlfn.XLOOKUP($A209,Transformers!$A$6:$A$105,Transformers!$AX$6:$AX$105),IF(OR(_xlpm.fla="",_xlpm.z="",_xlpm.z=0),"",_xlpm.fla*100/_xlpm.z)),""))</f>
        <v/>
      </c>
      <c r="CK209" s="20" t="str">
        <f t="shared" si="65"/>
        <v/>
      </c>
      <c r="CL209" s="20" t="str">
        <f t="shared" si="66"/>
        <v/>
      </c>
      <c r="CM209" s="373"/>
      <c r="CO209" s="20" t="str">
        <f>IF(OR($A209="",LEFT($A209,2)&lt;&gt;"T-"),"",_xlfn.LET(_xlpm.ph,IFERROR(_xlfn.XLOOKUP($A209,Transformers!$A$6:$A$105,Transformers!$C$6:$C$105),""),_xlpm.rr,IFERROR(_xlfn.XLOOKUP($A209,Transformers!$A$6:$A$105,Transformers!$AG$6:$AG$105),""),_xlpm.xx,IFERROR(_xlfn.XLOOKUP($A209,Transformers!$A$6:$A$105,Transformers!$AI$6:$AI$105),""),IF(OR(_xlpm.ph&lt;&gt;1,NOT(ISNUMBER(_xlpm.rr)),NOT(ISNUMBER(_xlpm.xx))),"",SQRT((1.5*_xlpm.rr)^2+(1.2*_xlpm.xx)^2))))</f>
        <v/>
      </c>
      <c r="CP209" s="20" t="str">
        <f t="shared" si="67"/>
        <v/>
      </c>
    </row>
    <row r="210" spans="1:94" ht="15" customHeight="1" x14ac:dyDescent="0.45">
      <c r="A210" s="275" t="str" cm="1">
        <f t="array" ref="A210">IFERROR(IF(INDEX(_xlfn.ANCHORARRAY($BK$4),ROW()-5,1)="","",INDEX(_xlfn.ANCHORARRAY($BK$4),ROW()-5,1)),"")</f>
        <v/>
      </c>
      <c r="B210" s="25" t="str" cm="1">
        <f t="array" ref="B210">IFERROR(IF($A210="","",INDEX(_xlfn.ANCHORARRAY($BK$4),ROW()-5,5)),"")</f>
        <v/>
      </c>
      <c r="C210" s="178" t="str" cm="1">
        <f t="array" ref="C210">IFERROR(IF($A210="","",INDEX(_xlfn.ANCHORARRAY($BK$4),ROW()-5,7)),"")</f>
        <v/>
      </c>
      <c r="D210" s="177" t="str" cm="1">
        <f t="array" ref="D210">IFERROR(IF($A210="","",INDEX(_xlfn.ANCHORARRAY($BK$4),ROW()-5,3)),"")</f>
        <v/>
      </c>
      <c r="E210" s="25" t="str" cm="1">
        <f t="array" ref="E210">IFERROR(IF($A210="","",INDEX(_xlfn.ANCHORARRAY($BK$4),ROW()-5,2)),"")</f>
        <v/>
      </c>
      <c r="F210" s="177" t="str">
        <f t="shared" si="51"/>
        <v/>
      </c>
      <c r="G210" s="275" t="str">
        <f t="shared" si="52"/>
        <v/>
      </c>
      <c r="H210" s="180" t="str">
        <f t="shared" si="53"/>
        <v/>
      </c>
      <c r="I210" s="180" t="str">
        <f t="shared" si="54"/>
        <v/>
      </c>
      <c r="J210" s="177" t="str">
        <f>_xlfn.LET(_xlpm.v,_xlfn.LET(_xlpm.base,IF($A210="","",IF($C210=0,IFERROR(_xlfn.XLOOKUP($A210,Util_Tags,Util_SCAEff),""),IF(LEFT($A210,2)="T-",IF($CJ210="","",$CJ210/(1+IF($CL210="",0,$CL210))),IF(OR($F210="",$I210=""),"",$F210*$I210)))),_xlpm.gtag,IF(OR($A210="",NOT(OR($B210="ATS",$B210="MTS"))),"",IFERROR(_xlfn.XLOOKUP($A210,Dashboard!$A$101:$A$350,Dashboard!$L$101:$L$350,"")&amp;"","")),_xlpm.gkva,IF(_xlpm.gtag="",0,IFERROR(N(_xlfn.XLOOKUP(_xlpm.gtag,Generator!$B$53:$B$58,Generator!$S$53:$S$58,0)),0)),_xlpm.gxd,IF(_xlpm.gtag="",0,IFERROR(N(_xlfn.XLOOKUP(_xlpm.gtag,Generator!$B$53:$B$58,Generator!$U$53:$U$58,0)),0)),_xlpm.gamp,IF(OR(_xlpm.gkva=0,_xlpm.gxd=0,N($D210)=0),0,ROUND(_xlpm.gkva*1000/(IF(N($CB210)=1,1,SQRT(3))*$D210*_xlpm.gxd),0)),IF(OR(_xlpm.gamp=0,NOT(ISNUMBER(_xlpm.base))),_xlpm.base,MAX(_xlpm.base,_xlpm.gamp))),_xlpm.ulim,IF(OR($A210="",$B210&lt;&gt;"UPS"),"",IFERROR(IF(_xlfn.XLOOKUP($A210,UPS!$B$57:$B$64,UPS!$E$57:$E$64,"")="None",_xlfn.XLOOKUP($A210,UPS!$B$57:$B$64,UPS!$U$57:$U$64,""),""),"")),IF(AND(ISNUMBER(_xlpm.v),ISNUMBER(_xlpm.ulim)),MIN(_xlpm.v,_xlpm.ulim),_xlpm.v))</f>
        <v/>
      </c>
      <c r="K210" s="176"/>
      <c r="L210" s="177" t="str">
        <f t="shared" si="55"/>
        <v/>
      </c>
      <c r="M210" s="177" t="str">
        <f t="shared" si="56"/>
        <v/>
      </c>
      <c r="N210" s="380" t="str">
        <f>IF($A210="","",IF($C210=0,_xlfn.LET(_xlpm.x,IFERROR(_xlfn.XLOOKUP($A210,Util_Tags,Util_XR),""),IF(N(_xlpm.x)=0,Xfmr_DefXR,_xlpm.x)),IF(LEFT($A210,2)="T-",IFERROR(_xlfn.XLOOKUP($A210,Transformers!$A$6:$A$105,Transformers!$AH$6:$AH$105),Xfmr_DefXR),IFERROR(_xlfn.XLOOKUP($E210,$A$6:$A$255,$N$6:$N$255),Xfmr_DefXR))))</f>
        <v/>
      </c>
      <c r="O210" s="177" t="str">
        <f t="shared" si="57"/>
        <v/>
      </c>
      <c r="P210" s="210" t="str">
        <f>IF($A210="","",IF(LEFT($A210,2)="T-",IF($CO210="","",_xlfn.LET(_xlpm.k,IFERROR(_xlfn.XLOOKUP($A210,Transformers!$A$6:$A$105,Transformers!$G$6:$G$105),""),_xlpm.sv,IFERROR(_xlfn.XLOOKUP($A210,Transformers!$A$6:$A$105,Transformers!$E$6:$E$105),""),IF(OR(NOT(ISNUMBER(_xlpm.k)),NOT(ISNUMBER(_xlpm.sv)),_xlpm.sv=0),"",_xlfn.LET(_xlpm.iInf,(_xlpm.k*1000/(_xlpm.sv/2))*100/$CO210,_xlpm.pri,IF(OR($CK210="",$CK210=0),"",$CK210/2),_xlpm.base,IF(_xlpm.pri="",_xlpm.iInf,_xlpm.iInf/(1+_xlpm.iInf/_xlpm.pri)),_xlpm.base+IF($L210="",0,$L210))))),IF($CP210="","",_xlfn.LET(_xlpm.pI,IFERROR(_xlfn.XLOOKUP($E210,$A$6:$A$255,$P$6:$P$255),""),IF(NOT(ISNUMBER(_xlpm.pI)),"",_xlpm.pI/(1+$CP210)+IF($L210="",0,$L210))))))</f>
        <v/>
      </c>
      <c r="Q210" s="210" t="str">
        <f t="shared" si="58"/>
        <v/>
      </c>
      <c r="R210" s="177" t="str">
        <f>IF($A210="","",IF(OR($C210=0,LEFT($A210,2)="T-"),"",IFERROR(_xlfn.LET(_xlpm.v,_xlfn.XLOOKUP($A210,Dashboard!$A$101:$A$350,Dashboard!$K$101:$K$350),IF(ISNUMBER(_xlpm.v),_xlpm.v,"")),"")))</f>
        <v/>
      </c>
      <c r="S210" s="211" t="str">
        <f t="shared" si="59"/>
        <v/>
      </c>
      <c r="T210" s="25" t="str">
        <f t="shared" si="60"/>
        <v/>
      </c>
      <c r="U210" s="364"/>
      <c r="BV210" s="20" t="str">
        <f>IF($A210="","",IFERROR(_xlfn.XLOOKUP("F-"&amp;$A210,'Feeder Schedule'!$B$5:$B$254,'Feeder Schedule'!$H$5:$H$254),""))</f>
        <v/>
      </c>
      <c r="BW210" s="20" t="str">
        <f>IF($A210="","",IFERROR(_xlfn.XLOOKUP("F-"&amp;$A210,'Feeder Schedule'!$B$5:$B$254,'Feeder Schedule'!$BV$5:$BV$254),""))</f>
        <v/>
      </c>
      <c r="BX210" s="20" t="str">
        <f>IF($A210="","",IFERROR(_xlfn.LET(_xlpm.v,_xlfn.XLOOKUP("F-"&amp;$A210,'Feeder Schedule'!$B$5:$B$254,'Feeder Schedule'!$M$5:$M$254),IF(OR(_xlpm.v="",_xlpm.v=0),Cfg_Conduit,_xlpm.v)),""))</f>
        <v/>
      </c>
      <c r="BY210" s="20" t="str">
        <f>IF($A210="","",IFERROR(_xlfn.XLOOKUP("F-"&amp;$A210,'Feeder Schedule'!$B$5:$B$254,'Feeder Schedule'!$O$5:$O$254),""))</f>
        <v/>
      </c>
      <c r="BZ210" s="20" t="str">
        <f>IF($A210="","",IFERROR(_xlfn.XLOOKUP("F-"&amp;$A210,'Feeder Schedule'!$B$5:$B$254,'Feeder Schedule'!$CH$5:$CH$254),""))</f>
        <v/>
      </c>
      <c r="CA210" s="20" t="str">
        <f>IF($A210="","",IFERROR(_xlfn.XLOOKUP("F-"&amp;$A210,'Feeder Schedule'!$B$5:$B$254,'Feeder Schedule'!$F$5:$F$254),""))</f>
        <v/>
      </c>
      <c r="CB210" s="20" t="str">
        <f>IF($A210="","",IFERROR(_xlfn.XLOOKUP("F-"&amp;$A210,'Feeder Schedule'!$B$5:$B$254,'Feeder Schedule'!$G$5:$G$254),""))</f>
        <v/>
      </c>
      <c r="CD210" s="20" t="str" cm="1">
        <f t="array" ref="CD210">IFERROR(IF($A210="","",INDEX(_xlfn.ANCHORARRAY($BK$4),ROW()-5,6)),"")</f>
        <v/>
      </c>
      <c r="CE210" s="20" t="str">
        <f t="shared" si="63"/>
        <v/>
      </c>
      <c r="CF210" s="20" t="str">
        <f t="shared" si="64"/>
        <v/>
      </c>
      <c r="CG210" s="20" t="str">
        <f t="shared" si="61"/>
        <v/>
      </c>
      <c r="CH210" s="20" t="str" cm="1">
        <f t="array" ref="CH210">IF(OR($A210="",$BZ210="",$BW210="",$BX210=""),"",_xlfn.LET(_xlpm.mag,IFERROR(_xlfn.XLOOKUP($BX210,Race_Raceway,Race_Mag),""),IF(_xlpm.mag="","",IFERROR(INDEX(Cond_Table,MATCH($BZ210,Cond_Size,0),IF(UPPER($BW210)="AL",IF(_xlpm.mag="Y",10,12),IF(_xlpm.mag="Y",9,11))),""))))</f>
        <v/>
      </c>
      <c r="CI210" s="20" t="str">
        <f t="shared" si="62"/>
        <v/>
      </c>
      <c r="CJ210" s="20" t="str">
        <f>IF(OR($A210="",LEFT($A210,2)&lt;&gt;"T-"),"",IFERROR(_xlfn.LET(_xlpm.fla,_xlfn.XLOOKUP($A210,Transformers!$A$6:$A$105,Transformers!$AK$6:$AK$105),_xlpm.z,_xlfn.XLOOKUP($A210,Transformers!$A$6:$A$105,Transformers!$AX$6:$AX$105),IF(OR(_xlpm.fla="",_xlpm.z="",_xlpm.z=0),"",_xlpm.fla*100/_xlpm.z)),""))</f>
        <v/>
      </c>
      <c r="CK210" s="20" t="str">
        <f t="shared" si="65"/>
        <v/>
      </c>
      <c r="CL210" s="20" t="str">
        <f t="shared" si="66"/>
        <v/>
      </c>
      <c r="CM210" s="373"/>
      <c r="CO210" s="20" t="str">
        <f>IF(OR($A210="",LEFT($A210,2)&lt;&gt;"T-"),"",_xlfn.LET(_xlpm.ph,IFERROR(_xlfn.XLOOKUP($A210,Transformers!$A$6:$A$105,Transformers!$C$6:$C$105),""),_xlpm.rr,IFERROR(_xlfn.XLOOKUP($A210,Transformers!$A$6:$A$105,Transformers!$AG$6:$AG$105),""),_xlpm.xx,IFERROR(_xlfn.XLOOKUP($A210,Transformers!$A$6:$A$105,Transformers!$AI$6:$AI$105),""),IF(OR(_xlpm.ph&lt;&gt;1,NOT(ISNUMBER(_xlpm.rr)),NOT(ISNUMBER(_xlpm.xx))),"",SQRT((1.5*_xlpm.rr)^2+(1.2*_xlpm.xx)^2))))</f>
        <v/>
      </c>
      <c r="CP210" s="20" t="str">
        <f t="shared" si="67"/>
        <v/>
      </c>
    </row>
    <row r="211" spans="1:94" ht="15" customHeight="1" x14ac:dyDescent="0.45">
      <c r="A211" s="275" t="str" cm="1">
        <f t="array" ref="A211">IFERROR(IF(INDEX(_xlfn.ANCHORARRAY($BK$4),ROW()-5,1)="","",INDEX(_xlfn.ANCHORARRAY($BK$4),ROW()-5,1)),"")</f>
        <v/>
      </c>
      <c r="B211" s="25" t="str" cm="1">
        <f t="array" ref="B211">IFERROR(IF($A211="","",INDEX(_xlfn.ANCHORARRAY($BK$4),ROW()-5,5)),"")</f>
        <v/>
      </c>
      <c r="C211" s="178" t="str" cm="1">
        <f t="array" ref="C211">IFERROR(IF($A211="","",INDEX(_xlfn.ANCHORARRAY($BK$4),ROW()-5,7)),"")</f>
        <v/>
      </c>
      <c r="D211" s="177" t="str" cm="1">
        <f t="array" ref="D211">IFERROR(IF($A211="","",INDEX(_xlfn.ANCHORARRAY($BK$4),ROW()-5,3)),"")</f>
        <v/>
      </c>
      <c r="E211" s="25" t="str" cm="1">
        <f t="array" ref="E211">IFERROR(IF($A211="","",INDEX(_xlfn.ANCHORARRAY($BK$4),ROW()-5,2)),"")</f>
        <v/>
      </c>
      <c r="F211" s="177" t="str">
        <f t="shared" si="51"/>
        <v/>
      </c>
      <c r="G211" s="275" t="str">
        <f t="shared" si="52"/>
        <v/>
      </c>
      <c r="H211" s="180" t="str">
        <f t="shared" si="53"/>
        <v/>
      </c>
      <c r="I211" s="180" t="str">
        <f t="shared" si="54"/>
        <v/>
      </c>
      <c r="J211" s="177" t="str">
        <f>_xlfn.LET(_xlpm.v,_xlfn.LET(_xlpm.base,IF($A211="","",IF($C211=0,IFERROR(_xlfn.XLOOKUP($A211,Util_Tags,Util_SCAEff),""),IF(LEFT($A211,2)="T-",IF($CJ211="","",$CJ211/(1+IF($CL211="",0,$CL211))),IF(OR($F211="",$I211=""),"",$F211*$I211)))),_xlpm.gtag,IF(OR($A211="",NOT(OR($B211="ATS",$B211="MTS"))),"",IFERROR(_xlfn.XLOOKUP($A211,Dashboard!$A$101:$A$350,Dashboard!$L$101:$L$350,"")&amp;"","")),_xlpm.gkva,IF(_xlpm.gtag="",0,IFERROR(N(_xlfn.XLOOKUP(_xlpm.gtag,Generator!$B$53:$B$58,Generator!$S$53:$S$58,0)),0)),_xlpm.gxd,IF(_xlpm.gtag="",0,IFERROR(N(_xlfn.XLOOKUP(_xlpm.gtag,Generator!$B$53:$B$58,Generator!$U$53:$U$58,0)),0)),_xlpm.gamp,IF(OR(_xlpm.gkva=0,_xlpm.gxd=0,N($D211)=0),0,ROUND(_xlpm.gkva*1000/(IF(N($CB211)=1,1,SQRT(3))*$D211*_xlpm.gxd),0)),IF(OR(_xlpm.gamp=0,NOT(ISNUMBER(_xlpm.base))),_xlpm.base,MAX(_xlpm.base,_xlpm.gamp))),_xlpm.ulim,IF(OR($A211="",$B211&lt;&gt;"UPS"),"",IFERROR(IF(_xlfn.XLOOKUP($A211,UPS!$B$57:$B$64,UPS!$E$57:$E$64,"")="None",_xlfn.XLOOKUP($A211,UPS!$B$57:$B$64,UPS!$U$57:$U$64,""),""),"")),IF(AND(ISNUMBER(_xlpm.v),ISNUMBER(_xlpm.ulim)),MIN(_xlpm.v,_xlpm.ulim),_xlpm.v))</f>
        <v/>
      </c>
      <c r="K211" s="176"/>
      <c r="L211" s="177" t="str">
        <f t="shared" si="55"/>
        <v/>
      </c>
      <c r="M211" s="177" t="str">
        <f t="shared" si="56"/>
        <v/>
      </c>
      <c r="N211" s="380" t="str">
        <f>IF($A211="","",IF($C211=0,_xlfn.LET(_xlpm.x,IFERROR(_xlfn.XLOOKUP($A211,Util_Tags,Util_XR),""),IF(N(_xlpm.x)=0,Xfmr_DefXR,_xlpm.x)),IF(LEFT($A211,2)="T-",IFERROR(_xlfn.XLOOKUP($A211,Transformers!$A$6:$A$105,Transformers!$AH$6:$AH$105),Xfmr_DefXR),IFERROR(_xlfn.XLOOKUP($E211,$A$6:$A$255,$N$6:$N$255),Xfmr_DefXR))))</f>
        <v/>
      </c>
      <c r="O211" s="177" t="str">
        <f t="shared" si="57"/>
        <v/>
      </c>
      <c r="P211" s="210" t="str">
        <f>IF($A211="","",IF(LEFT($A211,2)="T-",IF($CO211="","",_xlfn.LET(_xlpm.k,IFERROR(_xlfn.XLOOKUP($A211,Transformers!$A$6:$A$105,Transformers!$G$6:$G$105),""),_xlpm.sv,IFERROR(_xlfn.XLOOKUP($A211,Transformers!$A$6:$A$105,Transformers!$E$6:$E$105),""),IF(OR(NOT(ISNUMBER(_xlpm.k)),NOT(ISNUMBER(_xlpm.sv)),_xlpm.sv=0),"",_xlfn.LET(_xlpm.iInf,(_xlpm.k*1000/(_xlpm.sv/2))*100/$CO211,_xlpm.pri,IF(OR($CK211="",$CK211=0),"",$CK211/2),_xlpm.base,IF(_xlpm.pri="",_xlpm.iInf,_xlpm.iInf/(1+_xlpm.iInf/_xlpm.pri)),_xlpm.base+IF($L211="",0,$L211))))),IF($CP211="","",_xlfn.LET(_xlpm.pI,IFERROR(_xlfn.XLOOKUP($E211,$A$6:$A$255,$P$6:$P$255),""),IF(NOT(ISNUMBER(_xlpm.pI)),"",_xlpm.pI/(1+$CP211)+IF($L211="",0,$L211))))))</f>
        <v/>
      </c>
      <c r="Q211" s="210" t="str">
        <f t="shared" si="58"/>
        <v/>
      </c>
      <c r="R211" s="177" t="str">
        <f>IF($A211="","",IF(OR($C211=0,LEFT($A211,2)="T-"),"",IFERROR(_xlfn.LET(_xlpm.v,_xlfn.XLOOKUP($A211,Dashboard!$A$101:$A$350,Dashboard!$K$101:$K$350),IF(ISNUMBER(_xlpm.v),_xlpm.v,"")),"")))</f>
        <v/>
      </c>
      <c r="S211" s="211" t="str">
        <f t="shared" si="59"/>
        <v/>
      </c>
      <c r="T211" s="25" t="str">
        <f t="shared" si="60"/>
        <v/>
      </c>
      <c r="U211" s="364"/>
      <c r="BV211" s="20" t="str">
        <f>IF($A211="","",IFERROR(_xlfn.XLOOKUP("F-"&amp;$A211,'Feeder Schedule'!$B$5:$B$254,'Feeder Schedule'!$H$5:$H$254),""))</f>
        <v/>
      </c>
      <c r="BW211" s="20" t="str">
        <f>IF($A211="","",IFERROR(_xlfn.XLOOKUP("F-"&amp;$A211,'Feeder Schedule'!$B$5:$B$254,'Feeder Schedule'!$BV$5:$BV$254),""))</f>
        <v/>
      </c>
      <c r="BX211" s="20" t="str">
        <f>IF($A211="","",IFERROR(_xlfn.LET(_xlpm.v,_xlfn.XLOOKUP("F-"&amp;$A211,'Feeder Schedule'!$B$5:$B$254,'Feeder Schedule'!$M$5:$M$254),IF(OR(_xlpm.v="",_xlpm.v=0),Cfg_Conduit,_xlpm.v)),""))</f>
        <v/>
      </c>
      <c r="BY211" s="20" t="str">
        <f>IF($A211="","",IFERROR(_xlfn.XLOOKUP("F-"&amp;$A211,'Feeder Schedule'!$B$5:$B$254,'Feeder Schedule'!$O$5:$O$254),""))</f>
        <v/>
      </c>
      <c r="BZ211" s="20" t="str">
        <f>IF($A211="","",IFERROR(_xlfn.XLOOKUP("F-"&amp;$A211,'Feeder Schedule'!$B$5:$B$254,'Feeder Schedule'!$CH$5:$CH$254),""))</f>
        <v/>
      </c>
      <c r="CA211" s="20" t="str">
        <f>IF($A211="","",IFERROR(_xlfn.XLOOKUP("F-"&amp;$A211,'Feeder Schedule'!$B$5:$B$254,'Feeder Schedule'!$F$5:$F$254),""))</f>
        <v/>
      </c>
      <c r="CB211" s="20" t="str">
        <f>IF($A211="","",IFERROR(_xlfn.XLOOKUP("F-"&amp;$A211,'Feeder Schedule'!$B$5:$B$254,'Feeder Schedule'!$G$5:$G$254),""))</f>
        <v/>
      </c>
      <c r="CD211" s="20" t="str" cm="1">
        <f t="array" ref="CD211">IFERROR(IF($A211="","",INDEX(_xlfn.ANCHORARRAY($BK$4),ROW()-5,6)),"")</f>
        <v/>
      </c>
      <c r="CE211" s="20" t="str">
        <f t="shared" si="63"/>
        <v/>
      </c>
      <c r="CF211" s="20" t="str">
        <f t="shared" si="64"/>
        <v/>
      </c>
      <c r="CG211" s="20" t="str">
        <f t="shared" si="61"/>
        <v/>
      </c>
      <c r="CH211" s="20" t="str" cm="1">
        <f t="array" ref="CH211">IF(OR($A211="",$BZ211="",$BW211="",$BX211=""),"",_xlfn.LET(_xlpm.mag,IFERROR(_xlfn.XLOOKUP($BX211,Race_Raceway,Race_Mag),""),IF(_xlpm.mag="","",IFERROR(INDEX(Cond_Table,MATCH($BZ211,Cond_Size,0),IF(UPPER($BW211)="AL",IF(_xlpm.mag="Y",10,12),IF(_xlpm.mag="Y",9,11))),""))))</f>
        <v/>
      </c>
      <c r="CI211" s="20" t="str">
        <f t="shared" si="62"/>
        <v/>
      </c>
      <c r="CJ211" s="20" t="str">
        <f>IF(OR($A211="",LEFT($A211,2)&lt;&gt;"T-"),"",IFERROR(_xlfn.LET(_xlpm.fla,_xlfn.XLOOKUP($A211,Transformers!$A$6:$A$105,Transformers!$AK$6:$AK$105),_xlpm.z,_xlfn.XLOOKUP($A211,Transformers!$A$6:$A$105,Transformers!$AX$6:$AX$105),IF(OR(_xlpm.fla="",_xlpm.z="",_xlpm.z=0),"",_xlpm.fla*100/_xlpm.z)),""))</f>
        <v/>
      </c>
      <c r="CK211" s="20" t="str">
        <f t="shared" si="65"/>
        <v/>
      </c>
      <c r="CL211" s="20" t="str">
        <f t="shared" si="66"/>
        <v/>
      </c>
      <c r="CM211" s="373"/>
      <c r="CO211" s="20" t="str">
        <f>IF(OR($A211="",LEFT($A211,2)&lt;&gt;"T-"),"",_xlfn.LET(_xlpm.ph,IFERROR(_xlfn.XLOOKUP($A211,Transformers!$A$6:$A$105,Transformers!$C$6:$C$105),""),_xlpm.rr,IFERROR(_xlfn.XLOOKUP($A211,Transformers!$A$6:$A$105,Transformers!$AG$6:$AG$105),""),_xlpm.xx,IFERROR(_xlfn.XLOOKUP($A211,Transformers!$A$6:$A$105,Transformers!$AI$6:$AI$105),""),IF(OR(_xlpm.ph&lt;&gt;1,NOT(ISNUMBER(_xlpm.rr)),NOT(ISNUMBER(_xlpm.xx))),"",SQRT((1.5*_xlpm.rr)^2+(1.2*_xlpm.xx)^2))))</f>
        <v/>
      </c>
      <c r="CP211" s="20" t="str">
        <f t="shared" si="67"/>
        <v/>
      </c>
    </row>
    <row r="212" spans="1:94" ht="15" customHeight="1" x14ac:dyDescent="0.45">
      <c r="A212" s="275" t="str" cm="1">
        <f t="array" ref="A212">IFERROR(IF(INDEX(_xlfn.ANCHORARRAY($BK$4),ROW()-5,1)="","",INDEX(_xlfn.ANCHORARRAY($BK$4),ROW()-5,1)),"")</f>
        <v/>
      </c>
      <c r="B212" s="25" t="str" cm="1">
        <f t="array" ref="B212">IFERROR(IF($A212="","",INDEX(_xlfn.ANCHORARRAY($BK$4),ROW()-5,5)),"")</f>
        <v/>
      </c>
      <c r="C212" s="178" t="str" cm="1">
        <f t="array" ref="C212">IFERROR(IF($A212="","",INDEX(_xlfn.ANCHORARRAY($BK$4),ROW()-5,7)),"")</f>
        <v/>
      </c>
      <c r="D212" s="177" t="str" cm="1">
        <f t="array" ref="D212">IFERROR(IF($A212="","",INDEX(_xlfn.ANCHORARRAY($BK$4),ROW()-5,3)),"")</f>
        <v/>
      </c>
      <c r="E212" s="25" t="str" cm="1">
        <f t="array" ref="E212">IFERROR(IF($A212="","",INDEX(_xlfn.ANCHORARRAY($BK$4),ROW()-5,2)),"")</f>
        <v/>
      </c>
      <c r="F212" s="177" t="str">
        <f t="shared" si="51"/>
        <v/>
      </c>
      <c r="G212" s="275" t="str">
        <f t="shared" si="52"/>
        <v/>
      </c>
      <c r="H212" s="180" t="str">
        <f t="shared" si="53"/>
        <v/>
      </c>
      <c r="I212" s="180" t="str">
        <f t="shared" si="54"/>
        <v/>
      </c>
      <c r="J212" s="177" t="str">
        <f>_xlfn.LET(_xlpm.v,_xlfn.LET(_xlpm.base,IF($A212="","",IF($C212=0,IFERROR(_xlfn.XLOOKUP($A212,Util_Tags,Util_SCAEff),""),IF(LEFT($A212,2)="T-",IF($CJ212="","",$CJ212/(1+IF($CL212="",0,$CL212))),IF(OR($F212="",$I212=""),"",$F212*$I212)))),_xlpm.gtag,IF(OR($A212="",NOT(OR($B212="ATS",$B212="MTS"))),"",IFERROR(_xlfn.XLOOKUP($A212,Dashboard!$A$101:$A$350,Dashboard!$L$101:$L$350,"")&amp;"","")),_xlpm.gkva,IF(_xlpm.gtag="",0,IFERROR(N(_xlfn.XLOOKUP(_xlpm.gtag,Generator!$B$53:$B$58,Generator!$S$53:$S$58,0)),0)),_xlpm.gxd,IF(_xlpm.gtag="",0,IFERROR(N(_xlfn.XLOOKUP(_xlpm.gtag,Generator!$B$53:$B$58,Generator!$U$53:$U$58,0)),0)),_xlpm.gamp,IF(OR(_xlpm.gkva=0,_xlpm.gxd=0,N($D212)=0),0,ROUND(_xlpm.gkva*1000/(IF(N($CB212)=1,1,SQRT(3))*$D212*_xlpm.gxd),0)),IF(OR(_xlpm.gamp=0,NOT(ISNUMBER(_xlpm.base))),_xlpm.base,MAX(_xlpm.base,_xlpm.gamp))),_xlpm.ulim,IF(OR($A212="",$B212&lt;&gt;"UPS"),"",IFERROR(IF(_xlfn.XLOOKUP($A212,UPS!$B$57:$B$64,UPS!$E$57:$E$64,"")="None",_xlfn.XLOOKUP($A212,UPS!$B$57:$B$64,UPS!$U$57:$U$64,""),""),"")),IF(AND(ISNUMBER(_xlpm.v),ISNUMBER(_xlpm.ulim)),MIN(_xlpm.v,_xlpm.ulim),_xlpm.v))</f>
        <v/>
      </c>
      <c r="K212" s="176"/>
      <c r="L212" s="177" t="str">
        <f t="shared" si="55"/>
        <v/>
      </c>
      <c r="M212" s="177" t="str">
        <f t="shared" si="56"/>
        <v/>
      </c>
      <c r="N212" s="380" t="str">
        <f>IF($A212="","",IF($C212=0,_xlfn.LET(_xlpm.x,IFERROR(_xlfn.XLOOKUP($A212,Util_Tags,Util_XR),""),IF(N(_xlpm.x)=0,Xfmr_DefXR,_xlpm.x)),IF(LEFT($A212,2)="T-",IFERROR(_xlfn.XLOOKUP($A212,Transformers!$A$6:$A$105,Transformers!$AH$6:$AH$105),Xfmr_DefXR),IFERROR(_xlfn.XLOOKUP($E212,$A$6:$A$255,$N$6:$N$255),Xfmr_DefXR))))</f>
        <v/>
      </c>
      <c r="O212" s="177" t="str">
        <f t="shared" si="57"/>
        <v/>
      </c>
      <c r="P212" s="210" t="str">
        <f>IF($A212="","",IF(LEFT($A212,2)="T-",IF($CO212="","",_xlfn.LET(_xlpm.k,IFERROR(_xlfn.XLOOKUP($A212,Transformers!$A$6:$A$105,Transformers!$G$6:$G$105),""),_xlpm.sv,IFERROR(_xlfn.XLOOKUP($A212,Transformers!$A$6:$A$105,Transformers!$E$6:$E$105),""),IF(OR(NOT(ISNUMBER(_xlpm.k)),NOT(ISNUMBER(_xlpm.sv)),_xlpm.sv=0),"",_xlfn.LET(_xlpm.iInf,(_xlpm.k*1000/(_xlpm.sv/2))*100/$CO212,_xlpm.pri,IF(OR($CK212="",$CK212=0),"",$CK212/2),_xlpm.base,IF(_xlpm.pri="",_xlpm.iInf,_xlpm.iInf/(1+_xlpm.iInf/_xlpm.pri)),_xlpm.base+IF($L212="",0,$L212))))),IF($CP212="","",_xlfn.LET(_xlpm.pI,IFERROR(_xlfn.XLOOKUP($E212,$A$6:$A$255,$P$6:$P$255),""),IF(NOT(ISNUMBER(_xlpm.pI)),"",_xlpm.pI/(1+$CP212)+IF($L212="",0,$L212))))))</f>
        <v/>
      </c>
      <c r="Q212" s="210" t="str">
        <f t="shared" si="58"/>
        <v/>
      </c>
      <c r="R212" s="177" t="str">
        <f>IF($A212="","",IF(OR($C212=0,LEFT($A212,2)="T-"),"",IFERROR(_xlfn.LET(_xlpm.v,_xlfn.XLOOKUP($A212,Dashboard!$A$101:$A$350,Dashboard!$K$101:$K$350),IF(ISNUMBER(_xlpm.v),_xlpm.v,"")),"")))</f>
        <v/>
      </c>
      <c r="S212" s="211" t="str">
        <f t="shared" si="59"/>
        <v/>
      </c>
      <c r="T212" s="25" t="str">
        <f t="shared" si="60"/>
        <v/>
      </c>
      <c r="U212" s="364"/>
      <c r="BV212" s="20" t="str">
        <f>IF($A212="","",IFERROR(_xlfn.XLOOKUP("F-"&amp;$A212,'Feeder Schedule'!$B$5:$B$254,'Feeder Schedule'!$H$5:$H$254),""))</f>
        <v/>
      </c>
      <c r="BW212" s="20" t="str">
        <f>IF($A212="","",IFERROR(_xlfn.XLOOKUP("F-"&amp;$A212,'Feeder Schedule'!$B$5:$B$254,'Feeder Schedule'!$BV$5:$BV$254),""))</f>
        <v/>
      </c>
      <c r="BX212" s="20" t="str">
        <f>IF($A212="","",IFERROR(_xlfn.LET(_xlpm.v,_xlfn.XLOOKUP("F-"&amp;$A212,'Feeder Schedule'!$B$5:$B$254,'Feeder Schedule'!$M$5:$M$254),IF(OR(_xlpm.v="",_xlpm.v=0),Cfg_Conduit,_xlpm.v)),""))</f>
        <v/>
      </c>
      <c r="BY212" s="20" t="str">
        <f>IF($A212="","",IFERROR(_xlfn.XLOOKUP("F-"&amp;$A212,'Feeder Schedule'!$B$5:$B$254,'Feeder Schedule'!$O$5:$O$254),""))</f>
        <v/>
      </c>
      <c r="BZ212" s="20" t="str">
        <f>IF($A212="","",IFERROR(_xlfn.XLOOKUP("F-"&amp;$A212,'Feeder Schedule'!$B$5:$B$254,'Feeder Schedule'!$CH$5:$CH$254),""))</f>
        <v/>
      </c>
      <c r="CA212" s="20" t="str">
        <f>IF($A212="","",IFERROR(_xlfn.XLOOKUP("F-"&amp;$A212,'Feeder Schedule'!$B$5:$B$254,'Feeder Schedule'!$F$5:$F$254),""))</f>
        <v/>
      </c>
      <c r="CB212" s="20" t="str">
        <f>IF($A212="","",IFERROR(_xlfn.XLOOKUP("F-"&amp;$A212,'Feeder Schedule'!$B$5:$B$254,'Feeder Schedule'!$G$5:$G$254),""))</f>
        <v/>
      </c>
      <c r="CD212" s="20" t="str" cm="1">
        <f t="array" ref="CD212">IFERROR(IF($A212="","",INDEX(_xlfn.ANCHORARRAY($BK$4),ROW()-5,6)),"")</f>
        <v/>
      </c>
      <c r="CE212" s="20" t="str">
        <f t="shared" si="63"/>
        <v/>
      </c>
      <c r="CF212" s="20" t="str">
        <f t="shared" si="64"/>
        <v/>
      </c>
      <c r="CG212" s="20" t="str">
        <f t="shared" si="61"/>
        <v/>
      </c>
      <c r="CH212" s="20" t="str" cm="1">
        <f t="array" ref="CH212">IF(OR($A212="",$BZ212="",$BW212="",$BX212=""),"",_xlfn.LET(_xlpm.mag,IFERROR(_xlfn.XLOOKUP($BX212,Race_Raceway,Race_Mag),""),IF(_xlpm.mag="","",IFERROR(INDEX(Cond_Table,MATCH($BZ212,Cond_Size,0),IF(UPPER($BW212)="AL",IF(_xlpm.mag="Y",10,12),IF(_xlpm.mag="Y",9,11))),""))))</f>
        <v/>
      </c>
      <c r="CI212" s="20" t="str">
        <f t="shared" si="62"/>
        <v/>
      </c>
      <c r="CJ212" s="20" t="str">
        <f>IF(OR($A212="",LEFT($A212,2)&lt;&gt;"T-"),"",IFERROR(_xlfn.LET(_xlpm.fla,_xlfn.XLOOKUP($A212,Transformers!$A$6:$A$105,Transformers!$AK$6:$AK$105),_xlpm.z,_xlfn.XLOOKUP($A212,Transformers!$A$6:$A$105,Transformers!$AX$6:$AX$105),IF(OR(_xlpm.fla="",_xlpm.z="",_xlpm.z=0),"",_xlpm.fla*100/_xlpm.z)),""))</f>
        <v/>
      </c>
      <c r="CK212" s="20" t="str">
        <f t="shared" si="65"/>
        <v/>
      </c>
      <c r="CL212" s="20" t="str">
        <f t="shared" si="66"/>
        <v/>
      </c>
      <c r="CM212" s="373"/>
      <c r="CO212" s="20" t="str">
        <f>IF(OR($A212="",LEFT($A212,2)&lt;&gt;"T-"),"",_xlfn.LET(_xlpm.ph,IFERROR(_xlfn.XLOOKUP($A212,Transformers!$A$6:$A$105,Transformers!$C$6:$C$105),""),_xlpm.rr,IFERROR(_xlfn.XLOOKUP($A212,Transformers!$A$6:$A$105,Transformers!$AG$6:$AG$105),""),_xlpm.xx,IFERROR(_xlfn.XLOOKUP($A212,Transformers!$A$6:$A$105,Transformers!$AI$6:$AI$105),""),IF(OR(_xlpm.ph&lt;&gt;1,NOT(ISNUMBER(_xlpm.rr)),NOT(ISNUMBER(_xlpm.xx))),"",SQRT((1.5*_xlpm.rr)^2+(1.2*_xlpm.xx)^2))))</f>
        <v/>
      </c>
      <c r="CP212" s="20" t="str">
        <f t="shared" si="67"/>
        <v/>
      </c>
    </row>
    <row r="213" spans="1:94" ht="15" customHeight="1" x14ac:dyDescent="0.45">
      <c r="A213" s="275" t="str" cm="1">
        <f t="array" ref="A213">IFERROR(IF(INDEX(_xlfn.ANCHORARRAY($BK$4),ROW()-5,1)="","",INDEX(_xlfn.ANCHORARRAY($BK$4),ROW()-5,1)),"")</f>
        <v/>
      </c>
      <c r="B213" s="25" t="str" cm="1">
        <f t="array" ref="B213">IFERROR(IF($A213="","",INDEX(_xlfn.ANCHORARRAY($BK$4),ROW()-5,5)),"")</f>
        <v/>
      </c>
      <c r="C213" s="178" t="str" cm="1">
        <f t="array" ref="C213">IFERROR(IF($A213="","",INDEX(_xlfn.ANCHORARRAY($BK$4),ROW()-5,7)),"")</f>
        <v/>
      </c>
      <c r="D213" s="177" t="str" cm="1">
        <f t="array" ref="D213">IFERROR(IF($A213="","",INDEX(_xlfn.ANCHORARRAY($BK$4),ROW()-5,3)),"")</f>
        <v/>
      </c>
      <c r="E213" s="25" t="str" cm="1">
        <f t="array" ref="E213">IFERROR(IF($A213="","",INDEX(_xlfn.ANCHORARRAY($BK$4),ROW()-5,2)),"")</f>
        <v/>
      </c>
      <c r="F213" s="177" t="str">
        <f t="shared" si="51"/>
        <v/>
      </c>
      <c r="G213" s="275" t="str">
        <f t="shared" si="52"/>
        <v/>
      </c>
      <c r="H213" s="180" t="str">
        <f t="shared" si="53"/>
        <v/>
      </c>
      <c r="I213" s="180" t="str">
        <f t="shared" si="54"/>
        <v/>
      </c>
      <c r="J213" s="177" t="str">
        <f>_xlfn.LET(_xlpm.v,_xlfn.LET(_xlpm.base,IF($A213="","",IF($C213=0,IFERROR(_xlfn.XLOOKUP($A213,Util_Tags,Util_SCAEff),""),IF(LEFT($A213,2)="T-",IF($CJ213="","",$CJ213/(1+IF($CL213="",0,$CL213))),IF(OR($F213="",$I213=""),"",$F213*$I213)))),_xlpm.gtag,IF(OR($A213="",NOT(OR($B213="ATS",$B213="MTS"))),"",IFERROR(_xlfn.XLOOKUP($A213,Dashboard!$A$101:$A$350,Dashboard!$L$101:$L$350,"")&amp;"","")),_xlpm.gkva,IF(_xlpm.gtag="",0,IFERROR(N(_xlfn.XLOOKUP(_xlpm.gtag,Generator!$B$53:$B$58,Generator!$S$53:$S$58,0)),0)),_xlpm.gxd,IF(_xlpm.gtag="",0,IFERROR(N(_xlfn.XLOOKUP(_xlpm.gtag,Generator!$B$53:$B$58,Generator!$U$53:$U$58,0)),0)),_xlpm.gamp,IF(OR(_xlpm.gkva=0,_xlpm.gxd=0,N($D213)=0),0,ROUND(_xlpm.gkva*1000/(IF(N($CB213)=1,1,SQRT(3))*$D213*_xlpm.gxd),0)),IF(OR(_xlpm.gamp=0,NOT(ISNUMBER(_xlpm.base))),_xlpm.base,MAX(_xlpm.base,_xlpm.gamp))),_xlpm.ulim,IF(OR($A213="",$B213&lt;&gt;"UPS"),"",IFERROR(IF(_xlfn.XLOOKUP($A213,UPS!$B$57:$B$64,UPS!$E$57:$E$64,"")="None",_xlfn.XLOOKUP($A213,UPS!$B$57:$B$64,UPS!$U$57:$U$64,""),""),"")),IF(AND(ISNUMBER(_xlpm.v),ISNUMBER(_xlpm.ulim)),MIN(_xlpm.v,_xlpm.ulim),_xlpm.v))</f>
        <v/>
      </c>
      <c r="K213" s="176"/>
      <c r="L213" s="177" t="str">
        <f t="shared" si="55"/>
        <v/>
      </c>
      <c r="M213" s="177" t="str">
        <f t="shared" si="56"/>
        <v/>
      </c>
      <c r="N213" s="380" t="str">
        <f>IF($A213="","",IF($C213=0,_xlfn.LET(_xlpm.x,IFERROR(_xlfn.XLOOKUP($A213,Util_Tags,Util_XR),""),IF(N(_xlpm.x)=0,Xfmr_DefXR,_xlpm.x)),IF(LEFT($A213,2)="T-",IFERROR(_xlfn.XLOOKUP($A213,Transformers!$A$6:$A$105,Transformers!$AH$6:$AH$105),Xfmr_DefXR),IFERROR(_xlfn.XLOOKUP($E213,$A$6:$A$255,$N$6:$N$255),Xfmr_DefXR))))</f>
        <v/>
      </c>
      <c r="O213" s="177" t="str">
        <f t="shared" si="57"/>
        <v/>
      </c>
      <c r="P213" s="210" t="str">
        <f>IF($A213="","",IF(LEFT($A213,2)="T-",IF($CO213="","",_xlfn.LET(_xlpm.k,IFERROR(_xlfn.XLOOKUP($A213,Transformers!$A$6:$A$105,Transformers!$G$6:$G$105),""),_xlpm.sv,IFERROR(_xlfn.XLOOKUP($A213,Transformers!$A$6:$A$105,Transformers!$E$6:$E$105),""),IF(OR(NOT(ISNUMBER(_xlpm.k)),NOT(ISNUMBER(_xlpm.sv)),_xlpm.sv=0),"",_xlfn.LET(_xlpm.iInf,(_xlpm.k*1000/(_xlpm.sv/2))*100/$CO213,_xlpm.pri,IF(OR($CK213="",$CK213=0),"",$CK213/2),_xlpm.base,IF(_xlpm.pri="",_xlpm.iInf,_xlpm.iInf/(1+_xlpm.iInf/_xlpm.pri)),_xlpm.base+IF($L213="",0,$L213))))),IF($CP213="","",_xlfn.LET(_xlpm.pI,IFERROR(_xlfn.XLOOKUP($E213,$A$6:$A$255,$P$6:$P$255),""),IF(NOT(ISNUMBER(_xlpm.pI)),"",_xlpm.pI/(1+$CP213)+IF($L213="",0,$L213))))))</f>
        <v/>
      </c>
      <c r="Q213" s="210" t="str">
        <f t="shared" si="58"/>
        <v/>
      </c>
      <c r="R213" s="177" t="str">
        <f>IF($A213="","",IF(OR($C213=0,LEFT($A213,2)="T-"),"",IFERROR(_xlfn.LET(_xlpm.v,_xlfn.XLOOKUP($A213,Dashboard!$A$101:$A$350,Dashboard!$K$101:$K$350),IF(ISNUMBER(_xlpm.v),_xlpm.v,"")),"")))</f>
        <v/>
      </c>
      <c r="S213" s="211" t="str">
        <f t="shared" si="59"/>
        <v/>
      </c>
      <c r="T213" s="25" t="str">
        <f t="shared" si="60"/>
        <v/>
      </c>
      <c r="U213" s="364"/>
      <c r="BV213" s="20" t="str">
        <f>IF($A213="","",IFERROR(_xlfn.XLOOKUP("F-"&amp;$A213,'Feeder Schedule'!$B$5:$B$254,'Feeder Schedule'!$H$5:$H$254),""))</f>
        <v/>
      </c>
      <c r="BW213" s="20" t="str">
        <f>IF($A213="","",IFERROR(_xlfn.XLOOKUP("F-"&amp;$A213,'Feeder Schedule'!$B$5:$B$254,'Feeder Schedule'!$BV$5:$BV$254),""))</f>
        <v/>
      </c>
      <c r="BX213" s="20" t="str">
        <f>IF($A213="","",IFERROR(_xlfn.LET(_xlpm.v,_xlfn.XLOOKUP("F-"&amp;$A213,'Feeder Schedule'!$B$5:$B$254,'Feeder Schedule'!$M$5:$M$254),IF(OR(_xlpm.v="",_xlpm.v=0),Cfg_Conduit,_xlpm.v)),""))</f>
        <v/>
      </c>
      <c r="BY213" s="20" t="str">
        <f>IF($A213="","",IFERROR(_xlfn.XLOOKUP("F-"&amp;$A213,'Feeder Schedule'!$B$5:$B$254,'Feeder Schedule'!$O$5:$O$254),""))</f>
        <v/>
      </c>
      <c r="BZ213" s="20" t="str">
        <f>IF($A213="","",IFERROR(_xlfn.XLOOKUP("F-"&amp;$A213,'Feeder Schedule'!$B$5:$B$254,'Feeder Schedule'!$CH$5:$CH$254),""))</f>
        <v/>
      </c>
      <c r="CA213" s="20" t="str">
        <f>IF($A213="","",IFERROR(_xlfn.XLOOKUP("F-"&amp;$A213,'Feeder Schedule'!$B$5:$B$254,'Feeder Schedule'!$F$5:$F$254),""))</f>
        <v/>
      </c>
      <c r="CB213" s="20" t="str">
        <f>IF($A213="","",IFERROR(_xlfn.XLOOKUP("F-"&amp;$A213,'Feeder Schedule'!$B$5:$B$254,'Feeder Schedule'!$G$5:$G$254),""))</f>
        <v/>
      </c>
      <c r="CD213" s="20" t="str" cm="1">
        <f t="array" ref="CD213">IFERROR(IF($A213="","",INDEX(_xlfn.ANCHORARRAY($BK$4),ROW()-5,6)),"")</f>
        <v/>
      </c>
      <c r="CE213" s="20" t="str">
        <f t="shared" si="63"/>
        <v/>
      </c>
      <c r="CF213" s="20" t="str">
        <f t="shared" si="64"/>
        <v/>
      </c>
      <c r="CG213" s="20" t="str">
        <f t="shared" si="61"/>
        <v/>
      </c>
      <c r="CH213" s="20" t="str" cm="1">
        <f t="array" ref="CH213">IF(OR($A213="",$BZ213="",$BW213="",$BX213=""),"",_xlfn.LET(_xlpm.mag,IFERROR(_xlfn.XLOOKUP($BX213,Race_Raceway,Race_Mag),""),IF(_xlpm.mag="","",IFERROR(INDEX(Cond_Table,MATCH($BZ213,Cond_Size,0),IF(UPPER($BW213)="AL",IF(_xlpm.mag="Y",10,12),IF(_xlpm.mag="Y",9,11))),""))))</f>
        <v/>
      </c>
      <c r="CI213" s="20" t="str">
        <f t="shared" si="62"/>
        <v/>
      </c>
      <c r="CJ213" s="20" t="str">
        <f>IF(OR($A213="",LEFT($A213,2)&lt;&gt;"T-"),"",IFERROR(_xlfn.LET(_xlpm.fla,_xlfn.XLOOKUP($A213,Transformers!$A$6:$A$105,Transformers!$AK$6:$AK$105),_xlpm.z,_xlfn.XLOOKUP($A213,Transformers!$A$6:$A$105,Transformers!$AX$6:$AX$105),IF(OR(_xlpm.fla="",_xlpm.z="",_xlpm.z=0),"",_xlpm.fla*100/_xlpm.z)),""))</f>
        <v/>
      </c>
      <c r="CK213" s="20" t="str">
        <f t="shared" si="65"/>
        <v/>
      </c>
      <c r="CL213" s="20" t="str">
        <f t="shared" si="66"/>
        <v/>
      </c>
      <c r="CM213" s="373"/>
      <c r="CO213" s="20" t="str">
        <f>IF(OR($A213="",LEFT($A213,2)&lt;&gt;"T-"),"",_xlfn.LET(_xlpm.ph,IFERROR(_xlfn.XLOOKUP($A213,Transformers!$A$6:$A$105,Transformers!$C$6:$C$105),""),_xlpm.rr,IFERROR(_xlfn.XLOOKUP($A213,Transformers!$A$6:$A$105,Transformers!$AG$6:$AG$105),""),_xlpm.xx,IFERROR(_xlfn.XLOOKUP($A213,Transformers!$A$6:$A$105,Transformers!$AI$6:$AI$105),""),IF(OR(_xlpm.ph&lt;&gt;1,NOT(ISNUMBER(_xlpm.rr)),NOT(ISNUMBER(_xlpm.xx))),"",SQRT((1.5*_xlpm.rr)^2+(1.2*_xlpm.xx)^2))))</f>
        <v/>
      </c>
      <c r="CP213" s="20" t="str">
        <f t="shared" si="67"/>
        <v/>
      </c>
    </row>
    <row r="214" spans="1:94" ht="15" customHeight="1" x14ac:dyDescent="0.45">
      <c r="A214" s="275" t="str" cm="1">
        <f t="array" ref="A214">IFERROR(IF(INDEX(_xlfn.ANCHORARRAY($BK$4),ROW()-5,1)="","",INDEX(_xlfn.ANCHORARRAY($BK$4),ROW()-5,1)),"")</f>
        <v/>
      </c>
      <c r="B214" s="25" t="str" cm="1">
        <f t="array" ref="B214">IFERROR(IF($A214="","",INDEX(_xlfn.ANCHORARRAY($BK$4),ROW()-5,5)),"")</f>
        <v/>
      </c>
      <c r="C214" s="178" t="str" cm="1">
        <f t="array" ref="C214">IFERROR(IF($A214="","",INDEX(_xlfn.ANCHORARRAY($BK$4),ROW()-5,7)),"")</f>
        <v/>
      </c>
      <c r="D214" s="177" t="str" cm="1">
        <f t="array" ref="D214">IFERROR(IF($A214="","",INDEX(_xlfn.ANCHORARRAY($BK$4),ROW()-5,3)),"")</f>
        <v/>
      </c>
      <c r="E214" s="25" t="str" cm="1">
        <f t="array" ref="E214">IFERROR(IF($A214="","",INDEX(_xlfn.ANCHORARRAY($BK$4),ROW()-5,2)),"")</f>
        <v/>
      </c>
      <c r="F214" s="177" t="str">
        <f t="shared" si="51"/>
        <v/>
      </c>
      <c r="G214" s="275" t="str">
        <f t="shared" si="52"/>
        <v/>
      </c>
      <c r="H214" s="180" t="str">
        <f t="shared" si="53"/>
        <v/>
      </c>
      <c r="I214" s="180" t="str">
        <f t="shared" si="54"/>
        <v/>
      </c>
      <c r="J214" s="177" t="str">
        <f>_xlfn.LET(_xlpm.v,_xlfn.LET(_xlpm.base,IF($A214="","",IF($C214=0,IFERROR(_xlfn.XLOOKUP($A214,Util_Tags,Util_SCAEff),""),IF(LEFT($A214,2)="T-",IF($CJ214="","",$CJ214/(1+IF($CL214="",0,$CL214))),IF(OR($F214="",$I214=""),"",$F214*$I214)))),_xlpm.gtag,IF(OR($A214="",NOT(OR($B214="ATS",$B214="MTS"))),"",IFERROR(_xlfn.XLOOKUP($A214,Dashboard!$A$101:$A$350,Dashboard!$L$101:$L$350,"")&amp;"","")),_xlpm.gkva,IF(_xlpm.gtag="",0,IFERROR(N(_xlfn.XLOOKUP(_xlpm.gtag,Generator!$B$53:$B$58,Generator!$S$53:$S$58,0)),0)),_xlpm.gxd,IF(_xlpm.gtag="",0,IFERROR(N(_xlfn.XLOOKUP(_xlpm.gtag,Generator!$B$53:$B$58,Generator!$U$53:$U$58,0)),0)),_xlpm.gamp,IF(OR(_xlpm.gkva=0,_xlpm.gxd=0,N($D214)=0),0,ROUND(_xlpm.gkva*1000/(IF(N($CB214)=1,1,SQRT(3))*$D214*_xlpm.gxd),0)),IF(OR(_xlpm.gamp=0,NOT(ISNUMBER(_xlpm.base))),_xlpm.base,MAX(_xlpm.base,_xlpm.gamp))),_xlpm.ulim,IF(OR($A214="",$B214&lt;&gt;"UPS"),"",IFERROR(IF(_xlfn.XLOOKUP($A214,UPS!$B$57:$B$64,UPS!$E$57:$E$64,"")="None",_xlfn.XLOOKUP($A214,UPS!$B$57:$B$64,UPS!$U$57:$U$64,""),""),"")),IF(AND(ISNUMBER(_xlpm.v),ISNUMBER(_xlpm.ulim)),MIN(_xlpm.v,_xlpm.ulim),_xlpm.v))</f>
        <v/>
      </c>
      <c r="K214" s="176"/>
      <c r="L214" s="177" t="str">
        <f t="shared" si="55"/>
        <v/>
      </c>
      <c r="M214" s="177" t="str">
        <f t="shared" si="56"/>
        <v/>
      </c>
      <c r="N214" s="380" t="str">
        <f>IF($A214="","",IF($C214=0,_xlfn.LET(_xlpm.x,IFERROR(_xlfn.XLOOKUP($A214,Util_Tags,Util_XR),""),IF(N(_xlpm.x)=0,Xfmr_DefXR,_xlpm.x)),IF(LEFT($A214,2)="T-",IFERROR(_xlfn.XLOOKUP($A214,Transformers!$A$6:$A$105,Transformers!$AH$6:$AH$105),Xfmr_DefXR),IFERROR(_xlfn.XLOOKUP($E214,$A$6:$A$255,$N$6:$N$255),Xfmr_DefXR))))</f>
        <v/>
      </c>
      <c r="O214" s="177" t="str">
        <f t="shared" si="57"/>
        <v/>
      </c>
      <c r="P214" s="210" t="str">
        <f>IF($A214="","",IF(LEFT($A214,2)="T-",IF($CO214="","",_xlfn.LET(_xlpm.k,IFERROR(_xlfn.XLOOKUP($A214,Transformers!$A$6:$A$105,Transformers!$G$6:$G$105),""),_xlpm.sv,IFERROR(_xlfn.XLOOKUP($A214,Transformers!$A$6:$A$105,Transformers!$E$6:$E$105),""),IF(OR(NOT(ISNUMBER(_xlpm.k)),NOT(ISNUMBER(_xlpm.sv)),_xlpm.sv=0),"",_xlfn.LET(_xlpm.iInf,(_xlpm.k*1000/(_xlpm.sv/2))*100/$CO214,_xlpm.pri,IF(OR($CK214="",$CK214=0),"",$CK214/2),_xlpm.base,IF(_xlpm.pri="",_xlpm.iInf,_xlpm.iInf/(1+_xlpm.iInf/_xlpm.pri)),_xlpm.base+IF($L214="",0,$L214))))),IF($CP214="","",_xlfn.LET(_xlpm.pI,IFERROR(_xlfn.XLOOKUP($E214,$A$6:$A$255,$P$6:$P$255),""),IF(NOT(ISNUMBER(_xlpm.pI)),"",_xlpm.pI/(1+$CP214)+IF($L214="",0,$L214))))))</f>
        <v/>
      </c>
      <c r="Q214" s="210" t="str">
        <f t="shared" si="58"/>
        <v/>
      </c>
      <c r="R214" s="177" t="str">
        <f>IF($A214="","",IF(OR($C214=0,LEFT($A214,2)="T-"),"",IFERROR(_xlfn.LET(_xlpm.v,_xlfn.XLOOKUP($A214,Dashboard!$A$101:$A$350,Dashboard!$K$101:$K$350),IF(ISNUMBER(_xlpm.v),_xlpm.v,"")),"")))</f>
        <v/>
      </c>
      <c r="S214" s="211" t="str">
        <f t="shared" si="59"/>
        <v/>
      </c>
      <c r="T214" s="25" t="str">
        <f t="shared" si="60"/>
        <v/>
      </c>
      <c r="U214" s="364"/>
      <c r="BV214" s="20" t="str">
        <f>IF($A214="","",IFERROR(_xlfn.XLOOKUP("F-"&amp;$A214,'Feeder Schedule'!$B$5:$B$254,'Feeder Schedule'!$H$5:$H$254),""))</f>
        <v/>
      </c>
      <c r="BW214" s="20" t="str">
        <f>IF($A214="","",IFERROR(_xlfn.XLOOKUP("F-"&amp;$A214,'Feeder Schedule'!$B$5:$B$254,'Feeder Schedule'!$BV$5:$BV$254),""))</f>
        <v/>
      </c>
      <c r="BX214" s="20" t="str">
        <f>IF($A214="","",IFERROR(_xlfn.LET(_xlpm.v,_xlfn.XLOOKUP("F-"&amp;$A214,'Feeder Schedule'!$B$5:$B$254,'Feeder Schedule'!$M$5:$M$254),IF(OR(_xlpm.v="",_xlpm.v=0),Cfg_Conduit,_xlpm.v)),""))</f>
        <v/>
      </c>
      <c r="BY214" s="20" t="str">
        <f>IF($A214="","",IFERROR(_xlfn.XLOOKUP("F-"&amp;$A214,'Feeder Schedule'!$B$5:$B$254,'Feeder Schedule'!$O$5:$O$254),""))</f>
        <v/>
      </c>
      <c r="BZ214" s="20" t="str">
        <f>IF($A214="","",IFERROR(_xlfn.XLOOKUP("F-"&amp;$A214,'Feeder Schedule'!$B$5:$B$254,'Feeder Schedule'!$CH$5:$CH$254),""))</f>
        <v/>
      </c>
      <c r="CA214" s="20" t="str">
        <f>IF($A214="","",IFERROR(_xlfn.XLOOKUP("F-"&amp;$A214,'Feeder Schedule'!$B$5:$B$254,'Feeder Schedule'!$F$5:$F$254),""))</f>
        <v/>
      </c>
      <c r="CB214" s="20" t="str">
        <f>IF($A214="","",IFERROR(_xlfn.XLOOKUP("F-"&amp;$A214,'Feeder Schedule'!$B$5:$B$254,'Feeder Schedule'!$G$5:$G$254),""))</f>
        <v/>
      </c>
      <c r="CD214" s="20" t="str" cm="1">
        <f t="array" ref="CD214">IFERROR(IF($A214="","",INDEX(_xlfn.ANCHORARRAY($BK$4),ROW()-5,6)),"")</f>
        <v/>
      </c>
      <c r="CE214" s="20" t="str">
        <f t="shared" si="63"/>
        <v/>
      </c>
      <c r="CF214" s="20" t="str">
        <f t="shared" si="64"/>
        <v/>
      </c>
      <c r="CG214" s="20" t="str">
        <f t="shared" si="61"/>
        <v/>
      </c>
      <c r="CH214" s="20" t="str" cm="1">
        <f t="array" ref="CH214">IF(OR($A214="",$BZ214="",$BW214="",$BX214=""),"",_xlfn.LET(_xlpm.mag,IFERROR(_xlfn.XLOOKUP($BX214,Race_Raceway,Race_Mag),""),IF(_xlpm.mag="","",IFERROR(INDEX(Cond_Table,MATCH($BZ214,Cond_Size,0),IF(UPPER($BW214)="AL",IF(_xlpm.mag="Y",10,12),IF(_xlpm.mag="Y",9,11))),""))))</f>
        <v/>
      </c>
      <c r="CI214" s="20" t="str">
        <f t="shared" si="62"/>
        <v/>
      </c>
      <c r="CJ214" s="20" t="str">
        <f>IF(OR($A214="",LEFT($A214,2)&lt;&gt;"T-"),"",IFERROR(_xlfn.LET(_xlpm.fla,_xlfn.XLOOKUP($A214,Transformers!$A$6:$A$105,Transformers!$AK$6:$AK$105),_xlpm.z,_xlfn.XLOOKUP($A214,Transformers!$A$6:$A$105,Transformers!$AX$6:$AX$105),IF(OR(_xlpm.fla="",_xlpm.z="",_xlpm.z=0),"",_xlpm.fla*100/_xlpm.z)),""))</f>
        <v/>
      </c>
      <c r="CK214" s="20" t="str">
        <f t="shared" si="65"/>
        <v/>
      </c>
      <c r="CL214" s="20" t="str">
        <f t="shared" si="66"/>
        <v/>
      </c>
      <c r="CM214" s="373"/>
      <c r="CO214" s="20" t="str">
        <f>IF(OR($A214="",LEFT($A214,2)&lt;&gt;"T-"),"",_xlfn.LET(_xlpm.ph,IFERROR(_xlfn.XLOOKUP($A214,Transformers!$A$6:$A$105,Transformers!$C$6:$C$105),""),_xlpm.rr,IFERROR(_xlfn.XLOOKUP($A214,Transformers!$A$6:$A$105,Transformers!$AG$6:$AG$105),""),_xlpm.xx,IFERROR(_xlfn.XLOOKUP($A214,Transformers!$A$6:$A$105,Transformers!$AI$6:$AI$105),""),IF(OR(_xlpm.ph&lt;&gt;1,NOT(ISNUMBER(_xlpm.rr)),NOT(ISNUMBER(_xlpm.xx))),"",SQRT((1.5*_xlpm.rr)^2+(1.2*_xlpm.xx)^2))))</f>
        <v/>
      </c>
      <c r="CP214" s="20" t="str">
        <f t="shared" si="67"/>
        <v/>
      </c>
    </row>
    <row r="215" spans="1:94" ht="15" customHeight="1" x14ac:dyDescent="0.45">
      <c r="A215" s="275" t="str" cm="1">
        <f t="array" ref="A215">IFERROR(IF(INDEX(_xlfn.ANCHORARRAY($BK$4),ROW()-5,1)="","",INDEX(_xlfn.ANCHORARRAY($BK$4),ROW()-5,1)),"")</f>
        <v/>
      </c>
      <c r="B215" s="25" t="str" cm="1">
        <f t="array" ref="B215">IFERROR(IF($A215="","",INDEX(_xlfn.ANCHORARRAY($BK$4),ROW()-5,5)),"")</f>
        <v/>
      </c>
      <c r="C215" s="178" t="str" cm="1">
        <f t="array" ref="C215">IFERROR(IF($A215="","",INDEX(_xlfn.ANCHORARRAY($BK$4),ROW()-5,7)),"")</f>
        <v/>
      </c>
      <c r="D215" s="177" t="str" cm="1">
        <f t="array" ref="D215">IFERROR(IF($A215="","",INDEX(_xlfn.ANCHORARRAY($BK$4),ROW()-5,3)),"")</f>
        <v/>
      </c>
      <c r="E215" s="25" t="str" cm="1">
        <f t="array" ref="E215">IFERROR(IF($A215="","",INDEX(_xlfn.ANCHORARRAY($BK$4),ROW()-5,2)),"")</f>
        <v/>
      </c>
      <c r="F215" s="177" t="str">
        <f t="shared" si="51"/>
        <v/>
      </c>
      <c r="G215" s="275" t="str">
        <f t="shared" si="52"/>
        <v/>
      </c>
      <c r="H215" s="180" t="str">
        <f t="shared" si="53"/>
        <v/>
      </c>
      <c r="I215" s="180" t="str">
        <f t="shared" si="54"/>
        <v/>
      </c>
      <c r="J215" s="177" t="str">
        <f>_xlfn.LET(_xlpm.v,_xlfn.LET(_xlpm.base,IF($A215="","",IF($C215=0,IFERROR(_xlfn.XLOOKUP($A215,Util_Tags,Util_SCAEff),""),IF(LEFT($A215,2)="T-",IF($CJ215="","",$CJ215/(1+IF($CL215="",0,$CL215))),IF(OR($F215="",$I215=""),"",$F215*$I215)))),_xlpm.gtag,IF(OR($A215="",NOT(OR($B215="ATS",$B215="MTS"))),"",IFERROR(_xlfn.XLOOKUP($A215,Dashboard!$A$101:$A$350,Dashboard!$L$101:$L$350,"")&amp;"","")),_xlpm.gkva,IF(_xlpm.gtag="",0,IFERROR(N(_xlfn.XLOOKUP(_xlpm.gtag,Generator!$B$53:$B$58,Generator!$S$53:$S$58,0)),0)),_xlpm.gxd,IF(_xlpm.gtag="",0,IFERROR(N(_xlfn.XLOOKUP(_xlpm.gtag,Generator!$B$53:$B$58,Generator!$U$53:$U$58,0)),0)),_xlpm.gamp,IF(OR(_xlpm.gkva=0,_xlpm.gxd=0,N($D215)=0),0,ROUND(_xlpm.gkva*1000/(IF(N($CB215)=1,1,SQRT(3))*$D215*_xlpm.gxd),0)),IF(OR(_xlpm.gamp=0,NOT(ISNUMBER(_xlpm.base))),_xlpm.base,MAX(_xlpm.base,_xlpm.gamp))),_xlpm.ulim,IF(OR($A215="",$B215&lt;&gt;"UPS"),"",IFERROR(IF(_xlfn.XLOOKUP($A215,UPS!$B$57:$B$64,UPS!$E$57:$E$64,"")="None",_xlfn.XLOOKUP($A215,UPS!$B$57:$B$64,UPS!$U$57:$U$64,""),""),"")),IF(AND(ISNUMBER(_xlpm.v),ISNUMBER(_xlpm.ulim)),MIN(_xlpm.v,_xlpm.ulim),_xlpm.v))</f>
        <v/>
      </c>
      <c r="K215" s="176"/>
      <c r="L215" s="177" t="str">
        <f t="shared" si="55"/>
        <v/>
      </c>
      <c r="M215" s="177" t="str">
        <f t="shared" si="56"/>
        <v/>
      </c>
      <c r="N215" s="380" t="str">
        <f>IF($A215="","",IF($C215=0,_xlfn.LET(_xlpm.x,IFERROR(_xlfn.XLOOKUP($A215,Util_Tags,Util_XR),""),IF(N(_xlpm.x)=0,Xfmr_DefXR,_xlpm.x)),IF(LEFT($A215,2)="T-",IFERROR(_xlfn.XLOOKUP($A215,Transformers!$A$6:$A$105,Transformers!$AH$6:$AH$105),Xfmr_DefXR),IFERROR(_xlfn.XLOOKUP($E215,$A$6:$A$255,$N$6:$N$255),Xfmr_DefXR))))</f>
        <v/>
      </c>
      <c r="O215" s="177" t="str">
        <f t="shared" si="57"/>
        <v/>
      </c>
      <c r="P215" s="210" t="str">
        <f>IF($A215="","",IF(LEFT($A215,2)="T-",IF($CO215="","",_xlfn.LET(_xlpm.k,IFERROR(_xlfn.XLOOKUP($A215,Transformers!$A$6:$A$105,Transformers!$G$6:$G$105),""),_xlpm.sv,IFERROR(_xlfn.XLOOKUP($A215,Transformers!$A$6:$A$105,Transformers!$E$6:$E$105),""),IF(OR(NOT(ISNUMBER(_xlpm.k)),NOT(ISNUMBER(_xlpm.sv)),_xlpm.sv=0),"",_xlfn.LET(_xlpm.iInf,(_xlpm.k*1000/(_xlpm.sv/2))*100/$CO215,_xlpm.pri,IF(OR($CK215="",$CK215=0),"",$CK215/2),_xlpm.base,IF(_xlpm.pri="",_xlpm.iInf,_xlpm.iInf/(1+_xlpm.iInf/_xlpm.pri)),_xlpm.base+IF($L215="",0,$L215))))),IF($CP215="","",_xlfn.LET(_xlpm.pI,IFERROR(_xlfn.XLOOKUP($E215,$A$6:$A$255,$P$6:$P$255),""),IF(NOT(ISNUMBER(_xlpm.pI)),"",_xlpm.pI/(1+$CP215)+IF($L215="",0,$L215))))))</f>
        <v/>
      </c>
      <c r="Q215" s="210" t="str">
        <f t="shared" si="58"/>
        <v/>
      </c>
      <c r="R215" s="177" t="str">
        <f>IF($A215="","",IF(OR($C215=0,LEFT($A215,2)="T-"),"",IFERROR(_xlfn.LET(_xlpm.v,_xlfn.XLOOKUP($A215,Dashboard!$A$101:$A$350,Dashboard!$K$101:$K$350),IF(ISNUMBER(_xlpm.v),_xlpm.v,"")),"")))</f>
        <v/>
      </c>
      <c r="S215" s="211" t="str">
        <f t="shared" si="59"/>
        <v/>
      </c>
      <c r="T215" s="25" t="str">
        <f t="shared" si="60"/>
        <v/>
      </c>
      <c r="U215" s="364"/>
      <c r="BV215" s="20" t="str">
        <f>IF($A215="","",IFERROR(_xlfn.XLOOKUP("F-"&amp;$A215,'Feeder Schedule'!$B$5:$B$254,'Feeder Schedule'!$H$5:$H$254),""))</f>
        <v/>
      </c>
      <c r="BW215" s="20" t="str">
        <f>IF($A215="","",IFERROR(_xlfn.XLOOKUP("F-"&amp;$A215,'Feeder Schedule'!$B$5:$B$254,'Feeder Schedule'!$BV$5:$BV$254),""))</f>
        <v/>
      </c>
      <c r="BX215" s="20" t="str">
        <f>IF($A215="","",IFERROR(_xlfn.LET(_xlpm.v,_xlfn.XLOOKUP("F-"&amp;$A215,'Feeder Schedule'!$B$5:$B$254,'Feeder Schedule'!$M$5:$M$254),IF(OR(_xlpm.v="",_xlpm.v=0),Cfg_Conduit,_xlpm.v)),""))</f>
        <v/>
      </c>
      <c r="BY215" s="20" t="str">
        <f>IF($A215="","",IFERROR(_xlfn.XLOOKUP("F-"&amp;$A215,'Feeder Schedule'!$B$5:$B$254,'Feeder Schedule'!$O$5:$O$254),""))</f>
        <v/>
      </c>
      <c r="BZ215" s="20" t="str">
        <f>IF($A215="","",IFERROR(_xlfn.XLOOKUP("F-"&amp;$A215,'Feeder Schedule'!$B$5:$B$254,'Feeder Schedule'!$CH$5:$CH$254),""))</f>
        <v/>
      </c>
      <c r="CA215" s="20" t="str">
        <f>IF($A215="","",IFERROR(_xlfn.XLOOKUP("F-"&amp;$A215,'Feeder Schedule'!$B$5:$B$254,'Feeder Schedule'!$F$5:$F$254),""))</f>
        <v/>
      </c>
      <c r="CB215" s="20" t="str">
        <f>IF($A215="","",IFERROR(_xlfn.XLOOKUP("F-"&amp;$A215,'Feeder Schedule'!$B$5:$B$254,'Feeder Schedule'!$G$5:$G$254),""))</f>
        <v/>
      </c>
      <c r="CD215" s="20" t="str" cm="1">
        <f t="array" ref="CD215">IFERROR(IF($A215="","",INDEX(_xlfn.ANCHORARRAY($BK$4),ROW()-5,6)),"")</f>
        <v/>
      </c>
      <c r="CE215" s="20" t="str">
        <f t="shared" si="63"/>
        <v/>
      </c>
      <c r="CF215" s="20" t="str">
        <f t="shared" si="64"/>
        <v/>
      </c>
      <c r="CG215" s="20" t="str">
        <f t="shared" si="61"/>
        <v/>
      </c>
      <c r="CH215" s="20" t="str" cm="1">
        <f t="array" ref="CH215">IF(OR($A215="",$BZ215="",$BW215="",$BX215=""),"",_xlfn.LET(_xlpm.mag,IFERROR(_xlfn.XLOOKUP($BX215,Race_Raceway,Race_Mag),""),IF(_xlpm.mag="","",IFERROR(INDEX(Cond_Table,MATCH($BZ215,Cond_Size,0),IF(UPPER($BW215)="AL",IF(_xlpm.mag="Y",10,12),IF(_xlpm.mag="Y",9,11))),""))))</f>
        <v/>
      </c>
      <c r="CI215" s="20" t="str">
        <f t="shared" si="62"/>
        <v/>
      </c>
      <c r="CJ215" s="20" t="str">
        <f>IF(OR($A215="",LEFT($A215,2)&lt;&gt;"T-"),"",IFERROR(_xlfn.LET(_xlpm.fla,_xlfn.XLOOKUP($A215,Transformers!$A$6:$A$105,Transformers!$AK$6:$AK$105),_xlpm.z,_xlfn.XLOOKUP($A215,Transformers!$A$6:$A$105,Transformers!$AX$6:$AX$105),IF(OR(_xlpm.fla="",_xlpm.z="",_xlpm.z=0),"",_xlpm.fla*100/_xlpm.z)),""))</f>
        <v/>
      </c>
      <c r="CK215" s="20" t="str">
        <f t="shared" si="65"/>
        <v/>
      </c>
      <c r="CL215" s="20" t="str">
        <f t="shared" si="66"/>
        <v/>
      </c>
      <c r="CM215" s="373"/>
      <c r="CO215" s="20" t="str">
        <f>IF(OR($A215="",LEFT($A215,2)&lt;&gt;"T-"),"",_xlfn.LET(_xlpm.ph,IFERROR(_xlfn.XLOOKUP($A215,Transformers!$A$6:$A$105,Transformers!$C$6:$C$105),""),_xlpm.rr,IFERROR(_xlfn.XLOOKUP($A215,Transformers!$A$6:$A$105,Transformers!$AG$6:$AG$105),""),_xlpm.xx,IFERROR(_xlfn.XLOOKUP($A215,Transformers!$A$6:$A$105,Transformers!$AI$6:$AI$105),""),IF(OR(_xlpm.ph&lt;&gt;1,NOT(ISNUMBER(_xlpm.rr)),NOT(ISNUMBER(_xlpm.xx))),"",SQRT((1.5*_xlpm.rr)^2+(1.2*_xlpm.xx)^2))))</f>
        <v/>
      </c>
      <c r="CP215" s="20" t="str">
        <f t="shared" si="67"/>
        <v/>
      </c>
    </row>
    <row r="216" spans="1:94" ht="15" customHeight="1" x14ac:dyDescent="0.45">
      <c r="A216" s="275" t="str" cm="1">
        <f t="array" ref="A216">IFERROR(IF(INDEX(_xlfn.ANCHORARRAY($BK$4),ROW()-5,1)="","",INDEX(_xlfn.ANCHORARRAY($BK$4),ROW()-5,1)),"")</f>
        <v/>
      </c>
      <c r="B216" s="25" t="str" cm="1">
        <f t="array" ref="B216">IFERROR(IF($A216="","",INDEX(_xlfn.ANCHORARRAY($BK$4),ROW()-5,5)),"")</f>
        <v/>
      </c>
      <c r="C216" s="178" t="str" cm="1">
        <f t="array" ref="C216">IFERROR(IF($A216="","",INDEX(_xlfn.ANCHORARRAY($BK$4),ROW()-5,7)),"")</f>
        <v/>
      </c>
      <c r="D216" s="177" t="str" cm="1">
        <f t="array" ref="D216">IFERROR(IF($A216="","",INDEX(_xlfn.ANCHORARRAY($BK$4),ROW()-5,3)),"")</f>
        <v/>
      </c>
      <c r="E216" s="25" t="str" cm="1">
        <f t="array" ref="E216">IFERROR(IF($A216="","",INDEX(_xlfn.ANCHORARRAY($BK$4),ROW()-5,2)),"")</f>
        <v/>
      </c>
      <c r="F216" s="177" t="str">
        <f t="shared" si="51"/>
        <v/>
      </c>
      <c r="G216" s="275" t="str">
        <f t="shared" si="52"/>
        <v/>
      </c>
      <c r="H216" s="180" t="str">
        <f t="shared" si="53"/>
        <v/>
      </c>
      <c r="I216" s="180" t="str">
        <f t="shared" si="54"/>
        <v/>
      </c>
      <c r="J216" s="177" t="str">
        <f>_xlfn.LET(_xlpm.v,_xlfn.LET(_xlpm.base,IF($A216="","",IF($C216=0,IFERROR(_xlfn.XLOOKUP($A216,Util_Tags,Util_SCAEff),""),IF(LEFT($A216,2)="T-",IF($CJ216="","",$CJ216/(1+IF($CL216="",0,$CL216))),IF(OR($F216="",$I216=""),"",$F216*$I216)))),_xlpm.gtag,IF(OR($A216="",NOT(OR($B216="ATS",$B216="MTS"))),"",IFERROR(_xlfn.XLOOKUP($A216,Dashboard!$A$101:$A$350,Dashboard!$L$101:$L$350,"")&amp;"","")),_xlpm.gkva,IF(_xlpm.gtag="",0,IFERROR(N(_xlfn.XLOOKUP(_xlpm.gtag,Generator!$B$53:$B$58,Generator!$S$53:$S$58,0)),0)),_xlpm.gxd,IF(_xlpm.gtag="",0,IFERROR(N(_xlfn.XLOOKUP(_xlpm.gtag,Generator!$B$53:$B$58,Generator!$U$53:$U$58,0)),0)),_xlpm.gamp,IF(OR(_xlpm.gkva=0,_xlpm.gxd=0,N($D216)=0),0,ROUND(_xlpm.gkva*1000/(IF(N($CB216)=1,1,SQRT(3))*$D216*_xlpm.gxd),0)),IF(OR(_xlpm.gamp=0,NOT(ISNUMBER(_xlpm.base))),_xlpm.base,MAX(_xlpm.base,_xlpm.gamp))),_xlpm.ulim,IF(OR($A216="",$B216&lt;&gt;"UPS"),"",IFERROR(IF(_xlfn.XLOOKUP($A216,UPS!$B$57:$B$64,UPS!$E$57:$E$64,"")="None",_xlfn.XLOOKUP($A216,UPS!$B$57:$B$64,UPS!$U$57:$U$64,""),""),"")),IF(AND(ISNUMBER(_xlpm.v),ISNUMBER(_xlpm.ulim)),MIN(_xlpm.v,_xlpm.ulim),_xlpm.v))</f>
        <v/>
      </c>
      <c r="K216" s="176"/>
      <c r="L216" s="177" t="str">
        <f t="shared" si="55"/>
        <v/>
      </c>
      <c r="M216" s="177" t="str">
        <f t="shared" si="56"/>
        <v/>
      </c>
      <c r="N216" s="380" t="str">
        <f>IF($A216="","",IF($C216=0,_xlfn.LET(_xlpm.x,IFERROR(_xlfn.XLOOKUP($A216,Util_Tags,Util_XR),""),IF(N(_xlpm.x)=0,Xfmr_DefXR,_xlpm.x)),IF(LEFT($A216,2)="T-",IFERROR(_xlfn.XLOOKUP($A216,Transformers!$A$6:$A$105,Transformers!$AH$6:$AH$105),Xfmr_DefXR),IFERROR(_xlfn.XLOOKUP($E216,$A$6:$A$255,$N$6:$N$255),Xfmr_DefXR))))</f>
        <v/>
      </c>
      <c r="O216" s="177" t="str">
        <f t="shared" si="57"/>
        <v/>
      </c>
      <c r="P216" s="210" t="str">
        <f>IF($A216="","",IF(LEFT($A216,2)="T-",IF($CO216="","",_xlfn.LET(_xlpm.k,IFERROR(_xlfn.XLOOKUP($A216,Transformers!$A$6:$A$105,Transformers!$G$6:$G$105),""),_xlpm.sv,IFERROR(_xlfn.XLOOKUP($A216,Transformers!$A$6:$A$105,Transformers!$E$6:$E$105),""),IF(OR(NOT(ISNUMBER(_xlpm.k)),NOT(ISNUMBER(_xlpm.sv)),_xlpm.sv=0),"",_xlfn.LET(_xlpm.iInf,(_xlpm.k*1000/(_xlpm.sv/2))*100/$CO216,_xlpm.pri,IF(OR($CK216="",$CK216=0),"",$CK216/2),_xlpm.base,IF(_xlpm.pri="",_xlpm.iInf,_xlpm.iInf/(1+_xlpm.iInf/_xlpm.pri)),_xlpm.base+IF($L216="",0,$L216))))),IF($CP216="","",_xlfn.LET(_xlpm.pI,IFERROR(_xlfn.XLOOKUP($E216,$A$6:$A$255,$P$6:$P$255),""),IF(NOT(ISNUMBER(_xlpm.pI)),"",_xlpm.pI/(1+$CP216)+IF($L216="",0,$L216))))))</f>
        <v/>
      </c>
      <c r="Q216" s="210" t="str">
        <f t="shared" si="58"/>
        <v/>
      </c>
      <c r="R216" s="177" t="str">
        <f>IF($A216="","",IF(OR($C216=0,LEFT($A216,2)="T-"),"",IFERROR(_xlfn.LET(_xlpm.v,_xlfn.XLOOKUP($A216,Dashboard!$A$101:$A$350,Dashboard!$K$101:$K$350),IF(ISNUMBER(_xlpm.v),_xlpm.v,"")),"")))</f>
        <v/>
      </c>
      <c r="S216" s="211" t="str">
        <f t="shared" si="59"/>
        <v/>
      </c>
      <c r="T216" s="25" t="str">
        <f t="shared" si="60"/>
        <v/>
      </c>
      <c r="U216" s="364"/>
      <c r="BV216" s="20" t="str">
        <f>IF($A216="","",IFERROR(_xlfn.XLOOKUP("F-"&amp;$A216,'Feeder Schedule'!$B$5:$B$254,'Feeder Schedule'!$H$5:$H$254),""))</f>
        <v/>
      </c>
      <c r="BW216" s="20" t="str">
        <f>IF($A216="","",IFERROR(_xlfn.XLOOKUP("F-"&amp;$A216,'Feeder Schedule'!$B$5:$B$254,'Feeder Schedule'!$BV$5:$BV$254),""))</f>
        <v/>
      </c>
      <c r="BX216" s="20" t="str">
        <f>IF($A216="","",IFERROR(_xlfn.LET(_xlpm.v,_xlfn.XLOOKUP("F-"&amp;$A216,'Feeder Schedule'!$B$5:$B$254,'Feeder Schedule'!$M$5:$M$254),IF(OR(_xlpm.v="",_xlpm.v=0),Cfg_Conduit,_xlpm.v)),""))</f>
        <v/>
      </c>
      <c r="BY216" s="20" t="str">
        <f>IF($A216="","",IFERROR(_xlfn.XLOOKUP("F-"&amp;$A216,'Feeder Schedule'!$B$5:$B$254,'Feeder Schedule'!$O$5:$O$254),""))</f>
        <v/>
      </c>
      <c r="BZ216" s="20" t="str">
        <f>IF($A216="","",IFERROR(_xlfn.XLOOKUP("F-"&amp;$A216,'Feeder Schedule'!$B$5:$B$254,'Feeder Schedule'!$CH$5:$CH$254),""))</f>
        <v/>
      </c>
      <c r="CA216" s="20" t="str">
        <f>IF($A216="","",IFERROR(_xlfn.XLOOKUP("F-"&amp;$A216,'Feeder Schedule'!$B$5:$B$254,'Feeder Schedule'!$F$5:$F$254),""))</f>
        <v/>
      </c>
      <c r="CB216" s="20" t="str">
        <f>IF($A216="","",IFERROR(_xlfn.XLOOKUP("F-"&amp;$A216,'Feeder Schedule'!$B$5:$B$254,'Feeder Schedule'!$G$5:$G$254),""))</f>
        <v/>
      </c>
      <c r="CD216" s="20" t="str" cm="1">
        <f t="array" ref="CD216">IFERROR(IF($A216="","",INDEX(_xlfn.ANCHORARRAY($BK$4),ROW()-5,6)),"")</f>
        <v/>
      </c>
      <c r="CE216" s="20" t="str">
        <f t="shared" si="63"/>
        <v/>
      </c>
      <c r="CF216" s="20" t="str">
        <f t="shared" si="64"/>
        <v/>
      </c>
      <c r="CG216" s="20" t="str">
        <f t="shared" si="61"/>
        <v/>
      </c>
      <c r="CH216" s="20" t="str" cm="1">
        <f t="array" ref="CH216">IF(OR($A216="",$BZ216="",$BW216="",$BX216=""),"",_xlfn.LET(_xlpm.mag,IFERROR(_xlfn.XLOOKUP($BX216,Race_Raceway,Race_Mag),""),IF(_xlpm.mag="","",IFERROR(INDEX(Cond_Table,MATCH($BZ216,Cond_Size,0),IF(UPPER($BW216)="AL",IF(_xlpm.mag="Y",10,12),IF(_xlpm.mag="Y",9,11))),""))))</f>
        <v/>
      </c>
      <c r="CI216" s="20" t="str">
        <f t="shared" si="62"/>
        <v/>
      </c>
      <c r="CJ216" s="20" t="str">
        <f>IF(OR($A216="",LEFT($A216,2)&lt;&gt;"T-"),"",IFERROR(_xlfn.LET(_xlpm.fla,_xlfn.XLOOKUP($A216,Transformers!$A$6:$A$105,Transformers!$AK$6:$AK$105),_xlpm.z,_xlfn.XLOOKUP($A216,Transformers!$A$6:$A$105,Transformers!$AX$6:$AX$105),IF(OR(_xlpm.fla="",_xlpm.z="",_xlpm.z=0),"",_xlpm.fla*100/_xlpm.z)),""))</f>
        <v/>
      </c>
      <c r="CK216" s="20" t="str">
        <f t="shared" si="65"/>
        <v/>
      </c>
      <c r="CL216" s="20" t="str">
        <f t="shared" si="66"/>
        <v/>
      </c>
      <c r="CM216" s="373"/>
      <c r="CO216" s="20" t="str">
        <f>IF(OR($A216="",LEFT($A216,2)&lt;&gt;"T-"),"",_xlfn.LET(_xlpm.ph,IFERROR(_xlfn.XLOOKUP($A216,Transformers!$A$6:$A$105,Transformers!$C$6:$C$105),""),_xlpm.rr,IFERROR(_xlfn.XLOOKUP($A216,Transformers!$A$6:$A$105,Transformers!$AG$6:$AG$105),""),_xlpm.xx,IFERROR(_xlfn.XLOOKUP($A216,Transformers!$A$6:$A$105,Transformers!$AI$6:$AI$105),""),IF(OR(_xlpm.ph&lt;&gt;1,NOT(ISNUMBER(_xlpm.rr)),NOT(ISNUMBER(_xlpm.xx))),"",SQRT((1.5*_xlpm.rr)^2+(1.2*_xlpm.xx)^2))))</f>
        <v/>
      </c>
      <c r="CP216" s="20" t="str">
        <f t="shared" si="67"/>
        <v/>
      </c>
    </row>
    <row r="217" spans="1:94" ht="15" customHeight="1" x14ac:dyDescent="0.45">
      <c r="A217" s="275" t="str" cm="1">
        <f t="array" ref="A217">IFERROR(IF(INDEX(_xlfn.ANCHORARRAY($BK$4),ROW()-5,1)="","",INDEX(_xlfn.ANCHORARRAY($BK$4),ROW()-5,1)),"")</f>
        <v/>
      </c>
      <c r="B217" s="25" t="str" cm="1">
        <f t="array" ref="B217">IFERROR(IF($A217="","",INDEX(_xlfn.ANCHORARRAY($BK$4),ROW()-5,5)),"")</f>
        <v/>
      </c>
      <c r="C217" s="178" t="str" cm="1">
        <f t="array" ref="C217">IFERROR(IF($A217="","",INDEX(_xlfn.ANCHORARRAY($BK$4),ROW()-5,7)),"")</f>
        <v/>
      </c>
      <c r="D217" s="177" t="str" cm="1">
        <f t="array" ref="D217">IFERROR(IF($A217="","",INDEX(_xlfn.ANCHORARRAY($BK$4),ROW()-5,3)),"")</f>
        <v/>
      </c>
      <c r="E217" s="25" t="str" cm="1">
        <f t="array" ref="E217">IFERROR(IF($A217="","",INDEX(_xlfn.ANCHORARRAY($BK$4),ROW()-5,2)),"")</f>
        <v/>
      </c>
      <c r="F217" s="177" t="str">
        <f t="shared" si="51"/>
        <v/>
      </c>
      <c r="G217" s="275" t="str">
        <f t="shared" si="52"/>
        <v/>
      </c>
      <c r="H217" s="180" t="str">
        <f t="shared" si="53"/>
        <v/>
      </c>
      <c r="I217" s="180" t="str">
        <f t="shared" si="54"/>
        <v/>
      </c>
      <c r="J217" s="177" t="str">
        <f>_xlfn.LET(_xlpm.v,_xlfn.LET(_xlpm.base,IF($A217="","",IF($C217=0,IFERROR(_xlfn.XLOOKUP($A217,Util_Tags,Util_SCAEff),""),IF(LEFT($A217,2)="T-",IF($CJ217="","",$CJ217/(1+IF($CL217="",0,$CL217))),IF(OR($F217="",$I217=""),"",$F217*$I217)))),_xlpm.gtag,IF(OR($A217="",NOT(OR($B217="ATS",$B217="MTS"))),"",IFERROR(_xlfn.XLOOKUP($A217,Dashboard!$A$101:$A$350,Dashboard!$L$101:$L$350,"")&amp;"","")),_xlpm.gkva,IF(_xlpm.gtag="",0,IFERROR(N(_xlfn.XLOOKUP(_xlpm.gtag,Generator!$B$53:$B$58,Generator!$S$53:$S$58,0)),0)),_xlpm.gxd,IF(_xlpm.gtag="",0,IFERROR(N(_xlfn.XLOOKUP(_xlpm.gtag,Generator!$B$53:$B$58,Generator!$U$53:$U$58,0)),0)),_xlpm.gamp,IF(OR(_xlpm.gkva=0,_xlpm.gxd=0,N($D217)=0),0,ROUND(_xlpm.gkva*1000/(IF(N($CB217)=1,1,SQRT(3))*$D217*_xlpm.gxd),0)),IF(OR(_xlpm.gamp=0,NOT(ISNUMBER(_xlpm.base))),_xlpm.base,MAX(_xlpm.base,_xlpm.gamp))),_xlpm.ulim,IF(OR($A217="",$B217&lt;&gt;"UPS"),"",IFERROR(IF(_xlfn.XLOOKUP($A217,UPS!$B$57:$B$64,UPS!$E$57:$E$64,"")="None",_xlfn.XLOOKUP($A217,UPS!$B$57:$B$64,UPS!$U$57:$U$64,""),""),"")),IF(AND(ISNUMBER(_xlpm.v),ISNUMBER(_xlpm.ulim)),MIN(_xlpm.v,_xlpm.ulim),_xlpm.v))</f>
        <v/>
      </c>
      <c r="K217" s="176"/>
      <c r="L217" s="177" t="str">
        <f t="shared" si="55"/>
        <v/>
      </c>
      <c r="M217" s="177" t="str">
        <f t="shared" si="56"/>
        <v/>
      </c>
      <c r="N217" s="380" t="str">
        <f>IF($A217="","",IF($C217=0,_xlfn.LET(_xlpm.x,IFERROR(_xlfn.XLOOKUP($A217,Util_Tags,Util_XR),""),IF(N(_xlpm.x)=0,Xfmr_DefXR,_xlpm.x)),IF(LEFT($A217,2)="T-",IFERROR(_xlfn.XLOOKUP($A217,Transformers!$A$6:$A$105,Transformers!$AH$6:$AH$105),Xfmr_DefXR),IFERROR(_xlfn.XLOOKUP($E217,$A$6:$A$255,$N$6:$N$255),Xfmr_DefXR))))</f>
        <v/>
      </c>
      <c r="O217" s="177" t="str">
        <f t="shared" si="57"/>
        <v/>
      </c>
      <c r="P217" s="210" t="str">
        <f>IF($A217="","",IF(LEFT($A217,2)="T-",IF($CO217="","",_xlfn.LET(_xlpm.k,IFERROR(_xlfn.XLOOKUP($A217,Transformers!$A$6:$A$105,Transformers!$G$6:$G$105),""),_xlpm.sv,IFERROR(_xlfn.XLOOKUP($A217,Transformers!$A$6:$A$105,Transformers!$E$6:$E$105),""),IF(OR(NOT(ISNUMBER(_xlpm.k)),NOT(ISNUMBER(_xlpm.sv)),_xlpm.sv=0),"",_xlfn.LET(_xlpm.iInf,(_xlpm.k*1000/(_xlpm.sv/2))*100/$CO217,_xlpm.pri,IF(OR($CK217="",$CK217=0),"",$CK217/2),_xlpm.base,IF(_xlpm.pri="",_xlpm.iInf,_xlpm.iInf/(1+_xlpm.iInf/_xlpm.pri)),_xlpm.base+IF($L217="",0,$L217))))),IF($CP217="","",_xlfn.LET(_xlpm.pI,IFERROR(_xlfn.XLOOKUP($E217,$A$6:$A$255,$P$6:$P$255),""),IF(NOT(ISNUMBER(_xlpm.pI)),"",_xlpm.pI/(1+$CP217)+IF($L217="",0,$L217))))))</f>
        <v/>
      </c>
      <c r="Q217" s="210" t="str">
        <f t="shared" si="58"/>
        <v/>
      </c>
      <c r="R217" s="177" t="str">
        <f>IF($A217="","",IF(OR($C217=0,LEFT($A217,2)="T-"),"",IFERROR(_xlfn.LET(_xlpm.v,_xlfn.XLOOKUP($A217,Dashboard!$A$101:$A$350,Dashboard!$K$101:$K$350),IF(ISNUMBER(_xlpm.v),_xlpm.v,"")),"")))</f>
        <v/>
      </c>
      <c r="S217" s="211" t="str">
        <f t="shared" si="59"/>
        <v/>
      </c>
      <c r="T217" s="25" t="str">
        <f t="shared" si="60"/>
        <v/>
      </c>
      <c r="U217" s="364"/>
      <c r="BV217" s="20" t="str">
        <f>IF($A217="","",IFERROR(_xlfn.XLOOKUP("F-"&amp;$A217,'Feeder Schedule'!$B$5:$B$254,'Feeder Schedule'!$H$5:$H$254),""))</f>
        <v/>
      </c>
      <c r="BW217" s="20" t="str">
        <f>IF($A217="","",IFERROR(_xlfn.XLOOKUP("F-"&amp;$A217,'Feeder Schedule'!$B$5:$B$254,'Feeder Schedule'!$BV$5:$BV$254),""))</f>
        <v/>
      </c>
      <c r="BX217" s="20" t="str">
        <f>IF($A217="","",IFERROR(_xlfn.LET(_xlpm.v,_xlfn.XLOOKUP("F-"&amp;$A217,'Feeder Schedule'!$B$5:$B$254,'Feeder Schedule'!$M$5:$M$254),IF(OR(_xlpm.v="",_xlpm.v=0),Cfg_Conduit,_xlpm.v)),""))</f>
        <v/>
      </c>
      <c r="BY217" s="20" t="str">
        <f>IF($A217="","",IFERROR(_xlfn.XLOOKUP("F-"&amp;$A217,'Feeder Schedule'!$B$5:$B$254,'Feeder Schedule'!$O$5:$O$254),""))</f>
        <v/>
      </c>
      <c r="BZ217" s="20" t="str">
        <f>IF($A217="","",IFERROR(_xlfn.XLOOKUP("F-"&amp;$A217,'Feeder Schedule'!$B$5:$B$254,'Feeder Schedule'!$CH$5:$CH$254),""))</f>
        <v/>
      </c>
      <c r="CA217" s="20" t="str">
        <f>IF($A217="","",IFERROR(_xlfn.XLOOKUP("F-"&amp;$A217,'Feeder Schedule'!$B$5:$B$254,'Feeder Schedule'!$F$5:$F$254),""))</f>
        <v/>
      </c>
      <c r="CB217" s="20" t="str">
        <f>IF($A217="","",IFERROR(_xlfn.XLOOKUP("F-"&amp;$A217,'Feeder Schedule'!$B$5:$B$254,'Feeder Schedule'!$G$5:$G$254),""))</f>
        <v/>
      </c>
      <c r="CD217" s="20" t="str" cm="1">
        <f t="array" ref="CD217">IFERROR(IF($A217="","",INDEX(_xlfn.ANCHORARRAY($BK$4),ROW()-5,6)),"")</f>
        <v/>
      </c>
      <c r="CE217" s="20" t="str">
        <f t="shared" si="63"/>
        <v/>
      </c>
      <c r="CF217" s="20" t="str">
        <f t="shared" si="64"/>
        <v/>
      </c>
      <c r="CG217" s="20" t="str">
        <f t="shared" si="61"/>
        <v/>
      </c>
      <c r="CH217" s="20" t="str" cm="1">
        <f t="array" ref="CH217">IF(OR($A217="",$BZ217="",$BW217="",$BX217=""),"",_xlfn.LET(_xlpm.mag,IFERROR(_xlfn.XLOOKUP($BX217,Race_Raceway,Race_Mag),""),IF(_xlpm.mag="","",IFERROR(INDEX(Cond_Table,MATCH($BZ217,Cond_Size,0),IF(UPPER($BW217)="AL",IF(_xlpm.mag="Y",10,12),IF(_xlpm.mag="Y",9,11))),""))))</f>
        <v/>
      </c>
      <c r="CI217" s="20" t="str">
        <f t="shared" si="62"/>
        <v/>
      </c>
      <c r="CJ217" s="20" t="str">
        <f>IF(OR($A217="",LEFT($A217,2)&lt;&gt;"T-"),"",IFERROR(_xlfn.LET(_xlpm.fla,_xlfn.XLOOKUP($A217,Transformers!$A$6:$A$105,Transformers!$AK$6:$AK$105),_xlpm.z,_xlfn.XLOOKUP($A217,Transformers!$A$6:$A$105,Transformers!$AX$6:$AX$105),IF(OR(_xlpm.fla="",_xlpm.z="",_xlpm.z=0),"",_xlpm.fla*100/_xlpm.z)),""))</f>
        <v/>
      </c>
      <c r="CK217" s="20" t="str">
        <f t="shared" si="65"/>
        <v/>
      </c>
      <c r="CL217" s="20" t="str">
        <f t="shared" si="66"/>
        <v/>
      </c>
      <c r="CM217" s="373"/>
      <c r="CO217" s="20" t="str">
        <f>IF(OR($A217="",LEFT($A217,2)&lt;&gt;"T-"),"",_xlfn.LET(_xlpm.ph,IFERROR(_xlfn.XLOOKUP($A217,Transformers!$A$6:$A$105,Transformers!$C$6:$C$105),""),_xlpm.rr,IFERROR(_xlfn.XLOOKUP($A217,Transformers!$A$6:$A$105,Transformers!$AG$6:$AG$105),""),_xlpm.xx,IFERROR(_xlfn.XLOOKUP($A217,Transformers!$A$6:$A$105,Transformers!$AI$6:$AI$105),""),IF(OR(_xlpm.ph&lt;&gt;1,NOT(ISNUMBER(_xlpm.rr)),NOT(ISNUMBER(_xlpm.xx))),"",SQRT((1.5*_xlpm.rr)^2+(1.2*_xlpm.xx)^2))))</f>
        <v/>
      </c>
      <c r="CP217" s="20" t="str">
        <f t="shared" si="67"/>
        <v/>
      </c>
    </row>
    <row r="218" spans="1:94" ht="15" customHeight="1" x14ac:dyDescent="0.45">
      <c r="A218" s="275" t="str" cm="1">
        <f t="array" ref="A218">IFERROR(IF(INDEX(_xlfn.ANCHORARRAY($BK$4),ROW()-5,1)="","",INDEX(_xlfn.ANCHORARRAY($BK$4),ROW()-5,1)),"")</f>
        <v/>
      </c>
      <c r="B218" s="25" t="str" cm="1">
        <f t="array" ref="B218">IFERROR(IF($A218="","",INDEX(_xlfn.ANCHORARRAY($BK$4),ROW()-5,5)),"")</f>
        <v/>
      </c>
      <c r="C218" s="178" t="str" cm="1">
        <f t="array" ref="C218">IFERROR(IF($A218="","",INDEX(_xlfn.ANCHORARRAY($BK$4),ROW()-5,7)),"")</f>
        <v/>
      </c>
      <c r="D218" s="177" t="str" cm="1">
        <f t="array" ref="D218">IFERROR(IF($A218="","",INDEX(_xlfn.ANCHORARRAY($BK$4),ROW()-5,3)),"")</f>
        <v/>
      </c>
      <c r="E218" s="25" t="str" cm="1">
        <f t="array" ref="E218">IFERROR(IF($A218="","",INDEX(_xlfn.ANCHORARRAY($BK$4),ROW()-5,2)),"")</f>
        <v/>
      </c>
      <c r="F218" s="177" t="str">
        <f t="shared" si="51"/>
        <v/>
      </c>
      <c r="G218" s="275" t="str">
        <f t="shared" si="52"/>
        <v/>
      </c>
      <c r="H218" s="180" t="str">
        <f t="shared" si="53"/>
        <v/>
      </c>
      <c r="I218" s="180" t="str">
        <f t="shared" si="54"/>
        <v/>
      </c>
      <c r="J218" s="177" t="str">
        <f>_xlfn.LET(_xlpm.v,_xlfn.LET(_xlpm.base,IF($A218="","",IF($C218=0,IFERROR(_xlfn.XLOOKUP($A218,Util_Tags,Util_SCAEff),""),IF(LEFT($A218,2)="T-",IF($CJ218="","",$CJ218/(1+IF($CL218="",0,$CL218))),IF(OR($F218="",$I218=""),"",$F218*$I218)))),_xlpm.gtag,IF(OR($A218="",NOT(OR($B218="ATS",$B218="MTS"))),"",IFERROR(_xlfn.XLOOKUP($A218,Dashboard!$A$101:$A$350,Dashboard!$L$101:$L$350,"")&amp;"","")),_xlpm.gkva,IF(_xlpm.gtag="",0,IFERROR(N(_xlfn.XLOOKUP(_xlpm.gtag,Generator!$B$53:$B$58,Generator!$S$53:$S$58,0)),0)),_xlpm.gxd,IF(_xlpm.gtag="",0,IFERROR(N(_xlfn.XLOOKUP(_xlpm.gtag,Generator!$B$53:$B$58,Generator!$U$53:$U$58,0)),0)),_xlpm.gamp,IF(OR(_xlpm.gkva=0,_xlpm.gxd=0,N($D218)=0),0,ROUND(_xlpm.gkva*1000/(IF(N($CB218)=1,1,SQRT(3))*$D218*_xlpm.gxd),0)),IF(OR(_xlpm.gamp=0,NOT(ISNUMBER(_xlpm.base))),_xlpm.base,MAX(_xlpm.base,_xlpm.gamp))),_xlpm.ulim,IF(OR($A218="",$B218&lt;&gt;"UPS"),"",IFERROR(IF(_xlfn.XLOOKUP($A218,UPS!$B$57:$B$64,UPS!$E$57:$E$64,"")="None",_xlfn.XLOOKUP($A218,UPS!$B$57:$B$64,UPS!$U$57:$U$64,""),""),"")),IF(AND(ISNUMBER(_xlpm.v),ISNUMBER(_xlpm.ulim)),MIN(_xlpm.v,_xlpm.ulim),_xlpm.v))</f>
        <v/>
      </c>
      <c r="K218" s="176"/>
      <c r="L218" s="177" t="str">
        <f t="shared" si="55"/>
        <v/>
      </c>
      <c r="M218" s="177" t="str">
        <f t="shared" si="56"/>
        <v/>
      </c>
      <c r="N218" s="380" t="str">
        <f>IF($A218="","",IF($C218=0,_xlfn.LET(_xlpm.x,IFERROR(_xlfn.XLOOKUP($A218,Util_Tags,Util_XR),""),IF(N(_xlpm.x)=0,Xfmr_DefXR,_xlpm.x)),IF(LEFT($A218,2)="T-",IFERROR(_xlfn.XLOOKUP($A218,Transformers!$A$6:$A$105,Transformers!$AH$6:$AH$105),Xfmr_DefXR),IFERROR(_xlfn.XLOOKUP($E218,$A$6:$A$255,$N$6:$N$255),Xfmr_DefXR))))</f>
        <v/>
      </c>
      <c r="O218" s="177" t="str">
        <f t="shared" si="57"/>
        <v/>
      </c>
      <c r="P218" s="210" t="str">
        <f>IF($A218="","",IF(LEFT($A218,2)="T-",IF($CO218="","",_xlfn.LET(_xlpm.k,IFERROR(_xlfn.XLOOKUP($A218,Transformers!$A$6:$A$105,Transformers!$G$6:$G$105),""),_xlpm.sv,IFERROR(_xlfn.XLOOKUP($A218,Transformers!$A$6:$A$105,Transformers!$E$6:$E$105),""),IF(OR(NOT(ISNUMBER(_xlpm.k)),NOT(ISNUMBER(_xlpm.sv)),_xlpm.sv=0),"",_xlfn.LET(_xlpm.iInf,(_xlpm.k*1000/(_xlpm.sv/2))*100/$CO218,_xlpm.pri,IF(OR($CK218="",$CK218=0),"",$CK218/2),_xlpm.base,IF(_xlpm.pri="",_xlpm.iInf,_xlpm.iInf/(1+_xlpm.iInf/_xlpm.pri)),_xlpm.base+IF($L218="",0,$L218))))),IF($CP218="","",_xlfn.LET(_xlpm.pI,IFERROR(_xlfn.XLOOKUP($E218,$A$6:$A$255,$P$6:$P$255),""),IF(NOT(ISNUMBER(_xlpm.pI)),"",_xlpm.pI/(1+$CP218)+IF($L218="",0,$L218))))))</f>
        <v/>
      </c>
      <c r="Q218" s="210" t="str">
        <f t="shared" si="58"/>
        <v/>
      </c>
      <c r="R218" s="177" t="str">
        <f>IF($A218="","",IF(OR($C218=0,LEFT($A218,2)="T-"),"",IFERROR(_xlfn.LET(_xlpm.v,_xlfn.XLOOKUP($A218,Dashboard!$A$101:$A$350,Dashboard!$K$101:$K$350),IF(ISNUMBER(_xlpm.v),_xlpm.v,"")),"")))</f>
        <v/>
      </c>
      <c r="S218" s="211" t="str">
        <f t="shared" si="59"/>
        <v/>
      </c>
      <c r="T218" s="25" t="str">
        <f t="shared" si="60"/>
        <v/>
      </c>
      <c r="U218" s="364"/>
      <c r="BV218" s="20" t="str">
        <f>IF($A218="","",IFERROR(_xlfn.XLOOKUP("F-"&amp;$A218,'Feeder Schedule'!$B$5:$B$254,'Feeder Schedule'!$H$5:$H$254),""))</f>
        <v/>
      </c>
      <c r="BW218" s="20" t="str">
        <f>IF($A218="","",IFERROR(_xlfn.XLOOKUP("F-"&amp;$A218,'Feeder Schedule'!$B$5:$B$254,'Feeder Schedule'!$BV$5:$BV$254),""))</f>
        <v/>
      </c>
      <c r="BX218" s="20" t="str">
        <f>IF($A218="","",IFERROR(_xlfn.LET(_xlpm.v,_xlfn.XLOOKUP("F-"&amp;$A218,'Feeder Schedule'!$B$5:$B$254,'Feeder Schedule'!$M$5:$M$254),IF(OR(_xlpm.v="",_xlpm.v=0),Cfg_Conduit,_xlpm.v)),""))</f>
        <v/>
      </c>
      <c r="BY218" s="20" t="str">
        <f>IF($A218="","",IFERROR(_xlfn.XLOOKUP("F-"&amp;$A218,'Feeder Schedule'!$B$5:$B$254,'Feeder Schedule'!$O$5:$O$254),""))</f>
        <v/>
      </c>
      <c r="BZ218" s="20" t="str">
        <f>IF($A218="","",IFERROR(_xlfn.XLOOKUP("F-"&amp;$A218,'Feeder Schedule'!$B$5:$B$254,'Feeder Schedule'!$CH$5:$CH$254),""))</f>
        <v/>
      </c>
      <c r="CA218" s="20" t="str">
        <f>IF($A218="","",IFERROR(_xlfn.XLOOKUP("F-"&amp;$A218,'Feeder Schedule'!$B$5:$B$254,'Feeder Schedule'!$F$5:$F$254),""))</f>
        <v/>
      </c>
      <c r="CB218" s="20" t="str">
        <f>IF($A218="","",IFERROR(_xlfn.XLOOKUP("F-"&amp;$A218,'Feeder Schedule'!$B$5:$B$254,'Feeder Schedule'!$G$5:$G$254),""))</f>
        <v/>
      </c>
      <c r="CD218" s="20" t="str" cm="1">
        <f t="array" ref="CD218">IFERROR(IF($A218="","",INDEX(_xlfn.ANCHORARRAY($BK$4),ROW()-5,6)),"")</f>
        <v/>
      </c>
      <c r="CE218" s="20" t="str">
        <f t="shared" si="63"/>
        <v/>
      </c>
      <c r="CF218" s="20" t="str">
        <f t="shared" si="64"/>
        <v/>
      </c>
      <c r="CG218" s="20" t="str">
        <f t="shared" si="61"/>
        <v/>
      </c>
      <c r="CH218" s="20" t="str" cm="1">
        <f t="array" ref="CH218">IF(OR($A218="",$BZ218="",$BW218="",$BX218=""),"",_xlfn.LET(_xlpm.mag,IFERROR(_xlfn.XLOOKUP($BX218,Race_Raceway,Race_Mag),""),IF(_xlpm.mag="","",IFERROR(INDEX(Cond_Table,MATCH($BZ218,Cond_Size,0),IF(UPPER($BW218)="AL",IF(_xlpm.mag="Y",10,12),IF(_xlpm.mag="Y",9,11))),""))))</f>
        <v/>
      </c>
      <c r="CI218" s="20" t="str">
        <f t="shared" si="62"/>
        <v/>
      </c>
      <c r="CJ218" s="20" t="str">
        <f>IF(OR($A218="",LEFT($A218,2)&lt;&gt;"T-"),"",IFERROR(_xlfn.LET(_xlpm.fla,_xlfn.XLOOKUP($A218,Transformers!$A$6:$A$105,Transformers!$AK$6:$AK$105),_xlpm.z,_xlfn.XLOOKUP($A218,Transformers!$A$6:$A$105,Transformers!$AX$6:$AX$105),IF(OR(_xlpm.fla="",_xlpm.z="",_xlpm.z=0),"",_xlpm.fla*100/_xlpm.z)),""))</f>
        <v/>
      </c>
      <c r="CK218" s="20" t="str">
        <f t="shared" si="65"/>
        <v/>
      </c>
      <c r="CL218" s="20" t="str">
        <f t="shared" si="66"/>
        <v/>
      </c>
      <c r="CM218" s="373"/>
      <c r="CO218" s="20" t="str">
        <f>IF(OR($A218="",LEFT($A218,2)&lt;&gt;"T-"),"",_xlfn.LET(_xlpm.ph,IFERROR(_xlfn.XLOOKUP($A218,Transformers!$A$6:$A$105,Transformers!$C$6:$C$105),""),_xlpm.rr,IFERROR(_xlfn.XLOOKUP($A218,Transformers!$A$6:$A$105,Transformers!$AG$6:$AG$105),""),_xlpm.xx,IFERROR(_xlfn.XLOOKUP($A218,Transformers!$A$6:$A$105,Transformers!$AI$6:$AI$105),""),IF(OR(_xlpm.ph&lt;&gt;1,NOT(ISNUMBER(_xlpm.rr)),NOT(ISNUMBER(_xlpm.xx))),"",SQRT((1.5*_xlpm.rr)^2+(1.2*_xlpm.xx)^2))))</f>
        <v/>
      </c>
      <c r="CP218" s="20" t="str">
        <f t="shared" si="67"/>
        <v/>
      </c>
    </row>
    <row r="219" spans="1:94" ht="15" customHeight="1" x14ac:dyDescent="0.45">
      <c r="A219" s="275" t="str" cm="1">
        <f t="array" ref="A219">IFERROR(IF(INDEX(_xlfn.ANCHORARRAY($BK$4),ROW()-5,1)="","",INDEX(_xlfn.ANCHORARRAY($BK$4),ROW()-5,1)),"")</f>
        <v/>
      </c>
      <c r="B219" s="25" t="str" cm="1">
        <f t="array" ref="B219">IFERROR(IF($A219="","",INDEX(_xlfn.ANCHORARRAY($BK$4),ROW()-5,5)),"")</f>
        <v/>
      </c>
      <c r="C219" s="178" t="str" cm="1">
        <f t="array" ref="C219">IFERROR(IF($A219="","",INDEX(_xlfn.ANCHORARRAY($BK$4),ROW()-5,7)),"")</f>
        <v/>
      </c>
      <c r="D219" s="177" t="str" cm="1">
        <f t="array" ref="D219">IFERROR(IF($A219="","",INDEX(_xlfn.ANCHORARRAY($BK$4),ROW()-5,3)),"")</f>
        <v/>
      </c>
      <c r="E219" s="25" t="str" cm="1">
        <f t="array" ref="E219">IFERROR(IF($A219="","",INDEX(_xlfn.ANCHORARRAY($BK$4),ROW()-5,2)),"")</f>
        <v/>
      </c>
      <c r="F219" s="177" t="str">
        <f t="shared" si="51"/>
        <v/>
      </c>
      <c r="G219" s="275" t="str">
        <f t="shared" si="52"/>
        <v/>
      </c>
      <c r="H219" s="180" t="str">
        <f t="shared" si="53"/>
        <v/>
      </c>
      <c r="I219" s="180" t="str">
        <f t="shared" si="54"/>
        <v/>
      </c>
      <c r="J219" s="177" t="str">
        <f>_xlfn.LET(_xlpm.v,_xlfn.LET(_xlpm.base,IF($A219="","",IF($C219=0,IFERROR(_xlfn.XLOOKUP($A219,Util_Tags,Util_SCAEff),""),IF(LEFT($A219,2)="T-",IF($CJ219="","",$CJ219/(1+IF($CL219="",0,$CL219))),IF(OR($F219="",$I219=""),"",$F219*$I219)))),_xlpm.gtag,IF(OR($A219="",NOT(OR($B219="ATS",$B219="MTS"))),"",IFERROR(_xlfn.XLOOKUP($A219,Dashboard!$A$101:$A$350,Dashboard!$L$101:$L$350,"")&amp;"","")),_xlpm.gkva,IF(_xlpm.gtag="",0,IFERROR(N(_xlfn.XLOOKUP(_xlpm.gtag,Generator!$B$53:$B$58,Generator!$S$53:$S$58,0)),0)),_xlpm.gxd,IF(_xlpm.gtag="",0,IFERROR(N(_xlfn.XLOOKUP(_xlpm.gtag,Generator!$B$53:$B$58,Generator!$U$53:$U$58,0)),0)),_xlpm.gamp,IF(OR(_xlpm.gkva=0,_xlpm.gxd=0,N($D219)=0),0,ROUND(_xlpm.gkva*1000/(IF(N($CB219)=1,1,SQRT(3))*$D219*_xlpm.gxd),0)),IF(OR(_xlpm.gamp=0,NOT(ISNUMBER(_xlpm.base))),_xlpm.base,MAX(_xlpm.base,_xlpm.gamp))),_xlpm.ulim,IF(OR($A219="",$B219&lt;&gt;"UPS"),"",IFERROR(IF(_xlfn.XLOOKUP($A219,UPS!$B$57:$B$64,UPS!$E$57:$E$64,"")="None",_xlfn.XLOOKUP($A219,UPS!$B$57:$B$64,UPS!$U$57:$U$64,""),""),"")),IF(AND(ISNUMBER(_xlpm.v),ISNUMBER(_xlpm.ulim)),MIN(_xlpm.v,_xlpm.ulim),_xlpm.v))</f>
        <v/>
      </c>
      <c r="K219" s="176"/>
      <c r="L219" s="177" t="str">
        <f t="shared" si="55"/>
        <v/>
      </c>
      <c r="M219" s="177" t="str">
        <f t="shared" si="56"/>
        <v/>
      </c>
      <c r="N219" s="380" t="str">
        <f>IF($A219="","",IF($C219=0,_xlfn.LET(_xlpm.x,IFERROR(_xlfn.XLOOKUP($A219,Util_Tags,Util_XR),""),IF(N(_xlpm.x)=0,Xfmr_DefXR,_xlpm.x)),IF(LEFT($A219,2)="T-",IFERROR(_xlfn.XLOOKUP($A219,Transformers!$A$6:$A$105,Transformers!$AH$6:$AH$105),Xfmr_DefXR),IFERROR(_xlfn.XLOOKUP($E219,$A$6:$A$255,$N$6:$N$255),Xfmr_DefXR))))</f>
        <v/>
      </c>
      <c r="O219" s="177" t="str">
        <f t="shared" si="57"/>
        <v/>
      </c>
      <c r="P219" s="210" t="str">
        <f>IF($A219="","",IF(LEFT($A219,2)="T-",IF($CO219="","",_xlfn.LET(_xlpm.k,IFERROR(_xlfn.XLOOKUP($A219,Transformers!$A$6:$A$105,Transformers!$G$6:$G$105),""),_xlpm.sv,IFERROR(_xlfn.XLOOKUP($A219,Transformers!$A$6:$A$105,Transformers!$E$6:$E$105),""),IF(OR(NOT(ISNUMBER(_xlpm.k)),NOT(ISNUMBER(_xlpm.sv)),_xlpm.sv=0),"",_xlfn.LET(_xlpm.iInf,(_xlpm.k*1000/(_xlpm.sv/2))*100/$CO219,_xlpm.pri,IF(OR($CK219="",$CK219=0),"",$CK219/2),_xlpm.base,IF(_xlpm.pri="",_xlpm.iInf,_xlpm.iInf/(1+_xlpm.iInf/_xlpm.pri)),_xlpm.base+IF($L219="",0,$L219))))),IF($CP219="","",_xlfn.LET(_xlpm.pI,IFERROR(_xlfn.XLOOKUP($E219,$A$6:$A$255,$P$6:$P$255),""),IF(NOT(ISNUMBER(_xlpm.pI)),"",_xlpm.pI/(1+$CP219)+IF($L219="",0,$L219))))))</f>
        <v/>
      </c>
      <c r="Q219" s="210" t="str">
        <f t="shared" si="58"/>
        <v/>
      </c>
      <c r="R219" s="177" t="str">
        <f>IF($A219="","",IF(OR($C219=0,LEFT($A219,2)="T-"),"",IFERROR(_xlfn.LET(_xlpm.v,_xlfn.XLOOKUP($A219,Dashboard!$A$101:$A$350,Dashboard!$K$101:$K$350),IF(ISNUMBER(_xlpm.v),_xlpm.v,"")),"")))</f>
        <v/>
      </c>
      <c r="S219" s="211" t="str">
        <f t="shared" si="59"/>
        <v/>
      </c>
      <c r="T219" s="25" t="str">
        <f t="shared" si="60"/>
        <v/>
      </c>
      <c r="U219" s="364"/>
      <c r="BV219" s="20" t="str">
        <f>IF($A219="","",IFERROR(_xlfn.XLOOKUP("F-"&amp;$A219,'Feeder Schedule'!$B$5:$B$254,'Feeder Schedule'!$H$5:$H$254),""))</f>
        <v/>
      </c>
      <c r="BW219" s="20" t="str">
        <f>IF($A219="","",IFERROR(_xlfn.XLOOKUP("F-"&amp;$A219,'Feeder Schedule'!$B$5:$B$254,'Feeder Schedule'!$BV$5:$BV$254),""))</f>
        <v/>
      </c>
      <c r="BX219" s="20" t="str">
        <f>IF($A219="","",IFERROR(_xlfn.LET(_xlpm.v,_xlfn.XLOOKUP("F-"&amp;$A219,'Feeder Schedule'!$B$5:$B$254,'Feeder Schedule'!$M$5:$M$254),IF(OR(_xlpm.v="",_xlpm.v=0),Cfg_Conduit,_xlpm.v)),""))</f>
        <v/>
      </c>
      <c r="BY219" s="20" t="str">
        <f>IF($A219="","",IFERROR(_xlfn.XLOOKUP("F-"&amp;$A219,'Feeder Schedule'!$B$5:$B$254,'Feeder Schedule'!$O$5:$O$254),""))</f>
        <v/>
      </c>
      <c r="BZ219" s="20" t="str">
        <f>IF($A219="","",IFERROR(_xlfn.XLOOKUP("F-"&amp;$A219,'Feeder Schedule'!$B$5:$B$254,'Feeder Schedule'!$CH$5:$CH$254),""))</f>
        <v/>
      </c>
      <c r="CA219" s="20" t="str">
        <f>IF($A219="","",IFERROR(_xlfn.XLOOKUP("F-"&amp;$A219,'Feeder Schedule'!$B$5:$B$254,'Feeder Schedule'!$F$5:$F$254),""))</f>
        <v/>
      </c>
      <c r="CB219" s="20" t="str">
        <f>IF($A219="","",IFERROR(_xlfn.XLOOKUP("F-"&amp;$A219,'Feeder Schedule'!$B$5:$B$254,'Feeder Schedule'!$G$5:$G$254),""))</f>
        <v/>
      </c>
      <c r="CD219" s="20" t="str" cm="1">
        <f t="array" ref="CD219">IFERROR(IF($A219="","",INDEX(_xlfn.ANCHORARRAY($BK$4),ROW()-5,6)),"")</f>
        <v/>
      </c>
      <c r="CE219" s="20" t="str">
        <f t="shared" si="63"/>
        <v/>
      </c>
      <c r="CF219" s="20" t="str">
        <f t="shared" si="64"/>
        <v/>
      </c>
      <c r="CG219" s="20" t="str">
        <f t="shared" si="61"/>
        <v/>
      </c>
      <c r="CH219" s="20" t="str" cm="1">
        <f t="array" ref="CH219">IF(OR($A219="",$BZ219="",$BW219="",$BX219=""),"",_xlfn.LET(_xlpm.mag,IFERROR(_xlfn.XLOOKUP($BX219,Race_Raceway,Race_Mag),""),IF(_xlpm.mag="","",IFERROR(INDEX(Cond_Table,MATCH($BZ219,Cond_Size,0),IF(UPPER($BW219)="AL",IF(_xlpm.mag="Y",10,12),IF(_xlpm.mag="Y",9,11))),""))))</f>
        <v/>
      </c>
      <c r="CI219" s="20" t="str">
        <f t="shared" si="62"/>
        <v/>
      </c>
      <c r="CJ219" s="20" t="str">
        <f>IF(OR($A219="",LEFT($A219,2)&lt;&gt;"T-"),"",IFERROR(_xlfn.LET(_xlpm.fla,_xlfn.XLOOKUP($A219,Transformers!$A$6:$A$105,Transformers!$AK$6:$AK$105),_xlpm.z,_xlfn.XLOOKUP($A219,Transformers!$A$6:$A$105,Transformers!$AX$6:$AX$105),IF(OR(_xlpm.fla="",_xlpm.z="",_xlpm.z=0),"",_xlpm.fla*100/_xlpm.z)),""))</f>
        <v/>
      </c>
      <c r="CK219" s="20" t="str">
        <f t="shared" si="65"/>
        <v/>
      </c>
      <c r="CL219" s="20" t="str">
        <f t="shared" si="66"/>
        <v/>
      </c>
      <c r="CM219" s="373"/>
      <c r="CO219" s="20" t="str">
        <f>IF(OR($A219="",LEFT($A219,2)&lt;&gt;"T-"),"",_xlfn.LET(_xlpm.ph,IFERROR(_xlfn.XLOOKUP($A219,Transformers!$A$6:$A$105,Transformers!$C$6:$C$105),""),_xlpm.rr,IFERROR(_xlfn.XLOOKUP($A219,Transformers!$A$6:$A$105,Transformers!$AG$6:$AG$105),""),_xlpm.xx,IFERROR(_xlfn.XLOOKUP($A219,Transformers!$A$6:$A$105,Transformers!$AI$6:$AI$105),""),IF(OR(_xlpm.ph&lt;&gt;1,NOT(ISNUMBER(_xlpm.rr)),NOT(ISNUMBER(_xlpm.xx))),"",SQRT((1.5*_xlpm.rr)^2+(1.2*_xlpm.xx)^2))))</f>
        <v/>
      </c>
      <c r="CP219" s="20" t="str">
        <f t="shared" si="67"/>
        <v/>
      </c>
    </row>
    <row r="220" spans="1:94" ht="15" customHeight="1" x14ac:dyDescent="0.45">
      <c r="A220" s="275" t="str" cm="1">
        <f t="array" ref="A220">IFERROR(IF(INDEX(_xlfn.ANCHORARRAY($BK$4),ROW()-5,1)="","",INDEX(_xlfn.ANCHORARRAY($BK$4),ROW()-5,1)),"")</f>
        <v/>
      </c>
      <c r="B220" s="25" t="str" cm="1">
        <f t="array" ref="B220">IFERROR(IF($A220="","",INDEX(_xlfn.ANCHORARRAY($BK$4),ROW()-5,5)),"")</f>
        <v/>
      </c>
      <c r="C220" s="178" t="str" cm="1">
        <f t="array" ref="C220">IFERROR(IF($A220="","",INDEX(_xlfn.ANCHORARRAY($BK$4),ROW()-5,7)),"")</f>
        <v/>
      </c>
      <c r="D220" s="177" t="str" cm="1">
        <f t="array" ref="D220">IFERROR(IF($A220="","",INDEX(_xlfn.ANCHORARRAY($BK$4),ROW()-5,3)),"")</f>
        <v/>
      </c>
      <c r="E220" s="25" t="str" cm="1">
        <f t="array" ref="E220">IFERROR(IF($A220="","",INDEX(_xlfn.ANCHORARRAY($BK$4),ROW()-5,2)),"")</f>
        <v/>
      </c>
      <c r="F220" s="177" t="str">
        <f t="shared" si="51"/>
        <v/>
      </c>
      <c r="G220" s="275" t="str">
        <f t="shared" si="52"/>
        <v/>
      </c>
      <c r="H220" s="180" t="str">
        <f t="shared" si="53"/>
        <v/>
      </c>
      <c r="I220" s="180" t="str">
        <f t="shared" si="54"/>
        <v/>
      </c>
      <c r="J220" s="177" t="str">
        <f>_xlfn.LET(_xlpm.v,_xlfn.LET(_xlpm.base,IF($A220="","",IF($C220=0,IFERROR(_xlfn.XLOOKUP($A220,Util_Tags,Util_SCAEff),""),IF(LEFT($A220,2)="T-",IF($CJ220="","",$CJ220/(1+IF($CL220="",0,$CL220))),IF(OR($F220="",$I220=""),"",$F220*$I220)))),_xlpm.gtag,IF(OR($A220="",NOT(OR($B220="ATS",$B220="MTS"))),"",IFERROR(_xlfn.XLOOKUP($A220,Dashboard!$A$101:$A$350,Dashboard!$L$101:$L$350,"")&amp;"","")),_xlpm.gkva,IF(_xlpm.gtag="",0,IFERROR(N(_xlfn.XLOOKUP(_xlpm.gtag,Generator!$B$53:$B$58,Generator!$S$53:$S$58,0)),0)),_xlpm.gxd,IF(_xlpm.gtag="",0,IFERROR(N(_xlfn.XLOOKUP(_xlpm.gtag,Generator!$B$53:$B$58,Generator!$U$53:$U$58,0)),0)),_xlpm.gamp,IF(OR(_xlpm.gkva=0,_xlpm.gxd=0,N($D220)=0),0,ROUND(_xlpm.gkva*1000/(IF(N($CB220)=1,1,SQRT(3))*$D220*_xlpm.gxd),0)),IF(OR(_xlpm.gamp=0,NOT(ISNUMBER(_xlpm.base))),_xlpm.base,MAX(_xlpm.base,_xlpm.gamp))),_xlpm.ulim,IF(OR($A220="",$B220&lt;&gt;"UPS"),"",IFERROR(IF(_xlfn.XLOOKUP($A220,UPS!$B$57:$B$64,UPS!$E$57:$E$64,"")="None",_xlfn.XLOOKUP($A220,UPS!$B$57:$B$64,UPS!$U$57:$U$64,""),""),"")),IF(AND(ISNUMBER(_xlpm.v),ISNUMBER(_xlpm.ulim)),MIN(_xlpm.v,_xlpm.ulim),_xlpm.v))</f>
        <v/>
      </c>
      <c r="K220" s="176"/>
      <c r="L220" s="177" t="str">
        <f t="shared" si="55"/>
        <v/>
      </c>
      <c r="M220" s="177" t="str">
        <f t="shared" si="56"/>
        <v/>
      </c>
      <c r="N220" s="380" t="str">
        <f>IF($A220="","",IF($C220=0,_xlfn.LET(_xlpm.x,IFERROR(_xlfn.XLOOKUP($A220,Util_Tags,Util_XR),""),IF(N(_xlpm.x)=0,Xfmr_DefXR,_xlpm.x)),IF(LEFT($A220,2)="T-",IFERROR(_xlfn.XLOOKUP($A220,Transformers!$A$6:$A$105,Transformers!$AH$6:$AH$105),Xfmr_DefXR),IFERROR(_xlfn.XLOOKUP($E220,$A$6:$A$255,$N$6:$N$255),Xfmr_DefXR))))</f>
        <v/>
      </c>
      <c r="O220" s="177" t="str">
        <f t="shared" si="57"/>
        <v/>
      </c>
      <c r="P220" s="210" t="str">
        <f>IF($A220="","",IF(LEFT($A220,2)="T-",IF($CO220="","",_xlfn.LET(_xlpm.k,IFERROR(_xlfn.XLOOKUP($A220,Transformers!$A$6:$A$105,Transformers!$G$6:$G$105),""),_xlpm.sv,IFERROR(_xlfn.XLOOKUP($A220,Transformers!$A$6:$A$105,Transformers!$E$6:$E$105),""),IF(OR(NOT(ISNUMBER(_xlpm.k)),NOT(ISNUMBER(_xlpm.sv)),_xlpm.sv=0),"",_xlfn.LET(_xlpm.iInf,(_xlpm.k*1000/(_xlpm.sv/2))*100/$CO220,_xlpm.pri,IF(OR($CK220="",$CK220=0),"",$CK220/2),_xlpm.base,IF(_xlpm.pri="",_xlpm.iInf,_xlpm.iInf/(1+_xlpm.iInf/_xlpm.pri)),_xlpm.base+IF($L220="",0,$L220))))),IF($CP220="","",_xlfn.LET(_xlpm.pI,IFERROR(_xlfn.XLOOKUP($E220,$A$6:$A$255,$P$6:$P$255),""),IF(NOT(ISNUMBER(_xlpm.pI)),"",_xlpm.pI/(1+$CP220)+IF($L220="",0,$L220))))))</f>
        <v/>
      </c>
      <c r="Q220" s="210" t="str">
        <f t="shared" si="58"/>
        <v/>
      </c>
      <c r="R220" s="177" t="str">
        <f>IF($A220="","",IF(OR($C220=0,LEFT($A220,2)="T-"),"",IFERROR(_xlfn.LET(_xlpm.v,_xlfn.XLOOKUP($A220,Dashboard!$A$101:$A$350,Dashboard!$K$101:$K$350),IF(ISNUMBER(_xlpm.v),_xlpm.v,"")),"")))</f>
        <v/>
      </c>
      <c r="S220" s="211" t="str">
        <f t="shared" si="59"/>
        <v/>
      </c>
      <c r="T220" s="25" t="str">
        <f t="shared" si="60"/>
        <v/>
      </c>
      <c r="U220" s="364"/>
      <c r="BV220" s="20" t="str">
        <f>IF($A220="","",IFERROR(_xlfn.XLOOKUP("F-"&amp;$A220,'Feeder Schedule'!$B$5:$B$254,'Feeder Schedule'!$H$5:$H$254),""))</f>
        <v/>
      </c>
      <c r="BW220" s="20" t="str">
        <f>IF($A220="","",IFERROR(_xlfn.XLOOKUP("F-"&amp;$A220,'Feeder Schedule'!$B$5:$B$254,'Feeder Schedule'!$BV$5:$BV$254),""))</f>
        <v/>
      </c>
      <c r="BX220" s="20" t="str">
        <f>IF($A220="","",IFERROR(_xlfn.LET(_xlpm.v,_xlfn.XLOOKUP("F-"&amp;$A220,'Feeder Schedule'!$B$5:$B$254,'Feeder Schedule'!$M$5:$M$254),IF(OR(_xlpm.v="",_xlpm.v=0),Cfg_Conduit,_xlpm.v)),""))</f>
        <v/>
      </c>
      <c r="BY220" s="20" t="str">
        <f>IF($A220="","",IFERROR(_xlfn.XLOOKUP("F-"&amp;$A220,'Feeder Schedule'!$B$5:$B$254,'Feeder Schedule'!$O$5:$O$254),""))</f>
        <v/>
      </c>
      <c r="BZ220" s="20" t="str">
        <f>IF($A220="","",IFERROR(_xlfn.XLOOKUP("F-"&amp;$A220,'Feeder Schedule'!$B$5:$B$254,'Feeder Schedule'!$CH$5:$CH$254),""))</f>
        <v/>
      </c>
      <c r="CA220" s="20" t="str">
        <f>IF($A220="","",IFERROR(_xlfn.XLOOKUP("F-"&amp;$A220,'Feeder Schedule'!$B$5:$B$254,'Feeder Schedule'!$F$5:$F$254),""))</f>
        <v/>
      </c>
      <c r="CB220" s="20" t="str">
        <f>IF($A220="","",IFERROR(_xlfn.XLOOKUP("F-"&amp;$A220,'Feeder Schedule'!$B$5:$B$254,'Feeder Schedule'!$G$5:$G$254),""))</f>
        <v/>
      </c>
      <c r="CD220" s="20" t="str" cm="1">
        <f t="array" ref="CD220">IFERROR(IF($A220="","",INDEX(_xlfn.ANCHORARRAY($BK$4),ROW()-5,6)),"")</f>
        <v/>
      </c>
      <c r="CE220" s="20" t="str">
        <f t="shared" si="63"/>
        <v/>
      </c>
      <c r="CF220" s="20" t="str">
        <f t="shared" si="64"/>
        <v/>
      </c>
      <c r="CG220" s="20" t="str">
        <f t="shared" si="61"/>
        <v/>
      </c>
      <c r="CH220" s="20" t="str" cm="1">
        <f t="array" ref="CH220">IF(OR($A220="",$BZ220="",$BW220="",$BX220=""),"",_xlfn.LET(_xlpm.mag,IFERROR(_xlfn.XLOOKUP($BX220,Race_Raceway,Race_Mag),""),IF(_xlpm.mag="","",IFERROR(INDEX(Cond_Table,MATCH($BZ220,Cond_Size,0),IF(UPPER($BW220)="AL",IF(_xlpm.mag="Y",10,12),IF(_xlpm.mag="Y",9,11))),""))))</f>
        <v/>
      </c>
      <c r="CI220" s="20" t="str">
        <f t="shared" si="62"/>
        <v/>
      </c>
      <c r="CJ220" s="20" t="str">
        <f>IF(OR($A220="",LEFT($A220,2)&lt;&gt;"T-"),"",IFERROR(_xlfn.LET(_xlpm.fla,_xlfn.XLOOKUP($A220,Transformers!$A$6:$A$105,Transformers!$AK$6:$AK$105),_xlpm.z,_xlfn.XLOOKUP($A220,Transformers!$A$6:$A$105,Transformers!$AX$6:$AX$105),IF(OR(_xlpm.fla="",_xlpm.z="",_xlpm.z=0),"",_xlpm.fla*100/_xlpm.z)),""))</f>
        <v/>
      </c>
      <c r="CK220" s="20" t="str">
        <f t="shared" si="65"/>
        <v/>
      </c>
      <c r="CL220" s="20" t="str">
        <f t="shared" si="66"/>
        <v/>
      </c>
      <c r="CM220" s="373"/>
      <c r="CO220" s="20" t="str">
        <f>IF(OR($A220="",LEFT($A220,2)&lt;&gt;"T-"),"",_xlfn.LET(_xlpm.ph,IFERROR(_xlfn.XLOOKUP($A220,Transformers!$A$6:$A$105,Transformers!$C$6:$C$105),""),_xlpm.rr,IFERROR(_xlfn.XLOOKUP($A220,Transformers!$A$6:$A$105,Transformers!$AG$6:$AG$105),""),_xlpm.xx,IFERROR(_xlfn.XLOOKUP($A220,Transformers!$A$6:$A$105,Transformers!$AI$6:$AI$105),""),IF(OR(_xlpm.ph&lt;&gt;1,NOT(ISNUMBER(_xlpm.rr)),NOT(ISNUMBER(_xlpm.xx))),"",SQRT((1.5*_xlpm.rr)^2+(1.2*_xlpm.xx)^2))))</f>
        <v/>
      </c>
      <c r="CP220" s="20" t="str">
        <f t="shared" si="67"/>
        <v/>
      </c>
    </row>
    <row r="221" spans="1:94" ht="15" customHeight="1" x14ac:dyDescent="0.45">
      <c r="A221" s="275" t="str" cm="1">
        <f t="array" ref="A221">IFERROR(IF(INDEX(_xlfn.ANCHORARRAY($BK$4),ROW()-5,1)="","",INDEX(_xlfn.ANCHORARRAY($BK$4),ROW()-5,1)),"")</f>
        <v/>
      </c>
      <c r="B221" s="25" t="str" cm="1">
        <f t="array" ref="B221">IFERROR(IF($A221="","",INDEX(_xlfn.ANCHORARRAY($BK$4),ROW()-5,5)),"")</f>
        <v/>
      </c>
      <c r="C221" s="178" t="str" cm="1">
        <f t="array" ref="C221">IFERROR(IF($A221="","",INDEX(_xlfn.ANCHORARRAY($BK$4),ROW()-5,7)),"")</f>
        <v/>
      </c>
      <c r="D221" s="177" t="str" cm="1">
        <f t="array" ref="D221">IFERROR(IF($A221="","",INDEX(_xlfn.ANCHORARRAY($BK$4),ROW()-5,3)),"")</f>
        <v/>
      </c>
      <c r="E221" s="25" t="str" cm="1">
        <f t="array" ref="E221">IFERROR(IF($A221="","",INDEX(_xlfn.ANCHORARRAY($BK$4),ROW()-5,2)),"")</f>
        <v/>
      </c>
      <c r="F221" s="177" t="str">
        <f t="shared" si="51"/>
        <v/>
      </c>
      <c r="G221" s="275" t="str">
        <f t="shared" si="52"/>
        <v/>
      </c>
      <c r="H221" s="180" t="str">
        <f t="shared" si="53"/>
        <v/>
      </c>
      <c r="I221" s="180" t="str">
        <f t="shared" si="54"/>
        <v/>
      </c>
      <c r="J221" s="177" t="str">
        <f>_xlfn.LET(_xlpm.v,_xlfn.LET(_xlpm.base,IF($A221="","",IF($C221=0,IFERROR(_xlfn.XLOOKUP($A221,Util_Tags,Util_SCAEff),""),IF(LEFT($A221,2)="T-",IF($CJ221="","",$CJ221/(1+IF($CL221="",0,$CL221))),IF(OR($F221="",$I221=""),"",$F221*$I221)))),_xlpm.gtag,IF(OR($A221="",NOT(OR($B221="ATS",$B221="MTS"))),"",IFERROR(_xlfn.XLOOKUP($A221,Dashboard!$A$101:$A$350,Dashboard!$L$101:$L$350,"")&amp;"","")),_xlpm.gkva,IF(_xlpm.gtag="",0,IFERROR(N(_xlfn.XLOOKUP(_xlpm.gtag,Generator!$B$53:$B$58,Generator!$S$53:$S$58,0)),0)),_xlpm.gxd,IF(_xlpm.gtag="",0,IFERROR(N(_xlfn.XLOOKUP(_xlpm.gtag,Generator!$B$53:$B$58,Generator!$U$53:$U$58,0)),0)),_xlpm.gamp,IF(OR(_xlpm.gkva=0,_xlpm.gxd=0,N($D221)=0),0,ROUND(_xlpm.gkva*1000/(IF(N($CB221)=1,1,SQRT(3))*$D221*_xlpm.gxd),0)),IF(OR(_xlpm.gamp=0,NOT(ISNUMBER(_xlpm.base))),_xlpm.base,MAX(_xlpm.base,_xlpm.gamp))),_xlpm.ulim,IF(OR($A221="",$B221&lt;&gt;"UPS"),"",IFERROR(IF(_xlfn.XLOOKUP($A221,UPS!$B$57:$B$64,UPS!$E$57:$E$64,"")="None",_xlfn.XLOOKUP($A221,UPS!$B$57:$B$64,UPS!$U$57:$U$64,""),""),"")),IF(AND(ISNUMBER(_xlpm.v),ISNUMBER(_xlpm.ulim)),MIN(_xlpm.v,_xlpm.ulim),_xlpm.v))</f>
        <v/>
      </c>
      <c r="K221" s="176"/>
      <c r="L221" s="177" t="str">
        <f t="shared" si="55"/>
        <v/>
      </c>
      <c r="M221" s="177" t="str">
        <f t="shared" si="56"/>
        <v/>
      </c>
      <c r="N221" s="380" t="str">
        <f>IF($A221="","",IF($C221=0,_xlfn.LET(_xlpm.x,IFERROR(_xlfn.XLOOKUP($A221,Util_Tags,Util_XR),""),IF(N(_xlpm.x)=0,Xfmr_DefXR,_xlpm.x)),IF(LEFT($A221,2)="T-",IFERROR(_xlfn.XLOOKUP($A221,Transformers!$A$6:$A$105,Transformers!$AH$6:$AH$105),Xfmr_DefXR),IFERROR(_xlfn.XLOOKUP($E221,$A$6:$A$255,$N$6:$N$255),Xfmr_DefXR))))</f>
        <v/>
      </c>
      <c r="O221" s="177" t="str">
        <f t="shared" si="57"/>
        <v/>
      </c>
      <c r="P221" s="210" t="str">
        <f>IF($A221="","",IF(LEFT($A221,2)="T-",IF($CO221="","",_xlfn.LET(_xlpm.k,IFERROR(_xlfn.XLOOKUP($A221,Transformers!$A$6:$A$105,Transformers!$G$6:$G$105),""),_xlpm.sv,IFERROR(_xlfn.XLOOKUP($A221,Transformers!$A$6:$A$105,Transformers!$E$6:$E$105),""),IF(OR(NOT(ISNUMBER(_xlpm.k)),NOT(ISNUMBER(_xlpm.sv)),_xlpm.sv=0),"",_xlfn.LET(_xlpm.iInf,(_xlpm.k*1000/(_xlpm.sv/2))*100/$CO221,_xlpm.pri,IF(OR($CK221="",$CK221=0),"",$CK221/2),_xlpm.base,IF(_xlpm.pri="",_xlpm.iInf,_xlpm.iInf/(1+_xlpm.iInf/_xlpm.pri)),_xlpm.base+IF($L221="",0,$L221))))),IF($CP221="","",_xlfn.LET(_xlpm.pI,IFERROR(_xlfn.XLOOKUP($E221,$A$6:$A$255,$P$6:$P$255),""),IF(NOT(ISNUMBER(_xlpm.pI)),"",_xlpm.pI/(1+$CP221)+IF($L221="",0,$L221))))))</f>
        <v/>
      </c>
      <c r="Q221" s="210" t="str">
        <f t="shared" si="58"/>
        <v/>
      </c>
      <c r="R221" s="177" t="str">
        <f>IF($A221="","",IF(OR($C221=0,LEFT($A221,2)="T-"),"",IFERROR(_xlfn.LET(_xlpm.v,_xlfn.XLOOKUP($A221,Dashboard!$A$101:$A$350,Dashboard!$K$101:$K$350),IF(ISNUMBER(_xlpm.v),_xlpm.v,"")),"")))</f>
        <v/>
      </c>
      <c r="S221" s="211" t="str">
        <f t="shared" si="59"/>
        <v/>
      </c>
      <c r="T221" s="25" t="str">
        <f t="shared" si="60"/>
        <v/>
      </c>
      <c r="U221" s="364"/>
      <c r="BV221" s="20" t="str">
        <f>IF($A221="","",IFERROR(_xlfn.XLOOKUP("F-"&amp;$A221,'Feeder Schedule'!$B$5:$B$254,'Feeder Schedule'!$H$5:$H$254),""))</f>
        <v/>
      </c>
      <c r="BW221" s="20" t="str">
        <f>IF($A221="","",IFERROR(_xlfn.XLOOKUP("F-"&amp;$A221,'Feeder Schedule'!$B$5:$B$254,'Feeder Schedule'!$BV$5:$BV$254),""))</f>
        <v/>
      </c>
      <c r="BX221" s="20" t="str">
        <f>IF($A221="","",IFERROR(_xlfn.LET(_xlpm.v,_xlfn.XLOOKUP("F-"&amp;$A221,'Feeder Schedule'!$B$5:$B$254,'Feeder Schedule'!$M$5:$M$254),IF(OR(_xlpm.v="",_xlpm.v=0),Cfg_Conduit,_xlpm.v)),""))</f>
        <v/>
      </c>
      <c r="BY221" s="20" t="str">
        <f>IF($A221="","",IFERROR(_xlfn.XLOOKUP("F-"&amp;$A221,'Feeder Schedule'!$B$5:$B$254,'Feeder Schedule'!$O$5:$O$254),""))</f>
        <v/>
      </c>
      <c r="BZ221" s="20" t="str">
        <f>IF($A221="","",IFERROR(_xlfn.XLOOKUP("F-"&amp;$A221,'Feeder Schedule'!$B$5:$B$254,'Feeder Schedule'!$CH$5:$CH$254),""))</f>
        <v/>
      </c>
      <c r="CA221" s="20" t="str">
        <f>IF($A221="","",IFERROR(_xlfn.XLOOKUP("F-"&amp;$A221,'Feeder Schedule'!$B$5:$B$254,'Feeder Schedule'!$F$5:$F$254),""))</f>
        <v/>
      </c>
      <c r="CB221" s="20" t="str">
        <f>IF($A221="","",IFERROR(_xlfn.XLOOKUP("F-"&amp;$A221,'Feeder Schedule'!$B$5:$B$254,'Feeder Schedule'!$G$5:$G$254),""))</f>
        <v/>
      </c>
      <c r="CD221" s="20" t="str" cm="1">
        <f t="array" ref="CD221">IFERROR(IF($A221="","",INDEX(_xlfn.ANCHORARRAY($BK$4),ROW()-5,6)),"")</f>
        <v/>
      </c>
      <c r="CE221" s="20" t="str">
        <f t="shared" si="63"/>
        <v/>
      </c>
      <c r="CF221" s="20" t="str">
        <f t="shared" si="64"/>
        <v/>
      </c>
      <c r="CG221" s="20" t="str">
        <f t="shared" si="61"/>
        <v/>
      </c>
      <c r="CH221" s="20" t="str" cm="1">
        <f t="array" ref="CH221">IF(OR($A221="",$BZ221="",$BW221="",$BX221=""),"",_xlfn.LET(_xlpm.mag,IFERROR(_xlfn.XLOOKUP($BX221,Race_Raceway,Race_Mag),""),IF(_xlpm.mag="","",IFERROR(INDEX(Cond_Table,MATCH($BZ221,Cond_Size,0),IF(UPPER($BW221)="AL",IF(_xlpm.mag="Y",10,12),IF(_xlpm.mag="Y",9,11))),""))))</f>
        <v/>
      </c>
      <c r="CI221" s="20" t="str">
        <f t="shared" si="62"/>
        <v/>
      </c>
      <c r="CJ221" s="20" t="str">
        <f>IF(OR($A221="",LEFT($A221,2)&lt;&gt;"T-"),"",IFERROR(_xlfn.LET(_xlpm.fla,_xlfn.XLOOKUP($A221,Transformers!$A$6:$A$105,Transformers!$AK$6:$AK$105),_xlpm.z,_xlfn.XLOOKUP($A221,Transformers!$A$6:$A$105,Transformers!$AX$6:$AX$105),IF(OR(_xlpm.fla="",_xlpm.z="",_xlpm.z=0),"",_xlpm.fla*100/_xlpm.z)),""))</f>
        <v/>
      </c>
      <c r="CK221" s="20" t="str">
        <f t="shared" si="65"/>
        <v/>
      </c>
      <c r="CL221" s="20" t="str">
        <f t="shared" si="66"/>
        <v/>
      </c>
      <c r="CM221" s="373"/>
      <c r="CO221" s="20" t="str">
        <f>IF(OR($A221="",LEFT($A221,2)&lt;&gt;"T-"),"",_xlfn.LET(_xlpm.ph,IFERROR(_xlfn.XLOOKUP($A221,Transformers!$A$6:$A$105,Transformers!$C$6:$C$105),""),_xlpm.rr,IFERROR(_xlfn.XLOOKUP($A221,Transformers!$A$6:$A$105,Transformers!$AG$6:$AG$105),""),_xlpm.xx,IFERROR(_xlfn.XLOOKUP($A221,Transformers!$A$6:$A$105,Transformers!$AI$6:$AI$105),""),IF(OR(_xlpm.ph&lt;&gt;1,NOT(ISNUMBER(_xlpm.rr)),NOT(ISNUMBER(_xlpm.xx))),"",SQRT((1.5*_xlpm.rr)^2+(1.2*_xlpm.xx)^2))))</f>
        <v/>
      </c>
      <c r="CP221" s="20" t="str">
        <f t="shared" si="67"/>
        <v/>
      </c>
    </row>
    <row r="222" spans="1:94" ht="15" customHeight="1" x14ac:dyDescent="0.45">
      <c r="A222" s="275" t="str" cm="1">
        <f t="array" ref="A222">IFERROR(IF(INDEX(_xlfn.ANCHORARRAY($BK$4),ROW()-5,1)="","",INDEX(_xlfn.ANCHORARRAY($BK$4),ROW()-5,1)),"")</f>
        <v/>
      </c>
      <c r="B222" s="25" t="str" cm="1">
        <f t="array" ref="B222">IFERROR(IF($A222="","",INDEX(_xlfn.ANCHORARRAY($BK$4),ROW()-5,5)),"")</f>
        <v/>
      </c>
      <c r="C222" s="178" t="str" cm="1">
        <f t="array" ref="C222">IFERROR(IF($A222="","",INDEX(_xlfn.ANCHORARRAY($BK$4),ROW()-5,7)),"")</f>
        <v/>
      </c>
      <c r="D222" s="177" t="str" cm="1">
        <f t="array" ref="D222">IFERROR(IF($A222="","",INDEX(_xlfn.ANCHORARRAY($BK$4),ROW()-5,3)),"")</f>
        <v/>
      </c>
      <c r="E222" s="25" t="str" cm="1">
        <f t="array" ref="E222">IFERROR(IF($A222="","",INDEX(_xlfn.ANCHORARRAY($BK$4),ROW()-5,2)),"")</f>
        <v/>
      </c>
      <c r="F222" s="177" t="str">
        <f t="shared" si="51"/>
        <v/>
      </c>
      <c r="G222" s="275" t="str">
        <f t="shared" si="52"/>
        <v/>
      </c>
      <c r="H222" s="180" t="str">
        <f t="shared" si="53"/>
        <v/>
      </c>
      <c r="I222" s="180" t="str">
        <f t="shared" si="54"/>
        <v/>
      </c>
      <c r="J222" s="177" t="str">
        <f>_xlfn.LET(_xlpm.v,_xlfn.LET(_xlpm.base,IF($A222="","",IF($C222=0,IFERROR(_xlfn.XLOOKUP($A222,Util_Tags,Util_SCAEff),""),IF(LEFT($A222,2)="T-",IF($CJ222="","",$CJ222/(1+IF($CL222="",0,$CL222))),IF(OR($F222="",$I222=""),"",$F222*$I222)))),_xlpm.gtag,IF(OR($A222="",NOT(OR($B222="ATS",$B222="MTS"))),"",IFERROR(_xlfn.XLOOKUP($A222,Dashboard!$A$101:$A$350,Dashboard!$L$101:$L$350,"")&amp;"","")),_xlpm.gkva,IF(_xlpm.gtag="",0,IFERROR(N(_xlfn.XLOOKUP(_xlpm.gtag,Generator!$B$53:$B$58,Generator!$S$53:$S$58,0)),0)),_xlpm.gxd,IF(_xlpm.gtag="",0,IFERROR(N(_xlfn.XLOOKUP(_xlpm.gtag,Generator!$B$53:$B$58,Generator!$U$53:$U$58,0)),0)),_xlpm.gamp,IF(OR(_xlpm.gkva=0,_xlpm.gxd=0,N($D222)=0),0,ROUND(_xlpm.gkva*1000/(IF(N($CB222)=1,1,SQRT(3))*$D222*_xlpm.gxd),0)),IF(OR(_xlpm.gamp=0,NOT(ISNUMBER(_xlpm.base))),_xlpm.base,MAX(_xlpm.base,_xlpm.gamp))),_xlpm.ulim,IF(OR($A222="",$B222&lt;&gt;"UPS"),"",IFERROR(IF(_xlfn.XLOOKUP($A222,UPS!$B$57:$B$64,UPS!$E$57:$E$64,"")="None",_xlfn.XLOOKUP($A222,UPS!$B$57:$B$64,UPS!$U$57:$U$64,""),""),"")),IF(AND(ISNUMBER(_xlpm.v),ISNUMBER(_xlpm.ulim)),MIN(_xlpm.v,_xlpm.ulim),_xlpm.v))</f>
        <v/>
      </c>
      <c r="K222" s="176"/>
      <c r="L222" s="177" t="str">
        <f t="shared" si="55"/>
        <v/>
      </c>
      <c r="M222" s="177" t="str">
        <f t="shared" si="56"/>
        <v/>
      </c>
      <c r="N222" s="380" t="str">
        <f>IF($A222="","",IF($C222=0,_xlfn.LET(_xlpm.x,IFERROR(_xlfn.XLOOKUP($A222,Util_Tags,Util_XR),""),IF(N(_xlpm.x)=0,Xfmr_DefXR,_xlpm.x)),IF(LEFT($A222,2)="T-",IFERROR(_xlfn.XLOOKUP($A222,Transformers!$A$6:$A$105,Transformers!$AH$6:$AH$105),Xfmr_DefXR),IFERROR(_xlfn.XLOOKUP($E222,$A$6:$A$255,$N$6:$N$255),Xfmr_DefXR))))</f>
        <v/>
      </c>
      <c r="O222" s="177" t="str">
        <f t="shared" si="57"/>
        <v/>
      </c>
      <c r="P222" s="210" t="str">
        <f>IF($A222="","",IF(LEFT($A222,2)="T-",IF($CO222="","",_xlfn.LET(_xlpm.k,IFERROR(_xlfn.XLOOKUP($A222,Transformers!$A$6:$A$105,Transformers!$G$6:$G$105),""),_xlpm.sv,IFERROR(_xlfn.XLOOKUP($A222,Transformers!$A$6:$A$105,Transformers!$E$6:$E$105),""),IF(OR(NOT(ISNUMBER(_xlpm.k)),NOT(ISNUMBER(_xlpm.sv)),_xlpm.sv=0),"",_xlfn.LET(_xlpm.iInf,(_xlpm.k*1000/(_xlpm.sv/2))*100/$CO222,_xlpm.pri,IF(OR($CK222="",$CK222=0),"",$CK222/2),_xlpm.base,IF(_xlpm.pri="",_xlpm.iInf,_xlpm.iInf/(1+_xlpm.iInf/_xlpm.pri)),_xlpm.base+IF($L222="",0,$L222))))),IF($CP222="","",_xlfn.LET(_xlpm.pI,IFERROR(_xlfn.XLOOKUP($E222,$A$6:$A$255,$P$6:$P$255),""),IF(NOT(ISNUMBER(_xlpm.pI)),"",_xlpm.pI/(1+$CP222)+IF($L222="",0,$L222))))))</f>
        <v/>
      </c>
      <c r="Q222" s="210" t="str">
        <f t="shared" si="58"/>
        <v/>
      </c>
      <c r="R222" s="177" t="str">
        <f>IF($A222="","",IF(OR($C222=0,LEFT($A222,2)="T-"),"",IFERROR(_xlfn.LET(_xlpm.v,_xlfn.XLOOKUP($A222,Dashboard!$A$101:$A$350,Dashboard!$K$101:$K$350),IF(ISNUMBER(_xlpm.v),_xlpm.v,"")),"")))</f>
        <v/>
      </c>
      <c r="S222" s="211" t="str">
        <f t="shared" si="59"/>
        <v/>
      </c>
      <c r="T222" s="25" t="str">
        <f t="shared" si="60"/>
        <v/>
      </c>
      <c r="U222" s="364"/>
      <c r="BV222" s="20" t="str">
        <f>IF($A222="","",IFERROR(_xlfn.XLOOKUP("F-"&amp;$A222,'Feeder Schedule'!$B$5:$B$254,'Feeder Schedule'!$H$5:$H$254),""))</f>
        <v/>
      </c>
      <c r="BW222" s="20" t="str">
        <f>IF($A222="","",IFERROR(_xlfn.XLOOKUP("F-"&amp;$A222,'Feeder Schedule'!$B$5:$B$254,'Feeder Schedule'!$BV$5:$BV$254),""))</f>
        <v/>
      </c>
      <c r="BX222" s="20" t="str">
        <f>IF($A222="","",IFERROR(_xlfn.LET(_xlpm.v,_xlfn.XLOOKUP("F-"&amp;$A222,'Feeder Schedule'!$B$5:$B$254,'Feeder Schedule'!$M$5:$M$254),IF(OR(_xlpm.v="",_xlpm.v=0),Cfg_Conduit,_xlpm.v)),""))</f>
        <v/>
      </c>
      <c r="BY222" s="20" t="str">
        <f>IF($A222="","",IFERROR(_xlfn.XLOOKUP("F-"&amp;$A222,'Feeder Schedule'!$B$5:$B$254,'Feeder Schedule'!$O$5:$O$254),""))</f>
        <v/>
      </c>
      <c r="BZ222" s="20" t="str">
        <f>IF($A222="","",IFERROR(_xlfn.XLOOKUP("F-"&amp;$A222,'Feeder Schedule'!$B$5:$B$254,'Feeder Schedule'!$CH$5:$CH$254),""))</f>
        <v/>
      </c>
      <c r="CA222" s="20" t="str">
        <f>IF($A222="","",IFERROR(_xlfn.XLOOKUP("F-"&amp;$A222,'Feeder Schedule'!$B$5:$B$254,'Feeder Schedule'!$F$5:$F$254),""))</f>
        <v/>
      </c>
      <c r="CB222" s="20" t="str">
        <f>IF($A222="","",IFERROR(_xlfn.XLOOKUP("F-"&amp;$A222,'Feeder Schedule'!$B$5:$B$254,'Feeder Schedule'!$G$5:$G$254),""))</f>
        <v/>
      </c>
      <c r="CD222" s="20" t="str" cm="1">
        <f t="array" ref="CD222">IFERROR(IF($A222="","",INDEX(_xlfn.ANCHORARRAY($BK$4),ROW()-5,6)),"")</f>
        <v/>
      </c>
      <c r="CE222" s="20" t="str">
        <f t="shared" si="63"/>
        <v/>
      </c>
      <c r="CF222" s="20" t="str">
        <f t="shared" si="64"/>
        <v/>
      </c>
      <c r="CG222" s="20" t="str">
        <f t="shared" si="61"/>
        <v/>
      </c>
      <c r="CH222" s="20" t="str" cm="1">
        <f t="array" ref="CH222">IF(OR($A222="",$BZ222="",$BW222="",$BX222=""),"",_xlfn.LET(_xlpm.mag,IFERROR(_xlfn.XLOOKUP($BX222,Race_Raceway,Race_Mag),""),IF(_xlpm.mag="","",IFERROR(INDEX(Cond_Table,MATCH($BZ222,Cond_Size,0),IF(UPPER($BW222)="AL",IF(_xlpm.mag="Y",10,12),IF(_xlpm.mag="Y",9,11))),""))))</f>
        <v/>
      </c>
      <c r="CI222" s="20" t="str">
        <f t="shared" si="62"/>
        <v/>
      </c>
      <c r="CJ222" s="20" t="str">
        <f>IF(OR($A222="",LEFT($A222,2)&lt;&gt;"T-"),"",IFERROR(_xlfn.LET(_xlpm.fla,_xlfn.XLOOKUP($A222,Transformers!$A$6:$A$105,Transformers!$AK$6:$AK$105),_xlpm.z,_xlfn.XLOOKUP($A222,Transformers!$A$6:$A$105,Transformers!$AX$6:$AX$105),IF(OR(_xlpm.fla="",_xlpm.z="",_xlpm.z=0),"",_xlpm.fla*100/_xlpm.z)),""))</f>
        <v/>
      </c>
      <c r="CK222" s="20" t="str">
        <f t="shared" si="65"/>
        <v/>
      </c>
      <c r="CL222" s="20" t="str">
        <f t="shared" si="66"/>
        <v/>
      </c>
      <c r="CM222" s="373"/>
      <c r="CO222" s="20" t="str">
        <f>IF(OR($A222="",LEFT($A222,2)&lt;&gt;"T-"),"",_xlfn.LET(_xlpm.ph,IFERROR(_xlfn.XLOOKUP($A222,Transformers!$A$6:$A$105,Transformers!$C$6:$C$105),""),_xlpm.rr,IFERROR(_xlfn.XLOOKUP($A222,Transformers!$A$6:$A$105,Transformers!$AG$6:$AG$105),""),_xlpm.xx,IFERROR(_xlfn.XLOOKUP($A222,Transformers!$A$6:$A$105,Transformers!$AI$6:$AI$105),""),IF(OR(_xlpm.ph&lt;&gt;1,NOT(ISNUMBER(_xlpm.rr)),NOT(ISNUMBER(_xlpm.xx))),"",SQRT((1.5*_xlpm.rr)^2+(1.2*_xlpm.xx)^2))))</f>
        <v/>
      </c>
      <c r="CP222" s="20" t="str">
        <f t="shared" si="67"/>
        <v/>
      </c>
    </row>
    <row r="223" spans="1:94" ht="15" customHeight="1" x14ac:dyDescent="0.45">
      <c r="A223" s="275" t="str" cm="1">
        <f t="array" ref="A223">IFERROR(IF(INDEX(_xlfn.ANCHORARRAY($BK$4),ROW()-5,1)="","",INDEX(_xlfn.ANCHORARRAY($BK$4),ROW()-5,1)),"")</f>
        <v/>
      </c>
      <c r="B223" s="25" t="str" cm="1">
        <f t="array" ref="B223">IFERROR(IF($A223="","",INDEX(_xlfn.ANCHORARRAY($BK$4),ROW()-5,5)),"")</f>
        <v/>
      </c>
      <c r="C223" s="178" t="str" cm="1">
        <f t="array" ref="C223">IFERROR(IF($A223="","",INDEX(_xlfn.ANCHORARRAY($BK$4),ROW()-5,7)),"")</f>
        <v/>
      </c>
      <c r="D223" s="177" t="str" cm="1">
        <f t="array" ref="D223">IFERROR(IF($A223="","",INDEX(_xlfn.ANCHORARRAY($BK$4),ROW()-5,3)),"")</f>
        <v/>
      </c>
      <c r="E223" s="25" t="str" cm="1">
        <f t="array" ref="E223">IFERROR(IF($A223="","",INDEX(_xlfn.ANCHORARRAY($BK$4),ROW()-5,2)),"")</f>
        <v/>
      </c>
      <c r="F223" s="177" t="str">
        <f t="shared" si="51"/>
        <v/>
      </c>
      <c r="G223" s="275" t="str">
        <f t="shared" si="52"/>
        <v/>
      </c>
      <c r="H223" s="180" t="str">
        <f t="shared" si="53"/>
        <v/>
      </c>
      <c r="I223" s="180" t="str">
        <f t="shared" si="54"/>
        <v/>
      </c>
      <c r="J223" s="177" t="str">
        <f>_xlfn.LET(_xlpm.v,_xlfn.LET(_xlpm.base,IF($A223="","",IF($C223=0,IFERROR(_xlfn.XLOOKUP($A223,Util_Tags,Util_SCAEff),""),IF(LEFT($A223,2)="T-",IF($CJ223="","",$CJ223/(1+IF($CL223="",0,$CL223))),IF(OR($F223="",$I223=""),"",$F223*$I223)))),_xlpm.gtag,IF(OR($A223="",NOT(OR($B223="ATS",$B223="MTS"))),"",IFERROR(_xlfn.XLOOKUP($A223,Dashboard!$A$101:$A$350,Dashboard!$L$101:$L$350,"")&amp;"","")),_xlpm.gkva,IF(_xlpm.gtag="",0,IFERROR(N(_xlfn.XLOOKUP(_xlpm.gtag,Generator!$B$53:$B$58,Generator!$S$53:$S$58,0)),0)),_xlpm.gxd,IF(_xlpm.gtag="",0,IFERROR(N(_xlfn.XLOOKUP(_xlpm.gtag,Generator!$B$53:$B$58,Generator!$U$53:$U$58,0)),0)),_xlpm.gamp,IF(OR(_xlpm.gkva=0,_xlpm.gxd=0,N($D223)=0),0,ROUND(_xlpm.gkva*1000/(IF(N($CB223)=1,1,SQRT(3))*$D223*_xlpm.gxd),0)),IF(OR(_xlpm.gamp=0,NOT(ISNUMBER(_xlpm.base))),_xlpm.base,MAX(_xlpm.base,_xlpm.gamp))),_xlpm.ulim,IF(OR($A223="",$B223&lt;&gt;"UPS"),"",IFERROR(IF(_xlfn.XLOOKUP($A223,UPS!$B$57:$B$64,UPS!$E$57:$E$64,"")="None",_xlfn.XLOOKUP($A223,UPS!$B$57:$B$64,UPS!$U$57:$U$64,""),""),"")),IF(AND(ISNUMBER(_xlpm.v),ISNUMBER(_xlpm.ulim)),MIN(_xlpm.v,_xlpm.ulim),_xlpm.v))</f>
        <v/>
      </c>
      <c r="K223" s="176"/>
      <c r="L223" s="177" t="str">
        <f t="shared" si="55"/>
        <v/>
      </c>
      <c r="M223" s="177" t="str">
        <f t="shared" si="56"/>
        <v/>
      </c>
      <c r="N223" s="380" t="str">
        <f>IF($A223="","",IF($C223=0,_xlfn.LET(_xlpm.x,IFERROR(_xlfn.XLOOKUP($A223,Util_Tags,Util_XR),""),IF(N(_xlpm.x)=0,Xfmr_DefXR,_xlpm.x)),IF(LEFT($A223,2)="T-",IFERROR(_xlfn.XLOOKUP($A223,Transformers!$A$6:$A$105,Transformers!$AH$6:$AH$105),Xfmr_DefXR),IFERROR(_xlfn.XLOOKUP($E223,$A$6:$A$255,$N$6:$N$255),Xfmr_DefXR))))</f>
        <v/>
      </c>
      <c r="O223" s="177" t="str">
        <f t="shared" si="57"/>
        <v/>
      </c>
      <c r="P223" s="210" t="str">
        <f>IF($A223="","",IF(LEFT($A223,2)="T-",IF($CO223="","",_xlfn.LET(_xlpm.k,IFERROR(_xlfn.XLOOKUP($A223,Transformers!$A$6:$A$105,Transformers!$G$6:$G$105),""),_xlpm.sv,IFERROR(_xlfn.XLOOKUP($A223,Transformers!$A$6:$A$105,Transformers!$E$6:$E$105),""),IF(OR(NOT(ISNUMBER(_xlpm.k)),NOT(ISNUMBER(_xlpm.sv)),_xlpm.sv=0),"",_xlfn.LET(_xlpm.iInf,(_xlpm.k*1000/(_xlpm.sv/2))*100/$CO223,_xlpm.pri,IF(OR($CK223="",$CK223=0),"",$CK223/2),_xlpm.base,IF(_xlpm.pri="",_xlpm.iInf,_xlpm.iInf/(1+_xlpm.iInf/_xlpm.pri)),_xlpm.base+IF($L223="",0,$L223))))),IF($CP223="","",_xlfn.LET(_xlpm.pI,IFERROR(_xlfn.XLOOKUP($E223,$A$6:$A$255,$P$6:$P$255),""),IF(NOT(ISNUMBER(_xlpm.pI)),"",_xlpm.pI/(1+$CP223)+IF($L223="",0,$L223))))))</f>
        <v/>
      </c>
      <c r="Q223" s="210" t="str">
        <f t="shared" si="58"/>
        <v/>
      </c>
      <c r="R223" s="177" t="str">
        <f>IF($A223="","",IF(OR($C223=0,LEFT($A223,2)="T-"),"",IFERROR(_xlfn.LET(_xlpm.v,_xlfn.XLOOKUP($A223,Dashboard!$A$101:$A$350,Dashboard!$K$101:$K$350),IF(ISNUMBER(_xlpm.v),_xlpm.v,"")),"")))</f>
        <v/>
      </c>
      <c r="S223" s="211" t="str">
        <f t="shared" si="59"/>
        <v/>
      </c>
      <c r="T223" s="25" t="str">
        <f t="shared" si="60"/>
        <v/>
      </c>
      <c r="U223" s="364"/>
      <c r="BV223" s="20" t="str">
        <f>IF($A223="","",IFERROR(_xlfn.XLOOKUP("F-"&amp;$A223,'Feeder Schedule'!$B$5:$B$254,'Feeder Schedule'!$H$5:$H$254),""))</f>
        <v/>
      </c>
      <c r="BW223" s="20" t="str">
        <f>IF($A223="","",IFERROR(_xlfn.XLOOKUP("F-"&amp;$A223,'Feeder Schedule'!$B$5:$B$254,'Feeder Schedule'!$BV$5:$BV$254),""))</f>
        <v/>
      </c>
      <c r="BX223" s="20" t="str">
        <f>IF($A223="","",IFERROR(_xlfn.LET(_xlpm.v,_xlfn.XLOOKUP("F-"&amp;$A223,'Feeder Schedule'!$B$5:$B$254,'Feeder Schedule'!$M$5:$M$254),IF(OR(_xlpm.v="",_xlpm.v=0),Cfg_Conduit,_xlpm.v)),""))</f>
        <v/>
      </c>
      <c r="BY223" s="20" t="str">
        <f>IF($A223="","",IFERROR(_xlfn.XLOOKUP("F-"&amp;$A223,'Feeder Schedule'!$B$5:$B$254,'Feeder Schedule'!$O$5:$O$254),""))</f>
        <v/>
      </c>
      <c r="BZ223" s="20" t="str">
        <f>IF($A223="","",IFERROR(_xlfn.XLOOKUP("F-"&amp;$A223,'Feeder Schedule'!$B$5:$B$254,'Feeder Schedule'!$CH$5:$CH$254),""))</f>
        <v/>
      </c>
      <c r="CA223" s="20" t="str">
        <f>IF($A223="","",IFERROR(_xlfn.XLOOKUP("F-"&amp;$A223,'Feeder Schedule'!$B$5:$B$254,'Feeder Schedule'!$F$5:$F$254),""))</f>
        <v/>
      </c>
      <c r="CB223" s="20" t="str">
        <f>IF($A223="","",IFERROR(_xlfn.XLOOKUP("F-"&amp;$A223,'Feeder Schedule'!$B$5:$B$254,'Feeder Schedule'!$G$5:$G$254),""))</f>
        <v/>
      </c>
      <c r="CD223" s="20" t="str" cm="1">
        <f t="array" ref="CD223">IFERROR(IF($A223="","",INDEX(_xlfn.ANCHORARRAY($BK$4),ROW()-5,6)),"")</f>
        <v/>
      </c>
      <c r="CE223" s="20" t="str">
        <f t="shared" si="63"/>
        <v/>
      </c>
      <c r="CF223" s="20" t="str">
        <f t="shared" si="64"/>
        <v/>
      </c>
      <c r="CG223" s="20" t="str">
        <f t="shared" si="61"/>
        <v/>
      </c>
      <c r="CH223" s="20" t="str" cm="1">
        <f t="array" ref="CH223">IF(OR($A223="",$BZ223="",$BW223="",$BX223=""),"",_xlfn.LET(_xlpm.mag,IFERROR(_xlfn.XLOOKUP($BX223,Race_Raceway,Race_Mag),""),IF(_xlpm.mag="","",IFERROR(INDEX(Cond_Table,MATCH($BZ223,Cond_Size,0),IF(UPPER($BW223)="AL",IF(_xlpm.mag="Y",10,12),IF(_xlpm.mag="Y",9,11))),""))))</f>
        <v/>
      </c>
      <c r="CI223" s="20" t="str">
        <f t="shared" si="62"/>
        <v/>
      </c>
      <c r="CJ223" s="20" t="str">
        <f>IF(OR($A223="",LEFT($A223,2)&lt;&gt;"T-"),"",IFERROR(_xlfn.LET(_xlpm.fla,_xlfn.XLOOKUP($A223,Transformers!$A$6:$A$105,Transformers!$AK$6:$AK$105),_xlpm.z,_xlfn.XLOOKUP($A223,Transformers!$A$6:$A$105,Transformers!$AX$6:$AX$105),IF(OR(_xlpm.fla="",_xlpm.z="",_xlpm.z=0),"",_xlpm.fla*100/_xlpm.z)),""))</f>
        <v/>
      </c>
      <c r="CK223" s="20" t="str">
        <f t="shared" si="65"/>
        <v/>
      </c>
      <c r="CL223" s="20" t="str">
        <f t="shared" si="66"/>
        <v/>
      </c>
      <c r="CM223" s="373"/>
      <c r="CO223" s="20" t="str">
        <f>IF(OR($A223="",LEFT($A223,2)&lt;&gt;"T-"),"",_xlfn.LET(_xlpm.ph,IFERROR(_xlfn.XLOOKUP($A223,Transformers!$A$6:$A$105,Transformers!$C$6:$C$105),""),_xlpm.rr,IFERROR(_xlfn.XLOOKUP($A223,Transformers!$A$6:$A$105,Transformers!$AG$6:$AG$105),""),_xlpm.xx,IFERROR(_xlfn.XLOOKUP($A223,Transformers!$A$6:$A$105,Transformers!$AI$6:$AI$105),""),IF(OR(_xlpm.ph&lt;&gt;1,NOT(ISNUMBER(_xlpm.rr)),NOT(ISNUMBER(_xlpm.xx))),"",SQRT((1.5*_xlpm.rr)^2+(1.2*_xlpm.xx)^2))))</f>
        <v/>
      </c>
      <c r="CP223" s="20" t="str">
        <f t="shared" si="67"/>
        <v/>
      </c>
    </row>
    <row r="224" spans="1:94" ht="15" customHeight="1" x14ac:dyDescent="0.45">
      <c r="A224" s="275" t="str" cm="1">
        <f t="array" ref="A224">IFERROR(IF(INDEX(_xlfn.ANCHORARRAY($BK$4),ROW()-5,1)="","",INDEX(_xlfn.ANCHORARRAY($BK$4),ROW()-5,1)),"")</f>
        <v/>
      </c>
      <c r="B224" s="25" t="str" cm="1">
        <f t="array" ref="B224">IFERROR(IF($A224="","",INDEX(_xlfn.ANCHORARRAY($BK$4),ROW()-5,5)),"")</f>
        <v/>
      </c>
      <c r="C224" s="178" t="str" cm="1">
        <f t="array" ref="C224">IFERROR(IF($A224="","",INDEX(_xlfn.ANCHORARRAY($BK$4),ROW()-5,7)),"")</f>
        <v/>
      </c>
      <c r="D224" s="177" t="str" cm="1">
        <f t="array" ref="D224">IFERROR(IF($A224="","",INDEX(_xlfn.ANCHORARRAY($BK$4),ROW()-5,3)),"")</f>
        <v/>
      </c>
      <c r="E224" s="25" t="str" cm="1">
        <f t="array" ref="E224">IFERROR(IF($A224="","",INDEX(_xlfn.ANCHORARRAY($BK$4),ROW()-5,2)),"")</f>
        <v/>
      </c>
      <c r="F224" s="177" t="str">
        <f t="shared" si="51"/>
        <v/>
      </c>
      <c r="G224" s="275" t="str">
        <f t="shared" si="52"/>
        <v/>
      </c>
      <c r="H224" s="180" t="str">
        <f t="shared" si="53"/>
        <v/>
      </c>
      <c r="I224" s="180" t="str">
        <f t="shared" si="54"/>
        <v/>
      </c>
      <c r="J224" s="177" t="str">
        <f>_xlfn.LET(_xlpm.v,_xlfn.LET(_xlpm.base,IF($A224="","",IF($C224=0,IFERROR(_xlfn.XLOOKUP($A224,Util_Tags,Util_SCAEff),""),IF(LEFT($A224,2)="T-",IF($CJ224="","",$CJ224/(1+IF($CL224="",0,$CL224))),IF(OR($F224="",$I224=""),"",$F224*$I224)))),_xlpm.gtag,IF(OR($A224="",NOT(OR($B224="ATS",$B224="MTS"))),"",IFERROR(_xlfn.XLOOKUP($A224,Dashboard!$A$101:$A$350,Dashboard!$L$101:$L$350,"")&amp;"","")),_xlpm.gkva,IF(_xlpm.gtag="",0,IFERROR(N(_xlfn.XLOOKUP(_xlpm.gtag,Generator!$B$53:$B$58,Generator!$S$53:$S$58,0)),0)),_xlpm.gxd,IF(_xlpm.gtag="",0,IFERROR(N(_xlfn.XLOOKUP(_xlpm.gtag,Generator!$B$53:$B$58,Generator!$U$53:$U$58,0)),0)),_xlpm.gamp,IF(OR(_xlpm.gkva=0,_xlpm.gxd=0,N($D224)=0),0,ROUND(_xlpm.gkva*1000/(IF(N($CB224)=1,1,SQRT(3))*$D224*_xlpm.gxd),0)),IF(OR(_xlpm.gamp=0,NOT(ISNUMBER(_xlpm.base))),_xlpm.base,MAX(_xlpm.base,_xlpm.gamp))),_xlpm.ulim,IF(OR($A224="",$B224&lt;&gt;"UPS"),"",IFERROR(IF(_xlfn.XLOOKUP($A224,UPS!$B$57:$B$64,UPS!$E$57:$E$64,"")="None",_xlfn.XLOOKUP($A224,UPS!$B$57:$B$64,UPS!$U$57:$U$64,""),""),"")),IF(AND(ISNUMBER(_xlpm.v),ISNUMBER(_xlpm.ulim)),MIN(_xlpm.v,_xlpm.ulim),_xlpm.v))</f>
        <v/>
      </c>
      <c r="K224" s="176"/>
      <c r="L224" s="177" t="str">
        <f t="shared" si="55"/>
        <v/>
      </c>
      <c r="M224" s="177" t="str">
        <f t="shared" si="56"/>
        <v/>
      </c>
      <c r="N224" s="380" t="str">
        <f>IF($A224="","",IF($C224=0,_xlfn.LET(_xlpm.x,IFERROR(_xlfn.XLOOKUP($A224,Util_Tags,Util_XR),""),IF(N(_xlpm.x)=0,Xfmr_DefXR,_xlpm.x)),IF(LEFT($A224,2)="T-",IFERROR(_xlfn.XLOOKUP($A224,Transformers!$A$6:$A$105,Transformers!$AH$6:$AH$105),Xfmr_DefXR),IFERROR(_xlfn.XLOOKUP($E224,$A$6:$A$255,$N$6:$N$255),Xfmr_DefXR))))</f>
        <v/>
      </c>
      <c r="O224" s="177" t="str">
        <f t="shared" si="57"/>
        <v/>
      </c>
      <c r="P224" s="210" t="str">
        <f>IF($A224="","",IF(LEFT($A224,2)="T-",IF($CO224="","",_xlfn.LET(_xlpm.k,IFERROR(_xlfn.XLOOKUP($A224,Transformers!$A$6:$A$105,Transformers!$G$6:$G$105),""),_xlpm.sv,IFERROR(_xlfn.XLOOKUP($A224,Transformers!$A$6:$A$105,Transformers!$E$6:$E$105),""),IF(OR(NOT(ISNUMBER(_xlpm.k)),NOT(ISNUMBER(_xlpm.sv)),_xlpm.sv=0),"",_xlfn.LET(_xlpm.iInf,(_xlpm.k*1000/(_xlpm.sv/2))*100/$CO224,_xlpm.pri,IF(OR($CK224="",$CK224=0),"",$CK224/2),_xlpm.base,IF(_xlpm.pri="",_xlpm.iInf,_xlpm.iInf/(1+_xlpm.iInf/_xlpm.pri)),_xlpm.base+IF($L224="",0,$L224))))),IF($CP224="","",_xlfn.LET(_xlpm.pI,IFERROR(_xlfn.XLOOKUP($E224,$A$6:$A$255,$P$6:$P$255),""),IF(NOT(ISNUMBER(_xlpm.pI)),"",_xlpm.pI/(1+$CP224)+IF($L224="",0,$L224))))))</f>
        <v/>
      </c>
      <c r="Q224" s="210" t="str">
        <f t="shared" si="58"/>
        <v/>
      </c>
      <c r="R224" s="177" t="str">
        <f>IF($A224="","",IF(OR($C224=0,LEFT($A224,2)="T-"),"",IFERROR(_xlfn.LET(_xlpm.v,_xlfn.XLOOKUP($A224,Dashboard!$A$101:$A$350,Dashboard!$K$101:$K$350),IF(ISNUMBER(_xlpm.v),_xlpm.v,"")),"")))</f>
        <v/>
      </c>
      <c r="S224" s="211" t="str">
        <f t="shared" si="59"/>
        <v/>
      </c>
      <c r="T224" s="25" t="str">
        <f t="shared" si="60"/>
        <v/>
      </c>
      <c r="U224" s="364"/>
      <c r="BV224" s="20" t="str">
        <f>IF($A224="","",IFERROR(_xlfn.XLOOKUP("F-"&amp;$A224,'Feeder Schedule'!$B$5:$B$254,'Feeder Schedule'!$H$5:$H$254),""))</f>
        <v/>
      </c>
      <c r="BW224" s="20" t="str">
        <f>IF($A224="","",IFERROR(_xlfn.XLOOKUP("F-"&amp;$A224,'Feeder Schedule'!$B$5:$B$254,'Feeder Schedule'!$BV$5:$BV$254),""))</f>
        <v/>
      </c>
      <c r="BX224" s="20" t="str">
        <f>IF($A224="","",IFERROR(_xlfn.LET(_xlpm.v,_xlfn.XLOOKUP("F-"&amp;$A224,'Feeder Schedule'!$B$5:$B$254,'Feeder Schedule'!$M$5:$M$254),IF(OR(_xlpm.v="",_xlpm.v=0),Cfg_Conduit,_xlpm.v)),""))</f>
        <v/>
      </c>
      <c r="BY224" s="20" t="str">
        <f>IF($A224="","",IFERROR(_xlfn.XLOOKUP("F-"&amp;$A224,'Feeder Schedule'!$B$5:$B$254,'Feeder Schedule'!$O$5:$O$254),""))</f>
        <v/>
      </c>
      <c r="BZ224" s="20" t="str">
        <f>IF($A224="","",IFERROR(_xlfn.XLOOKUP("F-"&amp;$A224,'Feeder Schedule'!$B$5:$B$254,'Feeder Schedule'!$CH$5:$CH$254),""))</f>
        <v/>
      </c>
      <c r="CA224" s="20" t="str">
        <f>IF($A224="","",IFERROR(_xlfn.XLOOKUP("F-"&amp;$A224,'Feeder Schedule'!$B$5:$B$254,'Feeder Schedule'!$F$5:$F$254),""))</f>
        <v/>
      </c>
      <c r="CB224" s="20" t="str">
        <f>IF($A224="","",IFERROR(_xlfn.XLOOKUP("F-"&amp;$A224,'Feeder Schedule'!$B$5:$B$254,'Feeder Schedule'!$G$5:$G$254),""))</f>
        <v/>
      </c>
      <c r="CD224" s="20" t="str" cm="1">
        <f t="array" ref="CD224">IFERROR(IF($A224="","",INDEX(_xlfn.ANCHORARRAY($BK$4),ROW()-5,6)),"")</f>
        <v/>
      </c>
      <c r="CE224" s="20" t="str">
        <f t="shared" si="63"/>
        <v/>
      </c>
      <c r="CF224" s="20" t="str">
        <f t="shared" si="64"/>
        <v/>
      </c>
      <c r="CG224" s="20" t="str">
        <f t="shared" si="61"/>
        <v/>
      </c>
      <c r="CH224" s="20" t="str" cm="1">
        <f t="array" ref="CH224">IF(OR($A224="",$BZ224="",$BW224="",$BX224=""),"",_xlfn.LET(_xlpm.mag,IFERROR(_xlfn.XLOOKUP($BX224,Race_Raceway,Race_Mag),""),IF(_xlpm.mag="","",IFERROR(INDEX(Cond_Table,MATCH($BZ224,Cond_Size,0),IF(UPPER($BW224)="AL",IF(_xlpm.mag="Y",10,12),IF(_xlpm.mag="Y",9,11))),""))))</f>
        <v/>
      </c>
      <c r="CI224" s="20" t="str">
        <f t="shared" si="62"/>
        <v/>
      </c>
      <c r="CJ224" s="20" t="str">
        <f>IF(OR($A224="",LEFT($A224,2)&lt;&gt;"T-"),"",IFERROR(_xlfn.LET(_xlpm.fla,_xlfn.XLOOKUP($A224,Transformers!$A$6:$A$105,Transformers!$AK$6:$AK$105),_xlpm.z,_xlfn.XLOOKUP($A224,Transformers!$A$6:$A$105,Transformers!$AX$6:$AX$105),IF(OR(_xlpm.fla="",_xlpm.z="",_xlpm.z=0),"",_xlpm.fla*100/_xlpm.z)),""))</f>
        <v/>
      </c>
      <c r="CK224" s="20" t="str">
        <f t="shared" si="65"/>
        <v/>
      </c>
      <c r="CL224" s="20" t="str">
        <f t="shared" si="66"/>
        <v/>
      </c>
      <c r="CM224" s="373"/>
      <c r="CO224" s="20" t="str">
        <f>IF(OR($A224="",LEFT($A224,2)&lt;&gt;"T-"),"",_xlfn.LET(_xlpm.ph,IFERROR(_xlfn.XLOOKUP($A224,Transformers!$A$6:$A$105,Transformers!$C$6:$C$105),""),_xlpm.rr,IFERROR(_xlfn.XLOOKUP($A224,Transformers!$A$6:$A$105,Transformers!$AG$6:$AG$105),""),_xlpm.xx,IFERROR(_xlfn.XLOOKUP($A224,Transformers!$A$6:$A$105,Transformers!$AI$6:$AI$105),""),IF(OR(_xlpm.ph&lt;&gt;1,NOT(ISNUMBER(_xlpm.rr)),NOT(ISNUMBER(_xlpm.xx))),"",SQRT((1.5*_xlpm.rr)^2+(1.2*_xlpm.xx)^2))))</f>
        <v/>
      </c>
      <c r="CP224" s="20" t="str">
        <f t="shared" si="67"/>
        <v/>
      </c>
    </row>
    <row r="225" spans="1:94" ht="15" customHeight="1" x14ac:dyDescent="0.45">
      <c r="A225" s="275" t="str" cm="1">
        <f t="array" ref="A225">IFERROR(IF(INDEX(_xlfn.ANCHORARRAY($BK$4),ROW()-5,1)="","",INDEX(_xlfn.ANCHORARRAY($BK$4),ROW()-5,1)),"")</f>
        <v/>
      </c>
      <c r="B225" s="25" t="str" cm="1">
        <f t="array" ref="B225">IFERROR(IF($A225="","",INDEX(_xlfn.ANCHORARRAY($BK$4),ROW()-5,5)),"")</f>
        <v/>
      </c>
      <c r="C225" s="178" t="str" cm="1">
        <f t="array" ref="C225">IFERROR(IF($A225="","",INDEX(_xlfn.ANCHORARRAY($BK$4),ROW()-5,7)),"")</f>
        <v/>
      </c>
      <c r="D225" s="177" t="str" cm="1">
        <f t="array" ref="D225">IFERROR(IF($A225="","",INDEX(_xlfn.ANCHORARRAY($BK$4),ROW()-5,3)),"")</f>
        <v/>
      </c>
      <c r="E225" s="25" t="str" cm="1">
        <f t="array" ref="E225">IFERROR(IF($A225="","",INDEX(_xlfn.ANCHORARRAY($BK$4),ROW()-5,2)),"")</f>
        <v/>
      </c>
      <c r="F225" s="177" t="str">
        <f t="shared" si="51"/>
        <v/>
      </c>
      <c r="G225" s="275" t="str">
        <f t="shared" si="52"/>
        <v/>
      </c>
      <c r="H225" s="180" t="str">
        <f t="shared" si="53"/>
        <v/>
      </c>
      <c r="I225" s="180" t="str">
        <f t="shared" si="54"/>
        <v/>
      </c>
      <c r="J225" s="177" t="str">
        <f>_xlfn.LET(_xlpm.v,_xlfn.LET(_xlpm.base,IF($A225="","",IF($C225=0,IFERROR(_xlfn.XLOOKUP($A225,Util_Tags,Util_SCAEff),""),IF(LEFT($A225,2)="T-",IF($CJ225="","",$CJ225/(1+IF($CL225="",0,$CL225))),IF(OR($F225="",$I225=""),"",$F225*$I225)))),_xlpm.gtag,IF(OR($A225="",NOT(OR($B225="ATS",$B225="MTS"))),"",IFERROR(_xlfn.XLOOKUP($A225,Dashboard!$A$101:$A$350,Dashboard!$L$101:$L$350,"")&amp;"","")),_xlpm.gkva,IF(_xlpm.gtag="",0,IFERROR(N(_xlfn.XLOOKUP(_xlpm.gtag,Generator!$B$53:$B$58,Generator!$S$53:$S$58,0)),0)),_xlpm.gxd,IF(_xlpm.gtag="",0,IFERROR(N(_xlfn.XLOOKUP(_xlpm.gtag,Generator!$B$53:$B$58,Generator!$U$53:$U$58,0)),0)),_xlpm.gamp,IF(OR(_xlpm.gkva=0,_xlpm.gxd=0,N($D225)=0),0,ROUND(_xlpm.gkva*1000/(IF(N($CB225)=1,1,SQRT(3))*$D225*_xlpm.gxd),0)),IF(OR(_xlpm.gamp=0,NOT(ISNUMBER(_xlpm.base))),_xlpm.base,MAX(_xlpm.base,_xlpm.gamp))),_xlpm.ulim,IF(OR($A225="",$B225&lt;&gt;"UPS"),"",IFERROR(IF(_xlfn.XLOOKUP($A225,UPS!$B$57:$B$64,UPS!$E$57:$E$64,"")="None",_xlfn.XLOOKUP($A225,UPS!$B$57:$B$64,UPS!$U$57:$U$64,""),""),"")),IF(AND(ISNUMBER(_xlpm.v),ISNUMBER(_xlpm.ulim)),MIN(_xlpm.v,_xlpm.ulim),_xlpm.v))</f>
        <v/>
      </c>
      <c r="K225" s="176"/>
      <c r="L225" s="177" t="str">
        <f t="shared" si="55"/>
        <v/>
      </c>
      <c r="M225" s="177" t="str">
        <f t="shared" si="56"/>
        <v/>
      </c>
      <c r="N225" s="380" t="str">
        <f>IF($A225="","",IF($C225=0,_xlfn.LET(_xlpm.x,IFERROR(_xlfn.XLOOKUP($A225,Util_Tags,Util_XR),""),IF(N(_xlpm.x)=0,Xfmr_DefXR,_xlpm.x)),IF(LEFT($A225,2)="T-",IFERROR(_xlfn.XLOOKUP($A225,Transformers!$A$6:$A$105,Transformers!$AH$6:$AH$105),Xfmr_DefXR),IFERROR(_xlfn.XLOOKUP($E225,$A$6:$A$255,$N$6:$N$255),Xfmr_DefXR))))</f>
        <v/>
      </c>
      <c r="O225" s="177" t="str">
        <f t="shared" si="57"/>
        <v/>
      </c>
      <c r="P225" s="210" t="str">
        <f>IF($A225="","",IF(LEFT($A225,2)="T-",IF($CO225="","",_xlfn.LET(_xlpm.k,IFERROR(_xlfn.XLOOKUP($A225,Transformers!$A$6:$A$105,Transformers!$G$6:$G$105),""),_xlpm.sv,IFERROR(_xlfn.XLOOKUP($A225,Transformers!$A$6:$A$105,Transformers!$E$6:$E$105),""),IF(OR(NOT(ISNUMBER(_xlpm.k)),NOT(ISNUMBER(_xlpm.sv)),_xlpm.sv=0),"",_xlfn.LET(_xlpm.iInf,(_xlpm.k*1000/(_xlpm.sv/2))*100/$CO225,_xlpm.pri,IF(OR($CK225="",$CK225=0),"",$CK225/2),_xlpm.base,IF(_xlpm.pri="",_xlpm.iInf,_xlpm.iInf/(1+_xlpm.iInf/_xlpm.pri)),_xlpm.base+IF($L225="",0,$L225))))),IF($CP225="","",_xlfn.LET(_xlpm.pI,IFERROR(_xlfn.XLOOKUP($E225,$A$6:$A$255,$P$6:$P$255),""),IF(NOT(ISNUMBER(_xlpm.pI)),"",_xlpm.pI/(1+$CP225)+IF($L225="",0,$L225))))))</f>
        <v/>
      </c>
      <c r="Q225" s="210" t="str">
        <f t="shared" si="58"/>
        <v/>
      </c>
      <c r="R225" s="177" t="str">
        <f>IF($A225="","",IF(OR($C225=0,LEFT($A225,2)="T-"),"",IFERROR(_xlfn.LET(_xlpm.v,_xlfn.XLOOKUP($A225,Dashboard!$A$101:$A$350,Dashboard!$K$101:$K$350),IF(ISNUMBER(_xlpm.v),_xlpm.v,"")),"")))</f>
        <v/>
      </c>
      <c r="S225" s="211" t="str">
        <f t="shared" si="59"/>
        <v/>
      </c>
      <c r="T225" s="25" t="str">
        <f t="shared" si="60"/>
        <v/>
      </c>
      <c r="U225" s="364"/>
      <c r="BV225" s="20" t="str">
        <f>IF($A225="","",IFERROR(_xlfn.XLOOKUP("F-"&amp;$A225,'Feeder Schedule'!$B$5:$B$254,'Feeder Schedule'!$H$5:$H$254),""))</f>
        <v/>
      </c>
      <c r="BW225" s="20" t="str">
        <f>IF($A225="","",IFERROR(_xlfn.XLOOKUP("F-"&amp;$A225,'Feeder Schedule'!$B$5:$B$254,'Feeder Schedule'!$BV$5:$BV$254),""))</f>
        <v/>
      </c>
      <c r="BX225" s="20" t="str">
        <f>IF($A225="","",IFERROR(_xlfn.LET(_xlpm.v,_xlfn.XLOOKUP("F-"&amp;$A225,'Feeder Schedule'!$B$5:$B$254,'Feeder Schedule'!$M$5:$M$254),IF(OR(_xlpm.v="",_xlpm.v=0),Cfg_Conduit,_xlpm.v)),""))</f>
        <v/>
      </c>
      <c r="BY225" s="20" t="str">
        <f>IF($A225="","",IFERROR(_xlfn.XLOOKUP("F-"&amp;$A225,'Feeder Schedule'!$B$5:$B$254,'Feeder Schedule'!$O$5:$O$254),""))</f>
        <v/>
      </c>
      <c r="BZ225" s="20" t="str">
        <f>IF($A225="","",IFERROR(_xlfn.XLOOKUP("F-"&amp;$A225,'Feeder Schedule'!$B$5:$B$254,'Feeder Schedule'!$CH$5:$CH$254),""))</f>
        <v/>
      </c>
      <c r="CA225" s="20" t="str">
        <f>IF($A225="","",IFERROR(_xlfn.XLOOKUP("F-"&amp;$A225,'Feeder Schedule'!$B$5:$B$254,'Feeder Schedule'!$F$5:$F$254),""))</f>
        <v/>
      </c>
      <c r="CB225" s="20" t="str">
        <f>IF($A225="","",IFERROR(_xlfn.XLOOKUP("F-"&amp;$A225,'Feeder Schedule'!$B$5:$B$254,'Feeder Schedule'!$G$5:$G$254),""))</f>
        <v/>
      </c>
      <c r="CD225" s="20" t="str" cm="1">
        <f t="array" ref="CD225">IFERROR(IF($A225="","",INDEX(_xlfn.ANCHORARRAY($BK$4),ROW()-5,6)),"")</f>
        <v/>
      </c>
      <c r="CE225" s="20" t="str">
        <f t="shared" si="63"/>
        <v/>
      </c>
      <c r="CF225" s="20" t="str">
        <f t="shared" si="64"/>
        <v/>
      </c>
      <c r="CG225" s="20" t="str">
        <f t="shared" si="61"/>
        <v/>
      </c>
      <c r="CH225" s="20" t="str" cm="1">
        <f t="array" ref="CH225">IF(OR($A225="",$BZ225="",$BW225="",$BX225=""),"",_xlfn.LET(_xlpm.mag,IFERROR(_xlfn.XLOOKUP($BX225,Race_Raceway,Race_Mag),""),IF(_xlpm.mag="","",IFERROR(INDEX(Cond_Table,MATCH($BZ225,Cond_Size,0),IF(UPPER($BW225)="AL",IF(_xlpm.mag="Y",10,12),IF(_xlpm.mag="Y",9,11))),""))))</f>
        <v/>
      </c>
      <c r="CI225" s="20" t="str">
        <f t="shared" si="62"/>
        <v/>
      </c>
      <c r="CJ225" s="20" t="str">
        <f>IF(OR($A225="",LEFT($A225,2)&lt;&gt;"T-"),"",IFERROR(_xlfn.LET(_xlpm.fla,_xlfn.XLOOKUP($A225,Transformers!$A$6:$A$105,Transformers!$AK$6:$AK$105),_xlpm.z,_xlfn.XLOOKUP($A225,Transformers!$A$6:$A$105,Transformers!$AX$6:$AX$105),IF(OR(_xlpm.fla="",_xlpm.z="",_xlpm.z=0),"",_xlpm.fla*100/_xlpm.z)),""))</f>
        <v/>
      </c>
      <c r="CK225" s="20" t="str">
        <f t="shared" si="65"/>
        <v/>
      </c>
      <c r="CL225" s="20" t="str">
        <f t="shared" si="66"/>
        <v/>
      </c>
      <c r="CM225" s="373"/>
      <c r="CO225" s="20" t="str">
        <f>IF(OR($A225="",LEFT($A225,2)&lt;&gt;"T-"),"",_xlfn.LET(_xlpm.ph,IFERROR(_xlfn.XLOOKUP($A225,Transformers!$A$6:$A$105,Transformers!$C$6:$C$105),""),_xlpm.rr,IFERROR(_xlfn.XLOOKUP($A225,Transformers!$A$6:$A$105,Transformers!$AG$6:$AG$105),""),_xlpm.xx,IFERROR(_xlfn.XLOOKUP($A225,Transformers!$A$6:$A$105,Transformers!$AI$6:$AI$105),""),IF(OR(_xlpm.ph&lt;&gt;1,NOT(ISNUMBER(_xlpm.rr)),NOT(ISNUMBER(_xlpm.xx))),"",SQRT((1.5*_xlpm.rr)^2+(1.2*_xlpm.xx)^2))))</f>
        <v/>
      </c>
      <c r="CP225" s="20" t="str">
        <f t="shared" si="67"/>
        <v/>
      </c>
    </row>
    <row r="226" spans="1:94" ht="15" customHeight="1" x14ac:dyDescent="0.45">
      <c r="A226" s="275" t="str" cm="1">
        <f t="array" ref="A226">IFERROR(IF(INDEX(_xlfn.ANCHORARRAY($BK$4),ROW()-5,1)="","",INDEX(_xlfn.ANCHORARRAY($BK$4),ROW()-5,1)),"")</f>
        <v/>
      </c>
      <c r="B226" s="25" t="str" cm="1">
        <f t="array" ref="B226">IFERROR(IF($A226="","",INDEX(_xlfn.ANCHORARRAY($BK$4),ROW()-5,5)),"")</f>
        <v/>
      </c>
      <c r="C226" s="178" t="str" cm="1">
        <f t="array" ref="C226">IFERROR(IF($A226="","",INDEX(_xlfn.ANCHORARRAY($BK$4),ROW()-5,7)),"")</f>
        <v/>
      </c>
      <c r="D226" s="177" t="str" cm="1">
        <f t="array" ref="D226">IFERROR(IF($A226="","",INDEX(_xlfn.ANCHORARRAY($BK$4),ROW()-5,3)),"")</f>
        <v/>
      </c>
      <c r="E226" s="25" t="str" cm="1">
        <f t="array" ref="E226">IFERROR(IF($A226="","",INDEX(_xlfn.ANCHORARRAY($BK$4),ROW()-5,2)),"")</f>
        <v/>
      </c>
      <c r="F226" s="177" t="str">
        <f t="shared" si="51"/>
        <v/>
      </c>
      <c r="G226" s="275" t="str">
        <f t="shared" si="52"/>
        <v/>
      </c>
      <c r="H226" s="180" t="str">
        <f t="shared" si="53"/>
        <v/>
      </c>
      <c r="I226" s="180" t="str">
        <f t="shared" si="54"/>
        <v/>
      </c>
      <c r="J226" s="177" t="str">
        <f>_xlfn.LET(_xlpm.v,_xlfn.LET(_xlpm.base,IF($A226="","",IF($C226=0,IFERROR(_xlfn.XLOOKUP($A226,Util_Tags,Util_SCAEff),""),IF(LEFT($A226,2)="T-",IF($CJ226="","",$CJ226/(1+IF($CL226="",0,$CL226))),IF(OR($F226="",$I226=""),"",$F226*$I226)))),_xlpm.gtag,IF(OR($A226="",NOT(OR($B226="ATS",$B226="MTS"))),"",IFERROR(_xlfn.XLOOKUP($A226,Dashboard!$A$101:$A$350,Dashboard!$L$101:$L$350,"")&amp;"","")),_xlpm.gkva,IF(_xlpm.gtag="",0,IFERROR(N(_xlfn.XLOOKUP(_xlpm.gtag,Generator!$B$53:$B$58,Generator!$S$53:$S$58,0)),0)),_xlpm.gxd,IF(_xlpm.gtag="",0,IFERROR(N(_xlfn.XLOOKUP(_xlpm.gtag,Generator!$B$53:$B$58,Generator!$U$53:$U$58,0)),0)),_xlpm.gamp,IF(OR(_xlpm.gkva=0,_xlpm.gxd=0,N($D226)=0),0,ROUND(_xlpm.gkva*1000/(IF(N($CB226)=1,1,SQRT(3))*$D226*_xlpm.gxd),0)),IF(OR(_xlpm.gamp=0,NOT(ISNUMBER(_xlpm.base))),_xlpm.base,MAX(_xlpm.base,_xlpm.gamp))),_xlpm.ulim,IF(OR($A226="",$B226&lt;&gt;"UPS"),"",IFERROR(IF(_xlfn.XLOOKUP($A226,UPS!$B$57:$B$64,UPS!$E$57:$E$64,"")="None",_xlfn.XLOOKUP($A226,UPS!$B$57:$B$64,UPS!$U$57:$U$64,""),""),"")),IF(AND(ISNUMBER(_xlpm.v),ISNUMBER(_xlpm.ulim)),MIN(_xlpm.v,_xlpm.ulim),_xlpm.v))</f>
        <v/>
      </c>
      <c r="K226" s="176"/>
      <c r="L226" s="177" t="str">
        <f t="shared" si="55"/>
        <v/>
      </c>
      <c r="M226" s="177" t="str">
        <f t="shared" si="56"/>
        <v/>
      </c>
      <c r="N226" s="380" t="str">
        <f>IF($A226="","",IF($C226=0,_xlfn.LET(_xlpm.x,IFERROR(_xlfn.XLOOKUP($A226,Util_Tags,Util_XR),""),IF(N(_xlpm.x)=0,Xfmr_DefXR,_xlpm.x)),IF(LEFT($A226,2)="T-",IFERROR(_xlfn.XLOOKUP($A226,Transformers!$A$6:$A$105,Transformers!$AH$6:$AH$105),Xfmr_DefXR),IFERROR(_xlfn.XLOOKUP($E226,$A$6:$A$255,$N$6:$N$255),Xfmr_DefXR))))</f>
        <v/>
      </c>
      <c r="O226" s="177" t="str">
        <f t="shared" si="57"/>
        <v/>
      </c>
      <c r="P226" s="210" t="str">
        <f>IF($A226="","",IF(LEFT($A226,2)="T-",IF($CO226="","",_xlfn.LET(_xlpm.k,IFERROR(_xlfn.XLOOKUP($A226,Transformers!$A$6:$A$105,Transformers!$G$6:$G$105),""),_xlpm.sv,IFERROR(_xlfn.XLOOKUP($A226,Transformers!$A$6:$A$105,Transformers!$E$6:$E$105),""),IF(OR(NOT(ISNUMBER(_xlpm.k)),NOT(ISNUMBER(_xlpm.sv)),_xlpm.sv=0),"",_xlfn.LET(_xlpm.iInf,(_xlpm.k*1000/(_xlpm.sv/2))*100/$CO226,_xlpm.pri,IF(OR($CK226="",$CK226=0),"",$CK226/2),_xlpm.base,IF(_xlpm.pri="",_xlpm.iInf,_xlpm.iInf/(1+_xlpm.iInf/_xlpm.pri)),_xlpm.base+IF($L226="",0,$L226))))),IF($CP226="","",_xlfn.LET(_xlpm.pI,IFERROR(_xlfn.XLOOKUP($E226,$A$6:$A$255,$P$6:$P$255),""),IF(NOT(ISNUMBER(_xlpm.pI)),"",_xlpm.pI/(1+$CP226)+IF($L226="",0,$L226))))))</f>
        <v/>
      </c>
      <c r="Q226" s="210" t="str">
        <f t="shared" si="58"/>
        <v/>
      </c>
      <c r="R226" s="177" t="str">
        <f>IF($A226="","",IF(OR($C226=0,LEFT($A226,2)="T-"),"",IFERROR(_xlfn.LET(_xlpm.v,_xlfn.XLOOKUP($A226,Dashboard!$A$101:$A$350,Dashboard!$K$101:$K$350),IF(ISNUMBER(_xlpm.v),_xlpm.v,"")),"")))</f>
        <v/>
      </c>
      <c r="S226" s="211" t="str">
        <f t="shared" si="59"/>
        <v/>
      </c>
      <c r="T226" s="25" t="str">
        <f t="shared" si="60"/>
        <v/>
      </c>
      <c r="U226" s="364"/>
      <c r="BV226" s="20" t="str">
        <f>IF($A226="","",IFERROR(_xlfn.XLOOKUP("F-"&amp;$A226,'Feeder Schedule'!$B$5:$B$254,'Feeder Schedule'!$H$5:$H$254),""))</f>
        <v/>
      </c>
      <c r="BW226" s="20" t="str">
        <f>IF($A226="","",IFERROR(_xlfn.XLOOKUP("F-"&amp;$A226,'Feeder Schedule'!$B$5:$B$254,'Feeder Schedule'!$BV$5:$BV$254),""))</f>
        <v/>
      </c>
      <c r="BX226" s="20" t="str">
        <f>IF($A226="","",IFERROR(_xlfn.LET(_xlpm.v,_xlfn.XLOOKUP("F-"&amp;$A226,'Feeder Schedule'!$B$5:$B$254,'Feeder Schedule'!$M$5:$M$254),IF(OR(_xlpm.v="",_xlpm.v=0),Cfg_Conduit,_xlpm.v)),""))</f>
        <v/>
      </c>
      <c r="BY226" s="20" t="str">
        <f>IF($A226="","",IFERROR(_xlfn.XLOOKUP("F-"&amp;$A226,'Feeder Schedule'!$B$5:$B$254,'Feeder Schedule'!$O$5:$O$254),""))</f>
        <v/>
      </c>
      <c r="BZ226" s="20" t="str">
        <f>IF($A226="","",IFERROR(_xlfn.XLOOKUP("F-"&amp;$A226,'Feeder Schedule'!$B$5:$B$254,'Feeder Schedule'!$CH$5:$CH$254),""))</f>
        <v/>
      </c>
      <c r="CA226" s="20" t="str">
        <f>IF($A226="","",IFERROR(_xlfn.XLOOKUP("F-"&amp;$A226,'Feeder Schedule'!$B$5:$B$254,'Feeder Schedule'!$F$5:$F$254),""))</f>
        <v/>
      </c>
      <c r="CB226" s="20" t="str">
        <f>IF($A226="","",IFERROR(_xlfn.XLOOKUP("F-"&amp;$A226,'Feeder Schedule'!$B$5:$B$254,'Feeder Schedule'!$G$5:$G$254),""))</f>
        <v/>
      </c>
      <c r="CD226" s="20" t="str" cm="1">
        <f t="array" ref="CD226">IFERROR(IF($A226="","",INDEX(_xlfn.ANCHORARRAY($BK$4),ROW()-5,6)),"")</f>
        <v/>
      </c>
      <c r="CE226" s="20" t="str">
        <f t="shared" si="63"/>
        <v/>
      </c>
      <c r="CF226" s="20" t="str">
        <f t="shared" si="64"/>
        <v/>
      </c>
      <c r="CG226" s="20" t="str">
        <f t="shared" si="61"/>
        <v/>
      </c>
      <c r="CH226" s="20" t="str" cm="1">
        <f t="array" ref="CH226">IF(OR($A226="",$BZ226="",$BW226="",$BX226=""),"",_xlfn.LET(_xlpm.mag,IFERROR(_xlfn.XLOOKUP($BX226,Race_Raceway,Race_Mag),""),IF(_xlpm.mag="","",IFERROR(INDEX(Cond_Table,MATCH($BZ226,Cond_Size,0),IF(UPPER($BW226)="AL",IF(_xlpm.mag="Y",10,12),IF(_xlpm.mag="Y",9,11))),""))))</f>
        <v/>
      </c>
      <c r="CI226" s="20" t="str">
        <f t="shared" si="62"/>
        <v/>
      </c>
      <c r="CJ226" s="20" t="str">
        <f>IF(OR($A226="",LEFT($A226,2)&lt;&gt;"T-"),"",IFERROR(_xlfn.LET(_xlpm.fla,_xlfn.XLOOKUP($A226,Transformers!$A$6:$A$105,Transformers!$AK$6:$AK$105),_xlpm.z,_xlfn.XLOOKUP($A226,Transformers!$A$6:$A$105,Transformers!$AX$6:$AX$105),IF(OR(_xlpm.fla="",_xlpm.z="",_xlpm.z=0),"",_xlpm.fla*100/_xlpm.z)),""))</f>
        <v/>
      </c>
      <c r="CK226" s="20" t="str">
        <f t="shared" si="65"/>
        <v/>
      </c>
      <c r="CL226" s="20" t="str">
        <f t="shared" si="66"/>
        <v/>
      </c>
      <c r="CM226" s="373"/>
      <c r="CO226" s="20" t="str">
        <f>IF(OR($A226="",LEFT($A226,2)&lt;&gt;"T-"),"",_xlfn.LET(_xlpm.ph,IFERROR(_xlfn.XLOOKUP($A226,Transformers!$A$6:$A$105,Transformers!$C$6:$C$105),""),_xlpm.rr,IFERROR(_xlfn.XLOOKUP($A226,Transformers!$A$6:$A$105,Transformers!$AG$6:$AG$105),""),_xlpm.xx,IFERROR(_xlfn.XLOOKUP($A226,Transformers!$A$6:$A$105,Transformers!$AI$6:$AI$105),""),IF(OR(_xlpm.ph&lt;&gt;1,NOT(ISNUMBER(_xlpm.rr)),NOT(ISNUMBER(_xlpm.xx))),"",SQRT((1.5*_xlpm.rr)^2+(1.2*_xlpm.xx)^2))))</f>
        <v/>
      </c>
      <c r="CP226" s="20" t="str">
        <f t="shared" si="67"/>
        <v/>
      </c>
    </row>
    <row r="227" spans="1:94" ht="15" customHeight="1" x14ac:dyDescent="0.45">
      <c r="A227" s="275" t="str" cm="1">
        <f t="array" ref="A227">IFERROR(IF(INDEX(_xlfn.ANCHORARRAY($BK$4),ROW()-5,1)="","",INDEX(_xlfn.ANCHORARRAY($BK$4),ROW()-5,1)),"")</f>
        <v/>
      </c>
      <c r="B227" s="25" t="str" cm="1">
        <f t="array" ref="B227">IFERROR(IF($A227="","",INDEX(_xlfn.ANCHORARRAY($BK$4),ROW()-5,5)),"")</f>
        <v/>
      </c>
      <c r="C227" s="178" t="str" cm="1">
        <f t="array" ref="C227">IFERROR(IF($A227="","",INDEX(_xlfn.ANCHORARRAY($BK$4),ROW()-5,7)),"")</f>
        <v/>
      </c>
      <c r="D227" s="177" t="str" cm="1">
        <f t="array" ref="D227">IFERROR(IF($A227="","",INDEX(_xlfn.ANCHORARRAY($BK$4),ROW()-5,3)),"")</f>
        <v/>
      </c>
      <c r="E227" s="25" t="str" cm="1">
        <f t="array" ref="E227">IFERROR(IF($A227="","",INDEX(_xlfn.ANCHORARRAY($BK$4),ROW()-5,2)),"")</f>
        <v/>
      </c>
      <c r="F227" s="177" t="str">
        <f t="shared" si="51"/>
        <v/>
      </c>
      <c r="G227" s="275" t="str">
        <f t="shared" si="52"/>
        <v/>
      </c>
      <c r="H227" s="180" t="str">
        <f t="shared" si="53"/>
        <v/>
      </c>
      <c r="I227" s="180" t="str">
        <f t="shared" si="54"/>
        <v/>
      </c>
      <c r="J227" s="177" t="str">
        <f>_xlfn.LET(_xlpm.v,_xlfn.LET(_xlpm.base,IF($A227="","",IF($C227=0,IFERROR(_xlfn.XLOOKUP($A227,Util_Tags,Util_SCAEff),""),IF(LEFT($A227,2)="T-",IF($CJ227="","",$CJ227/(1+IF($CL227="",0,$CL227))),IF(OR($F227="",$I227=""),"",$F227*$I227)))),_xlpm.gtag,IF(OR($A227="",NOT(OR($B227="ATS",$B227="MTS"))),"",IFERROR(_xlfn.XLOOKUP($A227,Dashboard!$A$101:$A$350,Dashboard!$L$101:$L$350,"")&amp;"","")),_xlpm.gkva,IF(_xlpm.gtag="",0,IFERROR(N(_xlfn.XLOOKUP(_xlpm.gtag,Generator!$B$53:$B$58,Generator!$S$53:$S$58,0)),0)),_xlpm.gxd,IF(_xlpm.gtag="",0,IFERROR(N(_xlfn.XLOOKUP(_xlpm.gtag,Generator!$B$53:$B$58,Generator!$U$53:$U$58,0)),0)),_xlpm.gamp,IF(OR(_xlpm.gkva=0,_xlpm.gxd=0,N($D227)=0),0,ROUND(_xlpm.gkva*1000/(IF(N($CB227)=1,1,SQRT(3))*$D227*_xlpm.gxd),0)),IF(OR(_xlpm.gamp=0,NOT(ISNUMBER(_xlpm.base))),_xlpm.base,MAX(_xlpm.base,_xlpm.gamp))),_xlpm.ulim,IF(OR($A227="",$B227&lt;&gt;"UPS"),"",IFERROR(IF(_xlfn.XLOOKUP($A227,UPS!$B$57:$B$64,UPS!$E$57:$E$64,"")="None",_xlfn.XLOOKUP($A227,UPS!$B$57:$B$64,UPS!$U$57:$U$64,""),""),"")),IF(AND(ISNUMBER(_xlpm.v),ISNUMBER(_xlpm.ulim)),MIN(_xlpm.v,_xlpm.ulim),_xlpm.v))</f>
        <v/>
      </c>
      <c r="K227" s="176"/>
      <c r="L227" s="177" t="str">
        <f t="shared" si="55"/>
        <v/>
      </c>
      <c r="M227" s="177" t="str">
        <f t="shared" si="56"/>
        <v/>
      </c>
      <c r="N227" s="380" t="str">
        <f>IF($A227="","",IF($C227=0,_xlfn.LET(_xlpm.x,IFERROR(_xlfn.XLOOKUP($A227,Util_Tags,Util_XR),""),IF(N(_xlpm.x)=0,Xfmr_DefXR,_xlpm.x)),IF(LEFT($A227,2)="T-",IFERROR(_xlfn.XLOOKUP($A227,Transformers!$A$6:$A$105,Transformers!$AH$6:$AH$105),Xfmr_DefXR),IFERROR(_xlfn.XLOOKUP($E227,$A$6:$A$255,$N$6:$N$255),Xfmr_DefXR))))</f>
        <v/>
      </c>
      <c r="O227" s="177" t="str">
        <f t="shared" si="57"/>
        <v/>
      </c>
      <c r="P227" s="210" t="str">
        <f>IF($A227="","",IF(LEFT($A227,2)="T-",IF($CO227="","",_xlfn.LET(_xlpm.k,IFERROR(_xlfn.XLOOKUP($A227,Transformers!$A$6:$A$105,Transformers!$G$6:$G$105),""),_xlpm.sv,IFERROR(_xlfn.XLOOKUP($A227,Transformers!$A$6:$A$105,Transformers!$E$6:$E$105),""),IF(OR(NOT(ISNUMBER(_xlpm.k)),NOT(ISNUMBER(_xlpm.sv)),_xlpm.sv=0),"",_xlfn.LET(_xlpm.iInf,(_xlpm.k*1000/(_xlpm.sv/2))*100/$CO227,_xlpm.pri,IF(OR($CK227="",$CK227=0),"",$CK227/2),_xlpm.base,IF(_xlpm.pri="",_xlpm.iInf,_xlpm.iInf/(1+_xlpm.iInf/_xlpm.pri)),_xlpm.base+IF($L227="",0,$L227))))),IF($CP227="","",_xlfn.LET(_xlpm.pI,IFERROR(_xlfn.XLOOKUP($E227,$A$6:$A$255,$P$6:$P$255),""),IF(NOT(ISNUMBER(_xlpm.pI)),"",_xlpm.pI/(1+$CP227)+IF($L227="",0,$L227))))))</f>
        <v/>
      </c>
      <c r="Q227" s="210" t="str">
        <f t="shared" si="58"/>
        <v/>
      </c>
      <c r="R227" s="177" t="str">
        <f>IF($A227="","",IF(OR($C227=0,LEFT($A227,2)="T-"),"",IFERROR(_xlfn.LET(_xlpm.v,_xlfn.XLOOKUP($A227,Dashboard!$A$101:$A$350,Dashboard!$K$101:$K$350),IF(ISNUMBER(_xlpm.v),_xlpm.v,"")),"")))</f>
        <v/>
      </c>
      <c r="S227" s="211" t="str">
        <f t="shared" si="59"/>
        <v/>
      </c>
      <c r="T227" s="25" t="str">
        <f t="shared" si="60"/>
        <v/>
      </c>
      <c r="U227" s="364"/>
      <c r="BV227" s="20" t="str">
        <f>IF($A227="","",IFERROR(_xlfn.XLOOKUP("F-"&amp;$A227,'Feeder Schedule'!$B$5:$B$254,'Feeder Schedule'!$H$5:$H$254),""))</f>
        <v/>
      </c>
      <c r="BW227" s="20" t="str">
        <f>IF($A227="","",IFERROR(_xlfn.XLOOKUP("F-"&amp;$A227,'Feeder Schedule'!$B$5:$B$254,'Feeder Schedule'!$BV$5:$BV$254),""))</f>
        <v/>
      </c>
      <c r="BX227" s="20" t="str">
        <f>IF($A227="","",IFERROR(_xlfn.LET(_xlpm.v,_xlfn.XLOOKUP("F-"&amp;$A227,'Feeder Schedule'!$B$5:$B$254,'Feeder Schedule'!$M$5:$M$254),IF(OR(_xlpm.v="",_xlpm.v=0),Cfg_Conduit,_xlpm.v)),""))</f>
        <v/>
      </c>
      <c r="BY227" s="20" t="str">
        <f>IF($A227="","",IFERROR(_xlfn.XLOOKUP("F-"&amp;$A227,'Feeder Schedule'!$B$5:$B$254,'Feeder Schedule'!$O$5:$O$254),""))</f>
        <v/>
      </c>
      <c r="BZ227" s="20" t="str">
        <f>IF($A227="","",IFERROR(_xlfn.XLOOKUP("F-"&amp;$A227,'Feeder Schedule'!$B$5:$B$254,'Feeder Schedule'!$CH$5:$CH$254),""))</f>
        <v/>
      </c>
      <c r="CA227" s="20" t="str">
        <f>IF($A227="","",IFERROR(_xlfn.XLOOKUP("F-"&amp;$A227,'Feeder Schedule'!$B$5:$B$254,'Feeder Schedule'!$F$5:$F$254),""))</f>
        <v/>
      </c>
      <c r="CB227" s="20" t="str">
        <f>IF($A227="","",IFERROR(_xlfn.XLOOKUP("F-"&amp;$A227,'Feeder Schedule'!$B$5:$B$254,'Feeder Schedule'!$G$5:$G$254),""))</f>
        <v/>
      </c>
      <c r="CD227" s="20" t="str" cm="1">
        <f t="array" ref="CD227">IFERROR(IF($A227="","",INDEX(_xlfn.ANCHORARRAY($BK$4),ROW()-5,6)),"")</f>
        <v/>
      </c>
      <c r="CE227" s="20" t="str">
        <f t="shared" si="63"/>
        <v/>
      </c>
      <c r="CF227" s="20" t="str">
        <f t="shared" si="64"/>
        <v/>
      </c>
      <c r="CG227" s="20" t="str">
        <f t="shared" si="61"/>
        <v/>
      </c>
      <c r="CH227" s="20" t="str" cm="1">
        <f t="array" ref="CH227">IF(OR($A227="",$BZ227="",$BW227="",$BX227=""),"",_xlfn.LET(_xlpm.mag,IFERROR(_xlfn.XLOOKUP($BX227,Race_Raceway,Race_Mag),""),IF(_xlpm.mag="","",IFERROR(INDEX(Cond_Table,MATCH($BZ227,Cond_Size,0),IF(UPPER($BW227)="AL",IF(_xlpm.mag="Y",10,12),IF(_xlpm.mag="Y",9,11))),""))))</f>
        <v/>
      </c>
      <c r="CI227" s="20" t="str">
        <f t="shared" si="62"/>
        <v/>
      </c>
      <c r="CJ227" s="20" t="str">
        <f>IF(OR($A227="",LEFT($A227,2)&lt;&gt;"T-"),"",IFERROR(_xlfn.LET(_xlpm.fla,_xlfn.XLOOKUP($A227,Transformers!$A$6:$A$105,Transformers!$AK$6:$AK$105),_xlpm.z,_xlfn.XLOOKUP($A227,Transformers!$A$6:$A$105,Transformers!$AX$6:$AX$105),IF(OR(_xlpm.fla="",_xlpm.z="",_xlpm.z=0),"",_xlpm.fla*100/_xlpm.z)),""))</f>
        <v/>
      </c>
      <c r="CK227" s="20" t="str">
        <f t="shared" si="65"/>
        <v/>
      </c>
      <c r="CL227" s="20" t="str">
        <f t="shared" si="66"/>
        <v/>
      </c>
      <c r="CM227" s="373"/>
      <c r="CO227" s="20" t="str">
        <f>IF(OR($A227="",LEFT($A227,2)&lt;&gt;"T-"),"",_xlfn.LET(_xlpm.ph,IFERROR(_xlfn.XLOOKUP($A227,Transformers!$A$6:$A$105,Transformers!$C$6:$C$105),""),_xlpm.rr,IFERROR(_xlfn.XLOOKUP($A227,Transformers!$A$6:$A$105,Transformers!$AG$6:$AG$105),""),_xlpm.xx,IFERROR(_xlfn.XLOOKUP($A227,Transformers!$A$6:$A$105,Transformers!$AI$6:$AI$105),""),IF(OR(_xlpm.ph&lt;&gt;1,NOT(ISNUMBER(_xlpm.rr)),NOT(ISNUMBER(_xlpm.xx))),"",SQRT((1.5*_xlpm.rr)^2+(1.2*_xlpm.xx)^2))))</f>
        <v/>
      </c>
      <c r="CP227" s="20" t="str">
        <f t="shared" si="67"/>
        <v/>
      </c>
    </row>
    <row r="228" spans="1:94" ht="15" customHeight="1" x14ac:dyDescent="0.45">
      <c r="A228" s="275" t="str" cm="1">
        <f t="array" ref="A228">IFERROR(IF(INDEX(_xlfn.ANCHORARRAY($BK$4),ROW()-5,1)="","",INDEX(_xlfn.ANCHORARRAY($BK$4),ROW()-5,1)),"")</f>
        <v/>
      </c>
      <c r="B228" s="25" t="str" cm="1">
        <f t="array" ref="B228">IFERROR(IF($A228="","",INDEX(_xlfn.ANCHORARRAY($BK$4),ROW()-5,5)),"")</f>
        <v/>
      </c>
      <c r="C228" s="178" t="str" cm="1">
        <f t="array" ref="C228">IFERROR(IF($A228="","",INDEX(_xlfn.ANCHORARRAY($BK$4),ROW()-5,7)),"")</f>
        <v/>
      </c>
      <c r="D228" s="177" t="str" cm="1">
        <f t="array" ref="D228">IFERROR(IF($A228="","",INDEX(_xlfn.ANCHORARRAY($BK$4),ROW()-5,3)),"")</f>
        <v/>
      </c>
      <c r="E228" s="25" t="str" cm="1">
        <f t="array" ref="E228">IFERROR(IF($A228="","",INDEX(_xlfn.ANCHORARRAY($BK$4),ROW()-5,2)),"")</f>
        <v/>
      </c>
      <c r="F228" s="177" t="str">
        <f t="shared" si="51"/>
        <v/>
      </c>
      <c r="G228" s="275" t="str">
        <f t="shared" si="52"/>
        <v/>
      </c>
      <c r="H228" s="180" t="str">
        <f t="shared" si="53"/>
        <v/>
      </c>
      <c r="I228" s="180" t="str">
        <f t="shared" si="54"/>
        <v/>
      </c>
      <c r="J228" s="177" t="str">
        <f>_xlfn.LET(_xlpm.v,_xlfn.LET(_xlpm.base,IF($A228="","",IF($C228=0,IFERROR(_xlfn.XLOOKUP($A228,Util_Tags,Util_SCAEff),""),IF(LEFT($A228,2)="T-",IF($CJ228="","",$CJ228/(1+IF($CL228="",0,$CL228))),IF(OR($F228="",$I228=""),"",$F228*$I228)))),_xlpm.gtag,IF(OR($A228="",NOT(OR($B228="ATS",$B228="MTS"))),"",IFERROR(_xlfn.XLOOKUP($A228,Dashboard!$A$101:$A$350,Dashboard!$L$101:$L$350,"")&amp;"","")),_xlpm.gkva,IF(_xlpm.gtag="",0,IFERROR(N(_xlfn.XLOOKUP(_xlpm.gtag,Generator!$B$53:$B$58,Generator!$S$53:$S$58,0)),0)),_xlpm.gxd,IF(_xlpm.gtag="",0,IFERROR(N(_xlfn.XLOOKUP(_xlpm.gtag,Generator!$B$53:$B$58,Generator!$U$53:$U$58,0)),0)),_xlpm.gamp,IF(OR(_xlpm.gkva=0,_xlpm.gxd=0,N($D228)=0),0,ROUND(_xlpm.gkva*1000/(IF(N($CB228)=1,1,SQRT(3))*$D228*_xlpm.gxd),0)),IF(OR(_xlpm.gamp=0,NOT(ISNUMBER(_xlpm.base))),_xlpm.base,MAX(_xlpm.base,_xlpm.gamp))),_xlpm.ulim,IF(OR($A228="",$B228&lt;&gt;"UPS"),"",IFERROR(IF(_xlfn.XLOOKUP($A228,UPS!$B$57:$B$64,UPS!$E$57:$E$64,"")="None",_xlfn.XLOOKUP($A228,UPS!$B$57:$B$64,UPS!$U$57:$U$64,""),""),"")),IF(AND(ISNUMBER(_xlpm.v),ISNUMBER(_xlpm.ulim)),MIN(_xlpm.v,_xlpm.ulim),_xlpm.v))</f>
        <v/>
      </c>
      <c r="K228" s="176"/>
      <c r="L228" s="177" t="str">
        <f t="shared" si="55"/>
        <v/>
      </c>
      <c r="M228" s="177" t="str">
        <f t="shared" si="56"/>
        <v/>
      </c>
      <c r="N228" s="380" t="str">
        <f>IF($A228="","",IF($C228=0,_xlfn.LET(_xlpm.x,IFERROR(_xlfn.XLOOKUP($A228,Util_Tags,Util_XR),""),IF(N(_xlpm.x)=0,Xfmr_DefXR,_xlpm.x)),IF(LEFT($A228,2)="T-",IFERROR(_xlfn.XLOOKUP($A228,Transformers!$A$6:$A$105,Transformers!$AH$6:$AH$105),Xfmr_DefXR),IFERROR(_xlfn.XLOOKUP($E228,$A$6:$A$255,$N$6:$N$255),Xfmr_DefXR))))</f>
        <v/>
      </c>
      <c r="O228" s="177" t="str">
        <f t="shared" si="57"/>
        <v/>
      </c>
      <c r="P228" s="210" t="str">
        <f>IF($A228="","",IF(LEFT($A228,2)="T-",IF($CO228="","",_xlfn.LET(_xlpm.k,IFERROR(_xlfn.XLOOKUP($A228,Transformers!$A$6:$A$105,Transformers!$G$6:$G$105),""),_xlpm.sv,IFERROR(_xlfn.XLOOKUP($A228,Transformers!$A$6:$A$105,Transformers!$E$6:$E$105),""),IF(OR(NOT(ISNUMBER(_xlpm.k)),NOT(ISNUMBER(_xlpm.sv)),_xlpm.sv=0),"",_xlfn.LET(_xlpm.iInf,(_xlpm.k*1000/(_xlpm.sv/2))*100/$CO228,_xlpm.pri,IF(OR($CK228="",$CK228=0),"",$CK228/2),_xlpm.base,IF(_xlpm.pri="",_xlpm.iInf,_xlpm.iInf/(1+_xlpm.iInf/_xlpm.pri)),_xlpm.base+IF($L228="",0,$L228))))),IF($CP228="","",_xlfn.LET(_xlpm.pI,IFERROR(_xlfn.XLOOKUP($E228,$A$6:$A$255,$P$6:$P$255),""),IF(NOT(ISNUMBER(_xlpm.pI)),"",_xlpm.pI/(1+$CP228)+IF($L228="",0,$L228))))))</f>
        <v/>
      </c>
      <c r="Q228" s="210" t="str">
        <f t="shared" si="58"/>
        <v/>
      </c>
      <c r="R228" s="177" t="str">
        <f>IF($A228="","",IF(OR($C228=0,LEFT($A228,2)="T-"),"",IFERROR(_xlfn.LET(_xlpm.v,_xlfn.XLOOKUP($A228,Dashboard!$A$101:$A$350,Dashboard!$K$101:$K$350),IF(ISNUMBER(_xlpm.v),_xlpm.v,"")),"")))</f>
        <v/>
      </c>
      <c r="S228" s="211" t="str">
        <f t="shared" si="59"/>
        <v/>
      </c>
      <c r="T228" s="25" t="str">
        <f t="shared" si="60"/>
        <v/>
      </c>
      <c r="U228" s="364"/>
      <c r="BV228" s="20" t="str">
        <f>IF($A228="","",IFERROR(_xlfn.XLOOKUP("F-"&amp;$A228,'Feeder Schedule'!$B$5:$B$254,'Feeder Schedule'!$H$5:$H$254),""))</f>
        <v/>
      </c>
      <c r="BW228" s="20" t="str">
        <f>IF($A228="","",IFERROR(_xlfn.XLOOKUP("F-"&amp;$A228,'Feeder Schedule'!$B$5:$B$254,'Feeder Schedule'!$BV$5:$BV$254),""))</f>
        <v/>
      </c>
      <c r="BX228" s="20" t="str">
        <f>IF($A228="","",IFERROR(_xlfn.LET(_xlpm.v,_xlfn.XLOOKUP("F-"&amp;$A228,'Feeder Schedule'!$B$5:$B$254,'Feeder Schedule'!$M$5:$M$254),IF(OR(_xlpm.v="",_xlpm.v=0),Cfg_Conduit,_xlpm.v)),""))</f>
        <v/>
      </c>
      <c r="BY228" s="20" t="str">
        <f>IF($A228="","",IFERROR(_xlfn.XLOOKUP("F-"&amp;$A228,'Feeder Schedule'!$B$5:$B$254,'Feeder Schedule'!$O$5:$O$254),""))</f>
        <v/>
      </c>
      <c r="BZ228" s="20" t="str">
        <f>IF($A228="","",IFERROR(_xlfn.XLOOKUP("F-"&amp;$A228,'Feeder Schedule'!$B$5:$B$254,'Feeder Schedule'!$CH$5:$CH$254),""))</f>
        <v/>
      </c>
      <c r="CA228" s="20" t="str">
        <f>IF($A228="","",IFERROR(_xlfn.XLOOKUP("F-"&amp;$A228,'Feeder Schedule'!$B$5:$B$254,'Feeder Schedule'!$F$5:$F$254),""))</f>
        <v/>
      </c>
      <c r="CB228" s="20" t="str">
        <f>IF($A228="","",IFERROR(_xlfn.XLOOKUP("F-"&amp;$A228,'Feeder Schedule'!$B$5:$B$254,'Feeder Schedule'!$G$5:$G$254),""))</f>
        <v/>
      </c>
      <c r="CD228" s="20" t="str" cm="1">
        <f t="array" ref="CD228">IFERROR(IF($A228="","",INDEX(_xlfn.ANCHORARRAY($BK$4),ROW()-5,6)),"")</f>
        <v/>
      </c>
      <c r="CE228" s="20" t="str">
        <f t="shared" si="63"/>
        <v/>
      </c>
      <c r="CF228" s="20" t="str">
        <f t="shared" si="64"/>
        <v/>
      </c>
      <c r="CG228" s="20" t="str">
        <f t="shared" si="61"/>
        <v/>
      </c>
      <c r="CH228" s="20" t="str" cm="1">
        <f t="array" ref="CH228">IF(OR($A228="",$BZ228="",$BW228="",$BX228=""),"",_xlfn.LET(_xlpm.mag,IFERROR(_xlfn.XLOOKUP($BX228,Race_Raceway,Race_Mag),""),IF(_xlpm.mag="","",IFERROR(INDEX(Cond_Table,MATCH($BZ228,Cond_Size,0),IF(UPPER($BW228)="AL",IF(_xlpm.mag="Y",10,12),IF(_xlpm.mag="Y",9,11))),""))))</f>
        <v/>
      </c>
      <c r="CI228" s="20" t="str">
        <f t="shared" si="62"/>
        <v/>
      </c>
      <c r="CJ228" s="20" t="str">
        <f>IF(OR($A228="",LEFT($A228,2)&lt;&gt;"T-"),"",IFERROR(_xlfn.LET(_xlpm.fla,_xlfn.XLOOKUP($A228,Transformers!$A$6:$A$105,Transformers!$AK$6:$AK$105),_xlpm.z,_xlfn.XLOOKUP($A228,Transformers!$A$6:$A$105,Transformers!$AX$6:$AX$105),IF(OR(_xlpm.fla="",_xlpm.z="",_xlpm.z=0),"",_xlpm.fla*100/_xlpm.z)),""))</f>
        <v/>
      </c>
      <c r="CK228" s="20" t="str">
        <f t="shared" si="65"/>
        <v/>
      </c>
      <c r="CL228" s="20" t="str">
        <f t="shared" si="66"/>
        <v/>
      </c>
      <c r="CM228" s="373"/>
      <c r="CO228" s="20" t="str">
        <f>IF(OR($A228="",LEFT($A228,2)&lt;&gt;"T-"),"",_xlfn.LET(_xlpm.ph,IFERROR(_xlfn.XLOOKUP($A228,Transformers!$A$6:$A$105,Transformers!$C$6:$C$105),""),_xlpm.rr,IFERROR(_xlfn.XLOOKUP($A228,Transformers!$A$6:$A$105,Transformers!$AG$6:$AG$105),""),_xlpm.xx,IFERROR(_xlfn.XLOOKUP($A228,Transformers!$A$6:$A$105,Transformers!$AI$6:$AI$105),""),IF(OR(_xlpm.ph&lt;&gt;1,NOT(ISNUMBER(_xlpm.rr)),NOT(ISNUMBER(_xlpm.xx))),"",SQRT((1.5*_xlpm.rr)^2+(1.2*_xlpm.xx)^2))))</f>
        <v/>
      </c>
      <c r="CP228" s="20" t="str">
        <f t="shared" si="67"/>
        <v/>
      </c>
    </row>
    <row r="229" spans="1:94" ht="15" customHeight="1" x14ac:dyDescent="0.45">
      <c r="A229" s="275" t="str" cm="1">
        <f t="array" ref="A229">IFERROR(IF(INDEX(_xlfn.ANCHORARRAY($BK$4),ROW()-5,1)="","",INDEX(_xlfn.ANCHORARRAY($BK$4),ROW()-5,1)),"")</f>
        <v/>
      </c>
      <c r="B229" s="25" t="str" cm="1">
        <f t="array" ref="B229">IFERROR(IF($A229="","",INDEX(_xlfn.ANCHORARRAY($BK$4),ROW()-5,5)),"")</f>
        <v/>
      </c>
      <c r="C229" s="178" t="str" cm="1">
        <f t="array" ref="C229">IFERROR(IF($A229="","",INDEX(_xlfn.ANCHORARRAY($BK$4),ROW()-5,7)),"")</f>
        <v/>
      </c>
      <c r="D229" s="177" t="str" cm="1">
        <f t="array" ref="D229">IFERROR(IF($A229="","",INDEX(_xlfn.ANCHORARRAY($BK$4),ROW()-5,3)),"")</f>
        <v/>
      </c>
      <c r="E229" s="25" t="str" cm="1">
        <f t="array" ref="E229">IFERROR(IF($A229="","",INDEX(_xlfn.ANCHORARRAY($BK$4),ROW()-5,2)),"")</f>
        <v/>
      </c>
      <c r="F229" s="177" t="str">
        <f t="shared" si="51"/>
        <v/>
      </c>
      <c r="G229" s="275" t="str">
        <f t="shared" si="52"/>
        <v/>
      </c>
      <c r="H229" s="180" t="str">
        <f t="shared" si="53"/>
        <v/>
      </c>
      <c r="I229" s="180" t="str">
        <f t="shared" si="54"/>
        <v/>
      </c>
      <c r="J229" s="177" t="str">
        <f>_xlfn.LET(_xlpm.v,_xlfn.LET(_xlpm.base,IF($A229="","",IF($C229=0,IFERROR(_xlfn.XLOOKUP($A229,Util_Tags,Util_SCAEff),""),IF(LEFT($A229,2)="T-",IF($CJ229="","",$CJ229/(1+IF($CL229="",0,$CL229))),IF(OR($F229="",$I229=""),"",$F229*$I229)))),_xlpm.gtag,IF(OR($A229="",NOT(OR($B229="ATS",$B229="MTS"))),"",IFERROR(_xlfn.XLOOKUP($A229,Dashboard!$A$101:$A$350,Dashboard!$L$101:$L$350,"")&amp;"","")),_xlpm.gkva,IF(_xlpm.gtag="",0,IFERROR(N(_xlfn.XLOOKUP(_xlpm.gtag,Generator!$B$53:$B$58,Generator!$S$53:$S$58,0)),0)),_xlpm.gxd,IF(_xlpm.gtag="",0,IFERROR(N(_xlfn.XLOOKUP(_xlpm.gtag,Generator!$B$53:$B$58,Generator!$U$53:$U$58,0)),0)),_xlpm.gamp,IF(OR(_xlpm.gkva=0,_xlpm.gxd=0,N($D229)=0),0,ROUND(_xlpm.gkva*1000/(IF(N($CB229)=1,1,SQRT(3))*$D229*_xlpm.gxd),0)),IF(OR(_xlpm.gamp=0,NOT(ISNUMBER(_xlpm.base))),_xlpm.base,MAX(_xlpm.base,_xlpm.gamp))),_xlpm.ulim,IF(OR($A229="",$B229&lt;&gt;"UPS"),"",IFERROR(IF(_xlfn.XLOOKUP($A229,UPS!$B$57:$B$64,UPS!$E$57:$E$64,"")="None",_xlfn.XLOOKUP($A229,UPS!$B$57:$B$64,UPS!$U$57:$U$64,""),""),"")),IF(AND(ISNUMBER(_xlpm.v),ISNUMBER(_xlpm.ulim)),MIN(_xlpm.v,_xlpm.ulim),_xlpm.v))</f>
        <v/>
      </c>
      <c r="K229" s="176"/>
      <c r="L229" s="177" t="str">
        <f t="shared" si="55"/>
        <v/>
      </c>
      <c r="M229" s="177" t="str">
        <f t="shared" si="56"/>
        <v/>
      </c>
      <c r="N229" s="380" t="str">
        <f>IF($A229="","",IF($C229=0,_xlfn.LET(_xlpm.x,IFERROR(_xlfn.XLOOKUP($A229,Util_Tags,Util_XR),""),IF(N(_xlpm.x)=0,Xfmr_DefXR,_xlpm.x)),IF(LEFT($A229,2)="T-",IFERROR(_xlfn.XLOOKUP($A229,Transformers!$A$6:$A$105,Transformers!$AH$6:$AH$105),Xfmr_DefXR),IFERROR(_xlfn.XLOOKUP($E229,$A$6:$A$255,$N$6:$N$255),Xfmr_DefXR))))</f>
        <v/>
      </c>
      <c r="O229" s="177" t="str">
        <f t="shared" si="57"/>
        <v/>
      </c>
      <c r="P229" s="210" t="str">
        <f>IF($A229="","",IF(LEFT($A229,2)="T-",IF($CO229="","",_xlfn.LET(_xlpm.k,IFERROR(_xlfn.XLOOKUP($A229,Transformers!$A$6:$A$105,Transformers!$G$6:$G$105),""),_xlpm.sv,IFERROR(_xlfn.XLOOKUP($A229,Transformers!$A$6:$A$105,Transformers!$E$6:$E$105),""),IF(OR(NOT(ISNUMBER(_xlpm.k)),NOT(ISNUMBER(_xlpm.sv)),_xlpm.sv=0),"",_xlfn.LET(_xlpm.iInf,(_xlpm.k*1000/(_xlpm.sv/2))*100/$CO229,_xlpm.pri,IF(OR($CK229="",$CK229=0),"",$CK229/2),_xlpm.base,IF(_xlpm.pri="",_xlpm.iInf,_xlpm.iInf/(1+_xlpm.iInf/_xlpm.pri)),_xlpm.base+IF($L229="",0,$L229))))),IF($CP229="","",_xlfn.LET(_xlpm.pI,IFERROR(_xlfn.XLOOKUP($E229,$A$6:$A$255,$P$6:$P$255),""),IF(NOT(ISNUMBER(_xlpm.pI)),"",_xlpm.pI/(1+$CP229)+IF($L229="",0,$L229))))))</f>
        <v/>
      </c>
      <c r="Q229" s="210" t="str">
        <f t="shared" si="58"/>
        <v/>
      </c>
      <c r="R229" s="177" t="str">
        <f>IF($A229="","",IF(OR($C229=0,LEFT($A229,2)="T-"),"",IFERROR(_xlfn.LET(_xlpm.v,_xlfn.XLOOKUP($A229,Dashboard!$A$101:$A$350,Dashboard!$K$101:$K$350),IF(ISNUMBER(_xlpm.v),_xlpm.v,"")),"")))</f>
        <v/>
      </c>
      <c r="S229" s="211" t="str">
        <f t="shared" si="59"/>
        <v/>
      </c>
      <c r="T229" s="25" t="str">
        <f t="shared" si="60"/>
        <v/>
      </c>
      <c r="U229" s="364"/>
      <c r="BV229" s="20" t="str">
        <f>IF($A229="","",IFERROR(_xlfn.XLOOKUP("F-"&amp;$A229,'Feeder Schedule'!$B$5:$B$254,'Feeder Schedule'!$H$5:$H$254),""))</f>
        <v/>
      </c>
      <c r="BW229" s="20" t="str">
        <f>IF($A229="","",IFERROR(_xlfn.XLOOKUP("F-"&amp;$A229,'Feeder Schedule'!$B$5:$B$254,'Feeder Schedule'!$BV$5:$BV$254),""))</f>
        <v/>
      </c>
      <c r="BX229" s="20" t="str">
        <f>IF($A229="","",IFERROR(_xlfn.LET(_xlpm.v,_xlfn.XLOOKUP("F-"&amp;$A229,'Feeder Schedule'!$B$5:$B$254,'Feeder Schedule'!$M$5:$M$254),IF(OR(_xlpm.v="",_xlpm.v=0),Cfg_Conduit,_xlpm.v)),""))</f>
        <v/>
      </c>
      <c r="BY229" s="20" t="str">
        <f>IF($A229="","",IFERROR(_xlfn.XLOOKUP("F-"&amp;$A229,'Feeder Schedule'!$B$5:$B$254,'Feeder Schedule'!$O$5:$O$254),""))</f>
        <v/>
      </c>
      <c r="BZ229" s="20" t="str">
        <f>IF($A229="","",IFERROR(_xlfn.XLOOKUP("F-"&amp;$A229,'Feeder Schedule'!$B$5:$B$254,'Feeder Schedule'!$CH$5:$CH$254),""))</f>
        <v/>
      </c>
      <c r="CA229" s="20" t="str">
        <f>IF($A229="","",IFERROR(_xlfn.XLOOKUP("F-"&amp;$A229,'Feeder Schedule'!$B$5:$B$254,'Feeder Schedule'!$F$5:$F$254),""))</f>
        <v/>
      </c>
      <c r="CB229" s="20" t="str">
        <f>IF($A229="","",IFERROR(_xlfn.XLOOKUP("F-"&amp;$A229,'Feeder Schedule'!$B$5:$B$254,'Feeder Schedule'!$G$5:$G$254),""))</f>
        <v/>
      </c>
      <c r="CD229" s="20" t="str" cm="1">
        <f t="array" ref="CD229">IFERROR(IF($A229="","",INDEX(_xlfn.ANCHORARRAY($BK$4),ROW()-5,6)),"")</f>
        <v/>
      </c>
      <c r="CE229" s="20" t="str">
        <f t="shared" si="63"/>
        <v/>
      </c>
      <c r="CF229" s="20" t="str">
        <f t="shared" si="64"/>
        <v/>
      </c>
      <c r="CG229" s="20" t="str">
        <f t="shared" si="61"/>
        <v/>
      </c>
      <c r="CH229" s="20" t="str" cm="1">
        <f t="array" ref="CH229">IF(OR($A229="",$BZ229="",$BW229="",$BX229=""),"",_xlfn.LET(_xlpm.mag,IFERROR(_xlfn.XLOOKUP($BX229,Race_Raceway,Race_Mag),""),IF(_xlpm.mag="","",IFERROR(INDEX(Cond_Table,MATCH($BZ229,Cond_Size,0),IF(UPPER($BW229)="AL",IF(_xlpm.mag="Y",10,12),IF(_xlpm.mag="Y",9,11))),""))))</f>
        <v/>
      </c>
      <c r="CI229" s="20" t="str">
        <f t="shared" si="62"/>
        <v/>
      </c>
      <c r="CJ229" s="20" t="str">
        <f>IF(OR($A229="",LEFT($A229,2)&lt;&gt;"T-"),"",IFERROR(_xlfn.LET(_xlpm.fla,_xlfn.XLOOKUP($A229,Transformers!$A$6:$A$105,Transformers!$AK$6:$AK$105),_xlpm.z,_xlfn.XLOOKUP($A229,Transformers!$A$6:$A$105,Transformers!$AX$6:$AX$105),IF(OR(_xlpm.fla="",_xlpm.z="",_xlpm.z=0),"",_xlpm.fla*100/_xlpm.z)),""))</f>
        <v/>
      </c>
      <c r="CK229" s="20" t="str">
        <f t="shared" si="65"/>
        <v/>
      </c>
      <c r="CL229" s="20" t="str">
        <f t="shared" si="66"/>
        <v/>
      </c>
      <c r="CM229" s="373"/>
      <c r="CO229" s="20" t="str">
        <f>IF(OR($A229="",LEFT($A229,2)&lt;&gt;"T-"),"",_xlfn.LET(_xlpm.ph,IFERROR(_xlfn.XLOOKUP($A229,Transformers!$A$6:$A$105,Transformers!$C$6:$C$105),""),_xlpm.rr,IFERROR(_xlfn.XLOOKUP($A229,Transformers!$A$6:$A$105,Transformers!$AG$6:$AG$105),""),_xlpm.xx,IFERROR(_xlfn.XLOOKUP($A229,Transformers!$A$6:$A$105,Transformers!$AI$6:$AI$105),""),IF(OR(_xlpm.ph&lt;&gt;1,NOT(ISNUMBER(_xlpm.rr)),NOT(ISNUMBER(_xlpm.xx))),"",SQRT((1.5*_xlpm.rr)^2+(1.2*_xlpm.xx)^2))))</f>
        <v/>
      </c>
      <c r="CP229" s="20" t="str">
        <f t="shared" si="67"/>
        <v/>
      </c>
    </row>
    <row r="230" spans="1:94" ht="15" customHeight="1" x14ac:dyDescent="0.45">
      <c r="A230" s="275" t="str" cm="1">
        <f t="array" ref="A230">IFERROR(IF(INDEX(_xlfn.ANCHORARRAY($BK$4),ROW()-5,1)="","",INDEX(_xlfn.ANCHORARRAY($BK$4),ROW()-5,1)),"")</f>
        <v/>
      </c>
      <c r="B230" s="25" t="str" cm="1">
        <f t="array" ref="B230">IFERROR(IF($A230="","",INDEX(_xlfn.ANCHORARRAY($BK$4),ROW()-5,5)),"")</f>
        <v/>
      </c>
      <c r="C230" s="178" t="str" cm="1">
        <f t="array" ref="C230">IFERROR(IF($A230="","",INDEX(_xlfn.ANCHORARRAY($BK$4),ROW()-5,7)),"")</f>
        <v/>
      </c>
      <c r="D230" s="177" t="str" cm="1">
        <f t="array" ref="D230">IFERROR(IF($A230="","",INDEX(_xlfn.ANCHORARRAY($BK$4),ROW()-5,3)),"")</f>
        <v/>
      </c>
      <c r="E230" s="25" t="str" cm="1">
        <f t="array" ref="E230">IFERROR(IF($A230="","",INDEX(_xlfn.ANCHORARRAY($BK$4),ROW()-5,2)),"")</f>
        <v/>
      </c>
      <c r="F230" s="177" t="str">
        <f t="shared" si="51"/>
        <v/>
      </c>
      <c r="G230" s="275" t="str">
        <f t="shared" si="52"/>
        <v/>
      </c>
      <c r="H230" s="180" t="str">
        <f t="shared" si="53"/>
        <v/>
      </c>
      <c r="I230" s="180" t="str">
        <f t="shared" si="54"/>
        <v/>
      </c>
      <c r="J230" s="177" t="str">
        <f>_xlfn.LET(_xlpm.v,_xlfn.LET(_xlpm.base,IF($A230="","",IF($C230=0,IFERROR(_xlfn.XLOOKUP($A230,Util_Tags,Util_SCAEff),""),IF(LEFT($A230,2)="T-",IF($CJ230="","",$CJ230/(1+IF($CL230="",0,$CL230))),IF(OR($F230="",$I230=""),"",$F230*$I230)))),_xlpm.gtag,IF(OR($A230="",NOT(OR($B230="ATS",$B230="MTS"))),"",IFERROR(_xlfn.XLOOKUP($A230,Dashboard!$A$101:$A$350,Dashboard!$L$101:$L$350,"")&amp;"","")),_xlpm.gkva,IF(_xlpm.gtag="",0,IFERROR(N(_xlfn.XLOOKUP(_xlpm.gtag,Generator!$B$53:$B$58,Generator!$S$53:$S$58,0)),0)),_xlpm.gxd,IF(_xlpm.gtag="",0,IFERROR(N(_xlfn.XLOOKUP(_xlpm.gtag,Generator!$B$53:$B$58,Generator!$U$53:$U$58,0)),0)),_xlpm.gamp,IF(OR(_xlpm.gkva=0,_xlpm.gxd=0,N($D230)=0),0,ROUND(_xlpm.gkva*1000/(IF(N($CB230)=1,1,SQRT(3))*$D230*_xlpm.gxd),0)),IF(OR(_xlpm.gamp=0,NOT(ISNUMBER(_xlpm.base))),_xlpm.base,MAX(_xlpm.base,_xlpm.gamp))),_xlpm.ulim,IF(OR($A230="",$B230&lt;&gt;"UPS"),"",IFERROR(IF(_xlfn.XLOOKUP($A230,UPS!$B$57:$B$64,UPS!$E$57:$E$64,"")="None",_xlfn.XLOOKUP($A230,UPS!$B$57:$B$64,UPS!$U$57:$U$64,""),""),"")),IF(AND(ISNUMBER(_xlpm.v),ISNUMBER(_xlpm.ulim)),MIN(_xlpm.v,_xlpm.ulim),_xlpm.v))</f>
        <v/>
      </c>
      <c r="K230" s="176"/>
      <c r="L230" s="177" t="str">
        <f t="shared" si="55"/>
        <v/>
      </c>
      <c r="M230" s="177" t="str">
        <f t="shared" si="56"/>
        <v/>
      </c>
      <c r="N230" s="380" t="str">
        <f>IF($A230="","",IF($C230=0,_xlfn.LET(_xlpm.x,IFERROR(_xlfn.XLOOKUP($A230,Util_Tags,Util_XR),""),IF(N(_xlpm.x)=0,Xfmr_DefXR,_xlpm.x)),IF(LEFT($A230,2)="T-",IFERROR(_xlfn.XLOOKUP($A230,Transformers!$A$6:$A$105,Transformers!$AH$6:$AH$105),Xfmr_DefXR),IFERROR(_xlfn.XLOOKUP($E230,$A$6:$A$255,$N$6:$N$255),Xfmr_DefXR))))</f>
        <v/>
      </c>
      <c r="O230" s="177" t="str">
        <f t="shared" si="57"/>
        <v/>
      </c>
      <c r="P230" s="210" t="str">
        <f>IF($A230="","",IF(LEFT($A230,2)="T-",IF($CO230="","",_xlfn.LET(_xlpm.k,IFERROR(_xlfn.XLOOKUP($A230,Transformers!$A$6:$A$105,Transformers!$G$6:$G$105),""),_xlpm.sv,IFERROR(_xlfn.XLOOKUP($A230,Transformers!$A$6:$A$105,Transformers!$E$6:$E$105),""),IF(OR(NOT(ISNUMBER(_xlpm.k)),NOT(ISNUMBER(_xlpm.sv)),_xlpm.sv=0),"",_xlfn.LET(_xlpm.iInf,(_xlpm.k*1000/(_xlpm.sv/2))*100/$CO230,_xlpm.pri,IF(OR($CK230="",$CK230=0),"",$CK230/2),_xlpm.base,IF(_xlpm.pri="",_xlpm.iInf,_xlpm.iInf/(1+_xlpm.iInf/_xlpm.pri)),_xlpm.base+IF($L230="",0,$L230))))),IF($CP230="","",_xlfn.LET(_xlpm.pI,IFERROR(_xlfn.XLOOKUP($E230,$A$6:$A$255,$P$6:$P$255),""),IF(NOT(ISNUMBER(_xlpm.pI)),"",_xlpm.pI/(1+$CP230)+IF($L230="",0,$L230))))))</f>
        <v/>
      </c>
      <c r="Q230" s="210" t="str">
        <f t="shared" si="58"/>
        <v/>
      </c>
      <c r="R230" s="177" t="str">
        <f>IF($A230="","",IF(OR($C230=0,LEFT($A230,2)="T-"),"",IFERROR(_xlfn.LET(_xlpm.v,_xlfn.XLOOKUP($A230,Dashboard!$A$101:$A$350,Dashboard!$K$101:$K$350),IF(ISNUMBER(_xlpm.v),_xlpm.v,"")),"")))</f>
        <v/>
      </c>
      <c r="S230" s="211" t="str">
        <f t="shared" si="59"/>
        <v/>
      </c>
      <c r="T230" s="25" t="str">
        <f t="shared" si="60"/>
        <v/>
      </c>
      <c r="U230" s="364"/>
      <c r="BV230" s="20" t="str">
        <f>IF($A230="","",IFERROR(_xlfn.XLOOKUP("F-"&amp;$A230,'Feeder Schedule'!$B$5:$B$254,'Feeder Schedule'!$H$5:$H$254),""))</f>
        <v/>
      </c>
      <c r="BW230" s="20" t="str">
        <f>IF($A230="","",IFERROR(_xlfn.XLOOKUP("F-"&amp;$A230,'Feeder Schedule'!$B$5:$B$254,'Feeder Schedule'!$BV$5:$BV$254),""))</f>
        <v/>
      </c>
      <c r="BX230" s="20" t="str">
        <f>IF($A230="","",IFERROR(_xlfn.LET(_xlpm.v,_xlfn.XLOOKUP("F-"&amp;$A230,'Feeder Schedule'!$B$5:$B$254,'Feeder Schedule'!$M$5:$M$254),IF(OR(_xlpm.v="",_xlpm.v=0),Cfg_Conduit,_xlpm.v)),""))</f>
        <v/>
      </c>
      <c r="BY230" s="20" t="str">
        <f>IF($A230="","",IFERROR(_xlfn.XLOOKUP("F-"&amp;$A230,'Feeder Schedule'!$B$5:$B$254,'Feeder Schedule'!$O$5:$O$254),""))</f>
        <v/>
      </c>
      <c r="BZ230" s="20" t="str">
        <f>IF($A230="","",IFERROR(_xlfn.XLOOKUP("F-"&amp;$A230,'Feeder Schedule'!$B$5:$B$254,'Feeder Schedule'!$CH$5:$CH$254),""))</f>
        <v/>
      </c>
      <c r="CA230" s="20" t="str">
        <f>IF($A230="","",IFERROR(_xlfn.XLOOKUP("F-"&amp;$A230,'Feeder Schedule'!$B$5:$B$254,'Feeder Schedule'!$F$5:$F$254),""))</f>
        <v/>
      </c>
      <c r="CB230" s="20" t="str">
        <f>IF($A230="","",IFERROR(_xlfn.XLOOKUP("F-"&amp;$A230,'Feeder Schedule'!$B$5:$B$254,'Feeder Schedule'!$G$5:$G$254),""))</f>
        <v/>
      </c>
      <c r="CD230" s="20" t="str" cm="1">
        <f t="array" ref="CD230">IFERROR(IF($A230="","",INDEX(_xlfn.ANCHORARRAY($BK$4),ROW()-5,6)),"")</f>
        <v/>
      </c>
      <c r="CE230" s="20" t="str">
        <f t="shared" si="63"/>
        <v/>
      </c>
      <c r="CF230" s="20" t="str">
        <f t="shared" si="64"/>
        <v/>
      </c>
      <c r="CG230" s="20" t="str">
        <f t="shared" si="61"/>
        <v/>
      </c>
      <c r="CH230" s="20" t="str" cm="1">
        <f t="array" ref="CH230">IF(OR($A230="",$BZ230="",$BW230="",$BX230=""),"",_xlfn.LET(_xlpm.mag,IFERROR(_xlfn.XLOOKUP($BX230,Race_Raceway,Race_Mag),""),IF(_xlpm.mag="","",IFERROR(INDEX(Cond_Table,MATCH($BZ230,Cond_Size,0),IF(UPPER($BW230)="AL",IF(_xlpm.mag="Y",10,12),IF(_xlpm.mag="Y",9,11))),""))))</f>
        <v/>
      </c>
      <c r="CI230" s="20" t="str">
        <f t="shared" si="62"/>
        <v/>
      </c>
      <c r="CJ230" s="20" t="str">
        <f>IF(OR($A230="",LEFT($A230,2)&lt;&gt;"T-"),"",IFERROR(_xlfn.LET(_xlpm.fla,_xlfn.XLOOKUP($A230,Transformers!$A$6:$A$105,Transformers!$AK$6:$AK$105),_xlpm.z,_xlfn.XLOOKUP($A230,Transformers!$A$6:$A$105,Transformers!$AX$6:$AX$105),IF(OR(_xlpm.fla="",_xlpm.z="",_xlpm.z=0),"",_xlpm.fla*100/_xlpm.z)),""))</f>
        <v/>
      </c>
      <c r="CK230" s="20" t="str">
        <f t="shared" si="65"/>
        <v/>
      </c>
      <c r="CL230" s="20" t="str">
        <f t="shared" si="66"/>
        <v/>
      </c>
      <c r="CM230" s="373"/>
      <c r="CO230" s="20" t="str">
        <f>IF(OR($A230="",LEFT($A230,2)&lt;&gt;"T-"),"",_xlfn.LET(_xlpm.ph,IFERROR(_xlfn.XLOOKUP($A230,Transformers!$A$6:$A$105,Transformers!$C$6:$C$105),""),_xlpm.rr,IFERROR(_xlfn.XLOOKUP($A230,Transformers!$A$6:$A$105,Transformers!$AG$6:$AG$105),""),_xlpm.xx,IFERROR(_xlfn.XLOOKUP($A230,Transformers!$A$6:$A$105,Transformers!$AI$6:$AI$105),""),IF(OR(_xlpm.ph&lt;&gt;1,NOT(ISNUMBER(_xlpm.rr)),NOT(ISNUMBER(_xlpm.xx))),"",SQRT((1.5*_xlpm.rr)^2+(1.2*_xlpm.xx)^2))))</f>
        <v/>
      </c>
      <c r="CP230" s="20" t="str">
        <f t="shared" si="67"/>
        <v/>
      </c>
    </row>
    <row r="231" spans="1:94" ht="15" customHeight="1" x14ac:dyDescent="0.45">
      <c r="A231" s="275" t="str" cm="1">
        <f t="array" ref="A231">IFERROR(IF(INDEX(_xlfn.ANCHORARRAY($BK$4),ROW()-5,1)="","",INDEX(_xlfn.ANCHORARRAY($BK$4),ROW()-5,1)),"")</f>
        <v/>
      </c>
      <c r="B231" s="25" t="str" cm="1">
        <f t="array" ref="B231">IFERROR(IF($A231="","",INDEX(_xlfn.ANCHORARRAY($BK$4),ROW()-5,5)),"")</f>
        <v/>
      </c>
      <c r="C231" s="178" t="str" cm="1">
        <f t="array" ref="C231">IFERROR(IF($A231="","",INDEX(_xlfn.ANCHORARRAY($BK$4),ROW()-5,7)),"")</f>
        <v/>
      </c>
      <c r="D231" s="177" t="str" cm="1">
        <f t="array" ref="D231">IFERROR(IF($A231="","",INDEX(_xlfn.ANCHORARRAY($BK$4),ROW()-5,3)),"")</f>
        <v/>
      </c>
      <c r="E231" s="25" t="str" cm="1">
        <f t="array" ref="E231">IFERROR(IF($A231="","",INDEX(_xlfn.ANCHORARRAY($BK$4),ROW()-5,2)),"")</f>
        <v/>
      </c>
      <c r="F231" s="177" t="str">
        <f t="shared" si="51"/>
        <v/>
      </c>
      <c r="G231" s="275" t="str">
        <f t="shared" si="52"/>
        <v/>
      </c>
      <c r="H231" s="180" t="str">
        <f t="shared" si="53"/>
        <v/>
      </c>
      <c r="I231" s="180" t="str">
        <f t="shared" si="54"/>
        <v/>
      </c>
      <c r="J231" s="177" t="str">
        <f>_xlfn.LET(_xlpm.v,_xlfn.LET(_xlpm.base,IF($A231="","",IF($C231=0,IFERROR(_xlfn.XLOOKUP($A231,Util_Tags,Util_SCAEff),""),IF(LEFT($A231,2)="T-",IF($CJ231="","",$CJ231/(1+IF($CL231="",0,$CL231))),IF(OR($F231="",$I231=""),"",$F231*$I231)))),_xlpm.gtag,IF(OR($A231="",NOT(OR($B231="ATS",$B231="MTS"))),"",IFERROR(_xlfn.XLOOKUP($A231,Dashboard!$A$101:$A$350,Dashboard!$L$101:$L$350,"")&amp;"","")),_xlpm.gkva,IF(_xlpm.gtag="",0,IFERROR(N(_xlfn.XLOOKUP(_xlpm.gtag,Generator!$B$53:$B$58,Generator!$S$53:$S$58,0)),0)),_xlpm.gxd,IF(_xlpm.gtag="",0,IFERROR(N(_xlfn.XLOOKUP(_xlpm.gtag,Generator!$B$53:$B$58,Generator!$U$53:$U$58,0)),0)),_xlpm.gamp,IF(OR(_xlpm.gkva=0,_xlpm.gxd=0,N($D231)=0),0,ROUND(_xlpm.gkva*1000/(IF(N($CB231)=1,1,SQRT(3))*$D231*_xlpm.gxd),0)),IF(OR(_xlpm.gamp=0,NOT(ISNUMBER(_xlpm.base))),_xlpm.base,MAX(_xlpm.base,_xlpm.gamp))),_xlpm.ulim,IF(OR($A231="",$B231&lt;&gt;"UPS"),"",IFERROR(IF(_xlfn.XLOOKUP($A231,UPS!$B$57:$B$64,UPS!$E$57:$E$64,"")="None",_xlfn.XLOOKUP($A231,UPS!$B$57:$B$64,UPS!$U$57:$U$64,""),""),"")),IF(AND(ISNUMBER(_xlpm.v),ISNUMBER(_xlpm.ulim)),MIN(_xlpm.v,_xlpm.ulim),_xlpm.v))</f>
        <v/>
      </c>
      <c r="K231" s="176"/>
      <c r="L231" s="177" t="str">
        <f t="shared" si="55"/>
        <v/>
      </c>
      <c r="M231" s="177" t="str">
        <f t="shared" si="56"/>
        <v/>
      </c>
      <c r="N231" s="380" t="str">
        <f>IF($A231="","",IF($C231=0,_xlfn.LET(_xlpm.x,IFERROR(_xlfn.XLOOKUP($A231,Util_Tags,Util_XR),""),IF(N(_xlpm.x)=0,Xfmr_DefXR,_xlpm.x)),IF(LEFT($A231,2)="T-",IFERROR(_xlfn.XLOOKUP($A231,Transformers!$A$6:$A$105,Transformers!$AH$6:$AH$105),Xfmr_DefXR),IFERROR(_xlfn.XLOOKUP($E231,$A$6:$A$255,$N$6:$N$255),Xfmr_DefXR))))</f>
        <v/>
      </c>
      <c r="O231" s="177" t="str">
        <f t="shared" si="57"/>
        <v/>
      </c>
      <c r="P231" s="210" t="str">
        <f>IF($A231="","",IF(LEFT($A231,2)="T-",IF($CO231="","",_xlfn.LET(_xlpm.k,IFERROR(_xlfn.XLOOKUP($A231,Transformers!$A$6:$A$105,Transformers!$G$6:$G$105),""),_xlpm.sv,IFERROR(_xlfn.XLOOKUP($A231,Transformers!$A$6:$A$105,Transformers!$E$6:$E$105),""),IF(OR(NOT(ISNUMBER(_xlpm.k)),NOT(ISNUMBER(_xlpm.sv)),_xlpm.sv=0),"",_xlfn.LET(_xlpm.iInf,(_xlpm.k*1000/(_xlpm.sv/2))*100/$CO231,_xlpm.pri,IF(OR($CK231="",$CK231=0),"",$CK231/2),_xlpm.base,IF(_xlpm.pri="",_xlpm.iInf,_xlpm.iInf/(1+_xlpm.iInf/_xlpm.pri)),_xlpm.base+IF($L231="",0,$L231))))),IF($CP231="","",_xlfn.LET(_xlpm.pI,IFERROR(_xlfn.XLOOKUP($E231,$A$6:$A$255,$P$6:$P$255),""),IF(NOT(ISNUMBER(_xlpm.pI)),"",_xlpm.pI/(1+$CP231)+IF($L231="",0,$L231))))))</f>
        <v/>
      </c>
      <c r="Q231" s="210" t="str">
        <f t="shared" si="58"/>
        <v/>
      </c>
      <c r="R231" s="177" t="str">
        <f>IF($A231="","",IF(OR($C231=0,LEFT($A231,2)="T-"),"",IFERROR(_xlfn.LET(_xlpm.v,_xlfn.XLOOKUP($A231,Dashboard!$A$101:$A$350,Dashboard!$K$101:$K$350),IF(ISNUMBER(_xlpm.v),_xlpm.v,"")),"")))</f>
        <v/>
      </c>
      <c r="S231" s="211" t="str">
        <f t="shared" si="59"/>
        <v/>
      </c>
      <c r="T231" s="25" t="str">
        <f t="shared" si="60"/>
        <v/>
      </c>
      <c r="U231" s="364"/>
      <c r="BV231" s="20" t="str">
        <f>IF($A231="","",IFERROR(_xlfn.XLOOKUP("F-"&amp;$A231,'Feeder Schedule'!$B$5:$B$254,'Feeder Schedule'!$H$5:$H$254),""))</f>
        <v/>
      </c>
      <c r="BW231" s="20" t="str">
        <f>IF($A231="","",IFERROR(_xlfn.XLOOKUP("F-"&amp;$A231,'Feeder Schedule'!$B$5:$B$254,'Feeder Schedule'!$BV$5:$BV$254),""))</f>
        <v/>
      </c>
      <c r="BX231" s="20" t="str">
        <f>IF($A231="","",IFERROR(_xlfn.LET(_xlpm.v,_xlfn.XLOOKUP("F-"&amp;$A231,'Feeder Schedule'!$B$5:$B$254,'Feeder Schedule'!$M$5:$M$254),IF(OR(_xlpm.v="",_xlpm.v=0),Cfg_Conduit,_xlpm.v)),""))</f>
        <v/>
      </c>
      <c r="BY231" s="20" t="str">
        <f>IF($A231="","",IFERROR(_xlfn.XLOOKUP("F-"&amp;$A231,'Feeder Schedule'!$B$5:$B$254,'Feeder Schedule'!$O$5:$O$254),""))</f>
        <v/>
      </c>
      <c r="BZ231" s="20" t="str">
        <f>IF($A231="","",IFERROR(_xlfn.XLOOKUP("F-"&amp;$A231,'Feeder Schedule'!$B$5:$B$254,'Feeder Schedule'!$CH$5:$CH$254),""))</f>
        <v/>
      </c>
      <c r="CA231" s="20" t="str">
        <f>IF($A231="","",IFERROR(_xlfn.XLOOKUP("F-"&amp;$A231,'Feeder Schedule'!$B$5:$B$254,'Feeder Schedule'!$F$5:$F$254),""))</f>
        <v/>
      </c>
      <c r="CB231" s="20" t="str">
        <f>IF($A231="","",IFERROR(_xlfn.XLOOKUP("F-"&amp;$A231,'Feeder Schedule'!$B$5:$B$254,'Feeder Schedule'!$G$5:$G$254),""))</f>
        <v/>
      </c>
      <c r="CD231" s="20" t="str" cm="1">
        <f t="array" ref="CD231">IFERROR(IF($A231="","",INDEX(_xlfn.ANCHORARRAY($BK$4),ROW()-5,6)),"")</f>
        <v/>
      </c>
      <c r="CE231" s="20" t="str">
        <f t="shared" si="63"/>
        <v/>
      </c>
      <c r="CF231" s="20" t="str">
        <f t="shared" si="64"/>
        <v/>
      </c>
      <c r="CG231" s="20" t="str">
        <f t="shared" si="61"/>
        <v/>
      </c>
      <c r="CH231" s="20" t="str" cm="1">
        <f t="array" ref="CH231">IF(OR($A231="",$BZ231="",$BW231="",$BX231=""),"",_xlfn.LET(_xlpm.mag,IFERROR(_xlfn.XLOOKUP($BX231,Race_Raceway,Race_Mag),""),IF(_xlpm.mag="","",IFERROR(INDEX(Cond_Table,MATCH($BZ231,Cond_Size,0),IF(UPPER($BW231)="AL",IF(_xlpm.mag="Y",10,12),IF(_xlpm.mag="Y",9,11))),""))))</f>
        <v/>
      </c>
      <c r="CI231" s="20" t="str">
        <f t="shared" si="62"/>
        <v/>
      </c>
      <c r="CJ231" s="20" t="str">
        <f>IF(OR($A231="",LEFT($A231,2)&lt;&gt;"T-"),"",IFERROR(_xlfn.LET(_xlpm.fla,_xlfn.XLOOKUP($A231,Transformers!$A$6:$A$105,Transformers!$AK$6:$AK$105),_xlpm.z,_xlfn.XLOOKUP($A231,Transformers!$A$6:$A$105,Transformers!$AX$6:$AX$105),IF(OR(_xlpm.fla="",_xlpm.z="",_xlpm.z=0),"",_xlpm.fla*100/_xlpm.z)),""))</f>
        <v/>
      </c>
      <c r="CK231" s="20" t="str">
        <f t="shared" si="65"/>
        <v/>
      </c>
      <c r="CL231" s="20" t="str">
        <f t="shared" si="66"/>
        <v/>
      </c>
      <c r="CM231" s="373"/>
      <c r="CO231" s="20" t="str">
        <f>IF(OR($A231="",LEFT($A231,2)&lt;&gt;"T-"),"",_xlfn.LET(_xlpm.ph,IFERROR(_xlfn.XLOOKUP($A231,Transformers!$A$6:$A$105,Transformers!$C$6:$C$105),""),_xlpm.rr,IFERROR(_xlfn.XLOOKUP($A231,Transformers!$A$6:$A$105,Transformers!$AG$6:$AG$105),""),_xlpm.xx,IFERROR(_xlfn.XLOOKUP($A231,Transformers!$A$6:$A$105,Transformers!$AI$6:$AI$105),""),IF(OR(_xlpm.ph&lt;&gt;1,NOT(ISNUMBER(_xlpm.rr)),NOT(ISNUMBER(_xlpm.xx))),"",SQRT((1.5*_xlpm.rr)^2+(1.2*_xlpm.xx)^2))))</f>
        <v/>
      </c>
      <c r="CP231" s="20" t="str">
        <f t="shared" si="67"/>
        <v/>
      </c>
    </row>
    <row r="232" spans="1:94" ht="15" customHeight="1" x14ac:dyDescent="0.45">
      <c r="A232" s="275" t="str" cm="1">
        <f t="array" ref="A232">IFERROR(IF(INDEX(_xlfn.ANCHORARRAY($BK$4),ROW()-5,1)="","",INDEX(_xlfn.ANCHORARRAY($BK$4),ROW()-5,1)),"")</f>
        <v/>
      </c>
      <c r="B232" s="25" t="str" cm="1">
        <f t="array" ref="B232">IFERROR(IF($A232="","",INDEX(_xlfn.ANCHORARRAY($BK$4),ROW()-5,5)),"")</f>
        <v/>
      </c>
      <c r="C232" s="178" t="str" cm="1">
        <f t="array" ref="C232">IFERROR(IF($A232="","",INDEX(_xlfn.ANCHORARRAY($BK$4),ROW()-5,7)),"")</f>
        <v/>
      </c>
      <c r="D232" s="177" t="str" cm="1">
        <f t="array" ref="D232">IFERROR(IF($A232="","",INDEX(_xlfn.ANCHORARRAY($BK$4),ROW()-5,3)),"")</f>
        <v/>
      </c>
      <c r="E232" s="25" t="str" cm="1">
        <f t="array" ref="E232">IFERROR(IF($A232="","",INDEX(_xlfn.ANCHORARRAY($BK$4),ROW()-5,2)),"")</f>
        <v/>
      </c>
      <c r="F232" s="177" t="str">
        <f t="shared" si="51"/>
        <v/>
      </c>
      <c r="G232" s="275" t="str">
        <f t="shared" si="52"/>
        <v/>
      </c>
      <c r="H232" s="180" t="str">
        <f t="shared" si="53"/>
        <v/>
      </c>
      <c r="I232" s="180" t="str">
        <f t="shared" si="54"/>
        <v/>
      </c>
      <c r="J232" s="177" t="str">
        <f>_xlfn.LET(_xlpm.v,_xlfn.LET(_xlpm.base,IF($A232="","",IF($C232=0,IFERROR(_xlfn.XLOOKUP($A232,Util_Tags,Util_SCAEff),""),IF(LEFT($A232,2)="T-",IF($CJ232="","",$CJ232/(1+IF($CL232="",0,$CL232))),IF(OR($F232="",$I232=""),"",$F232*$I232)))),_xlpm.gtag,IF(OR($A232="",NOT(OR($B232="ATS",$B232="MTS"))),"",IFERROR(_xlfn.XLOOKUP($A232,Dashboard!$A$101:$A$350,Dashboard!$L$101:$L$350,"")&amp;"","")),_xlpm.gkva,IF(_xlpm.gtag="",0,IFERROR(N(_xlfn.XLOOKUP(_xlpm.gtag,Generator!$B$53:$B$58,Generator!$S$53:$S$58,0)),0)),_xlpm.gxd,IF(_xlpm.gtag="",0,IFERROR(N(_xlfn.XLOOKUP(_xlpm.gtag,Generator!$B$53:$B$58,Generator!$U$53:$U$58,0)),0)),_xlpm.gamp,IF(OR(_xlpm.gkva=0,_xlpm.gxd=0,N($D232)=0),0,ROUND(_xlpm.gkva*1000/(IF(N($CB232)=1,1,SQRT(3))*$D232*_xlpm.gxd),0)),IF(OR(_xlpm.gamp=0,NOT(ISNUMBER(_xlpm.base))),_xlpm.base,MAX(_xlpm.base,_xlpm.gamp))),_xlpm.ulim,IF(OR($A232="",$B232&lt;&gt;"UPS"),"",IFERROR(IF(_xlfn.XLOOKUP($A232,UPS!$B$57:$B$64,UPS!$E$57:$E$64,"")="None",_xlfn.XLOOKUP($A232,UPS!$B$57:$B$64,UPS!$U$57:$U$64,""),""),"")),IF(AND(ISNUMBER(_xlpm.v),ISNUMBER(_xlpm.ulim)),MIN(_xlpm.v,_xlpm.ulim),_xlpm.v))</f>
        <v/>
      </c>
      <c r="K232" s="176"/>
      <c r="L232" s="177" t="str">
        <f t="shared" si="55"/>
        <v/>
      </c>
      <c r="M232" s="177" t="str">
        <f t="shared" si="56"/>
        <v/>
      </c>
      <c r="N232" s="380" t="str">
        <f>IF($A232="","",IF($C232=0,_xlfn.LET(_xlpm.x,IFERROR(_xlfn.XLOOKUP($A232,Util_Tags,Util_XR),""),IF(N(_xlpm.x)=0,Xfmr_DefXR,_xlpm.x)),IF(LEFT($A232,2)="T-",IFERROR(_xlfn.XLOOKUP($A232,Transformers!$A$6:$A$105,Transformers!$AH$6:$AH$105),Xfmr_DefXR),IFERROR(_xlfn.XLOOKUP($E232,$A$6:$A$255,$N$6:$N$255),Xfmr_DefXR))))</f>
        <v/>
      </c>
      <c r="O232" s="177" t="str">
        <f t="shared" si="57"/>
        <v/>
      </c>
      <c r="P232" s="210" t="str">
        <f>IF($A232="","",IF(LEFT($A232,2)="T-",IF($CO232="","",_xlfn.LET(_xlpm.k,IFERROR(_xlfn.XLOOKUP($A232,Transformers!$A$6:$A$105,Transformers!$G$6:$G$105),""),_xlpm.sv,IFERROR(_xlfn.XLOOKUP($A232,Transformers!$A$6:$A$105,Transformers!$E$6:$E$105),""),IF(OR(NOT(ISNUMBER(_xlpm.k)),NOT(ISNUMBER(_xlpm.sv)),_xlpm.sv=0),"",_xlfn.LET(_xlpm.iInf,(_xlpm.k*1000/(_xlpm.sv/2))*100/$CO232,_xlpm.pri,IF(OR($CK232="",$CK232=0),"",$CK232/2),_xlpm.base,IF(_xlpm.pri="",_xlpm.iInf,_xlpm.iInf/(1+_xlpm.iInf/_xlpm.pri)),_xlpm.base+IF($L232="",0,$L232))))),IF($CP232="","",_xlfn.LET(_xlpm.pI,IFERROR(_xlfn.XLOOKUP($E232,$A$6:$A$255,$P$6:$P$255),""),IF(NOT(ISNUMBER(_xlpm.pI)),"",_xlpm.pI/(1+$CP232)+IF($L232="",0,$L232))))))</f>
        <v/>
      </c>
      <c r="Q232" s="210" t="str">
        <f t="shared" si="58"/>
        <v/>
      </c>
      <c r="R232" s="177" t="str">
        <f>IF($A232="","",IF(OR($C232=0,LEFT($A232,2)="T-"),"",IFERROR(_xlfn.LET(_xlpm.v,_xlfn.XLOOKUP($A232,Dashboard!$A$101:$A$350,Dashboard!$K$101:$K$350),IF(ISNUMBER(_xlpm.v),_xlpm.v,"")),"")))</f>
        <v/>
      </c>
      <c r="S232" s="211" t="str">
        <f t="shared" si="59"/>
        <v/>
      </c>
      <c r="T232" s="25" t="str">
        <f t="shared" si="60"/>
        <v/>
      </c>
      <c r="U232" s="364"/>
      <c r="BV232" s="20" t="str">
        <f>IF($A232="","",IFERROR(_xlfn.XLOOKUP("F-"&amp;$A232,'Feeder Schedule'!$B$5:$B$254,'Feeder Schedule'!$H$5:$H$254),""))</f>
        <v/>
      </c>
      <c r="BW232" s="20" t="str">
        <f>IF($A232="","",IFERROR(_xlfn.XLOOKUP("F-"&amp;$A232,'Feeder Schedule'!$B$5:$B$254,'Feeder Schedule'!$BV$5:$BV$254),""))</f>
        <v/>
      </c>
      <c r="BX232" s="20" t="str">
        <f>IF($A232="","",IFERROR(_xlfn.LET(_xlpm.v,_xlfn.XLOOKUP("F-"&amp;$A232,'Feeder Schedule'!$B$5:$B$254,'Feeder Schedule'!$M$5:$M$254),IF(OR(_xlpm.v="",_xlpm.v=0),Cfg_Conduit,_xlpm.v)),""))</f>
        <v/>
      </c>
      <c r="BY232" s="20" t="str">
        <f>IF($A232="","",IFERROR(_xlfn.XLOOKUP("F-"&amp;$A232,'Feeder Schedule'!$B$5:$B$254,'Feeder Schedule'!$O$5:$O$254),""))</f>
        <v/>
      </c>
      <c r="BZ232" s="20" t="str">
        <f>IF($A232="","",IFERROR(_xlfn.XLOOKUP("F-"&amp;$A232,'Feeder Schedule'!$B$5:$B$254,'Feeder Schedule'!$CH$5:$CH$254),""))</f>
        <v/>
      </c>
      <c r="CA232" s="20" t="str">
        <f>IF($A232="","",IFERROR(_xlfn.XLOOKUP("F-"&amp;$A232,'Feeder Schedule'!$B$5:$B$254,'Feeder Schedule'!$F$5:$F$254),""))</f>
        <v/>
      </c>
      <c r="CB232" s="20" t="str">
        <f>IF($A232="","",IFERROR(_xlfn.XLOOKUP("F-"&amp;$A232,'Feeder Schedule'!$B$5:$B$254,'Feeder Schedule'!$G$5:$G$254),""))</f>
        <v/>
      </c>
      <c r="CD232" s="20" t="str" cm="1">
        <f t="array" ref="CD232">IFERROR(IF($A232="","",INDEX(_xlfn.ANCHORARRAY($BK$4),ROW()-5,6)),"")</f>
        <v/>
      </c>
      <c r="CE232" s="20" t="str">
        <f t="shared" si="63"/>
        <v/>
      </c>
      <c r="CF232" s="20" t="str">
        <f t="shared" si="64"/>
        <v/>
      </c>
      <c r="CG232" s="20" t="str">
        <f t="shared" si="61"/>
        <v/>
      </c>
      <c r="CH232" s="20" t="str" cm="1">
        <f t="array" ref="CH232">IF(OR($A232="",$BZ232="",$BW232="",$BX232=""),"",_xlfn.LET(_xlpm.mag,IFERROR(_xlfn.XLOOKUP($BX232,Race_Raceway,Race_Mag),""),IF(_xlpm.mag="","",IFERROR(INDEX(Cond_Table,MATCH($BZ232,Cond_Size,0),IF(UPPER($BW232)="AL",IF(_xlpm.mag="Y",10,12),IF(_xlpm.mag="Y",9,11))),""))))</f>
        <v/>
      </c>
      <c r="CI232" s="20" t="str">
        <f t="shared" si="62"/>
        <v/>
      </c>
      <c r="CJ232" s="20" t="str">
        <f>IF(OR($A232="",LEFT($A232,2)&lt;&gt;"T-"),"",IFERROR(_xlfn.LET(_xlpm.fla,_xlfn.XLOOKUP($A232,Transformers!$A$6:$A$105,Transformers!$AK$6:$AK$105),_xlpm.z,_xlfn.XLOOKUP($A232,Transformers!$A$6:$A$105,Transformers!$AX$6:$AX$105),IF(OR(_xlpm.fla="",_xlpm.z="",_xlpm.z=0),"",_xlpm.fla*100/_xlpm.z)),""))</f>
        <v/>
      </c>
      <c r="CK232" s="20" t="str">
        <f t="shared" si="65"/>
        <v/>
      </c>
      <c r="CL232" s="20" t="str">
        <f t="shared" si="66"/>
        <v/>
      </c>
      <c r="CM232" s="373"/>
      <c r="CO232" s="20" t="str">
        <f>IF(OR($A232="",LEFT($A232,2)&lt;&gt;"T-"),"",_xlfn.LET(_xlpm.ph,IFERROR(_xlfn.XLOOKUP($A232,Transformers!$A$6:$A$105,Transformers!$C$6:$C$105),""),_xlpm.rr,IFERROR(_xlfn.XLOOKUP($A232,Transformers!$A$6:$A$105,Transformers!$AG$6:$AG$105),""),_xlpm.xx,IFERROR(_xlfn.XLOOKUP($A232,Transformers!$A$6:$A$105,Transformers!$AI$6:$AI$105),""),IF(OR(_xlpm.ph&lt;&gt;1,NOT(ISNUMBER(_xlpm.rr)),NOT(ISNUMBER(_xlpm.xx))),"",SQRT((1.5*_xlpm.rr)^2+(1.2*_xlpm.xx)^2))))</f>
        <v/>
      </c>
      <c r="CP232" s="20" t="str">
        <f t="shared" si="67"/>
        <v/>
      </c>
    </row>
    <row r="233" spans="1:94" ht="15" customHeight="1" x14ac:dyDescent="0.45">
      <c r="A233" s="275" t="str" cm="1">
        <f t="array" ref="A233">IFERROR(IF(INDEX(_xlfn.ANCHORARRAY($BK$4),ROW()-5,1)="","",INDEX(_xlfn.ANCHORARRAY($BK$4),ROW()-5,1)),"")</f>
        <v/>
      </c>
      <c r="B233" s="25" t="str" cm="1">
        <f t="array" ref="B233">IFERROR(IF($A233="","",INDEX(_xlfn.ANCHORARRAY($BK$4),ROW()-5,5)),"")</f>
        <v/>
      </c>
      <c r="C233" s="178" t="str" cm="1">
        <f t="array" ref="C233">IFERROR(IF($A233="","",INDEX(_xlfn.ANCHORARRAY($BK$4),ROW()-5,7)),"")</f>
        <v/>
      </c>
      <c r="D233" s="177" t="str" cm="1">
        <f t="array" ref="D233">IFERROR(IF($A233="","",INDEX(_xlfn.ANCHORARRAY($BK$4),ROW()-5,3)),"")</f>
        <v/>
      </c>
      <c r="E233" s="25" t="str" cm="1">
        <f t="array" ref="E233">IFERROR(IF($A233="","",INDEX(_xlfn.ANCHORARRAY($BK$4),ROW()-5,2)),"")</f>
        <v/>
      </c>
      <c r="F233" s="177" t="str">
        <f t="shared" si="51"/>
        <v/>
      </c>
      <c r="G233" s="275" t="str">
        <f t="shared" si="52"/>
        <v/>
      </c>
      <c r="H233" s="180" t="str">
        <f t="shared" si="53"/>
        <v/>
      </c>
      <c r="I233" s="180" t="str">
        <f t="shared" si="54"/>
        <v/>
      </c>
      <c r="J233" s="177" t="str">
        <f>_xlfn.LET(_xlpm.v,_xlfn.LET(_xlpm.base,IF($A233="","",IF($C233=0,IFERROR(_xlfn.XLOOKUP($A233,Util_Tags,Util_SCAEff),""),IF(LEFT($A233,2)="T-",IF($CJ233="","",$CJ233/(1+IF($CL233="",0,$CL233))),IF(OR($F233="",$I233=""),"",$F233*$I233)))),_xlpm.gtag,IF(OR($A233="",NOT(OR($B233="ATS",$B233="MTS"))),"",IFERROR(_xlfn.XLOOKUP($A233,Dashboard!$A$101:$A$350,Dashboard!$L$101:$L$350,"")&amp;"","")),_xlpm.gkva,IF(_xlpm.gtag="",0,IFERROR(N(_xlfn.XLOOKUP(_xlpm.gtag,Generator!$B$53:$B$58,Generator!$S$53:$S$58,0)),0)),_xlpm.gxd,IF(_xlpm.gtag="",0,IFERROR(N(_xlfn.XLOOKUP(_xlpm.gtag,Generator!$B$53:$B$58,Generator!$U$53:$U$58,0)),0)),_xlpm.gamp,IF(OR(_xlpm.gkva=0,_xlpm.gxd=0,N($D233)=0),0,ROUND(_xlpm.gkva*1000/(IF(N($CB233)=1,1,SQRT(3))*$D233*_xlpm.gxd),0)),IF(OR(_xlpm.gamp=0,NOT(ISNUMBER(_xlpm.base))),_xlpm.base,MAX(_xlpm.base,_xlpm.gamp))),_xlpm.ulim,IF(OR($A233="",$B233&lt;&gt;"UPS"),"",IFERROR(IF(_xlfn.XLOOKUP($A233,UPS!$B$57:$B$64,UPS!$E$57:$E$64,"")="None",_xlfn.XLOOKUP($A233,UPS!$B$57:$B$64,UPS!$U$57:$U$64,""),""),"")),IF(AND(ISNUMBER(_xlpm.v),ISNUMBER(_xlpm.ulim)),MIN(_xlpm.v,_xlpm.ulim),_xlpm.v))</f>
        <v/>
      </c>
      <c r="K233" s="176"/>
      <c r="L233" s="177" t="str">
        <f t="shared" si="55"/>
        <v/>
      </c>
      <c r="M233" s="177" t="str">
        <f t="shared" si="56"/>
        <v/>
      </c>
      <c r="N233" s="380" t="str">
        <f>IF($A233="","",IF($C233=0,_xlfn.LET(_xlpm.x,IFERROR(_xlfn.XLOOKUP($A233,Util_Tags,Util_XR),""),IF(N(_xlpm.x)=0,Xfmr_DefXR,_xlpm.x)),IF(LEFT($A233,2)="T-",IFERROR(_xlfn.XLOOKUP($A233,Transformers!$A$6:$A$105,Transformers!$AH$6:$AH$105),Xfmr_DefXR),IFERROR(_xlfn.XLOOKUP($E233,$A$6:$A$255,$N$6:$N$255),Xfmr_DefXR))))</f>
        <v/>
      </c>
      <c r="O233" s="177" t="str">
        <f t="shared" si="57"/>
        <v/>
      </c>
      <c r="P233" s="210" t="str">
        <f>IF($A233="","",IF(LEFT($A233,2)="T-",IF($CO233="","",_xlfn.LET(_xlpm.k,IFERROR(_xlfn.XLOOKUP($A233,Transformers!$A$6:$A$105,Transformers!$G$6:$G$105),""),_xlpm.sv,IFERROR(_xlfn.XLOOKUP($A233,Transformers!$A$6:$A$105,Transformers!$E$6:$E$105),""),IF(OR(NOT(ISNUMBER(_xlpm.k)),NOT(ISNUMBER(_xlpm.sv)),_xlpm.sv=0),"",_xlfn.LET(_xlpm.iInf,(_xlpm.k*1000/(_xlpm.sv/2))*100/$CO233,_xlpm.pri,IF(OR($CK233="",$CK233=0),"",$CK233/2),_xlpm.base,IF(_xlpm.pri="",_xlpm.iInf,_xlpm.iInf/(1+_xlpm.iInf/_xlpm.pri)),_xlpm.base+IF($L233="",0,$L233))))),IF($CP233="","",_xlfn.LET(_xlpm.pI,IFERROR(_xlfn.XLOOKUP($E233,$A$6:$A$255,$P$6:$P$255),""),IF(NOT(ISNUMBER(_xlpm.pI)),"",_xlpm.pI/(1+$CP233)+IF($L233="",0,$L233))))))</f>
        <v/>
      </c>
      <c r="Q233" s="210" t="str">
        <f t="shared" si="58"/>
        <v/>
      </c>
      <c r="R233" s="177" t="str">
        <f>IF($A233="","",IF(OR($C233=0,LEFT($A233,2)="T-"),"",IFERROR(_xlfn.LET(_xlpm.v,_xlfn.XLOOKUP($A233,Dashboard!$A$101:$A$350,Dashboard!$K$101:$K$350),IF(ISNUMBER(_xlpm.v),_xlpm.v,"")),"")))</f>
        <v/>
      </c>
      <c r="S233" s="211" t="str">
        <f t="shared" si="59"/>
        <v/>
      </c>
      <c r="T233" s="25" t="str">
        <f t="shared" si="60"/>
        <v/>
      </c>
      <c r="U233" s="364"/>
      <c r="BV233" s="20" t="str">
        <f>IF($A233="","",IFERROR(_xlfn.XLOOKUP("F-"&amp;$A233,'Feeder Schedule'!$B$5:$B$254,'Feeder Schedule'!$H$5:$H$254),""))</f>
        <v/>
      </c>
      <c r="BW233" s="20" t="str">
        <f>IF($A233="","",IFERROR(_xlfn.XLOOKUP("F-"&amp;$A233,'Feeder Schedule'!$B$5:$B$254,'Feeder Schedule'!$BV$5:$BV$254),""))</f>
        <v/>
      </c>
      <c r="BX233" s="20" t="str">
        <f>IF($A233="","",IFERROR(_xlfn.LET(_xlpm.v,_xlfn.XLOOKUP("F-"&amp;$A233,'Feeder Schedule'!$B$5:$B$254,'Feeder Schedule'!$M$5:$M$254),IF(OR(_xlpm.v="",_xlpm.v=0),Cfg_Conduit,_xlpm.v)),""))</f>
        <v/>
      </c>
      <c r="BY233" s="20" t="str">
        <f>IF($A233="","",IFERROR(_xlfn.XLOOKUP("F-"&amp;$A233,'Feeder Schedule'!$B$5:$B$254,'Feeder Schedule'!$O$5:$O$254),""))</f>
        <v/>
      </c>
      <c r="BZ233" s="20" t="str">
        <f>IF($A233="","",IFERROR(_xlfn.XLOOKUP("F-"&amp;$A233,'Feeder Schedule'!$B$5:$B$254,'Feeder Schedule'!$CH$5:$CH$254),""))</f>
        <v/>
      </c>
      <c r="CA233" s="20" t="str">
        <f>IF($A233="","",IFERROR(_xlfn.XLOOKUP("F-"&amp;$A233,'Feeder Schedule'!$B$5:$B$254,'Feeder Schedule'!$F$5:$F$254),""))</f>
        <v/>
      </c>
      <c r="CB233" s="20" t="str">
        <f>IF($A233="","",IFERROR(_xlfn.XLOOKUP("F-"&amp;$A233,'Feeder Schedule'!$B$5:$B$254,'Feeder Schedule'!$G$5:$G$254),""))</f>
        <v/>
      </c>
      <c r="CD233" s="20" t="str" cm="1">
        <f t="array" ref="CD233">IFERROR(IF($A233="","",INDEX(_xlfn.ANCHORARRAY($BK$4),ROW()-5,6)),"")</f>
        <v/>
      </c>
      <c r="CE233" s="20" t="str">
        <f t="shared" si="63"/>
        <v/>
      </c>
      <c r="CF233" s="20" t="str">
        <f t="shared" si="64"/>
        <v/>
      </c>
      <c r="CG233" s="20" t="str">
        <f t="shared" si="61"/>
        <v/>
      </c>
      <c r="CH233" s="20" t="str" cm="1">
        <f t="array" ref="CH233">IF(OR($A233="",$BZ233="",$BW233="",$BX233=""),"",_xlfn.LET(_xlpm.mag,IFERROR(_xlfn.XLOOKUP($BX233,Race_Raceway,Race_Mag),""),IF(_xlpm.mag="","",IFERROR(INDEX(Cond_Table,MATCH($BZ233,Cond_Size,0),IF(UPPER($BW233)="AL",IF(_xlpm.mag="Y",10,12),IF(_xlpm.mag="Y",9,11))),""))))</f>
        <v/>
      </c>
      <c r="CI233" s="20" t="str">
        <f t="shared" si="62"/>
        <v/>
      </c>
      <c r="CJ233" s="20" t="str">
        <f>IF(OR($A233="",LEFT($A233,2)&lt;&gt;"T-"),"",IFERROR(_xlfn.LET(_xlpm.fla,_xlfn.XLOOKUP($A233,Transformers!$A$6:$A$105,Transformers!$AK$6:$AK$105),_xlpm.z,_xlfn.XLOOKUP($A233,Transformers!$A$6:$A$105,Transformers!$AX$6:$AX$105),IF(OR(_xlpm.fla="",_xlpm.z="",_xlpm.z=0),"",_xlpm.fla*100/_xlpm.z)),""))</f>
        <v/>
      </c>
      <c r="CK233" s="20" t="str">
        <f t="shared" si="65"/>
        <v/>
      </c>
      <c r="CL233" s="20" t="str">
        <f t="shared" si="66"/>
        <v/>
      </c>
      <c r="CM233" s="373"/>
      <c r="CO233" s="20" t="str">
        <f>IF(OR($A233="",LEFT($A233,2)&lt;&gt;"T-"),"",_xlfn.LET(_xlpm.ph,IFERROR(_xlfn.XLOOKUP($A233,Transformers!$A$6:$A$105,Transformers!$C$6:$C$105),""),_xlpm.rr,IFERROR(_xlfn.XLOOKUP($A233,Transformers!$A$6:$A$105,Transformers!$AG$6:$AG$105),""),_xlpm.xx,IFERROR(_xlfn.XLOOKUP($A233,Transformers!$A$6:$A$105,Transformers!$AI$6:$AI$105),""),IF(OR(_xlpm.ph&lt;&gt;1,NOT(ISNUMBER(_xlpm.rr)),NOT(ISNUMBER(_xlpm.xx))),"",SQRT((1.5*_xlpm.rr)^2+(1.2*_xlpm.xx)^2))))</f>
        <v/>
      </c>
      <c r="CP233" s="20" t="str">
        <f t="shared" si="67"/>
        <v/>
      </c>
    </row>
    <row r="234" spans="1:94" ht="15" customHeight="1" x14ac:dyDescent="0.45">
      <c r="A234" s="275" t="str" cm="1">
        <f t="array" ref="A234">IFERROR(IF(INDEX(_xlfn.ANCHORARRAY($BK$4),ROW()-5,1)="","",INDEX(_xlfn.ANCHORARRAY($BK$4),ROW()-5,1)),"")</f>
        <v/>
      </c>
      <c r="B234" s="25" t="str" cm="1">
        <f t="array" ref="B234">IFERROR(IF($A234="","",INDEX(_xlfn.ANCHORARRAY($BK$4),ROW()-5,5)),"")</f>
        <v/>
      </c>
      <c r="C234" s="178" t="str" cm="1">
        <f t="array" ref="C234">IFERROR(IF($A234="","",INDEX(_xlfn.ANCHORARRAY($BK$4),ROW()-5,7)),"")</f>
        <v/>
      </c>
      <c r="D234" s="177" t="str" cm="1">
        <f t="array" ref="D234">IFERROR(IF($A234="","",INDEX(_xlfn.ANCHORARRAY($BK$4),ROW()-5,3)),"")</f>
        <v/>
      </c>
      <c r="E234" s="25" t="str" cm="1">
        <f t="array" ref="E234">IFERROR(IF($A234="","",INDEX(_xlfn.ANCHORARRAY($BK$4),ROW()-5,2)),"")</f>
        <v/>
      </c>
      <c r="F234" s="177" t="str">
        <f t="shared" si="51"/>
        <v/>
      </c>
      <c r="G234" s="275" t="str">
        <f t="shared" si="52"/>
        <v/>
      </c>
      <c r="H234" s="180" t="str">
        <f t="shared" si="53"/>
        <v/>
      </c>
      <c r="I234" s="180" t="str">
        <f t="shared" si="54"/>
        <v/>
      </c>
      <c r="J234" s="177" t="str">
        <f>_xlfn.LET(_xlpm.v,_xlfn.LET(_xlpm.base,IF($A234="","",IF($C234=0,IFERROR(_xlfn.XLOOKUP($A234,Util_Tags,Util_SCAEff),""),IF(LEFT($A234,2)="T-",IF($CJ234="","",$CJ234/(1+IF($CL234="",0,$CL234))),IF(OR($F234="",$I234=""),"",$F234*$I234)))),_xlpm.gtag,IF(OR($A234="",NOT(OR($B234="ATS",$B234="MTS"))),"",IFERROR(_xlfn.XLOOKUP($A234,Dashboard!$A$101:$A$350,Dashboard!$L$101:$L$350,"")&amp;"","")),_xlpm.gkva,IF(_xlpm.gtag="",0,IFERROR(N(_xlfn.XLOOKUP(_xlpm.gtag,Generator!$B$53:$B$58,Generator!$S$53:$S$58,0)),0)),_xlpm.gxd,IF(_xlpm.gtag="",0,IFERROR(N(_xlfn.XLOOKUP(_xlpm.gtag,Generator!$B$53:$B$58,Generator!$U$53:$U$58,0)),0)),_xlpm.gamp,IF(OR(_xlpm.gkva=0,_xlpm.gxd=0,N($D234)=0),0,ROUND(_xlpm.gkva*1000/(IF(N($CB234)=1,1,SQRT(3))*$D234*_xlpm.gxd),0)),IF(OR(_xlpm.gamp=0,NOT(ISNUMBER(_xlpm.base))),_xlpm.base,MAX(_xlpm.base,_xlpm.gamp))),_xlpm.ulim,IF(OR($A234="",$B234&lt;&gt;"UPS"),"",IFERROR(IF(_xlfn.XLOOKUP($A234,UPS!$B$57:$B$64,UPS!$E$57:$E$64,"")="None",_xlfn.XLOOKUP($A234,UPS!$B$57:$B$64,UPS!$U$57:$U$64,""),""),"")),IF(AND(ISNUMBER(_xlpm.v),ISNUMBER(_xlpm.ulim)),MIN(_xlpm.v,_xlpm.ulim),_xlpm.v))</f>
        <v/>
      </c>
      <c r="K234" s="176"/>
      <c r="L234" s="177" t="str">
        <f t="shared" si="55"/>
        <v/>
      </c>
      <c r="M234" s="177" t="str">
        <f t="shared" si="56"/>
        <v/>
      </c>
      <c r="N234" s="380" t="str">
        <f>IF($A234="","",IF($C234=0,_xlfn.LET(_xlpm.x,IFERROR(_xlfn.XLOOKUP($A234,Util_Tags,Util_XR),""),IF(N(_xlpm.x)=0,Xfmr_DefXR,_xlpm.x)),IF(LEFT($A234,2)="T-",IFERROR(_xlfn.XLOOKUP($A234,Transformers!$A$6:$A$105,Transformers!$AH$6:$AH$105),Xfmr_DefXR),IFERROR(_xlfn.XLOOKUP($E234,$A$6:$A$255,$N$6:$N$255),Xfmr_DefXR))))</f>
        <v/>
      </c>
      <c r="O234" s="177" t="str">
        <f t="shared" si="57"/>
        <v/>
      </c>
      <c r="P234" s="210" t="str">
        <f>IF($A234="","",IF(LEFT($A234,2)="T-",IF($CO234="","",_xlfn.LET(_xlpm.k,IFERROR(_xlfn.XLOOKUP($A234,Transformers!$A$6:$A$105,Transformers!$G$6:$G$105),""),_xlpm.sv,IFERROR(_xlfn.XLOOKUP($A234,Transformers!$A$6:$A$105,Transformers!$E$6:$E$105),""),IF(OR(NOT(ISNUMBER(_xlpm.k)),NOT(ISNUMBER(_xlpm.sv)),_xlpm.sv=0),"",_xlfn.LET(_xlpm.iInf,(_xlpm.k*1000/(_xlpm.sv/2))*100/$CO234,_xlpm.pri,IF(OR($CK234="",$CK234=0),"",$CK234/2),_xlpm.base,IF(_xlpm.pri="",_xlpm.iInf,_xlpm.iInf/(1+_xlpm.iInf/_xlpm.pri)),_xlpm.base+IF($L234="",0,$L234))))),IF($CP234="","",_xlfn.LET(_xlpm.pI,IFERROR(_xlfn.XLOOKUP($E234,$A$6:$A$255,$P$6:$P$255),""),IF(NOT(ISNUMBER(_xlpm.pI)),"",_xlpm.pI/(1+$CP234)+IF($L234="",0,$L234))))))</f>
        <v/>
      </c>
      <c r="Q234" s="210" t="str">
        <f t="shared" si="58"/>
        <v/>
      </c>
      <c r="R234" s="177" t="str">
        <f>IF($A234="","",IF(OR($C234=0,LEFT($A234,2)="T-"),"",IFERROR(_xlfn.LET(_xlpm.v,_xlfn.XLOOKUP($A234,Dashboard!$A$101:$A$350,Dashboard!$K$101:$K$350),IF(ISNUMBER(_xlpm.v),_xlpm.v,"")),"")))</f>
        <v/>
      </c>
      <c r="S234" s="211" t="str">
        <f t="shared" si="59"/>
        <v/>
      </c>
      <c r="T234" s="25" t="str">
        <f t="shared" si="60"/>
        <v/>
      </c>
      <c r="U234" s="364"/>
      <c r="BV234" s="20" t="str">
        <f>IF($A234="","",IFERROR(_xlfn.XLOOKUP("F-"&amp;$A234,'Feeder Schedule'!$B$5:$B$254,'Feeder Schedule'!$H$5:$H$254),""))</f>
        <v/>
      </c>
      <c r="BW234" s="20" t="str">
        <f>IF($A234="","",IFERROR(_xlfn.XLOOKUP("F-"&amp;$A234,'Feeder Schedule'!$B$5:$B$254,'Feeder Schedule'!$BV$5:$BV$254),""))</f>
        <v/>
      </c>
      <c r="BX234" s="20" t="str">
        <f>IF($A234="","",IFERROR(_xlfn.LET(_xlpm.v,_xlfn.XLOOKUP("F-"&amp;$A234,'Feeder Schedule'!$B$5:$B$254,'Feeder Schedule'!$M$5:$M$254),IF(OR(_xlpm.v="",_xlpm.v=0),Cfg_Conduit,_xlpm.v)),""))</f>
        <v/>
      </c>
      <c r="BY234" s="20" t="str">
        <f>IF($A234="","",IFERROR(_xlfn.XLOOKUP("F-"&amp;$A234,'Feeder Schedule'!$B$5:$B$254,'Feeder Schedule'!$O$5:$O$254),""))</f>
        <v/>
      </c>
      <c r="BZ234" s="20" t="str">
        <f>IF($A234="","",IFERROR(_xlfn.XLOOKUP("F-"&amp;$A234,'Feeder Schedule'!$B$5:$B$254,'Feeder Schedule'!$CH$5:$CH$254),""))</f>
        <v/>
      </c>
      <c r="CA234" s="20" t="str">
        <f>IF($A234="","",IFERROR(_xlfn.XLOOKUP("F-"&amp;$A234,'Feeder Schedule'!$B$5:$B$254,'Feeder Schedule'!$F$5:$F$254),""))</f>
        <v/>
      </c>
      <c r="CB234" s="20" t="str">
        <f>IF($A234="","",IFERROR(_xlfn.XLOOKUP("F-"&amp;$A234,'Feeder Schedule'!$B$5:$B$254,'Feeder Schedule'!$G$5:$G$254),""))</f>
        <v/>
      </c>
      <c r="CD234" s="20" t="str" cm="1">
        <f t="array" ref="CD234">IFERROR(IF($A234="","",INDEX(_xlfn.ANCHORARRAY($BK$4),ROW()-5,6)),"")</f>
        <v/>
      </c>
      <c r="CE234" s="20" t="str">
        <f t="shared" si="63"/>
        <v/>
      </c>
      <c r="CF234" s="20" t="str">
        <f t="shared" si="64"/>
        <v/>
      </c>
      <c r="CG234" s="20" t="str">
        <f t="shared" si="61"/>
        <v/>
      </c>
      <c r="CH234" s="20" t="str" cm="1">
        <f t="array" ref="CH234">IF(OR($A234="",$BZ234="",$BW234="",$BX234=""),"",_xlfn.LET(_xlpm.mag,IFERROR(_xlfn.XLOOKUP($BX234,Race_Raceway,Race_Mag),""),IF(_xlpm.mag="","",IFERROR(INDEX(Cond_Table,MATCH($BZ234,Cond_Size,0),IF(UPPER($BW234)="AL",IF(_xlpm.mag="Y",10,12),IF(_xlpm.mag="Y",9,11))),""))))</f>
        <v/>
      </c>
      <c r="CI234" s="20" t="str">
        <f t="shared" si="62"/>
        <v/>
      </c>
      <c r="CJ234" s="20" t="str">
        <f>IF(OR($A234="",LEFT($A234,2)&lt;&gt;"T-"),"",IFERROR(_xlfn.LET(_xlpm.fla,_xlfn.XLOOKUP($A234,Transformers!$A$6:$A$105,Transformers!$AK$6:$AK$105),_xlpm.z,_xlfn.XLOOKUP($A234,Transformers!$A$6:$A$105,Transformers!$AX$6:$AX$105),IF(OR(_xlpm.fla="",_xlpm.z="",_xlpm.z=0),"",_xlpm.fla*100/_xlpm.z)),""))</f>
        <v/>
      </c>
      <c r="CK234" s="20" t="str">
        <f t="shared" si="65"/>
        <v/>
      </c>
      <c r="CL234" s="20" t="str">
        <f t="shared" si="66"/>
        <v/>
      </c>
      <c r="CM234" s="373"/>
      <c r="CO234" s="20" t="str">
        <f>IF(OR($A234="",LEFT($A234,2)&lt;&gt;"T-"),"",_xlfn.LET(_xlpm.ph,IFERROR(_xlfn.XLOOKUP($A234,Transformers!$A$6:$A$105,Transformers!$C$6:$C$105),""),_xlpm.rr,IFERROR(_xlfn.XLOOKUP($A234,Transformers!$A$6:$A$105,Transformers!$AG$6:$AG$105),""),_xlpm.xx,IFERROR(_xlfn.XLOOKUP($A234,Transformers!$A$6:$A$105,Transformers!$AI$6:$AI$105),""),IF(OR(_xlpm.ph&lt;&gt;1,NOT(ISNUMBER(_xlpm.rr)),NOT(ISNUMBER(_xlpm.xx))),"",SQRT((1.5*_xlpm.rr)^2+(1.2*_xlpm.xx)^2))))</f>
        <v/>
      </c>
      <c r="CP234" s="20" t="str">
        <f t="shared" si="67"/>
        <v/>
      </c>
    </row>
    <row r="235" spans="1:94" ht="15" customHeight="1" x14ac:dyDescent="0.45">
      <c r="A235" s="275" t="str" cm="1">
        <f t="array" ref="A235">IFERROR(IF(INDEX(_xlfn.ANCHORARRAY($BK$4),ROW()-5,1)="","",INDEX(_xlfn.ANCHORARRAY($BK$4),ROW()-5,1)),"")</f>
        <v/>
      </c>
      <c r="B235" s="25" t="str" cm="1">
        <f t="array" ref="B235">IFERROR(IF($A235="","",INDEX(_xlfn.ANCHORARRAY($BK$4),ROW()-5,5)),"")</f>
        <v/>
      </c>
      <c r="C235" s="178" t="str" cm="1">
        <f t="array" ref="C235">IFERROR(IF($A235="","",INDEX(_xlfn.ANCHORARRAY($BK$4),ROW()-5,7)),"")</f>
        <v/>
      </c>
      <c r="D235" s="177" t="str" cm="1">
        <f t="array" ref="D235">IFERROR(IF($A235="","",INDEX(_xlfn.ANCHORARRAY($BK$4),ROW()-5,3)),"")</f>
        <v/>
      </c>
      <c r="E235" s="25" t="str" cm="1">
        <f t="array" ref="E235">IFERROR(IF($A235="","",INDEX(_xlfn.ANCHORARRAY($BK$4),ROW()-5,2)),"")</f>
        <v/>
      </c>
      <c r="F235" s="177" t="str">
        <f t="shared" si="51"/>
        <v/>
      </c>
      <c r="G235" s="275" t="str">
        <f t="shared" si="52"/>
        <v/>
      </c>
      <c r="H235" s="180" t="str">
        <f t="shared" si="53"/>
        <v/>
      </c>
      <c r="I235" s="180" t="str">
        <f t="shared" si="54"/>
        <v/>
      </c>
      <c r="J235" s="177" t="str">
        <f>_xlfn.LET(_xlpm.v,_xlfn.LET(_xlpm.base,IF($A235="","",IF($C235=0,IFERROR(_xlfn.XLOOKUP($A235,Util_Tags,Util_SCAEff),""),IF(LEFT($A235,2)="T-",IF($CJ235="","",$CJ235/(1+IF($CL235="",0,$CL235))),IF(OR($F235="",$I235=""),"",$F235*$I235)))),_xlpm.gtag,IF(OR($A235="",NOT(OR($B235="ATS",$B235="MTS"))),"",IFERROR(_xlfn.XLOOKUP($A235,Dashboard!$A$101:$A$350,Dashboard!$L$101:$L$350,"")&amp;"","")),_xlpm.gkva,IF(_xlpm.gtag="",0,IFERROR(N(_xlfn.XLOOKUP(_xlpm.gtag,Generator!$B$53:$B$58,Generator!$S$53:$S$58,0)),0)),_xlpm.gxd,IF(_xlpm.gtag="",0,IFERROR(N(_xlfn.XLOOKUP(_xlpm.gtag,Generator!$B$53:$B$58,Generator!$U$53:$U$58,0)),0)),_xlpm.gamp,IF(OR(_xlpm.gkva=0,_xlpm.gxd=0,N($D235)=0),0,ROUND(_xlpm.gkva*1000/(IF(N($CB235)=1,1,SQRT(3))*$D235*_xlpm.gxd),0)),IF(OR(_xlpm.gamp=0,NOT(ISNUMBER(_xlpm.base))),_xlpm.base,MAX(_xlpm.base,_xlpm.gamp))),_xlpm.ulim,IF(OR($A235="",$B235&lt;&gt;"UPS"),"",IFERROR(IF(_xlfn.XLOOKUP($A235,UPS!$B$57:$B$64,UPS!$E$57:$E$64,"")="None",_xlfn.XLOOKUP($A235,UPS!$B$57:$B$64,UPS!$U$57:$U$64,""),""),"")),IF(AND(ISNUMBER(_xlpm.v),ISNUMBER(_xlpm.ulim)),MIN(_xlpm.v,_xlpm.ulim),_xlpm.v))</f>
        <v/>
      </c>
      <c r="K235" s="176"/>
      <c r="L235" s="177" t="str">
        <f t="shared" si="55"/>
        <v/>
      </c>
      <c r="M235" s="177" t="str">
        <f t="shared" si="56"/>
        <v/>
      </c>
      <c r="N235" s="380" t="str">
        <f>IF($A235="","",IF($C235=0,_xlfn.LET(_xlpm.x,IFERROR(_xlfn.XLOOKUP($A235,Util_Tags,Util_XR),""),IF(N(_xlpm.x)=0,Xfmr_DefXR,_xlpm.x)),IF(LEFT($A235,2)="T-",IFERROR(_xlfn.XLOOKUP($A235,Transformers!$A$6:$A$105,Transformers!$AH$6:$AH$105),Xfmr_DefXR),IFERROR(_xlfn.XLOOKUP($E235,$A$6:$A$255,$N$6:$N$255),Xfmr_DefXR))))</f>
        <v/>
      </c>
      <c r="O235" s="177" t="str">
        <f t="shared" si="57"/>
        <v/>
      </c>
      <c r="P235" s="210" t="str">
        <f>IF($A235="","",IF(LEFT($A235,2)="T-",IF($CO235="","",_xlfn.LET(_xlpm.k,IFERROR(_xlfn.XLOOKUP($A235,Transformers!$A$6:$A$105,Transformers!$G$6:$G$105),""),_xlpm.sv,IFERROR(_xlfn.XLOOKUP($A235,Transformers!$A$6:$A$105,Transformers!$E$6:$E$105),""),IF(OR(NOT(ISNUMBER(_xlpm.k)),NOT(ISNUMBER(_xlpm.sv)),_xlpm.sv=0),"",_xlfn.LET(_xlpm.iInf,(_xlpm.k*1000/(_xlpm.sv/2))*100/$CO235,_xlpm.pri,IF(OR($CK235="",$CK235=0),"",$CK235/2),_xlpm.base,IF(_xlpm.pri="",_xlpm.iInf,_xlpm.iInf/(1+_xlpm.iInf/_xlpm.pri)),_xlpm.base+IF($L235="",0,$L235))))),IF($CP235="","",_xlfn.LET(_xlpm.pI,IFERROR(_xlfn.XLOOKUP($E235,$A$6:$A$255,$P$6:$P$255),""),IF(NOT(ISNUMBER(_xlpm.pI)),"",_xlpm.pI/(1+$CP235)+IF($L235="",0,$L235))))))</f>
        <v/>
      </c>
      <c r="Q235" s="210" t="str">
        <f t="shared" si="58"/>
        <v/>
      </c>
      <c r="R235" s="177" t="str">
        <f>IF($A235="","",IF(OR($C235=0,LEFT($A235,2)="T-"),"",IFERROR(_xlfn.LET(_xlpm.v,_xlfn.XLOOKUP($A235,Dashboard!$A$101:$A$350,Dashboard!$K$101:$K$350),IF(ISNUMBER(_xlpm.v),_xlpm.v,"")),"")))</f>
        <v/>
      </c>
      <c r="S235" s="211" t="str">
        <f t="shared" si="59"/>
        <v/>
      </c>
      <c r="T235" s="25" t="str">
        <f t="shared" si="60"/>
        <v/>
      </c>
      <c r="U235" s="364"/>
      <c r="BV235" s="20" t="str">
        <f>IF($A235="","",IFERROR(_xlfn.XLOOKUP("F-"&amp;$A235,'Feeder Schedule'!$B$5:$B$254,'Feeder Schedule'!$H$5:$H$254),""))</f>
        <v/>
      </c>
      <c r="BW235" s="20" t="str">
        <f>IF($A235="","",IFERROR(_xlfn.XLOOKUP("F-"&amp;$A235,'Feeder Schedule'!$B$5:$B$254,'Feeder Schedule'!$BV$5:$BV$254),""))</f>
        <v/>
      </c>
      <c r="BX235" s="20" t="str">
        <f>IF($A235="","",IFERROR(_xlfn.LET(_xlpm.v,_xlfn.XLOOKUP("F-"&amp;$A235,'Feeder Schedule'!$B$5:$B$254,'Feeder Schedule'!$M$5:$M$254),IF(OR(_xlpm.v="",_xlpm.v=0),Cfg_Conduit,_xlpm.v)),""))</f>
        <v/>
      </c>
      <c r="BY235" s="20" t="str">
        <f>IF($A235="","",IFERROR(_xlfn.XLOOKUP("F-"&amp;$A235,'Feeder Schedule'!$B$5:$B$254,'Feeder Schedule'!$O$5:$O$254),""))</f>
        <v/>
      </c>
      <c r="BZ235" s="20" t="str">
        <f>IF($A235="","",IFERROR(_xlfn.XLOOKUP("F-"&amp;$A235,'Feeder Schedule'!$B$5:$B$254,'Feeder Schedule'!$CH$5:$CH$254),""))</f>
        <v/>
      </c>
      <c r="CA235" s="20" t="str">
        <f>IF($A235="","",IFERROR(_xlfn.XLOOKUP("F-"&amp;$A235,'Feeder Schedule'!$B$5:$B$254,'Feeder Schedule'!$F$5:$F$254),""))</f>
        <v/>
      </c>
      <c r="CB235" s="20" t="str">
        <f>IF($A235="","",IFERROR(_xlfn.XLOOKUP("F-"&amp;$A235,'Feeder Schedule'!$B$5:$B$254,'Feeder Schedule'!$G$5:$G$254),""))</f>
        <v/>
      </c>
      <c r="CD235" s="20" t="str" cm="1">
        <f t="array" ref="CD235">IFERROR(IF($A235="","",INDEX(_xlfn.ANCHORARRAY($BK$4),ROW()-5,6)),"")</f>
        <v/>
      </c>
      <c r="CE235" s="20" t="str">
        <f t="shared" si="63"/>
        <v/>
      </c>
      <c r="CF235" s="20" t="str">
        <f t="shared" si="64"/>
        <v/>
      </c>
      <c r="CG235" s="20" t="str">
        <f t="shared" si="61"/>
        <v/>
      </c>
      <c r="CH235" s="20" t="str" cm="1">
        <f t="array" ref="CH235">IF(OR($A235="",$BZ235="",$BW235="",$BX235=""),"",_xlfn.LET(_xlpm.mag,IFERROR(_xlfn.XLOOKUP($BX235,Race_Raceway,Race_Mag),""),IF(_xlpm.mag="","",IFERROR(INDEX(Cond_Table,MATCH($BZ235,Cond_Size,0),IF(UPPER($BW235)="AL",IF(_xlpm.mag="Y",10,12),IF(_xlpm.mag="Y",9,11))),""))))</f>
        <v/>
      </c>
      <c r="CI235" s="20" t="str">
        <f t="shared" si="62"/>
        <v/>
      </c>
      <c r="CJ235" s="20" t="str">
        <f>IF(OR($A235="",LEFT($A235,2)&lt;&gt;"T-"),"",IFERROR(_xlfn.LET(_xlpm.fla,_xlfn.XLOOKUP($A235,Transformers!$A$6:$A$105,Transformers!$AK$6:$AK$105),_xlpm.z,_xlfn.XLOOKUP($A235,Transformers!$A$6:$A$105,Transformers!$AX$6:$AX$105),IF(OR(_xlpm.fla="",_xlpm.z="",_xlpm.z=0),"",_xlpm.fla*100/_xlpm.z)),""))</f>
        <v/>
      </c>
      <c r="CK235" s="20" t="str">
        <f t="shared" si="65"/>
        <v/>
      </c>
      <c r="CL235" s="20" t="str">
        <f t="shared" si="66"/>
        <v/>
      </c>
      <c r="CM235" s="373"/>
      <c r="CO235" s="20" t="str">
        <f>IF(OR($A235="",LEFT($A235,2)&lt;&gt;"T-"),"",_xlfn.LET(_xlpm.ph,IFERROR(_xlfn.XLOOKUP($A235,Transformers!$A$6:$A$105,Transformers!$C$6:$C$105),""),_xlpm.rr,IFERROR(_xlfn.XLOOKUP($A235,Transformers!$A$6:$A$105,Transformers!$AG$6:$AG$105),""),_xlpm.xx,IFERROR(_xlfn.XLOOKUP($A235,Transformers!$A$6:$A$105,Transformers!$AI$6:$AI$105),""),IF(OR(_xlpm.ph&lt;&gt;1,NOT(ISNUMBER(_xlpm.rr)),NOT(ISNUMBER(_xlpm.xx))),"",SQRT((1.5*_xlpm.rr)^2+(1.2*_xlpm.xx)^2))))</f>
        <v/>
      </c>
      <c r="CP235" s="20" t="str">
        <f t="shared" si="67"/>
        <v/>
      </c>
    </row>
    <row r="236" spans="1:94" ht="15" customHeight="1" x14ac:dyDescent="0.45">
      <c r="A236" s="275" t="str" cm="1">
        <f t="array" ref="A236">IFERROR(IF(INDEX(_xlfn.ANCHORARRAY($BK$4),ROW()-5,1)="","",INDEX(_xlfn.ANCHORARRAY($BK$4),ROW()-5,1)),"")</f>
        <v/>
      </c>
      <c r="B236" s="25" t="str" cm="1">
        <f t="array" ref="B236">IFERROR(IF($A236="","",INDEX(_xlfn.ANCHORARRAY($BK$4),ROW()-5,5)),"")</f>
        <v/>
      </c>
      <c r="C236" s="178" t="str" cm="1">
        <f t="array" ref="C236">IFERROR(IF($A236="","",INDEX(_xlfn.ANCHORARRAY($BK$4),ROW()-5,7)),"")</f>
        <v/>
      </c>
      <c r="D236" s="177" t="str" cm="1">
        <f t="array" ref="D236">IFERROR(IF($A236="","",INDEX(_xlfn.ANCHORARRAY($BK$4),ROW()-5,3)),"")</f>
        <v/>
      </c>
      <c r="E236" s="25" t="str" cm="1">
        <f t="array" ref="E236">IFERROR(IF($A236="","",INDEX(_xlfn.ANCHORARRAY($BK$4),ROW()-5,2)),"")</f>
        <v/>
      </c>
      <c r="F236" s="177" t="str">
        <f t="shared" si="51"/>
        <v/>
      </c>
      <c r="G236" s="275" t="str">
        <f t="shared" si="52"/>
        <v/>
      </c>
      <c r="H236" s="180" t="str">
        <f t="shared" si="53"/>
        <v/>
      </c>
      <c r="I236" s="180" t="str">
        <f t="shared" si="54"/>
        <v/>
      </c>
      <c r="J236" s="177" t="str">
        <f>_xlfn.LET(_xlpm.v,_xlfn.LET(_xlpm.base,IF($A236="","",IF($C236=0,IFERROR(_xlfn.XLOOKUP($A236,Util_Tags,Util_SCAEff),""),IF(LEFT($A236,2)="T-",IF($CJ236="","",$CJ236/(1+IF($CL236="",0,$CL236))),IF(OR($F236="",$I236=""),"",$F236*$I236)))),_xlpm.gtag,IF(OR($A236="",NOT(OR($B236="ATS",$B236="MTS"))),"",IFERROR(_xlfn.XLOOKUP($A236,Dashboard!$A$101:$A$350,Dashboard!$L$101:$L$350,"")&amp;"","")),_xlpm.gkva,IF(_xlpm.gtag="",0,IFERROR(N(_xlfn.XLOOKUP(_xlpm.gtag,Generator!$B$53:$B$58,Generator!$S$53:$S$58,0)),0)),_xlpm.gxd,IF(_xlpm.gtag="",0,IFERROR(N(_xlfn.XLOOKUP(_xlpm.gtag,Generator!$B$53:$B$58,Generator!$U$53:$U$58,0)),0)),_xlpm.gamp,IF(OR(_xlpm.gkva=0,_xlpm.gxd=0,N($D236)=0),0,ROUND(_xlpm.gkva*1000/(IF(N($CB236)=1,1,SQRT(3))*$D236*_xlpm.gxd),0)),IF(OR(_xlpm.gamp=0,NOT(ISNUMBER(_xlpm.base))),_xlpm.base,MAX(_xlpm.base,_xlpm.gamp))),_xlpm.ulim,IF(OR($A236="",$B236&lt;&gt;"UPS"),"",IFERROR(IF(_xlfn.XLOOKUP($A236,UPS!$B$57:$B$64,UPS!$E$57:$E$64,"")="None",_xlfn.XLOOKUP($A236,UPS!$B$57:$B$64,UPS!$U$57:$U$64,""),""),"")),IF(AND(ISNUMBER(_xlpm.v),ISNUMBER(_xlpm.ulim)),MIN(_xlpm.v,_xlpm.ulim),_xlpm.v))</f>
        <v/>
      </c>
      <c r="K236" s="176"/>
      <c r="L236" s="177" t="str">
        <f t="shared" si="55"/>
        <v/>
      </c>
      <c r="M236" s="177" t="str">
        <f t="shared" si="56"/>
        <v/>
      </c>
      <c r="N236" s="380" t="str">
        <f>IF($A236="","",IF($C236=0,_xlfn.LET(_xlpm.x,IFERROR(_xlfn.XLOOKUP($A236,Util_Tags,Util_XR),""),IF(N(_xlpm.x)=0,Xfmr_DefXR,_xlpm.x)),IF(LEFT($A236,2)="T-",IFERROR(_xlfn.XLOOKUP($A236,Transformers!$A$6:$A$105,Transformers!$AH$6:$AH$105),Xfmr_DefXR),IFERROR(_xlfn.XLOOKUP($E236,$A$6:$A$255,$N$6:$N$255),Xfmr_DefXR))))</f>
        <v/>
      </c>
      <c r="O236" s="177" t="str">
        <f t="shared" si="57"/>
        <v/>
      </c>
      <c r="P236" s="210" t="str">
        <f>IF($A236="","",IF(LEFT($A236,2)="T-",IF($CO236="","",_xlfn.LET(_xlpm.k,IFERROR(_xlfn.XLOOKUP($A236,Transformers!$A$6:$A$105,Transformers!$G$6:$G$105),""),_xlpm.sv,IFERROR(_xlfn.XLOOKUP($A236,Transformers!$A$6:$A$105,Transformers!$E$6:$E$105),""),IF(OR(NOT(ISNUMBER(_xlpm.k)),NOT(ISNUMBER(_xlpm.sv)),_xlpm.sv=0),"",_xlfn.LET(_xlpm.iInf,(_xlpm.k*1000/(_xlpm.sv/2))*100/$CO236,_xlpm.pri,IF(OR($CK236="",$CK236=0),"",$CK236/2),_xlpm.base,IF(_xlpm.pri="",_xlpm.iInf,_xlpm.iInf/(1+_xlpm.iInf/_xlpm.pri)),_xlpm.base+IF($L236="",0,$L236))))),IF($CP236="","",_xlfn.LET(_xlpm.pI,IFERROR(_xlfn.XLOOKUP($E236,$A$6:$A$255,$P$6:$P$255),""),IF(NOT(ISNUMBER(_xlpm.pI)),"",_xlpm.pI/(1+$CP236)+IF($L236="",0,$L236))))))</f>
        <v/>
      </c>
      <c r="Q236" s="210" t="str">
        <f t="shared" si="58"/>
        <v/>
      </c>
      <c r="R236" s="177" t="str">
        <f>IF($A236="","",IF(OR($C236=0,LEFT($A236,2)="T-"),"",IFERROR(_xlfn.LET(_xlpm.v,_xlfn.XLOOKUP($A236,Dashboard!$A$101:$A$350,Dashboard!$K$101:$K$350),IF(ISNUMBER(_xlpm.v),_xlpm.v,"")),"")))</f>
        <v/>
      </c>
      <c r="S236" s="211" t="str">
        <f t="shared" si="59"/>
        <v/>
      </c>
      <c r="T236" s="25" t="str">
        <f t="shared" si="60"/>
        <v/>
      </c>
      <c r="U236" s="364"/>
      <c r="BV236" s="20" t="str">
        <f>IF($A236="","",IFERROR(_xlfn.XLOOKUP("F-"&amp;$A236,'Feeder Schedule'!$B$5:$B$254,'Feeder Schedule'!$H$5:$H$254),""))</f>
        <v/>
      </c>
      <c r="BW236" s="20" t="str">
        <f>IF($A236="","",IFERROR(_xlfn.XLOOKUP("F-"&amp;$A236,'Feeder Schedule'!$B$5:$B$254,'Feeder Schedule'!$BV$5:$BV$254),""))</f>
        <v/>
      </c>
      <c r="BX236" s="20" t="str">
        <f>IF($A236="","",IFERROR(_xlfn.LET(_xlpm.v,_xlfn.XLOOKUP("F-"&amp;$A236,'Feeder Schedule'!$B$5:$B$254,'Feeder Schedule'!$M$5:$M$254),IF(OR(_xlpm.v="",_xlpm.v=0),Cfg_Conduit,_xlpm.v)),""))</f>
        <v/>
      </c>
      <c r="BY236" s="20" t="str">
        <f>IF($A236="","",IFERROR(_xlfn.XLOOKUP("F-"&amp;$A236,'Feeder Schedule'!$B$5:$B$254,'Feeder Schedule'!$O$5:$O$254),""))</f>
        <v/>
      </c>
      <c r="BZ236" s="20" t="str">
        <f>IF($A236="","",IFERROR(_xlfn.XLOOKUP("F-"&amp;$A236,'Feeder Schedule'!$B$5:$B$254,'Feeder Schedule'!$CH$5:$CH$254),""))</f>
        <v/>
      </c>
      <c r="CA236" s="20" t="str">
        <f>IF($A236="","",IFERROR(_xlfn.XLOOKUP("F-"&amp;$A236,'Feeder Schedule'!$B$5:$B$254,'Feeder Schedule'!$F$5:$F$254),""))</f>
        <v/>
      </c>
      <c r="CB236" s="20" t="str">
        <f>IF($A236="","",IFERROR(_xlfn.XLOOKUP("F-"&amp;$A236,'Feeder Schedule'!$B$5:$B$254,'Feeder Schedule'!$G$5:$G$254),""))</f>
        <v/>
      </c>
      <c r="CD236" s="20" t="str" cm="1">
        <f t="array" ref="CD236">IFERROR(IF($A236="","",INDEX(_xlfn.ANCHORARRAY($BK$4),ROW()-5,6)),"")</f>
        <v/>
      </c>
      <c r="CE236" s="20" t="str">
        <f t="shared" si="63"/>
        <v/>
      </c>
      <c r="CF236" s="20" t="str">
        <f t="shared" si="64"/>
        <v/>
      </c>
      <c r="CG236" s="20" t="str">
        <f t="shared" si="61"/>
        <v/>
      </c>
      <c r="CH236" s="20" t="str" cm="1">
        <f t="array" ref="CH236">IF(OR($A236="",$BZ236="",$BW236="",$BX236=""),"",_xlfn.LET(_xlpm.mag,IFERROR(_xlfn.XLOOKUP($BX236,Race_Raceway,Race_Mag),""),IF(_xlpm.mag="","",IFERROR(INDEX(Cond_Table,MATCH($BZ236,Cond_Size,0),IF(UPPER($BW236)="AL",IF(_xlpm.mag="Y",10,12),IF(_xlpm.mag="Y",9,11))),""))))</f>
        <v/>
      </c>
      <c r="CI236" s="20" t="str">
        <f t="shared" si="62"/>
        <v/>
      </c>
      <c r="CJ236" s="20" t="str">
        <f>IF(OR($A236="",LEFT($A236,2)&lt;&gt;"T-"),"",IFERROR(_xlfn.LET(_xlpm.fla,_xlfn.XLOOKUP($A236,Transformers!$A$6:$A$105,Transformers!$AK$6:$AK$105),_xlpm.z,_xlfn.XLOOKUP($A236,Transformers!$A$6:$A$105,Transformers!$AX$6:$AX$105),IF(OR(_xlpm.fla="",_xlpm.z="",_xlpm.z=0),"",_xlpm.fla*100/_xlpm.z)),""))</f>
        <v/>
      </c>
      <c r="CK236" s="20" t="str">
        <f t="shared" si="65"/>
        <v/>
      </c>
      <c r="CL236" s="20" t="str">
        <f t="shared" si="66"/>
        <v/>
      </c>
      <c r="CM236" s="373"/>
      <c r="CO236" s="20" t="str">
        <f>IF(OR($A236="",LEFT($A236,2)&lt;&gt;"T-"),"",_xlfn.LET(_xlpm.ph,IFERROR(_xlfn.XLOOKUP($A236,Transformers!$A$6:$A$105,Transformers!$C$6:$C$105),""),_xlpm.rr,IFERROR(_xlfn.XLOOKUP($A236,Transformers!$A$6:$A$105,Transformers!$AG$6:$AG$105),""),_xlpm.xx,IFERROR(_xlfn.XLOOKUP($A236,Transformers!$A$6:$A$105,Transformers!$AI$6:$AI$105),""),IF(OR(_xlpm.ph&lt;&gt;1,NOT(ISNUMBER(_xlpm.rr)),NOT(ISNUMBER(_xlpm.xx))),"",SQRT((1.5*_xlpm.rr)^2+(1.2*_xlpm.xx)^2))))</f>
        <v/>
      </c>
      <c r="CP236" s="20" t="str">
        <f t="shared" si="67"/>
        <v/>
      </c>
    </row>
    <row r="237" spans="1:94" ht="15" customHeight="1" x14ac:dyDescent="0.45">
      <c r="A237" s="275" t="str" cm="1">
        <f t="array" ref="A237">IFERROR(IF(INDEX(_xlfn.ANCHORARRAY($BK$4),ROW()-5,1)="","",INDEX(_xlfn.ANCHORARRAY($BK$4),ROW()-5,1)),"")</f>
        <v/>
      </c>
      <c r="B237" s="25" t="str" cm="1">
        <f t="array" ref="B237">IFERROR(IF($A237="","",INDEX(_xlfn.ANCHORARRAY($BK$4),ROW()-5,5)),"")</f>
        <v/>
      </c>
      <c r="C237" s="178" t="str" cm="1">
        <f t="array" ref="C237">IFERROR(IF($A237="","",INDEX(_xlfn.ANCHORARRAY($BK$4),ROW()-5,7)),"")</f>
        <v/>
      </c>
      <c r="D237" s="177" t="str" cm="1">
        <f t="array" ref="D237">IFERROR(IF($A237="","",INDEX(_xlfn.ANCHORARRAY($BK$4),ROW()-5,3)),"")</f>
        <v/>
      </c>
      <c r="E237" s="25" t="str" cm="1">
        <f t="array" ref="E237">IFERROR(IF($A237="","",INDEX(_xlfn.ANCHORARRAY($BK$4),ROW()-5,2)),"")</f>
        <v/>
      </c>
      <c r="F237" s="177" t="str">
        <f t="shared" si="51"/>
        <v/>
      </c>
      <c r="G237" s="275" t="str">
        <f t="shared" si="52"/>
        <v/>
      </c>
      <c r="H237" s="180" t="str">
        <f t="shared" si="53"/>
        <v/>
      </c>
      <c r="I237" s="180" t="str">
        <f t="shared" si="54"/>
        <v/>
      </c>
      <c r="J237" s="177" t="str">
        <f>_xlfn.LET(_xlpm.v,_xlfn.LET(_xlpm.base,IF($A237="","",IF($C237=0,IFERROR(_xlfn.XLOOKUP($A237,Util_Tags,Util_SCAEff),""),IF(LEFT($A237,2)="T-",IF($CJ237="","",$CJ237/(1+IF($CL237="",0,$CL237))),IF(OR($F237="",$I237=""),"",$F237*$I237)))),_xlpm.gtag,IF(OR($A237="",NOT(OR($B237="ATS",$B237="MTS"))),"",IFERROR(_xlfn.XLOOKUP($A237,Dashboard!$A$101:$A$350,Dashboard!$L$101:$L$350,"")&amp;"","")),_xlpm.gkva,IF(_xlpm.gtag="",0,IFERROR(N(_xlfn.XLOOKUP(_xlpm.gtag,Generator!$B$53:$B$58,Generator!$S$53:$S$58,0)),0)),_xlpm.gxd,IF(_xlpm.gtag="",0,IFERROR(N(_xlfn.XLOOKUP(_xlpm.gtag,Generator!$B$53:$B$58,Generator!$U$53:$U$58,0)),0)),_xlpm.gamp,IF(OR(_xlpm.gkva=0,_xlpm.gxd=0,N($D237)=0),0,ROUND(_xlpm.gkva*1000/(IF(N($CB237)=1,1,SQRT(3))*$D237*_xlpm.gxd),0)),IF(OR(_xlpm.gamp=0,NOT(ISNUMBER(_xlpm.base))),_xlpm.base,MAX(_xlpm.base,_xlpm.gamp))),_xlpm.ulim,IF(OR($A237="",$B237&lt;&gt;"UPS"),"",IFERROR(IF(_xlfn.XLOOKUP($A237,UPS!$B$57:$B$64,UPS!$E$57:$E$64,"")="None",_xlfn.XLOOKUP($A237,UPS!$B$57:$B$64,UPS!$U$57:$U$64,""),""),"")),IF(AND(ISNUMBER(_xlpm.v),ISNUMBER(_xlpm.ulim)),MIN(_xlpm.v,_xlpm.ulim),_xlpm.v))</f>
        <v/>
      </c>
      <c r="K237" s="176"/>
      <c r="L237" s="177" t="str">
        <f t="shared" si="55"/>
        <v/>
      </c>
      <c r="M237" s="177" t="str">
        <f t="shared" si="56"/>
        <v/>
      </c>
      <c r="N237" s="380" t="str">
        <f>IF($A237="","",IF($C237=0,_xlfn.LET(_xlpm.x,IFERROR(_xlfn.XLOOKUP($A237,Util_Tags,Util_XR),""),IF(N(_xlpm.x)=0,Xfmr_DefXR,_xlpm.x)),IF(LEFT($A237,2)="T-",IFERROR(_xlfn.XLOOKUP($A237,Transformers!$A$6:$A$105,Transformers!$AH$6:$AH$105),Xfmr_DefXR),IFERROR(_xlfn.XLOOKUP($E237,$A$6:$A$255,$N$6:$N$255),Xfmr_DefXR))))</f>
        <v/>
      </c>
      <c r="O237" s="177" t="str">
        <f t="shared" si="57"/>
        <v/>
      </c>
      <c r="P237" s="210" t="str">
        <f>IF($A237="","",IF(LEFT($A237,2)="T-",IF($CO237="","",_xlfn.LET(_xlpm.k,IFERROR(_xlfn.XLOOKUP($A237,Transformers!$A$6:$A$105,Transformers!$G$6:$G$105),""),_xlpm.sv,IFERROR(_xlfn.XLOOKUP($A237,Transformers!$A$6:$A$105,Transformers!$E$6:$E$105),""),IF(OR(NOT(ISNUMBER(_xlpm.k)),NOT(ISNUMBER(_xlpm.sv)),_xlpm.sv=0),"",_xlfn.LET(_xlpm.iInf,(_xlpm.k*1000/(_xlpm.sv/2))*100/$CO237,_xlpm.pri,IF(OR($CK237="",$CK237=0),"",$CK237/2),_xlpm.base,IF(_xlpm.pri="",_xlpm.iInf,_xlpm.iInf/(1+_xlpm.iInf/_xlpm.pri)),_xlpm.base+IF($L237="",0,$L237))))),IF($CP237="","",_xlfn.LET(_xlpm.pI,IFERROR(_xlfn.XLOOKUP($E237,$A$6:$A$255,$P$6:$P$255),""),IF(NOT(ISNUMBER(_xlpm.pI)),"",_xlpm.pI/(1+$CP237)+IF($L237="",0,$L237))))))</f>
        <v/>
      </c>
      <c r="Q237" s="210" t="str">
        <f t="shared" si="58"/>
        <v/>
      </c>
      <c r="R237" s="177" t="str">
        <f>IF($A237="","",IF(OR($C237=0,LEFT($A237,2)="T-"),"",IFERROR(_xlfn.LET(_xlpm.v,_xlfn.XLOOKUP($A237,Dashboard!$A$101:$A$350,Dashboard!$K$101:$K$350),IF(ISNUMBER(_xlpm.v),_xlpm.v,"")),"")))</f>
        <v/>
      </c>
      <c r="S237" s="211" t="str">
        <f t="shared" si="59"/>
        <v/>
      </c>
      <c r="T237" s="25" t="str">
        <f t="shared" si="60"/>
        <v/>
      </c>
      <c r="U237" s="364"/>
      <c r="BV237" s="20" t="str">
        <f>IF($A237="","",IFERROR(_xlfn.XLOOKUP("F-"&amp;$A237,'Feeder Schedule'!$B$5:$B$254,'Feeder Schedule'!$H$5:$H$254),""))</f>
        <v/>
      </c>
      <c r="BW237" s="20" t="str">
        <f>IF($A237="","",IFERROR(_xlfn.XLOOKUP("F-"&amp;$A237,'Feeder Schedule'!$B$5:$B$254,'Feeder Schedule'!$BV$5:$BV$254),""))</f>
        <v/>
      </c>
      <c r="BX237" s="20" t="str">
        <f>IF($A237="","",IFERROR(_xlfn.LET(_xlpm.v,_xlfn.XLOOKUP("F-"&amp;$A237,'Feeder Schedule'!$B$5:$B$254,'Feeder Schedule'!$M$5:$M$254),IF(OR(_xlpm.v="",_xlpm.v=0),Cfg_Conduit,_xlpm.v)),""))</f>
        <v/>
      </c>
      <c r="BY237" s="20" t="str">
        <f>IF($A237="","",IFERROR(_xlfn.XLOOKUP("F-"&amp;$A237,'Feeder Schedule'!$B$5:$B$254,'Feeder Schedule'!$O$5:$O$254),""))</f>
        <v/>
      </c>
      <c r="BZ237" s="20" t="str">
        <f>IF($A237="","",IFERROR(_xlfn.XLOOKUP("F-"&amp;$A237,'Feeder Schedule'!$B$5:$B$254,'Feeder Schedule'!$CH$5:$CH$254),""))</f>
        <v/>
      </c>
      <c r="CA237" s="20" t="str">
        <f>IF($A237="","",IFERROR(_xlfn.XLOOKUP("F-"&amp;$A237,'Feeder Schedule'!$B$5:$B$254,'Feeder Schedule'!$F$5:$F$254),""))</f>
        <v/>
      </c>
      <c r="CB237" s="20" t="str">
        <f>IF($A237="","",IFERROR(_xlfn.XLOOKUP("F-"&amp;$A237,'Feeder Schedule'!$B$5:$B$254,'Feeder Schedule'!$G$5:$G$254),""))</f>
        <v/>
      </c>
      <c r="CD237" s="20" t="str" cm="1">
        <f t="array" ref="CD237">IFERROR(IF($A237="","",INDEX(_xlfn.ANCHORARRAY($BK$4),ROW()-5,6)),"")</f>
        <v/>
      </c>
      <c r="CE237" s="20" t="str">
        <f t="shared" si="63"/>
        <v/>
      </c>
      <c r="CF237" s="20" t="str">
        <f t="shared" si="64"/>
        <v/>
      </c>
      <c r="CG237" s="20" t="str">
        <f t="shared" si="61"/>
        <v/>
      </c>
      <c r="CH237" s="20" t="str" cm="1">
        <f t="array" ref="CH237">IF(OR($A237="",$BZ237="",$BW237="",$BX237=""),"",_xlfn.LET(_xlpm.mag,IFERROR(_xlfn.XLOOKUP($BX237,Race_Raceway,Race_Mag),""),IF(_xlpm.mag="","",IFERROR(INDEX(Cond_Table,MATCH($BZ237,Cond_Size,0),IF(UPPER($BW237)="AL",IF(_xlpm.mag="Y",10,12),IF(_xlpm.mag="Y",9,11))),""))))</f>
        <v/>
      </c>
      <c r="CI237" s="20" t="str">
        <f t="shared" si="62"/>
        <v/>
      </c>
      <c r="CJ237" s="20" t="str">
        <f>IF(OR($A237="",LEFT($A237,2)&lt;&gt;"T-"),"",IFERROR(_xlfn.LET(_xlpm.fla,_xlfn.XLOOKUP($A237,Transformers!$A$6:$A$105,Transformers!$AK$6:$AK$105),_xlpm.z,_xlfn.XLOOKUP($A237,Transformers!$A$6:$A$105,Transformers!$AX$6:$AX$105),IF(OR(_xlpm.fla="",_xlpm.z="",_xlpm.z=0),"",_xlpm.fla*100/_xlpm.z)),""))</f>
        <v/>
      </c>
      <c r="CK237" s="20" t="str">
        <f t="shared" si="65"/>
        <v/>
      </c>
      <c r="CL237" s="20" t="str">
        <f t="shared" si="66"/>
        <v/>
      </c>
      <c r="CM237" s="373"/>
      <c r="CO237" s="20" t="str">
        <f>IF(OR($A237="",LEFT($A237,2)&lt;&gt;"T-"),"",_xlfn.LET(_xlpm.ph,IFERROR(_xlfn.XLOOKUP($A237,Transformers!$A$6:$A$105,Transformers!$C$6:$C$105),""),_xlpm.rr,IFERROR(_xlfn.XLOOKUP($A237,Transformers!$A$6:$A$105,Transformers!$AG$6:$AG$105),""),_xlpm.xx,IFERROR(_xlfn.XLOOKUP($A237,Transformers!$A$6:$A$105,Transformers!$AI$6:$AI$105),""),IF(OR(_xlpm.ph&lt;&gt;1,NOT(ISNUMBER(_xlpm.rr)),NOT(ISNUMBER(_xlpm.xx))),"",SQRT((1.5*_xlpm.rr)^2+(1.2*_xlpm.xx)^2))))</f>
        <v/>
      </c>
      <c r="CP237" s="20" t="str">
        <f t="shared" si="67"/>
        <v/>
      </c>
    </row>
    <row r="238" spans="1:94" ht="15" customHeight="1" x14ac:dyDescent="0.45">
      <c r="A238" s="275" t="str" cm="1">
        <f t="array" ref="A238">IFERROR(IF(INDEX(_xlfn.ANCHORARRAY($BK$4),ROW()-5,1)="","",INDEX(_xlfn.ANCHORARRAY($BK$4),ROW()-5,1)),"")</f>
        <v/>
      </c>
      <c r="B238" s="25" t="str" cm="1">
        <f t="array" ref="B238">IFERROR(IF($A238="","",INDEX(_xlfn.ANCHORARRAY($BK$4),ROW()-5,5)),"")</f>
        <v/>
      </c>
      <c r="C238" s="178" t="str" cm="1">
        <f t="array" ref="C238">IFERROR(IF($A238="","",INDEX(_xlfn.ANCHORARRAY($BK$4),ROW()-5,7)),"")</f>
        <v/>
      </c>
      <c r="D238" s="177" t="str" cm="1">
        <f t="array" ref="D238">IFERROR(IF($A238="","",INDEX(_xlfn.ANCHORARRAY($BK$4),ROW()-5,3)),"")</f>
        <v/>
      </c>
      <c r="E238" s="25" t="str" cm="1">
        <f t="array" ref="E238">IFERROR(IF($A238="","",INDEX(_xlfn.ANCHORARRAY($BK$4),ROW()-5,2)),"")</f>
        <v/>
      </c>
      <c r="F238" s="177" t="str">
        <f t="shared" si="51"/>
        <v/>
      </c>
      <c r="G238" s="275" t="str">
        <f t="shared" si="52"/>
        <v/>
      </c>
      <c r="H238" s="180" t="str">
        <f t="shared" si="53"/>
        <v/>
      </c>
      <c r="I238" s="180" t="str">
        <f t="shared" si="54"/>
        <v/>
      </c>
      <c r="J238" s="177" t="str">
        <f>_xlfn.LET(_xlpm.v,_xlfn.LET(_xlpm.base,IF($A238="","",IF($C238=0,IFERROR(_xlfn.XLOOKUP($A238,Util_Tags,Util_SCAEff),""),IF(LEFT($A238,2)="T-",IF($CJ238="","",$CJ238/(1+IF($CL238="",0,$CL238))),IF(OR($F238="",$I238=""),"",$F238*$I238)))),_xlpm.gtag,IF(OR($A238="",NOT(OR($B238="ATS",$B238="MTS"))),"",IFERROR(_xlfn.XLOOKUP($A238,Dashboard!$A$101:$A$350,Dashboard!$L$101:$L$350,"")&amp;"","")),_xlpm.gkva,IF(_xlpm.gtag="",0,IFERROR(N(_xlfn.XLOOKUP(_xlpm.gtag,Generator!$B$53:$B$58,Generator!$S$53:$S$58,0)),0)),_xlpm.gxd,IF(_xlpm.gtag="",0,IFERROR(N(_xlfn.XLOOKUP(_xlpm.gtag,Generator!$B$53:$B$58,Generator!$U$53:$U$58,0)),0)),_xlpm.gamp,IF(OR(_xlpm.gkva=0,_xlpm.gxd=0,N($D238)=0),0,ROUND(_xlpm.gkva*1000/(IF(N($CB238)=1,1,SQRT(3))*$D238*_xlpm.gxd),0)),IF(OR(_xlpm.gamp=0,NOT(ISNUMBER(_xlpm.base))),_xlpm.base,MAX(_xlpm.base,_xlpm.gamp))),_xlpm.ulim,IF(OR($A238="",$B238&lt;&gt;"UPS"),"",IFERROR(IF(_xlfn.XLOOKUP($A238,UPS!$B$57:$B$64,UPS!$E$57:$E$64,"")="None",_xlfn.XLOOKUP($A238,UPS!$B$57:$B$64,UPS!$U$57:$U$64,""),""),"")),IF(AND(ISNUMBER(_xlpm.v),ISNUMBER(_xlpm.ulim)),MIN(_xlpm.v,_xlpm.ulim),_xlpm.v))</f>
        <v/>
      </c>
      <c r="K238" s="176"/>
      <c r="L238" s="177" t="str">
        <f t="shared" si="55"/>
        <v/>
      </c>
      <c r="M238" s="177" t="str">
        <f t="shared" si="56"/>
        <v/>
      </c>
      <c r="N238" s="380" t="str">
        <f>IF($A238="","",IF($C238=0,_xlfn.LET(_xlpm.x,IFERROR(_xlfn.XLOOKUP($A238,Util_Tags,Util_XR),""),IF(N(_xlpm.x)=0,Xfmr_DefXR,_xlpm.x)),IF(LEFT($A238,2)="T-",IFERROR(_xlfn.XLOOKUP($A238,Transformers!$A$6:$A$105,Transformers!$AH$6:$AH$105),Xfmr_DefXR),IFERROR(_xlfn.XLOOKUP($E238,$A$6:$A$255,$N$6:$N$255),Xfmr_DefXR))))</f>
        <v/>
      </c>
      <c r="O238" s="177" t="str">
        <f t="shared" si="57"/>
        <v/>
      </c>
      <c r="P238" s="210" t="str">
        <f>IF($A238="","",IF(LEFT($A238,2)="T-",IF($CO238="","",_xlfn.LET(_xlpm.k,IFERROR(_xlfn.XLOOKUP($A238,Transformers!$A$6:$A$105,Transformers!$G$6:$G$105),""),_xlpm.sv,IFERROR(_xlfn.XLOOKUP($A238,Transformers!$A$6:$A$105,Transformers!$E$6:$E$105),""),IF(OR(NOT(ISNUMBER(_xlpm.k)),NOT(ISNUMBER(_xlpm.sv)),_xlpm.sv=0),"",_xlfn.LET(_xlpm.iInf,(_xlpm.k*1000/(_xlpm.sv/2))*100/$CO238,_xlpm.pri,IF(OR($CK238="",$CK238=0),"",$CK238/2),_xlpm.base,IF(_xlpm.pri="",_xlpm.iInf,_xlpm.iInf/(1+_xlpm.iInf/_xlpm.pri)),_xlpm.base+IF($L238="",0,$L238))))),IF($CP238="","",_xlfn.LET(_xlpm.pI,IFERROR(_xlfn.XLOOKUP($E238,$A$6:$A$255,$P$6:$P$255),""),IF(NOT(ISNUMBER(_xlpm.pI)),"",_xlpm.pI/(1+$CP238)+IF($L238="",0,$L238))))))</f>
        <v/>
      </c>
      <c r="Q238" s="210" t="str">
        <f t="shared" si="58"/>
        <v/>
      </c>
      <c r="R238" s="177" t="str">
        <f>IF($A238="","",IF(OR($C238=0,LEFT($A238,2)="T-"),"",IFERROR(_xlfn.LET(_xlpm.v,_xlfn.XLOOKUP($A238,Dashboard!$A$101:$A$350,Dashboard!$K$101:$K$350),IF(ISNUMBER(_xlpm.v),_xlpm.v,"")),"")))</f>
        <v/>
      </c>
      <c r="S238" s="211" t="str">
        <f t="shared" si="59"/>
        <v/>
      </c>
      <c r="T238" s="25" t="str">
        <f t="shared" si="60"/>
        <v/>
      </c>
      <c r="U238" s="364"/>
      <c r="BV238" s="20" t="str">
        <f>IF($A238="","",IFERROR(_xlfn.XLOOKUP("F-"&amp;$A238,'Feeder Schedule'!$B$5:$B$254,'Feeder Schedule'!$H$5:$H$254),""))</f>
        <v/>
      </c>
      <c r="BW238" s="20" t="str">
        <f>IF($A238="","",IFERROR(_xlfn.XLOOKUP("F-"&amp;$A238,'Feeder Schedule'!$B$5:$B$254,'Feeder Schedule'!$BV$5:$BV$254),""))</f>
        <v/>
      </c>
      <c r="BX238" s="20" t="str">
        <f>IF($A238="","",IFERROR(_xlfn.LET(_xlpm.v,_xlfn.XLOOKUP("F-"&amp;$A238,'Feeder Schedule'!$B$5:$B$254,'Feeder Schedule'!$M$5:$M$254),IF(OR(_xlpm.v="",_xlpm.v=0),Cfg_Conduit,_xlpm.v)),""))</f>
        <v/>
      </c>
      <c r="BY238" s="20" t="str">
        <f>IF($A238="","",IFERROR(_xlfn.XLOOKUP("F-"&amp;$A238,'Feeder Schedule'!$B$5:$B$254,'Feeder Schedule'!$O$5:$O$254),""))</f>
        <v/>
      </c>
      <c r="BZ238" s="20" t="str">
        <f>IF($A238="","",IFERROR(_xlfn.XLOOKUP("F-"&amp;$A238,'Feeder Schedule'!$B$5:$B$254,'Feeder Schedule'!$CH$5:$CH$254),""))</f>
        <v/>
      </c>
      <c r="CA238" s="20" t="str">
        <f>IF($A238="","",IFERROR(_xlfn.XLOOKUP("F-"&amp;$A238,'Feeder Schedule'!$B$5:$B$254,'Feeder Schedule'!$F$5:$F$254),""))</f>
        <v/>
      </c>
      <c r="CB238" s="20" t="str">
        <f>IF($A238="","",IFERROR(_xlfn.XLOOKUP("F-"&amp;$A238,'Feeder Schedule'!$B$5:$B$254,'Feeder Schedule'!$G$5:$G$254),""))</f>
        <v/>
      </c>
      <c r="CD238" s="20" t="str" cm="1">
        <f t="array" ref="CD238">IFERROR(IF($A238="","",INDEX(_xlfn.ANCHORARRAY($BK$4),ROW()-5,6)),"")</f>
        <v/>
      </c>
      <c r="CE238" s="20" t="str">
        <f t="shared" si="63"/>
        <v/>
      </c>
      <c r="CF238" s="20" t="str">
        <f t="shared" si="64"/>
        <v/>
      </c>
      <c r="CG238" s="20" t="str">
        <f t="shared" si="61"/>
        <v/>
      </c>
      <c r="CH238" s="20" t="str" cm="1">
        <f t="array" ref="CH238">IF(OR($A238="",$BZ238="",$BW238="",$BX238=""),"",_xlfn.LET(_xlpm.mag,IFERROR(_xlfn.XLOOKUP($BX238,Race_Raceway,Race_Mag),""),IF(_xlpm.mag="","",IFERROR(INDEX(Cond_Table,MATCH($BZ238,Cond_Size,0),IF(UPPER($BW238)="AL",IF(_xlpm.mag="Y",10,12),IF(_xlpm.mag="Y",9,11))),""))))</f>
        <v/>
      </c>
      <c r="CI238" s="20" t="str">
        <f t="shared" si="62"/>
        <v/>
      </c>
      <c r="CJ238" s="20" t="str">
        <f>IF(OR($A238="",LEFT($A238,2)&lt;&gt;"T-"),"",IFERROR(_xlfn.LET(_xlpm.fla,_xlfn.XLOOKUP($A238,Transformers!$A$6:$A$105,Transformers!$AK$6:$AK$105),_xlpm.z,_xlfn.XLOOKUP($A238,Transformers!$A$6:$A$105,Transformers!$AX$6:$AX$105),IF(OR(_xlpm.fla="",_xlpm.z="",_xlpm.z=0),"",_xlpm.fla*100/_xlpm.z)),""))</f>
        <v/>
      </c>
      <c r="CK238" s="20" t="str">
        <f t="shared" si="65"/>
        <v/>
      </c>
      <c r="CL238" s="20" t="str">
        <f t="shared" si="66"/>
        <v/>
      </c>
      <c r="CM238" s="373"/>
      <c r="CO238" s="20" t="str">
        <f>IF(OR($A238="",LEFT($A238,2)&lt;&gt;"T-"),"",_xlfn.LET(_xlpm.ph,IFERROR(_xlfn.XLOOKUP($A238,Transformers!$A$6:$A$105,Transformers!$C$6:$C$105),""),_xlpm.rr,IFERROR(_xlfn.XLOOKUP($A238,Transformers!$A$6:$A$105,Transformers!$AG$6:$AG$105),""),_xlpm.xx,IFERROR(_xlfn.XLOOKUP($A238,Transformers!$A$6:$A$105,Transformers!$AI$6:$AI$105),""),IF(OR(_xlpm.ph&lt;&gt;1,NOT(ISNUMBER(_xlpm.rr)),NOT(ISNUMBER(_xlpm.xx))),"",SQRT((1.5*_xlpm.rr)^2+(1.2*_xlpm.xx)^2))))</f>
        <v/>
      </c>
      <c r="CP238" s="20" t="str">
        <f t="shared" si="67"/>
        <v/>
      </c>
    </row>
    <row r="239" spans="1:94" ht="15" customHeight="1" x14ac:dyDescent="0.45">
      <c r="A239" s="275" t="str" cm="1">
        <f t="array" ref="A239">IFERROR(IF(INDEX(_xlfn.ANCHORARRAY($BK$4),ROW()-5,1)="","",INDEX(_xlfn.ANCHORARRAY($BK$4),ROW()-5,1)),"")</f>
        <v/>
      </c>
      <c r="B239" s="25" t="str" cm="1">
        <f t="array" ref="B239">IFERROR(IF($A239="","",INDEX(_xlfn.ANCHORARRAY($BK$4),ROW()-5,5)),"")</f>
        <v/>
      </c>
      <c r="C239" s="178" t="str" cm="1">
        <f t="array" ref="C239">IFERROR(IF($A239="","",INDEX(_xlfn.ANCHORARRAY($BK$4),ROW()-5,7)),"")</f>
        <v/>
      </c>
      <c r="D239" s="177" t="str" cm="1">
        <f t="array" ref="D239">IFERROR(IF($A239="","",INDEX(_xlfn.ANCHORARRAY($BK$4),ROW()-5,3)),"")</f>
        <v/>
      </c>
      <c r="E239" s="25" t="str" cm="1">
        <f t="array" ref="E239">IFERROR(IF($A239="","",INDEX(_xlfn.ANCHORARRAY($BK$4),ROW()-5,2)),"")</f>
        <v/>
      </c>
      <c r="F239" s="177" t="str">
        <f t="shared" si="51"/>
        <v/>
      </c>
      <c r="G239" s="275" t="str">
        <f t="shared" si="52"/>
        <v/>
      </c>
      <c r="H239" s="180" t="str">
        <f t="shared" si="53"/>
        <v/>
      </c>
      <c r="I239" s="180" t="str">
        <f t="shared" si="54"/>
        <v/>
      </c>
      <c r="J239" s="177" t="str">
        <f>_xlfn.LET(_xlpm.v,_xlfn.LET(_xlpm.base,IF($A239="","",IF($C239=0,IFERROR(_xlfn.XLOOKUP($A239,Util_Tags,Util_SCAEff),""),IF(LEFT($A239,2)="T-",IF($CJ239="","",$CJ239/(1+IF($CL239="",0,$CL239))),IF(OR($F239="",$I239=""),"",$F239*$I239)))),_xlpm.gtag,IF(OR($A239="",NOT(OR($B239="ATS",$B239="MTS"))),"",IFERROR(_xlfn.XLOOKUP($A239,Dashboard!$A$101:$A$350,Dashboard!$L$101:$L$350,"")&amp;"","")),_xlpm.gkva,IF(_xlpm.gtag="",0,IFERROR(N(_xlfn.XLOOKUP(_xlpm.gtag,Generator!$B$53:$B$58,Generator!$S$53:$S$58,0)),0)),_xlpm.gxd,IF(_xlpm.gtag="",0,IFERROR(N(_xlfn.XLOOKUP(_xlpm.gtag,Generator!$B$53:$B$58,Generator!$U$53:$U$58,0)),0)),_xlpm.gamp,IF(OR(_xlpm.gkva=0,_xlpm.gxd=0,N($D239)=0),0,ROUND(_xlpm.gkva*1000/(IF(N($CB239)=1,1,SQRT(3))*$D239*_xlpm.gxd),0)),IF(OR(_xlpm.gamp=0,NOT(ISNUMBER(_xlpm.base))),_xlpm.base,MAX(_xlpm.base,_xlpm.gamp))),_xlpm.ulim,IF(OR($A239="",$B239&lt;&gt;"UPS"),"",IFERROR(IF(_xlfn.XLOOKUP($A239,UPS!$B$57:$B$64,UPS!$E$57:$E$64,"")="None",_xlfn.XLOOKUP($A239,UPS!$B$57:$B$64,UPS!$U$57:$U$64,""),""),"")),IF(AND(ISNUMBER(_xlpm.v),ISNUMBER(_xlpm.ulim)),MIN(_xlpm.v,_xlpm.ulim),_xlpm.v))</f>
        <v/>
      </c>
      <c r="K239" s="176"/>
      <c r="L239" s="177" t="str">
        <f t="shared" si="55"/>
        <v/>
      </c>
      <c r="M239" s="177" t="str">
        <f t="shared" si="56"/>
        <v/>
      </c>
      <c r="N239" s="380" t="str">
        <f>IF($A239="","",IF($C239=0,_xlfn.LET(_xlpm.x,IFERROR(_xlfn.XLOOKUP($A239,Util_Tags,Util_XR),""),IF(N(_xlpm.x)=0,Xfmr_DefXR,_xlpm.x)),IF(LEFT($A239,2)="T-",IFERROR(_xlfn.XLOOKUP($A239,Transformers!$A$6:$A$105,Transformers!$AH$6:$AH$105),Xfmr_DefXR),IFERROR(_xlfn.XLOOKUP($E239,$A$6:$A$255,$N$6:$N$255),Xfmr_DefXR))))</f>
        <v/>
      </c>
      <c r="O239" s="177" t="str">
        <f t="shared" si="57"/>
        <v/>
      </c>
      <c r="P239" s="210" t="str">
        <f>IF($A239="","",IF(LEFT($A239,2)="T-",IF($CO239="","",_xlfn.LET(_xlpm.k,IFERROR(_xlfn.XLOOKUP($A239,Transformers!$A$6:$A$105,Transformers!$G$6:$G$105),""),_xlpm.sv,IFERROR(_xlfn.XLOOKUP($A239,Transformers!$A$6:$A$105,Transformers!$E$6:$E$105),""),IF(OR(NOT(ISNUMBER(_xlpm.k)),NOT(ISNUMBER(_xlpm.sv)),_xlpm.sv=0),"",_xlfn.LET(_xlpm.iInf,(_xlpm.k*1000/(_xlpm.sv/2))*100/$CO239,_xlpm.pri,IF(OR($CK239="",$CK239=0),"",$CK239/2),_xlpm.base,IF(_xlpm.pri="",_xlpm.iInf,_xlpm.iInf/(1+_xlpm.iInf/_xlpm.pri)),_xlpm.base+IF($L239="",0,$L239))))),IF($CP239="","",_xlfn.LET(_xlpm.pI,IFERROR(_xlfn.XLOOKUP($E239,$A$6:$A$255,$P$6:$P$255),""),IF(NOT(ISNUMBER(_xlpm.pI)),"",_xlpm.pI/(1+$CP239)+IF($L239="",0,$L239))))))</f>
        <v/>
      </c>
      <c r="Q239" s="210" t="str">
        <f t="shared" si="58"/>
        <v/>
      </c>
      <c r="R239" s="177" t="str">
        <f>IF($A239="","",IF(OR($C239=0,LEFT($A239,2)="T-"),"",IFERROR(_xlfn.LET(_xlpm.v,_xlfn.XLOOKUP($A239,Dashboard!$A$101:$A$350,Dashboard!$K$101:$K$350),IF(ISNUMBER(_xlpm.v),_xlpm.v,"")),"")))</f>
        <v/>
      </c>
      <c r="S239" s="211" t="str">
        <f t="shared" si="59"/>
        <v/>
      </c>
      <c r="T239" s="25" t="str">
        <f t="shared" si="60"/>
        <v/>
      </c>
      <c r="U239" s="364"/>
      <c r="BV239" s="20" t="str">
        <f>IF($A239="","",IFERROR(_xlfn.XLOOKUP("F-"&amp;$A239,'Feeder Schedule'!$B$5:$B$254,'Feeder Schedule'!$H$5:$H$254),""))</f>
        <v/>
      </c>
      <c r="BW239" s="20" t="str">
        <f>IF($A239="","",IFERROR(_xlfn.XLOOKUP("F-"&amp;$A239,'Feeder Schedule'!$B$5:$B$254,'Feeder Schedule'!$BV$5:$BV$254),""))</f>
        <v/>
      </c>
      <c r="BX239" s="20" t="str">
        <f>IF($A239="","",IFERROR(_xlfn.LET(_xlpm.v,_xlfn.XLOOKUP("F-"&amp;$A239,'Feeder Schedule'!$B$5:$B$254,'Feeder Schedule'!$M$5:$M$254),IF(OR(_xlpm.v="",_xlpm.v=0),Cfg_Conduit,_xlpm.v)),""))</f>
        <v/>
      </c>
      <c r="BY239" s="20" t="str">
        <f>IF($A239="","",IFERROR(_xlfn.XLOOKUP("F-"&amp;$A239,'Feeder Schedule'!$B$5:$B$254,'Feeder Schedule'!$O$5:$O$254),""))</f>
        <v/>
      </c>
      <c r="BZ239" s="20" t="str">
        <f>IF($A239="","",IFERROR(_xlfn.XLOOKUP("F-"&amp;$A239,'Feeder Schedule'!$B$5:$B$254,'Feeder Schedule'!$CH$5:$CH$254),""))</f>
        <v/>
      </c>
      <c r="CA239" s="20" t="str">
        <f>IF($A239="","",IFERROR(_xlfn.XLOOKUP("F-"&amp;$A239,'Feeder Schedule'!$B$5:$B$254,'Feeder Schedule'!$F$5:$F$254),""))</f>
        <v/>
      </c>
      <c r="CB239" s="20" t="str">
        <f>IF($A239="","",IFERROR(_xlfn.XLOOKUP("F-"&amp;$A239,'Feeder Schedule'!$B$5:$B$254,'Feeder Schedule'!$G$5:$G$254),""))</f>
        <v/>
      </c>
      <c r="CD239" s="20" t="str" cm="1">
        <f t="array" ref="CD239">IFERROR(IF($A239="","",INDEX(_xlfn.ANCHORARRAY($BK$4),ROW()-5,6)),"")</f>
        <v/>
      </c>
      <c r="CE239" s="20" t="str">
        <f t="shared" si="63"/>
        <v/>
      </c>
      <c r="CF239" s="20" t="str">
        <f t="shared" si="64"/>
        <v/>
      </c>
      <c r="CG239" s="20" t="str">
        <f t="shared" si="61"/>
        <v/>
      </c>
      <c r="CH239" s="20" t="str" cm="1">
        <f t="array" ref="CH239">IF(OR($A239="",$BZ239="",$BW239="",$BX239=""),"",_xlfn.LET(_xlpm.mag,IFERROR(_xlfn.XLOOKUP($BX239,Race_Raceway,Race_Mag),""),IF(_xlpm.mag="","",IFERROR(INDEX(Cond_Table,MATCH($BZ239,Cond_Size,0),IF(UPPER($BW239)="AL",IF(_xlpm.mag="Y",10,12),IF(_xlpm.mag="Y",9,11))),""))))</f>
        <v/>
      </c>
      <c r="CI239" s="20" t="str">
        <f t="shared" si="62"/>
        <v/>
      </c>
      <c r="CJ239" s="20" t="str">
        <f>IF(OR($A239="",LEFT($A239,2)&lt;&gt;"T-"),"",IFERROR(_xlfn.LET(_xlpm.fla,_xlfn.XLOOKUP($A239,Transformers!$A$6:$A$105,Transformers!$AK$6:$AK$105),_xlpm.z,_xlfn.XLOOKUP($A239,Transformers!$A$6:$A$105,Transformers!$AX$6:$AX$105),IF(OR(_xlpm.fla="",_xlpm.z="",_xlpm.z=0),"",_xlpm.fla*100/_xlpm.z)),""))</f>
        <v/>
      </c>
      <c r="CK239" s="20" t="str">
        <f t="shared" si="65"/>
        <v/>
      </c>
      <c r="CL239" s="20" t="str">
        <f t="shared" si="66"/>
        <v/>
      </c>
      <c r="CM239" s="373"/>
      <c r="CO239" s="20" t="str">
        <f>IF(OR($A239="",LEFT($A239,2)&lt;&gt;"T-"),"",_xlfn.LET(_xlpm.ph,IFERROR(_xlfn.XLOOKUP($A239,Transformers!$A$6:$A$105,Transformers!$C$6:$C$105),""),_xlpm.rr,IFERROR(_xlfn.XLOOKUP($A239,Transformers!$A$6:$A$105,Transformers!$AG$6:$AG$105),""),_xlpm.xx,IFERROR(_xlfn.XLOOKUP($A239,Transformers!$A$6:$A$105,Transformers!$AI$6:$AI$105),""),IF(OR(_xlpm.ph&lt;&gt;1,NOT(ISNUMBER(_xlpm.rr)),NOT(ISNUMBER(_xlpm.xx))),"",SQRT((1.5*_xlpm.rr)^2+(1.2*_xlpm.xx)^2))))</f>
        <v/>
      </c>
      <c r="CP239" s="20" t="str">
        <f t="shared" si="67"/>
        <v/>
      </c>
    </row>
    <row r="240" spans="1:94" ht="15" customHeight="1" x14ac:dyDescent="0.45">
      <c r="A240" s="275" t="str" cm="1">
        <f t="array" ref="A240">IFERROR(IF(INDEX(_xlfn.ANCHORARRAY($BK$4),ROW()-5,1)="","",INDEX(_xlfn.ANCHORARRAY($BK$4),ROW()-5,1)),"")</f>
        <v/>
      </c>
      <c r="B240" s="25" t="str" cm="1">
        <f t="array" ref="B240">IFERROR(IF($A240="","",INDEX(_xlfn.ANCHORARRAY($BK$4),ROW()-5,5)),"")</f>
        <v/>
      </c>
      <c r="C240" s="178" t="str" cm="1">
        <f t="array" ref="C240">IFERROR(IF($A240="","",INDEX(_xlfn.ANCHORARRAY($BK$4),ROW()-5,7)),"")</f>
        <v/>
      </c>
      <c r="D240" s="177" t="str" cm="1">
        <f t="array" ref="D240">IFERROR(IF($A240="","",INDEX(_xlfn.ANCHORARRAY($BK$4),ROW()-5,3)),"")</f>
        <v/>
      </c>
      <c r="E240" s="25" t="str" cm="1">
        <f t="array" ref="E240">IFERROR(IF($A240="","",INDEX(_xlfn.ANCHORARRAY($BK$4),ROW()-5,2)),"")</f>
        <v/>
      </c>
      <c r="F240" s="177" t="str">
        <f t="shared" si="51"/>
        <v/>
      </c>
      <c r="G240" s="275" t="str">
        <f t="shared" si="52"/>
        <v/>
      </c>
      <c r="H240" s="180" t="str">
        <f t="shared" si="53"/>
        <v/>
      </c>
      <c r="I240" s="180" t="str">
        <f t="shared" si="54"/>
        <v/>
      </c>
      <c r="J240" s="177" t="str">
        <f>_xlfn.LET(_xlpm.v,_xlfn.LET(_xlpm.base,IF($A240="","",IF($C240=0,IFERROR(_xlfn.XLOOKUP($A240,Util_Tags,Util_SCAEff),""),IF(LEFT($A240,2)="T-",IF($CJ240="","",$CJ240/(1+IF($CL240="",0,$CL240))),IF(OR($F240="",$I240=""),"",$F240*$I240)))),_xlpm.gtag,IF(OR($A240="",NOT(OR($B240="ATS",$B240="MTS"))),"",IFERROR(_xlfn.XLOOKUP($A240,Dashboard!$A$101:$A$350,Dashboard!$L$101:$L$350,"")&amp;"","")),_xlpm.gkva,IF(_xlpm.gtag="",0,IFERROR(N(_xlfn.XLOOKUP(_xlpm.gtag,Generator!$B$53:$B$58,Generator!$S$53:$S$58,0)),0)),_xlpm.gxd,IF(_xlpm.gtag="",0,IFERROR(N(_xlfn.XLOOKUP(_xlpm.gtag,Generator!$B$53:$B$58,Generator!$U$53:$U$58,0)),0)),_xlpm.gamp,IF(OR(_xlpm.gkva=0,_xlpm.gxd=0,N($D240)=0),0,ROUND(_xlpm.gkva*1000/(IF(N($CB240)=1,1,SQRT(3))*$D240*_xlpm.gxd),0)),IF(OR(_xlpm.gamp=0,NOT(ISNUMBER(_xlpm.base))),_xlpm.base,MAX(_xlpm.base,_xlpm.gamp))),_xlpm.ulim,IF(OR($A240="",$B240&lt;&gt;"UPS"),"",IFERROR(IF(_xlfn.XLOOKUP($A240,UPS!$B$57:$B$64,UPS!$E$57:$E$64,"")="None",_xlfn.XLOOKUP($A240,UPS!$B$57:$B$64,UPS!$U$57:$U$64,""),""),"")),IF(AND(ISNUMBER(_xlpm.v),ISNUMBER(_xlpm.ulim)),MIN(_xlpm.v,_xlpm.ulim),_xlpm.v))</f>
        <v/>
      </c>
      <c r="K240" s="176"/>
      <c r="L240" s="177" t="str">
        <f t="shared" si="55"/>
        <v/>
      </c>
      <c r="M240" s="177" t="str">
        <f t="shared" si="56"/>
        <v/>
      </c>
      <c r="N240" s="380" t="str">
        <f>IF($A240="","",IF($C240=0,_xlfn.LET(_xlpm.x,IFERROR(_xlfn.XLOOKUP($A240,Util_Tags,Util_XR),""),IF(N(_xlpm.x)=0,Xfmr_DefXR,_xlpm.x)),IF(LEFT($A240,2)="T-",IFERROR(_xlfn.XLOOKUP($A240,Transformers!$A$6:$A$105,Transformers!$AH$6:$AH$105),Xfmr_DefXR),IFERROR(_xlfn.XLOOKUP($E240,$A$6:$A$255,$N$6:$N$255),Xfmr_DefXR))))</f>
        <v/>
      </c>
      <c r="O240" s="177" t="str">
        <f t="shared" si="57"/>
        <v/>
      </c>
      <c r="P240" s="210" t="str">
        <f>IF($A240="","",IF(LEFT($A240,2)="T-",IF($CO240="","",_xlfn.LET(_xlpm.k,IFERROR(_xlfn.XLOOKUP($A240,Transformers!$A$6:$A$105,Transformers!$G$6:$G$105),""),_xlpm.sv,IFERROR(_xlfn.XLOOKUP($A240,Transformers!$A$6:$A$105,Transformers!$E$6:$E$105),""),IF(OR(NOT(ISNUMBER(_xlpm.k)),NOT(ISNUMBER(_xlpm.sv)),_xlpm.sv=0),"",_xlfn.LET(_xlpm.iInf,(_xlpm.k*1000/(_xlpm.sv/2))*100/$CO240,_xlpm.pri,IF(OR($CK240="",$CK240=0),"",$CK240/2),_xlpm.base,IF(_xlpm.pri="",_xlpm.iInf,_xlpm.iInf/(1+_xlpm.iInf/_xlpm.pri)),_xlpm.base+IF($L240="",0,$L240))))),IF($CP240="","",_xlfn.LET(_xlpm.pI,IFERROR(_xlfn.XLOOKUP($E240,$A$6:$A$255,$P$6:$P$255),""),IF(NOT(ISNUMBER(_xlpm.pI)),"",_xlpm.pI/(1+$CP240)+IF($L240="",0,$L240))))))</f>
        <v/>
      </c>
      <c r="Q240" s="210" t="str">
        <f t="shared" si="58"/>
        <v/>
      </c>
      <c r="R240" s="177" t="str">
        <f>IF($A240="","",IF(OR($C240=0,LEFT($A240,2)="T-"),"",IFERROR(_xlfn.LET(_xlpm.v,_xlfn.XLOOKUP($A240,Dashboard!$A$101:$A$350,Dashboard!$K$101:$K$350),IF(ISNUMBER(_xlpm.v),_xlpm.v,"")),"")))</f>
        <v/>
      </c>
      <c r="S240" s="211" t="str">
        <f t="shared" si="59"/>
        <v/>
      </c>
      <c r="T240" s="25" t="str">
        <f t="shared" si="60"/>
        <v/>
      </c>
      <c r="U240" s="364"/>
      <c r="BV240" s="20" t="str">
        <f>IF($A240="","",IFERROR(_xlfn.XLOOKUP("F-"&amp;$A240,'Feeder Schedule'!$B$5:$B$254,'Feeder Schedule'!$H$5:$H$254),""))</f>
        <v/>
      </c>
      <c r="BW240" s="20" t="str">
        <f>IF($A240="","",IFERROR(_xlfn.XLOOKUP("F-"&amp;$A240,'Feeder Schedule'!$B$5:$B$254,'Feeder Schedule'!$BV$5:$BV$254),""))</f>
        <v/>
      </c>
      <c r="BX240" s="20" t="str">
        <f>IF($A240="","",IFERROR(_xlfn.LET(_xlpm.v,_xlfn.XLOOKUP("F-"&amp;$A240,'Feeder Schedule'!$B$5:$B$254,'Feeder Schedule'!$M$5:$M$254),IF(OR(_xlpm.v="",_xlpm.v=0),Cfg_Conduit,_xlpm.v)),""))</f>
        <v/>
      </c>
      <c r="BY240" s="20" t="str">
        <f>IF($A240="","",IFERROR(_xlfn.XLOOKUP("F-"&amp;$A240,'Feeder Schedule'!$B$5:$B$254,'Feeder Schedule'!$O$5:$O$254),""))</f>
        <v/>
      </c>
      <c r="BZ240" s="20" t="str">
        <f>IF($A240="","",IFERROR(_xlfn.XLOOKUP("F-"&amp;$A240,'Feeder Schedule'!$B$5:$B$254,'Feeder Schedule'!$CH$5:$CH$254),""))</f>
        <v/>
      </c>
      <c r="CA240" s="20" t="str">
        <f>IF($A240="","",IFERROR(_xlfn.XLOOKUP("F-"&amp;$A240,'Feeder Schedule'!$B$5:$B$254,'Feeder Schedule'!$F$5:$F$254),""))</f>
        <v/>
      </c>
      <c r="CB240" s="20" t="str">
        <f>IF($A240="","",IFERROR(_xlfn.XLOOKUP("F-"&amp;$A240,'Feeder Schedule'!$B$5:$B$254,'Feeder Schedule'!$G$5:$G$254),""))</f>
        <v/>
      </c>
      <c r="CD240" s="20" t="str" cm="1">
        <f t="array" ref="CD240">IFERROR(IF($A240="","",INDEX(_xlfn.ANCHORARRAY($BK$4),ROW()-5,6)),"")</f>
        <v/>
      </c>
      <c r="CE240" s="20" t="str">
        <f t="shared" si="63"/>
        <v/>
      </c>
      <c r="CF240" s="20" t="str">
        <f t="shared" si="64"/>
        <v/>
      </c>
      <c r="CG240" s="20" t="str">
        <f t="shared" si="61"/>
        <v/>
      </c>
      <c r="CH240" s="20" t="str" cm="1">
        <f t="array" ref="CH240">IF(OR($A240="",$BZ240="",$BW240="",$BX240=""),"",_xlfn.LET(_xlpm.mag,IFERROR(_xlfn.XLOOKUP($BX240,Race_Raceway,Race_Mag),""),IF(_xlpm.mag="","",IFERROR(INDEX(Cond_Table,MATCH($BZ240,Cond_Size,0),IF(UPPER($BW240)="AL",IF(_xlpm.mag="Y",10,12),IF(_xlpm.mag="Y",9,11))),""))))</f>
        <v/>
      </c>
      <c r="CI240" s="20" t="str">
        <f t="shared" si="62"/>
        <v/>
      </c>
      <c r="CJ240" s="20" t="str">
        <f>IF(OR($A240="",LEFT($A240,2)&lt;&gt;"T-"),"",IFERROR(_xlfn.LET(_xlpm.fla,_xlfn.XLOOKUP($A240,Transformers!$A$6:$A$105,Transformers!$AK$6:$AK$105),_xlpm.z,_xlfn.XLOOKUP($A240,Transformers!$A$6:$A$105,Transformers!$AX$6:$AX$105),IF(OR(_xlpm.fla="",_xlpm.z="",_xlpm.z=0),"",_xlpm.fla*100/_xlpm.z)),""))</f>
        <v/>
      </c>
      <c r="CK240" s="20" t="str">
        <f t="shared" si="65"/>
        <v/>
      </c>
      <c r="CL240" s="20" t="str">
        <f t="shared" si="66"/>
        <v/>
      </c>
      <c r="CM240" s="373"/>
      <c r="CO240" s="20" t="str">
        <f>IF(OR($A240="",LEFT($A240,2)&lt;&gt;"T-"),"",_xlfn.LET(_xlpm.ph,IFERROR(_xlfn.XLOOKUP($A240,Transformers!$A$6:$A$105,Transformers!$C$6:$C$105),""),_xlpm.rr,IFERROR(_xlfn.XLOOKUP($A240,Transformers!$A$6:$A$105,Transformers!$AG$6:$AG$105),""),_xlpm.xx,IFERROR(_xlfn.XLOOKUP($A240,Transformers!$A$6:$A$105,Transformers!$AI$6:$AI$105),""),IF(OR(_xlpm.ph&lt;&gt;1,NOT(ISNUMBER(_xlpm.rr)),NOT(ISNUMBER(_xlpm.xx))),"",SQRT((1.5*_xlpm.rr)^2+(1.2*_xlpm.xx)^2))))</f>
        <v/>
      </c>
      <c r="CP240" s="20" t="str">
        <f t="shared" si="67"/>
        <v/>
      </c>
    </row>
    <row r="241" spans="1:94" ht="15" customHeight="1" x14ac:dyDescent="0.45">
      <c r="A241" s="275" t="str" cm="1">
        <f t="array" ref="A241">IFERROR(IF(INDEX(_xlfn.ANCHORARRAY($BK$4),ROW()-5,1)="","",INDEX(_xlfn.ANCHORARRAY($BK$4),ROW()-5,1)),"")</f>
        <v/>
      </c>
      <c r="B241" s="25" t="str" cm="1">
        <f t="array" ref="B241">IFERROR(IF($A241="","",INDEX(_xlfn.ANCHORARRAY($BK$4),ROW()-5,5)),"")</f>
        <v/>
      </c>
      <c r="C241" s="178" t="str" cm="1">
        <f t="array" ref="C241">IFERROR(IF($A241="","",INDEX(_xlfn.ANCHORARRAY($BK$4),ROW()-5,7)),"")</f>
        <v/>
      </c>
      <c r="D241" s="177" t="str" cm="1">
        <f t="array" ref="D241">IFERROR(IF($A241="","",INDEX(_xlfn.ANCHORARRAY($BK$4),ROW()-5,3)),"")</f>
        <v/>
      </c>
      <c r="E241" s="25" t="str" cm="1">
        <f t="array" ref="E241">IFERROR(IF($A241="","",INDEX(_xlfn.ANCHORARRAY($BK$4),ROW()-5,2)),"")</f>
        <v/>
      </c>
      <c r="F241" s="177" t="str">
        <f t="shared" si="51"/>
        <v/>
      </c>
      <c r="G241" s="275" t="str">
        <f t="shared" si="52"/>
        <v/>
      </c>
      <c r="H241" s="180" t="str">
        <f t="shared" si="53"/>
        <v/>
      </c>
      <c r="I241" s="180" t="str">
        <f t="shared" si="54"/>
        <v/>
      </c>
      <c r="J241" s="177" t="str">
        <f>_xlfn.LET(_xlpm.v,_xlfn.LET(_xlpm.base,IF($A241="","",IF($C241=0,IFERROR(_xlfn.XLOOKUP($A241,Util_Tags,Util_SCAEff),""),IF(LEFT($A241,2)="T-",IF($CJ241="","",$CJ241/(1+IF($CL241="",0,$CL241))),IF(OR($F241="",$I241=""),"",$F241*$I241)))),_xlpm.gtag,IF(OR($A241="",NOT(OR($B241="ATS",$B241="MTS"))),"",IFERROR(_xlfn.XLOOKUP($A241,Dashboard!$A$101:$A$350,Dashboard!$L$101:$L$350,"")&amp;"","")),_xlpm.gkva,IF(_xlpm.gtag="",0,IFERROR(N(_xlfn.XLOOKUP(_xlpm.gtag,Generator!$B$53:$B$58,Generator!$S$53:$S$58,0)),0)),_xlpm.gxd,IF(_xlpm.gtag="",0,IFERROR(N(_xlfn.XLOOKUP(_xlpm.gtag,Generator!$B$53:$B$58,Generator!$U$53:$U$58,0)),0)),_xlpm.gamp,IF(OR(_xlpm.gkva=0,_xlpm.gxd=0,N($D241)=0),0,ROUND(_xlpm.gkva*1000/(IF(N($CB241)=1,1,SQRT(3))*$D241*_xlpm.gxd),0)),IF(OR(_xlpm.gamp=0,NOT(ISNUMBER(_xlpm.base))),_xlpm.base,MAX(_xlpm.base,_xlpm.gamp))),_xlpm.ulim,IF(OR($A241="",$B241&lt;&gt;"UPS"),"",IFERROR(IF(_xlfn.XLOOKUP($A241,UPS!$B$57:$B$64,UPS!$E$57:$E$64,"")="None",_xlfn.XLOOKUP($A241,UPS!$B$57:$B$64,UPS!$U$57:$U$64,""),""),"")),IF(AND(ISNUMBER(_xlpm.v),ISNUMBER(_xlpm.ulim)),MIN(_xlpm.v,_xlpm.ulim),_xlpm.v))</f>
        <v/>
      </c>
      <c r="K241" s="176"/>
      <c r="L241" s="177" t="str">
        <f t="shared" si="55"/>
        <v/>
      </c>
      <c r="M241" s="177" t="str">
        <f t="shared" si="56"/>
        <v/>
      </c>
      <c r="N241" s="380" t="str">
        <f>IF($A241="","",IF($C241=0,_xlfn.LET(_xlpm.x,IFERROR(_xlfn.XLOOKUP($A241,Util_Tags,Util_XR),""),IF(N(_xlpm.x)=0,Xfmr_DefXR,_xlpm.x)),IF(LEFT($A241,2)="T-",IFERROR(_xlfn.XLOOKUP($A241,Transformers!$A$6:$A$105,Transformers!$AH$6:$AH$105),Xfmr_DefXR),IFERROR(_xlfn.XLOOKUP($E241,$A$6:$A$255,$N$6:$N$255),Xfmr_DefXR))))</f>
        <v/>
      </c>
      <c r="O241" s="177" t="str">
        <f t="shared" si="57"/>
        <v/>
      </c>
      <c r="P241" s="210" t="str">
        <f>IF($A241="","",IF(LEFT($A241,2)="T-",IF($CO241="","",_xlfn.LET(_xlpm.k,IFERROR(_xlfn.XLOOKUP($A241,Transformers!$A$6:$A$105,Transformers!$G$6:$G$105),""),_xlpm.sv,IFERROR(_xlfn.XLOOKUP($A241,Transformers!$A$6:$A$105,Transformers!$E$6:$E$105),""),IF(OR(NOT(ISNUMBER(_xlpm.k)),NOT(ISNUMBER(_xlpm.sv)),_xlpm.sv=0),"",_xlfn.LET(_xlpm.iInf,(_xlpm.k*1000/(_xlpm.sv/2))*100/$CO241,_xlpm.pri,IF(OR($CK241="",$CK241=0),"",$CK241/2),_xlpm.base,IF(_xlpm.pri="",_xlpm.iInf,_xlpm.iInf/(1+_xlpm.iInf/_xlpm.pri)),_xlpm.base+IF($L241="",0,$L241))))),IF($CP241="","",_xlfn.LET(_xlpm.pI,IFERROR(_xlfn.XLOOKUP($E241,$A$6:$A$255,$P$6:$P$255),""),IF(NOT(ISNUMBER(_xlpm.pI)),"",_xlpm.pI/(1+$CP241)+IF($L241="",0,$L241))))))</f>
        <v/>
      </c>
      <c r="Q241" s="210" t="str">
        <f t="shared" si="58"/>
        <v/>
      </c>
      <c r="R241" s="177" t="str">
        <f>IF($A241="","",IF(OR($C241=0,LEFT($A241,2)="T-"),"",IFERROR(_xlfn.LET(_xlpm.v,_xlfn.XLOOKUP($A241,Dashboard!$A$101:$A$350,Dashboard!$K$101:$K$350),IF(ISNUMBER(_xlpm.v),_xlpm.v,"")),"")))</f>
        <v/>
      </c>
      <c r="S241" s="211" t="str">
        <f t="shared" si="59"/>
        <v/>
      </c>
      <c r="T241" s="25" t="str">
        <f t="shared" si="60"/>
        <v/>
      </c>
      <c r="U241" s="364"/>
      <c r="BV241" s="20" t="str">
        <f>IF($A241="","",IFERROR(_xlfn.XLOOKUP("F-"&amp;$A241,'Feeder Schedule'!$B$5:$B$254,'Feeder Schedule'!$H$5:$H$254),""))</f>
        <v/>
      </c>
      <c r="BW241" s="20" t="str">
        <f>IF($A241="","",IFERROR(_xlfn.XLOOKUP("F-"&amp;$A241,'Feeder Schedule'!$B$5:$B$254,'Feeder Schedule'!$BV$5:$BV$254),""))</f>
        <v/>
      </c>
      <c r="BX241" s="20" t="str">
        <f>IF($A241="","",IFERROR(_xlfn.LET(_xlpm.v,_xlfn.XLOOKUP("F-"&amp;$A241,'Feeder Schedule'!$B$5:$B$254,'Feeder Schedule'!$M$5:$M$254),IF(OR(_xlpm.v="",_xlpm.v=0),Cfg_Conduit,_xlpm.v)),""))</f>
        <v/>
      </c>
      <c r="BY241" s="20" t="str">
        <f>IF($A241="","",IFERROR(_xlfn.XLOOKUP("F-"&amp;$A241,'Feeder Schedule'!$B$5:$B$254,'Feeder Schedule'!$O$5:$O$254),""))</f>
        <v/>
      </c>
      <c r="BZ241" s="20" t="str">
        <f>IF($A241="","",IFERROR(_xlfn.XLOOKUP("F-"&amp;$A241,'Feeder Schedule'!$B$5:$B$254,'Feeder Schedule'!$CH$5:$CH$254),""))</f>
        <v/>
      </c>
      <c r="CA241" s="20" t="str">
        <f>IF($A241="","",IFERROR(_xlfn.XLOOKUP("F-"&amp;$A241,'Feeder Schedule'!$B$5:$B$254,'Feeder Schedule'!$F$5:$F$254),""))</f>
        <v/>
      </c>
      <c r="CB241" s="20" t="str">
        <f>IF($A241="","",IFERROR(_xlfn.XLOOKUP("F-"&amp;$A241,'Feeder Schedule'!$B$5:$B$254,'Feeder Schedule'!$G$5:$G$254),""))</f>
        <v/>
      </c>
      <c r="CD241" s="20" t="str" cm="1">
        <f t="array" ref="CD241">IFERROR(IF($A241="","",INDEX(_xlfn.ANCHORARRAY($BK$4),ROW()-5,6)),"")</f>
        <v/>
      </c>
      <c r="CE241" s="20" t="str">
        <f t="shared" si="63"/>
        <v/>
      </c>
      <c r="CF241" s="20" t="str">
        <f t="shared" si="64"/>
        <v/>
      </c>
      <c r="CG241" s="20" t="str">
        <f t="shared" si="61"/>
        <v/>
      </c>
      <c r="CH241" s="20" t="str" cm="1">
        <f t="array" ref="CH241">IF(OR($A241="",$BZ241="",$BW241="",$BX241=""),"",_xlfn.LET(_xlpm.mag,IFERROR(_xlfn.XLOOKUP($BX241,Race_Raceway,Race_Mag),""),IF(_xlpm.mag="","",IFERROR(INDEX(Cond_Table,MATCH($BZ241,Cond_Size,0),IF(UPPER($BW241)="AL",IF(_xlpm.mag="Y",10,12),IF(_xlpm.mag="Y",9,11))),""))))</f>
        <v/>
      </c>
      <c r="CI241" s="20" t="str">
        <f t="shared" si="62"/>
        <v/>
      </c>
      <c r="CJ241" s="20" t="str">
        <f>IF(OR($A241="",LEFT($A241,2)&lt;&gt;"T-"),"",IFERROR(_xlfn.LET(_xlpm.fla,_xlfn.XLOOKUP($A241,Transformers!$A$6:$A$105,Transformers!$AK$6:$AK$105),_xlpm.z,_xlfn.XLOOKUP($A241,Transformers!$A$6:$A$105,Transformers!$AX$6:$AX$105),IF(OR(_xlpm.fla="",_xlpm.z="",_xlpm.z=0),"",_xlpm.fla*100/_xlpm.z)),""))</f>
        <v/>
      </c>
      <c r="CK241" s="20" t="str">
        <f t="shared" si="65"/>
        <v/>
      </c>
      <c r="CL241" s="20" t="str">
        <f t="shared" si="66"/>
        <v/>
      </c>
      <c r="CM241" s="373"/>
      <c r="CO241" s="20" t="str">
        <f>IF(OR($A241="",LEFT($A241,2)&lt;&gt;"T-"),"",_xlfn.LET(_xlpm.ph,IFERROR(_xlfn.XLOOKUP($A241,Transformers!$A$6:$A$105,Transformers!$C$6:$C$105),""),_xlpm.rr,IFERROR(_xlfn.XLOOKUP($A241,Transformers!$A$6:$A$105,Transformers!$AG$6:$AG$105),""),_xlpm.xx,IFERROR(_xlfn.XLOOKUP($A241,Transformers!$A$6:$A$105,Transformers!$AI$6:$AI$105),""),IF(OR(_xlpm.ph&lt;&gt;1,NOT(ISNUMBER(_xlpm.rr)),NOT(ISNUMBER(_xlpm.xx))),"",SQRT((1.5*_xlpm.rr)^2+(1.2*_xlpm.xx)^2))))</f>
        <v/>
      </c>
      <c r="CP241" s="20" t="str">
        <f t="shared" si="67"/>
        <v/>
      </c>
    </row>
    <row r="242" spans="1:94" ht="15" customHeight="1" x14ac:dyDescent="0.45">
      <c r="A242" s="275" t="str" cm="1">
        <f t="array" ref="A242">IFERROR(IF(INDEX(_xlfn.ANCHORARRAY($BK$4),ROW()-5,1)="","",INDEX(_xlfn.ANCHORARRAY($BK$4),ROW()-5,1)),"")</f>
        <v/>
      </c>
      <c r="B242" s="25" t="str" cm="1">
        <f t="array" ref="B242">IFERROR(IF($A242="","",INDEX(_xlfn.ANCHORARRAY($BK$4),ROW()-5,5)),"")</f>
        <v/>
      </c>
      <c r="C242" s="178" t="str" cm="1">
        <f t="array" ref="C242">IFERROR(IF($A242="","",INDEX(_xlfn.ANCHORARRAY($BK$4),ROW()-5,7)),"")</f>
        <v/>
      </c>
      <c r="D242" s="177" t="str" cm="1">
        <f t="array" ref="D242">IFERROR(IF($A242="","",INDEX(_xlfn.ANCHORARRAY($BK$4),ROW()-5,3)),"")</f>
        <v/>
      </c>
      <c r="E242" s="25" t="str" cm="1">
        <f t="array" ref="E242">IFERROR(IF($A242="","",INDEX(_xlfn.ANCHORARRAY($BK$4),ROW()-5,2)),"")</f>
        <v/>
      </c>
      <c r="F242" s="177" t="str">
        <f t="shared" si="51"/>
        <v/>
      </c>
      <c r="G242" s="275" t="str">
        <f t="shared" si="52"/>
        <v/>
      </c>
      <c r="H242" s="180" t="str">
        <f t="shared" si="53"/>
        <v/>
      </c>
      <c r="I242" s="180" t="str">
        <f t="shared" si="54"/>
        <v/>
      </c>
      <c r="J242" s="177" t="str">
        <f>_xlfn.LET(_xlpm.v,_xlfn.LET(_xlpm.base,IF($A242="","",IF($C242=0,IFERROR(_xlfn.XLOOKUP($A242,Util_Tags,Util_SCAEff),""),IF(LEFT($A242,2)="T-",IF($CJ242="","",$CJ242/(1+IF($CL242="",0,$CL242))),IF(OR($F242="",$I242=""),"",$F242*$I242)))),_xlpm.gtag,IF(OR($A242="",NOT(OR($B242="ATS",$B242="MTS"))),"",IFERROR(_xlfn.XLOOKUP($A242,Dashboard!$A$101:$A$350,Dashboard!$L$101:$L$350,"")&amp;"","")),_xlpm.gkva,IF(_xlpm.gtag="",0,IFERROR(N(_xlfn.XLOOKUP(_xlpm.gtag,Generator!$B$53:$B$58,Generator!$S$53:$S$58,0)),0)),_xlpm.gxd,IF(_xlpm.gtag="",0,IFERROR(N(_xlfn.XLOOKUP(_xlpm.gtag,Generator!$B$53:$B$58,Generator!$U$53:$U$58,0)),0)),_xlpm.gamp,IF(OR(_xlpm.gkva=0,_xlpm.gxd=0,N($D242)=0),0,ROUND(_xlpm.gkva*1000/(IF(N($CB242)=1,1,SQRT(3))*$D242*_xlpm.gxd),0)),IF(OR(_xlpm.gamp=0,NOT(ISNUMBER(_xlpm.base))),_xlpm.base,MAX(_xlpm.base,_xlpm.gamp))),_xlpm.ulim,IF(OR($A242="",$B242&lt;&gt;"UPS"),"",IFERROR(IF(_xlfn.XLOOKUP($A242,UPS!$B$57:$B$64,UPS!$E$57:$E$64,"")="None",_xlfn.XLOOKUP($A242,UPS!$B$57:$B$64,UPS!$U$57:$U$64,""),""),"")),IF(AND(ISNUMBER(_xlpm.v),ISNUMBER(_xlpm.ulim)),MIN(_xlpm.v,_xlpm.ulim),_xlpm.v))</f>
        <v/>
      </c>
      <c r="K242" s="176"/>
      <c r="L242" s="177" t="str">
        <f t="shared" si="55"/>
        <v/>
      </c>
      <c r="M242" s="177" t="str">
        <f t="shared" si="56"/>
        <v/>
      </c>
      <c r="N242" s="380" t="str">
        <f>IF($A242="","",IF($C242=0,_xlfn.LET(_xlpm.x,IFERROR(_xlfn.XLOOKUP($A242,Util_Tags,Util_XR),""),IF(N(_xlpm.x)=0,Xfmr_DefXR,_xlpm.x)),IF(LEFT($A242,2)="T-",IFERROR(_xlfn.XLOOKUP($A242,Transformers!$A$6:$A$105,Transformers!$AH$6:$AH$105),Xfmr_DefXR),IFERROR(_xlfn.XLOOKUP($E242,$A$6:$A$255,$N$6:$N$255),Xfmr_DefXR))))</f>
        <v/>
      </c>
      <c r="O242" s="177" t="str">
        <f t="shared" si="57"/>
        <v/>
      </c>
      <c r="P242" s="210" t="str">
        <f>IF($A242="","",IF(LEFT($A242,2)="T-",IF($CO242="","",_xlfn.LET(_xlpm.k,IFERROR(_xlfn.XLOOKUP($A242,Transformers!$A$6:$A$105,Transformers!$G$6:$G$105),""),_xlpm.sv,IFERROR(_xlfn.XLOOKUP($A242,Transformers!$A$6:$A$105,Transformers!$E$6:$E$105),""),IF(OR(NOT(ISNUMBER(_xlpm.k)),NOT(ISNUMBER(_xlpm.sv)),_xlpm.sv=0),"",_xlfn.LET(_xlpm.iInf,(_xlpm.k*1000/(_xlpm.sv/2))*100/$CO242,_xlpm.pri,IF(OR($CK242="",$CK242=0),"",$CK242/2),_xlpm.base,IF(_xlpm.pri="",_xlpm.iInf,_xlpm.iInf/(1+_xlpm.iInf/_xlpm.pri)),_xlpm.base+IF($L242="",0,$L242))))),IF($CP242="","",_xlfn.LET(_xlpm.pI,IFERROR(_xlfn.XLOOKUP($E242,$A$6:$A$255,$P$6:$P$255),""),IF(NOT(ISNUMBER(_xlpm.pI)),"",_xlpm.pI/(1+$CP242)+IF($L242="",0,$L242))))))</f>
        <v/>
      </c>
      <c r="Q242" s="210" t="str">
        <f t="shared" si="58"/>
        <v/>
      </c>
      <c r="R242" s="177" t="str">
        <f>IF($A242="","",IF(OR($C242=0,LEFT($A242,2)="T-"),"",IFERROR(_xlfn.LET(_xlpm.v,_xlfn.XLOOKUP($A242,Dashboard!$A$101:$A$350,Dashboard!$K$101:$K$350),IF(ISNUMBER(_xlpm.v),_xlpm.v,"")),"")))</f>
        <v/>
      </c>
      <c r="S242" s="211" t="str">
        <f t="shared" si="59"/>
        <v/>
      </c>
      <c r="T242" s="25" t="str">
        <f t="shared" si="60"/>
        <v/>
      </c>
      <c r="U242" s="364"/>
      <c r="BV242" s="20" t="str">
        <f>IF($A242="","",IFERROR(_xlfn.XLOOKUP("F-"&amp;$A242,'Feeder Schedule'!$B$5:$B$254,'Feeder Schedule'!$H$5:$H$254),""))</f>
        <v/>
      </c>
      <c r="BW242" s="20" t="str">
        <f>IF($A242="","",IFERROR(_xlfn.XLOOKUP("F-"&amp;$A242,'Feeder Schedule'!$B$5:$B$254,'Feeder Schedule'!$BV$5:$BV$254),""))</f>
        <v/>
      </c>
      <c r="BX242" s="20" t="str">
        <f>IF($A242="","",IFERROR(_xlfn.LET(_xlpm.v,_xlfn.XLOOKUP("F-"&amp;$A242,'Feeder Schedule'!$B$5:$B$254,'Feeder Schedule'!$M$5:$M$254),IF(OR(_xlpm.v="",_xlpm.v=0),Cfg_Conduit,_xlpm.v)),""))</f>
        <v/>
      </c>
      <c r="BY242" s="20" t="str">
        <f>IF($A242="","",IFERROR(_xlfn.XLOOKUP("F-"&amp;$A242,'Feeder Schedule'!$B$5:$B$254,'Feeder Schedule'!$O$5:$O$254),""))</f>
        <v/>
      </c>
      <c r="BZ242" s="20" t="str">
        <f>IF($A242="","",IFERROR(_xlfn.XLOOKUP("F-"&amp;$A242,'Feeder Schedule'!$B$5:$B$254,'Feeder Schedule'!$CH$5:$CH$254),""))</f>
        <v/>
      </c>
      <c r="CA242" s="20" t="str">
        <f>IF($A242="","",IFERROR(_xlfn.XLOOKUP("F-"&amp;$A242,'Feeder Schedule'!$B$5:$B$254,'Feeder Schedule'!$F$5:$F$254),""))</f>
        <v/>
      </c>
      <c r="CB242" s="20" t="str">
        <f>IF($A242="","",IFERROR(_xlfn.XLOOKUP("F-"&amp;$A242,'Feeder Schedule'!$B$5:$B$254,'Feeder Schedule'!$G$5:$G$254),""))</f>
        <v/>
      </c>
      <c r="CD242" s="20" t="str" cm="1">
        <f t="array" ref="CD242">IFERROR(IF($A242="","",INDEX(_xlfn.ANCHORARRAY($BK$4),ROW()-5,6)),"")</f>
        <v/>
      </c>
      <c r="CE242" s="20" t="str">
        <f t="shared" si="63"/>
        <v/>
      </c>
      <c r="CF242" s="20" t="str">
        <f t="shared" si="64"/>
        <v/>
      </c>
      <c r="CG242" s="20" t="str">
        <f t="shared" si="61"/>
        <v/>
      </c>
      <c r="CH242" s="20" t="str" cm="1">
        <f t="array" ref="CH242">IF(OR($A242="",$BZ242="",$BW242="",$BX242=""),"",_xlfn.LET(_xlpm.mag,IFERROR(_xlfn.XLOOKUP($BX242,Race_Raceway,Race_Mag),""),IF(_xlpm.mag="","",IFERROR(INDEX(Cond_Table,MATCH($BZ242,Cond_Size,0),IF(UPPER($BW242)="AL",IF(_xlpm.mag="Y",10,12),IF(_xlpm.mag="Y",9,11))),""))))</f>
        <v/>
      </c>
      <c r="CI242" s="20" t="str">
        <f t="shared" si="62"/>
        <v/>
      </c>
      <c r="CJ242" s="20" t="str">
        <f>IF(OR($A242="",LEFT($A242,2)&lt;&gt;"T-"),"",IFERROR(_xlfn.LET(_xlpm.fla,_xlfn.XLOOKUP($A242,Transformers!$A$6:$A$105,Transformers!$AK$6:$AK$105),_xlpm.z,_xlfn.XLOOKUP($A242,Transformers!$A$6:$A$105,Transformers!$AX$6:$AX$105),IF(OR(_xlpm.fla="",_xlpm.z="",_xlpm.z=0),"",_xlpm.fla*100/_xlpm.z)),""))</f>
        <v/>
      </c>
      <c r="CK242" s="20" t="str">
        <f t="shared" si="65"/>
        <v/>
      </c>
      <c r="CL242" s="20" t="str">
        <f t="shared" si="66"/>
        <v/>
      </c>
      <c r="CM242" s="373"/>
      <c r="CO242" s="20" t="str">
        <f>IF(OR($A242="",LEFT($A242,2)&lt;&gt;"T-"),"",_xlfn.LET(_xlpm.ph,IFERROR(_xlfn.XLOOKUP($A242,Transformers!$A$6:$A$105,Transformers!$C$6:$C$105),""),_xlpm.rr,IFERROR(_xlfn.XLOOKUP($A242,Transformers!$A$6:$A$105,Transformers!$AG$6:$AG$105),""),_xlpm.xx,IFERROR(_xlfn.XLOOKUP($A242,Transformers!$A$6:$A$105,Transformers!$AI$6:$AI$105),""),IF(OR(_xlpm.ph&lt;&gt;1,NOT(ISNUMBER(_xlpm.rr)),NOT(ISNUMBER(_xlpm.xx))),"",SQRT((1.5*_xlpm.rr)^2+(1.2*_xlpm.xx)^2))))</f>
        <v/>
      </c>
      <c r="CP242" s="20" t="str">
        <f t="shared" si="67"/>
        <v/>
      </c>
    </row>
    <row r="243" spans="1:94" ht="15" customHeight="1" x14ac:dyDescent="0.45">
      <c r="A243" s="275" t="str" cm="1">
        <f t="array" ref="A243">IFERROR(IF(INDEX(_xlfn.ANCHORARRAY($BK$4),ROW()-5,1)="","",INDEX(_xlfn.ANCHORARRAY($BK$4),ROW()-5,1)),"")</f>
        <v/>
      </c>
      <c r="B243" s="25" t="str" cm="1">
        <f t="array" ref="B243">IFERROR(IF($A243="","",INDEX(_xlfn.ANCHORARRAY($BK$4),ROW()-5,5)),"")</f>
        <v/>
      </c>
      <c r="C243" s="178" t="str" cm="1">
        <f t="array" ref="C243">IFERROR(IF($A243="","",INDEX(_xlfn.ANCHORARRAY($BK$4),ROW()-5,7)),"")</f>
        <v/>
      </c>
      <c r="D243" s="177" t="str" cm="1">
        <f t="array" ref="D243">IFERROR(IF($A243="","",INDEX(_xlfn.ANCHORARRAY($BK$4),ROW()-5,3)),"")</f>
        <v/>
      </c>
      <c r="E243" s="25" t="str" cm="1">
        <f t="array" ref="E243">IFERROR(IF($A243="","",INDEX(_xlfn.ANCHORARRAY($BK$4),ROW()-5,2)),"")</f>
        <v/>
      </c>
      <c r="F243" s="177" t="str">
        <f t="shared" si="51"/>
        <v/>
      </c>
      <c r="G243" s="275" t="str">
        <f t="shared" si="52"/>
        <v/>
      </c>
      <c r="H243" s="180" t="str">
        <f t="shared" si="53"/>
        <v/>
      </c>
      <c r="I243" s="180" t="str">
        <f t="shared" si="54"/>
        <v/>
      </c>
      <c r="J243" s="177" t="str">
        <f>_xlfn.LET(_xlpm.v,_xlfn.LET(_xlpm.base,IF($A243="","",IF($C243=0,IFERROR(_xlfn.XLOOKUP($A243,Util_Tags,Util_SCAEff),""),IF(LEFT($A243,2)="T-",IF($CJ243="","",$CJ243/(1+IF($CL243="",0,$CL243))),IF(OR($F243="",$I243=""),"",$F243*$I243)))),_xlpm.gtag,IF(OR($A243="",NOT(OR($B243="ATS",$B243="MTS"))),"",IFERROR(_xlfn.XLOOKUP($A243,Dashboard!$A$101:$A$350,Dashboard!$L$101:$L$350,"")&amp;"","")),_xlpm.gkva,IF(_xlpm.gtag="",0,IFERROR(N(_xlfn.XLOOKUP(_xlpm.gtag,Generator!$B$53:$B$58,Generator!$S$53:$S$58,0)),0)),_xlpm.gxd,IF(_xlpm.gtag="",0,IFERROR(N(_xlfn.XLOOKUP(_xlpm.gtag,Generator!$B$53:$B$58,Generator!$U$53:$U$58,0)),0)),_xlpm.gamp,IF(OR(_xlpm.gkva=0,_xlpm.gxd=0,N($D243)=0),0,ROUND(_xlpm.gkva*1000/(IF(N($CB243)=1,1,SQRT(3))*$D243*_xlpm.gxd),0)),IF(OR(_xlpm.gamp=0,NOT(ISNUMBER(_xlpm.base))),_xlpm.base,MAX(_xlpm.base,_xlpm.gamp))),_xlpm.ulim,IF(OR($A243="",$B243&lt;&gt;"UPS"),"",IFERROR(IF(_xlfn.XLOOKUP($A243,UPS!$B$57:$B$64,UPS!$E$57:$E$64,"")="None",_xlfn.XLOOKUP($A243,UPS!$B$57:$B$64,UPS!$U$57:$U$64,""),""),"")),IF(AND(ISNUMBER(_xlpm.v),ISNUMBER(_xlpm.ulim)),MIN(_xlpm.v,_xlpm.ulim),_xlpm.v))</f>
        <v/>
      </c>
      <c r="K243" s="176"/>
      <c r="L243" s="177" t="str">
        <f t="shared" si="55"/>
        <v/>
      </c>
      <c r="M243" s="177" t="str">
        <f t="shared" si="56"/>
        <v/>
      </c>
      <c r="N243" s="380" t="str">
        <f>IF($A243="","",IF($C243=0,_xlfn.LET(_xlpm.x,IFERROR(_xlfn.XLOOKUP($A243,Util_Tags,Util_XR),""),IF(N(_xlpm.x)=0,Xfmr_DefXR,_xlpm.x)),IF(LEFT($A243,2)="T-",IFERROR(_xlfn.XLOOKUP($A243,Transformers!$A$6:$A$105,Transformers!$AH$6:$AH$105),Xfmr_DefXR),IFERROR(_xlfn.XLOOKUP($E243,$A$6:$A$255,$N$6:$N$255),Xfmr_DefXR))))</f>
        <v/>
      </c>
      <c r="O243" s="177" t="str">
        <f t="shared" si="57"/>
        <v/>
      </c>
      <c r="P243" s="210" t="str">
        <f>IF($A243="","",IF(LEFT($A243,2)="T-",IF($CO243="","",_xlfn.LET(_xlpm.k,IFERROR(_xlfn.XLOOKUP($A243,Transformers!$A$6:$A$105,Transformers!$G$6:$G$105),""),_xlpm.sv,IFERROR(_xlfn.XLOOKUP($A243,Transformers!$A$6:$A$105,Transformers!$E$6:$E$105),""),IF(OR(NOT(ISNUMBER(_xlpm.k)),NOT(ISNUMBER(_xlpm.sv)),_xlpm.sv=0),"",_xlfn.LET(_xlpm.iInf,(_xlpm.k*1000/(_xlpm.sv/2))*100/$CO243,_xlpm.pri,IF(OR($CK243="",$CK243=0),"",$CK243/2),_xlpm.base,IF(_xlpm.pri="",_xlpm.iInf,_xlpm.iInf/(1+_xlpm.iInf/_xlpm.pri)),_xlpm.base+IF($L243="",0,$L243))))),IF($CP243="","",_xlfn.LET(_xlpm.pI,IFERROR(_xlfn.XLOOKUP($E243,$A$6:$A$255,$P$6:$P$255),""),IF(NOT(ISNUMBER(_xlpm.pI)),"",_xlpm.pI/(1+$CP243)+IF($L243="",0,$L243))))))</f>
        <v/>
      </c>
      <c r="Q243" s="210" t="str">
        <f t="shared" si="58"/>
        <v/>
      </c>
      <c r="R243" s="177" t="str">
        <f>IF($A243="","",IF(OR($C243=0,LEFT($A243,2)="T-"),"",IFERROR(_xlfn.LET(_xlpm.v,_xlfn.XLOOKUP($A243,Dashboard!$A$101:$A$350,Dashboard!$K$101:$K$350),IF(ISNUMBER(_xlpm.v),_xlpm.v,"")),"")))</f>
        <v/>
      </c>
      <c r="S243" s="211" t="str">
        <f t="shared" si="59"/>
        <v/>
      </c>
      <c r="T243" s="25" t="str">
        <f t="shared" si="60"/>
        <v/>
      </c>
      <c r="U243" s="364"/>
      <c r="BV243" s="20" t="str">
        <f>IF($A243="","",IFERROR(_xlfn.XLOOKUP("F-"&amp;$A243,'Feeder Schedule'!$B$5:$B$254,'Feeder Schedule'!$H$5:$H$254),""))</f>
        <v/>
      </c>
      <c r="BW243" s="20" t="str">
        <f>IF($A243="","",IFERROR(_xlfn.XLOOKUP("F-"&amp;$A243,'Feeder Schedule'!$B$5:$B$254,'Feeder Schedule'!$BV$5:$BV$254),""))</f>
        <v/>
      </c>
      <c r="BX243" s="20" t="str">
        <f>IF($A243="","",IFERROR(_xlfn.LET(_xlpm.v,_xlfn.XLOOKUP("F-"&amp;$A243,'Feeder Schedule'!$B$5:$B$254,'Feeder Schedule'!$M$5:$M$254),IF(OR(_xlpm.v="",_xlpm.v=0),Cfg_Conduit,_xlpm.v)),""))</f>
        <v/>
      </c>
      <c r="BY243" s="20" t="str">
        <f>IF($A243="","",IFERROR(_xlfn.XLOOKUP("F-"&amp;$A243,'Feeder Schedule'!$B$5:$B$254,'Feeder Schedule'!$O$5:$O$254),""))</f>
        <v/>
      </c>
      <c r="BZ243" s="20" t="str">
        <f>IF($A243="","",IFERROR(_xlfn.XLOOKUP("F-"&amp;$A243,'Feeder Schedule'!$B$5:$B$254,'Feeder Schedule'!$CH$5:$CH$254),""))</f>
        <v/>
      </c>
      <c r="CA243" s="20" t="str">
        <f>IF($A243="","",IFERROR(_xlfn.XLOOKUP("F-"&amp;$A243,'Feeder Schedule'!$B$5:$B$254,'Feeder Schedule'!$F$5:$F$254),""))</f>
        <v/>
      </c>
      <c r="CB243" s="20" t="str">
        <f>IF($A243="","",IFERROR(_xlfn.XLOOKUP("F-"&amp;$A243,'Feeder Schedule'!$B$5:$B$254,'Feeder Schedule'!$G$5:$G$254),""))</f>
        <v/>
      </c>
      <c r="CD243" s="20" t="str" cm="1">
        <f t="array" ref="CD243">IFERROR(IF($A243="","",INDEX(_xlfn.ANCHORARRAY($BK$4),ROW()-5,6)),"")</f>
        <v/>
      </c>
      <c r="CE243" s="20" t="str">
        <f t="shared" si="63"/>
        <v/>
      </c>
      <c r="CF243" s="20" t="str">
        <f t="shared" si="64"/>
        <v/>
      </c>
      <c r="CG243" s="20" t="str">
        <f t="shared" si="61"/>
        <v/>
      </c>
      <c r="CH243" s="20" t="str" cm="1">
        <f t="array" ref="CH243">IF(OR($A243="",$BZ243="",$BW243="",$BX243=""),"",_xlfn.LET(_xlpm.mag,IFERROR(_xlfn.XLOOKUP($BX243,Race_Raceway,Race_Mag),""),IF(_xlpm.mag="","",IFERROR(INDEX(Cond_Table,MATCH($BZ243,Cond_Size,0),IF(UPPER($BW243)="AL",IF(_xlpm.mag="Y",10,12),IF(_xlpm.mag="Y",9,11))),""))))</f>
        <v/>
      </c>
      <c r="CI243" s="20" t="str">
        <f t="shared" si="62"/>
        <v/>
      </c>
      <c r="CJ243" s="20" t="str">
        <f>IF(OR($A243="",LEFT($A243,2)&lt;&gt;"T-"),"",IFERROR(_xlfn.LET(_xlpm.fla,_xlfn.XLOOKUP($A243,Transformers!$A$6:$A$105,Transformers!$AK$6:$AK$105),_xlpm.z,_xlfn.XLOOKUP($A243,Transformers!$A$6:$A$105,Transformers!$AX$6:$AX$105),IF(OR(_xlpm.fla="",_xlpm.z="",_xlpm.z=0),"",_xlpm.fla*100/_xlpm.z)),""))</f>
        <v/>
      </c>
      <c r="CK243" s="20" t="str">
        <f t="shared" si="65"/>
        <v/>
      </c>
      <c r="CL243" s="20" t="str">
        <f t="shared" si="66"/>
        <v/>
      </c>
      <c r="CM243" s="373"/>
      <c r="CO243" s="20" t="str">
        <f>IF(OR($A243="",LEFT($A243,2)&lt;&gt;"T-"),"",_xlfn.LET(_xlpm.ph,IFERROR(_xlfn.XLOOKUP($A243,Transformers!$A$6:$A$105,Transformers!$C$6:$C$105),""),_xlpm.rr,IFERROR(_xlfn.XLOOKUP($A243,Transformers!$A$6:$A$105,Transformers!$AG$6:$AG$105),""),_xlpm.xx,IFERROR(_xlfn.XLOOKUP($A243,Transformers!$A$6:$A$105,Transformers!$AI$6:$AI$105),""),IF(OR(_xlpm.ph&lt;&gt;1,NOT(ISNUMBER(_xlpm.rr)),NOT(ISNUMBER(_xlpm.xx))),"",SQRT((1.5*_xlpm.rr)^2+(1.2*_xlpm.xx)^2))))</f>
        <v/>
      </c>
      <c r="CP243" s="20" t="str">
        <f t="shared" si="67"/>
        <v/>
      </c>
    </row>
    <row r="244" spans="1:94" ht="15" customHeight="1" x14ac:dyDescent="0.45">
      <c r="A244" s="275" t="str" cm="1">
        <f t="array" ref="A244">IFERROR(IF(INDEX(_xlfn.ANCHORARRAY($BK$4),ROW()-5,1)="","",INDEX(_xlfn.ANCHORARRAY($BK$4),ROW()-5,1)),"")</f>
        <v/>
      </c>
      <c r="B244" s="25" t="str" cm="1">
        <f t="array" ref="B244">IFERROR(IF($A244="","",INDEX(_xlfn.ANCHORARRAY($BK$4),ROW()-5,5)),"")</f>
        <v/>
      </c>
      <c r="C244" s="178" t="str" cm="1">
        <f t="array" ref="C244">IFERROR(IF($A244="","",INDEX(_xlfn.ANCHORARRAY($BK$4),ROW()-5,7)),"")</f>
        <v/>
      </c>
      <c r="D244" s="177" t="str" cm="1">
        <f t="array" ref="D244">IFERROR(IF($A244="","",INDEX(_xlfn.ANCHORARRAY($BK$4),ROW()-5,3)),"")</f>
        <v/>
      </c>
      <c r="E244" s="25" t="str" cm="1">
        <f t="array" ref="E244">IFERROR(IF($A244="","",INDEX(_xlfn.ANCHORARRAY($BK$4),ROW()-5,2)),"")</f>
        <v/>
      </c>
      <c r="F244" s="177" t="str">
        <f t="shared" si="51"/>
        <v/>
      </c>
      <c r="G244" s="275" t="str">
        <f t="shared" si="52"/>
        <v/>
      </c>
      <c r="H244" s="180" t="str">
        <f t="shared" si="53"/>
        <v/>
      </c>
      <c r="I244" s="180" t="str">
        <f t="shared" si="54"/>
        <v/>
      </c>
      <c r="J244" s="177" t="str">
        <f>_xlfn.LET(_xlpm.v,_xlfn.LET(_xlpm.base,IF($A244="","",IF($C244=0,IFERROR(_xlfn.XLOOKUP($A244,Util_Tags,Util_SCAEff),""),IF(LEFT($A244,2)="T-",IF($CJ244="","",$CJ244/(1+IF($CL244="",0,$CL244))),IF(OR($F244="",$I244=""),"",$F244*$I244)))),_xlpm.gtag,IF(OR($A244="",NOT(OR($B244="ATS",$B244="MTS"))),"",IFERROR(_xlfn.XLOOKUP($A244,Dashboard!$A$101:$A$350,Dashboard!$L$101:$L$350,"")&amp;"","")),_xlpm.gkva,IF(_xlpm.gtag="",0,IFERROR(N(_xlfn.XLOOKUP(_xlpm.gtag,Generator!$B$53:$B$58,Generator!$S$53:$S$58,0)),0)),_xlpm.gxd,IF(_xlpm.gtag="",0,IFERROR(N(_xlfn.XLOOKUP(_xlpm.gtag,Generator!$B$53:$B$58,Generator!$U$53:$U$58,0)),0)),_xlpm.gamp,IF(OR(_xlpm.gkva=0,_xlpm.gxd=0,N($D244)=0),0,ROUND(_xlpm.gkva*1000/(IF(N($CB244)=1,1,SQRT(3))*$D244*_xlpm.gxd),0)),IF(OR(_xlpm.gamp=0,NOT(ISNUMBER(_xlpm.base))),_xlpm.base,MAX(_xlpm.base,_xlpm.gamp))),_xlpm.ulim,IF(OR($A244="",$B244&lt;&gt;"UPS"),"",IFERROR(IF(_xlfn.XLOOKUP($A244,UPS!$B$57:$B$64,UPS!$E$57:$E$64,"")="None",_xlfn.XLOOKUP($A244,UPS!$B$57:$B$64,UPS!$U$57:$U$64,""),""),"")),IF(AND(ISNUMBER(_xlpm.v),ISNUMBER(_xlpm.ulim)),MIN(_xlpm.v,_xlpm.ulim),_xlpm.v))</f>
        <v/>
      </c>
      <c r="K244" s="176"/>
      <c r="L244" s="177" t="str">
        <f t="shared" si="55"/>
        <v/>
      </c>
      <c r="M244" s="177" t="str">
        <f t="shared" si="56"/>
        <v/>
      </c>
      <c r="N244" s="380" t="str">
        <f>IF($A244="","",IF($C244=0,_xlfn.LET(_xlpm.x,IFERROR(_xlfn.XLOOKUP($A244,Util_Tags,Util_XR),""),IF(N(_xlpm.x)=0,Xfmr_DefXR,_xlpm.x)),IF(LEFT($A244,2)="T-",IFERROR(_xlfn.XLOOKUP($A244,Transformers!$A$6:$A$105,Transformers!$AH$6:$AH$105),Xfmr_DefXR),IFERROR(_xlfn.XLOOKUP($E244,$A$6:$A$255,$N$6:$N$255),Xfmr_DefXR))))</f>
        <v/>
      </c>
      <c r="O244" s="177" t="str">
        <f t="shared" si="57"/>
        <v/>
      </c>
      <c r="P244" s="210" t="str">
        <f>IF($A244="","",IF(LEFT($A244,2)="T-",IF($CO244="","",_xlfn.LET(_xlpm.k,IFERROR(_xlfn.XLOOKUP($A244,Transformers!$A$6:$A$105,Transformers!$G$6:$G$105),""),_xlpm.sv,IFERROR(_xlfn.XLOOKUP($A244,Transformers!$A$6:$A$105,Transformers!$E$6:$E$105),""),IF(OR(NOT(ISNUMBER(_xlpm.k)),NOT(ISNUMBER(_xlpm.sv)),_xlpm.sv=0),"",_xlfn.LET(_xlpm.iInf,(_xlpm.k*1000/(_xlpm.sv/2))*100/$CO244,_xlpm.pri,IF(OR($CK244="",$CK244=0),"",$CK244/2),_xlpm.base,IF(_xlpm.pri="",_xlpm.iInf,_xlpm.iInf/(1+_xlpm.iInf/_xlpm.pri)),_xlpm.base+IF($L244="",0,$L244))))),IF($CP244="","",_xlfn.LET(_xlpm.pI,IFERROR(_xlfn.XLOOKUP($E244,$A$6:$A$255,$P$6:$P$255),""),IF(NOT(ISNUMBER(_xlpm.pI)),"",_xlpm.pI/(1+$CP244)+IF($L244="",0,$L244))))))</f>
        <v/>
      </c>
      <c r="Q244" s="210" t="str">
        <f t="shared" si="58"/>
        <v/>
      </c>
      <c r="R244" s="177" t="str">
        <f>IF($A244="","",IF(OR($C244=0,LEFT($A244,2)="T-"),"",IFERROR(_xlfn.LET(_xlpm.v,_xlfn.XLOOKUP($A244,Dashboard!$A$101:$A$350,Dashboard!$K$101:$K$350),IF(ISNUMBER(_xlpm.v),_xlpm.v,"")),"")))</f>
        <v/>
      </c>
      <c r="S244" s="211" t="str">
        <f t="shared" si="59"/>
        <v/>
      </c>
      <c r="T244" s="25" t="str">
        <f t="shared" si="60"/>
        <v/>
      </c>
      <c r="U244" s="364"/>
      <c r="BV244" s="20" t="str">
        <f>IF($A244="","",IFERROR(_xlfn.XLOOKUP("F-"&amp;$A244,'Feeder Schedule'!$B$5:$B$254,'Feeder Schedule'!$H$5:$H$254),""))</f>
        <v/>
      </c>
      <c r="BW244" s="20" t="str">
        <f>IF($A244="","",IFERROR(_xlfn.XLOOKUP("F-"&amp;$A244,'Feeder Schedule'!$B$5:$B$254,'Feeder Schedule'!$BV$5:$BV$254),""))</f>
        <v/>
      </c>
      <c r="BX244" s="20" t="str">
        <f>IF($A244="","",IFERROR(_xlfn.LET(_xlpm.v,_xlfn.XLOOKUP("F-"&amp;$A244,'Feeder Schedule'!$B$5:$B$254,'Feeder Schedule'!$M$5:$M$254),IF(OR(_xlpm.v="",_xlpm.v=0),Cfg_Conduit,_xlpm.v)),""))</f>
        <v/>
      </c>
      <c r="BY244" s="20" t="str">
        <f>IF($A244="","",IFERROR(_xlfn.XLOOKUP("F-"&amp;$A244,'Feeder Schedule'!$B$5:$B$254,'Feeder Schedule'!$O$5:$O$254),""))</f>
        <v/>
      </c>
      <c r="BZ244" s="20" t="str">
        <f>IF($A244="","",IFERROR(_xlfn.XLOOKUP("F-"&amp;$A244,'Feeder Schedule'!$B$5:$B$254,'Feeder Schedule'!$CH$5:$CH$254),""))</f>
        <v/>
      </c>
      <c r="CA244" s="20" t="str">
        <f>IF($A244="","",IFERROR(_xlfn.XLOOKUP("F-"&amp;$A244,'Feeder Schedule'!$B$5:$B$254,'Feeder Schedule'!$F$5:$F$254),""))</f>
        <v/>
      </c>
      <c r="CB244" s="20" t="str">
        <f>IF($A244="","",IFERROR(_xlfn.XLOOKUP("F-"&amp;$A244,'Feeder Schedule'!$B$5:$B$254,'Feeder Schedule'!$G$5:$G$254),""))</f>
        <v/>
      </c>
      <c r="CD244" s="20" t="str" cm="1">
        <f t="array" ref="CD244">IFERROR(IF($A244="","",INDEX(_xlfn.ANCHORARRAY($BK$4),ROW()-5,6)),"")</f>
        <v/>
      </c>
      <c r="CE244" s="20" t="str">
        <f t="shared" si="63"/>
        <v/>
      </c>
      <c r="CF244" s="20" t="str">
        <f t="shared" si="64"/>
        <v/>
      </c>
      <c r="CG244" s="20" t="str">
        <f t="shared" si="61"/>
        <v/>
      </c>
      <c r="CH244" s="20" t="str" cm="1">
        <f t="array" ref="CH244">IF(OR($A244="",$BZ244="",$BW244="",$BX244=""),"",_xlfn.LET(_xlpm.mag,IFERROR(_xlfn.XLOOKUP($BX244,Race_Raceway,Race_Mag),""),IF(_xlpm.mag="","",IFERROR(INDEX(Cond_Table,MATCH($BZ244,Cond_Size,0),IF(UPPER($BW244)="AL",IF(_xlpm.mag="Y",10,12),IF(_xlpm.mag="Y",9,11))),""))))</f>
        <v/>
      </c>
      <c r="CI244" s="20" t="str">
        <f t="shared" si="62"/>
        <v/>
      </c>
      <c r="CJ244" s="20" t="str">
        <f>IF(OR($A244="",LEFT($A244,2)&lt;&gt;"T-"),"",IFERROR(_xlfn.LET(_xlpm.fla,_xlfn.XLOOKUP($A244,Transformers!$A$6:$A$105,Transformers!$AK$6:$AK$105),_xlpm.z,_xlfn.XLOOKUP($A244,Transformers!$A$6:$A$105,Transformers!$AX$6:$AX$105),IF(OR(_xlpm.fla="",_xlpm.z="",_xlpm.z=0),"",_xlpm.fla*100/_xlpm.z)),""))</f>
        <v/>
      </c>
      <c r="CK244" s="20" t="str">
        <f t="shared" si="65"/>
        <v/>
      </c>
      <c r="CL244" s="20" t="str">
        <f t="shared" si="66"/>
        <v/>
      </c>
      <c r="CM244" s="373"/>
      <c r="CO244" s="20" t="str">
        <f>IF(OR($A244="",LEFT($A244,2)&lt;&gt;"T-"),"",_xlfn.LET(_xlpm.ph,IFERROR(_xlfn.XLOOKUP($A244,Transformers!$A$6:$A$105,Transformers!$C$6:$C$105),""),_xlpm.rr,IFERROR(_xlfn.XLOOKUP($A244,Transformers!$A$6:$A$105,Transformers!$AG$6:$AG$105),""),_xlpm.xx,IFERROR(_xlfn.XLOOKUP($A244,Transformers!$A$6:$A$105,Transformers!$AI$6:$AI$105),""),IF(OR(_xlpm.ph&lt;&gt;1,NOT(ISNUMBER(_xlpm.rr)),NOT(ISNUMBER(_xlpm.xx))),"",SQRT((1.5*_xlpm.rr)^2+(1.2*_xlpm.xx)^2))))</f>
        <v/>
      </c>
      <c r="CP244" s="20" t="str">
        <f t="shared" si="67"/>
        <v/>
      </c>
    </row>
    <row r="245" spans="1:94" ht="15" customHeight="1" x14ac:dyDescent="0.45">
      <c r="A245" s="275" t="str" cm="1">
        <f t="array" ref="A245">IFERROR(IF(INDEX(_xlfn.ANCHORARRAY($BK$4),ROW()-5,1)="","",INDEX(_xlfn.ANCHORARRAY($BK$4),ROW()-5,1)),"")</f>
        <v/>
      </c>
      <c r="B245" s="25" t="str" cm="1">
        <f t="array" ref="B245">IFERROR(IF($A245="","",INDEX(_xlfn.ANCHORARRAY($BK$4),ROW()-5,5)),"")</f>
        <v/>
      </c>
      <c r="C245" s="178" t="str" cm="1">
        <f t="array" ref="C245">IFERROR(IF($A245="","",INDEX(_xlfn.ANCHORARRAY($BK$4),ROW()-5,7)),"")</f>
        <v/>
      </c>
      <c r="D245" s="177" t="str" cm="1">
        <f t="array" ref="D245">IFERROR(IF($A245="","",INDEX(_xlfn.ANCHORARRAY($BK$4),ROW()-5,3)),"")</f>
        <v/>
      </c>
      <c r="E245" s="25" t="str" cm="1">
        <f t="array" ref="E245">IFERROR(IF($A245="","",INDEX(_xlfn.ANCHORARRAY($BK$4),ROW()-5,2)),"")</f>
        <v/>
      </c>
      <c r="F245" s="177" t="str">
        <f t="shared" si="51"/>
        <v/>
      </c>
      <c r="G245" s="275" t="str">
        <f t="shared" si="52"/>
        <v/>
      </c>
      <c r="H245" s="180" t="str">
        <f t="shared" si="53"/>
        <v/>
      </c>
      <c r="I245" s="180" t="str">
        <f t="shared" si="54"/>
        <v/>
      </c>
      <c r="J245" s="177" t="str">
        <f>_xlfn.LET(_xlpm.v,_xlfn.LET(_xlpm.base,IF($A245="","",IF($C245=0,IFERROR(_xlfn.XLOOKUP($A245,Util_Tags,Util_SCAEff),""),IF(LEFT($A245,2)="T-",IF($CJ245="","",$CJ245/(1+IF($CL245="",0,$CL245))),IF(OR($F245="",$I245=""),"",$F245*$I245)))),_xlpm.gtag,IF(OR($A245="",NOT(OR($B245="ATS",$B245="MTS"))),"",IFERROR(_xlfn.XLOOKUP($A245,Dashboard!$A$101:$A$350,Dashboard!$L$101:$L$350,"")&amp;"","")),_xlpm.gkva,IF(_xlpm.gtag="",0,IFERROR(N(_xlfn.XLOOKUP(_xlpm.gtag,Generator!$B$53:$B$58,Generator!$S$53:$S$58,0)),0)),_xlpm.gxd,IF(_xlpm.gtag="",0,IFERROR(N(_xlfn.XLOOKUP(_xlpm.gtag,Generator!$B$53:$B$58,Generator!$U$53:$U$58,0)),0)),_xlpm.gamp,IF(OR(_xlpm.gkva=0,_xlpm.gxd=0,N($D245)=0),0,ROUND(_xlpm.gkva*1000/(IF(N($CB245)=1,1,SQRT(3))*$D245*_xlpm.gxd),0)),IF(OR(_xlpm.gamp=0,NOT(ISNUMBER(_xlpm.base))),_xlpm.base,MAX(_xlpm.base,_xlpm.gamp))),_xlpm.ulim,IF(OR($A245="",$B245&lt;&gt;"UPS"),"",IFERROR(IF(_xlfn.XLOOKUP($A245,UPS!$B$57:$B$64,UPS!$E$57:$E$64,"")="None",_xlfn.XLOOKUP($A245,UPS!$B$57:$B$64,UPS!$U$57:$U$64,""),""),"")),IF(AND(ISNUMBER(_xlpm.v),ISNUMBER(_xlpm.ulim)),MIN(_xlpm.v,_xlpm.ulim),_xlpm.v))</f>
        <v/>
      </c>
      <c r="K245" s="176"/>
      <c r="L245" s="177" t="str">
        <f t="shared" si="55"/>
        <v/>
      </c>
      <c r="M245" s="177" t="str">
        <f t="shared" si="56"/>
        <v/>
      </c>
      <c r="N245" s="380" t="str">
        <f>IF($A245="","",IF($C245=0,_xlfn.LET(_xlpm.x,IFERROR(_xlfn.XLOOKUP($A245,Util_Tags,Util_XR),""),IF(N(_xlpm.x)=0,Xfmr_DefXR,_xlpm.x)),IF(LEFT($A245,2)="T-",IFERROR(_xlfn.XLOOKUP($A245,Transformers!$A$6:$A$105,Transformers!$AH$6:$AH$105),Xfmr_DefXR),IFERROR(_xlfn.XLOOKUP($E245,$A$6:$A$255,$N$6:$N$255),Xfmr_DefXR))))</f>
        <v/>
      </c>
      <c r="O245" s="177" t="str">
        <f t="shared" si="57"/>
        <v/>
      </c>
      <c r="P245" s="210" t="str">
        <f>IF($A245="","",IF(LEFT($A245,2)="T-",IF($CO245="","",_xlfn.LET(_xlpm.k,IFERROR(_xlfn.XLOOKUP($A245,Transformers!$A$6:$A$105,Transformers!$G$6:$G$105),""),_xlpm.sv,IFERROR(_xlfn.XLOOKUP($A245,Transformers!$A$6:$A$105,Transformers!$E$6:$E$105),""),IF(OR(NOT(ISNUMBER(_xlpm.k)),NOT(ISNUMBER(_xlpm.sv)),_xlpm.sv=0),"",_xlfn.LET(_xlpm.iInf,(_xlpm.k*1000/(_xlpm.sv/2))*100/$CO245,_xlpm.pri,IF(OR($CK245="",$CK245=0),"",$CK245/2),_xlpm.base,IF(_xlpm.pri="",_xlpm.iInf,_xlpm.iInf/(1+_xlpm.iInf/_xlpm.pri)),_xlpm.base+IF($L245="",0,$L245))))),IF($CP245="","",_xlfn.LET(_xlpm.pI,IFERROR(_xlfn.XLOOKUP($E245,$A$6:$A$255,$P$6:$P$255),""),IF(NOT(ISNUMBER(_xlpm.pI)),"",_xlpm.pI/(1+$CP245)+IF($L245="",0,$L245))))))</f>
        <v/>
      </c>
      <c r="Q245" s="210" t="str">
        <f t="shared" si="58"/>
        <v/>
      </c>
      <c r="R245" s="177" t="str">
        <f>IF($A245="","",IF(OR($C245=0,LEFT($A245,2)="T-"),"",IFERROR(_xlfn.LET(_xlpm.v,_xlfn.XLOOKUP($A245,Dashboard!$A$101:$A$350,Dashboard!$K$101:$K$350),IF(ISNUMBER(_xlpm.v),_xlpm.v,"")),"")))</f>
        <v/>
      </c>
      <c r="S245" s="211" t="str">
        <f t="shared" si="59"/>
        <v/>
      </c>
      <c r="T245" s="25" t="str">
        <f t="shared" si="60"/>
        <v/>
      </c>
      <c r="U245" s="364"/>
      <c r="BV245" s="20" t="str">
        <f>IF($A245="","",IFERROR(_xlfn.XLOOKUP("F-"&amp;$A245,'Feeder Schedule'!$B$5:$B$254,'Feeder Schedule'!$H$5:$H$254),""))</f>
        <v/>
      </c>
      <c r="BW245" s="20" t="str">
        <f>IF($A245="","",IFERROR(_xlfn.XLOOKUP("F-"&amp;$A245,'Feeder Schedule'!$B$5:$B$254,'Feeder Schedule'!$BV$5:$BV$254),""))</f>
        <v/>
      </c>
      <c r="BX245" s="20" t="str">
        <f>IF($A245="","",IFERROR(_xlfn.LET(_xlpm.v,_xlfn.XLOOKUP("F-"&amp;$A245,'Feeder Schedule'!$B$5:$B$254,'Feeder Schedule'!$M$5:$M$254),IF(OR(_xlpm.v="",_xlpm.v=0),Cfg_Conduit,_xlpm.v)),""))</f>
        <v/>
      </c>
      <c r="BY245" s="20" t="str">
        <f>IF($A245="","",IFERROR(_xlfn.XLOOKUP("F-"&amp;$A245,'Feeder Schedule'!$B$5:$B$254,'Feeder Schedule'!$O$5:$O$254),""))</f>
        <v/>
      </c>
      <c r="BZ245" s="20" t="str">
        <f>IF($A245="","",IFERROR(_xlfn.XLOOKUP("F-"&amp;$A245,'Feeder Schedule'!$B$5:$B$254,'Feeder Schedule'!$CH$5:$CH$254),""))</f>
        <v/>
      </c>
      <c r="CA245" s="20" t="str">
        <f>IF($A245="","",IFERROR(_xlfn.XLOOKUP("F-"&amp;$A245,'Feeder Schedule'!$B$5:$B$254,'Feeder Schedule'!$F$5:$F$254),""))</f>
        <v/>
      </c>
      <c r="CB245" s="20" t="str">
        <f>IF($A245="","",IFERROR(_xlfn.XLOOKUP("F-"&amp;$A245,'Feeder Schedule'!$B$5:$B$254,'Feeder Schedule'!$G$5:$G$254),""))</f>
        <v/>
      </c>
      <c r="CD245" s="20" t="str" cm="1">
        <f t="array" ref="CD245">IFERROR(IF($A245="","",INDEX(_xlfn.ANCHORARRAY($BK$4),ROW()-5,6)),"")</f>
        <v/>
      </c>
      <c r="CE245" s="20" t="str">
        <f t="shared" si="63"/>
        <v/>
      </c>
      <c r="CF245" s="20" t="str">
        <f t="shared" si="64"/>
        <v/>
      </c>
      <c r="CG245" s="20" t="str">
        <f t="shared" si="61"/>
        <v/>
      </c>
      <c r="CH245" s="20" t="str" cm="1">
        <f t="array" ref="CH245">IF(OR($A245="",$BZ245="",$BW245="",$BX245=""),"",_xlfn.LET(_xlpm.mag,IFERROR(_xlfn.XLOOKUP($BX245,Race_Raceway,Race_Mag),""),IF(_xlpm.mag="","",IFERROR(INDEX(Cond_Table,MATCH($BZ245,Cond_Size,0),IF(UPPER($BW245)="AL",IF(_xlpm.mag="Y",10,12),IF(_xlpm.mag="Y",9,11))),""))))</f>
        <v/>
      </c>
      <c r="CI245" s="20" t="str">
        <f t="shared" si="62"/>
        <v/>
      </c>
      <c r="CJ245" s="20" t="str">
        <f>IF(OR($A245="",LEFT($A245,2)&lt;&gt;"T-"),"",IFERROR(_xlfn.LET(_xlpm.fla,_xlfn.XLOOKUP($A245,Transformers!$A$6:$A$105,Transformers!$AK$6:$AK$105),_xlpm.z,_xlfn.XLOOKUP($A245,Transformers!$A$6:$A$105,Transformers!$AX$6:$AX$105),IF(OR(_xlpm.fla="",_xlpm.z="",_xlpm.z=0),"",_xlpm.fla*100/_xlpm.z)),""))</f>
        <v/>
      </c>
      <c r="CK245" s="20" t="str">
        <f t="shared" si="65"/>
        <v/>
      </c>
      <c r="CL245" s="20" t="str">
        <f t="shared" si="66"/>
        <v/>
      </c>
      <c r="CM245" s="373"/>
      <c r="CO245" s="20" t="str">
        <f>IF(OR($A245="",LEFT($A245,2)&lt;&gt;"T-"),"",_xlfn.LET(_xlpm.ph,IFERROR(_xlfn.XLOOKUP($A245,Transformers!$A$6:$A$105,Transformers!$C$6:$C$105),""),_xlpm.rr,IFERROR(_xlfn.XLOOKUP($A245,Transformers!$A$6:$A$105,Transformers!$AG$6:$AG$105),""),_xlpm.xx,IFERROR(_xlfn.XLOOKUP($A245,Transformers!$A$6:$A$105,Transformers!$AI$6:$AI$105),""),IF(OR(_xlpm.ph&lt;&gt;1,NOT(ISNUMBER(_xlpm.rr)),NOT(ISNUMBER(_xlpm.xx))),"",SQRT((1.5*_xlpm.rr)^2+(1.2*_xlpm.xx)^2))))</f>
        <v/>
      </c>
      <c r="CP245" s="20" t="str">
        <f t="shared" si="67"/>
        <v/>
      </c>
    </row>
    <row r="246" spans="1:94" ht="15" customHeight="1" x14ac:dyDescent="0.45">
      <c r="A246" s="275" t="str" cm="1">
        <f t="array" ref="A246">IFERROR(IF(INDEX(_xlfn.ANCHORARRAY($BK$4),ROW()-5,1)="","",INDEX(_xlfn.ANCHORARRAY($BK$4),ROW()-5,1)),"")</f>
        <v/>
      </c>
      <c r="B246" s="25" t="str" cm="1">
        <f t="array" ref="B246">IFERROR(IF($A246="","",INDEX(_xlfn.ANCHORARRAY($BK$4),ROW()-5,5)),"")</f>
        <v/>
      </c>
      <c r="C246" s="178" t="str" cm="1">
        <f t="array" ref="C246">IFERROR(IF($A246="","",INDEX(_xlfn.ANCHORARRAY($BK$4),ROW()-5,7)),"")</f>
        <v/>
      </c>
      <c r="D246" s="177" t="str" cm="1">
        <f t="array" ref="D246">IFERROR(IF($A246="","",INDEX(_xlfn.ANCHORARRAY($BK$4),ROW()-5,3)),"")</f>
        <v/>
      </c>
      <c r="E246" s="25" t="str" cm="1">
        <f t="array" ref="E246">IFERROR(IF($A246="","",INDEX(_xlfn.ANCHORARRAY($BK$4),ROW()-5,2)),"")</f>
        <v/>
      </c>
      <c r="F246" s="177" t="str">
        <f t="shared" si="51"/>
        <v/>
      </c>
      <c r="G246" s="275" t="str">
        <f t="shared" si="52"/>
        <v/>
      </c>
      <c r="H246" s="180" t="str">
        <f t="shared" si="53"/>
        <v/>
      </c>
      <c r="I246" s="180" t="str">
        <f t="shared" si="54"/>
        <v/>
      </c>
      <c r="J246" s="177" t="str">
        <f>_xlfn.LET(_xlpm.v,_xlfn.LET(_xlpm.base,IF($A246="","",IF($C246=0,IFERROR(_xlfn.XLOOKUP($A246,Util_Tags,Util_SCAEff),""),IF(LEFT($A246,2)="T-",IF($CJ246="","",$CJ246/(1+IF($CL246="",0,$CL246))),IF(OR($F246="",$I246=""),"",$F246*$I246)))),_xlpm.gtag,IF(OR($A246="",NOT(OR($B246="ATS",$B246="MTS"))),"",IFERROR(_xlfn.XLOOKUP($A246,Dashboard!$A$101:$A$350,Dashboard!$L$101:$L$350,"")&amp;"","")),_xlpm.gkva,IF(_xlpm.gtag="",0,IFERROR(N(_xlfn.XLOOKUP(_xlpm.gtag,Generator!$B$53:$B$58,Generator!$S$53:$S$58,0)),0)),_xlpm.gxd,IF(_xlpm.gtag="",0,IFERROR(N(_xlfn.XLOOKUP(_xlpm.gtag,Generator!$B$53:$B$58,Generator!$U$53:$U$58,0)),0)),_xlpm.gamp,IF(OR(_xlpm.gkva=0,_xlpm.gxd=0,N($D246)=0),0,ROUND(_xlpm.gkva*1000/(IF(N($CB246)=1,1,SQRT(3))*$D246*_xlpm.gxd),0)),IF(OR(_xlpm.gamp=0,NOT(ISNUMBER(_xlpm.base))),_xlpm.base,MAX(_xlpm.base,_xlpm.gamp))),_xlpm.ulim,IF(OR($A246="",$B246&lt;&gt;"UPS"),"",IFERROR(IF(_xlfn.XLOOKUP($A246,UPS!$B$57:$B$64,UPS!$E$57:$E$64,"")="None",_xlfn.XLOOKUP($A246,UPS!$B$57:$B$64,UPS!$U$57:$U$64,""),""),"")),IF(AND(ISNUMBER(_xlpm.v),ISNUMBER(_xlpm.ulim)),MIN(_xlpm.v,_xlpm.ulim),_xlpm.v))</f>
        <v/>
      </c>
      <c r="K246" s="176"/>
      <c r="L246" s="177" t="str">
        <f t="shared" si="55"/>
        <v/>
      </c>
      <c r="M246" s="177" t="str">
        <f t="shared" si="56"/>
        <v/>
      </c>
      <c r="N246" s="380" t="str">
        <f>IF($A246="","",IF($C246=0,_xlfn.LET(_xlpm.x,IFERROR(_xlfn.XLOOKUP($A246,Util_Tags,Util_XR),""),IF(N(_xlpm.x)=0,Xfmr_DefXR,_xlpm.x)),IF(LEFT($A246,2)="T-",IFERROR(_xlfn.XLOOKUP($A246,Transformers!$A$6:$A$105,Transformers!$AH$6:$AH$105),Xfmr_DefXR),IFERROR(_xlfn.XLOOKUP($E246,$A$6:$A$255,$N$6:$N$255),Xfmr_DefXR))))</f>
        <v/>
      </c>
      <c r="O246" s="177" t="str">
        <f t="shared" si="57"/>
        <v/>
      </c>
      <c r="P246" s="210" t="str">
        <f>IF($A246="","",IF(LEFT($A246,2)="T-",IF($CO246="","",_xlfn.LET(_xlpm.k,IFERROR(_xlfn.XLOOKUP($A246,Transformers!$A$6:$A$105,Transformers!$G$6:$G$105),""),_xlpm.sv,IFERROR(_xlfn.XLOOKUP($A246,Transformers!$A$6:$A$105,Transformers!$E$6:$E$105),""),IF(OR(NOT(ISNUMBER(_xlpm.k)),NOT(ISNUMBER(_xlpm.sv)),_xlpm.sv=0),"",_xlfn.LET(_xlpm.iInf,(_xlpm.k*1000/(_xlpm.sv/2))*100/$CO246,_xlpm.pri,IF(OR($CK246="",$CK246=0),"",$CK246/2),_xlpm.base,IF(_xlpm.pri="",_xlpm.iInf,_xlpm.iInf/(1+_xlpm.iInf/_xlpm.pri)),_xlpm.base+IF($L246="",0,$L246))))),IF($CP246="","",_xlfn.LET(_xlpm.pI,IFERROR(_xlfn.XLOOKUP($E246,$A$6:$A$255,$P$6:$P$255),""),IF(NOT(ISNUMBER(_xlpm.pI)),"",_xlpm.pI/(1+$CP246)+IF($L246="",0,$L246))))))</f>
        <v/>
      </c>
      <c r="Q246" s="210" t="str">
        <f t="shared" si="58"/>
        <v/>
      </c>
      <c r="R246" s="177" t="str">
        <f>IF($A246="","",IF(OR($C246=0,LEFT($A246,2)="T-"),"",IFERROR(_xlfn.LET(_xlpm.v,_xlfn.XLOOKUP($A246,Dashboard!$A$101:$A$350,Dashboard!$K$101:$K$350),IF(ISNUMBER(_xlpm.v),_xlpm.v,"")),"")))</f>
        <v/>
      </c>
      <c r="S246" s="211" t="str">
        <f t="shared" si="59"/>
        <v/>
      </c>
      <c r="T246" s="25" t="str">
        <f t="shared" si="60"/>
        <v/>
      </c>
      <c r="U246" s="364"/>
      <c r="BV246" s="20" t="str">
        <f>IF($A246="","",IFERROR(_xlfn.XLOOKUP("F-"&amp;$A246,'Feeder Schedule'!$B$5:$B$254,'Feeder Schedule'!$H$5:$H$254),""))</f>
        <v/>
      </c>
      <c r="BW246" s="20" t="str">
        <f>IF($A246="","",IFERROR(_xlfn.XLOOKUP("F-"&amp;$A246,'Feeder Schedule'!$B$5:$B$254,'Feeder Schedule'!$BV$5:$BV$254),""))</f>
        <v/>
      </c>
      <c r="BX246" s="20" t="str">
        <f>IF($A246="","",IFERROR(_xlfn.LET(_xlpm.v,_xlfn.XLOOKUP("F-"&amp;$A246,'Feeder Schedule'!$B$5:$B$254,'Feeder Schedule'!$M$5:$M$254),IF(OR(_xlpm.v="",_xlpm.v=0),Cfg_Conduit,_xlpm.v)),""))</f>
        <v/>
      </c>
      <c r="BY246" s="20" t="str">
        <f>IF($A246="","",IFERROR(_xlfn.XLOOKUP("F-"&amp;$A246,'Feeder Schedule'!$B$5:$B$254,'Feeder Schedule'!$O$5:$O$254),""))</f>
        <v/>
      </c>
      <c r="BZ246" s="20" t="str">
        <f>IF($A246="","",IFERROR(_xlfn.XLOOKUP("F-"&amp;$A246,'Feeder Schedule'!$B$5:$B$254,'Feeder Schedule'!$CH$5:$CH$254),""))</f>
        <v/>
      </c>
      <c r="CA246" s="20" t="str">
        <f>IF($A246="","",IFERROR(_xlfn.XLOOKUP("F-"&amp;$A246,'Feeder Schedule'!$B$5:$B$254,'Feeder Schedule'!$F$5:$F$254),""))</f>
        <v/>
      </c>
      <c r="CB246" s="20" t="str">
        <f>IF($A246="","",IFERROR(_xlfn.XLOOKUP("F-"&amp;$A246,'Feeder Schedule'!$B$5:$B$254,'Feeder Schedule'!$G$5:$G$254),""))</f>
        <v/>
      </c>
      <c r="CD246" s="20" t="str" cm="1">
        <f t="array" ref="CD246">IFERROR(IF($A246="","",INDEX(_xlfn.ANCHORARRAY($BK$4),ROW()-5,6)),"")</f>
        <v/>
      </c>
      <c r="CE246" s="20" t="str">
        <f t="shared" si="63"/>
        <v/>
      </c>
      <c r="CF246" s="20" t="str">
        <f t="shared" si="64"/>
        <v/>
      </c>
      <c r="CG246" s="20" t="str">
        <f t="shared" si="61"/>
        <v/>
      </c>
      <c r="CH246" s="20" t="str" cm="1">
        <f t="array" ref="CH246">IF(OR($A246="",$BZ246="",$BW246="",$BX246=""),"",_xlfn.LET(_xlpm.mag,IFERROR(_xlfn.XLOOKUP($BX246,Race_Raceway,Race_Mag),""),IF(_xlpm.mag="","",IFERROR(INDEX(Cond_Table,MATCH($BZ246,Cond_Size,0),IF(UPPER($BW246)="AL",IF(_xlpm.mag="Y",10,12),IF(_xlpm.mag="Y",9,11))),""))))</f>
        <v/>
      </c>
      <c r="CI246" s="20" t="str">
        <f t="shared" si="62"/>
        <v/>
      </c>
      <c r="CJ246" s="20" t="str">
        <f>IF(OR($A246="",LEFT($A246,2)&lt;&gt;"T-"),"",IFERROR(_xlfn.LET(_xlpm.fla,_xlfn.XLOOKUP($A246,Transformers!$A$6:$A$105,Transformers!$AK$6:$AK$105),_xlpm.z,_xlfn.XLOOKUP($A246,Transformers!$A$6:$A$105,Transformers!$AX$6:$AX$105),IF(OR(_xlpm.fla="",_xlpm.z="",_xlpm.z=0),"",_xlpm.fla*100/_xlpm.z)),""))</f>
        <v/>
      </c>
      <c r="CK246" s="20" t="str">
        <f t="shared" si="65"/>
        <v/>
      </c>
      <c r="CL246" s="20" t="str">
        <f t="shared" si="66"/>
        <v/>
      </c>
      <c r="CM246" s="373"/>
      <c r="CO246" s="20" t="str">
        <f>IF(OR($A246="",LEFT($A246,2)&lt;&gt;"T-"),"",_xlfn.LET(_xlpm.ph,IFERROR(_xlfn.XLOOKUP($A246,Transformers!$A$6:$A$105,Transformers!$C$6:$C$105),""),_xlpm.rr,IFERROR(_xlfn.XLOOKUP($A246,Transformers!$A$6:$A$105,Transformers!$AG$6:$AG$105),""),_xlpm.xx,IFERROR(_xlfn.XLOOKUP($A246,Transformers!$A$6:$A$105,Transformers!$AI$6:$AI$105),""),IF(OR(_xlpm.ph&lt;&gt;1,NOT(ISNUMBER(_xlpm.rr)),NOT(ISNUMBER(_xlpm.xx))),"",SQRT((1.5*_xlpm.rr)^2+(1.2*_xlpm.xx)^2))))</f>
        <v/>
      </c>
      <c r="CP246" s="20" t="str">
        <f t="shared" si="67"/>
        <v/>
      </c>
    </row>
    <row r="247" spans="1:94" ht="15" customHeight="1" x14ac:dyDescent="0.45">
      <c r="A247" s="275" t="str" cm="1">
        <f t="array" ref="A247">IFERROR(IF(INDEX(_xlfn.ANCHORARRAY($BK$4),ROW()-5,1)="","",INDEX(_xlfn.ANCHORARRAY($BK$4),ROW()-5,1)),"")</f>
        <v/>
      </c>
      <c r="B247" s="25" t="str" cm="1">
        <f t="array" ref="B247">IFERROR(IF($A247="","",INDEX(_xlfn.ANCHORARRAY($BK$4),ROW()-5,5)),"")</f>
        <v/>
      </c>
      <c r="C247" s="178" t="str" cm="1">
        <f t="array" ref="C247">IFERROR(IF($A247="","",INDEX(_xlfn.ANCHORARRAY($BK$4),ROW()-5,7)),"")</f>
        <v/>
      </c>
      <c r="D247" s="177" t="str" cm="1">
        <f t="array" ref="D247">IFERROR(IF($A247="","",INDEX(_xlfn.ANCHORARRAY($BK$4),ROW()-5,3)),"")</f>
        <v/>
      </c>
      <c r="E247" s="25" t="str" cm="1">
        <f t="array" ref="E247">IFERROR(IF($A247="","",INDEX(_xlfn.ANCHORARRAY($BK$4),ROW()-5,2)),"")</f>
        <v/>
      </c>
      <c r="F247" s="177" t="str">
        <f t="shared" si="51"/>
        <v/>
      </c>
      <c r="G247" s="275" t="str">
        <f t="shared" si="52"/>
        <v/>
      </c>
      <c r="H247" s="180" t="str">
        <f t="shared" si="53"/>
        <v/>
      </c>
      <c r="I247" s="180" t="str">
        <f t="shared" si="54"/>
        <v/>
      </c>
      <c r="J247" s="177" t="str">
        <f>_xlfn.LET(_xlpm.v,_xlfn.LET(_xlpm.base,IF($A247="","",IF($C247=0,IFERROR(_xlfn.XLOOKUP($A247,Util_Tags,Util_SCAEff),""),IF(LEFT($A247,2)="T-",IF($CJ247="","",$CJ247/(1+IF($CL247="",0,$CL247))),IF(OR($F247="",$I247=""),"",$F247*$I247)))),_xlpm.gtag,IF(OR($A247="",NOT(OR($B247="ATS",$B247="MTS"))),"",IFERROR(_xlfn.XLOOKUP($A247,Dashboard!$A$101:$A$350,Dashboard!$L$101:$L$350,"")&amp;"","")),_xlpm.gkva,IF(_xlpm.gtag="",0,IFERROR(N(_xlfn.XLOOKUP(_xlpm.gtag,Generator!$B$53:$B$58,Generator!$S$53:$S$58,0)),0)),_xlpm.gxd,IF(_xlpm.gtag="",0,IFERROR(N(_xlfn.XLOOKUP(_xlpm.gtag,Generator!$B$53:$B$58,Generator!$U$53:$U$58,0)),0)),_xlpm.gamp,IF(OR(_xlpm.gkva=0,_xlpm.gxd=0,N($D247)=0),0,ROUND(_xlpm.gkva*1000/(IF(N($CB247)=1,1,SQRT(3))*$D247*_xlpm.gxd),0)),IF(OR(_xlpm.gamp=0,NOT(ISNUMBER(_xlpm.base))),_xlpm.base,MAX(_xlpm.base,_xlpm.gamp))),_xlpm.ulim,IF(OR($A247="",$B247&lt;&gt;"UPS"),"",IFERROR(IF(_xlfn.XLOOKUP($A247,UPS!$B$57:$B$64,UPS!$E$57:$E$64,"")="None",_xlfn.XLOOKUP($A247,UPS!$B$57:$B$64,UPS!$U$57:$U$64,""),""),"")),IF(AND(ISNUMBER(_xlpm.v),ISNUMBER(_xlpm.ulim)),MIN(_xlpm.v,_xlpm.ulim),_xlpm.v))</f>
        <v/>
      </c>
      <c r="K247" s="176"/>
      <c r="L247" s="177" t="str">
        <f t="shared" si="55"/>
        <v/>
      </c>
      <c r="M247" s="177" t="str">
        <f t="shared" si="56"/>
        <v/>
      </c>
      <c r="N247" s="380" t="str">
        <f>IF($A247="","",IF($C247=0,_xlfn.LET(_xlpm.x,IFERROR(_xlfn.XLOOKUP($A247,Util_Tags,Util_XR),""),IF(N(_xlpm.x)=0,Xfmr_DefXR,_xlpm.x)),IF(LEFT($A247,2)="T-",IFERROR(_xlfn.XLOOKUP($A247,Transformers!$A$6:$A$105,Transformers!$AH$6:$AH$105),Xfmr_DefXR),IFERROR(_xlfn.XLOOKUP($E247,$A$6:$A$255,$N$6:$N$255),Xfmr_DefXR))))</f>
        <v/>
      </c>
      <c r="O247" s="177" t="str">
        <f t="shared" si="57"/>
        <v/>
      </c>
      <c r="P247" s="210" t="str">
        <f>IF($A247="","",IF(LEFT($A247,2)="T-",IF($CO247="","",_xlfn.LET(_xlpm.k,IFERROR(_xlfn.XLOOKUP($A247,Transformers!$A$6:$A$105,Transformers!$G$6:$G$105),""),_xlpm.sv,IFERROR(_xlfn.XLOOKUP($A247,Transformers!$A$6:$A$105,Transformers!$E$6:$E$105),""),IF(OR(NOT(ISNUMBER(_xlpm.k)),NOT(ISNUMBER(_xlpm.sv)),_xlpm.sv=0),"",_xlfn.LET(_xlpm.iInf,(_xlpm.k*1000/(_xlpm.sv/2))*100/$CO247,_xlpm.pri,IF(OR($CK247="",$CK247=0),"",$CK247/2),_xlpm.base,IF(_xlpm.pri="",_xlpm.iInf,_xlpm.iInf/(1+_xlpm.iInf/_xlpm.pri)),_xlpm.base+IF($L247="",0,$L247))))),IF($CP247="","",_xlfn.LET(_xlpm.pI,IFERROR(_xlfn.XLOOKUP($E247,$A$6:$A$255,$P$6:$P$255),""),IF(NOT(ISNUMBER(_xlpm.pI)),"",_xlpm.pI/(1+$CP247)+IF($L247="",0,$L247))))))</f>
        <v/>
      </c>
      <c r="Q247" s="210" t="str">
        <f t="shared" si="58"/>
        <v/>
      </c>
      <c r="R247" s="177" t="str">
        <f>IF($A247="","",IF(OR($C247=0,LEFT($A247,2)="T-"),"",IFERROR(_xlfn.LET(_xlpm.v,_xlfn.XLOOKUP($A247,Dashboard!$A$101:$A$350,Dashboard!$K$101:$K$350),IF(ISNUMBER(_xlpm.v),_xlpm.v,"")),"")))</f>
        <v/>
      </c>
      <c r="S247" s="211" t="str">
        <f t="shared" si="59"/>
        <v/>
      </c>
      <c r="T247" s="25" t="str">
        <f t="shared" si="60"/>
        <v/>
      </c>
      <c r="U247" s="364"/>
      <c r="BV247" s="20" t="str">
        <f>IF($A247="","",IFERROR(_xlfn.XLOOKUP("F-"&amp;$A247,'Feeder Schedule'!$B$5:$B$254,'Feeder Schedule'!$H$5:$H$254),""))</f>
        <v/>
      </c>
      <c r="BW247" s="20" t="str">
        <f>IF($A247="","",IFERROR(_xlfn.XLOOKUP("F-"&amp;$A247,'Feeder Schedule'!$B$5:$B$254,'Feeder Schedule'!$BV$5:$BV$254),""))</f>
        <v/>
      </c>
      <c r="BX247" s="20" t="str">
        <f>IF($A247="","",IFERROR(_xlfn.LET(_xlpm.v,_xlfn.XLOOKUP("F-"&amp;$A247,'Feeder Schedule'!$B$5:$B$254,'Feeder Schedule'!$M$5:$M$254),IF(OR(_xlpm.v="",_xlpm.v=0),Cfg_Conduit,_xlpm.v)),""))</f>
        <v/>
      </c>
      <c r="BY247" s="20" t="str">
        <f>IF($A247="","",IFERROR(_xlfn.XLOOKUP("F-"&amp;$A247,'Feeder Schedule'!$B$5:$B$254,'Feeder Schedule'!$O$5:$O$254),""))</f>
        <v/>
      </c>
      <c r="BZ247" s="20" t="str">
        <f>IF($A247="","",IFERROR(_xlfn.XLOOKUP("F-"&amp;$A247,'Feeder Schedule'!$B$5:$B$254,'Feeder Schedule'!$CH$5:$CH$254),""))</f>
        <v/>
      </c>
      <c r="CA247" s="20" t="str">
        <f>IF($A247="","",IFERROR(_xlfn.XLOOKUP("F-"&amp;$A247,'Feeder Schedule'!$B$5:$B$254,'Feeder Schedule'!$F$5:$F$254),""))</f>
        <v/>
      </c>
      <c r="CB247" s="20" t="str">
        <f>IF($A247="","",IFERROR(_xlfn.XLOOKUP("F-"&amp;$A247,'Feeder Schedule'!$B$5:$B$254,'Feeder Schedule'!$G$5:$G$254),""))</f>
        <v/>
      </c>
      <c r="CD247" s="20" t="str" cm="1">
        <f t="array" ref="CD247">IFERROR(IF($A247="","",INDEX(_xlfn.ANCHORARRAY($BK$4),ROW()-5,6)),"")</f>
        <v/>
      </c>
      <c r="CE247" s="20" t="str">
        <f t="shared" si="63"/>
        <v/>
      </c>
      <c r="CF247" s="20" t="str">
        <f t="shared" si="64"/>
        <v/>
      </c>
      <c r="CG247" s="20" t="str">
        <f t="shared" si="61"/>
        <v/>
      </c>
      <c r="CH247" s="20" t="str" cm="1">
        <f t="array" ref="CH247">IF(OR($A247="",$BZ247="",$BW247="",$BX247=""),"",_xlfn.LET(_xlpm.mag,IFERROR(_xlfn.XLOOKUP($BX247,Race_Raceway,Race_Mag),""),IF(_xlpm.mag="","",IFERROR(INDEX(Cond_Table,MATCH($BZ247,Cond_Size,0),IF(UPPER($BW247)="AL",IF(_xlpm.mag="Y",10,12),IF(_xlpm.mag="Y",9,11))),""))))</f>
        <v/>
      </c>
      <c r="CI247" s="20" t="str">
        <f t="shared" si="62"/>
        <v/>
      </c>
      <c r="CJ247" s="20" t="str">
        <f>IF(OR($A247="",LEFT($A247,2)&lt;&gt;"T-"),"",IFERROR(_xlfn.LET(_xlpm.fla,_xlfn.XLOOKUP($A247,Transformers!$A$6:$A$105,Transformers!$AK$6:$AK$105),_xlpm.z,_xlfn.XLOOKUP($A247,Transformers!$A$6:$A$105,Transformers!$AX$6:$AX$105),IF(OR(_xlpm.fla="",_xlpm.z="",_xlpm.z=0),"",_xlpm.fla*100/_xlpm.z)),""))</f>
        <v/>
      </c>
      <c r="CK247" s="20" t="str">
        <f t="shared" si="65"/>
        <v/>
      </c>
      <c r="CL247" s="20" t="str">
        <f t="shared" si="66"/>
        <v/>
      </c>
      <c r="CM247" s="373"/>
      <c r="CO247" s="20" t="str">
        <f>IF(OR($A247="",LEFT($A247,2)&lt;&gt;"T-"),"",_xlfn.LET(_xlpm.ph,IFERROR(_xlfn.XLOOKUP($A247,Transformers!$A$6:$A$105,Transformers!$C$6:$C$105),""),_xlpm.rr,IFERROR(_xlfn.XLOOKUP($A247,Transformers!$A$6:$A$105,Transformers!$AG$6:$AG$105),""),_xlpm.xx,IFERROR(_xlfn.XLOOKUP($A247,Transformers!$A$6:$A$105,Transformers!$AI$6:$AI$105),""),IF(OR(_xlpm.ph&lt;&gt;1,NOT(ISNUMBER(_xlpm.rr)),NOT(ISNUMBER(_xlpm.xx))),"",SQRT((1.5*_xlpm.rr)^2+(1.2*_xlpm.xx)^2))))</f>
        <v/>
      </c>
      <c r="CP247" s="20" t="str">
        <f t="shared" si="67"/>
        <v/>
      </c>
    </row>
    <row r="248" spans="1:94" ht="15" customHeight="1" x14ac:dyDescent="0.45">
      <c r="A248" s="275" t="str" cm="1">
        <f t="array" ref="A248">IFERROR(IF(INDEX(_xlfn.ANCHORARRAY($BK$4),ROW()-5,1)="","",INDEX(_xlfn.ANCHORARRAY($BK$4),ROW()-5,1)),"")</f>
        <v/>
      </c>
      <c r="B248" s="25" t="str" cm="1">
        <f t="array" ref="B248">IFERROR(IF($A248="","",INDEX(_xlfn.ANCHORARRAY($BK$4),ROW()-5,5)),"")</f>
        <v/>
      </c>
      <c r="C248" s="178" t="str" cm="1">
        <f t="array" ref="C248">IFERROR(IF($A248="","",INDEX(_xlfn.ANCHORARRAY($BK$4),ROW()-5,7)),"")</f>
        <v/>
      </c>
      <c r="D248" s="177" t="str" cm="1">
        <f t="array" ref="D248">IFERROR(IF($A248="","",INDEX(_xlfn.ANCHORARRAY($BK$4),ROW()-5,3)),"")</f>
        <v/>
      </c>
      <c r="E248" s="25" t="str" cm="1">
        <f t="array" ref="E248">IFERROR(IF($A248="","",INDEX(_xlfn.ANCHORARRAY($BK$4),ROW()-5,2)),"")</f>
        <v/>
      </c>
      <c r="F248" s="177" t="str">
        <f t="shared" si="51"/>
        <v/>
      </c>
      <c r="G248" s="275" t="str">
        <f t="shared" si="52"/>
        <v/>
      </c>
      <c r="H248" s="180" t="str">
        <f t="shared" si="53"/>
        <v/>
      </c>
      <c r="I248" s="180" t="str">
        <f t="shared" si="54"/>
        <v/>
      </c>
      <c r="J248" s="177" t="str">
        <f>_xlfn.LET(_xlpm.v,_xlfn.LET(_xlpm.base,IF($A248="","",IF($C248=0,IFERROR(_xlfn.XLOOKUP($A248,Util_Tags,Util_SCAEff),""),IF(LEFT($A248,2)="T-",IF($CJ248="","",$CJ248/(1+IF($CL248="",0,$CL248))),IF(OR($F248="",$I248=""),"",$F248*$I248)))),_xlpm.gtag,IF(OR($A248="",NOT(OR($B248="ATS",$B248="MTS"))),"",IFERROR(_xlfn.XLOOKUP($A248,Dashboard!$A$101:$A$350,Dashboard!$L$101:$L$350,"")&amp;"","")),_xlpm.gkva,IF(_xlpm.gtag="",0,IFERROR(N(_xlfn.XLOOKUP(_xlpm.gtag,Generator!$B$53:$B$58,Generator!$S$53:$S$58,0)),0)),_xlpm.gxd,IF(_xlpm.gtag="",0,IFERROR(N(_xlfn.XLOOKUP(_xlpm.gtag,Generator!$B$53:$B$58,Generator!$U$53:$U$58,0)),0)),_xlpm.gamp,IF(OR(_xlpm.gkva=0,_xlpm.gxd=0,N($D248)=0),0,ROUND(_xlpm.gkva*1000/(IF(N($CB248)=1,1,SQRT(3))*$D248*_xlpm.gxd),0)),IF(OR(_xlpm.gamp=0,NOT(ISNUMBER(_xlpm.base))),_xlpm.base,MAX(_xlpm.base,_xlpm.gamp))),_xlpm.ulim,IF(OR($A248="",$B248&lt;&gt;"UPS"),"",IFERROR(IF(_xlfn.XLOOKUP($A248,UPS!$B$57:$B$64,UPS!$E$57:$E$64,"")="None",_xlfn.XLOOKUP($A248,UPS!$B$57:$B$64,UPS!$U$57:$U$64,""),""),"")),IF(AND(ISNUMBER(_xlpm.v),ISNUMBER(_xlpm.ulim)),MIN(_xlpm.v,_xlpm.ulim),_xlpm.v))</f>
        <v/>
      </c>
      <c r="K248" s="176"/>
      <c r="L248" s="177" t="str">
        <f t="shared" si="55"/>
        <v/>
      </c>
      <c r="M248" s="177" t="str">
        <f t="shared" si="56"/>
        <v/>
      </c>
      <c r="N248" s="380" t="str">
        <f>IF($A248="","",IF($C248=0,_xlfn.LET(_xlpm.x,IFERROR(_xlfn.XLOOKUP($A248,Util_Tags,Util_XR),""),IF(N(_xlpm.x)=0,Xfmr_DefXR,_xlpm.x)),IF(LEFT($A248,2)="T-",IFERROR(_xlfn.XLOOKUP($A248,Transformers!$A$6:$A$105,Transformers!$AH$6:$AH$105),Xfmr_DefXR),IFERROR(_xlfn.XLOOKUP($E248,$A$6:$A$255,$N$6:$N$255),Xfmr_DefXR))))</f>
        <v/>
      </c>
      <c r="O248" s="177" t="str">
        <f t="shared" si="57"/>
        <v/>
      </c>
      <c r="P248" s="210" t="str">
        <f>IF($A248="","",IF(LEFT($A248,2)="T-",IF($CO248="","",_xlfn.LET(_xlpm.k,IFERROR(_xlfn.XLOOKUP($A248,Transformers!$A$6:$A$105,Transformers!$G$6:$G$105),""),_xlpm.sv,IFERROR(_xlfn.XLOOKUP($A248,Transformers!$A$6:$A$105,Transformers!$E$6:$E$105),""),IF(OR(NOT(ISNUMBER(_xlpm.k)),NOT(ISNUMBER(_xlpm.sv)),_xlpm.sv=0),"",_xlfn.LET(_xlpm.iInf,(_xlpm.k*1000/(_xlpm.sv/2))*100/$CO248,_xlpm.pri,IF(OR($CK248="",$CK248=0),"",$CK248/2),_xlpm.base,IF(_xlpm.pri="",_xlpm.iInf,_xlpm.iInf/(1+_xlpm.iInf/_xlpm.pri)),_xlpm.base+IF($L248="",0,$L248))))),IF($CP248="","",_xlfn.LET(_xlpm.pI,IFERROR(_xlfn.XLOOKUP($E248,$A$6:$A$255,$P$6:$P$255),""),IF(NOT(ISNUMBER(_xlpm.pI)),"",_xlpm.pI/(1+$CP248)+IF($L248="",0,$L248))))))</f>
        <v/>
      </c>
      <c r="Q248" s="210" t="str">
        <f t="shared" si="58"/>
        <v/>
      </c>
      <c r="R248" s="177" t="str">
        <f>IF($A248="","",IF(OR($C248=0,LEFT($A248,2)="T-"),"",IFERROR(_xlfn.LET(_xlpm.v,_xlfn.XLOOKUP($A248,Dashboard!$A$101:$A$350,Dashboard!$K$101:$K$350),IF(ISNUMBER(_xlpm.v),_xlpm.v,"")),"")))</f>
        <v/>
      </c>
      <c r="S248" s="211" t="str">
        <f t="shared" si="59"/>
        <v/>
      </c>
      <c r="T248" s="25" t="str">
        <f t="shared" si="60"/>
        <v/>
      </c>
      <c r="U248" s="364"/>
      <c r="BV248" s="20" t="str">
        <f>IF($A248="","",IFERROR(_xlfn.XLOOKUP("F-"&amp;$A248,'Feeder Schedule'!$B$5:$B$254,'Feeder Schedule'!$H$5:$H$254),""))</f>
        <v/>
      </c>
      <c r="BW248" s="20" t="str">
        <f>IF($A248="","",IFERROR(_xlfn.XLOOKUP("F-"&amp;$A248,'Feeder Schedule'!$B$5:$B$254,'Feeder Schedule'!$BV$5:$BV$254),""))</f>
        <v/>
      </c>
      <c r="BX248" s="20" t="str">
        <f>IF($A248="","",IFERROR(_xlfn.LET(_xlpm.v,_xlfn.XLOOKUP("F-"&amp;$A248,'Feeder Schedule'!$B$5:$B$254,'Feeder Schedule'!$M$5:$M$254),IF(OR(_xlpm.v="",_xlpm.v=0),Cfg_Conduit,_xlpm.v)),""))</f>
        <v/>
      </c>
      <c r="BY248" s="20" t="str">
        <f>IF($A248="","",IFERROR(_xlfn.XLOOKUP("F-"&amp;$A248,'Feeder Schedule'!$B$5:$B$254,'Feeder Schedule'!$O$5:$O$254),""))</f>
        <v/>
      </c>
      <c r="BZ248" s="20" t="str">
        <f>IF($A248="","",IFERROR(_xlfn.XLOOKUP("F-"&amp;$A248,'Feeder Schedule'!$B$5:$B$254,'Feeder Schedule'!$CH$5:$CH$254),""))</f>
        <v/>
      </c>
      <c r="CA248" s="20" t="str">
        <f>IF($A248="","",IFERROR(_xlfn.XLOOKUP("F-"&amp;$A248,'Feeder Schedule'!$B$5:$B$254,'Feeder Schedule'!$F$5:$F$254),""))</f>
        <v/>
      </c>
      <c r="CB248" s="20" t="str">
        <f>IF($A248="","",IFERROR(_xlfn.XLOOKUP("F-"&amp;$A248,'Feeder Schedule'!$B$5:$B$254,'Feeder Schedule'!$G$5:$G$254),""))</f>
        <v/>
      </c>
      <c r="CD248" s="20" t="str" cm="1">
        <f t="array" ref="CD248">IFERROR(IF($A248="","",INDEX(_xlfn.ANCHORARRAY($BK$4),ROW()-5,6)),"")</f>
        <v/>
      </c>
      <c r="CE248" s="20" t="str">
        <f t="shared" si="63"/>
        <v/>
      </c>
      <c r="CF248" s="20" t="str">
        <f t="shared" si="64"/>
        <v/>
      </c>
      <c r="CG248" s="20" t="str">
        <f t="shared" si="61"/>
        <v/>
      </c>
      <c r="CH248" s="20" t="str" cm="1">
        <f t="array" ref="CH248">IF(OR($A248="",$BZ248="",$BW248="",$BX248=""),"",_xlfn.LET(_xlpm.mag,IFERROR(_xlfn.XLOOKUP($BX248,Race_Raceway,Race_Mag),""),IF(_xlpm.mag="","",IFERROR(INDEX(Cond_Table,MATCH($BZ248,Cond_Size,0),IF(UPPER($BW248)="AL",IF(_xlpm.mag="Y",10,12),IF(_xlpm.mag="Y",9,11))),""))))</f>
        <v/>
      </c>
      <c r="CI248" s="20" t="str">
        <f t="shared" si="62"/>
        <v/>
      </c>
      <c r="CJ248" s="20" t="str">
        <f>IF(OR($A248="",LEFT($A248,2)&lt;&gt;"T-"),"",IFERROR(_xlfn.LET(_xlpm.fla,_xlfn.XLOOKUP($A248,Transformers!$A$6:$A$105,Transformers!$AK$6:$AK$105),_xlpm.z,_xlfn.XLOOKUP($A248,Transformers!$A$6:$A$105,Transformers!$AX$6:$AX$105),IF(OR(_xlpm.fla="",_xlpm.z="",_xlpm.z=0),"",_xlpm.fla*100/_xlpm.z)),""))</f>
        <v/>
      </c>
      <c r="CK248" s="20" t="str">
        <f t="shared" si="65"/>
        <v/>
      </c>
      <c r="CL248" s="20" t="str">
        <f t="shared" si="66"/>
        <v/>
      </c>
      <c r="CM248" s="373"/>
      <c r="CO248" s="20" t="str">
        <f>IF(OR($A248="",LEFT($A248,2)&lt;&gt;"T-"),"",_xlfn.LET(_xlpm.ph,IFERROR(_xlfn.XLOOKUP($A248,Transformers!$A$6:$A$105,Transformers!$C$6:$C$105),""),_xlpm.rr,IFERROR(_xlfn.XLOOKUP($A248,Transformers!$A$6:$A$105,Transformers!$AG$6:$AG$105),""),_xlpm.xx,IFERROR(_xlfn.XLOOKUP($A248,Transformers!$A$6:$A$105,Transformers!$AI$6:$AI$105),""),IF(OR(_xlpm.ph&lt;&gt;1,NOT(ISNUMBER(_xlpm.rr)),NOT(ISNUMBER(_xlpm.xx))),"",SQRT((1.5*_xlpm.rr)^2+(1.2*_xlpm.xx)^2))))</f>
        <v/>
      </c>
      <c r="CP248" s="20" t="str">
        <f t="shared" si="67"/>
        <v/>
      </c>
    </row>
    <row r="249" spans="1:94" ht="15" customHeight="1" x14ac:dyDescent="0.45">
      <c r="A249" s="275" t="str" cm="1">
        <f t="array" ref="A249">IFERROR(IF(INDEX(_xlfn.ANCHORARRAY($BK$4),ROW()-5,1)="","",INDEX(_xlfn.ANCHORARRAY($BK$4),ROW()-5,1)),"")</f>
        <v/>
      </c>
      <c r="B249" s="25" t="str" cm="1">
        <f t="array" ref="B249">IFERROR(IF($A249="","",INDEX(_xlfn.ANCHORARRAY($BK$4),ROW()-5,5)),"")</f>
        <v/>
      </c>
      <c r="C249" s="178" t="str" cm="1">
        <f t="array" ref="C249">IFERROR(IF($A249="","",INDEX(_xlfn.ANCHORARRAY($BK$4),ROW()-5,7)),"")</f>
        <v/>
      </c>
      <c r="D249" s="177" t="str" cm="1">
        <f t="array" ref="D249">IFERROR(IF($A249="","",INDEX(_xlfn.ANCHORARRAY($BK$4),ROW()-5,3)),"")</f>
        <v/>
      </c>
      <c r="E249" s="25" t="str" cm="1">
        <f t="array" ref="E249">IFERROR(IF($A249="","",INDEX(_xlfn.ANCHORARRAY($BK$4),ROW()-5,2)),"")</f>
        <v/>
      </c>
      <c r="F249" s="177" t="str">
        <f t="shared" si="51"/>
        <v/>
      </c>
      <c r="G249" s="275" t="str">
        <f t="shared" si="52"/>
        <v/>
      </c>
      <c r="H249" s="180" t="str">
        <f t="shared" si="53"/>
        <v/>
      </c>
      <c r="I249" s="180" t="str">
        <f t="shared" si="54"/>
        <v/>
      </c>
      <c r="J249" s="177" t="str">
        <f>_xlfn.LET(_xlpm.v,_xlfn.LET(_xlpm.base,IF($A249="","",IF($C249=0,IFERROR(_xlfn.XLOOKUP($A249,Util_Tags,Util_SCAEff),""),IF(LEFT($A249,2)="T-",IF($CJ249="","",$CJ249/(1+IF($CL249="",0,$CL249))),IF(OR($F249="",$I249=""),"",$F249*$I249)))),_xlpm.gtag,IF(OR($A249="",NOT(OR($B249="ATS",$B249="MTS"))),"",IFERROR(_xlfn.XLOOKUP($A249,Dashboard!$A$101:$A$350,Dashboard!$L$101:$L$350,"")&amp;"","")),_xlpm.gkva,IF(_xlpm.gtag="",0,IFERROR(N(_xlfn.XLOOKUP(_xlpm.gtag,Generator!$B$53:$B$58,Generator!$S$53:$S$58,0)),0)),_xlpm.gxd,IF(_xlpm.gtag="",0,IFERROR(N(_xlfn.XLOOKUP(_xlpm.gtag,Generator!$B$53:$B$58,Generator!$U$53:$U$58,0)),0)),_xlpm.gamp,IF(OR(_xlpm.gkva=0,_xlpm.gxd=0,N($D249)=0),0,ROUND(_xlpm.gkva*1000/(IF(N($CB249)=1,1,SQRT(3))*$D249*_xlpm.gxd),0)),IF(OR(_xlpm.gamp=0,NOT(ISNUMBER(_xlpm.base))),_xlpm.base,MAX(_xlpm.base,_xlpm.gamp))),_xlpm.ulim,IF(OR($A249="",$B249&lt;&gt;"UPS"),"",IFERROR(IF(_xlfn.XLOOKUP($A249,UPS!$B$57:$B$64,UPS!$E$57:$E$64,"")="None",_xlfn.XLOOKUP($A249,UPS!$B$57:$B$64,UPS!$U$57:$U$64,""),""),"")),IF(AND(ISNUMBER(_xlpm.v),ISNUMBER(_xlpm.ulim)),MIN(_xlpm.v,_xlpm.ulim),_xlpm.v))</f>
        <v/>
      </c>
      <c r="K249" s="176"/>
      <c r="L249" s="177" t="str">
        <f t="shared" si="55"/>
        <v/>
      </c>
      <c r="M249" s="177" t="str">
        <f t="shared" si="56"/>
        <v/>
      </c>
      <c r="N249" s="380" t="str">
        <f>IF($A249="","",IF($C249=0,_xlfn.LET(_xlpm.x,IFERROR(_xlfn.XLOOKUP($A249,Util_Tags,Util_XR),""),IF(N(_xlpm.x)=0,Xfmr_DefXR,_xlpm.x)),IF(LEFT($A249,2)="T-",IFERROR(_xlfn.XLOOKUP($A249,Transformers!$A$6:$A$105,Transformers!$AH$6:$AH$105),Xfmr_DefXR),IFERROR(_xlfn.XLOOKUP($E249,$A$6:$A$255,$N$6:$N$255),Xfmr_DefXR))))</f>
        <v/>
      </c>
      <c r="O249" s="177" t="str">
        <f t="shared" si="57"/>
        <v/>
      </c>
      <c r="P249" s="210" t="str">
        <f>IF($A249="","",IF(LEFT($A249,2)="T-",IF($CO249="","",_xlfn.LET(_xlpm.k,IFERROR(_xlfn.XLOOKUP($A249,Transformers!$A$6:$A$105,Transformers!$G$6:$G$105),""),_xlpm.sv,IFERROR(_xlfn.XLOOKUP($A249,Transformers!$A$6:$A$105,Transformers!$E$6:$E$105),""),IF(OR(NOT(ISNUMBER(_xlpm.k)),NOT(ISNUMBER(_xlpm.sv)),_xlpm.sv=0),"",_xlfn.LET(_xlpm.iInf,(_xlpm.k*1000/(_xlpm.sv/2))*100/$CO249,_xlpm.pri,IF(OR($CK249="",$CK249=0),"",$CK249/2),_xlpm.base,IF(_xlpm.pri="",_xlpm.iInf,_xlpm.iInf/(1+_xlpm.iInf/_xlpm.pri)),_xlpm.base+IF($L249="",0,$L249))))),IF($CP249="","",_xlfn.LET(_xlpm.pI,IFERROR(_xlfn.XLOOKUP($E249,$A$6:$A$255,$P$6:$P$255),""),IF(NOT(ISNUMBER(_xlpm.pI)),"",_xlpm.pI/(1+$CP249)+IF($L249="",0,$L249))))))</f>
        <v/>
      </c>
      <c r="Q249" s="210" t="str">
        <f t="shared" si="58"/>
        <v/>
      </c>
      <c r="R249" s="177" t="str">
        <f>IF($A249="","",IF(OR($C249=0,LEFT($A249,2)="T-"),"",IFERROR(_xlfn.LET(_xlpm.v,_xlfn.XLOOKUP($A249,Dashboard!$A$101:$A$350,Dashboard!$K$101:$K$350),IF(ISNUMBER(_xlpm.v),_xlpm.v,"")),"")))</f>
        <v/>
      </c>
      <c r="S249" s="211" t="str">
        <f t="shared" si="59"/>
        <v/>
      </c>
      <c r="T249" s="25" t="str">
        <f t="shared" si="60"/>
        <v/>
      </c>
      <c r="U249" s="364"/>
      <c r="BV249" s="20" t="str">
        <f>IF($A249="","",IFERROR(_xlfn.XLOOKUP("F-"&amp;$A249,'Feeder Schedule'!$B$5:$B$254,'Feeder Schedule'!$H$5:$H$254),""))</f>
        <v/>
      </c>
      <c r="BW249" s="20" t="str">
        <f>IF($A249="","",IFERROR(_xlfn.XLOOKUP("F-"&amp;$A249,'Feeder Schedule'!$B$5:$B$254,'Feeder Schedule'!$BV$5:$BV$254),""))</f>
        <v/>
      </c>
      <c r="BX249" s="20" t="str">
        <f>IF($A249="","",IFERROR(_xlfn.LET(_xlpm.v,_xlfn.XLOOKUP("F-"&amp;$A249,'Feeder Schedule'!$B$5:$B$254,'Feeder Schedule'!$M$5:$M$254),IF(OR(_xlpm.v="",_xlpm.v=0),Cfg_Conduit,_xlpm.v)),""))</f>
        <v/>
      </c>
      <c r="BY249" s="20" t="str">
        <f>IF($A249="","",IFERROR(_xlfn.XLOOKUP("F-"&amp;$A249,'Feeder Schedule'!$B$5:$B$254,'Feeder Schedule'!$O$5:$O$254),""))</f>
        <v/>
      </c>
      <c r="BZ249" s="20" t="str">
        <f>IF($A249="","",IFERROR(_xlfn.XLOOKUP("F-"&amp;$A249,'Feeder Schedule'!$B$5:$B$254,'Feeder Schedule'!$CH$5:$CH$254),""))</f>
        <v/>
      </c>
      <c r="CA249" s="20" t="str">
        <f>IF($A249="","",IFERROR(_xlfn.XLOOKUP("F-"&amp;$A249,'Feeder Schedule'!$B$5:$B$254,'Feeder Schedule'!$F$5:$F$254),""))</f>
        <v/>
      </c>
      <c r="CB249" s="20" t="str">
        <f>IF($A249="","",IFERROR(_xlfn.XLOOKUP("F-"&amp;$A249,'Feeder Schedule'!$B$5:$B$254,'Feeder Schedule'!$G$5:$G$254),""))</f>
        <v/>
      </c>
      <c r="CD249" s="20" t="str" cm="1">
        <f t="array" ref="CD249">IFERROR(IF($A249="","",INDEX(_xlfn.ANCHORARRAY($BK$4),ROW()-5,6)),"")</f>
        <v/>
      </c>
      <c r="CE249" s="20" t="str">
        <f t="shared" si="63"/>
        <v/>
      </c>
      <c r="CF249" s="20" t="str">
        <f t="shared" si="64"/>
        <v/>
      </c>
      <c r="CG249" s="20" t="str">
        <f t="shared" si="61"/>
        <v/>
      </c>
      <c r="CH249" s="20" t="str" cm="1">
        <f t="array" ref="CH249">IF(OR($A249="",$BZ249="",$BW249="",$BX249=""),"",_xlfn.LET(_xlpm.mag,IFERROR(_xlfn.XLOOKUP($BX249,Race_Raceway,Race_Mag),""),IF(_xlpm.mag="","",IFERROR(INDEX(Cond_Table,MATCH($BZ249,Cond_Size,0),IF(UPPER($BW249)="AL",IF(_xlpm.mag="Y",10,12),IF(_xlpm.mag="Y",9,11))),""))))</f>
        <v/>
      </c>
      <c r="CI249" s="20" t="str">
        <f t="shared" si="62"/>
        <v/>
      </c>
      <c r="CJ249" s="20" t="str">
        <f>IF(OR($A249="",LEFT($A249,2)&lt;&gt;"T-"),"",IFERROR(_xlfn.LET(_xlpm.fla,_xlfn.XLOOKUP($A249,Transformers!$A$6:$A$105,Transformers!$AK$6:$AK$105),_xlpm.z,_xlfn.XLOOKUP($A249,Transformers!$A$6:$A$105,Transformers!$AX$6:$AX$105),IF(OR(_xlpm.fla="",_xlpm.z="",_xlpm.z=0),"",_xlpm.fla*100/_xlpm.z)),""))</f>
        <v/>
      </c>
      <c r="CK249" s="20" t="str">
        <f t="shared" si="65"/>
        <v/>
      </c>
      <c r="CL249" s="20" t="str">
        <f t="shared" si="66"/>
        <v/>
      </c>
      <c r="CM249" s="373"/>
      <c r="CO249" s="20" t="str">
        <f>IF(OR($A249="",LEFT($A249,2)&lt;&gt;"T-"),"",_xlfn.LET(_xlpm.ph,IFERROR(_xlfn.XLOOKUP($A249,Transformers!$A$6:$A$105,Transformers!$C$6:$C$105),""),_xlpm.rr,IFERROR(_xlfn.XLOOKUP($A249,Transformers!$A$6:$A$105,Transformers!$AG$6:$AG$105),""),_xlpm.xx,IFERROR(_xlfn.XLOOKUP($A249,Transformers!$A$6:$A$105,Transformers!$AI$6:$AI$105),""),IF(OR(_xlpm.ph&lt;&gt;1,NOT(ISNUMBER(_xlpm.rr)),NOT(ISNUMBER(_xlpm.xx))),"",SQRT((1.5*_xlpm.rr)^2+(1.2*_xlpm.xx)^2))))</f>
        <v/>
      </c>
      <c r="CP249" s="20" t="str">
        <f t="shared" si="67"/>
        <v/>
      </c>
    </row>
    <row r="250" spans="1:94" ht="15" customHeight="1" x14ac:dyDescent="0.45">
      <c r="A250" s="275" t="str" cm="1">
        <f t="array" ref="A250">IFERROR(IF(INDEX(_xlfn.ANCHORARRAY($BK$4),ROW()-5,1)="","",INDEX(_xlfn.ANCHORARRAY($BK$4),ROW()-5,1)),"")</f>
        <v/>
      </c>
      <c r="B250" s="25" t="str" cm="1">
        <f t="array" ref="B250">IFERROR(IF($A250="","",INDEX(_xlfn.ANCHORARRAY($BK$4),ROW()-5,5)),"")</f>
        <v/>
      </c>
      <c r="C250" s="178" t="str" cm="1">
        <f t="array" ref="C250">IFERROR(IF($A250="","",INDEX(_xlfn.ANCHORARRAY($BK$4),ROW()-5,7)),"")</f>
        <v/>
      </c>
      <c r="D250" s="177" t="str" cm="1">
        <f t="array" ref="D250">IFERROR(IF($A250="","",INDEX(_xlfn.ANCHORARRAY($BK$4),ROW()-5,3)),"")</f>
        <v/>
      </c>
      <c r="E250" s="25" t="str" cm="1">
        <f t="array" ref="E250">IFERROR(IF($A250="","",INDEX(_xlfn.ANCHORARRAY($BK$4),ROW()-5,2)),"")</f>
        <v/>
      </c>
      <c r="F250" s="177" t="str">
        <f t="shared" si="51"/>
        <v/>
      </c>
      <c r="G250" s="275" t="str">
        <f t="shared" si="52"/>
        <v/>
      </c>
      <c r="H250" s="180" t="str">
        <f t="shared" si="53"/>
        <v/>
      </c>
      <c r="I250" s="180" t="str">
        <f t="shared" si="54"/>
        <v/>
      </c>
      <c r="J250" s="177" t="str">
        <f>_xlfn.LET(_xlpm.v,_xlfn.LET(_xlpm.base,IF($A250="","",IF($C250=0,IFERROR(_xlfn.XLOOKUP($A250,Util_Tags,Util_SCAEff),""),IF(LEFT($A250,2)="T-",IF($CJ250="","",$CJ250/(1+IF($CL250="",0,$CL250))),IF(OR($F250="",$I250=""),"",$F250*$I250)))),_xlpm.gtag,IF(OR($A250="",NOT(OR($B250="ATS",$B250="MTS"))),"",IFERROR(_xlfn.XLOOKUP($A250,Dashboard!$A$101:$A$350,Dashboard!$L$101:$L$350,"")&amp;"","")),_xlpm.gkva,IF(_xlpm.gtag="",0,IFERROR(N(_xlfn.XLOOKUP(_xlpm.gtag,Generator!$B$53:$B$58,Generator!$S$53:$S$58,0)),0)),_xlpm.gxd,IF(_xlpm.gtag="",0,IFERROR(N(_xlfn.XLOOKUP(_xlpm.gtag,Generator!$B$53:$B$58,Generator!$U$53:$U$58,0)),0)),_xlpm.gamp,IF(OR(_xlpm.gkva=0,_xlpm.gxd=0,N($D250)=0),0,ROUND(_xlpm.gkva*1000/(IF(N($CB250)=1,1,SQRT(3))*$D250*_xlpm.gxd),0)),IF(OR(_xlpm.gamp=0,NOT(ISNUMBER(_xlpm.base))),_xlpm.base,MAX(_xlpm.base,_xlpm.gamp))),_xlpm.ulim,IF(OR($A250="",$B250&lt;&gt;"UPS"),"",IFERROR(IF(_xlfn.XLOOKUP($A250,UPS!$B$57:$B$64,UPS!$E$57:$E$64,"")="None",_xlfn.XLOOKUP($A250,UPS!$B$57:$B$64,UPS!$U$57:$U$64,""),""),"")),IF(AND(ISNUMBER(_xlpm.v),ISNUMBER(_xlpm.ulim)),MIN(_xlpm.v,_xlpm.ulim),_xlpm.v))</f>
        <v/>
      </c>
      <c r="K250" s="176"/>
      <c r="L250" s="177" t="str">
        <f t="shared" si="55"/>
        <v/>
      </c>
      <c r="M250" s="177" t="str">
        <f t="shared" si="56"/>
        <v/>
      </c>
      <c r="N250" s="380" t="str">
        <f>IF($A250="","",IF($C250=0,_xlfn.LET(_xlpm.x,IFERROR(_xlfn.XLOOKUP($A250,Util_Tags,Util_XR),""),IF(N(_xlpm.x)=0,Xfmr_DefXR,_xlpm.x)),IF(LEFT($A250,2)="T-",IFERROR(_xlfn.XLOOKUP($A250,Transformers!$A$6:$A$105,Transformers!$AH$6:$AH$105),Xfmr_DefXR),IFERROR(_xlfn.XLOOKUP($E250,$A$6:$A$255,$N$6:$N$255),Xfmr_DefXR))))</f>
        <v/>
      </c>
      <c r="O250" s="177" t="str">
        <f t="shared" si="57"/>
        <v/>
      </c>
      <c r="P250" s="210" t="str">
        <f>IF($A250="","",IF(LEFT($A250,2)="T-",IF($CO250="","",_xlfn.LET(_xlpm.k,IFERROR(_xlfn.XLOOKUP($A250,Transformers!$A$6:$A$105,Transformers!$G$6:$G$105),""),_xlpm.sv,IFERROR(_xlfn.XLOOKUP($A250,Transformers!$A$6:$A$105,Transformers!$E$6:$E$105),""),IF(OR(NOT(ISNUMBER(_xlpm.k)),NOT(ISNUMBER(_xlpm.sv)),_xlpm.sv=0),"",_xlfn.LET(_xlpm.iInf,(_xlpm.k*1000/(_xlpm.sv/2))*100/$CO250,_xlpm.pri,IF(OR($CK250="",$CK250=0),"",$CK250/2),_xlpm.base,IF(_xlpm.pri="",_xlpm.iInf,_xlpm.iInf/(1+_xlpm.iInf/_xlpm.pri)),_xlpm.base+IF($L250="",0,$L250))))),IF($CP250="","",_xlfn.LET(_xlpm.pI,IFERROR(_xlfn.XLOOKUP($E250,$A$6:$A$255,$P$6:$P$255),""),IF(NOT(ISNUMBER(_xlpm.pI)),"",_xlpm.pI/(1+$CP250)+IF($L250="",0,$L250))))))</f>
        <v/>
      </c>
      <c r="Q250" s="210" t="str">
        <f t="shared" si="58"/>
        <v/>
      </c>
      <c r="R250" s="177" t="str">
        <f>IF($A250="","",IF(OR($C250=0,LEFT($A250,2)="T-"),"",IFERROR(_xlfn.LET(_xlpm.v,_xlfn.XLOOKUP($A250,Dashboard!$A$101:$A$350,Dashboard!$K$101:$K$350),IF(ISNUMBER(_xlpm.v),_xlpm.v,"")),"")))</f>
        <v/>
      </c>
      <c r="S250" s="211" t="str">
        <f t="shared" si="59"/>
        <v/>
      </c>
      <c r="T250" s="25" t="str">
        <f t="shared" si="60"/>
        <v/>
      </c>
      <c r="U250" s="364"/>
      <c r="BV250" s="20" t="str">
        <f>IF($A250="","",IFERROR(_xlfn.XLOOKUP("F-"&amp;$A250,'Feeder Schedule'!$B$5:$B$254,'Feeder Schedule'!$H$5:$H$254),""))</f>
        <v/>
      </c>
      <c r="BW250" s="20" t="str">
        <f>IF($A250="","",IFERROR(_xlfn.XLOOKUP("F-"&amp;$A250,'Feeder Schedule'!$B$5:$B$254,'Feeder Schedule'!$BV$5:$BV$254),""))</f>
        <v/>
      </c>
      <c r="BX250" s="20" t="str">
        <f>IF($A250="","",IFERROR(_xlfn.LET(_xlpm.v,_xlfn.XLOOKUP("F-"&amp;$A250,'Feeder Schedule'!$B$5:$B$254,'Feeder Schedule'!$M$5:$M$254),IF(OR(_xlpm.v="",_xlpm.v=0),Cfg_Conduit,_xlpm.v)),""))</f>
        <v/>
      </c>
      <c r="BY250" s="20" t="str">
        <f>IF($A250="","",IFERROR(_xlfn.XLOOKUP("F-"&amp;$A250,'Feeder Schedule'!$B$5:$B$254,'Feeder Schedule'!$O$5:$O$254),""))</f>
        <v/>
      </c>
      <c r="BZ250" s="20" t="str">
        <f>IF($A250="","",IFERROR(_xlfn.XLOOKUP("F-"&amp;$A250,'Feeder Schedule'!$B$5:$B$254,'Feeder Schedule'!$CH$5:$CH$254),""))</f>
        <v/>
      </c>
      <c r="CA250" s="20" t="str">
        <f>IF($A250="","",IFERROR(_xlfn.XLOOKUP("F-"&amp;$A250,'Feeder Schedule'!$B$5:$B$254,'Feeder Schedule'!$F$5:$F$254),""))</f>
        <v/>
      </c>
      <c r="CB250" s="20" t="str">
        <f>IF($A250="","",IFERROR(_xlfn.XLOOKUP("F-"&amp;$A250,'Feeder Schedule'!$B$5:$B$254,'Feeder Schedule'!$G$5:$G$254),""))</f>
        <v/>
      </c>
      <c r="CD250" s="20" t="str" cm="1">
        <f t="array" ref="CD250">IFERROR(IF($A250="","",INDEX(_xlfn.ANCHORARRAY($BK$4),ROW()-5,6)),"")</f>
        <v/>
      </c>
      <c r="CE250" s="20" t="str">
        <f t="shared" si="63"/>
        <v/>
      </c>
      <c r="CF250" s="20" t="str">
        <f t="shared" si="64"/>
        <v/>
      </c>
      <c r="CG250" s="20" t="str">
        <f t="shared" si="61"/>
        <v/>
      </c>
      <c r="CH250" s="20" t="str" cm="1">
        <f t="array" ref="CH250">IF(OR($A250="",$BZ250="",$BW250="",$BX250=""),"",_xlfn.LET(_xlpm.mag,IFERROR(_xlfn.XLOOKUP($BX250,Race_Raceway,Race_Mag),""),IF(_xlpm.mag="","",IFERROR(INDEX(Cond_Table,MATCH($BZ250,Cond_Size,0),IF(UPPER($BW250)="AL",IF(_xlpm.mag="Y",10,12),IF(_xlpm.mag="Y",9,11))),""))))</f>
        <v/>
      </c>
      <c r="CI250" s="20" t="str">
        <f t="shared" si="62"/>
        <v/>
      </c>
      <c r="CJ250" s="20" t="str">
        <f>IF(OR($A250="",LEFT($A250,2)&lt;&gt;"T-"),"",IFERROR(_xlfn.LET(_xlpm.fla,_xlfn.XLOOKUP($A250,Transformers!$A$6:$A$105,Transformers!$AK$6:$AK$105),_xlpm.z,_xlfn.XLOOKUP($A250,Transformers!$A$6:$A$105,Transformers!$AX$6:$AX$105),IF(OR(_xlpm.fla="",_xlpm.z="",_xlpm.z=0),"",_xlpm.fla*100/_xlpm.z)),""))</f>
        <v/>
      </c>
      <c r="CK250" s="20" t="str">
        <f t="shared" si="65"/>
        <v/>
      </c>
      <c r="CL250" s="20" t="str">
        <f t="shared" si="66"/>
        <v/>
      </c>
      <c r="CM250" s="373"/>
      <c r="CO250" s="20" t="str">
        <f>IF(OR($A250="",LEFT($A250,2)&lt;&gt;"T-"),"",_xlfn.LET(_xlpm.ph,IFERROR(_xlfn.XLOOKUP($A250,Transformers!$A$6:$A$105,Transformers!$C$6:$C$105),""),_xlpm.rr,IFERROR(_xlfn.XLOOKUP($A250,Transformers!$A$6:$A$105,Transformers!$AG$6:$AG$105),""),_xlpm.xx,IFERROR(_xlfn.XLOOKUP($A250,Transformers!$A$6:$A$105,Transformers!$AI$6:$AI$105),""),IF(OR(_xlpm.ph&lt;&gt;1,NOT(ISNUMBER(_xlpm.rr)),NOT(ISNUMBER(_xlpm.xx))),"",SQRT((1.5*_xlpm.rr)^2+(1.2*_xlpm.xx)^2))))</f>
        <v/>
      </c>
      <c r="CP250" s="20" t="str">
        <f t="shared" si="67"/>
        <v/>
      </c>
    </row>
    <row r="251" spans="1:94" ht="15" customHeight="1" x14ac:dyDescent="0.45">
      <c r="A251" s="275" t="str" cm="1">
        <f t="array" ref="A251">IFERROR(IF(INDEX(_xlfn.ANCHORARRAY($BK$4),ROW()-5,1)="","",INDEX(_xlfn.ANCHORARRAY($BK$4),ROW()-5,1)),"")</f>
        <v/>
      </c>
      <c r="B251" s="25" t="str" cm="1">
        <f t="array" ref="B251">IFERROR(IF($A251="","",INDEX(_xlfn.ANCHORARRAY($BK$4),ROW()-5,5)),"")</f>
        <v/>
      </c>
      <c r="C251" s="178" t="str" cm="1">
        <f t="array" ref="C251">IFERROR(IF($A251="","",INDEX(_xlfn.ANCHORARRAY($BK$4),ROW()-5,7)),"")</f>
        <v/>
      </c>
      <c r="D251" s="177" t="str" cm="1">
        <f t="array" ref="D251">IFERROR(IF($A251="","",INDEX(_xlfn.ANCHORARRAY($BK$4),ROW()-5,3)),"")</f>
        <v/>
      </c>
      <c r="E251" s="25" t="str" cm="1">
        <f t="array" ref="E251">IFERROR(IF($A251="","",INDEX(_xlfn.ANCHORARRAY($BK$4),ROW()-5,2)),"")</f>
        <v/>
      </c>
      <c r="F251" s="177" t="str">
        <f t="shared" si="51"/>
        <v/>
      </c>
      <c r="G251" s="275" t="str">
        <f t="shared" si="52"/>
        <v/>
      </c>
      <c r="H251" s="180" t="str">
        <f t="shared" si="53"/>
        <v/>
      </c>
      <c r="I251" s="180" t="str">
        <f t="shared" si="54"/>
        <v/>
      </c>
      <c r="J251" s="177" t="str">
        <f>_xlfn.LET(_xlpm.v,_xlfn.LET(_xlpm.base,IF($A251="","",IF($C251=0,IFERROR(_xlfn.XLOOKUP($A251,Util_Tags,Util_SCAEff),""),IF(LEFT($A251,2)="T-",IF($CJ251="","",$CJ251/(1+IF($CL251="",0,$CL251))),IF(OR($F251="",$I251=""),"",$F251*$I251)))),_xlpm.gtag,IF(OR($A251="",NOT(OR($B251="ATS",$B251="MTS"))),"",IFERROR(_xlfn.XLOOKUP($A251,Dashboard!$A$101:$A$350,Dashboard!$L$101:$L$350,"")&amp;"","")),_xlpm.gkva,IF(_xlpm.gtag="",0,IFERROR(N(_xlfn.XLOOKUP(_xlpm.gtag,Generator!$B$53:$B$58,Generator!$S$53:$S$58,0)),0)),_xlpm.gxd,IF(_xlpm.gtag="",0,IFERROR(N(_xlfn.XLOOKUP(_xlpm.gtag,Generator!$B$53:$B$58,Generator!$U$53:$U$58,0)),0)),_xlpm.gamp,IF(OR(_xlpm.gkva=0,_xlpm.gxd=0,N($D251)=0),0,ROUND(_xlpm.gkva*1000/(IF(N($CB251)=1,1,SQRT(3))*$D251*_xlpm.gxd),0)),IF(OR(_xlpm.gamp=0,NOT(ISNUMBER(_xlpm.base))),_xlpm.base,MAX(_xlpm.base,_xlpm.gamp))),_xlpm.ulim,IF(OR($A251="",$B251&lt;&gt;"UPS"),"",IFERROR(IF(_xlfn.XLOOKUP($A251,UPS!$B$57:$B$64,UPS!$E$57:$E$64,"")="None",_xlfn.XLOOKUP($A251,UPS!$B$57:$B$64,UPS!$U$57:$U$64,""),""),"")),IF(AND(ISNUMBER(_xlpm.v),ISNUMBER(_xlpm.ulim)),MIN(_xlpm.v,_xlpm.ulim),_xlpm.v))</f>
        <v/>
      </c>
      <c r="K251" s="176"/>
      <c r="L251" s="177" t="str">
        <f t="shared" si="55"/>
        <v/>
      </c>
      <c r="M251" s="177" t="str">
        <f t="shared" si="56"/>
        <v/>
      </c>
      <c r="N251" s="380" t="str">
        <f>IF($A251="","",IF($C251=0,_xlfn.LET(_xlpm.x,IFERROR(_xlfn.XLOOKUP($A251,Util_Tags,Util_XR),""),IF(N(_xlpm.x)=0,Xfmr_DefXR,_xlpm.x)),IF(LEFT($A251,2)="T-",IFERROR(_xlfn.XLOOKUP($A251,Transformers!$A$6:$A$105,Transformers!$AH$6:$AH$105),Xfmr_DefXR),IFERROR(_xlfn.XLOOKUP($E251,$A$6:$A$255,$N$6:$N$255),Xfmr_DefXR))))</f>
        <v/>
      </c>
      <c r="O251" s="177" t="str">
        <f t="shared" si="57"/>
        <v/>
      </c>
      <c r="P251" s="210" t="str">
        <f>IF($A251="","",IF(LEFT($A251,2)="T-",IF($CO251="","",_xlfn.LET(_xlpm.k,IFERROR(_xlfn.XLOOKUP($A251,Transformers!$A$6:$A$105,Transformers!$G$6:$G$105),""),_xlpm.sv,IFERROR(_xlfn.XLOOKUP($A251,Transformers!$A$6:$A$105,Transformers!$E$6:$E$105),""),IF(OR(NOT(ISNUMBER(_xlpm.k)),NOT(ISNUMBER(_xlpm.sv)),_xlpm.sv=0),"",_xlfn.LET(_xlpm.iInf,(_xlpm.k*1000/(_xlpm.sv/2))*100/$CO251,_xlpm.pri,IF(OR($CK251="",$CK251=0),"",$CK251/2),_xlpm.base,IF(_xlpm.pri="",_xlpm.iInf,_xlpm.iInf/(1+_xlpm.iInf/_xlpm.pri)),_xlpm.base+IF($L251="",0,$L251))))),IF($CP251="","",_xlfn.LET(_xlpm.pI,IFERROR(_xlfn.XLOOKUP($E251,$A$6:$A$255,$P$6:$P$255),""),IF(NOT(ISNUMBER(_xlpm.pI)),"",_xlpm.pI/(1+$CP251)+IF($L251="",0,$L251))))))</f>
        <v/>
      </c>
      <c r="Q251" s="210" t="str">
        <f t="shared" si="58"/>
        <v/>
      </c>
      <c r="R251" s="177" t="str">
        <f>IF($A251="","",IF(OR($C251=0,LEFT($A251,2)="T-"),"",IFERROR(_xlfn.LET(_xlpm.v,_xlfn.XLOOKUP($A251,Dashboard!$A$101:$A$350,Dashboard!$K$101:$K$350),IF(ISNUMBER(_xlpm.v),_xlpm.v,"")),"")))</f>
        <v/>
      </c>
      <c r="S251" s="211" t="str">
        <f t="shared" si="59"/>
        <v/>
      </c>
      <c r="T251" s="25" t="str">
        <f t="shared" si="60"/>
        <v/>
      </c>
      <c r="U251" s="364"/>
      <c r="BV251" s="20" t="str">
        <f>IF($A251="","",IFERROR(_xlfn.XLOOKUP("F-"&amp;$A251,'Feeder Schedule'!$B$5:$B$254,'Feeder Schedule'!$H$5:$H$254),""))</f>
        <v/>
      </c>
      <c r="BW251" s="20" t="str">
        <f>IF($A251="","",IFERROR(_xlfn.XLOOKUP("F-"&amp;$A251,'Feeder Schedule'!$B$5:$B$254,'Feeder Schedule'!$BV$5:$BV$254),""))</f>
        <v/>
      </c>
      <c r="BX251" s="20" t="str">
        <f>IF($A251="","",IFERROR(_xlfn.LET(_xlpm.v,_xlfn.XLOOKUP("F-"&amp;$A251,'Feeder Schedule'!$B$5:$B$254,'Feeder Schedule'!$M$5:$M$254),IF(OR(_xlpm.v="",_xlpm.v=0),Cfg_Conduit,_xlpm.v)),""))</f>
        <v/>
      </c>
      <c r="BY251" s="20" t="str">
        <f>IF($A251="","",IFERROR(_xlfn.XLOOKUP("F-"&amp;$A251,'Feeder Schedule'!$B$5:$B$254,'Feeder Schedule'!$O$5:$O$254),""))</f>
        <v/>
      </c>
      <c r="BZ251" s="20" t="str">
        <f>IF($A251="","",IFERROR(_xlfn.XLOOKUP("F-"&amp;$A251,'Feeder Schedule'!$B$5:$B$254,'Feeder Schedule'!$CH$5:$CH$254),""))</f>
        <v/>
      </c>
      <c r="CA251" s="20" t="str">
        <f>IF($A251="","",IFERROR(_xlfn.XLOOKUP("F-"&amp;$A251,'Feeder Schedule'!$B$5:$B$254,'Feeder Schedule'!$F$5:$F$254),""))</f>
        <v/>
      </c>
      <c r="CB251" s="20" t="str">
        <f>IF($A251="","",IFERROR(_xlfn.XLOOKUP("F-"&amp;$A251,'Feeder Schedule'!$B$5:$B$254,'Feeder Schedule'!$G$5:$G$254),""))</f>
        <v/>
      </c>
      <c r="CD251" s="20" t="str" cm="1">
        <f t="array" ref="CD251">IFERROR(IF($A251="","",INDEX(_xlfn.ANCHORARRAY($BK$4),ROW()-5,6)),"")</f>
        <v/>
      </c>
      <c r="CE251" s="20" t="str">
        <f t="shared" si="63"/>
        <v/>
      </c>
      <c r="CF251" s="20" t="str">
        <f t="shared" si="64"/>
        <v/>
      </c>
      <c r="CG251" s="20" t="str">
        <f t="shared" si="61"/>
        <v/>
      </c>
      <c r="CH251" s="20" t="str" cm="1">
        <f t="array" ref="CH251">IF(OR($A251="",$BZ251="",$BW251="",$BX251=""),"",_xlfn.LET(_xlpm.mag,IFERROR(_xlfn.XLOOKUP($BX251,Race_Raceway,Race_Mag),""),IF(_xlpm.mag="","",IFERROR(INDEX(Cond_Table,MATCH($BZ251,Cond_Size,0),IF(UPPER($BW251)="AL",IF(_xlpm.mag="Y",10,12),IF(_xlpm.mag="Y",9,11))),""))))</f>
        <v/>
      </c>
      <c r="CI251" s="20" t="str">
        <f t="shared" si="62"/>
        <v/>
      </c>
      <c r="CJ251" s="20" t="str">
        <f>IF(OR($A251="",LEFT($A251,2)&lt;&gt;"T-"),"",IFERROR(_xlfn.LET(_xlpm.fla,_xlfn.XLOOKUP($A251,Transformers!$A$6:$A$105,Transformers!$AK$6:$AK$105),_xlpm.z,_xlfn.XLOOKUP($A251,Transformers!$A$6:$A$105,Transformers!$AX$6:$AX$105),IF(OR(_xlpm.fla="",_xlpm.z="",_xlpm.z=0),"",_xlpm.fla*100/_xlpm.z)),""))</f>
        <v/>
      </c>
      <c r="CK251" s="20" t="str">
        <f t="shared" si="65"/>
        <v/>
      </c>
      <c r="CL251" s="20" t="str">
        <f t="shared" si="66"/>
        <v/>
      </c>
      <c r="CM251" s="373"/>
      <c r="CO251" s="20" t="str">
        <f>IF(OR($A251="",LEFT($A251,2)&lt;&gt;"T-"),"",_xlfn.LET(_xlpm.ph,IFERROR(_xlfn.XLOOKUP($A251,Transformers!$A$6:$A$105,Transformers!$C$6:$C$105),""),_xlpm.rr,IFERROR(_xlfn.XLOOKUP($A251,Transformers!$A$6:$A$105,Transformers!$AG$6:$AG$105),""),_xlpm.xx,IFERROR(_xlfn.XLOOKUP($A251,Transformers!$A$6:$A$105,Transformers!$AI$6:$AI$105),""),IF(OR(_xlpm.ph&lt;&gt;1,NOT(ISNUMBER(_xlpm.rr)),NOT(ISNUMBER(_xlpm.xx))),"",SQRT((1.5*_xlpm.rr)^2+(1.2*_xlpm.xx)^2))))</f>
        <v/>
      </c>
      <c r="CP251" s="20" t="str">
        <f t="shared" si="67"/>
        <v/>
      </c>
    </row>
    <row r="252" spans="1:94" ht="15" customHeight="1" x14ac:dyDescent="0.45">
      <c r="A252" s="275" t="str" cm="1">
        <f t="array" ref="A252">IFERROR(IF(INDEX(_xlfn.ANCHORARRAY($BK$4),ROW()-5,1)="","",INDEX(_xlfn.ANCHORARRAY($BK$4),ROW()-5,1)),"")</f>
        <v/>
      </c>
      <c r="B252" s="25" t="str" cm="1">
        <f t="array" ref="B252">IFERROR(IF($A252="","",INDEX(_xlfn.ANCHORARRAY($BK$4),ROW()-5,5)),"")</f>
        <v/>
      </c>
      <c r="C252" s="178" t="str" cm="1">
        <f t="array" ref="C252">IFERROR(IF($A252="","",INDEX(_xlfn.ANCHORARRAY($BK$4),ROW()-5,7)),"")</f>
        <v/>
      </c>
      <c r="D252" s="177" t="str" cm="1">
        <f t="array" ref="D252">IFERROR(IF($A252="","",INDEX(_xlfn.ANCHORARRAY($BK$4),ROW()-5,3)),"")</f>
        <v/>
      </c>
      <c r="E252" s="25" t="str" cm="1">
        <f t="array" ref="E252">IFERROR(IF($A252="","",INDEX(_xlfn.ANCHORARRAY($BK$4),ROW()-5,2)),"")</f>
        <v/>
      </c>
      <c r="F252" s="177" t="str">
        <f t="shared" si="51"/>
        <v/>
      </c>
      <c r="G252" s="275" t="str">
        <f t="shared" si="52"/>
        <v/>
      </c>
      <c r="H252" s="180" t="str">
        <f t="shared" si="53"/>
        <v/>
      </c>
      <c r="I252" s="180" t="str">
        <f t="shared" si="54"/>
        <v/>
      </c>
      <c r="J252" s="177" t="str">
        <f>_xlfn.LET(_xlpm.v,_xlfn.LET(_xlpm.base,IF($A252="","",IF($C252=0,IFERROR(_xlfn.XLOOKUP($A252,Util_Tags,Util_SCAEff),""),IF(LEFT($A252,2)="T-",IF($CJ252="","",$CJ252/(1+IF($CL252="",0,$CL252))),IF(OR($F252="",$I252=""),"",$F252*$I252)))),_xlpm.gtag,IF(OR($A252="",NOT(OR($B252="ATS",$B252="MTS"))),"",IFERROR(_xlfn.XLOOKUP($A252,Dashboard!$A$101:$A$350,Dashboard!$L$101:$L$350,"")&amp;"","")),_xlpm.gkva,IF(_xlpm.gtag="",0,IFERROR(N(_xlfn.XLOOKUP(_xlpm.gtag,Generator!$B$53:$B$58,Generator!$S$53:$S$58,0)),0)),_xlpm.gxd,IF(_xlpm.gtag="",0,IFERROR(N(_xlfn.XLOOKUP(_xlpm.gtag,Generator!$B$53:$B$58,Generator!$U$53:$U$58,0)),0)),_xlpm.gamp,IF(OR(_xlpm.gkva=0,_xlpm.gxd=0,N($D252)=0),0,ROUND(_xlpm.gkva*1000/(IF(N($CB252)=1,1,SQRT(3))*$D252*_xlpm.gxd),0)),IF(OR(_xlpm.gamp=0,NOT(ISNUMBER(_xlpm.base))),_xlpm.base,MAX(_xlpm.base,_xlpm.gamp))),_xlpm.ulim,IF(OR($A252="",$B252&lt;&gt;"UPS"),"",IFERROR(IF(_xlfn.XLOOKUP($A252,UPS!$B$57:$B$64,UPS!$E$57:$E$64,"")="None",_xlfn.XLOOKUP($A252,UPS!$B$57:$B$64,UPS!$U$57:$U$64,""),""),"")),IF(AND(ISNUMBER(_xlpm.v),ISNUMBER(_xlpm.ulim)),MIN(_xlpm.v,_xlpm.ulim),_xlpm.v))</f>
        <v/>
      </c>
      <c r="K252" s="176"/>
      <c r="L252" s="177" t="str">
        <f t="shared" si="55"/>
        <v/>
      </c>
      <c r="M252" s="177" t="str">
        <f t="shared" si="56"/>
        <v/>
      </c>
      <c r="N252" s="380" t="str">
        <f>IF($A252="","",IF($C252=0,_xlfn.LET(_xlpm.x,IFERROR(_xlfn.XLOOKUP($A252,Util_Tags,Util_XR),""),IF(N(_xlpm.x)=0,Xfmr_DefXR,_xlpm.x)),IF(LEFT($A252,2)="T-",IFERROR(_xlfn.XLOOKUP($A252,Transformers!$A$6:$A$105,Transformers!$AH$6:$AH$105),Xfmr_DefXR),IFERROR(_xlfn.XLOOKUP($E252,$A$6:$A$255,$N$6:$N$255),Xfmr_DefXR))))</f>
        <v/>
      </c>
      <c r="O252" s="177" t="str">
        <f t="shared" si="57"/>
        <v/>
      </c>
      <c r="P252" s="210" t="str">
        <f>IF($A252="","",IF(LEFT($A252,2)="T-",IF($CO252="","",_xlfn.LET(_xlpm.k,IFERROR(_xlfn.XLOOKUP($A252,Transformers!$A$6:$A$105,Transformers!$G$6:$G$105),""),_xlpm.sv,IFERROR(_xlfn.XLOOKUP($A252,Transformers!$A$6:$A$105,Transformers!$E$6:$E$105),""),IF(OR(NOT(ISNUMBER(_xlpm.k)),NOT(ISNUMBER(_xlpm.sv)),_xlpm.sv=0),"",_xlfn.LET(_xlpm.iInf,(_xlpm.k*1000/(_xlpm.sv/2))*100/$CO252,_xlpm.pri,IF(OR($CK252="",$CK252=0),"",$CK252/2),_xlpm.base,IF(_xlpm.pri="",_xlpm.iInf,_xlpm.iInf/(1+_xlpm.iInf/_xlpm.pri)),_xlpm.base+IF($L252="",0,$L252))))),IF($CP252="","",_xlfn.LET(_xlpm.pI,IFERROR(_xlfn.XLOOKUP($E252,$A$6:$A$255,$P$6:$P$255),""),IF(NOT(ISNUMBER(_xlpm.pI)),"",_xlpm.pI/(1+$CP252)+IF($L252="",0,$L252))))))</f>
        <v/>
      </c>
      <c r="Q252" s="210" t="str">
        <f t="shared" si="58"/>
        <v/>
      </c>
      <c r="R252" s="177" t="str">
        <f>IF($A252="","",IF(OR($C252=0,LEFT($A252,2)="T-"),"",IFERROR(_xlfn.LET(_xlpm.v,_xlfn.XLOOKUP($A252,Dashboard!$A$101:$A$350,Dashboard!$K$101:$K$350),IF(ISNUMBER(_xlpm.v),_xlpm.v,"")),"")))</f>
        <v/>
      </c>
      <c r="S252" s="211" t="str">
        <f t="shared" si="59"/>
        <v/>
      </c>
      <c r="T252" s="25" t="str">
        <f t="shared" si="60"/>
        <v/>
      </c>
      <c r="U252" s="364"/>
      <c r="BV252" s="20" t="str">
        <f>IF($A252="","",IFERROR(_xlfn.XLOOKUP("F-"&amp;$A252,'Feeder Schedule'!$B$5:$B$254,'Feeder Schedule'!$H$5:$H$254),""))</f>
        <v/>
      </c>
      <c r="BW252" s="20" t="str">
        <f>IF($A252="","",IFERROR(_xlfn.XLOOKUP("F-"&amp;$A252,'Feeder Schedule'!$B$5:$B$254,'Feeder Schedule'!$BV$5:$BV$254),""))</f>
        <v/>
      </c>
      <c r="BX252" s="20" t="str">
        <f>IF($A252="","",IFERROR(_xlfn.LET(_xlpm.v,_xlfn.XLOOKUP("F-"&amp;$A252,'Feeder Schedule'!$B$5:$B$254,'Feeder Schedule'!$M$5:$M$254),IF(OR(_xlpm.v="",_xlpm.v=0),Cfg_Conduit,_xlpm.v)),""))</f>
        <v/>
      </c>
      <c r="BY252" s="20" t="str">
        <f>IF($A252="","",IFERROR(_xlfn.XLOOKUP("F-"&amp;$A252,'Feeder Schedule'!$B$5:$B$254,'Feeder Schedule'!$O$5:$O$254),""))</f>
        <v/>
      </c>
      <c r="BZ252" s="20" t="str">
        <f>IF($A252="","",IFERROR(_xlfn.XLOOKUP("F-"&amp;$A252,'Feeder Schedule'!$B$5:$B$254,'Feeder Schedule'!$CH$5:$CH$254),""))</f>
        <v/>
      </c>
      <c r="CA252" s="20" t="str">
        <f>IF($A252="","",IFERROR(_xlfn.XLOOKUP("F-"&amp;$A252,'Feeder Schedule'!$B$5:$B$254,'Feeder Schedule'!$F$5:$F$254),""))</f>
        <v/>
      </c>
      <c r="CB252" s="20" t="str">
        <f>IF($A252="","",IFERROR(_xlfn.XLOOKUP("F-"&amp;$A252,'Feeder Schedule'!$B$5:$B$254,'Feeder Schedule'!$G$5:$G$254),""))</f>
        <v/>
      </c>
      <c r="CD252" s="20" t="str" cm="1">
        <f t="array" ref="CD252">IFERROR(IF($A252="","",INDEX(_xlfn.ANCHORARRAY($BK$4),ROW()-5,6)),"")</f>
        <v/>
      </c>
      <c r="CE252" s="20" t="str">
        <f t="shared" si="63"/>
        <v/>
      </c>
      <c r="CF252" s="20" t="str">
        <f t="shared" si="64"/>
        <v/>
      </c>
      <c r="CG252" s="20" t="str">
        <f t="shared" si="61"/>
        <v/>
      </c>
      <c r="CH252" s="20" t="str" cm="1">
        <f t="array" ref="CH252">IF(OR($A252="",$BZ252="",$BW252="",$BX252=""),"",_xlfn.LET(_xlpm.mag,IFERROR(_xlfn.XLOOKUP($BX252,Race_Raceway,Race_Mag),""),IF(_xlpm.mag="","",IFERROR(INDEX(Cond_Table,MATCH($BZ252,Cond_Size,0),IF(UPPER($BW252)="AL",IF(_xlpm.mag="Y",10,12),IF(_xlpm.mag="Y",9,11))),""))))</f>
        <v/>
      </c>
      <c r="CI252" s="20" t="str">
        <f t="shared" si="62"/>
        <v/>
      </c>
      <c r="CJ252" s="20" t="str">
        <f>IF(OR($A252="",LEFT($A252,2)&lt;&gt;"T-"),"",IFERROR(_xlfn.LET(_xlpm.fla,_xlfn.XLOOKUP($A252,Transformers!$A$6:$A$105,Transformers!$AK$6:$AK$105),_xlpm.z,_xlfn.XLOOKUP($A252,Transformers!$A$6:$A$105,Transformers!$AX$6:$AX$105),IF(OR(_xlpm.fla="",_xlpm.z="",_xlpm.z=0),"",_xlpm.fla*100/_xlpm.z)),""))</f>
        <v/>
      </c>
      <c r="CK252" s="20" t="str">
        <f t="shared" si="65"/>
        <v/>
      </c>
      <c r="CL252" s="20" t="str">
        <f t="shared" si="66"/>
        <v/>
      </c>
      <c r="CM252" s="373"/>
      <c r="CO252" s="20" t="str">
        <f>IF(OR($A252="",LEFT($A252,2)&lt;&gt;"T-"),"",_xlfn.LET(_xlpm.ph,IFERROR(_xlfn.XLOOKUP($A252,Transformers!$A$6:$A$105,Transformers!$C$6:$C$105),""),_xlpm.rr,IFERROR(_xlfn.XLOOKUP($A252,Transformers!$A$6:$A$105,Transformers!$AG$6:$AG$105),""),_xlpm.xx,IFERROR(_xlfn.XLOOKUP($A252,Transformers!$A$6:$A$105,Transformers!$AI$6:$AI$105),""),IF(OR(_xlpm.ph&lt;&gt;1,NOT(ISNUMBER(_xlpm.rr)),NOT(ISNUMBER(_xlpm.xx))),"",SQRT((1.5*_xlpm.rr)^2+(1.2*_xlpm.xx)^2))))</f>
        <v/>
      </c>
      <c r="CP252" s="20" t="str">
        <f t="shared" si="67"/>
        <v/>
      </c>
    </row>
    <row r="253" spans="1:94" ht="15" customHeight="1" x14ac:dyDescent="0.45">
      <c r="A253" s="275" t="str" cm="1">
        <f t="array" ref="A253">IFERROR(IF(INDEX(_xlfn.ANCHORARRAY($BK$4),ROW()-5,1)="","",INDEX(_xlfn.ANCHORARRAY($BK$4),ROW()-5,1)),"")</f>
        <v/>
      </c>
      <c r="B253" s="25" t="str" cm="1">
        <f t="array" ref="B253">IFERROR(IF($A253="","",INDEX(_xlfn.ANCHORARRAY($BK$4),ROW()-5,5)),"")</f>
        <v/>
      </c>
      <c r="C253" s="178" t="str" cm="1">
        <f t="array" ref="C253">IFERROR(IF($A253="","",INDEX(_xlfn.ANCHORARRAY($BK$4),ROW()-5,7)),"")</f>
        <v/>
      </c>
      <c r="D253" s="177" t="str" cm="1">
        <f t="array" ref="D253">IFERROR(IF($A253="","",INDEX(_xlfn.ANCHORARRAY($BK$4),ROW()-5,3)),"")</f>
        <v/>
      </c>
      <c r="E253" s="25" t="str" cm="1">
        <f t="array" ref="E253">IFERROR(IF($A253="","",INDEX(_xlfn.ANCHORARRAY($BK$4),ROW()-5,2)),"")</f>
        <v/>
      </c>
      <c r="F253" s="177" t="str">
        <f t="shared" si="51"/>
        <v/>
      </c>
      <c r="G253" s="275" t="str">
        <f t="shared" si="52"/>
        <v/>
      </c>
      <c r="H253" s="180" t="str">
        <f t="shared" si="53"/>
        <v/>
      </c>
      <c r="I253" s="180" t="str">
        <f t="shared" si="54"/>
        <v/>
      </c>
      <c r="J253" s="177" t="str">
        <f>_xlfn.LET(_xlpm.v,_xlfn.LET(_xlpm.base,IF($A253="","",IF($C253=0,IFERROR(_xlfn.XLOOKUP($A253,Util_Tags,Util_SCAEff),""),IF(LEFT($A253,2)="T-",IF($CJ253="","",$CJ253/(1+IF($CL253="",0,$CL253))),IF(OR($F253="",$I253=""),"",$F253*$I253)))),_xlpm.gtag,IF(OR($A253="",NOT(OR($B253="ATS",$B253="MTS"))),"",IFERROR(_xlfn.XLOOKUP($A253,Dashboard!$A$101:$A$350,Dashboard!$L$101:$L$350,"")&amp;"","")),_xlpm.gkva,IF(_xlpm.gtag="",0,IFERROR(N(_xlfn.XLOOKUP(_xlpm.gtag,Generator!$B$53:$B$58,Generator!$S$53:$S$58,0)),0)),_xlpm.gxd,IF(_xlpm.gtag="",0,IFERROR(N(_xlfn.XLOOKUP(_xlpm.gtag,Generator!$B$53:$B$58,Generator!$U$53:$U$58,0)),0)),_xlpm.gamp,IF(OR(_xlpm.gkva=0,_xlpm.gxd=0,N($D253)=0),0,ROUND(_xlpm.gkva*1000/(IF(N($CB253)=1,1,SQRT(3))*$D253*_xlpm.gxd),0)),IF(OR(_xlpm.gamp=0,NOT(ISNUMBER(_xlpm.base))),_xlpm.base,MAX(_xlpm.base,_xlpm.gamp))),_xlpm.ulim,IF(OR($A253="",$B253&lt;&gt;"UPS"),"",IFERROR(IF(_xlfn.XLOOKUP($A253,UPS!$B$57:$B$64,UPS!$E$57:$E$64,"")="None",_xlfn.XLOOKUP($A253,UPS!$B$57:$B$64,UPS!$U$57:$U$64,""),""),"")),IF(AND(ISNUMBER(_xlpm.v),ISNUMBER(_xlpm.ulim)),MIN(_xlpm.v,_xlpm.ulim),_xlpm.v))</f>
        <v/>
      </c>
      <c r="K253" s="176"/>
      <c r="L253" s="177" t="str">
        <f t="shared" si="55"/>
        <v/>
      </c>
      <c r="M253" s="177" t="str">
        <f t="shared" si="56"/>
        <v/>
      </c>
      <c r="N253" s="380" t="str">
        <f>IF($A253="","",IF($C253=0,_xlfn.LET(_xlpm.x,IFERROR(_xlfn.XLOOKUP($A253,Util_Tags,Util_XR),""),IF(N(_xlpm.x)=0,Xfmr_DefXR,_xlpm.x)),IF(LEFT($A253,2)="T-",IFERROR(_xlfn.XLOOKUP($A253,Transformers!$A$6:$A$105,Transformers!$AH$6:$AH$105),Xfmr_DefXR),IFERROR(_xlfn.XLOOKUP($E253,$A$6:$A$255,$N$6:$N$255),Xfmr_DefXR))))</f>
        <v/>
      </c>
      <c r="O253" s="177" t="str">
        <f t="shared" si="57"/>
        <v/>
      </c>
      <c r="P253" s="210" t="str">
        <f>IF($A253="","",IF(LEFT($A253,2)="T-",IF($CO253="","",_xlfn.LET(_xlpm.k,IFERROR(_xlfn.XLOOKUP($A253,Transformers!$A$6:$A$105,Transformers!$G$6:$G$105),""),_xlpm.sv,IFERROR(_xlfn.XLOOKUP($A253,Transformers!$A$6:$A$105,Transformers!$E$6:$E$105),""),IF(OR(NOT(ISNUMBER(_xlpm.k)),NOT(ISNUMBER(_xlpm.sv)),_xlpm.sv=0),"",_xlfn.LET(_xlpm.iInf,(_xlpm.k*1000/(_xlpm.sv/2))*100/$CO253,_xlpm.pri,IF(OR($CK253="",$CK253=0),"",$CK253/2),_xlpm.base,IF(_xlpm.pri="",_xlpm.iInf,_xlpm.iInf/(1+_xlpm.iInf/_xlpm.pri)),_xlpm.base+IF($L253="",0,$L253))))),IF($CP253="","",_xlfn.LET(_xlpm.pI,IFERROR(_xlfn.XLOOKUP($E253,$A$6:$A$255,$P$6:$P$255),""),IF(NOT(ISNUMBER(_xlpm.pI)),"",_xlpm.pI/(1+$CP253)+IF($L253="",0,$L253))))))</f>
        <v/>
      </c>
      <c r="Q253" s="210" t="str">
        <f t="shared" si="58"/>
        <v/>
      </c>
      <c r="R253" s="177" t="str">
        <f>IF($A253="","",IF(OR($C253=0,LEFT($A253,2)="T-"),"",IFERROR(_xlfn.LET(_xlpm.v,_xlfn.XLOOKUP($A253,Dashboard!$A$101:$A$350,Dashboard!$K$101:$K$350),IF(ISNUMBER(_xlpm.v),_xlpm.v,"")),"")))</f>
        <v/>
      </c>
      <c r="S253" s="211" t="str">
        <f t="shared" si="59"/>
        <v/>
      </c>
      <c r="T253" s="25" t="str">
        <f t="shared" si="60"/>
        <v/>
      </c>
      <c r="U253" s="364"/>
      <c r="BV253" s="20" t="str">
        <f>IF($A253="","",IFERROR(_xlfn.XLOOKUP("F-"&amp;$A253,'Feeder Schedule'!$B$5:$B$254,'Feeder Schedule'!$H$5:$H$254),""))</f>
        <v/>
      </c>
      <c r="BW253" s="20" t="str">
        <f>IF($A253="","",IFERROR(_xlfn.XLOOKUP("F-"&amp;$A253,'Feeder Schedule'!$B$5:$B$254,'Feeder Schedule'!$BV$5:$BV$254),""))</f>
        <v/>
      </c>
      <c r="BX253" s="20" t="str">
        <f>IF($A253="","",IFERROR(_xlfn.LET(_xlpm.v,_xlfn.XLOOKUP("F-"&amp;$A253,'Feeder Schedule'!$B$5:$B$254,'Feeder Schedule'!$M$5:$M$254),IF(OR(_xlpm.v="",_xlpm.v=0),Cfg_Conduit,_xlpm.v)),""))</f>
        <v/>
      </c>
      <c r="BY253" s="20" t="str">
        <f>IF($A253="","",IFERROR(_xlfn.XLOOKUP("F-"&amp;$A253,'Feeder Schedule'!$B$5:$B$254,'Feeder Schedule'!$O$5:$O$254),""))</f>
        <v/>
      </c>
      <c r="BZ253" s="20" t="str">
        <f>IF($A253="","",IFERROR(_xlfn.XLOOKUP("F-"&amp;$A253,'Feeder Schedule'!$B$5:$B$254,'Feeder Schedule'!$CH$5:$CH$254),""))</f>
        <v/>
      </c>
      <c r="CA253" s="20" t="str">
        <f>IF($A253="","",IFERROR(_xlfn.XLOOKUP("F-"&amp;$A253,'Feeder Schedule'!$B$5:$B$254,'Feeder Schedule'!$F$5:$F$254),""))</f>
        <v/>
      </c>
      <c r="CB253" s="20" t="str">
        <f>IF($A253="","",IFERROR(_xlfn.XLOOKUP("F-"&amp;$A253,'Feeder Schedule'!$B$5:$B$254,'Feeder Schedule'!$G$5:$G$254),""))</f>
        <v/>
      </c>
      <c r="CD253" s="20" t="str" cm="1">
        <f t="array" ref="CD253">IFERROR(IF($A253="","",INDEX(_xlfn.ANCHORARRAY($BK$4),ROW()-5,6)),"")</f>
        <v/>
      </c>
      <c r="CE253" s="20" t="str">
        <f t="shared" si="63"/>
        <v/>
      </c>
      <c r="CF253" s="20" t="str">
        <f t="shared" si="64"/>
        <v/>
      </c>
      <c r="CG253" s="20" t="str">
        <f t="shared" si="61"/>
        <v/>
      </c>
      <c r="CH253" s="20" t="str" cm="1">
        <f t="array" ref="CH253">IF(OR($A253="",$BZ253="",$BW253="",$BX253=""),"",_xlfn.LET(_xlpm.mag,IFERROR(_xlfn.XLOOKUP($BX253,Race_Raceway,Race_Mag),""),IF(_xlpm.mag="","",IFERROR(INDEX(Cond_Table,MATCH($BZ253,Cond_Size,0),IF(UPPER($BW253)="AL",IF(_xlpm.mag="Y",10,12),IF(_xlpm.mag="Y",9,11))),""))))</f>
        <v/>
      </c>
      <c r="CI253" s="20" t="str">
        <f t="shared" si="62"/>
        <v/>
      </c>
      <c r="CJ253" s="20" t="str">
        <f>IF(OR($A253="",LEFT($A253,2)&lt;&gt;"T-"),"",IFERROR(_xlfn.LET(_xlpm.fla,_xlfn.XLOOKUP($A253,Transformers!$A$6:$A$105,Transformers!$AK$6:$AK$105),_xlpm.z,_xlfn.XLOOKUP($A253,Transformers!$A$6:$A$105,Transformers!$AX$6:$AX$105),IF(OR(_xlpm.fla="",_xlpm.z="",_xlpm.z=0),"",_xlpm.fla*100/_xlpm.z)),""))</f>
        <v/>
      </c>
      <c r="CK253" s="20" t="str">
        <f t="shared" si="65"/>
        <v/>
      </c>
      <c r="CL253" s="20" t="str">
        <f t="shared" si="66"/>
        <v/>
      </c>
      <c r="CM253" s="373"/>
      <c r="CO253" s="20" t="str">
        <f>IF(OR($A253="",LEFT($A253,2)&lt;&gt;"T-"),"",_xlfn.LET(_xlpm.ph,IFERROR(_xlfn.XLOOKUP($A253,Transformers!$A$6:$A$105,Transformers!$C$6:$C$105),""),_xlpm.rr,IFERROR(_xlfn.XLOOKUP($A253,Transformers!$A$6:$A$105,Transformers!$AG$6:$AG$105),""),_xlpm.xx,IFERROR(_xlfn.XLOOKUP($A253,Transformers!$A$6:$A$105,Transformers!$AI$6:$AI$105),""),IF(OR(_xlpm.ph&lt;&gt;1,NOT(ISNUMBER(_xlpm.rr)),NOT(ISNUMBER(_xlpm.xx))),"",SQRT((1.5*_xlpm.rr)^2+(1.2*_xlpm.xx)^2))))</f>
        <v/>
      </c>
      <c r="CP253" s="20" t="str">
        <f t="shared" si="67"/>
        <v/>
      </c>
    </row>
    <row r="254" spans="1:94" ht="15" customHeight="1" x14ac:dyDescent="0.45">
      <c r="A254" s="275" t="str" cm="1">
        <f t="array" ref="A254">IFERROR(IF(INDEX(_xlfn.ANCHORARRAY($BK$4),ROW()-5,1)="","",INDEX(_xlfn.ANCHORARRAY($BK$4),ROW()-5,1)),"")</f>
        <v/>
      </c>
      <c r="B254" s="25" t="str" cm="1">
        <f t="array" ref="B254">IFERROR(IF($A254="","",INDEX(_xlfn.ANCHORARRAY($BK$4),ROW()-5,5)),"")</f>
        <v/>
      </c>
      <c r="C254" s="178" t="str" cm="1">
        <f t="array" ref="C254">IFERROR(IF($A254="","",INDEX(_xlfn.ANCHORARRAY($BK$4),ROW()-5,7)),"")</f>
        <v/>
      </c>
      <c r="D254" s="177" t="str" cm="1">
        <f t="array" ref="D254">IFERROR(IF($A254="","",INDEX(_xlfn.ANCHORARRAY($BK$4),ROW()-5,3)),"")</f>
        <v/>
      </c>
      <c r="E254" s="25" t="str" cm="1">
        <f t="array" ref="E254">IFERROR(IF($A254="","",INDEX(_xlfn.ANCHORARRAY($BK$4),ROW()-5,2)),"")</f>
        <v/>
      </c>
      <c r="F254" s="177" t="str">
        <f t="shared" si="51"/>
        <v/>
      </c>
      <c r="G254" s="275" t="str">
        <f t="shared" si="52"/>
        <v/>
      </c>
      <c r="H254" s="180" t="str">
        <f t="shared" si="53"/>
        <v/>
      </c>
      <c r="I254" s="180" t="str">
        <f t="shared" si="54"/>
        <v/>
      </c>
      <c r="J254" s="177" t="str">
        <f>_xlfn.LET(_xlpm.v,_xlfn.LET(_xlpm.base,IF($A254="","",IF($C254=0,IFERROR(_xlfn.XLOOKUP($A254,Util_Tags,Util_SCAEff),""),IF(LEFT($A254,2)="T-",IF($CJ254="","",$CJ254/(1+IF($CL254="",0,$CL254))),IF(OR($F254="",$I254=""),"",$F254*$I254)))),_xlpm.gtag,IF(OR($A254="",NOT(OR($B254="ATS",$B254="MTS"))),"",IFERROR(_xlfn.XLOOKUP($A254,Dashboard!$A$101:$A$350,Dashboard!$L$101:$L$350,"")&amp;"","")),_xlpm.gkva,IF(_xlpm.gtag="",0,IFERROR(N(_xlfn.XLOOKUP(_xlpm.gtag,Generator!$B$53:$B$58,Generator!$S$53:$S$58,0)),0)),_xlpm.gxd,IF(_xlpm.gtag="",0,IFERROR(N(_xlfn.XLOOKUP(_xlpm.gtag,Generator!$B$53:$B$58,Generator!$U$53:$U$58,0)),0)),_xlpm.gamp,IF(OR(_xlpm.gkva=0,_xlpm.gxd=0,N($D254)=0),0,ROUND(_xlpm.gkva*1000/(IF(N($CB254)=1,1,SQRT(3))*$D254*_xlpm.gxd),0)),IF(OR(_xlpm.gamp=0,NOT(ISNUMBER(_xlpm.base))),_xlpm.base,MAX(_xlpm.base,_xlpm.gamp))),_xlpm.ulim,IF(OR($A254="",$B254&lt;&gt;"UPS"),"",IFERROR(IF(_xlfn.XLOOKUP($A254,UPS!$B$57:$B$64,UPS!$E$57:$E$64,"")="None",_xlfn.XLOOKUP($A254,UPS!$B$57:$B$64,UPS!$U$57:$U$64,""),""),"")),IF(AND(ISNUMBER(_xlpm.v),ISNUMBER(_xlpm.ulim)),MIN(_xlpm.v,_xlpm.ulim),_xlpm.v))</f>
        <v/>
      </c>
      <c r="K254" s="176"/>
      <c r="L254" s="177" t="str">
        <f t="shared" si="55"/>
        <v/>
      </c>
      <c r="M254" s="177" t="str">
        <f t="shared" si="56"/>
        <v/>
      </c>
      <c r="N254" s="380" t="str">
        <f>IF($A254="","",IF($C254=0,_xlfn.LET(_xlpm.x,IFERROR(_xlfn.XLOOKUP($A254,Util_Tags,Util_XR),""),IF(N(_xlpm.x)=0,Xfmr_DefXR,_xlpm.x)),IF(LEFT($A254,2)="T-",IFERROR(_xlfn.XLOOKUP($A254,Transformers!$A$6:$A$105,Transformers!$AH$6:$AH$105),Xfmr_DefXR),IFERROR(_xlfn.XLOOKUP($E254,$A$6:$A$255,$N$6:$N$255),Xfmr_DefXR))))</f>
        <v/>
      </c>
      <c r="O254" s="177" t="str">
        <f t="shared" si="57"/>
        <v/>
      </c>
      <c r="P254" s="210" t="str">
        <f>IF($A254="","",IF(LEFT($A254,2)="T-",IF($CO254="","",_xlfn.LET(_xlpm.k,IFERROR(_xlfn.XLOOKUP($A254,Transformers!$A$6:$A$105,Transformers!$G$6:$G$105),""),_xlpm.sv,IFERROR(_xlfn.XLOOKUP($A254,Transformers!$A$6:$A$105,Transformers!$E$6:$E$105),""),IF(OR(NOT(ISNUMBER(_xlpm.k)),NOT(ISNUMBER(_xlpm.sv)),_xlpm.sv=0),"",_xlfn.LET(_xlpm.iInf,(_xlpm.k*1000/(_xlpm.sv/2))*100/$CO254,_xlpm.pri,IF(OR($CK254="",$CK254=0),"",$CK254/2),_xlpm.base,IF(_xlpm.pri="",_xlpm.iInf,_xlpm.iInf/(1+_xlpm.iInf/_xlpm.pri)),_xlpm.base+IF($L254="",0,$L254))))),IF($CP254="","",_xlfn.LET(_xlpm.pI,IFERROR(_xlfn.XLOOKUP($E254,$A$6:$A$255,$P$6:$P$255),""),IF(NOT(ISNUMBER(_xlpm.pI)),"",_xlpm.pI/(1+$CP254)+IF($L254="",0,$L254))))))</f>
        <v/>
      </c>
      <c r="Q254" s="210" t="str">
        <f t="shared" si="58"/>
        <v/>
      </c>
      <c r="R254" s="177" t="str">
        <f>IF($A254="","",IF(OR($C254=0,LEFT($A254,2)="T-"),"",IFERROR(_xlfn.LET(_xlpm.v,_xlfn.XLOOKUP($A254,Dashboard!$A$101:$A$350,Dashboard!$K$101:$K$350),IF(ISNUMBER(_xlpm.v),_xlpm.v,"")),"")))</f>
        <v/>
      </c>
      <c r="S254" s="211" t="str">
        <f t="shared" si="59"/>
        <v/>
      </c>
      <c r="T254" s="25" t="str">
        <f t="shared" si="60"/>
        <v/>
      </c>
      <c r="U254" s="364"/>
      <c r="BV254" s="20" t="str">
        <f>IF($A254="","",IFERROR(_xlfn.XLOOKUP("F-"&amp;$A254,'Feeder Schedule'!$B$5:$B$254,'Feeder Schedule'!$H$5:$H$254),""))</f>
        <v/>
      </c>
      <c r="BW254" s="20" t="str">
        <f>IF($A254="","",IFERROR(_xlfn.XLOOKUP("F-"&amp;$A254,'Feeder Schedule'!$B$5:$B$254,'Feeder Schedule'!$BV$5:$BV$254),""))</f>
        <v/>
      </c>
      <c r="BX254" s="20" t="str">
        <f>IF($A254="","",IFERROR(_xlfn.LET(_xlpm.v,_xlfn.XLOOKUP("F-"&amp;$A254,'Feeder Schedule'!$B$5:$B$254,'Feeder Schedule'!$M$5:$M$254),IF(OR(_xlpm.v="",_xlpm.v=0),Cfg_Conduit,_xlpm.v)),""))</f>
        <v/>
      </c>
      <c r="BY254" s="20" t="str">
        <f>IF($A254="","",IFERROR(_xlfn.XLOOKUP("F-"&amp;$A254,'Feeder Schedule'!$B$5:$B$254,'Feeder Schedule'!$O$5:$O$254),""))</f>
        <v/>
      </c>
      <c r="BZ254" s="20" t="str">
        <f>IF($A254="","",IFERROR(_xlfn.XLOOKUP("F-"&amp;$A254,'Feeder Schedule'!$B$5:$B$254,'Feeder Schedule'!$CH$5:$CH$254),""))</f>
        <v/>
      </c>
      <c r="CA254" s="20" t="str">
        <f>IF($A254="","",IFERROR(_xlfn.XLOOKUP("F-"&amp;$A254,'Feeder Schedule'!$B$5:$B$254,'Feeder Schedule'!$F$5:$F$254),""))</f>
        <v/>
      </c>
      <c r="CB254" s="20" t="str">
        <f>IF($A254="","",IFERROR(_xlfn.XLOOKUP("F-"&amp;$A254,'Feeder Schedule'!$B$5:$B$254,'Feeder Schedule'!$G$5:$G$254),""))</f>
        <v/>
      </c>
      <c r="CD254" s="20" t="str" cm="1">
        <f t="array" ref="CD254">IFERROR(IF($A254="","",INDEX(_xlfn.ANCHORARRAY($BK$4),ROW()-5,6)),"")</f>
        <v/>
      </c>
      <c r="CE254" s="20" t="str">
        <f t="shared" si="63"/>
        <v/>
      </c>
      <c r="CF254" s="20" t="str">
        <f t="shared" si="64"/>
        <v/>
      </c>
      <c r="CG254" s="20" t="str">
        <f t="shared" si="61"/>
        <v/>
      </c>
      <c r="CH254" s="20" t="str" cm="1">
        <f t="array" ref="CH254">IF(OR($A254="",$BZ254="",$BW254="",$BX254=""),"",_xlfn.LET(_xlpm.mag,IFERROR(_xlfn.XLOOKUP($BX254,Race_Raceway,Race_Mag),""),IF(_xlpm.mag="","",IFERROR(INDEX(Cond_Table,MATCH($BZ254,Cond_Size,0),IF(UPPER($BW254)="AL",IF(_xlpm.mag="Y",10,12),IF(_xlpm.mag="Y",9,11))),""))))</f>
        <v/>
      </c>
      <c r="CI254" s="20" t="str">
        <f t="shared" si="62"/>
        <v/>
      </c>
      <c r="CJ254" s="20" t="str">
        <f>IF(OR($A254="",LEFT($A254,2)&lt;&gt;"T-"),"",IFERROR(_xlfn.LET(_xlpm.fla,_xlfn.XLOOKUP($A254,Transformers!$A$6:$A$105,Transformers!$AK$6:$AK$105),_xlpm.z,_xlfn.XLOOKUP($A254,Transformers!$A$6:$A$105,Transformers!$AX$6:$AX$105),IF(OR(_xlpm.fla="",_xlpm.z="",_xlpm.z=0),"",_xlpm.fla*100/_xlpm.z)),""))</f>
        <v/>
      </c>
      <c r="CK254" s="20" t="str">
        <f t="shared" si="65"/>
        <v/>
      </c>
      <c r="CL254" s="20" t="str">
        <f t="shared" si="66"/>
        <v/>
      </c>
      <c r="CM254" s="373"/>
      <c r="CO254" s="20" t="str">
        <f>IF(OR($A254="",LEFT($A254,2)&lt;&gt;"T-"),"",_xlfn.LET(_xlpm.ph,IFERROR(_xlfn.XLOOKUP($A254,Transformers!$A$6:$A$105,Transformers!$C$6:$C$105),""),_xlpm.rr,IFERROR(_xlfn.XLOOKUP($A254,Transformers!$A$6:$A$105,Transformers!$AG$6:$AG$105),""),_xlpm.xx,IFERROR(_xlfn.XLOOKUP($A254,Transformers!$A$6:$A$105,Transformers!$AI$6:$AI$105),""),IF(OR(_xlpm.ph&lt;&gt;1,NOT(ISNUMBER(_xlpm.rr)),NOT(ISNUMBER(_xlpm.xx))),"",SQRT((1.5*_xlpm.rr)^2+(1.2*_xlpm.xx)^2))))</f>
        <v/>
      </c>
      <c r="CP254" s="20" t="str">
        <f t="shared" si="67"/>
        <v/>
      </c>
    </row>
    <row r="255" spans="1:94" ht="15" customHeight="1" x14ac:dyDescent="0.45">
      <c r="A255" s="275" t="str" cm="1">
        <f t="array" ref="A255">IFERROR(IF(INDEX(_xlfn.ANCHORARRAY($BK$4),ROW()-5,1)="","",INDEX(_xlfn.ANCHORARRAY($BK$4),ROW()-5,1)),"")</f>
        <v/>
      </c>
      <c r="B255" s="25" t="str" cm="1">
        <f t="array" ref="B255">IFERROR(IF($A255="","",INDEX(_xlfn.ANCHORARRAY($BK$4),ROW()-5,5)),"")</f>
        <v/>
      </c>
      <c r="C255" s="178" t="str" cm="1">
        <f t="array" ref="C255">IFERROR(IF($A255="","",INDEX(_xlfn.ANCHORARRAY($BK$4),ROW()-5,7)),"")</f>
        <v/>
      </c>
      <c r="D255" s="177" t="str" cm="1">
        <f t="array" ref="D255">IFERROR(IF($A255="","",INDEX(_xlfn.ANCHORARRAY($BK$4),ROW()-5,3)),"")</f>
        <v/>
      </c>
      <c r="E255" s="25" t="str" cm="1">
        <f t="array" ref="E255">IFERROR(IF($A255="","",INDEX(_xlfn.ANCHORARRAY($BK$4),ROW()-5,2)),"")</f>
        <v/>
      </c>
      <c r="F255" s="177" t="str">
        <f t="shared" si="51"/>
        <v/>
      </c>
      <c r="G255" s="275" t="str">
        <f t="shared" si="52"/>
        <v/>
      </c>
      <c r="H255" s="180" t="str">
        <f t="shared" si="53"/>
        <v/>
      </c>
      <c r="I255" s="180" t="str">
        <f t="shared" si="54"/>
        <v/>
      </c>
      <c r="J255" s="177" t="str">
        <f>_xlfn.LET(_xlpm.v,_xlfn.LET(_xlpm.base,IF($A255="","",IF($C255=0,IFERROR(_xlfn.XLOOKUP($A255,Util_Tags,Util_SCAEff),""),IF(LEFT($A255,2)="T-",IF($CJ255="","",$CJ255/(1+IF($CL255="",0,$CL255))),IF(OR($F255="",$I255=""),"",$F255*$I255)))),_xlpm.gtag,IF(OR($A255="",NOT(OR($B255="ATS",$B255="MTS"))),"",IFERROR(_xlfn.XLOOKUP($A255,Dashboard!$A$101:$A$350,Dashboard!$L$101:$L$350,"")&amp;"","")),_xlpm.gkva,IF(_xlpm.gtag="",0,IFERROR(N(_xlfn.XLOOKUP(_xlpm.gtag,Generator!$B$53:$B$58,Generator!$S$53:$S$58,0)),0)),_xlpm.gxd,IF(_xlpm.gtag="",0,IFERROR(N(_xlfn.XLOOKUP(_xlpm.gtag,Generator!$B$53:$B$58,Generator!$U$53:$U$58,0)),0)),_xlpm.gamp,IF(OR(_xlpm.gkva=0,_xlpm.gxd=0,N($D255)=0),0,ROUND(_xlpm.gkva*1000/(IF(N($CB255)=1,1,SQRT(3))*$D255*_xlpm.gxd),0)),IF(OR(_xlpm.gamp=0,NOT(ISNUMBER(_xlpm.base))),_xlpm.base,MAX(_xlpm.base,_xlpm.gamp))),_xlpm.ulim,IF(OR($A255="",$B255&lt;&gt;"UPS"),"",IFERROR(IF(_xlfn.XLOOKUP($A255,UPS!$B$57:$B$64,UPS!$E$57:$E$64,"")="None",_xlfn.XLOOKUP($A255,UPS!$B$57:$B$64,UPS!$U$57:$U$64,""),""),"")),IF(AND(ISNUMBER(_xlpm.v),ISNUMBER(_xlpm.ulim)),MIN(_xlpm.v,_xlpm.ulim),_xlpm.v))</f>
        <v/>
      </c>
      <c r="K255" s="176"/>
      <c r="L255" s="177" t="str">
        <f t="shared" si="55"/>
        <v/>
      </c>
      <c r="M255" s="177" t="str">
        <f t="shared" si="56"/>
        <v/>
      </c>
      <c r="N255" s="380" t="str">
        <f>IF($A255="","",IF($C255=0,_xlfn.LET(_xlpm.x,IFERROR(_xlfn.XLOOKUP($A255,Util_Tags,Util_XR),""),IF(N(_xlpm.x)=0,Xfmr_DefXR,_xlpm.x)),IF(LEFT($A255,2)="T-",IFERROR(_xlfn.XLOOKUP($A255,Transformers!$A$6:$A$105,Transformers!$AH$6:$AH$105),Xfmr_DefXR),IFERROR(_xlfn.XLOOKUP($E255,$A$6:$A$255,$N$6:$N$255),Xfmr_DefXR))))</f>
        <v/>
      </c>
      <c r="O255" s="177" t="str">
        <f t="shared" si="57"/>
        <v/>
      </c>
      <c r="P255" s="210" t="str">
        <f>IF($A255="","",IF(LEFT($A255,2)="T-",IF($CO255="","",_xlfn.LET(_xlpm.k,IFERROR(_xlfn.XLOOKUP($A255,Transformers!$A$6:$A$105,Transformers!$G$6:$G$105),""),_xlpm.sv,IFERROR(_xlfn.XLOOKUP($A255,Transformers!$A$6:$A$105,Transformers!$E$6:$E$105),""),IF(OR(NOT(ISNUMBER(_xlpm.k)),NOT(ISNUMBER(_xlpm.sv)),_xlpm.sv=0),"",_xlfn.LET(_xlpm.iInf,(_xlpm.k*1000/(_xlpm.sv/2))*100/$CO255,_xlpm.pri,IF(OR($CK255="",$CK255=0),"",$CK255/2),_xlpm.base,IF(_xlpm.pri="",_xlpm.iInf,_xlpm.iInf/(1+_xlpm.iInf/_xlpm.pri)),_xlpm.base+IF($L255="",0,$L255))))),IF($CP255="","",_xlfn.LET(_xlpm.pI,IFERROR(_xlfn.XLOOKUP($E255,$A$6:$A$255,$P$6:$P$255),""),IF(NOT(ISNUMBER(_xlpm.pI)),"",_xlpm.pI/(1+$CP255)+IF($L255="",0,$L255))))))</f>
        <v/>
      </c>
      <c r="Q255" s="210" t="str">
        <f t="shared" si="58"/>
        <v/>
      </c>
      <c r="R255" s="177" t="str">
        <f>IF($A255="","",IF(OR($C255=0,LEFT($A255,2)="T-"),"",IFERROR(_xlfn.LET(_xlpm.v,_xlfn.XLOOKUP($A255,Dashboard!$A$101:$A$350,Dashboard!$K$101:$K$350),IF(ISNUMBER(_xlpm.v),_xlpm.v,"")),"")))</f>
        <v/>
      </c>
      <c r="S255" s="211" t="str">
        <f t="shared" si="59"/>
        <v/>
      </c>
      <c r="T255" s="25" t="str">
        <f t="shared" si="60"/>
        <v/>
      </c>
      <c r="U255" s="364"/>
      <c r="BV255" s="20" t="str">
        <f>IF($A255="","",IFERROR(_xlfn.XLOOKUP("F-"&amp;$A255,'Feeder Schedule'!$B$5:$B$254,'Feeder Schedule'!$H$5:$H$254),""))</f>
        <v/>
      </c>
      <c r="BW255" s="20" t="str">
        <f>IF($A255="","",IFERROR(_xlfn.XLOOKUP("F-"&amp;$A255,'Feeder Schedule'!$B$5:$B$254,'Feeder Schedule'!$BV$5:$BV$254),""))</f>
        <v/>
      </c>
      <c r="BX255" s="20" t="str">
        <f>IF($A255="","",IFERROR(_xlfn.LET(_xlpm.v,_xlfn.XLOOKUP("F-"&amp;$A255,'Feeder Schedule'!$B$5:$B$254,'Feeder Schedule'!$M$5:$M$254),IF(OR(_xlpm.v="",_xlpm.v=0),Cfg_Conduit,_xlpm.v)),""))</f>
        <v/>
      </c>
      <c r="BY255" s="20" t="str">
        <f>IF($A255="","",IFERROR(_xlfn.XLOOKUP("F-"&amp;$A255,'Feeder Schedule'!$B$5:$B$254,'Feeder Schedule'!$O$5:$O$254),""))</f>
        <v/>
      </c>
      <c r="BZ255" s="20" t="str">
        <f>IF($A255="","",IFERROR(_xlfn.XLOOKUP("F-"&amp;$A255,'Feeder Schedule'!$B$5:$B$254,'Feeder Schedule'!$CH$5:$CH$254),""))</f>
        <v/>
      </c>
      <c r="CA255" s="20" t="str">
        <f>IF($A255="","",IFERROR(_xlfn.XLOOKUP("F-"&amp;$A255,'Feeder Schedule'!$B$5:$B$254,'Feeder Schedule'!$F$5:$F$254),""))</f>
        <v/>
      </c>
      <c r="CB255" s="20" t="str">
        <f>IF($A255="","",IFERROR(_xlfn.XLOOKUP("F-"&amp;$A255,'Feeder Schedule'!$B$5:$B$254,'Feeder Schedule'!$G$5:$G$254),""))</f>
        <v/>
      </c>
      <c r="CD255" s="20" t="str" cm="1">
        <f t="array" ref="CD255">IFERROR(IF($A255="","",INDEX(_xlfn.ANCHORARRAY($BK$4),ROW()-5,6)),"")</f>
        <v/>
      </c>
      <c r="CE255" s="20" t="str">
        <f t="shared" si="63"/>
        <v/>
      </c>
      <c r="CF255" s="20" t="str">
        <f t="shared" si="64"/>
        <v/>
      </c>
      <c r="CG255" s="20" t="str">
        <f t="shared" si="61"/>
        <v/>
      </c>
      <c r="CH255" s="20" t="str" cm="1">
        <f t="array" ref="CH255">IF(OR($A255="",$BZ255="",$BW255="",$BX255=""),"",_xlfn.LET(_xlpm.mag,IFERROR(_xlfn.XLOOKUP($BX255,Race_Raceway,Race_Mag),""),IF(_xlpm.mag="","",IFERROR(INDEX(Cond_Table,MATCH($BZ255,Cond_Size,0),IF(UPPER($BW255)="AL",IF(_xlpm.mag="Y",10,12),IF(_xlpm.mag="Y",9,11))),""))))</f>
        <v/>
      </c>
      <c r="CI255" s="20" t="str">
        <f t="shared" si="62"/>
        <v/>
      </c>
      <c r="CJ255" s="20" t="str">
        <f>IF(OR($A255="",LEFT($A255,2)&lt;&gt;"T-"),"",IFERROR(_xlfn.LET(_xlpm.fla,_xlfn.XLOOKUP($A255,Transformers!$A$6:$A$105,Transformers!$AK$6:$AK$105),_xlpm.z,_xlfn.XLOOKUP($A255,Transformers!$A$6:$A$105,Transformers!$AX$6:$AX$105),IF(OR(_xlpm.fla="",_xlpm.z="",_xlpm.z=0),"",_xlpm.fla*100/_xlpm.z)),""))</f>
        <v/>
      </c>
      <c r="CK255" s="20" t="str">
        <f t="shared" si="65"/>
        <v/>
      </c>
      <c r="CL255" s="20" t="str">
        <f t="shared" si="66"/>
        <v/>
      </c>
      <c r="CM255" s="373"/>
      <c r="CO255" s="20" t="str">
        <f>IF(OR($A255="",LEFT($A255,2)&lt;&gt;"T-"),"",_xlfn.LET(_xlpm.ph,IFERROR(_xlfn.XLOOKUP($A255,Transformers!$A$6:$A$105,Transformers!$C$6:$C$105),""),_xlpm.rr,IFERROR(_xlfn.XLOOKUP($A255,Transformers!$A$6:$A$105,Transformers!$AG$6:$AG$105),""),_xlpm.xx,IFERROR(_xlfn.XLOOKUP($A255,Transformers!$A$6:$A$105,Transformers!$AI$6:$AI$105),""),IF(OR(_xlpm.ph&lt;&gt;1,NOT(ISNUMBER(_xlpm.rr)),NOT(ISNUMBER(_xlpm.xx))),"",SQRT((1.5*_xlpm.rr)^2+(1.2*_xlpm.xx)^2))))</f>
        <v/>
      </c>
      <c r="CP255" s="20" t="str">
        <f t="shared" si="67"/>
        <v/>
      </c>
    </row>
    <row r="258" spans="1:21" x14ac:dyDescent="0.35">
      <c r="A258" s="714" t="s">
        <v>1406</v>
      </c>
      <c r="B258" s="713"/>
      <c r="C258" s="713"/>
      <c r="D258" s="713"/>
      <c r="E258" s="713"/>
      <c r="F258" s="713"/>
      <c r="G258" s="713"/>
      <c r="H258" s="713"/>
      <c r="I258" s="713"/>
      <c r="J258" s="713"/>
      <c r="K258" s="713"/>
      <c r="L258" s="713"/>
      <c r="M258" s="713"/>
      <c r="N258" s="713"/>
      <c r="O258" s="713"/>
      <c r="P258" s="713"/>
      <c r="Q258" s="713"/>
      <c r="R258" s="713"/>
      <c r="S258" s="713"/>
      <c r="T258" s="713"/>
      <c r="U258" s="713"/>
    </row>
    <row r="259" spans="1:21" x14ac:dyDescent="0.35">
      <c r="A259" s="713" t="s">
        <v>1407</v>
      </c>
      <c r="B259" s="713"/>
      <c r="C259" s="713"/>
      <c r="D259" s="713"/>
      <c r="E259" s="713"/>
      <c r="F259" s="713"/>
      <c r="G259" s="713"/>
      <c r="H259" s="713"/>
      <c r="I259" s="713"/>
      <c r="J259" s="713"/>
      <c r="K259" s="713"/>
      <c r="L259" s="713"/>
      <c r="M259" s="713"/>
      <c r="N259" s="713"/>
      <c r="O259" s="713"/>
      <c r="P259" s="713"/>
      <c r="Q259" s="713"/>
      <c r="R259" s="713"/>
      <c r="S259" s="713"/>
      <c r="T259" s="713"/>
      <c r="U259" s="713"/>
    </row>
    <row r="260" spans="1:21" x14ac:dyDescent="0.35">
      <c r="A260" s="713" t="s">
        <v>1408</v>
      </c>
      <c r="B260" s="713"/>
      <c r="C260" s="713"/>
      <c r="D260" s="713"/>
      <c r="E260" s="713"/>
      <c r="F260" s="713"/>
      <c r="G260" s="713"/>
      <c r="H260" s="713"/>
      <c r="I260" s="713"/>
      <c r="J260" s="713"/>
      <c r="K260" s="713"/>
      <c r="L260" s="713"/>
      <c r="M260" s="713"/>
      <c r="N260" s="713"/>
      <c r="O260" s="713"/>
      <c r="P260" s="713"/>
      <c r="Q260" s="713"/>
      <c r="R260" s="713"/>
      <c r="S260" s="713"/>
      <c r="T260" s="713"/>
      <c r="U260" s="713"/>
    </row>
    <row r="261" spans="1:21" x14ac:dyDescent="0.35">
      <c r="A261" s="713" t="s">
        <v>1409</v>
      </c>
      <c r="B261" s="713"/>
      <c r="C261" s="713"/>
      <c r="D261" s="713"/>
      <c r="E261" s="713"/>
      <c r="F261" s="713"/>
      <c r="G261" s="713"/>
      <c r="H261" s="713"/>
      <c r="I261" s="713"/>
      <c r="J261" s="713"/>
      <c r="K261" s="713"/>
      <c r="L261" s="713"/>
      <c r="M261" s="713"/>
      <c r="N261" s="713"/>
      <c r="O261" s="713"/>
      <c r="P261" s="713"/>
      <c r="Q261" s="713"/>
      <c r="R261" s="713"/>
      <c r="S261" s="713"/>
      <c r="T261" s="713"/>
      <c r="U261" s="713"/>
    </row>
    <row r="262" spans="1:21" x14ac:dyDescent="0.35">
      <c r="A262" s="713" t="s">
        <v>1410</v>
      </c>
      <c r="B262" s="713"/>
      <c r="C262" s="713"/>
      <c r="D262" s="713"/>
      <c r="E262" s="713"/>
      <c r="F262" s="713"/>
      <c r="G262" s="713"/>
      <c r="H262" s="713"/>
      <c r="I262" s="713"/>
      <c r="J262" s="713"/>
      <c r="K262" s="713"/>
      <c r="L262" s="713"/>
      <c r="M262" s="713"/>
      <c r="N262" s="713"/>
      <c r="O262" s="713"/>
      <c r="P262" s="713"/>
      <c r="Q262" s="713"/>
      <c r="R262" s="713"/>
      <c r="S262" s="713"/>
      <c r="T262" s="713"/>
      <c r="U262" s="713"/>
    </row>
  </sheetData>
  <sheetProtection sheet="1" objects="1" scenarios="1"/>
  <mergeCells count="33">
    <mergeCell ref="A259:U259"/>
    <mergeCell ref="A260:U260"/>
    <mergeCell ref="A261:U261"/>
    <mergeCell ref="A262:U262"/>
    <mergeCell ref="I4:I5"/>
    <mergeCell ref="J4:J5"/>
    <mergeCell ref="K4:K5"/>
    <mergeCell ref="L4:L5"/>
    <mergeCell ref="A258:U258"/>
    <mergeCell ref="M4:M5"/>
    <mergeCell ref="N3:O3"/>
    <mergeCell ref="R3:U3"/>
    <mergeCell ref="N4:N5"/>
    <mergeCell ref="O4:O5"/>
    <mergeCell ref="R4:R5"/>
    <mergeCell ref="S4:S5"/>
    <mergeCell ref="T4:T5"/>
    <mergeCell ref="A1:H1"/>
    <mergeCell ref="A4:A5"/>
    <mergeCell ref="B4:B5"/>
    <mergeCell ref="C4:C5"/>
    <mergeCell ref="D4:D5"/>
    <mergeCell ref="E4:E5"/>
    <mergeCell ref="F4:F5"/>
    <mergeCell ref="G4:G5"/>
    <mergeCell ref="H4:H5"/>
    <mergeCell ref="A2:U2"/>
    <mergeCell ref="U4:U5"/>
    <mergeCell ref="A3:E3"/>
    <mergeCell ref="F3:G3"/>
    <mergeCell ref="H3:I3"/>
    <mergeCell ref="J3:M3"/>
    <mergeCell ref="P3:Q3"/>
  </mergeCells>
  <conditionalFormatting sqref="A6:U255">
    <cfRule type="expression" dxfId="48" priority="11">
      <formula>OR($A6&lt;&gt;"",ROW()=6)</formula>
    </cfRule>
  </conditionalFormatting>
  <conditionalFormatting sqref="K6:K255">
    <cfRule type="expression" dxfId="47" priority="5">
      <formula>OR($A6&lt;&gt;"",ROW()=6)</formula>
    </cfRule>
  </conditionalFormatting>
  <conditionalFormatting sqref="R6:R255">
    <cfRule type="expression" dxfId="46" priority="2">
      <formula>OR($A6&lt;&gt;"",ROW()=6)</formula>
    </cfRule>
  </conditionalFormatting>
  <conditionalFormatting sqref="U6:U255">
    <cfRule type="expression" dxfId="45" priority="7">
      <formula>OR($A6&lt;&gt;"",ROW()=6)</formula>
    </cfRule>
  </conditionalFormatting>
  <conditionalFormatting sqref="R6:R255">
    <cfRule type="expression" dxfId="44" priority="8">
      <formula>AND($A6&lt;&gt;"",$R6="")</formula>
    </cfRule>
  </conditionalFormatting>
  <conditionalFormatting sqref="K6:K255">
    <cfRule type="expression" dxfId="43" priority="9">
      <formula>AND($A6&lt;&gt;"",$B6="MCC",$K6="")</formula>
    </cfRule>
  </conditionalFormatting>
  <conditionalFormatting sqref="T6:T255">
    <cfRule type="expression" dxfId="42" priority="10">
      <formula>AND($A6&lt;&gt;"",LEFT($T6,1)="⚠")</formula>
    </cfRule>
  </conditionalFormatting>
  <conditionalFormatting sqref="A6:U255">
    <cfRule type="expression" dxfId="41" priority="1">
      <formula>AND($A6&lt;&gt;"",LEFT($T6,4)="FAIL")</formula>
    </cfRule>
  </conditionalFormatting>
  <dataValidations count="2">
    <dataValidation type="decimal" allowBlank="1" showInputMessage="1" showErrorMessage="1" errorTitle="Connected motor FLA" error="Enter the total full-load amps of motors connected at this bus, 0 to 100000. Contribution is applied at the NEC_Data multiplier (4x, or 5x on an MCC). Leave blank only if the bus genuinely has no motors — an MCC left blank is flagged." sqref="K6:K255" xr:uid="{24A2592B-5442-4F56-A726-4400F5C7D824}">
      <formula1>0</formula1>
      <formula2>100000</formula2>
    </dataValidation>
    <dataValidation type="list" allowBlank="1" showInputMessage="1" showErrorMessage="1" errorTitle="Device interrupting rating" error="Pick the interrupting rating of the protective device at this bus. Series ratings are deliberately not supported — every device must stand on its own AIC." sqref="R6:R255" xr:uid="{6ABDC594-37CF-423A-AD0B-CFB3372889ED}">
      <formula1>AIC_List</formula1>
    </dataValidation>
  </dataValidations>
  <pageMargins left="0.7" right="0.7" top="0.75" bottom="0.75" header="0.3" footer="0.3"/>
  <pageSetup scale="29"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5A1C-5169-482A-81AC-8B3D406722BA}">
  <sheetPr codeName="Sheet10">
    <tabColor rgb="FF4DAB51"/>
    <pageSetUpPr fitToPage="1"/>
  </sheetPr>
  <dimension ref="A1:T303"/>
  <sheetViews>
    <sheetView showGridLines="0" showRowColHeaders="0" workbookViewId="0">
      <selection activeCell="K6" sqref="K6"/>
    </sheetView>
  </sheetViews>
  <sheetFormatPr defaultColWidth="8.7265625" defaultRowHeight="16.5" x14ac:dyDescent="0.45"/>
  <cols>
    <col min="1" max="1" width="29.08984375" style="8" customWidth="1"/>
    <col min="2" max="2" width="30.54296875" style="8" customWidth="1"/>
    <col min="3" max="4" width="15.54296875" style="8" customWidth="1"/>
    <col min="5" max="5" width="29.08984375" style="8" customWidth="1"/>
    <col min="6" max="6" width="40.90625" style="8" customWidth="1"/>
    <col min="7" max="10" width="15.54296875" style="8" customWidth="1"/>
    <col min="11" max="11" width="54.54296875" style="8" customWidth="1"/>
    <col min="12" max="12" width="45.54296875" style="8" customWidth="1"/>
    <col min="13" max="13" width="8.7265625" style="8"/>
    <col min="14" max="14" width="8.7265625" style="8" customWidth="1"/>
    <col min="15" max="16384" width="8.7265625" style="8"/>
  </cols>
  <sheetData>
    <row r="1" spans="1:20" s="20" customFormat="1" ht="30" customHeight="1" x14ac:dyDescent="0.35">
      <c r="A1" s="703" t="s">
        <v>221</v>
      </c>
      <c r="B1" s="703"/>
      <c r="C1" s="703"/>
      <c r="D1" s="703"/>
      <c r="E1" s="703"/>
      <c r="F1" s="703"/>
      <c r="G1" s="703"/>
      <c r="H1" s="703"/>
      <c r="I1" s="703"/>
      <c r="J1" s="703"/>
      <c r="K1" s="250"/>
      <c r="L1" s="250"/>
    </row>
    <row r="2" spans="1:20" s="10" customFormat="1" ht="52" customHeight="1" x14ac:dyDescent="0.35">
      <c r="A2" s="587" t="str" cm="1">
        <f t="array" ref="A2">"Cumulative feeder voltage drop, derived automatically: one row per bus, ordered by tier so each bus adds its own run to its parent's cumulative total — the drop shown is what a load at that bus actually sees, not just the last conductor. Ru"&amp;"n %VD is read from the Feeder Schedule (Vd = m × K × I × L ÷ CM, K = 12.9 Cu / 21.2 Al); nothing is recalculated here, so the two sheets can never disagree. Limits come from NEC_Data and follow the informational notes to "&amp;NECREF("210.19")&amp;"(A)(1) and "&amp;NECREF("215.2")&amp;"(A)(1) — 3% on feeders, 5% combined. These are design recommendations, not mandatory limits, so exceeding them is flagged rather than blocked. Enter Notes only; everything else is derived and locked. Requires Microsoft 365 or Excel for the "&amp;"web."</f>
        <v>Cumulative feeder voltage drop, derived automatically: one row per bus, ordered by tier so each bus adds its own run to its parent's cumulative total — the drop shown is what a load at that bus actually sees, not just the last conductor. Run %VD is read from the Feeder Schedule (Vd = m × K × I × L ÷ CM, K = 12.9 Cu / 21.2 Al); nothing is recalculated here, so the two sheets can never disagree. Limits come from NEC_Data and follow the informational notes to 210.19(A)(1) and 215.2(A)(1) — 3% on feeders, 5% combined. These are design recommendations, not mandatory limits, so exceeding them is flagged rather than blocked. Enter Notes only; everything else is derived and locked. Requires Microsoft 365 or Excel for the web.</v>
      </c>
      <c r="B2" s="617"/>
      <c r="C2" s="617"/>
      <c r="D2" s="617"/>
      <c r="E2" s="617"/>
      <c r="F2" s="617"/>
      <c r="G2" s="617"/>
      <c r="H2" s="617"/>
      <c r="I2" s="617"/>
      <c r="J2" s="617"/>
      <c r="K2" s="617"/>
      <c r="L2" s="617"/>
    </row>
    <row r="3" spans="1:20" s="32" customFormat="1" ht="30" customHeight="1" x14ac:dyDescent="0.35">
      <c r="A3" s="699" t="s">
        <v>227</v>
      </c>
      <c r="B3" s="699"/>
      <c r="C3" s="699"/>
      <c r="D3" s="699"/>
      <c r="E3" s="699"/>
      <c r="F3" s="699" t="s">
        <v>74</v>
      </c>
      <c r="G3" s="699"/>
      <c r="H3" s="699"/>
      <c r="I3" s="699" t="s">
        <v>1417</v>
      </c>
      <c r="J3" s="699"/>
      <c r="K3" s="699"/>
      <c r="L3" s="699"/>
    </row>
    <row r="4" spans="1:20" s="10" customFormat="1" ht="40" customHeight="1" x14ac:dyDescent="0.35">
      <c r="A4" s="715" t="s">
        <v>227</v>
      </c>
      <c r="B4" s="715" t="s">
        <v>207</v>
      </c>
      <c r="C4" s="715" t="s">
        <v>1379</v>
      </c>
      <c r="D4" s="715" t="s">
        <v>1396</v>
      </c>
      <c r="E4" s="715" t="s">
        <v>104</v>
      </c>
      <c r="F4" s="715" t="s">
        <v>1398</v>
      </c>
      <c r="G4" s="715" t="s">
        <v>1413</v>
      </c>
      <c r="H4" s="715" t="s">
        <v>1414</v>
      </c>
      <c r="I4" s="715" t="s">
        <v>1415</v>
      </c>
      <c r="J4" s="715" t="s">
        <v>1416</v>
      </c>
      <c r="K4" s="715" t="s">
        <v>225</v>
      </c>
      <c r="L4" s="715" t="s">
        <v>206</v>
      </c>
      <c r="M4"/>
      <c r="N4"/>
      <c r="O4"/>
      <c r="P4"/>
      <c r="Q4"/>
      <c r="R4"/>
      <c r="S4"/>
      <c r="T4"/>
    </row>
    <row r="5" spans="1:20" s="10" customFormat="1" ht="15" customHeight="1" x14ac:dyDescent="0.35">
      <c r="A5" s="715"/>
      <c r="B5" s="715"/>
      <c r="C5" s="715"/>
      <c r="D5" s="715"/>
      <c r="E5" s="715"/>
      <c r="F5" s="715"/>
      <c r="G5" s="715"/>
      <c r="H5" s="715"/>
      <c r="I5" s="715"/>
      <c r="J5" s="715"/>
      <c r="K5" s="715"/>
      <c r="L5" s="715"/>
      <c r="M5"/>
      <c r="N5"/>
      <c r="O5"/>
      <c r="P5"/>
      <c r="Q5"/>
      <c r="R5"/>
      <c r="S5"/>
      <c r="T5"/>
    </row>
    <row r="6" spans="1:20" s="20" customFormat="1" ht="15" customHeight="1" x14ac:dyDescent="0.35">
      <c r="A6" s="15" t="str" cm="1">
        <f t="array" ref="A6">IFERROR(IF(INDEX(_xlfn.ANCHORARRAY('Short Circuit'!$BK$4),ROW()-5,1)="","",INDEX(_xlfn.ANCHORARRAY('Short Circuit'!$BK$4),ROW()-5,1)),"")</f>
        <v>Utility Service</v>
      </c>
      <c r="B6" s="362" t="str" cm="1">
        <f t="array" ref="B6">IFERROR(IF($A6="","",INDEX(_xlfn.ANCHORARRAY('Short Circuit'!$BK$4),ROW()-5,5)),"")</f>
        <v>Source</v>
      </c>
      <c r="C6" s="181" cm="1">
        <f t="array" ref="C6">IFERROR(IF($A6="","",INDEX(_xlfn.ANCHORARRAY('Short Circuit'!$BK$4),ROW()-5,7)),"")</f>
        <v>0</v>
      </c>
      <c r="D6" s="168" t="str" cm="1">
        <f t="array" ref="D6">IFERROR(IF($A6="","",INDEX(_xlfn.ANCHORARRAY('Short Circuit'!$BK$4),ROW()-5,3)),"")</f>
        <v/>
      </c>
      <c r="E6" s="362" t="str" cm="1">
        <f t="array" ref="E6">IFERROR(IF($A6="","",INDEX(_xlfn.ANCHORARRAY('Short Circuit'!$BK$4),ROW()-5,2)),"")</f>
        <v>—</v>
      </c>
      <c r="F6" s="15" t="str">
        <f>IF($A6="","",IF($C6=0,"— utility service —",IFERROR(_xlfn.XLOOKUP("F-"&amp;$A6,'Short Circuit'!$A$6:$A$255,'Short Circuit'!$G$6:$G$255),IFERROR(_xlfn.XLOOKUP($A6,'Short Circuit'!$A$6:$A$255,'Short Circuit'!$G$6:$G$255),"⚠ no feeder data"))))</f>
        <v>— utility service —</v>
      </c>
      <c r="G6" s="78">
        <f>IF($A6="","",IF($C6=0,0,IFERROR(_xlfn.XLOOKUP("F-"&amp;$A6,'Feeder Schedule'!$B$5:$B$254,'Feeder Schedule'!$U$5:$U$254),"")))</f>
        <v>0</v>
      </c>
      <c r="H6" s="78">
        <f>IF($A6="","",IF($C6=0,0,IF($G6="","",_xlfn.LET(_xlpm.p,IFERROR(_xlfn.XLOOKUP($E6,$A$6:$A$255,$H$6:$H$255),0),IF(ISNUMBER(_xlpm.p),_xlpm.p,0)+$G6))))</f>
        <v>0</v>
      </c>
      <c r="I6" s="78">
        <f t="shared" ref="I6:I69" si="0">IF($A6="","",Cfg_VDFeeder)</f>
        <v>0.03</v>
      </c>
      <c r="J6" s="78">
        <f t="shared" ref="J6:J69" si="1">IF($A6="","",Cfg_VDTotal)</f>
        <v>0.05</v>
      </c>
      <c r="K6" s="15" t="str">
        <f>IF($A6="","",IF($C6=0,"— utility source —",IF($G6="","⚠ feeder data missing",_xlfn.LET(_xlpm.p,IFERROR(_xlfn.XLOOKUP($E6,$A$6:$A$255,$H$6:$H$255),0),IF(NOT(ISNUMBER(_xlpm.p)),"⚠ upstream feeder data missing — cumulative incomplete",IF($H6&gt;$J6,"FAIL — cumulative over total limit",IF($H6&gt;$I6,"⚠ cumulative over feeder recommendation",IF($G6&gt;$I6,"⚠ this run over feeder recommendation","PASS"))))))))</f>
        <v>— utility source —</v>
      </c>
      <c r="L6" s="363"/>
      <c r="M6" s="51"/>
      <c r="N6" s="51"/>
      <c r="O6" s="51"/>
      <c r="P6" s="51"/>
      <c r="Q6" s="51"/>
      <c r="R6" s="51"/>
      <c r="S6" s="51"/>
      <c r="T6" s="51"/>
    </row>
    <row r="7" spans="1:20" s="10" customFormat="1" ht="15" customHeight="1" x14ac:dyDescent="0.35">
      <c r="A7" s="15" t="str" cm="1">
        <f t="array" ref="A7">IFERROR(IF(INDEX(_xlfn.ANCHORARRAY('Short Circuit'!$BK$4),ROW()-5,1)="","",INDEX(_xlfn.ANCHORARRAY('Short Circuit'!$BK$4),ROW()-5,1)),"")</f>
        <v/>
      </c>
      <c r="B7" s="362" t="str" cm="1">
        <f t="array" ref="B7">IFERROR(IF($A7="","",INDEX(_xlfn.ANCHORARRAY('Short Circuit'!$BK$4),ROW()-5,5)),"")</f>
        <v/>
      </c>
      <c r="C7" s="181" t="str" cm="1">
        <f t="array" ref="C7">IFERROR(IF($A7="","",INDEX(_xlfn.ANCHORARRAY('Short Circuit'!$BK$4),ROW()-5,7)),"")</f>
        <v/>
      </c>
      <c r="D7" s="168" t="str" cm="1">
        <f t="array" ref="D7">IFERROR(IF($A7="","",INDEX(_xlfn.ANCHORARRAY('Short Circuit'!$BK$4),ROW()-5,3)),"")</f>
        <v/>
      </c>
      <c r="E7" s="362" t="str" cm="1">
        <f t="array" ref="E7">IFERROR(IF($A7="","",INDEX(_xlfn.ANCHORARRAY('Short Circuit'!$BK$4),ROW()-5,2)),"")</f>
        <v/>
      </c>
      <c r="F7" s="15" t="str">
        <f>IF($A7="","",IF($C7=0,"— utility service —",IFERROR(_xlfn.XLOOKUP("F-"&amp;$A7,'Short Circuit'!$A$6:$A$255,'Short Circuit'!$G$6:$G$255),IFERROR(_xlfn.XLOOKUP($A7,'Short Circuit'!$A$6:$A$255,'Short Circuit'!$G$6:$G$255),"⚠ no feeder data"))))</f>
        <v/>
      </c>
      <c r="G7" s="78" t="str">
        <f>IF($A7="","",IF($C7=0,0,IFERROR(_xlfn.XLOOKUP("F-"&amp;$A7,'Feeder Schedule'!$B$5:$B$254,'Feeder Schedule'!$U$5:$U$254),"")))</f>
        <v/>
      </c>
      <c r="H7" s="78" t="str">
        <f t="shared" ref="H7:H70" si="2">IF($A7="","",IF($C7=0,0,IF($G7="","",_xlfn.LET(_xlpm.p,IFERROR(_xlfn.XLOOKUP($E7,$A$6:$A$255,$H$6:$H$255),0),IF(ISNUMBER(_xlpm.p),_xlpm.p,0)+$G7))))</f>
        <v/>
      </c>
      <c r="I7" s="78" t="str">
        <f t="shared" si="0"/>
        <v/>
      </c>
      <c r="J7" s="78" t="str">
        <f t="shared" si="1"/>
        <v/>
      </c>
      <c r="K7" s="15" t="str">
        <f t="shared" ref="K7:K70" si="3">IF($A7="","",IF($C7=0,"— utility source —",IF($G7="","⚠ feeder data missing",_xlfn.LET(_xlpm.p,IFERROR(_xlfn.XLOOKUP($E7,$A$6:$A$255,$H$6:$H$255),0),IF(NOT(ISNUMBER(_xlpm.p)),"⚠ upstream feeder data missing — cumulative incomplete",IF($H7&gt;$J7,"FAIL — cumulative over total limit",IF($H7&gt;$I7,"⚠ cumulative over feeder recommendation",IF($G7&gt;$I7,"⚠ this run over feeder recommendation","PASS"))))))))</f>
        <v/>
      </c>
      <c r="L7" s="363"/>
      <c r="M7" s="51"/>
      <c r="N7" s="51"/>
      <c r="O7" s="51"/>
      <c r="P7" s="51"/>
      <c r="Q7" s="51"/>
      <c r="R7" s="51"/>
      <c r="S7" s="51"/>
      <c r="T7" s="51"/>
    </row>
    <row r="8" spans="1:20" s="10" customFormat="1" ht="15" customHeight="1" x14ac:dyDescent="0.35">
      <c r="A8" s="15" t="str" cm="1">
        <f t="array" ref="A8">IFERROR(IF(INDEX(_xlfn.ANCHORARRAY('Short Circuit'!$BK$4),ROW()-5,1)="","",INDEX(_xlfn.ANCHORARRAY('Short Circuit'!$BK$4),ROW()-5,1)),"")</f>
        <v/>
      </c>
      <c r="B8" s="362" t="str" cm="1">
        <f t="array" ref="B8">IFERROR(IF($A8="","",INDEX(_xlfn.ANCHORARRAY('Short Circuit'!$BK$4),ROW()-5,5)),"")</f>
        <v/>
      </c>
      <c r="C8" s="181" t="str" cm="1">
        <f t="array" ref="C8">IFERROR(IF($A8="","",INDEX(_xlfn.ANCHORARRAY('Short Circuit'!$BK$4),ROW()-5,7)),"")</f>
        <v/>
      </c>
      <c r="D8" s="168" t="str" cm="1">
        <f t="array" ref="D8">IFERROR(IF($A8="","",INDEX(_xlfn.ANCHORARRAY('Short Circuit'!$BK$4),ROW()-5,3)),"")</f>
        <v/>
      </c>
      <c r="E8" s="362" t="str" cm="1">
        <f t="array" ref="E8">IFERROR(IF($A8="","",INDEX(_xlfn.ANCHORARRAY('Short Circuit'!$BK$4),ROW()-5,2)),"")</f>
        <v/>
      </c>
      <c r="F8" s="15" t="str">
        <f>IF($A8="","",IF($C8=0,"— utility service —",IFERROR(_xlfn.XLOOKUP("F-"&amp;$A8,'Short Circuit'!$A$6:$A$255,'Short Circuit'!$G$6:$G$255),IFERROR(_xlfn.XLOOKUP($A8,'Short Circuit'!$A$6:$A$255,'Short Circuit'!$G$6:$G$255),"⚠ no feeder data"))))</f>
        <v/>
      </c>
      <c r="G8" s="78" t="str">
        <f>IF($A8="","",IF($C8=0,0,IFERROR(_xlfn.XLOOKUP("F-"&amp;$A8,'Feeder Schedule'!$B$5:$B$254,'Feeder Schedule'!$U$5:$U$254),"")))</f>
        <v/>
      </c>
      <c r="H8" s="78" t="str">
        <f t="shared" si="2"/>
        <v/>
      </c>
      <c r="I8" s="78" t="str">
        <f t="shared" si="0"/>
        <v/>
      </c>
      <c r="J8" s="78" t="str">
        <f t="shared" si="1"/>
        <v/>
      </c>
      <c r="K8" s="15" t="str">
        <f t="shared" si="3"/>
        <v/>
      </c>
      <c r="L8" s="363"/>
      <c r="M8" s="51"/>
      <c r="N8" s="51"/>
      <c r="O8" s="51"/>
      <c r="P8" s="51"/>
      <c r="Q8" s="51"/>
      <c r="R8" s="51"/>
      <c r="S8" s="51"/>
      <c r="T8" s="51"/>
    </row>
    <row r="9" spans="1:20" s="10" customFormat="1" ht="15" customHeight="1" x14ac:dyDescent="0.35">
      <c r="A9" s="15" t="str" cm="1">
        <f t="array" ref="A9">IFERROR(IF(INDEX(_xlfn.ANCHORARRAY('Short Circuit'!$BK$4),ROW()-5,1)="","",INDEX(_xlfn.ANCHORARRAY('Short Circuit'!$BK$4),ROW()-5,1)),"")</f>
        <v/>
      </c>
      <c r="B9" s="362" t="str" cm="1">
        <f t="array" ref="B9">IFERROR(IF($A9="","",INDEX(_xlfn.ANCHORARRAY('Short Circuit'!$BK$4),ROW()-5,5)),"")</f>
        <v/>
      </c>
      <c r="C9" s="181" t="str" cm="1">
        <f t="array" ref="C9">IFERROR(IF($A9="","",INDEX(_xlfn.ANCHORARRAY('Short Circuit'!$BK$4),ROW()-5,7)),"")</f>
        <v/>
      </c>
      <c r="D9" s="168" t="str" cm="1">
        <f t="array" ref="D9">IFERROR(IF($A9="","",INDEX(_xlfn.ANCHORARRAY('Short Circuit'!$BK$4),ROW()-5,3)),"")</f>
        <v/>
      </c>
      <c r="E9" s="362" t="str" cm="1">
        <f t="array" ref="E9">IFERROR(IF($A9="","",INDEX(_xlfn.ANCHORARRAY('Short Circuit'!$BK$4),ROW()-5,2)),"")</f>
        <v/>
      </c>
      <c r="F9" s="15" t="str">
        <f>IF($A9="","",IF($C9=0,"— utility service —",IFERROR(_xlfn.XLOOKUP("F-"&amp;$A9,'Short Circuit'!$A$6:$A$255,'Short Circuit'!$G$6:$G$255),IFERROR(_xlfn.XLOOKUP($A9,'Short Circuit'!$A$6:$A$255,'Short Circuit'!$G$6:$G$255),"⚠ no feeder data"))))</f>
        <v/>
      </c>
      <c r="G9" s="78" t="str">
        <f>IF($A9="","",IF($C9=0,0,IFERROR(_xlfn.XLOOKUP("F-"&amp;$A9,'Feeder Schedule'!$B$5:$B$254,'Feeder Schedule'!$U$5:$U$254),"")))</f>
        <v/>
      </c>
      <c r="H9" s="78" t="str">
        <f t="shared" si="2"/>
        <v/>
      </c>
      <c r="I9" s="78" t="str">
        <f t="shared" si="0"/>
        <v/>
      </c>
      <c r="J9" s="78" t="str">
        <f t="shared" si="1"/>
        <v/>
      </c>
      <c r="K9" s="15" t="str">
        <f t="shared" si="3"/>
        <v/>
      </c>
      <c r="L9" s="363"/>
      <c r="M9" s="51"/>
      <c r="N9" s="51"/>
      <c r="O9" s="51"/>
      <c r="P9" s="51"/>
      <c r="Q9" s="51"/>
      <c r="R9" s="51"/>
      <c r="S9" s="51"/>
      <c r="T9" s="51"/>
    </row>
    <row r="10" spans="1:20" s="10" customFormat="1" ht="15" customHeight="1" x14ac:dyDescent="0.35">
      <c r="A10" s="15" t="str" cm="1">
        <f t="array" ref="A10">IFERROR(IF(INDEX(_xlfn.ANCHORARRAY('Short Circuit'!$BK$4),ROW()-5,1)="","",INDEX(_xlfn.ANCHORARRAY('Short Circuit'!$BK$4),ROW()-5,1)),"")</f>
        <v/>
      </c>
      <c r="B10" s="362" t="str" cm="1">
        <f t="array" ref="B10">IFERROR(IF($A10="","",INDEX(_xlfn.ANCHORARRAY('Short Circuit'!$BK$4),ROW()-5,5)),"")</f>
        <v/>
      </c>
      <c r="C10" s="181" t="str" cm="1">
        <f t="array" ref="C10">IFERROR(IF($A10="","",INDEX(_xlfn.ANCHORARRAY('Short Circuit'!$BK$4),ROW()-5,7)),"")</f>
        <v/>
      </c>
      <c r="D10" s="168" t="str" cm="1">
        <f t="array" ref="D10">IFERROR(IF($A10="","",INDEX(_xlfn.ANCHORARRAY('Short Circuit'!$BK$4),ROW()-5,3)),"")</f>
        <v/>
      </c>
      <c r="E10" s="362" t="str" cm="1">
        <f t="array" ref="E10">IFERROR(IF($A10="","",INDEX(_xlfn.ANCHORARRAY('Short Circuit'!$BK$4),ROW()-5,2)),"")</f>
        <v/>
      </c>
      <c r="F10" s="15" t="str">
        <f>IF($A10="","",IF($C10=0,"— utility service —",IFERROR(_xlfn.XLOOKUP("F-"&amp;$A10,'Short Circuit'!$A$6:$A$255,'Short Circuit'!$G$6:$G$255),IFERROR(_xlfn.XLOOKUP($A10,'Short Circuit'!$A$6:$A$255,'Short Circuit'!$G$6:$G$255),"⚠ no feeder data"))))</f>
        <v/>
      </c>
      <c r="G10" s="78" t="str">
        <f>IF($A10="","",IF($C10=0,0,IFERROR(_xlfn.XLOOKUP("F-"&amp;$A10,'Feeder Schedule'!$B$5:$B$254,'Feeder Schedule'!$U$5:$U$254),"")))</f>
        <v/>
      </c>
      <c r="H10" s="78" t="str">
        <f t="shared" si="2"/>
        <v/>
      </c>
      <c r="I10" s="78" t="str">
        <f t="shared" si="0"/>
        <v/>
      </c>
      <c r="J10" s="78" t="str">
        <f t="shared" si="1"/>
        <v/>
      </c>
      <c r="K10" s="15" t="str">
        <f t="shared" si="3"/>
        <v/>
      </c>
      <c r="L10" s="363"/>
      <c r="M10" s="51"/>
      <c r="N10" s="51"/>
      <c r="O10" s="51"/>
      <c r="P10" s="51"/>
      <c r="Q10" s="51"/>
      <c r="R10" s="51"/>
      <c r="S10" s="51"/>
      <c r="T10" s="51"/>
    </row>
    <row r="11" spans="1:20" s="21" customFormat="1" ht="15" customHeight="1" x14ac:dyDescent="0.35">
      <c r="A11" s="15" t="str" cm="1">
        <f t="array" ref="A11">IFERROR(IF(INDEX(_xlfn.ANCHORARRAY('Short Circuit'!$BK$4),ROW()-5,1)="","",INDEX(_xlfn.ANCHORARRAY('Short Circuit'!$BK$4),ROW()-5,1)),"")</f>
        <v/>
      </c>
      <c r="B11" s="362" t="str" cm="1">
        <f t="array" ref="B11">IFERROR(IF($A11="","",INDEX(_xlfn.ANCHORARRAY('Short Circuit'!$BK$4),ROW()-5,5)),"")</f>
        <v/>
      </c>
      <c r="C11" s="181" t="str" cm="1">
        <f t="array" ref="C11">IFERROR(IF($A11="","",INDEX(_xlfn.ANCHORARRAY('Short Circuit'!$BK$4),ROW()-5,7)),"")</f>
        <v/>
      </c>
      <c r="D11" s="168" t="str" cm="1">
        <f t="array" ref="D11">IFERROR(IF($A11="","",INDEX(_xlfn.ANCHORARRAY('Short Circuit'!$BK$4),ROW()-5,3)),"")</f>
        <v/>
      </c>
      <c r="E11" s="362" t="str" cm="1">
        <f t="array" ref="E11">IFERROR(IF($A11="","",INDEX(_xlfn.ANCHORARRAY('Short Circuit'!$BK$4),ROW()-5,2)),"")</f>
        <v/>
      </c>
      <c r="F11" s="15" t="str">
        <f>IF($A11="","",IF($C11=0,"— utility service —",IFERROR(_xlfn.XLOOKUP("F-"&amp;$A11,'Short Circuit'!$A$6:$A$255,'Short Circuit'!$G$6:$G$255),IFERROR(_xlfn.XLOOKUP($A11,'Short Circuit'!$A$6:$A$255,'Short Circuit'!$G$6:$G$255),"⚠ no feeder data"))))</f>
        <v/>
      </c>
      <c r="G11" s="78" t="str">
        <f>IF($A11="","",IF($C11=0,0,IFERROR(_xlfn.XLOOKUP("F-"&amp;$A11,'Feeder Schedule'!$B$5:$B$254,'Feeder Schedule'!$U$5:$U$254),"")))</f>
        <v/>
      </c>
      <c r="H11" s="78" t="str">
        <f t="shared" si="2"/>
        <v/>
      </c>
      <c r="I11" s="78" t="str">
        <f t="shared" si="0"/>
        <v/>
      </c>
      <c r="J11" s="78" t="str">
        <f t="shared" si="1"/>
        <v/>
      </c>
      <c r="K11" s="15" t="str">
        <f t="shared" si="3"/>
        <v/>
      </c>
      <c r="L11" s="363"/>
      <c r="M11" s="51"/>
      <c r="N11" s="51"/>
      <c r="O11" s="51"/>
      <c r="P11" s="51"/>
      <c r="Q11" s="51"/>
      <c r="R11" s="51"/>
      <c r="S11" s="51"/>
      <c r="T11" s="51"/>
    </row>
    <row r="12" spans="1:20" s="10" customFormat="1" ht="15" customHeight="1" x14ac:dyDescent="0.35">
      <c r="A12" s="15" t="str" cm="1">
        <f t="array" ref="A12">IFERROR(IF(INDEX(_xlfn.ANCHORARRAY('Short Circuit'!$BK$4),ROW()-5,1)="","",INDEX(_xlfn.ANCHORARRAY('Short Circuit'!$BK$4),ROW()-5,1)),"")</f>
        <v/>
      </c>
      <c r="B12" s="362" t="str" cm="1">
        <f t="array" ref="B12">IFERROR(IF($A12="","",INDEX(_xlfn.ANCHORARRAY('Short Circuit'!$BK$4),ROW()-5,5)),"")</f>
        <v/>
      </c>
      <c r="C12" s="181" t="str" cm="1">
        <f t="array" ref="C12">IFERROR(IF($A12="","",INDEX(_xlfn.ANCHORARRAY('Short Circuit'!$BK$4),ROW()-5,7)),"")</f>
        <v/>
      </c>
      <c r="D12" s="168" t="str" cm="1">
        <f t="array" ref="D12">IFERROR(IF($A12="","",INDEX(_xlfn.ANCHORARRAY('Short Circuit'!$BK$4),ROW()-5,3)),"")</f>
        <v/>
      </c>
      <c r="E12" s="362" t="str" cm="1">
        <f t="array" ref="E12">IFERROR(IF($A12="","",INDEX(_xlfn.ANCHORARRAY('Short Circuit'!$BK$4),ROW()-5,2)),"")</f>
        <v/>
      </c>
      <c r="F12" s="15" t="str">
        <f>IF($A12="","",IF($C12=0,"— utility service —",IFERROR(_xlfn.XLOOKUP("F-"&amp;$A12,'Short Circuit'!$A$6:$A$255,'Short Circuit'!$G$6:$G$255),IFERROR(_xlfn.XLOOKUP($A12,'Short Circuit'!$A$6:$A$255,'Short Circuit'!$G$6:$G$255),"⚠ no feeder data"))))</f>
        <v/>
      </c>
      <c r="G12" s="78" t="str">
        <f>IF($A12="","",IF($C12=0,0,IFERROR(_xlfn.XLOOKUP("F-"&amp;$A12,'Feeder Schedule'!$B$5:$B$254,'Feeder Schedule'!$U$5:$U$254),"")))</f>
        <v/>
      </c>
      <c r="H12" s="78" t="str">
        <f t="shared" si="2"/>
        <v/>
      </c>
      <c r="I12" s="78" t="str">
        <f t="shared" si="0"/>
        <v/>
      </c>
      <c r="J12" s="78" t="str">
        <f t="shared" si="1"/>
        <v/>
      </c>
      <c r="K12" s="15" t="str">
        <f t="shared" si="3"/>
        <v/>
      </c>
      <c r="L12" s="363"/>
      <c r="M12" s="51"/>
      <c r="N12" s="51"/>
      <c r="O12" s="51"/>
      <c r="P12" s="51"/>
      <c r="Q12" s="51"/>
      <c r="R12" s="51"/>
      <c r="S12" s="51"/>
      <c r="T12" s="51"/>
    </row>
    <row r="13" spans="1:20" s="10" customFormat="1" ht="15" customHeight="1" x14ac:dyDescent="0.35">
      <c r="A13" s="15" t="str" cm="1">
        <f t="array" ref="A13">IFERROR(IF(INDEX(_xlfn.ANCHORARRAY('Short Circuit'!$BK$4),ROW()-5,1)="","",INDEX(_xlfn.ANCHORARRAY('Short Circuit'!$BK$4),ROW()-5,1)),"")</f>
        <v/>
      </c>
      <c r="B13" s="362" t="str" cm="1">
        <f t="array" ref="B13">IFERROR(IF($A13="","",INDEX(_xlfn.ANCHORARRAY('Short Circuit'!$BK$4),ROW()-5,5)),"")</f>
        <v/>
      </c>
      <c r="C13" s="181" t="str" cm="1">
        <f t="array" ref="C13">IFERROR(IF($A13="","",INDEX(_xlfn.ANCHORARRAY('Short Circuit'!$BK$4),ROW()-5,7)),"")</f>
        <v/>
      </c>
      <c r="D13" s="168" t="str" cm="1">
        <f t="array" ref="D13">IFERROR(IF($A13="","",INDEX(_xlfn.ANCHORARRAY('Short Circuit'!$BK$4),ROW()-5,3)),"")</f>
        <v/>
      </c>
      <c r="E13" s="362" t="str" cm="1">
        <f t="array" ref="E13">IFERROR(IF($A13="","",INDEX(_xlfn.ANCHORARRAY('Short Circuit'!$BK$4),ROW()-5,2)),"")</f>
        <v/>
      </c>
      <c r="F13" s="15" t="str">
        <f>IF($A13="","",IF($C13=0,"— utility service —",IFERROR(_xlfn.XLOOKUP("F-"&amp;$A13,'Short Circuit'!$A$6:$A$255,'Short Circuit'!$G$6:$G$255),IFERROR(_xlfn.XLOOKUP($A13,'Short Circuit'!$A$6:$A$255,'Short Circuit'!$G$6:$G$255),"⚠ no feeder data"))))</f>
        <v/>
      </c>
      <c r="G13" s="78" t="str">
        <f>IF($A13="","",IF($C13=0,0,IFERROR(_xlfn.XLOOKUP("F-"&amp;$A13,'Feeder Schedule'!$B$5:$B$254,'Feeder Schedule'!$U$5:$U$254),"")))</f>
        <v/>
      </c>
      <c r="H13" s="78" t="str">
        <f t="shared" si="2"/>
        <v/>
      </c>
      <c r="I13" s="78" t="str">
        <f t="shared" si="0"/>
        <v/>
      </c>
      <c r="J13" s="78" t="str">
        <f t="shared" si="1"/>
        <v/>
      </c>
      <c r="K13" s="15" t="str">
        <f t="shared" si="3"/>
        <v/>
      </c>
      <c r="L13" s="363"/>
      <c r="M13" s="51"/>
      <c r="N13" s="51"/>
      <c r="O13" s="51"/>
      <c r="P13" s="51"/>
      <c r="Q13" s="51"/>
      <c r="R13" s="51"/>
      <c r="S13" s="51"/>
      <c r="T13" s="51"/>
    </row>
    <row r="14" spans="1:20" s="10" customFormat="1" ht="15" customHeight="1" x14ac:dyDescent="0.35">
      <c r="A14" s="15" t="str" cm="1">
        <f t="array" ref="A14">IFERROR(IF(INDEX(_xlfn.ANCHORARRAY('Short Circuit'!$BK$4),ROW()-5,1)="","",INDEX(_xlfn.ANCHORARRAY('Short Circuit'!$BK$4),ROW()-5,1)),"")</f>
        <v/>
      </c>
      <c r="B14" s="362" t="str" cm="1">
        <f t="array" ref="B14">IFERROR(IF($A14="","",INDEX(_xlfn.ANCHORARRAY('Short Circuit'!$BK$4),ROW()-5,5)),"")</f>
        <v/>
      </c>
      <c r="C14" s="181" t="str" cm="1">
        <f t="array" ref="C14">IFERROR(IF($A14="","",INDEX(_xlfn.ANCHORARRAY('Short Circuit'!$BK$4),ROW()-5,7)),"")</f>
        <v/>
      </c>
      <c r="D14" s="168" t="str" cm="1">
        <f t="array" ref="D14">IFERROR(IF($A14="","",INDEX(_xlfn.ANCHORARRAY('Short Circuit'!$BK$4),ROW()-5,3)),"")</f>
        <v/>
      </c>
      <c r="E14" s="362" t="str" cm="1">
        <f t="array" ref="E14">IFERROR(IF($A14="","",INDEX(_xlfn.ANCHORARRAY('Short Circuit'!$BK$4),ROW()-5,2)),"")</f>
        <v/>
      </c>
      <c r="F14" s="15" t="str">
        <f>IF($A14="","",IF($C14=0,"— utility service —",IFERROR(_xlfn.XLOOKUP("F-"&amp;$A14,'Short Circuit'!$A$6:$A$255,'Short Circuit'!$G$6:$G$255),IFERROR(_xlfn.XLOOKUP($A14,'Short Circuit'!$A$6:$A$255,'Short Circuit'!$G$6:$G$255),"⚠ no feeder data"))))</f>
        <v/>
      </c>
      <c r="G14" s="78" t="str">
        <f>IF($A14="","",IF($C14=0,0,IFERROR(_xlfn.XLOOKUP("F-"&amp;$A14,'Feeder Schedule'!$B$5:$B$254,'Feeder Schedule'!$U$5:$U$254),"")))</f>
        <v/>
      </c>
      <c r="H14" s="78" t="str">
        <f t="shared" si="2"/>
        <v/>
      </c>
      <c r="I14" s="78" t="str">
        <f t="shared" si="0"/>
        <v/>
      </c>
      <c r="J14" s="78" t="str">
        <f t="shared" si="1"/>
        <v/>
      </c>
      <c r="K14" s="15" t="str">
        <f t="shared" si="3"/>
        <v/>
      </c>
      <c r="L14" s="363"/>
      <c r="M14" s="51"/>
      <c r="N14" s="51"/>
      <c r="O14" s="51"/>
      <c r="P14" s="51"/>
      <c r="Q14" s="51"/>
      <c r="R14" s="51"/>
      <c r="S14" s="51"/>
      <c r="T14" s="51"/>
    </row>
    <row r="15" spans="1:20" s="10" customFormat="1" ht="15" customHeight="1" x14ac:dyDescent="0.35">
      <c r="A15" s="15" t="str" cm="1">
        <f t="array" ref="A15">IFERROR(IF(INDEX(_xlfn.ANCHORARRAY('Short Circuit'!$BK$4),ROW()-5,1)="","",INDEX(_xlfn.ANCHORARRAY('Short Circuit'!$BK$4),ROW()-5,1)),"")</f>
        <v/>
      </c>
      <c r="B15" s="362" t="str" cm="1">
        <f t="array" ref="B15">IFERROR(IF($A15="","",INDEX(_xlfn.ANCHORARRAY('Short Circuit'!$BK$4),ROW()-5,5)),"")</f>
        <v/>
      </c>
      <c r="C15" s="181" t="str" cm="1">
        <f t="array" ref="C15">IFERROR(IF($A15="","",INDEX(_xlfn.ANCHORARRAY('Short Circuit'!$BK$4),ROW()-5,7)),"")</f>
        <v/>
      </c>
      <c r="D15" s="168" t="str" cm="1">
        <f t="array" ref="D15">IFERROR(IF($A15="","",INDEX(_xlfn.ANCHORARRAY('Short Circuit'!$BK$4),ROW()-5,3)),"")</f>
        <v/>
      </c>
      <c r="E15" s="362" t="str" cm="1">
        <f t="array" ref="E15">IFERROR(IF($A15="","",INDEX(_xlfn.ANCHORARRAY('Short Circuit'!$BK$4),ROW()-5,2)),"")</f>
        <v/>
      </c>
      <c r="F15" s="15" t="str">
        <f>IF($A15="","",IF($C15=0,"— utility service —",IFERROR(_xlfn.XLOOKUP("F-"&amp;$A15,'Short Circuit'!$A$6:$A$255,'Short Circuit'!$G$6:$G$255),IFERROR(_xlfn.XLOOKUP($A15,'Short Circuit'!$A$6:$A$255,'Short Circuit'!$G$6:$G$255),"⚠ no feeder data"))))</f>
        <v/>
      </c>
      <c r="G15" s="78" t="str">
        <f>IF($A15="","",IF($C15=0,0,IFERROR(_xlfn.XLOOKUP("F-"&amp;$A15,'Feeder Schedule'!$B$5:$B$254,'Feeder Schedule'!$U$5:$U$254),"")))</f>
        <v/>
      </c>
      <c r="H15" s="78" t="str">
        <f t="shared" si="2"/>
        <v/>
      </c>
      <c r="I15" s="78" t="str">
        <f t="shared" si="0"/>
        <v/>
      </c>
      <c r="J15" s="78" t="str">
        <f t="shared" si="1"/>
        <v/>
      </c>
      <c r="K15" s="15" t="str">
        <f t="shared" si="3"/>
        <v/>
      </c>
      <c r="L15" s="363"/>
      <c r="M15" s="51"/>
      <c r="N15" s="51"/>
      <c r="O15" s="51"/>
      <c r="P15" s="51"/>
      <c r="Q15" s="51"/>
      <c r="R15" s="51"/>
      <c r="S15" s="51"/>
      <c r="T15" s="51"/>
    </row>
    <row r="16" spans="1:20" s="20" customFormat="1" ht="15" customHeight="1" x14ac:dyDescent="0.35">
      <c r="A16" s="15" t="str" cm="1">
        <f t="array" ref="A16">IFERROR(IF(INDEX(_xlfn.ANCHORARRAY('Short Circuit'!$BK$4),ROW()-5,1)="","",INDEX(_xlfn.ANCHORARRAY('Short Circuit'!$BK$4),ROW()-5,1)),"")</f>
        <v/>
      </c>
      <c r="B16" s="362" t="str" cm="1">
        <f t="array" ref="B16">IFERROR(IF($A16="","",INDEX(_xlfn.ANCHORARRAY('Short Circuit'!$BK$4),ROW()-5,5)),"")</f>
        <v/>
      </c>
      <c r="C16" s="181" t="str" cm="1">
        <f t="array" ref="C16">IFERROR(IF($A16="","",INDEX(_xlfn.ANCHORARRAY('Short Circuit'!$BK$4),ROW()-5,7)),"")</f>
        <v/>
      </c>
      <c r="D16" s="168" t="str" cm="1">
        <f t="array" ref="D16">IFERROR(IF($A16="","",INDEX(_xlfn.ANCHORARRAY('Short Circuit'!$BK$4),ROW()-5,3)),"")</f>
        <v/>
      </c>
      <c r="E16" s="362" t="str" cm="1">
        <f t="array" ref="E16">IFERROR(IF($A16="","",INDEX(_xlfn.ANCHORARRAY('Short Circuit'!$BK$4),ROW()-5,2)),"")</f>
        <v/>
      </c>
      <c r="F16" s="15" t="str">
        <f>IF($A16="","",IF($C16=0,"— utility service —",IFERROR(_xlfn.XLOOKUP("F-"&amp;$A16,'Short Circuit'!$A$6:$A$255,'Short Circuit'!$G$6:$G$255),IFERROR(_xlfn.XLOOKUP($A16,'Short Circuit'!$A$6:$A$255,'Short Circuit'!$G$6:$G$255),"⚠ no feeder data"))))</f>
        <v/>
      </c>
      <c r="G16" s="78" t="str">
        <f>IF($A16="","",IF($C16=0,0,IFERROR(_xlfn.XLOOKUP("F-"&amp;$A16,'Feeder Schedule'!$B$5:$B$254,'Feeder Schedule'!$U$5:$U$254),"")))</f>
        <v/>
      </c>
      <c r="H16" s="78" t="str">
        <f t="shared" si="2"/>
        <v/>
      </c>
      <c r="I16" s="78" t="str">
        <f t="shared" si="0"/>
        <v/>
      </c>
      <c r="J16" s="78" t="str">
        <f t="shared" si="1"/>
        <v/>
      </c>
      <c r="K16" s="15" t="str">
        <f t="shared" si="3"/>
        <v/>
      </c>
      <c r="L16" s="363"/>
      <c r="M16" s="51"/>
      <c r="N16" s="51"/>
      <c r="O16" s="51"/>
      <c r="P16" s="51"/>
      <c r="Q16" s="51"/>
      <c r="R16" s="51"/>
      <c r="S16" s="51"/>
      <c r="T16" s="51"/>
    </row>
    <row r="17" spans="1:20" s="20" customFormat="1" ht="15" customHeight="1" x14ac:dyDescent="0.35">
      <c r="A17" s="15" t="str" cm="1">
        <f t="array" ref="A17">IFERROR(IF(INDEX(_xlfn.ANCHORARRAY('Short Circuit'!$BK$4),ROW()-5,1)="","",INDEX(_xlfn.ANCHORARRAY('Short Circuit'!$BK$4),ROW()-5,1)),"")</f>
        <v/>
      </c>
      <c r="B17" s="362" t="str" cm="1">
        <f t="array" ref="B17">IFERROR(IF($A17="","",INDEX(_xlfn.ANCHORARRAY('Short Circuit'!$BK$4),ROW()-5,5)),"")</f>
        <v/>
      </c>
      <c r="C17" s="181" t="str" cm="1">
        <f t="array" ref="C17">IFERROR(IF($A17="","",INDEX(_xlfn.ANCHORARRAY('Short Circuit'!$BK$4),ROW()-5,7)),"")</f>
        <v/>
      </c>
      <c r="D17" s="168" t="str" cm="1">
        <f t="array" ref="D17">IFERROR(IF($A17="","",INDEX(_xlfn.ANCHORARRAY('Short Circuit'!$BK$4),ROW()-5,3)),"")</f>
        <v/>
      </c>
      <c r="E17" s="362" t="str" cm="1">
        <f t="array" ref="E17">IFERROR(IF($A17="","",INDEX(_xlfn.ANCHORARRAY('Short Circuit'!$BK$4),ROW()-5,2)),"")</f>
        <v/>
      </c>
      <c r="F17" s="15" t="str">
        <f>IF($A17="","",IF($C17=0,"— utility service —",IFERROR(_xlfn.XLOOKUP("F-"&amp;$A17,'Short Circuit'!$A$6:$A$255,'Short Circuit'!$G$6:$G$255),IFERROR(_xlfn.XLOOKUP($A17,'Short Circuit'!$A$6:$A$255,'Short Circuit'!$G$6:$G$255),"⚠ no feeder data"))))</f>
        <v/>
      </c>
      <c r="G17" s="78" t="str">
        <f>IF($A17="","",IF($C17=0,0,IFERROR(_xlfn.XLOOKUP("F-"&amp;$A17,'Feeder Schedule'!$B$5:$B$254,'Feeder Schedule'!$U$5:$U$254),"")))</f>
        <v/>
      </c>
      <c r="H17" s="78" t="str">
        <f t="shared" si="2"/>
        <v/>
      </c>
      <c r="I17" s="78" t="str">
        <f t="shared" si="0"/>
        <v/>
      </c>
      <c r="J17" s="78" t="str">
        <f t="shared" si="1"/>
        <v/>
      </c>
      <c r="K17" s="15" t="str">
        <f t="shared" si="3"/>
        <v/>
      </c>
      <c r="L17" s="363"/>
      <c r="M17" s="51"/>
      <c r="N17" s="51"/>
      <c r="O17" s="51"/>
      <c r="P17" s="51"/>
      <c r="Q17" s="51"/>
      <c r="R17" s="51"/>
      <c r="S17" s="51"/>
      <c r="T17" s="51"/>
    </row>
    <row r="18" spans="1:20" s="10" customFormat="1" ht="15" customHeight="1" x14ac:dyDescent="0.35">
      <c r="A18" s="15" t="str" cm="1">
        <f t="array" ref="A18">IFERROR(IF(INDEX(_xlfn.ANCHORARRAY('Short Circuit'!$BK$4),ROW()-5,1)="","",INDEX(_xlfn.ANCHORARRAY('Short Circuit'!$BK$4),ROW()-5,1)),"")</f>
        <v/>
      </c>
      <c r="B18" s="362" t="str" cm="1">
        <f t="array" ref="B18">IFERROR(IF($A18="","",INDEX(_xlfn.ANCHORARRAY('Short Circuit'!$BK$4),ROW()-5,5)),"")</f>
        <v/>
      </c>
      <c r="C18" s="181" t="str" cm="1">
        <f t="array" ref="C18">IFERROR(IF($A18="","",INDEX(_xlfn.ANCHORARRAY('Short Circuit'!$BK$4),ROW()-5,7)),"")</f>
        <v/>
      </c>
      <c r="D18" s="168" t="str" cm="1">
        <f t="array" ref="D18">IFERROR(IF($A18="","",INDEX(_xlfn.ANCHORARRAY('Short Circuit'!$BK$4),ROW()-5,3)),"")</f>
        <v/>
      </c>
      <c r="E18" s="362" t="str" cm="1">
        <f t="array" ref="E18">IFERROR(IF($A18="","",INDEX(_xlfn.ANCHORARRAY('Short Circuit'!$BK$4),ROW()-5,2)),"")</f>
        <v/>
      </c>
      <c r="F18" s="15" t="str">
        <f>IF($A18="","",IF($C18=0,"— utility service —",IFERROR(_xlfn.XLOOKUP("F-"&amp;$A18,'Short Circuit'!$A$6:$A$255,'Short Circuit'!$G$6:$G$255),IFERROR(_xlfn.XLOOKUP($A18,'Short Circuit'!$A$6:$A$255,'Short Circuit'!$G$6:$G$255),"⚠ no feeder data"))))</f>
        <v/>
      </c>
      <c r="G18" s="78" t="str">
        <f>IF($A18="","",IF($C18=0,0,IFERROR(_xlfn.XLOOKUP("F-"&amp;$A18,'Feeder Schedule'!$B$5:$B$254,'Feeder Schedule'!$U$5:$U$254),"")))</f>
        <v/>
      </c>
      <c r="H18" s="78" t="str">
        <f t="shared" si="2"/>
        <v/>
      </c>
      <c r="I18" s="78" t="str">
        <f t="shared" si="0"/>
        <v/>
      </c>
      <c r="J18" s="78" t="str">
        <f t="shared" si="1"/>
        <v/>
      </c>
      <c r="K18" s="15" t="str">
        <f t="shared" si="3"/>
        <v/>
      </c>
      <c r="L18" s="363"/>
      <c r="M18" s="51"/>
      <c r="N18" s="51"/>
      <c r="O18" s="51"/>
      <c r="P18" s="51"/>
      <c r="Q18" s="51"/>
      <c r="R18" s="51"/>
      <c r="S18" s="51"/>
      <c r="T18" s="51"/>
    </row>
    <row r="19" spans="1:20" s="10" customFormat="1" ht="15" customHeight="1" x14ac:dyDescent="0.35">
      <c r="A19" s="15" t="str" cm="1">
        <f t="array" ref="A19">IFERROR(IF(INDEX(_xlfn.ANCHORARRAY('Short Circuit'!$BK$4),ROW()-5,1)="","",INDEX(_xlfn.ANCHORARRAY('Short Circuit'!$BK$4),ROW()-5,1)),"")</f>
        <v/>
      </c>
      <c r="B19" s="362" t="str" cm="1">
        <f t="array" ref="B19">IFERROR(IF($A19="","",INDEX(_xlfn.ANCHORARRAY('Short Circuit'!$BK$4),ROW()-5,5)),"")</f>
        <v/>
      </c>
      <c r="C19" s="181" t="str" cm="1">
        <f t="array" ref="C19">IFERROR(IF($A19="","",INDEX(_xlfn.ANCHORARRAY('Short Circuit'!$BK$4),ROW()-5,7)),"")</f>
        <v/>
      </c>
      <c r="D19" s="168" t="str" cm="1">
        <f t="array" ref="D19">IFERROR(IF($A19="","",INDEX(_xlfn.ANCHORARRAY('Short Circuit'!$BK$4),ROW()-5,3)),"")</f>
        <v/>
      </c>
      <c r="E19" s="362" t="str" cm="1">
        <f t="array" ref="E19">IFERROR(IF($A19="","",INDEX(_xlfn.ANCHORARRAY('Short Circuit'!$BK$4),ROW()-5,2)),"")</f>
        <v/>
      </c>
      <c r="F19" s="15" t="str">
        <f>IF($A19="","",IF($C19=0,"— utility service —",IFERROR(_xlfn.XLOOKUP("F-"&amp;$A19,'Short Circuit'!$A$6:$A$255,'Short Circuit'!$G$6:$G$255),IFERROR(_xlfn.XLOOKUP($A19,'Short Circuit'!$A$6:$A$255,'Short Circuit'!$G$6:$G$255),"⚠ no feeder data"))))</f>
        <v/>
      </c>
      <c r="G19" s="78" t="str">
        <f>IF($A19="","",IF($C19=0,0,IFERROR(_xlfn.XLOOKUP("F-"&amp;$A19,'Feeder Schedule'!$B$5:$B$254,'Feeder Schedule'!$U$5:$U$254),"")))</f>
        <v/>
      </c>
      <c r="H19" s="78" t="str">
        <f t="shared" si="2"/>
        <v/>
      </c>
      <c r="I19" s="78" t="str">
        <f t="shared" si="0"/>
        <v/>
      </c>
      <c r="J19" s="78" t="str">
        <f t="shared" si="1"/>
        <v/>
      </c>
      <c r="K19" s="15" t="str">
        <f t="shared" si="3"/>
        <v/>
      </c>
      <c r="L19" s="363"/>
      <c r="M19" s="51"/>
      <c r="N19" s="51"/>
      <c r="O19" s="51"/>
      <c r="P19" s="51"/>
      <c r="Q19" s="51"/>
      <c r="R19" s="51"/>
      <c r="S19" s="51"/>
      <c r="T19" s="51"/>
    </row>
    <row r="20" spans="1:20" s="20" customFormat="1" ht="15" customHeight="1" x14ac:dyDescent="0.35">
      <c r="A20" s="15" t="str" cm="1">
        <f t="array" ref="A20">IFERROR(IF(INDEX(_xlfn.ANCHORARRAY('Short Circuit'!$BK$4),ROW()-5,1)="","",INDEX(_xlfn.ANCHORARRAY('Short Circuit'!$BK$4),ROW()-5,1)),"")</f>
        <v/>
      </c>
      <c r="B20" s="362" t="str" cm="1">
        <f t="array" ref="B20">IFERROR(IF($A20="","",INDEX(_xlfn.ANCHORARRAY('Short Circuit'!$BK$4),ROW()-5,5)),"")</f>
        <v/>
      </c>
      <c r="C20" s="181" t="str" cm="1">
        <f t="array" ref="C20">IFERROR(IF($A20="","",INDEX(_xlfn.ANCHORARRAY('Short Circuit'!$BK$4),ROW()-5,7)),"")</f>
        <v/>
      </c>
      <c r="D20" s="168" t="str" cm="1">
        <f t="array" ref="D20">IFERROR(IF($A20="","",INDEX(_xlfn.ANCHORARRAY('Short Circuit'!$BK$4),ROW()-5,3)),"")</f>
        <v/>
      </c>
      <c r="E20" s="362" t="str" cm="1">
        <f t="array" ref="E20">IFERROR(IF($A20="","",INDEX(_xlfn.ANCHORARRAY('Short Circuit'!$BK$4),ROW()-5,2)),"")</f>
        <v/>
      </c>
      <c r="F20" s="15" t="str">
        <f>IF($A20="","",IF($C20=0,"— utility service —",IFERROR(_xlfn.XLOOKUP("F-"&amp;$A20,'Short Circuit'!$A$6:$A$255,'Short Circuit'!$G$6:$G$255),IFERROR(_xlfn.XLOOKUP($A20,'Short Circuit'!$A$6:$A$255,'Short Circuit'!$G$6:$G$255),"⚠ no feeder data"))))</f>
        <v/>
      </c>
      <c r="G20" s="78" t="str">
        <f>IF($A20="","",IF($C20=0,0,IFERROR(_xlfn.XLOOKUP("F-"&amp;$A20,'Feeder Schedule'!$B$5:$B$254,'Feeder Schedule'!$U$5:$U$254),"")))</f>
        <v/>
      </c>
      <c r="H20" s="78" t="str">
        <f t="shared" si="2"/>
        <v/>
      </c>
      <c r="I20" s="78" t="str">
        <f t="shared" si="0"/>
        <v/>
      </c>
      <c r="J20" s="78" t="str">
        <f t="shared" si="1"/>
        <v/>
      </c>
      <c r="K20" s="15" t="str">
        <f t="shared" si="3"/>
        <v/>
      </c>
      <c r="L20" s="363"/>
      <c r="M20" s="51"/>
      <c r="N20" s="51"/>
      <c r="O20" s="51"/>
      <c r="P20" s="51"/>
      <c r="Q20" s="51"/>
      <c r="R20" s="51"/>
      <c r="S20" s="51"/>
      <c r="T20" s="51"/>
    </row>
    <row r="21" spans="1:20" s="20" customFormat="1" ht="15" customHeight="1" x14ac:dyDescent="0.35">
      <c r="A21" s="15" t="str" cm="1">
        <f t="array" ref="A21">IFERROR(IF(INDEX(_xlfn.ANCHORARRAY('Short Circuit'!$BK$4),ROW()-5,1)="","",INDEX(_xlfn.ANCHORARRAY('Short Circuit'!$BK$4),ROW()-5,1)),"")</f>
        <v/>
      </c>
      <c r="B21" s="362" t="str" cm="1">
        <f t="array" ref="B21">IFERROR(IF($A21="","",INDEX(_xlfn.ANCHORARRAY('Short Circuit'!$BK$4),ROW()-5,5)),"")</f>
        <v/>
      </c>
      <c r="C21" s="181" t="str" cm="1">
        <f t="array" ref="C21">IFERROR(IF($A21="","",INDEX(_xlfn.ANCHORARRAY('Short Circuit'!$BK$4),ROW()-5,7)),"")</f>
        <v/>
      </c>
      <c r="D21" s="168" t="str" cm="1">
        <f t="array" ref="D21">IFERROR(IF($A21="","",INDEX(_xlfn.ANCHORARRAY('Short Circuit'!$BK$4),ROW()-5,3)),"")</f>
        <v/>
      </c>
      <c r="E21" s="362" t="str" cm="1">
        <f t="array" ref="E21">IFERROR(IF($A21="","",INDEX(_xlfn.ANCHORARRAY('Short Circuit'!$BK$4),ROW()-5,2)),"")</f>
        <v/>
      </c>
      <c r="F21" s="15" t="str">
        <f>IF($A21="","",IF($C21=0,"— utility service —",IFERROR(_xlfn.XLOOKUP("F-"&amp;$A21,'Short Circuit'!$A$6:$A$255,'Short Circuit'!$G$6:$G$255),IFERROR(_xlfn.XLOOKUP($A21,'Short Circuit'!$A$6:$A$255,'Short Circuit'!$G$6:$G$255),"⚠ no feeder data"))))</f>
        <v/>
      </c>
      <c r="G21" s="78" t="str">
        <f>IF($A21="","",IF($C21=0,0,IFERROR(_xlfn.XLOOKUP("F-"&amp;$A21,'Feeder Schedule'!$B$5:$B$254,'Feeder Schedule'!$U$5:$U$254),"")))</f>
        <v/>
      </c>
      <c r="H21" s="78" t="str">
        <f t="shared" si="2"/>
        <v/>
      </c>
      <c r="I21" s="78" t="str">
        <f t="shared" si="0"/>
        <v/>
      </c>
      <c r="J21" s="78" t="str">
        <f t="shared" si="1"/>
        <v/>
      </c>
      <c r="K21" s="15" t="str">
        <f t="shared" si="3"/>
        <v/>
      </c>
      <c r="L21" s="363"/>
      <c r="M21" s="51"/>
      <c r="N21" s="51"/>
      <c r="O21" s="51"/>
      <c r="P21" s="51"/>
      <c r="Q21" s="51"/>
      <c r="R21" s="51"/>
      <c r="S21" s="51"/>
      <c r="T21" s="51"/>
    </row>
    <row r="22" spans="1:20" s="20" customFormat="1" ht="15" customHeight="1" x14ac:dyDescent="0.35">
      <c r="A22" s="15" t="str" cm="1">
        <f t="array" ref="A22">IFERROR(IF(INDEX(_xlfn.ANCHORARRAY('Short Circuit'!$BK$4),ROW()-5,1)="","",INDEX(_xlfn.ANCHORARRAY('Short Circuit'!$BK$4),ROW()-5,1)),"")</f>
        <v/>
      </c>
      <c r="B22" s="362" t="str" cm="1">
        <f t="array" ref="B22">IFERROR(IF($A22="","",INDEX(_xlfn.ANCHORARRAY('Short Circuit'!$BK$4),ROW()-5,5)),"")</f>
        <v/>
      </c>
      <c r="C22" s="181" t="str" cm="1">
        <f t="array" ref="C22">IFERROR(IF($A22="","",INDEX(_xlfn.ANCHORARRAY('Short Circuit'!$BK$4),ROW()-5,7)),"")</f>
        <v/>
      </c>
      <c r="D22" s="168" t="str" cm="1">
        <f t="array" ref="D22">IFERROR(IF($A22="","",INDEX(_xlfn.ANCHORARRAY('Short Circuit'!$BK$4),ROW()-5,3)),"")</f>
        <v/>
      </c>
      <c r="E22" s="362" t="str" cm="1">
        <f t="array" ref="E22">IFERROR(IF($A22="","",INDEX(_xlfn.ANCHORARRAY('Short Circuit'!$BK$4),ROW()-5,2)),"")</f>
        <v/>
      </c>
      <c r="F22" s="15" t="str">
        <f>IF($A22="","",IF($C22=0,"— utility service —",IFERROR(_xlfn.XLOOKUP("F-"&amp;$A22,'Short Circuit'!$A$6:$A$255,'Short Circuit'!$G$6:$G$255),IFERROR(_xlfn.XLOOKUP($A22,'Short Circuit'!$A$6:$A$255,'Short Circuit'!$G$6:$G$255),"⚠ no feeder data"))))</f>
        <v/>
      </c>
      <c r="G22" s="78" t="str">
        <f>IF($A22="","",IF($C22=0,0,IFERROR(_xlfn.XLOOKUP("F-"&amp;$A22,'Feeder Schedule'!$B$5:$B$254,'Feeder Schedule'!$U$5:$U$254),"")))</f>
        <v/>
      </c>
      <c r="H22" s="78" t="str">
        <f t="shared" si="2"/>
        <v/>
      </c>
      <c r="I22" s="78" t="str">
        <f t="shared" si="0"/>
        <v/>
      </c>
      <c r="J22" s="78" t="str">
        <f t="shared" si="1"/>
        <v/>
      </c>
      <c r="K22" s="15" t="str">
        <f t="shared" si="3"/>
        <v/>
      </c>
      <c r="L22" s="363"/>
      <c r="M22" s="51"/>
      <c r="N22" s="51"/>
      <c r="O22" s="51"/>
      <c r="P22" s="51"/>
      <c r="Q22" s="51"/>
      <c r="R22" s="51"/>
      <c r="S22" s="51"/>
      <c r="T22" s="51"/>
    </row>
    <row r="23" spans="1:20" s="20" customFormat="1" ht="15" customHeight="1" x14ac:dyDescent="0.35">
      <c r="A23" s="15" t="str" cm="1">
        <f t="array" ref="A23">IFERROR(IF(INDEX(_xlfn.ANCHORARRAY('Short Circuit'!$BK$4),ROW()-5,1)="","",INDEX(_xlfn.ANCHORARRAY('Short Circuit'!$BK$4),ROW()-5,1)),"")</f>
        <v/>
      </c>
      <c r="B23" s="362" t="str" cm="1">
        <f t="array" ref="B23">IFERROR(IF($A23="","",INDEX(_xlfn.ANCHORARRAY('Short Circuit'!$BK$4),ROW()-5,5)),"")</f>
        <v/>
      </c>
      <c r="C23" s="181" t="str" cm="1">
        <f t="array" ref="C23">IFERROR(IF($A23="","",INDEX(_xlfn.ANCHORARRAY('Short Circuit'!$BK$4),ROW()-5,7)),"")</f>
        <v/>
      </c>
      <c r="D23" s="168" t="str" cm="1">
        <f t="array" ref="D23">IFERROR(IF($A23="","",INDEX(_xlfn.ANCHORARRAY('Short Circuit'!$BK$4),ROW()-5,3)),"")</f>
        <v/>
      </c>
      <c r="E23" s="362" t="str" cm="1">
        <f t="array" ref="E23">IFERROR(IF($A23="","",INDEX(_xlfn.ANCHORARRAY('Short Circuit'!$BK$4),ROW()-5,2)),"")</f>
        <v/>
      </c>
      <c r="F23" s="15" t="str">
        <f>IF($A23="","",IF($C23=0,"— utility service —",IFERROR(_xlfn.XLOOKUP("F-"&amp;$A23,'Short Circuit'!$A$6:$A$255,'Short Circuit'!$G$6:$G$255),IFERROR(_xlfn.XLOOKUP($A23,'Short Circuit'!$A$6:$A$255,'Short Circuit'!$G$6:$G$255),"⚠ no feeder data"))))</f>
        <v/>
      </c>
      <c r="G23" s="78" t="str">
        <f>IF($A23="","",IF($C23=0,0,IFERROR(_xlfn.XLOOKUP("F-"&amp;$A23,'Feeder Schedule'!$B$5:$B$254,'Feeder Schedule'!$U$5:$U$254),"")))</f>
        <v/>
      </c>
      <c r="H23" s="78" t="str">
        <f t="shared" si="2"/>
        <v/>
      </c>
      <c r="I23" s="78" t="str">
        <f t="shared" si="0"/>
        <v/>
      </c>
      <c r="J23" s="78" t="str">
        <f t="shared" si="1"/>
        <v/>
      </c>
      <c r="K23" s="15" t="str">
        <f t="shared" si="3"/>
        <v/>
      </c>
      <c r="L23" s="363"/>
      <c r="M23" s="51"/>
      <c r="N23" s="51"/>
      <c r="O23" s="51"/>
      <c r="P23" s="51"/>
      <c r="Q23" s="51"/>
      <c r="R23" s="51"/>
      <c r="S23" s="51"/>
      <c r="T23" s="51"/>
    </row>
    <row r="24" spans="1:20" s="20" customFormat="1" ht="15" customHeight="1" x14ac:dyDescent="0.35">
      <c r="A24" s="15" t="str" cm="1">
        <f t="array" ref="A24">IFERROR(IF(INDEX(_xlfn.ANCHORARRAY('Short Circuit'!$BK$4),ROW()-5,1)="","",INDEX(_xlfn.ANCHORARRAY('Short Circuit'!$BK$4),ROW()-5,1)),"")</f>
        <v/>
      </c>
      <c r="B24" s="362" t="str" cm="1">
        <f t="array" ref="B24">IFERROR(IF($A24="","",INDEX(_xlfn.ANCHORARRAY('Short Circuit'!$BK$4),ROW()-5,5)),"")</f>
        <v/>
      </c>
      <c r="C24" s="181" t="str" cm="1">
        <f t="array" ref="C24">IFERROR(IF($A24="","",INDEX(_xlfn.ANCHORARRAY('Short Circuit'!$BK$4),ROW()-5,7)),"")</f>
        <v/>
      </c>
      <c r="D24" s="168" t="str" cm="1">
        <f t="array" ref="D24">IFERROR(IF($A24="","",INDEX(_xlfn.ANCHORARRAY('Short Circuit'!$BK$4),ROW()-5,3)),"")</f>
        <v/>
      </c>
      <c r="E24" s="362" t="str" cm="1">
        <f t="array" ref="E24">IFERROR(IF($A24="","",INDEX(_xlfn.ANCHORARRAY('Short Circuit'!$BK$4),ROW()-5,2)),"")</f>
        <v/>
      </c>
      <c r="F24" s="15" t="str">
        <f>IF($A24="","",IF($C24=0,"— utility service —",IFERROR(_xlfn.XLOOKUP("F-"&amp;$A24,'Short Circuit'!$A$6:$A$255,'Short Circuit'!$G$6:$G$255),IFERROR(_xlfn.XLOOKUP($A24,'Short Circuit'!$A$6:$A$255,'Short Circuit'!$G$6:$G$255),"⚠ no feeder data"))))</f>
        <v/>
      </c>
      <c r="G24" s="78" t="str">
        <f>IF($A24="","",IF($C24=0,0,IFERROR(_xlfn.XLOOKUP("F-"&amp;$A24,'Feeder Schedule'!$B$5:$B$254,'Feeder Schedule'!$U$5:$U$254),"")))</f>
        <v/>
      </c>
      <c r="H24" s="78" t="str">
        <f t="shared" si="2"/>
        <v/>
      </c>
      <c r="I24" s="78" t="str">
        <f t="shared" si="0"/>
        <v/>
      </c>
      <c r="J24" s="78" t="str">
        <f t="shared" si="1"/>
        <v/>
      </c>
      <c r="K24" s="15" t="str">
        <f t="shared" si="3"/>
        <v/>
      </c>
      <c r="L24" s="363"/>
      <c r="M24" s="51"/>
      <c r="N24" s="51"/>
      <c r="O24" s="51"/>
      <c r="P24" s="51"/>
      <c r="Q24" s="51"/>
      <c r="R24" s="51"/>
      <c r="S24" s="51"/>
      <c r="T24" s="51"/>
    </row>
    <row r="25" spans="1:20" s="20" customFormat="1" ht="15" customHeight="1" x14ac:dyDescent="0.35">
      <c r="A25" s="15" t="str" cm="1">
        <f t="array" ref="A25">IFERROR(IF(INDEX(_xlfn.ANCHORARRAY('Short Circuit'!$BK$4),ROW()-5,1)="","",INDEX(_xlfn.ANCHORARRAY('Short Circuit'!$BK$4),ROW()-5,1)),"")</f>
        <v/>
      </c>
      <c r="B25" s="362" t="str" cm="1">
        <f t="array" ref="B25">IFERROR(IF($A25="","",INDEX(_xlfn.ANCHORARRAY('Short Circuit'!$BK$4),ROW()-5,5)),"")</f>
        <v/>
      </c>
      <c r="C25" s="181" t="str" cm="1">
        <f t="array" ref="C25">IFERROR(IF($A25="","",INDEX(_xlfn.ANCHORARRAY('Short Circuit'!$BK$4),ROW()-5,7)),"")</f>
        <v/>
      </c>
      <c r="D25" s="168" t="str" cm="1">
        <f t="array" ref="D25">IFERROR(IF($A25="","",INDEX(_xlfn.ANCHORARRAY('Short Circuit'!$BK$4),ROW()-5,3)),"")</f>
        <v/>
      </c>
      <c r="E25" s="362" t="str" cm="1">
        <f t="array" ref="E25">IFERROR(IF($A25="","",INDEX(_xlfn.ANCHORARRAY('Short Circuit'!$BK$4),ROW()-5,2)),"")</f>
        <v/>
      </c>
      <c r="F25" s="15" t="str">
        <f>IF($A25="","",IF($C25=0,"— utility service —",IFERROR(_xlfn.XLOOKUP("F-"&amp;$A25,'Short Circuit'!$A$6:$A$255,'Short Circuit'!$G$6:$G$255),IFERROR(_xlfn.XLOOKUP($A25,'Short Circuit'!$A$6:$A$255,'Short Circuit'!$G$6:$G$255),"⚠ no feeder data"))))</f>
        <v/>
      </c>
      <c r="G25" s="78" t="str">
        <f>IF($A25="","",IF($C25=0,0,IFERROR(_xlfn.XLOOKUP("F-"&amp;$A25,'Feeder Schedule'!$B$5:$B$254,'Feeder Schedule'!$U$5:$U$254),"")))</f>
        <v/>
      </c>
      <c r="H25" s="78" t="str">
        <f t="shared" si="2"/>
        <v/>
      </c>
      <c r="I25" s="78" t="str">
        <f t="shared" si="0"/>
        <v/>
      </c>
      <c r="J25" s="78" t="str">
        <f t="shared" si="1"/>
        <v/>
      </c>
      <c r="K25" s="15" t="str">
        <f t="shared" si="3"/>
        <v/>
      </c>
      <c r="L25" s="363"/>
      <c r="M25" s="51"/>
      <c r="N25" s="51"/>
      <c r="O25" s="51"/>
      <c r="P25" s="51"/>
      <c r="Q25" s="51"/>
      <c r="R25" s="51"/>
      <c r="S25" s="51"/>
      <c r="T25" s="51"/>
    </row>
    <row r="26" spans="1:20" s="20" customFormat="1" ht="15" customHeight="1" x14ac:dyDescent="0.35">
      <c r="A26" s="15" t="str" cm="1">
        <f t="array" ref="A26">IFERROR(IF(INDEX(_xlfn.ANCHORARRAY('Short Circuit'!$BK$4),ROW()-5,1)="","",INDEX(_xlfn.ANCHORARRAY('Short Circuit'!$BK$4),ROW()-5,1)),"")</f>
        <v/>
      </c>
      <c r="B26" s="362" t="str" cm="1">
        <f t="array" ref="B26">IFERROR(IF($A26="","",INDEX(_xlfn.ANCHORARRAY('Short Circuit'!$BK$4),ROW()-5,5)),"")</f>
        <v/>
      </c>
      <c r="C26" s="181" t="str" cm="1">
        <f t="array" ref="C26">IFERROR(IF($A26="","",INDEX(_xlfn.ANCHORARRAY('Short Circuit'!$BK$4),ROW()-5,7)),"")</f>
        <v/>
      </c>
      <c r="D26" s="168" t="str" cm="1">
        <f t="array" ref="D26">IFERROR(IF($A26="","",INDEX(_xlfn.ANCHORARRAY('Short Circuit'!$BK$4),ROW()-5,3)),"")</f>
        <v/>
      </c>
      <c r="E26" s="362" t="str" cm="1">
        <f t="array" ref="E26">IFERROR(IF($A26="","",INDEX(_xlfn.ANCHORARRAY('Short Circuit'!$BK$4),ROW()-5,2)),"")</f>
        <v/>
      </c>
      <c r="F26" s="15" t="str">
        <f>IF($A26="","",IF($C26=0,"— utility service —",IFERROR(_xlfn.XLOOKUP("F-"&amp;$A26,'Short Circuit'!$A$6:$A$255,'Short Circuit'!$G$6:$G$255),IFERROR(_xlfn.XLOOKUP($A26,'Short Circuit'!$A$6:$A$255,'Short Circuit'!$G$6:$G$255),"⚠ no feeder data"))))</f>
        <v/>
      </c>
      <c r="G26" s="78" t="str">
        <f>IF($A26="","",IF($C26=0,0,IFERROR(_xlfn.XLOOKUP("F-"&amp;$A26,'Feeder Schedule'!$B$5:$B$254,'Feeder Schedule'!$U$5:$U$254),"")))</f>
        <v/>
      </c>
      <c r="H26" s="78" t="str">
        <f t="shared" si="2"/>
        <v/>
      </c>
      <c r="I26" s="78" t="str">
        <f t="shared" si="0"/>
        <v/>
      </c>
      <c r="J26" s="78" t="str">
        <f t="shared" si="1"/>
        <v/>
      </c>
      <c r="K26" s="15" t="str">
        <f t="shared" si="3"/>
        <v/>
      </c>
      <c r="L26" s="363"/>
      <c r="M26" s="51"/>
      <c r="N26" s="51"/>
      <c r="O26" s="51"/>
      <c r="P26" s="51"/>
      <c r="Q26" s="51"/>
      <c r="R26" s="51"/>
      <c r="S26" s="51"/>
      <c r="T26" s="51"/>
    </row>
    <row r="27" spans="1:20" s="20" customFormat="1" ht="15" customHeight="1" x14ac:dyDescent="0.35">
      <c r="A27" s="15" t="str" cm="1">
        <f t="array" ref="A27">IFERROR(IF(INDEX(_xlfn.ANCHORARRAY('Short Circuit'!$BK$4),ROW()-5,1)="","",INDEX(_xlfn.ANCHORARRAY('Short Circuit'!$BK$4),ROW()-5,1)),"")</f>
        <v/>
      </c>
      <c r="B27" s="362" t="str" cm="1">
        <f t="array" ref="B27">IFERROR(IF($A27="","",INDEX(_xlfn.ANCHORARRAY('Short Circuit'!$BK$4),ROW()-5,5)),"")</f>
        <v/>
      </c>
      <c r="C27" s="181" t="str" cm="1">
        <f t="array" ref="C27">IFERROR(IF($A27="","",INDEX(_xlfn.ANCHORARRAY('Short Circuit'!$BK$4),ROW()-5,7)),"")</f>
        <v/>
      </c>
      <c r="D27" s="168" t="str" cm="1">
        <f t="array" ref="D27">IFERROR(IF($A27="","",INDEX(_xlfn.ANCHORARRAY('Short Circuit'!$BK$4),ROW()-5,3)),"")</f>
        <v/>
      </c>
      <c r="E27" s="362" t="str" cm="1">
        <f t="array" ref="E27">IFERROR(IF($A27="","",INDEX(_xlfn.ANCHORARRAY('Short Circuit'!$BK$4),ROW()-5,2)),"")</f>
        <v/>
      </c>
      <c r="F27" s="15" t="str">
        <f>IF($A27="","",IF($C27=0,"— utility service —",IFERROR(_xlfn.XLOOKUP("F-"&amp;$A27,'Short Circuit'!$A$6:$A$255,'Short Circuit'!$G$6:$G$255),IFERROR(_xlfn.XLOOKUP($A27,'Short Circuit'!$A$6:$A$255,'Short Circuit'!$G$6:$G$255),"⚠ no feeder data"))))</f>
        <v/>
      </c>
      <c r="G27" s="78" t="str">
        <f>IF($A27="","",IF($C27=0,0,IFERROR(_xlfn.XLOOKUP("F-"&amp;$A27,'Feeder Schedule'!$B$5:$B$254,'Feeder Schedule'!$U$5:$U$254),"")))</f>
        <v/>
      </c>
      <c r="H27" s="78" t="str">
        <f t="shared" si="2"/>
        <v/>
      </c>
      <c r="I27" s="78" t="str">
        <f t="shared" si="0"/>
        <v/>
      </c>
      <c r="J27" s="78" t="str">
        <f t="shared" si="1"/>
        <v/>
      </c>
      <c r="K27" s="15" t="str">
        <f t="shared" si="3"/>
        <v/>
      </c>
      <c r="L27" s="363"/>
      <c r="M27" s="51"/>
      <c r="N27" s="51"/>
      <c r="O27" s="51"/>
      <c r="P27" s="51"/>
      <c r="Q27" s="51"/>
      <c r="R27" s="51"/>
      <c r="S27" s="51"/>
      <c r="T27" s="51"/>
    </row>
    <row r="28" spans="1:20" s="20" customFormat="1" ht="15" customHeight="1" x14ac:dyDescent="0.35">
      <c r="A28" s="15" t="str" cm="1">
        <f t="array" ref="A28">IFERROR(IF(INDEX(_xlfn.ANCHORARRAY('Short Circuit'!$BK$4),ROW()-5,1)="","",INDEX(_xlfn.ANCHORARRAY('Short Circuit'!$BK$4),ROW()-5,1)),"")</f>
        <v/>
      </c>
      <c r="B28" s="362" t="str" cm="1">
        <f t="array" ref="B28">IFERROR(IF($A28="","",INDEX(_xlfn.ANCHORARRAY('Short Circuit'!$BK$4),ROW()-5,5)),"")</f>
        <v/>
      </c>
      <c r="C28" s="181" t="str" cm="1">
        <f t="array" ref="C28">IFERROR(IF($A28="","",INDEX(_xlfn.ANCHORARRAY('Short Circuit'!$BK$4),ROW()-5,7)),"")</f>
        <v/>
      </c>
      <c r="D28" s="168" t="str" cm="1">
        <f t="array" ref="D28">IFERROR(IF($A28="","",INDEX(_xlfn.ANCHORARRAY('Short Circuit'!$BK$4),ROW()-5,3)),"")</f>
        <v/>
      </c>
      <c r="E28" s="362" t="str" cm="1">
        <f t="array" ref="E28">IFERROR(IF($A28="","",INDEX(_xlfn.ANCHORARRAY('Short Circuit'!$BK$4),ROW()-5,2)),"")</f>
        <v/>
      </c>
      <c r="F28" s="15" t="str">
        <f>IF($A28="","",IF($C28=0,"— utility service —",IFERROR(_xlfn.XLOOKUP("F-"&amp;$A28,'Short Circuit'!$A$6:$A$255,'Short Circuit'!$G$6:$G$255),IFERROR(_xlfn.XLOOKUP($A28,'Short Circuit'!$A$6:$A$255,'Short Circuit'!$G$6:$G$255),"⚠ no feeder data"))))</f>
        <v/>
      </c>
      <c r="G28" s="78" t="str">
        <f>IF($A28="","",IF($C28=0,0,IFERROR(_xlfn.XLOOKUP("F-"&amp;$A28,'Feeder Schedule'!$B$5:$B$254,'Feeder Schedule'!$U$5:$U$254),"")))</f>
        <v/>
      </c>
      <c r="H28" s="78" t="str">
        <f t="shared" si="2"/>
        <v/>
      </c>
      <c r="I28" s="78" t="str">
        <f t="shared" si="0"/>
        <v/>
      </c>
      <c r="J28" s="78" t="str">
        <f t="shared" si="1"/>
        <v/>
      </c>
      <c r="K28" s="15" t="str">
        <f t="shared" si="3"/>
        <v/>
      </c>
      <c r="L28" s="363"/>
      <c r="M28" s="51"/>
      <c r="N28" s="51"/>
      <c r="O28" s="51"/>
      <c r="P28" s="51"/>
      <c r="Q28" s="51"/>
      <c r="R28" s="51"/>
      <c r="S28" s="51"/>
      <c r="T28" s="51"/>
    </row>
    <row r="29" spans="1:20" s="20" customFormat="1" ht="15" customHeight="1" x14ac:dyDescent="0.35">
      <c r="A29" s="15" t="str" cm="1">
        <f t="array" ref="A29">IFERROR(IF(INDEX(_xlfn.ANCHORARRAY('Short Circuit'!$BK$4),ROW()-5,1)="","",INDEX(_xlfn.ANCHORARRAY('Short Circuit'!$BK$4),ROW()-5,1)),"")</f>
        <v/>
      </c>
      <c r="B29" s="362" t="str" cm="1">
        <f t="array" ref="B29">IFERROR(IF($A29="","",INDEX(_xlfn.ANCHORARRAY('Short Circuit'!$BK$4),ROW()-5,5)),"")</f>
        <v/>
      </c>
      <c r="C29" s="181" t="str" cm="1">
        <f t="array" ref="C29">IFERROR(IF($A29="","",INDEX(_xlfn.ANCHORARRAY('Short Circuit'!$BK$4),ROW()-5,7)),"")</f>
        <v/>
      </c>
      <c r="D29" s="168" t="str" cm="1">
        <f t="array" ref="D29">IFERROR(IF($A29="","",INDEX(_xlfn.ANCHORARRAY('Short Circuit'!$BK$4),ROW()-5,3)),"")</f>
        <v/>
      </c>
      <c r="E29" s="362" t="str" cm="1">
        <f t="array" ref="E29">IFERROR(IF($A29="","",INDEX(_xlfn.ANCHORARRAY('Short Circuit'!$BK$4),ROW()-5,2)),"")</f>
        <v/>
      </c>
      <c r="F29" s="15" t="str">
        <f>IF($A29="","",IF($C29=0,"— utility service —",IFERROR(_xlfn.XLOOKUP("F-"&amp;$A29,'Short Circuit'!$A$6:$A$255,'Short Circuit'!$G$6:$G$255),IFERROR(_xlfn.XLOOKUP($A29,'Short Circuit'!$A$6:$A$255,'Short Circuit'!$G$6:$G$255),"⚠ no feeder data"))))</f>
        <v/>
      </c>
      <c r="G29" s="78" t="str">
        <f>IF($A29="","",IF($C29=0,0,IFERROR(_xlfn.XLOOKUP("F-"&amp;$A29,'Feeder Schedule'!$B$5:$B$254,'Feeder Schedule'!$U$5:$U$254),"")))</f>
        <v/>
      </c>
      <c r="H29" s="78" t="str">
        <f t="shared" si="2"/>
        <v/>
      </c>
      <c r="I29" s="78" t="str">
        <f t="shared" si="0"/>
        <v/>
      </c>
      <c r="J29" s="78" t="str">
        <f t="shared" si="1"/>
        <v/>
      </c>
      <c r="K29" s="15" t="str">
        <f t="shared" si="3"/>
        <v/>
      </c>
      <c r="L29" s="363"/>
      <c r="M29" s="51"/>
      <c r="N29" s="51"/>
      <c r="O29" s="51"/>
      <c r="P29" s="51"/>
      <c r="Q29" s="51"/>
      <c r="R29" s="51"/>
      <c r="S29" s="51"/>
      <c r="T29" s="51"/>
    </row>
    <row r="30" spans="1:20" s="20" customFormat="1" ht="15" customHeight="1" x14ac:dyDescent="0.35">
      <c r="A30" s="15" t="str" cm="1">
        <f t="array" ref="A30">IFERROR(IF(INDEX(_xlfn.ANCHORARRAY('Short Circuit'!$BK$4),ROW()-5,1)="","",INDEX(_xlfn.ANCHORARRAY('Short Circuit'!$BK$4),ROW()-5,1)),"")</f>
        <v/>
      </c>
      <c r="B30" s="362" t="str" cm="1">
        <f t="array" ref="B30">IFERROR(IF($A30="","",INDEX(_xlfn.ANCHORARRAY('Short Circuit'!$BK$4),ROW()-5,5)),"")</f>
        <v/>
      </c>
      <c r="C30" s="181" t="str" cm="1">
        <f t="array" ref="C30">IFERROR(IF($A30="","",INDEX(_xlfn.ANCHORARRAY('Short Circuit'!$BK$4),ROW()-5,7)),"")</f>
        <v/>
      </c>
      <c r="D30" s="168" t="str" cm="1">
        <f t="array" ref="D30">IFERROR(IF($A30="","",INDEX(_xlfn.ANCHORARRAY('Short Circuit'!$BK$4),ROW()-5,3)),"")</f>
        <v/>
      </c>
      <c r="E30" s="362" t="str" cm="1">
        <f t="array" ref="E30">IFERROR(IF($A30="","",INDEX(_xlfn.ANCHORARRAY('Short Circuit'!$BK$4),ROW()-5,2)),"")</f>
        <v/>
      </c>
      <c r="F30" s="15" t="str">
        <f>IF($A30="","",IF($C30=0,"— utility service —",IFERROR(_xlfn.XLOOKUP("F-"&amp;$A30,'Short Circuit'!$A$6:$A$255,'Short Circuit'!$G$6:$G$255),IFERROR(_xlfn.XLOOKUP($A30,'Short Circuit'!$A$6:$A$255,'Short Circuit'!$G$6:$G$255),"⚠ no feeder data"))))</f>
        <v/>
      </c>
      <c r="G30" s="78" t="str">
        <f>IF($A30="","",IF($C30=0,0,IFERROR(_xlfn.XLOOKUP("F-"&amp;$A30,'Feeder Schedule'!$B$5:$B$254,'Feeder Schedule'!$U$5:$U$254),"")))</f>
        <v/>
      </c>
      <c r="H30" s="78" t="str">
        <f t="shared" si="2"/>
        <v/>
      </c>
      <c r="I30" s="78" t="str">
        <f t="shared" si="0"/>
        <v/>
      </c>
      <c r="J30" s="78" t="str">
        <f t="shared" si="1"/>
        <v/>
      </c>
      <c r="K30" s="15" t="str">
        <f t="shared" si="3"/>
        <v/>
      </c>
      <c r="L30" s="363"/>
      <c r="M30" s="51"/>
      <c r="N30" s="51"/>
      <c r="O30" s="51"/>
      <c r="P30" s="51"/>
      <c r="Q30" s="51"/>
      <c r="R30" s="51"/>
      <c r="S30" s="51"/>
      <c r="T30" s="51"/>
    </row>
    <row r="31" spans="1:20" s="20" customFormat="1" ht="15" customHeight="1" x14ac:dyDescent="0.35">
      <c r="A31" s="15" t="str" cm="1">
        <f t="array" ref="A31">IFERROR(IF(INDEX(_xlfn.ANCHORARRAY('Short Circuit'!$BK$4),ROW()-5,1)="","",INDEX(_xlfn.ANCHORARRAY('Short Circuit'!$BK$4),ROW()-5,1)),"")</f>
        <v/>
      </c>
      <c r="B31" s="362" t="str" cm="1">
        <f t="array" ref="B31">IFERROR(IF($A31="","",INDEX(_xlfn.ANCHORARRAY('Short Circuit'!$BK$4),ROW()-5,5)),"")</f>
        <v/>
      </c>
      <c r="C31" s="181" t="str" cm="1">
        <f t="array" ref="C31">IFERROR(IF($A31="","",INDEX(_xlfn.ANCHORARRAY('Short Circuit'!$BK$4),ROW()-5,7)),"")</f>
        <v/>
      </c>
      <c r="D31" s="168" t="str" cm="1">
        <f t="array" ref="D31">IFERROR(IF($A31="","",INDEX(_xlfn.ANCHORARRAY('Short Circuit'!$BK$4),ROW()-5,3)),"")</f>
        <v/>
      </c>
      <c r="E31" s="362" t="str" cm="1">
        <f t="array" ref="E31">IFERROR(IF($A31="","",INDEX(_xlfn.ANCHORARRAY('Short Circuit'!$BK$4),ROW()-5,2)),"")</f>
        <v/>
      </c>
      <c r="F31" s="15" t="str">
        <f>IF($A31="","",IF($C31=0,"— utility service —",IFERROR(_xlfn.XLOOKUP("F-"&amp;$A31,'Short Circuit'!$A$6:$A$255,'Short Circuit'!$G$6:$G$255),IFERROR(_xlfn.XLOOKUP($A31,'Short Circuit'!$A$6:$A$255,'Short Circuit'!$G$6:$G$255),"⚠ no feeder data"))))</f>
        <v/>
      </c>
      <c r="G31" s="78" t="str">
        <f>IF($A31="","",IF($C31=0,0,IFERROR(_xlfn.XLOOKUP("F-"&amp;$A31,'Feeder Schedule'!$B$5:$B$254,'Feeder Schedule'!$U$5:$U$254),"")))</f>
        <v/>
      </c>
      <c r="H31" s="78" t="str">
        <f t="shared" si="2"/>
        <v/>
      </c>
      <c r="I31" s="78" t="str">
        <f t="shared" si="0"/>
        <v/>
      </c>
      <c r="J31" s="78" t="str">
        <f t="shared" si="1"/>
        <v/>
      </c>
      <c r="K31" s="15" t="str">
        <f t="shared" si="3"/>
        <v/>
      </c>
      <c r="L31" s="363"/>
    </row>
    <row r="32" spans="1:20" s="20" customFormat="1" ht="15" customHeight="1" x14ac:dyDescent="0.35">
      <c r="A32" s="15" t="str" cm="1">
        <f t="array" ref="A32">IFERROR(IF(INDEX(_xlfn.ANCHORARRAY('Short Circuit'!$BK$4),ROW()-5,1)="","",INDEX(_xlfn.ANCHORARRAY('Short Circuit'!$BK$4),ROW()-5,1)),"")</f>
        <v/>
      </c>
      <c r="B32" s="362" t="str" cm="1">
        <f t="array" ref="B32">IFERROR(IF($A32="","",INDEX(_xlfn.ANCHORARRAY('Short Circuit'!$BK$4),ROW()-5,5)),"")</f>
        <v/>
      </c>
      <c r="C32" s="181" t="str" cm="1">
        <f t="array" ref="C32">IFERROR(IF($A32="","",INDEX(_xlfn.ANCHORARRAY('Short Circuit'!$BK$4),ROW()-5,7)),"")</f>
        <v/>
      </c>
      <c r="D32" s="168" t="str" cm="1">
        <f t="array" ref="D32">IFERROR(IF($A32="","",INDEX(_xlfn.ANCHORARRAY('Short Circuit'!$BK$4),ROW()-5,3)),"")</f>
        <v/>
      </c>
      <c r="E32" s="362" t="str" cm="1">
        <f t="array" ref="E32">IFERROR(IF($A32="","",INDEX(_xlfn.ANCHORARRAY('Short Circuit'!$BK$4),ROW()-5,2)),"")</f>
        <v/>
      </c>
      <c r="F32" s="15" t="str">
        <f>IF($A32="","",IF($C32=0,"— utility service —",IFERROR(_xlfn.XLOOKUP("F-"&amp;$A32,'Short Circuit'!$A$6:$A$255,'Short Circuit'!$G$6:$G$255),IFERROR(_xlfn.XLOOKUP($A32,'Short Circuit'!$A$6:$A$255,'Short Circuit'!$G$6:$G$255),"⚠ no feeder data"))))</f>
        <v/>
      </c>
      <c r="G32" s="78" t="str">
        <f>IF($A32="","",IF($C32=0,0,IFERROR(_xlfn.XLOOKUP("F-"&amp;$A32,'Feeder Schedule'!$B$5:$B$254,'Feeder Schedule'!$U$5:$U$254),"")))</f>
        <v/>
      </c>
      <c r="H32" s="78" t="str">
        <f t="shared" si="2"/>
        <v/>
      </c>
      <c r="I32" s="78" t="str">
        <f t="shared" si="0"/>
        <v/>
      </c>
      <c r="J32" s="78" t="str">
        <f t="shared" si="1"/>
        <v/>
      </c>
      <c r="K32" s="15" t="str">
        <f t="shared" si="3"/>
        <v/>
      </c>
      <c r="L32" s="363"/>
    </row>
    <row r="33" spans="1:12" s="20" customFormat="1" ht="15" customHeight="1" x14ac:dyDescent="0.35">
      <c r="A33" s="15" t="str" cm="1">
        <f t="array" ref="A33">IFERROR(IF(INDEX(_xlfn.ANCHORARRAY('Short Circuit'!$BK$4),ROW()-5,1)="","",INDEX(_xlfn.ANCHORARRAY('Short Circuit'!$BK$4),ROW()-5,1)),"")</f>
        <v/>
      </c>
      <c r="B33" s="362" t="str" cm="1">
        <f t="array" ref="B33">IFERROR(IF($A33="","",INDEX(_xlfn.ANCHORARRAY('Short Circuit'!$BK$4),ROW()-5,5)),"")</f>
        <v/>
      </c>
      <c r="C33" s="181" t="str" cm="1">
        <f t="array" ref="C33">IFERROR(IF($A33="","",INDEX(_xlfn.ANCHORARRAY('Short Circuit'!$BK$4),ROW()-5,7)),"")</f>
        <v/>
      </c>
      <c r="D33" s="168" t="str" cm="1">
        <f t="array" ref="D33">IFERROR(IF($A33="","",INDEX(_xlfn.ANCHORARRAY('Short Circuit'!$BK$4),ROW()-5,3)),"")</f>
        <v/>
      </c>
      <c r="E33" s="362" t="str" cm="1">
        <f t="array" ref="E33">IFERROR(IF($A33="","",INDEX(_xlfn.ANCHORARRAY('Short Circuit'!$BK$4),ROW()-5,2)),"")</f>
        <v/>
      </c>
      <c r="F33" s="15" t="str">
        <f>IF($A33="","",IF($C33=0,"— utility service —",IFERROR(_xlfn.XLOOKUP("F-"&amp;$A33,'Short Circuit'!$A$6:$A$255,'Short Circuit'!$G$6:$G$255),IFERROR(_xlfn.XLOOKUP($A33,'Short Circuit'!$A$6:$A$255,'Short Circuit'!$G$6:$G$255),"⚠ no feeder data"))))</f>
        <v/>
      </c>
      <c r="G33" s="78" t="str">
        <f>IF($A33="","",IF($C33=0,0,IFERROR(_xlfn.XLOOKUP("F-"&amp;$A33,'Feeder Schedule'!$B$5:$B$254,'Feeder Schedule'!$U$5:$U$254),"")))</f>
        <v/>
      </c>
      <c r="H33" s="78" t="str">
        <f t="shared" si="2"/>
        <v/>
      </c>
      <c r="I33" s="78" t="str">
        <f t="shared" si="0"/>
        <v/>
      </c>
      <c r="J33" s="78" t="str">
        <f t="shared" si="1"/>
        <v/>
      </c>
      <c r="K33" s="15" t="str">
        <f t="shared" si="3"/>
        <v/>
      </c>
      <c r="L33" s="363"/>
    </row>
    <row r="34" spans="1:12" s="20" customFormat="1" ht="15" customHeight="1" x14ac:dyDescent="0.35">
      <c r="A34" s="15" t="str" cm="1">
        <f t="array" ref="A34">IFERROR(IF(INDEX(_xlfn.ANCHORARRAY('Short Circuit'!$BK$4),ROW()-5,1)="","",INDEX(_xlfn.ANCHORARRAY('Short Circuit'!$BK$4),ROW()-5,1)),"")</f>
        <v/>
      </c>
      <c r="B34" s="362" t="str" cm="1">
        <f t="array" ref="B34">IFERROR(IF($A34="","",INDEX(_xlfn.ANCHORARRAY('Short Circuit'!$BK$4),ROW()-5,5)),"")</f>
        <v/>
      </c>
      <c r="C34" s="181" t="str" cm="1">
        <f t="array" ref="C34">IFERROR(IF($A34="","",INDEX(_xlfn.ANCHORARRAY('Short Circuit'!$BK$4),ROW()-5,7)),"")</f>
        <v/>
      </c>
      <c r="D34" s="168" t="str" cm="1">
        <f t="array" ref="D34">IFERROR(IF($A34="","",INDEX(_xlfn.ANCHORARRAY('Short Circuit'!$BK$4),ROW()-5,3)),"")</f>
        <v/>
      </c>
      <c r="E34" s="362" t="str" cm="1">
        <f t="array" ref="E34">IFERROR(IF($A34="","",INDEX(_xlfn.ANCHORARRAY('Short Circuit'!$BK$4),ROW()-5,2)),"")</f>
        <v/>
      </c>
      <c r="F34" s="15" t="str">
        <f>IF($A34="","",IF($C34=0,"— utility service —",IFERROR(_xlfn.XLOOKUP("F-"&amp;$A34,'Short Circuit'!$A$6:$A$255,'Short Circuit'!$G$6:$G$255),IFERROR(_xlfn.XLOOKUP($A34,'Short Circuit'!$A$6:$A$255,'Short Circuit'!$G$6:$G$255),"⚠ no feeder data"))))</f>
        <v/>
      </c>
      <c r="G34" s="78" t="str">
        <f>IF($A34="","",IF($C34=0,0,IFERROR(_xlfn.XLOOKUP("F-"&amp;$A34,'Feeder Schedule'!$B$5:$B$254,'Feeder Schedule'!$U$5:$U$254),"")))</f>
        <v/>
      </c>
      <c r="H34" s="78" t="str">
        <f t="shared" si="2"/>
        <v/>
      </c>
      <c r="I34" s="78" t="str">
        <f t="shared" si="0"/>
        <v/>
      </c>
      <c r="J34" s="78" t="str">
        <f t="shared" si="1"/>
        <v/>
      </c>
      <c r="K34" s="15" t="str">
        <f t="shared" si="3"/>
        <v/>
      </c>
      <c r="L34" s="363"/>
    </row>
    <row r="35" spans="1:12" s="20" customFormat="1" ht="15" customHeight="1" x14ac:dyDescent="0.35">
      <c r="A35" s="15" t="str" cm="1">
        <f t="array" ref="A35">IFERROR(IF(INDEX(_xlfn.ANCHORARRAY('Short Circuit'!$BK$4),ROW()-5,1)="","",INDEX(_xlfn.ANCHORARRAY('Short Circuit'!$BK$4),ROW()-5,1)),"")</f>
        <v/>
      </c>
      <c r="B35" s="362" t="str" cm="1">
        <f t="array" ref="B35">IFERROR(IF($A35="","",INDEX(_xlfn.ANCHORARRAY('Short Circuit'!$BK$4),ROW()-5,5)),"")</f>
        <v/>
      </c>
      <c r="C35" s="181" t="str" cm="1">
        <f t="array" ref="C35">IFERROR(IF($A35="","",INDEX(_xlfn.ANCHORARRAY('Short Circuit'!$BK$4),ROW()-5,7)),"")</f>
        <v/>
      </c>
      <c r="D35" s="168" t="str" cm="1">
        <f t="array" ref="D35">IFERROR(IF($A35="","",INDEX(_xlfn.ANCHORARRAY('Short Circuit'!$BK$4),ROW()-5,3)),"")</f>
        <v/>
      </c>
      <c r="E35" s="362" t="str" cm="1">
        <f t="array" ref="E35">IFERROR(IF($A35="","",INDEX(_xlfn.ANCHORARRAY('Short Circuit'!$BK$4),ROW()-5,2)),"")</f>
        <v/>
      </c>
      <c r="F35" s="15" t="str">
        <f>IF($A35="","",IF($C35=0,"— utility service —",IFERROR(_xlfn.XLOOKUP("F-"&amp;$A35,'Short Circuit'!$A$6:$A$255,'Short Circuit'!$G$6:$G$255),IFERROR(_xlfn.XLOOKUP($A35,'Short Circuit'!$A$6:$A$255,'Short Circuit'!$G$6:$G$255),"⚠ no feeder data"))))</f>
        <v/>
      </c>
      <c r="G35" s="78" t="str">
        <f>IF($A35="","",IF($C35=0,0,IFERROR(_xlfn.XLOOKUP("F-"&amp;$A35,'Feeder Schedule'!$B$5:$B$254,'Feeder Schedule'!$U$5:$U$254),"")))</f>
        <v/>
      </c>
      <c r="H35" s="78" t="str">
        <f t="shared" si="2"/>
        <v/>
      </c>
      <c r="I35" s="78" t="str">
        <f t="shared" si="0"/>
        <v/>
      </c>
      <c r="J35" s="78" t="str">
        <f t="shared" si="1"/>
        <v/>
      </c>
      <c r="K35" s="15" t="str">
        <f t="shared" si="3"/>
        <v/>
      </c>
      <c r="L35" s="363"/>
    </row>
    <row r="36" spans="1:12" s="20" customFormat="1" ht="15" customHeight="1" x14ac:dyDescent="0.35">
      <c r="A36" s="15" t="str" cm="1">
        <f t="array" ref="A36">IFERROR(IF(INDEX(_xlfn.ANCHORARRAY('Short Circuit'!$BK$4),ROW()-5,1)="","",INDEX(_xlfn.ANCHORARRAY('Short Circuit'!$BK$4),ROW()-5,1)),"")</f>
        <v/>
      </c>
      <c r="B36" s="362" t="str" cm="1">
        <f t="array" ref="B36">IFERROR(IF($A36="","",INDEX(_xlfn.ANCHORARRAY('Short Circuit'!$BK$4),ROW()-5,5)),"")</f>
        <v/>
      </c>
      <c r="C36" s="181" t="str" cm="1">
        <f t="array" ref="C36">IFERROR(IF($A36="","",INDEX(_xlfn.ANCHORARRAY('Short Circuit'!$BK$4),ROW()-5,7)),"")</f>
        <v/>
      </c>
      <c r="D36" s="168" t="str" cm="1">
        <f t="array" ref="D36">IFERROR(IF($A36="","",INDEX(_xlfn.ANCHORARRAY('Short Circuit'!$BK$4),ROW()-5,3)),"")</f>
        <v/>
      </c>
      <c r="E36" s="362" t="str" cm="1">
        <f t="array" ref="E36">IFERROR(IF($A36="","",INDEX(_xlfn.ANCHORARRAY('Short Circuit'!$BK$4),ROW()-5,2)),"")</f>
        <v/>
      </c>
      <c r="F36" s="15" t="str">
        <f>IF($A36="","",IF($C36=0,"— utility service —",IFERROR(_xlfn.XLOOKUP("F-"&amp;$A36,'Short Circuit'!$A$6:$A$255,'Short Circuit'!$G$6:$G$255),IFERROR(_xlfn.XLOOKUP($A36,'Short Circuit'!$A$6:$A$255,'Short Circuit'!$G$6:$G$255),"⚠ no feeder data"))))</f>
        <v/>
      </c>
      <c r="G36" s="78" t="str">
        <f>IF($A36="","",IF($C36=0,0,IFERROR(_xlfn.XLOOKUP("F-"&amp;$A36,'Feeder Schedule'!$B$5:$B$254,'Feeder Schedule'!$U$5:$U$254),"")))</f>
        <v/>
      </c>
      <c r="H36" s="78" t="str">
        <f t="shared" si="2"/>
        <v/>
      </c>
      <c r="I36" s="78" t="str">
        <f t="shared" si="0"/>
        <v/>
      </c>
      <c r="J36" s="78" t="str">
        <f t="shared" si="1"/>
        <v/>
      </c>
      <c r="K36" s="15" t="str">
        <f t="shared" si="3"/>
        <v/>
      </c>
      <c r="L36" s="363"/>
    </row>
    <row r="37" spans="1:12" s="20" customFormat="1" ht="15" customHeight="1" x14ac:dyDescent="0.35">
      <c r="A37" s="15" t="str" cm="1">
        <f t="array" ref="A37">IFERROR(IF(INDEX(_xlfn.ANCHORARRAY('Short Circuit'!$BK$4),ROW()-5,1)="","",INDEX(_xlfn.ANCHORARRAY('Short Circuit'!$BK$4),ROW()-5,1)),"")</f>
        <v/>
      </c>
      <c r="B37" s="362" t="str" cm="1">
        <f t="array" ref="B37">IFERROR(IF($A37="","",INDEX(_xlfn.ANCHORARRAY('Short Circuit'!$BK$4),ROW()-5,5)),"")</f>
        <v/>
      </c>
      <c r="C37" s="181" t="str" cm="1">
        <f t="array" ref="C37">IFERROR(IF($A37="","",INDEX(_xlfn.ANCHORARRAY('Short Circuit'!$BK$4),ROW()-5,7)),"")</f>
        <v/>
      </c>
      <c r="D37" s="168" t="str" cm="1">
        <f t="array" ref="D37">IFERROR(IF($A37="","",INDEX(_xlfn.ANCHORARRAY('Short Circuit'!$BK$4),ROW()-5,3)),"")</f>
        <v/>
      </c>
      <c r="E37" s="362" t="str" cm="1">
        <f t="array" ref="E37">IFERROR(IF($A37="","",INDEX(_xlfn.ANCHORARRAY('Short Circuit'!$BK$4),ROW()-5,2)),"")</f>
        <v/>
      </c>
      <c r="F37" s="15" t="str">
        <f>IF($A37="","",IF($C37=0,"— utility service —",IFERROR(_xlfn.XLOOKUP("F-"&amp;$A37,'Short Circuit'!$A$6:$A$255,'Short Circuit'!$G$6:$G$255),IFERROR(_xlfn.XLOOKUP($A37,'Short Circuit'!$A$6:$A$255,'Short Circuit'!$G$6:$G$255),"⚠ no feeder data"))))</f>
        <v/>
      </c>
      <c r="G37" s="78" t="str">
        <f>IF($A37="","",IF($C37=0,0,IFERROR(_xlfn.XLOOKUP("F-"&amp;$A37,'Feeder Schedule'!$B$5:$B$254,'Feeder Schedule'!$U$5:$U$254),"")))</f>
        <v/>
      </c>
      <c r="H37" s="78" t="str">
        <f t="shared" si="2"/>
        <v/>
      </c>
      <c r="I37" s="78" t="str">
        <f t="shared" si="0"/>
        <v/>
      </c>
      <c r="J37" s="78" t="str">
        <f t="shared" si="1"/>
        <v/>
      </c>
      <c r="K37" s="15" t="str">
        <f t="shared" si="3"/>
        <v/>
      </c>
      <c r="L37" s="363"/>
    </row>
    <row r="38" spans="1:12" s="20" customFormat="1" ht="15" customHeight="1" x14ac:dyDescent="0.35">
      <c r="A38" s="15" t="str" cm="1">
        <f t="array" ref="A38">IFERROR(IF(INDEX(_xlfn.ANCHORARRAY('Short Circuit'!$BK$4),ROW()-5,1)="","",INDEX(_xlfn.ANCHORARRAY('Short Circuit'!$BK$4),ROW()-5,1)),"")</f>
        <v/>
      </c>
      <c r="B38" s="362" t="str" cm="1">
        <f t="array" ref="B38">IFERROR(IF($A38="","",INDEX(_xlfn.ANCHORARRAY('Short Circuit'!$BK$4),ROW()-5,5)),"")</f>
        <v/>
      </c>
      <c r="C38" s="181" t="str" cm="1">
        <f t="array" ref="C38">IFERROR(IF($A38="","",INDEX(_xlfn.ANCHORARRAY('Short Circuit'!$BK$4),ROW()-5,7)),"")</f>
        <v/>
      </c>
      <c r="D38" s="168" t="str" cm="1">
        <f t="array" ref="D38">IFERROR(IF($A38="","",INDEX(_xlfn.ANCHORARRAY('Short Circuit'!$BK$4),ROW()-5,3)),"")</f>
        <v/>
      </c>
      <c r="E38" s="362" t="str" cm="1">
        <f t="array" ref="E38">IFERROR(IF($A38="","",INDEX(_xlfn.ANCHORARRAY('Short Circuit'!$BK$4),ROW()-5,2)),"")</f>
        <v/>
      </c>
      <c r="F38" s="15" t="str">
        <f>IF($A38="","",IF($C38=0,"— utility service —",IFERROR(_xlfn.XLOOKUP("F-"&amp;$A38,'Short Circuit'!$A$6:$A$255,'Short Circuit'!$G$6:$G$255),IFERROR(_xlfn.XLOOKUP($A38,'Short Circuit'!$A$6:$A$255,'Short Circuit'!$G$6:$G$255),"⚠ no feeder data"))))</f>
        <v/>
      </c>
      <c r="G38" s="78" t="str">
        <f>IF($A38="","",IF($C38=0,0,IFERROR(_xlfn.XLOOKUP("F-"&amp;$A38,'Feeder Schedule'!$B$5:$B$254,'Feeder Schedule'!$U$5:$U$254),"")))</f>
        <v/>
      </c>
      <c r="H38" s="78" t="str">
        <f t="shared" si="2"/>
        <v/>
      </c>
      <c r="I38" s="78" t="str">
        <f t="shared" si="0"/>
        <v/>
      </c>
      <c r="J38" s="78" t="str">
        <f t="shared" si="1"/>
        <v/>
      </c>
      <c r="K38" s="15" t="str">
        <f t="shared" si="3"/>
        <v/>
      </c>
      <c r="L38" s="363"/>
    </row>
    <row r="39" spans="1:12" s="20" customFormat="1" ht="15" customHeight="1" x14ac:dyDescent="0.35">
      <c r="A39" s="15" t="str" cm="1">
        <f t="array" ref="A39">IFERROR(IF(INDEX(_xlfn.ANCHORARRAY('Short Circuit'!$BK$4),ROW()-5,1)="","",INDEX(_xlfn.ANCHORARRAY('Short Circuit'!$BK$4),ROW()-5,1)),"")</f>
        <v/>
      </c>
      <c r="B39" s="362" t="str" cm="1">
        <f t="array" ref="B39">IFERROR(IF($A39="","",INDEX(_xlfn.ANCHORARRAY('Short Circuit'!$BK$4),ROW()-5,5)),"")</f>
        <v/>
      </c>
      <c r="C39" s="181" t="str" cm="1">
        <f t="array" ref="C39">IFERROR(IF($A39="","",INDEX(_xlfn.ANCHORARRAY('Short Circuit'!$BK$4),ROW()-5,7)),"")</f>
        <v/>
      </c>
      <c r="D39" s="168" t="str" cm="1">
        <f t="array" ref="D39">IFERROR(IF($A39="","",INDEX(_xlfn.ANCHORARRAY('Short Circuit'!$BK$4),ROW()-5,3)),"")</f>
        <v/>
      </c>
      <c r="E39" s="362" t="str" cm="1">
        <f t="array" ref="E39">IFERROR(IF($A39="","",INDEX(_xlfn.ANCHORARRAY('Short Circuit'!$BK$4),ROW()-5,2)),"")</f>
        <v/>
      </c>
      <c r="F39" s="15" t="str">
        <f>IF($A39="","",IF($C39=0,"— utility service —",IFERROR(_xlfn.XLOOKUP("F-"&amp;$A39,'Short Circuit'!$A$6:$A$255,'Short Circuit'!$G$6:$G$255),IFERROR(_xlfn.XLOOKUP($A39,'Short Circuit'!$A$6:$A$255,'Short Circuit'!$G$6:$G$255),"⚠ no feeder data"))))</f>
        <v/>
      </c>
      <c r="G39" s="78" t="str">
        <f>IF($A39="","",IF($C39=0,0,IFERROR(_xlfn.XLOOKUP("F-"&amp;$A39,'Feeder Schedule'!$B$5:$B$254,'Feeder Schedule'!$U$5:$U$254),"")))</f>
        <v/>
      </c>
      <c r="H39" s="78" t="str">
        <f t="shared" si="2"/>
        <v/>
      </c>
      <c r="I39" s="78" t="str">
        <f t="shared" si="0"/>
        <v/>
      </c>
      <c r="J39" s="78" t="str">
        <f t="shared" si="1"/>
        <v/>
      </c>
      <c r="K39" s="15" t="str">
        <f t="shared" si="3"/>
        <v/>
      </c>
      <c r="L39" s="363"/>
    </row>
    <row r="40" spans="1:12" s="20" customFormat="1" ht="15" customHeight="1" x14ac:dyDescent="0.35">
      <c r="A40" s="15" t="str" cm="1">
        <f t="array" ref="A40">IFERROR(IF(INDEX(_xlfn.ANCHORARRAY('Short Circuit'!$BK$4),ROW()-5,1)="","",INDEX(_xlfn.ANCHORARRAY('Short Circuit'!$BK$4),ROW()-5,1)),"")</f>
        <v/>
      </c>
      <c r="B40" s="362" t="str" cm="1">
        <f t="array" ref="B40">IFERROR(IF($A40="","",INDEX(_xlfn.ANCHORARRAY('Short Circuit'!$BK$4),ROW()-5,5)),"")</f>
        <v/>
      </c>
      <c r="C40" s="181" t="str" cm="1">
        <f t="array" ref="C40">IFERROR(IF($A40="","",INDEX(_xlfn.ANCHORARRAY('Short Circuit'!$BK$4),ROW()-5,7)),"")</f>
        <v/>
      </c>
      <c r="D40" s="168" t="str" cm="1">
        <f t="array" ref="D40">IFERROR(IF($A40="","",INDEX(_xlfn.ANCHORARRAY('Short Circuit'!$BK$4),ROW()-5,3)),"")</f>
        <v/>
      </c>
      <c r="E40" s="362" t="str" cm="1">
        <f t="array" ref="E40">IFERROR(IF($A40="","",INDEX(_xlfn.ANCHORARRAY('Short Circuit'!$BK$4),ROW()-5,2)),"")</f>
        <v/>
      </c>
      <c r="F40" s="15" t="str">
        <f>IF($A40="","",IF($C40=0,"— utility service —",IFERROR(_xlfn.XLOOKUP("F-"&amp;$A40,'Short Circuit'!$A$6:$A$255,'Short Circuit'!$G$6:$G$255),IFERROR(_xlfn.XLOOKUP($A40,'Short Circuit'!$A$6:$A$255,'Short Circuit'!$G$6:$G$255),"⚠ no feeder data"))))</f>
        <v/>
      </c>
      <c r="G40" s="78" t="str">
        <f>IF($A40="","",IF($C40=0,0,IFERROR(_xlfn.XLOOKUP("F-"&amp;$A40,'Feeder Schedule'!$B$5:$B$254,'Feeder Schedule'!$U$5:$U$254),"")))</f>
        <v/>
      </c>
      <c r="H40" s="78" t="str">
        <f t="shared" si="2"/>
        <v/>
      </c>
      <c r="I40" s="78" t="str">
        <f t="shared" si="0"/>
        <v/>
      </c>
      <c r="J40" s="78" t="str">
        <f t="shared" si="1"/>
        <v/>
      </c>
      <c r="K40" s="15" t="str">
        <f t="shared" si="3"/>
        <v/>
      </c>
      <c r="L40" s="363"/>
    </row>
    <row r="41" spans="1:12" s="20" customFormat="1" ht="15" customHeight="1" x14ac:dyDescent="0.35">
      <c r="A41" s="15" t="str" cm="1">
        <f t="array" ref="A41">IFERROR(IF(INDEX(_xlfn.ANCHORARRAY('Short Circuit'!$BK$4),ROW()-5,1)="","",INDEX(_xlfn.ANCHORARRAY('Short Circuit'!$BK$4),ROW()-5,1)),"")</f>
        <v/>
      </c>
      <c r="B41" s="362" t="str" cm="1">
        <f t="array" ref="B41">IFERROR(IF($A41="","",INDEX(_xlfn.ANCHORARRAY('Short Circuit'!$BK$4),ROW()-5,5)),"")</f>
        <v/>
      </c>
      <c r="C41" s="181" t="str" cm="1">
        <f t="array" ref="C41">IFERROR(IF($A41="","",INDEX(_xlfn.ANCHORARRAY('Short Circuit'!$BK$4),ROW()-5,7)),"")</f>
        <v/>
      </c>
      <c r="D41" s="168" t="str" cm="1">
        <f t="array" ref="D41">IFERROR(IF($A41="","",INDEX(_xlfn.ANCHORARRAY('Short Circuit'!$BK$4),ROW()-5,3)),"")</f>
        <v/>
      </c>
      <c r="E41" s="362" t="str" cm="1">
        <f t="array" ref="E41">IFERROR(IF($A41="","",INDEX(_xlfn.ANCHORARRAY('Short Circuit'!$BK$4),ROW()-5,2)),"")</f>
        <v/>
      </c>
      <c r="F41" s="15" t="str">
        <f>IF($A41="","",IF($C41=0,"— utility service —",IFERROR(_xlfn.XLOOKUP("F-"&amp;$A41,'Short Circuit'!$A$6:$A$255,'Short Circuit'!$G$6:$G$255),IFERROR(_xlfn.XLOOKUP($A41,'Short Circuit'!$A$6:$A$255,'Short Circuit'!$G$6:$G$255),"⚠ no feeder data"))))</f>
        <v/>
      </c>
      <c r="G41" s="78" t="str">
        <f>IF($A41="","",IF($C41=0,0,IFERROR(_xlfn.XLOOKUP("F-"&amp;$A41,'Feeder Schedule'!$B$5:$B$254,'Feeder Schedule'!$U$5:$U$254),"")))</f>
        <v/>
      </c>
      <c r="H41" s="78" t="str">
        <f t="shared" si="2"/>
        <v/>
      </c>
      <c r="I41" s="78" t="str">
        <f t="shared" si="0"/>
        <v/>
      </c>
      <c r="J41" s="78" t="str">
        <f t="shared" si="1"/>
        <v/>
      </c>
      <c r="K41" s="15" t="str">
        <f t="shared" si="3"/>
        <v/>
      </c>
      <c r="L41" s="363"/>
    </row>
    <row r="42" spans="1:12" s="20" customFormat="1" ht="15" customHeight="1" x14ac:dyDescent="0.35">
      <c r="A42" s="15" t="str" cm="1">
        <f t="array" ref="A42">IFERROR(IF(INDEX(_xlfn.ANCHORARRAY('Short Circuit'!$BK$4),ROW()-5,1)="","",INDEX(_xlfn.ANCHORARRAY('Short Circuit'!$BK$4),ROW()-5,1)),"")</f>
        <v/>
      </c>
      <c r="B42" s="362" t="str" cm="1">
        <f t="array" ref="B42">IFERROR(IF($A42="","",INDEX(_xlfn.ANCHORARRAY('Short Circuit'!$BK$4),ROW()-5,5)),"")</f>
        <v/>
      </c>
      <c r="C42" s="181" t="str" cm="1">
        <f t="array" ref="C42">IFERROR(IF($A42="","",INDEX(_xlfn.ANCHORARRAY('Short Circuit'!$BK$4),ROW()-5,7)),"")</f>
        <v/>
      </c>
      <c r="D42" s="168" t="str" cm="1">
        <f t="array" ref="D42">IFERROR(IF($A42="","",INDEX(_xlfn.ANCHORARRAY('Short Circuit'!$BK$4),ROW()-5,3)),"")</f>
        <v/>
      </c>
      <c r="E42" s="362" t="str" cm="1">
        <f t="array" ref="E42">IFERROR(IF($A42="","",INDEX(_xlfn.ANCHORARRAY('Short Circuit'!$BK$4),ROW()-5,2)),"")</f>
        <v/>
      </c>
      <c r="F42" s="15" t="str">
        <f>IF($A42="","",IF($C42=0,"— utility service —",IFERROR(_xlfn.XLOOKUP("F-"&amp;$A42,'Short Circuit'!$A$6:$A$255,'Short Circuit'!$G$6:$G$255),IFERROR(_xlfn.XLOOKUP($A42,'Short Circuit'!$A$6:$A$255,'Short Circuit'!$G$6:$G$255),"⚠ no feeder data"))))</f>
        <v/>
      </c>
      <c r="G42" s="78" t="str">
        <f>IF($A42="","",IF($C42=0,0,IFERROR(_xlfn.XLOOKUP("F-"&amp;$A42,'Feeder Schedule'!$B$5:$B$254,'Feeder Schedule'!$U$5:$U$254),"")))</f>
        <v/>
      </c>
      <c r="H42" s="78" t="str">
        <f t="shared" si="2"/>
        <v/>
      </c>
      <c r="I42" s="78" t="str">
        <f t="shared" si="0"/>
        <v/>
      </c>
      <c r="J42" s="78" t="str">
        <f t="shared" si="1"/>
        <v/>
      </c>
      <c r="K42" s="15" t="str">
        <f t="shared" si="3"/>
        <v/>
      </c>
      <c r="L42" s="363"/>
    </row>
    <row r="43" spans="1:12" s="20" customFormat="1" ht="15" customHeight="1" x14ac:dyDescent="0.35">
      <c r="A43" s="15" t="str" cm="1">
        <f t="array" ref="A43">IFERROR(IF(INDEX(_xlfn.ANCHORARRAY('Short Circuit'!$BK$4),ROW()-5,1)="","",INDEX(_xlfn.ANCHORARRAY('Short Circuit'!$BK$4),ROW()-5,1)),"")</f>
        <v/>
      </c>
      <c r="B43" s="362" t="str" cm="1">
        <f t="array" ref="B43">IFERROR(IF($A43="","",INDEX(_xlfn.ANCHORARRAY('Short Circuit'!$BK$4),ROW()-5,5)),"")</f>
        <v/>
      </c>
      <c r="C43" s="181" t="str" cm="1">
        <f t="array" ref="C43">IFERROR(IF($A43="","",INDEX(_xlfn.ANCHORARRAY('Short Circuit'!$BK$4),ROW()-5,7)),"")</f>
        <v/>
      </c>
      <c r="D43" s="168" t="str" cm="1">
        <f t="array" ref="D43">IFERROR(IF($A43="","",INDEX(_xlfn.ANCHORARRAY('Short Circuit'!$BK$4),ROW()-5,3)),"")</f>
        <v/>
      </c>
      <c r="E43" s="362" t="str" cm="1">
        <f t="array" ref="E43">IFERROR(IF($A43="","",INDEX(_xlfn.ANCHORARRAY('Short Circuit'!$BK$4),ROW()-5,2)),"")</f>
        <v/>
      </c>
      <c r="F43" s="15" t="str">
        <f>IF($A43="","",IF($C43=0,"— utility service —",IFERROR(_xlfn.XLOOKUP("F-"&amp;$A43,'Short Circuit'!$A$6:$A$255,'Short Circuit'!$G$6:$G$255),IFERROR(_xlfn.XLOOKUP($A43,'Short Circuit'!$A$6:$A$255,'Short Circuit'!$G$6:$G$255),"⚠ no feeder data"))))</f>
        <v/>
      </c>
      <c r="G43" s="78" t="str">
        <f>IF($A43="","",IF($C43=0,0,IFERROR(_xlfn.XLOOKUP("F-"&amp;$A43,'Feeder Schedule'!$B$5:$B$254,'Feeder Schedule'!$U$5:$U$254),"")))</f>
        <v/>
      </c>
      <c r="H43" s="78" t="str">
        <f t="shared" si="2"/>
        <v/>
      </c>
      <c r="I43" s="78" t="str">
        <f t="shared" si="0"/>
        <v/>
      </c>
      <c r="J43" s="78" t="str">
        <f t="shared" si="1"/>
        <v/>
      </c>
      <c r="K43" s="15" t="str">
        <f t="shared" si="3"/>
        <v/>
      </c>
      <c r="L43" s="363"/>
    </row>
    <row r="44" spans="1:12" s="20" customFormat="1" ht="15" customHeight="1" x14ac:dyDescent="0.35">
      <c r="A44" s="15" t="str" cm="1">
        <f t="array" ref="A44">IFERROR(IF(INDEX(_xlfn.ANCHORARRAY('Short Circuit'!$BK$4),ROW()-5,1)="","",INDEX(_xlfn.ANCHORARRAY('Short Circuit'!$BK$4),ROW()-5,1)),"")</f>
        <v/>
      </c>
      <c r="B44" s="362" t="str" cm="1">
        <f t="array" ref="B44">IFERROR(IF($A44="","",INDEX(_xlfn.ANCHORARRAY('Short Circuit'!$BK$4),ROW()-5,5)),"")</f>
        <v/>
      </c>
      <c r="C44" s="181" t="str" cm="1">
        <f t="array" ref="C44">IFERROR(IF($A44="","",INDEX(_xlfn.ANCHORARRAY('Short Circuit'!$BK$4),ROW()-5,7)),"")</f>
        <v/>
      </c>
      <c r="D44" s="168" t="str" cm="1">
        <f t="array" ref="D44">IFERROR(IF($A44="","",INDEX(_xlfn.ANCHORARRAY('Short Circuit'!$BK$4),ROW()-5,3)),"")</f>
        <v/>
      </c>
      <c r="E44" s="362" t="str" cm="1">
        <f t="array" ref="E44">IFERROR(IF($A44="","",INDEX(_xlfn.ANCHORARRAY('Short Circuit'!$BK$4),ROW()-5,2)),"")</f>
        <v/>
      </c>
      <c r="F44" s="15" t="str">
        <f>IF($A44="","",IF($C44=0,"— utility service —",IFERROR(_xlfn.XLOOKUP("F-"&amp;$A44,'Short Circuit'!$A$6:$A$255,'Short Circuit'!$G$6:$G$255),IFERROR(_xlfn.XLOOKUP($A44,'Short Circuit'!$A$6:$A$255,'Short Circuit'!$G$6:$G$255),"⚠ no feeder data"))))</f>
        <v/>
      </c>
      <c r="G44" s="78" t="str">
        <f>IF($A44="","",IF($C44=0,0,IFERROR(_xlfn.XLOOKUP("F-"&amp;$A44,'Feeder Schedule'!$B$5:$B$254,'Feeder Schedule'!$U$5:$U$254),"")))</f>
        <v/>
      </c>
      <c r="H44" s="78" t="str">
        <f t="shared" si="2"/>
        <v/>
      </c>
      <c r="I44" s="78" t="str">
        <f t="shared" si="0"/>
        <v/>
      </c>
      <c r="J44" s="78" t="str">
        <f t="shared" si="1"/>
        <v/>
      </c>
      <c r="K44" s="15" t="str">
        <f t="shared" si="3"/>
        <v/>
      </c>
      <c r="L44" s="363"/>
    </row>
    <row r="45" spans="1:12" s="20" customFormat="1" ht="15" customHeight="1" x14ac:dyDescent="0.35">
      <c r="A45" s="15" t="str" cm="1">
        <f t="array" ref="A45">IFERROR(IF(INDEX(_xlfn.ANCHORARRAY('Short Circuit'!$BK$4),ROW()-5,1)="","",INDEX(_xlfn.ANCHORARRAY('Short Circuit'!$BK$4),ROW()-5,1)),"")</f>
        <v/>
      </c>
      <c r="B45" s="362" t="str" cm="1">
        <f t="array" ref="B45">IFERROR(IF($A45="","",INDEX(_xlfn.ANCHORARRAY('Short Circuit'!$BK$4),ROW()-5,5)),"")</f>
        <v/>
      </c>
      <c r="C45" s="181" t="str" cm="1">
        <f t="array" ref="C45">IFERROR(IF($A45="","",INDEX(_xlfn.ANCHORARRAY('Short Circuit'!$BK$4),ROW()-5,7)),"")</f>
        <v/>
      </c>
      <c r="D45" s="168" t="str" cm="1">
        <f t="array" ref="D45">IFERROR(IF($A45="","",INDEX(_xlfn.ANCHORARRAY('Short Circuit'!$BK$4),ROW()-5,3)),"")</f>
        <v/>
      </c>
      <c r="E45" s="362" t="str" cm="1">
        <f t="array" ref="E45">IFERROR(IF($A45="","",INDEX(_xlfn.ANCHORARRAY('Short Circuit'!$BK$4),ROW()-5,2)),"")</f>
        <v/>
      </c>
      <c r="F45" s="15" t="str">
        <f>IF($A45="","",IF($C45=0,"— utility service —",IFERROR(_xlfn.XLOOKUP("F-"&amp;$A45,'Short Circuit'!$A$6:$A$255,'Short Circuit'!$G$6:$G$255),IFERROR(_xlfn.XLOOKUP($A45,'Short Circuit'!$A$6:$A$255,'Short Circuit'!$G$6:$G$255),"⚠ no feeder data"))))</f>
        <v/>
      </c>
      <c r="G45" s="78" t="str">
        <f>IF($A45="","",IF($C45=0,0,IFERROR(_xlfn.XLOOKUP("F-"&amp;$A45,'Feeder Schedule'!$B$5:$B$254,'Feeder Schedule'!$U$5:$U$254),"")))</f>
        <v/>
      </c>
      <c r="H45" s="78" t="str">
        <f t="shared" si="2"/>
        <v/>
      </c>
      <c r="I45" s="78" t="str">
        <f t="shared" si="0"/>
        <v/>
      </c>
      <c r="J45" s="78" t="str">
        <f t="shared" si="1"/>
        <v/>
      </c>
      <c r="K45" s="15" t="str">
        <f t="shared" si="3"/>
        <v/>
      </c>
      <c r="L45" s="363"/>
    </row>
    <row r="46" spans="1:12" s="20" customFormat="1" ht="15" customHeight="1" x14ac:dyDescent="0.35">
      <c r="A46" s="15" t="str" cm="1">
        <f t="array" ref="A46">IFERROR(IF(INDEX(_xlfn.ANCHORARRAY('Short Circuit'!$BK$4),ROW()-5,1)="","",INDEX(_xlfn.ANCHORARRAY('Short Circuit'!$BK$4),ROW()-5,1)),"")</f>
        <v/>
      </c>
      <c r="B46" s="362" t="str" cm="1">
        <f t="array" ref="B46">IFERROR(IF($A46="","",INDEX(_xlfn.ANCHORARRAY('Short Circuit'!$BK$4),ROW()-5,5)),"")</f>
        <v/>
      </c>
      <c r="C46" s="181" t="str" cm="1">
        <f t="array" ref="C46">IFERROR(IF($A46="","",INDEX(_xlfn.ANCHORARRAY('Short Circuit'!$BK$4),ROW()-5,7)),"")</f>
        <v/>
      </c>
      <c r="D46" s="168" t="str" cm="1">
        <f t="array" ref="D46">IFERROR(IF($A46="","",INDEX(_xlfn.ANCHORARRAY('Short Circuit'!$BK$4),ROW()-5,3)),"")</f>
        <v/>
      </c>
      <c r="E46" s="362" t="str" cm="1">
        <f t="array" ref="E46">IFERROR(IF($A46="","",INDEX(_xlfn.ANCHORARRAY('Short Circuit'!$BK$4),ROW()-5,2)),"")</f>
        <v/>
      </c>
      <c r="F46" s="15" t="str">
        <f>IF($A46="","",IF($C46=0,"— utility service —",IFERROR(_xlfn.XLOOKUP("F-"&amp;$A46,'Short Circuit'!$A$6:$A$255,'Short Circuit'!$G$6:$G$255),IFERROR(_xlfn.XLOOKUP($A46,'Short Circuit'!$A$6:$A$255,'Short Circuit'!$G$6:$G$255),"⚠ no feeder data"))))</f>
        <v/>
      </c>
      <c r="G46" s="78" t="str">
        <f>IF($A46="","",IF($C46=0,0,IFERROR(_xlfn.XLOOKUP("F-"&amp;$A46,'Feeder Schedule'!$B$5:$B$254,'Feeder Schedule'!$U$5:$U$254),"")))</f>
        <v/>
      </c>
      <c r="H46" s="78" t="str">
        <f t="shared" si="2"/>
        <v/>
      </c>
      <c r="I46" s="78" t="str">
        <f t="shared" si="0"/>
        <v/>
      </c>
      <c r="J46" s="78" t="str">
        <f t="shared" si="1"/>
        <v/>
      </c>
      <c r="K46" s="15" t="str">
        <f t="shared" si="3"/>
        <v/>
      </c>
      <c r="L46" s="363"/>
    </row>
    <row r="47" spans="1:12" s="20" customFormat="1" ht="15" customHeight="1" x14ac:dyDescent="0.35">
      <c r="A47" s="15" t="str" cm="1">
        <f t="array" ref="A47">IFERROR(IF(INDEX(_xlfn.ANCHORARRAY('Short Circuit'!$BK$4),ROW()-5,1)="","",INDEX(_xlfn.ANCHORARRAY('Short Circuit'!$BK$4),ROW()-5,1)),"")</f>
        <v/>
      </c>
      <c r="B47" s="362" t="str" cm="1">
        <f t="array" ref="B47">IFERROR(IF($A47="","",INDEX(_xlfn.ANCHORARRAY('Short Circuit'!$BK$4),ROW()-5,5)),"")</f>
        <v/>
      </c>
      <c r="C47" s="181" t="str" cm="1">
        <f t="array" ref="C47">IFERROR(IF($A47="","",INDEX(_xlfn.ANCHORARRAY('Short Circuit'!$BK$4),ROW()-5,7)),"")</f>
        <v/>
      </c>
      <c r="D47" s="168" t="str" cm="1">
        <f t="array" ref="D47">IFERROR(IF($A47="","",INDEX(_xlfn.ANCHORARRAY('Short Circuit'!$BK$4),ROW()-5,3)),"")</f>
        <v/>
      </c>
      <c r="E47" s="362" t="str" cm="1">
        <f t="array" ref="E47">IFERROR(IF($A47="","",INDEX(_xlfn.ANCHORARRAY('Short Circuit'!$BK$4),ROW()-5,2)),"")</f>
        <v/>
      </c>
      <c r="F47" s="15" t="str">
        <f>IF($A47="","",IF($C47=0,"— utility service —",IFERROR(_xlfn.XLOOKUP("F-"&amp;$A47,'Short Circuit'!$A$6:$A$255,'Short Circuit'!$G$6:$G$255),IFERROR(_xlfn.XLOOKUP($A47,'Short Circuit'!$A$6:$A$255,'Short Circuit'!$G$6:$G$255),"⚠ no feeder data"))))</f>
        <v/>
      </c>
      <c r="G47" s="78" t="str">
        <f>IF($A47="","",IF($C47=0,0,IFERROR(_xlfn.XLOOKUP("F-"&amp;$A47,'Feeder Schedule'!$B$5:$B$254,'Feeder Schedule'!$U$5:$U$254),"")))</f>
        <v/>
      </c>
      <c r="H47" s="78" t="str">
        <f t="shared" si="2"/>
        <v/>
      </c>
      <c r="I47" s="78" t="str">
        <f t="shared" si="0"/>
        <v/>
      </c>
      <c r="J47" s="78" t="str">
        <f t="shared" si="1"/>
        <v/>
      </c>
      <c r="K47" s="15" t="str">
        <f t="shared" si="3"/>
        <v/>
      </c>
      <c r="L47" s="363"/>
    </row>
    <row r="48" spans="1:12" s="20" customFormat="1" ht="15" customHeight="1" x14ac:dyDescent="0.35">
      <c r="A48" s="15" t="str" cm="1">
        <f t="array" ref="A48">IFERROR(IF(INDEX(_xlfn.ANCHORARRAY('Short Circuit'!$BK$4),ROW()-5,1)="","",INDEX(_xlfn.ANCHORARRAY('Short Circuit'!$BK$4),ROW()-5,1)),"")</f>
        <v/>
      </c>
      <c r="B48" s="362" t="str" cm="1">
        <f t="array" ref="B48">IFERROR(IF($A48="","",INDEX(_xlfn.ANCHORARRAY('Short Circuit'!$BK$4),ROW()-5,5)),"")</f>
        <v/>
      </c>
      <c r="C48" s="181" t="str" cm="1">
        <f t="array" ref="C48">IFERROR(IF($A48="","",INDEX(_xlfn.ANCHORARRAY('Short Circuit'!$BK$4),ROW()-5,7)),"")</f>
        <v/>
      </c>
      <c r="D48" s="168" t="str" cm="1">
        <f t="array" ref="D48">IFERROR(IF($A48="","",INDEX(_xlfn.ANCHORARRAY('Short Circuit'!$BK$4),ROW()-5,3)),"")</f>
        <v/>
      </c>
      <c r="E48" s="362" t="str" cm="1">
        <f t="array" ref="E48">IFERROR(IF($A48="","",INDEX(_xlfn.ANCHORARRAY('Short Circuit'!$BK$4),ROW()-5,2)),"")</f>
        <v/>
      </c>
      <c r="F48" s="15" t="str">
        <f>IF($A48="","",IF($C48=0,"— utility service —",IFERROR(_xlfn.XLOOKUP("F-"&amp;$A48,'Short Circuit'!$A$6:$A$255,'Short Circuit'!$G$6:$G$255),IFERROR(_xlfn.XLOOKUP($A48,'Short Circuit'!$A$6:$A$255,'Short Circuit'!$G$6:$G$255),"⚠ no feeder data"))))</f>
        <v/>
      </c>
      <c r="G48" s="78" t="str">
        <f>IF($A48="","",IF($C48=0,0,IFERROR(_xlfn.XLOOKUP("F-"&amp;$A48,'Feeder Schedule'!$B$5:$B$254,'Feeder Schedule'!$U$5:$U$254),"")))</f>
        <v/>
      </c>
      <c r="H48" s="78" t="str">
        <f t="shared" si="2"/>
        <v/>
      </c>
      <c r="I48" s="78" t="str">
        <f t="shared" si="0"/>
        <v/>
      </c>
      <c r="J48" s="78" t="str">
        <f t="shared" si="1"/>
        <v/>
      </c>
      <c r="K48" s="15" t="str">
        <f t="shared" si="3"/>
        <v/>
      </c>
      <c r="L48" s="363"/>
    </row>
    <row r="49" spans="1:12" s="20" customFormat="1" ht="15" customHeight="1" x14ac:dyDescent="0.35">
      <c r="A49" s="15" t="str" cm="1">
        <f t="array" ref="A49">IFERROR(IF(INDEX(_xlfn.ANCHORARRAY('Short Circuit'!$BK$4),ROW()-5,1)="","",INDEX(_xlfn.ANCHORARRAY('Short Circuit'!$BK$4),ROW()-5,1)),"")</f>
        <v/>
      </c>
      <c r="B49" s="362" t="str" cm="1">
        <f t="array" ref="B49">IFERROR(IF($A49="","",INDEX(_xlfn.ANCHORARRAY('Short Circuit'!$BK$4),ROW()-5,5)),"")</f>
        <v/>
      </c>
      <c r="C49" s="181" t="str" cm="1">
        <f t="array" ref="C49">IFERROR(IF($A49="","",INDEX(_xlfn.ANCHORARRAY('Short Circuit'!$BK$4),ROW()-5,7)),"")</f>
        <v/>
      </c>
      <c r="D49" s="168" t="str" cm="1">
        <f t="array" ref="D49">IFERROR(IF($A49="","",INDEX(_xlfn.ANCHORARRAY('Short Circuit'!$BK$4),ROW()-5,3)),"")</f>
        <v/>
      </c>
      <c r="E49" s="362" t="str" cm="1">
        <f t="array" ref="E49">IFERROR(IF($A49="","",INDEX(_xlfn.ANCHORARRAY('Short Circuit'!$BK$4),ROW()-5,2)),"")</f>
        <v/>
      </c>
      <c r="F49" s="15" t="str">
        <f>IF($A49="","",IF($C49=0,"— utility service —",IFERROR(_xlfn.XLOOKUP("F-"&amp;$A49,'Short Circuit'!$A$6:$A$255,'Short Circuit'!$G$6:$G$255),IFERROR(_xlfn.XLOOKUP($A49,'Short Circuit'!$A$6:$A$255,'Short Circuit'!$G$6:$G$255),"⚠ no feeder data"))))</f>
        <v/>
      </c>
      <c r="G49" s="78" t="str">
        <f>IF($A49="","",IF($C49=0,0,IFERROR(_xlfn.XLOOKUP("F-"&amp;$A49,'Feeder Schedule'!$B$5:$B$254,'Feeder Schedule'!$U$5:$U$254),"")))</f>
        <v/>
      </c>
      <c r="H49" s="78" t="str">
        <f t="shared" si="2"/>
        <v/>
      </c>
      <c r="I49" s="78" t="str">
        <f t="shared" si="0"/>
        <v/>
      </c>
      <c r="J49" s="78" t="str">
        <f t="shared" si="1"/>
        <v/>
      </c>
      <c r="K49" s="15" t="str">
        <f t="shared" si="3"/>
        <v/>
      </c>
      <c r="L49" s="363"/>
    </row>
    <row r="50" spans="1:12" s="20" customFormat="1" ht="15" customHeight="1" x14ac:dyDescent="0.35">
      <c r="A50" s="15" t="str" cm="1">
        <f t="array" ref="A50">IFERROR(IF(INDEX(_xlfn.ANCHORARRAY('Short Circuit'!$BK$4),ROW()-5,1)="","",INDEX(_xlfn.ANCHORARRAY('Short Circuit'!$BK$4),ROW()-5,1)),"")</f>
        <v/>
      </c>
      <c r="B50" s="362" t="str" cm="1">
        <f t="array" ref="B50">IFERROR(IF($A50="","",INDEX(_xlfn.ANCHORARRAY('Short Circuit'!$BK$4),ROW()-5,5)),"")</f>
        <v/>
      </c>
      <c r="C50" s="181" t="str" cm="1">
        <f t="array" ref="C50">IFERROR(IF($A50="","",INDEX(_xlfn.ANCHORARRAY('Short Circuit'!$BK$4),ROW()-5,7)),"")</f>
        <v/>
      </c>
      <c r="D50" s="168" t="str" cm="1">
        <f t="array" ref="D50">IFERROR(IF($A50="","",INDEX(_xlfn.ANCHORARRAY('Short Circuit'!$BK$4),ROW()-5,3)),"")</f>
        <v/>
      </c>
      <c r="E50" s="362" t="str" cm="1">
        <f t="array" ref="E50">IFERROR(IF($A50="","",INDEX(_xlfn.ANCHORARRAY('Short Circuit'!$BK$4),ROW()-5,2)),"")</f>
        <v/>
      </c>
      <c r="F50" s="15" t="str">
        <f>IF($A50="","",IF($C50=0,"— utility service —",IFERROR(_xlfn.XLOOKUP("F-"&amp;$A50,'Short Circuit'!$A$6:$A$255,'Short Circuit'!$G$6:$G$255),IFERROR(_xlfn.XLOOKUP($A50,'Short Circuit'!$A$6:$A$255,'Short Circuit'!$G$6:$G$255),"⚠ no feeder data"))))</f>
        <v/>
      </c>
      <c r="G50" s="78" t="str">
        <f>IF($A50="","",IF($C50=0,0,IFERROR(_xlfn.XLOOKUP("F-"&amp;$A50,'Feeder Schedule'!$B$5:$B$254,'Feeder Schedule'!$U$5:$U$254),"")))</f>
        <v/>
      </c>
      <c r="H50" s="78" t="str">
        <f t="shared" si="2"/>
        <v/>
      </c>
      <c r="I50" s="78" t="str">
        <f t="shared" si="0"/>
        <v/>
      </c>
      <c r="J50" s="78" t="str">
        <f t="shared" si="1"/>
        <v/>
      </c>
      <c r="K50" s="15" t="str">
        <f t="shared" si="3"/>
        <v/>
      </c>
      <c r="L50" s="363"/>
    </row>
    <row r="51" spans="1:12" s="20" customFormat="1" ht="15" customHeight="1" x14ac:dyDescent="0.35">
      <c r="A51" s="15" t="str" cm="1">
        <f t="array" ref="A51">IFERROR(IF(INDEX(_xlfn.ANCHORARRAY('Short Circuit'!$BK$4),ROW()-5,1)="","",INDEX(_xlfn.ANCHORARRAY('Short Circuit'!$BK$4),ROW()-5,1)),"")</f>
        <v/>
      </c>
      <c r="B51" s="362" t="str" cm="1">
        <f t="array" ref="B51">IFERROR(IF($A51="","",INDEX(_xlfn.ANCHORARRAY('Short Circuit'!$BK$4),ROW()-5,5)),"")</f>
        <v/>
      </c>
      <c r="C51" s="181" t="str" cm="1">
        <f t="array" ref="C51">IFERROR(IF($A51="","",INDEX(_xlfn.ANCHORARRAY('Short Circuit'!$BK$4),ROW()-5,7)),"")</f>
        <v/>
      </c>
      <c r="D51" s="168" t="str" cm="1">
        <f t="array" ref="D51">IFERROR(IF($A51="","",INDEX(_xlfn.ANCHORARRAY('Short Circuit'!$BK$4),ROW()-5,3)),"")</f>
        <v/>
      </c>
      <c r="E51" s="362" t="str" cm="1">
        <f t="array" ref="E51">IFERROR(IF($A51="","",INDEX(_xlfn.ANCHORARRAY('Short Circuit'!$BK$4),ROW()-5,2)),"")</f>
        <v/>
      </c>
      <c r="F51" s="15" t="str">
        <f>IF($A51="","",IF($C51=0,"— utility service —",IFERROR(_xlfn.XLOOKUP("F-"&amp;$A51,'Short Circuit'!$A$6:$A$255,'Short Circuit'!$G$6:$G$255),IFERROR(_xlfn.XLOOKUP($A51,'Short Circuit'!$A$6:$A$255,'Short Circuit'!$G$6:$G$255),"⚠ no feeder data"))))</f>
        <v/>
      </c>
      <c r="G51" s="78" t="str">
        <f>IF($A51="","",IF($C51=0,0,IFERROR(_xlfn.XLOOKUP("F-"&amp;$A51,'Feeder Schedule'!$B$5:$B$254,'Feeder Schedule'!$U$5:$U$254),"")))</f>
        <v/>
      </c>
      <c r="H51" s="78" t="str">
        <f t="shared" si="2"/>
        <v/>
      </c>
      <c r="I51" s="78" t="str">
        <f t="shared" si="0"/>
        <v/>
      </c>
      <c r="J51" s="78" t="str">
        <f t="shared" si="1"/>
        <v/>
      </c>
      <c r="K51" s="15" t="str">
        <f t="shared" si="3"/>
        <v/>
      </c>
      <c r="L51" s="363"/>
    </row>
    <row r="52" spans="1:12" s="20" customFormat="1" ht="15" customHeight="1" x14ac:dyDescent="0.35">
      <c r="A52" s="15" t="str" cm="1">
        <f t="array" ref="A52">IFERROR(IF(INDEX(_xlfn.ANCHORARRAY('Short Circuit'!$BK$4),ROW()-5,1)="","",INDEX(_xlfn.ANCHORARRAY('Short Circuit'!$BK$4),ROW()-5,1)),"")</f>
        <v/>
      </c>
      <c r="B52" s="362" t="str" cm="1">
        <f t="array" ref="B52">IFERROR(IF($A52="","",INDEX(_xlfn.ANCHORARRAY('Short Circuit'!$BK$4),ROW()-5,5)),"")</f>
        <v/>
      </c>
      <c r="C52" s="181" t="str" cm="1">
        <f t="array" ref="C52">IFERROR(IF($A52="","",INDEX(_xlfn.ANCHORARRAY('Short Circuit'!$BK$4),ROW()-5,7)),"")</f>
        <v/>
      </c>
      <c r="D52" s="168" t="str" cm="1">
        <f t="array" ref="D52">IFERROR(IF($A52="","",INDEX(_xlfn.ANCHORARRAY('Short Circuit'!$BK$4),ROW()-5,3)),"")</f>
        <v/>
      </c>
      <c r="E52" s="362" t="str" cm="1">
        <f t="array" ref="E52">IFERROR(IF($A52="","",INDEX(_xlfn.ANCHORARRAY('Short Circuit'!$BK$4),ROW()-5,2)),"")</f>
        <v/>
      </c>
      <c r="F52" s="15" t="str">
        <f>IF($A52="","",IF($C52=0,"— utility service —",IFERROR(_xlfn.XLOOKUP("F-"&amp;$A52,'Short Circuit'!$A$6:$A$255,'Short Circuit'!$G$6:$G$255),IFERROR(_xlfn.XLOOKUP($A52,'Short Circuit'!$A$6:$A$255,'Short Circuit'!$G$6:$G$255),"⚠ no feeder data"))))</f>
        <v/>
      </c>
      <c r="G52" s="78" t="str">
        <f>IF($A52="","",IF($C52=0,0,IFERROR(_xlfn.XLOOKUP("F-"&amp;$A52,'Feeder Schedule'!$B$5:$B$254,'Feeder Schedule'!$U$5:$U$254),"")))</f>
        <v/>
      </c>
      <c r="H52" s="78" t="str">
        <f t="shared" si="2"/>
        <v/>
      </c>
      <c r="I52" s="78" t="str">
        <f t="shared" si="0"/>
        <v/>
      </c>
      <c r="J52" s="78" t="str">
        <f t="shared" si="1"/>
        <v/>
      </c>
      <c r="K52" s="15" t="str">
        <f t="shared" si="3"/>
        <v/>
      </c>
      <c r="L52" s="363"/>
    </row>
    <row r="53" spans="1:12" s="20" customFormat="1" ht="15" customHeight="1" x14ac:dyDescent="0.35">
      <c r="A53" s="15" t="str" cm="1">
        <f t="array" ref="A53">IFERROR(IF(INDEX(_xlfn.ANCHORARRAY('Short Circuit'!$BK$4),ROW()-5,1)="","",INDEX(_xlfn.ANCHORARRAY('Short Circuit'!$BK$4),ROW()-5,1)),"")</f>
        <v/>
      </c>
      <c r="B53" s="362" t="str" cm="1">
        <f t="array" ref="B53">IFERROR(IF($A53="","",INDEX(_xlfn.ANCHORARRAY('Short Circuit'!$BK$4),ROW()-5,5)),"")</f>
        <v/>
      </c>
      <c r="C53" s="181" t="str" cm="1">
        <f t="array" ref="C53">IFERROR(IF($A53="","",INDEX(_xlfn.ANCHORARRAY('Short Circuit'!$BK$4),ROW()-5,7)),"")</f>
        <v/>
      </c>
      <c r="D53" s="168" t="str" cm="1">
        <f t="array" ref="D53">IFERROR(IF($A53="","",INDEX(_xlfn.ANCHORARRAY('Short Circuit'!$BK$4),ROW()-5,3)),"")</f>
        <v/>
      </c>
      <c r="E53" s="362" t="str" cm="1">
        <f t="array" ref="E53">IFERROR(IF($A53="","",INDEX(_xlfn.ANCHORARRAY('Short Circuit'!$BK$4),ROW()-5,2)),"")</f>
        <v/>
      </c>
      <c r="F53" s="15" t="str">
        <f>IF($A53="","",IF($C53=0,"— utility service —",IFERROR(_xlfn.XLOOKUP("F-"&amp;$A53,'Short Circuit'!$A$6:$A$255,'Short Circuit'!$G$6:$G$255),IFERROR(_xlfn.XLOOKUP($A53,'Short Circuit'!$A$6:$A$255,'Short Circuit'!$G$6:$G$255),"⚠ no feeder data"))))</f>
        <v/>
      </c>
      <c r="G53" s="78" t="str">
        <f>IF($A53="","",IF($C53=0,0,IFERROR(_xlfn.XLOOKUP("F-"&amp;$A53,'Feeder Schedule'!$B$5:$B$254,'Feeder Schedule'!$U$5:$U$254),"")))</f>
        <v/>
      </c>
      <c r="H53" s="78" t="str">
        <f t="shared" si="2"/>
        <v/>
      </c>
      <c r="I53" s="78" t="str">
        <f t="shared" si="0"/>
        <v/>
      </c>
      <c r="J53" s="78" t="str">
        <f t="shared" si="1"/>
        <v/>
      </c>
      <c r="K53" s="15" t="str">
        <f t="shared" si="3"/>
        <v/>
      </c>
      <c r="L53" s="363"/>
    </row>
    <row r="54" spans="1:12" s="20" customFormat="1" ht="15" customHeight="1" x14ac:dyDescent="0.35">
      <c r="A54" s="15" t="str" cm="1">
        <f t="array" ref="A54">IFERROR(IF(INDEX(_xlfn.ANCHORARRAY('Short Circuit'!$BK$4),ROW()-5,1)="","",INDEX(_xlfn.ANCHORARRAY('Short Circuit'!$BK$4),ROW()-5,1)),"")</f>
        <v/>
      </c>
      <c r="B54" s="362" t="str" cm="1">
        <f t="array" ref="B54">IFERROR(IF($A54="","",INDEX(_xlfn.ANCHORARRAY('Short Circuit'!$BK$4),ROW()-5,5)),"")</f>
        <v/>
      </c>
      <c r="C54" s="181" t="str" cm="1">
        <f t="array" ref="C54">IFERROR(IF($A54="","",INDEX(_xlfn.ANCHORARRAY('Short Circuit'!$BK$4),ROW()-5,7)),"")</f>
        <v/>
      </c>
      <c r="D54" s="168" t="str" cm="1">
        <f t="array" ref="D54">IFERROR(IF($A54="","",INDEX(_xlfn.ANCHORARRAY('Short Circuit'!$BK$4),ROW()-5,3)),"")</f>
        <v/>
      </c>
      <c r="E54" s="362" t="str" cm="1">
        <f t="array" ref="E54">IFERROR(IF($A54="","",INDEX(_xlfn.ANCHORARRAY('Short Circuit'!$BK$4),ROW()-5,2)),"")</f>
        <v/>
      </c>
      <c r="F54" s="15" t="str">
        <f>IF($A54="","",IF($C54=0,"— utility service —",IFERROR(_xlfn.XLOOKUP("F-"&amp;$A54,'Short Circuit'!$A$6:$A$255,'Short Circuit'!$G$6:$G$255),IFERROR(_xlfn.XLOOKUP($A54,'Short Circuit'!$A$6:$A$255,'Short Circuit'!$G$6:$G$255),"⚠ no feeder data"))))</f>
        <v/>
      </c>
      <c r="G54" s="78" t="str">
        <f>IF($A54="","",IF($C54=0,0,IFERROR(_xlfn.XLOOKUP("F-"&amp;$A54,'Feeder Schedule'!$B$5:$B$254,'Feeder Schedule'!$U$5:$U$254),"")))</f>
        <v/>
      </c>
      <c r="H54" s="78" t="str">
        <f t="shared" si="2"/>
        <v/>
      </c>
      <c r="I54" s="78" t="str">
        <f t="shared" si="0"/>
        <v/>
      </c>
      <c r="J54" s="78" t="str">
        <f t="shared" si="1"/>
        <v/>
      </c>
      <c r="K54" s="15" t="str">
        <f t="shared" si="3"/>
        <v/>
      </c>
      <c r="L54" s="363"/>
    </row>
    <row r="55" spans="1:12" s="20" customFormat="1" ht="15" customHeight="1" x14ac:dyDescent="0.35">
      <c r="A55" s="15" t="str" cm="1">
        <f t="array" ref="A55">IFERROR(IF(INDEX(_xlfn.ANCHORARRAY('Short Circuit'!$BK$4),ROW()-5,1)="","",INDEX(_xlfn.ANCHORARRAY('Short Circuit'!$BK$4),ROW()-5,1)),"")</f>
        <v/>
      </c>
      <c r="B55" s="362" t="str" cm="1">
        <f t="array" ref="B55">IFERROR(IF($A55="","",INDEX(_xlfn.ANCHORARRAY('Short Circuit'!$BK$4),ROW()-5,5)),"")</f>
        <v/>
      </c>
      <c r="C55" s="181" t="str" cm="1">
        <f t="array" ref="C55">IFERROR(IF($A55="","",INDEX(_xlfn.ANCHORARRAY('Short Circuit'!$BK$4),ROW()-5,7)),"")</f>
        <v/>
      </c>
      <c r="D55" s="168" t="str" cm="1">
        <f t="array" ref="D55">IFERROR(IF($A55="","",INDEX(_xlfn.ANCHORARRAY('Short Circuit'!$BK$4),ROW()-5,3)),"")</f>
        <v/>
      </c>
      <c r="E55" s="362" t="str" cm="1">
        <f t="array" ref="E55">IFERROR(IF($A55="","",INDEX(_xlfn.ANCHORARRAY('Short Circuit'!$BK$4),ROW()-5,2)),"")</f>
        <v/>
      </c>
      <c r="F55" s="15" t="str">
        <f>IF($A55="","",IF($C55=0,"— utility service —",IFERROR(_xlfn.XLOOKUP("F-"&amp;$A55,'Short Circuit'!$A$6:$A$255,'Short Circuit'!$G$6:$G$255),IFERROR(_xlfn.XLOOKUP($A55,'Short Circuit'!$A$6:$A$255,'Short Circuit'!$G$6:$G$255),"⚠ no feeder data"))))</f>
        <v/>
      </c>
      <c r="G55" s="78" t="str">
        <f>IF($A55="","",IF($C55=0,0,IFERROR(_xlfn.XLOOKUP("F-"&amp;$A55,'Feeder Schedule'!$B$5:$B$254,'Feeder Schedule'!$U$5:$U$254),"")))</f>
        <v/>
      </c>
      <c r="H55" s="78" t="str">
        <f t="shared" si="2"/>
        <v/>
      </c>
      <c r="I55" s="78" t="str">
        <f t="shared" si="0"/>
        <v/>
      </c>
      <c r="J55" s="78" t="str">
        <f t="shared" si="1"/>
        <v/>
      </c>
      <c r="K55" s="15" t="str">
        <f t="shared" si="3"/>
        <v/>
      </c>
      <c r="L55" s="363"/>
    </row>
    <row r="56" spans="1:12" s="20" customFormat="1" ht="15" customHeight="1" x14ac:dyDescent="0.35">
      <c r="A56" s="15" t="str" cm="1">
        <f t="array" ref="A56">IFERROR(IF(INDEX(_xlfn.ANCHORARRAY('Short Circuit'!$BK$4),ROW()-5,1)="","",INDEX(_xlfn.ANCHORARRAY('Short Circuit'!$BK$4),ROW()-5,1)),"")</f>
        <v/>
      </c>
      <c r="B56" s="362" t="str" cm="1">
        <f t="array" ref="B56">IFERROR(IF($A56="","",INDEX(_xlfn.ANCHORARRAY('Short Circuit'!$BK$4),ROW()-5,5)),"")</f>
        <v/>
      </c>
      <c r="C56" s="181" t="str" cm="1">
        <f t="array" ref="C56">IFERROR(IF($A56="","",INDEX(_xlfn.ANCHORARRAY('Short Circuit'!$BK$4),ROW()-5,7)),"")</f>
        <v/>
      </c>
      <c r="D56" s="168" t="str" cm="1">
        <f t="array" ref="D56">IFERROR(IF($A56="","",INDEX(_xlfn.ANCHORARRAY('Short Circuit'!$BK$4),ROW()-5,3)),"")</f>
        <v/>
      </c>
      <c r="E56" s="362" t="str" cm="1">
        <f t="array" ref="E56">IFERROR(IF($A56="","",INDEX(_xlfn.ANCHORARRAY('Short Circuit'!$BK$4),ROW()-5,2)),"")</f>
        <v/>
      </c>
      <c r="F56" s="15" t="str">
        <f>IF($A56="","",IF($C56=0,"— utility service —",IFERROR(_xlfn.XLOOKUP("F-"&amp;$A56,'Short Circuit'!$A$6:$A$255,'Short Circuit'!$G$6:$G$255),IFERROR(_xlfn.XLOOKUP($A56,'Short Circuit'!$A$6:$A$255,'Short Circuit'!$G$6:$G$255),"⚠ no feeder data"))))</f>
        <v/>
      </c>
      <c r="G56" s="78" t="str">
        <f>IF($A56="","",IF($C56=0,0,IFERROR(_xlfn.XLOOKUP("F-"&amp;$A56,'Feeder Schedule'!$B$5:$B$254,'Feeder Schedule'!$U$5:$U$254),"")))</f>
        <v/>
      </c>
      <c r="H56" s="78" t="str">
        <f t="shared" si="2"/>
        <v/>
      </c>
      <c r="I56" s="78" t="str">
        <f t="shared" si="0"/>
        <v/>
      </c>
      <c r="J56" s="78" t="str">
        <f t="shared" si="1"/>
        <v/>
      </c>
      <c r="K56" s="15" t="str">
        <f t="shared" si="3"/>
        <v/>
      </c>
      <c r="L56" s="363"/>
    </row>
    <row r="57" spans="1:12" s="20" customFormat="1" ht="15" customHeight="1" x14ac:dyDescent="0.35">
      <c r="A57" s="15" t="str" cm="1">
        <f t="array" ref="A57">IFERROR(IF(INDEX(_xlfn.ANCHORARRAY('Short Circuit'!$BK$4),ROW()-5,1)="","",INDEX(_xlfn.ANCHORARRAY('Short Circuit'!$BK$4),ROW()-5,1)),"")</f>
        <v/>
      </c>
      <c r="B57" s="362" t="str" cm="1">
        <f t="array" ref="B57">IFERROR(IF($A57="","",INDEX(_xlfn.ANCHORARRAY('Short Circuit'!$BK$4),ROW()-5,5)),"")</f>
        <v/>
      </c>
      <c r="C57" s="181" t="str" cm="1">
        <f t="array" ref="C57">IFERROR(IF($A57="","",INDEX(_xlfn.ANCHORARRAY('Short Circuit'!$BK$4),ROW()-5,7)),"")</f>
        <v/>
      </c>
      <c r="D57" s="168" t="str" cm="1">
        <f t="array" ref="D57">IFERROR(IF($A57="","",INDEX(_xlfn.ANCHORARRAY('Short Circuit'!$BK$4),ROW()-5,3)),"")</f>
        <v/>
      </c>
      <c r="E57" s="362" t="str" cm="1">
        <f t="array" ref="E57">IFERROR(IF($A57="","",INDEX(_xlfn.ANCHORARRAY('Short Circuit'!$BK$4),ROW()-5,2)),"")</f>
        <v/>
      </c>
      <c r="F57" s="15" t="str">
        <f>IF($A57="","",IF($C57=0,"— utility service —",IFERROR(_xlfn.XLOOKUP("F-"&amp;$A57,'Short Circuit'!$A$6:$A$255,'Short Circuit'!$G$6:$G$255),IFERROR(_xlfn.XLOOKUP($A57,'Short Circuit'!$A$6:$A$255,'Short Circuit'!$G$6:$G$255),"⚠ no feeder data"))))</f>
        <v/>
      </c>
      <c r="G57" s="78" t="str">
        <f>IF($A57="","",IF($C57=0,0,IFERROR(_xlfn.XLOOKUP("F-"&amp;$A57,'Feeder Schedule'!$B$5:$B$254,'Feeder Schedule'!$U$5:$U$254),"")))</f>
        <v/>
      </c>
      <c r="H57" s="78" t="str">
        <f t="shared" si="2"/>
        <v/>
      </c>
      <c r="I57" s="78" t="str">
        <f t="shared" si="0"/>
        <v/>
      </c>
      <c r="J57" s="78" t="str">
        <f t="shared" si="1"/>
        <v/>
      </c>
      <c r="K57" s="15" t="str">
        <f t="shared" si="3"/>
        <v/>
      </c>
      <c r="L57" s="363"/>
    </row>
    <row r="58" spans="1:12" s="20" customFormat="1" ht="15" customHeight="1" x14ac:dyDescent="0.35">
      <c r="A58" s="15" t="str" cm="1">
        <f t="array" ref="A58">IFERROR(IF(INDEX(_xlfn.ANCHORARRAY('Short Circuit'!$BK$4),ROW()-5,1)="","",INDEX(_xlfn.ANCHORARRAY('Short Circuit'!$BK$4),ROW()-5,1)),"")</f>
        <v/>
      </c>
      <c r="B58" s="362" t="str" cm="1">
        <f t="array" ref="B58">IFERROR(IF($A58="","",INDEX(_xlfn.ANCHORARRAY('Short Circuit'!$BK$4),ROW()-5,5)),"")</f>
        <v/>
      </c>
      <c r="C58" s="181" t="str" cm="1">
        <f t="array" ref="C58">IFERROR(IF($A58="","",INDEX(_xlfn.ANCHORARRAY('Short Circuit'!$BK$4),ROW()-5,7)),"")</f>
        <v/>
      </c>
      <c r="D58" s="168" t="str" cm="1">
        <f t="array" ref="D58">IFERROR(IF($A58="","",INDEX(_xlfn.ANCHORARRAY('Short Circuit'!$BK$4),ROW()-5,3)),"")</f>
        <v/>
      </c>
      <c r="E58" s="362" t="str" cm="1">
        <f t="array" ref="E58">IFERROR(IF($A58="","",INDEX(_xlfn.ANCHORARRAY('Short Circuit'!$BK$4),ROW()-5,2)),"")</f>
        <v/>
      </c>
      <c r="F58" s="15" t="str">
        <f>IF($A58="","",IF($C58=0,"— utility service —",IFERROR(_xlfn.XLOOKUP("F-"&amp;$A58,'Short Circuit'!$A$6:$A$255,'Short Circuit'!$G$6:$G$255),IFERROR(_xlfn.XLOOKUP($A58,'Short Circuit'!$A$6:$A$255,'Short Circuit'!$G$6:$G$255),"⚠ no feeder data"))))</f>
        <v/>
      </c>
      <c r="G58" s="78" t="str">
        <f>IF($A58="","",IF($C58=0,0,IFERROR(_xlfn.XLOOKUP("F-"&amp;$A58,'Feeder Schedule'!$B$5:$B$254,'Feeder Schedule'!$U$5:$U$254),"")))</f>
        <v/>
      </c>
      <c r="H58" s="78" t="str">
        <f t="shared" si="2"/>
        <v/>
      </c>
      <c r="I58" s="78" t="str">
        <f t="shared" si="0"/>
        <v/>
      </c>
      <c r="J58" s="78" t="str">
        <f t="shared" si="1"/>
        <v/>
      </c>
      <c r="K58" s="15" t="str">
        <f t="shared" si="3"/>
        <v/>
      </c>
      <c r="L58" s="363"/>
    </row>
    <row r="59" spans="1:12" s="20" customFormat="1" ht="15" customHeight="1" x14ac:dyDescent="0.35">
      <c r="A59" s="15" t="str" cm="1">
        <f t="array" ref="A59">IFERROR(IF(INDEX(_xlfn.ANCHORARRAY('Short Circuit'!$BK$4),ROW()-5,1)="","",INDEX(_xlfn.ANCHORARRAY('Short Circuit'!$BK$4),ROW()-5,1)),"")</f>
        <v/>
      </c>
      <c r="B59" s="362" t="str" cm="1">
        <f t="array" ref="B59">IFERROR(IF($A59="","",INDEX(_xlfn.ANCHORARRAY('Short Circuit'!$BK$4),ROW()-5,5)),"")</f>
        <v/>
      </c>
      <c r="C59" s="181" t="str" cm="1">
        <f t="array" ref="C59">IFERROR(IF($A59="","",INDEX(_xlfn.ANCHORARRAY('Short Circuit'!$BK$4),ROW()-5,7)),"")</f>
        <v/>
      </c>
      <c r="D59" s="168" t="str" cm="1">
        <f t="array" ref="D59">IFERROR(IF($A59="","",INDEX(_xlfn.ANCHORARRAY('Short Circuit'!$BK$4),ROW()-5,3)),"")</f>
        <v/>
      </c>
      <c r="E59" s="362" t="str" cm="1">
        <f t="array" ref="E59">IFERROR(IF($A59="","",INDEX(_xlfn.ANCHORARRAY('Short Circuit'!$BK$4),ROW()-5,2)),"")</f>
        <v/>
      </c>
      <c r="F59" s="15" t="str">
        <f>IF($A59="","",IF($C59=0,"— utility service —",IFERROR(_xlfn.XLOOKUP("F-"&amp;$A59,'Short Circuit'!$A$6:$A$255,'Short Circuit'!$G$6:$G$255),IFERROR(_xlfn.XLOOKUP($A59,'Short Circuit'!$A$6:$A$255,'Short Circuit'!$G$6:$G$255),"⚠ no feeder data"))))</f>
        <v/>
      </c>
      <c r="G59" s="78" t="str">
        <f>IF($A59="","",IF($C59=0,0,IFERROR(_xlfn.XLOOKUP("F-"&amp;$A59,'Feeder Schedule'!$B$5:$B$254,'Feeder Schedule'!$U$5:$U$254),"")))</f>
        <v/>
      </c>
      <c r="H59" s="78" t="str">
        <f t="shared" si="2"/>
        <v/>
      </c>
      <c r="I59" s="78" t="str">
        <f t="shared" si="0"/>
        <v/>
      </c>
      <c r="J59" s="78" t="str">
        <f t="shared" si="1"/>
        <v/>
      </c>
      <c r="K59" s="15" t="str">
        <f t="shared" si="3"/>
        <v/>
      </c>
      <c r="L59" s="363"/>
    </row>
    <row r="60" spans="1:12" s="20" customFormat="1" ht="15" customHeight="1" x14ac:dyDescent="0.35">
      <c r="A60" s="15" t="str" cm="1">
        <f t="array" ref="A60">IFERROR(IF(INDEX(_xlfn.ANCHORARRAY('Short Circuit'!$BK$4),ROW()-5,1)="","",INDEX(_xlfn.ANCHORARRAY('Short Circuit'!$BK$4),ROW()-5,1)),"")</f>
        <v/>
      </c>
      <c r="B60" s="362" t="str" cm="1">
        <f t="array" ref="B60">IFERROR(IF($A60="","",INDEX(_xlfn.ANCHORARRAY('Short Circuit'!$BK$4),ROW()-5,5)),"")</f>
        <v/>
      </c>
      <c r="C60" s="181" t="str" cm="1">
        <f t="array" ref="C60">IFERROR(IF($A60="","",INDEX(_xlfn.ANCHORARRAY('Short Circuit'!$BK$4),ROW()-5,7)),"")</f>
        <v/>
      </c>
      <c r="D60" s="168" t="str" cm="1">
        <f t="array" ref="D60">IFERROR(IF($A60="","",INDEX(_xlfn.ANCHORARRAY('Short Circuit'!$BK$4),ROW()-5,3)),"")</f>
        <v/>
      </c>
      <c r="E60" s="362" t="str" cm="1">
        <f t="array" ref="E60">IFERROR(IF($A60="","",INDEX(_xlfn.ANCHORARRAY('Short Circuit'!$BK$4),ROW()-5,2)),"")</f>
        <v/>
      </c>
      <c r="F60" s="15" t="str">
        <f>IF($A60="","",IF($C60=0,"— utility service —",IFERROR(_xlfn.XLOOKUP("F-"&amp;$A60,'Short Circuit'!$A$6:$A$255,'Short Circuit'!$G$6:$G$255),IFERROR(_xlfn.XLOOKUP($A60,'Short Circuit'!$A$6:$A$255,'Short Circuit'!$G$6:$G$255),"⚠ no feeder data"))))</f>
        <v/>
      </c>
      <c r="G60" s="78" t="str">
        <f>IF($A60="","",IF($C60=0,0,IFERROR(_xlfn.XLOOKUP("F-"&amp;$A60,'Feeder Schedule'!$B$5:$B$254,'Feeder Schedule'!$U$5:$U$254),"")))</f>
        <v/>
      </c>
      <c r="H60" s="78" t="str">
        <f t="shared" si="2"/>
        <v/>
      </c>
      <c r="I60" s="78" t="str">
        <f t="shared" si="0"/>
        <v/>
      </c>
      <c r="J60" s="78" t="str">
        <f t="shared" si="1"/>
        <v/>
      </c>
      <c r="K60" s="15" t="str">
        <f t="shared" si="3"/>
        <v/>
      </c>
      <c r="L60" s="363"/>
    </row>
    <row r="61" spans="1:12" s="20" customFormat="1" ht="15" customHeight="1" x14ac:dyDescent="0.35">
      <c r="A61" s="15" t="str" cm="1">
        <f t="array" ref="A61">IFERROR(IF(INDEX(_xlfn.ANCHORARRAY('Short Circuit'!$BK$4),ROW()-5,1)="","",INDEX(_xlfn.ANCHORARRAY('Short Circuit'!$BK$4),ROW()-5,1)),"")</f>
        <v/>
      </c>
      <c r="B61" s="362" t="str" cm="1">
        <f t="array" ref="B61">IFERROR(IF($A61="","",INDEX(_xlfn.ANCHORARRAY('Short Circuit'!$BK$4),ROW()-5,5)),"")</f>
        <v/>
      </c>
      <c r="C61" s="181" t="str" cm="1">
        <f t="array" ref="C61">IFERROR(IF($A61="","",INDEX(_xlfn.ANCHORARRAY('Short Circuit'!$BK$4),ROW()-5,7)),"")</f>
        <v/>
      </c>
      <c r="D61" s="168" t="str" cm="1">
        <f t="array" ref="D61">IFERROR(IF($A61="","",INDEX(_xlfn.ANCHORARRAY('Short Circuit'!$BK$4),ROW()-5,3)),"")</f>
        <v/>
      </c>
      <c r="E61" s="362" t="str" cm="1">
        <f t="array" ref="E61">IFERROR(IF($A61="","",INDEX(_xlfn.ANCHORARRAY('Short Circuit'!$BK$4),ROW()-5,2)),"")</f>
        <v/>
      </c>
      <c r="F61" s="15" t="str">
        <f>IF($A61="","",IF($C61=0,"— utility service —",IFERROR(_xlfn.XLOOKUP("F-"&amp;$A61,'Short Circuit'!$A$6:$A$255,'Short Circuit'!$G$6:$G$255),IFERROR(_xlfn.XLOOKUP($A61,'Short Circuit'!$A$6:$A$255,'Short Circuit'!$G$6:$G$255),"⚠ no feeder data"))))</f>
        <v/>
      </c>
      <c r="G61" s="78" t="str">
        <f>IF($A61="","",IF($C61=0,0,IFERROR(_xlfn.XLOOKUP("F-"&amp;$A61,'Feeder Schedule'!$B$5:$B$254,'Feeder Schedule'!$U$5:$U$254),"")))</f>
        <v/>
      </c>
      <c r="H61" s="78" t="str">
        <f t="shared" si="2"/>
        <v/>
      </c>
      <c r="I61" s="78" t="str">
        <f t="shared" si="0"/>
        <v/>
      </c>
      <c r="J61" s="78" t="str">
        <f t="shared" si="1"/>
        <v/>
      </c>
      <c r="K61" s="15" t="str">
        <f t="shared" si="3"/>
        <v/>
      </c>
      <c r="L61" s="363"/>
    </row>
    <row r="62" spans="1:12" s="20" customFormat="1" ht="15" customHeight="1" x14ac:dyDescent="0.35">
      <c r="A62" s="15" t="str" cm="1">
        <f t="array" ref="A62">IFERROR(IF(INDEX(_xlfn.ANCHORARRAY('Short Circuit'!$BK$4),ROW()-5,1)="","",INDEX(_xlfn.ANCHORARRAY('Short Circuit'!$BK$4),ROW()-5,1)),"")</f>
        <v/>
      </c>
      <c r="B62" s="362" t="str" cm="1">
        <f t="array" ref="B62">IFERROR(IF($A62="","",INDEX(_xlfn.ANCHORARRAY('Short Circuit'!$BK$4),ROW()-5,5)),"")</f>
        <v/>
      </c>
      <c r="C62" s="181" t="str" cm="1">
        <f t="array" ref="C62">IFERROR(IF($A62="","",INDEX(_xlfn.ANCHORARRAY('Short Circuit'!$BK$4),ROW()-5,7)),"")</f>
        <v/>
      </c>
      <c r="D62" s="168" t="str" cm="1">
        <f t="array" ref="D62">IFERROR(IF($A62="","",INDEX(_xlfn.ANCHORARRAY('Short Circuit'!$BK$4),ROW()-5,3)),"")</f>
        <v/>
      </c>
      <c r="E62" s="362" t="str" cm="1">
        <f t="array" ref="E62">IFERROR(IF($A62="","",INDEX(_xlfn.ANCHORARRAY('Short Circuit'!$BK$4),ROW()-5,2)),"")</f>
        <v/>
      </c>
      <c r="F62" s="15" t="str">
        <f>IF($A62="","",IF($C62=0,"— utility service —",IFERROR(_xlfn.XLOOKUP("F-"&amp;$A62,'Short Circuit'!$A$6:$A$255,'Short Circuit'!$G$6:$G$255),IFERROR(_xlfn.XLOOKUP($A62,'Short Circuit'!$A$6:$A$255,'Short Circuit'!$G$6:$G$255),"⚠ no feeder data"))))</f>
        <v/>
      </c>
      <c r="G62" s="78" t="str">
        <f>IF($A62="","",IF($C62=0,0,IFERROR(_xlfn.XLOOKUP("F-"&amp;$A62,'Feeder Schedule'!$B$5:$B$254,'Feeder Schedule'!$U$5:$U$254),"")))</f>
        <v/>
      </c>
      <c r="H62" s="78" t="str">
        <f t="shared" si="2"/>
        <v/>
      </c>
      <c r="I62" s="78" t="str">
        <f t="shared" si="0"/>
        <v/>
      </c>
      <c r="J62" s="78" t="str">
        <f t="shared" si="1"/>
        <v/>
      </c>
      <c r="K62" s="15" t="str">
        <f t="shared" si="3"/>
        <v/>
      </c>
      <c r="L62" s="363"/>
    </row>
    <row r="63" spans="1:12" s="20" customFormat="1" ht="15" customHeight="1" x14ac:dyDescent="0.35">
      <c r="A63" s="15" t="str" cm="1">
        <f t="array" ref="A63">IFERROR(IF(INDEX(_xlfn.ANCHORARRAY('Short Circuit'!$BK$4),ROW()-5,1)="","",INDEX(_xlfn.ANCHORARRAY('Short Circuit'!$BK$4),ROW()-5,1)),"")</f>
        <v/>
      </c>
      <c r="B63" s="362" t="str" cm="1">
        <f t="array" ref="B63">IFERROR(IF($A63="","",INDEX(_xlfn.ANCHORARRAY('Short Circuit'!$BK$4),ROW()-5,5)),"")</f>
        <v/>
      </c>
      <c r="C63" s="181" t="str" cm="1">
        <f t="array" ref="C63">IFERROR(IF($A63="","",INDEX(_xlfn.ANCHORARRAY('Short Circuit'!$BK$4),ROW()-5,7)),"")</f>
        <v/>
      </c>
      <c r="D63" s="168" t="str" cm="1">
        <f t="array" ref="D63">IFERROR(IF($A63="","",INDEX(_xlfn.ANCHORARRAY('Short Circuit'!$BK$4),ROW()-5,3)),"")</f>
        <v/>
      </c>
      <c r="E63" s="362" t="str" cm="1">
        <f t="array" ref="E63">IFERROR(IF($A63="","",INDEX(_xlfn.ANCHORARRAY('Short Circuit'!$BK$4),ROW()-5,2)),"")</f>
        <v/>
      </c>
      <c r="F63" s="15" t="str">
        <f>IF($A63="","",IF($C63=0,"— utility service —",IFERROR(_xlfn.XLOOKUP("F-"&amp;$A63,'Short Circuit'!$A$6:$A$255,'Short Circuit'!$G$6:$G$255),IFERROR(_xlfn.XLOOKUP($A63,'Short Circuit'!$A$6:$A$255,'Short Circuit'!$G$6:$G$255),"⚠ no feeder data"))))</f>
        <v/>
      </c>
      <c r="G63" s="78" t="str">
        <f>IF($A63="","",IF($C63=0,0,IFERROR(_xlfn.XLOOKUP("F-"&amp;$A63,'Feeder Schedule'!$B$5:$B$254,'Feeder Schedule'!$U$5:$U$254),"")))</f>
        <v/>
      </c>
      <c r="H63" s="78" t="str">
        <f t="shared" si="2"/>
        <v/>
      </c>
      <c r="I63" s="78" t="str">
        <f t="shared" si="0"/>
        <v/>
      </c>
      <c r="J63" s="78" t="str">
        <f t="shared" si="1"/>
        <v/>
      </c>
      <c r="K63" s="15" t="str">
        <f t="shared" si="3"/>
        <v/>
      </c>
      <c r="L63" s="363"/>
    </row>
    <row r="64" spans="1:12" s="20" customFormat="1" ht="15" customHeight="1" x14ac:dyDescent="0.35">
      <c r="A64" s="15" t="str" cm="1">
        <f t="array" ref="A64">IFERROR(IF(INDEX(_xlfn.ANCHORARRAY('Short Circuit'!$BK$4),ROW()-5,1)="","",INDEX(_xlfn.ANCHORARRAY('Short Circuit'!$BK$4),ROW()-5,1)),"")</f>
        <v/>
      </c>
      <c r="B64" s="362" t="str" cm="1">
        <f t="array" ref="B64">IFERROR(IF($A64="","",INDEX(_xlfn.ANCHORARRAY('Short Circuit'!$BK$4),ROW()-5,5)),"")</f>
        <v/>
      </c>
      <c r="C64" s="181" t="str" cm="1">
        <f t="array" ref="C64">IFERROR(IF($A64="","",INDEX(_xlfn.ANCHORARRAY('Short Circuit'!$BK$4),ROW()-5,7)),"")</f>
        <v/>
      </c>
      <c r="D64" s="168" t="str" cm="1">
        <f t="array" ref="D64">IFERROR(IF($A64="","",INDEX(_xlfn.ANCHORARRAY('Short Circuit'!$BK$4),ROW()-5,3)),"")</f>
        <v/>
      </c>
      <c r="E64" s="362" t="str" cm="1">
        <f t="array" ref="E64">IFERROR(IF($A64="","",INDEX(_xlfn.ANCHORARRAY('Short Circuit'!$BK$4),ROW()-5,2)),"")</f>
        <v/>
      </c>
      <c r="F64" s="15" t="str">
        <f>IF($A64="","",IF($C64=0,"— utility service —",IFERROR(_xlfn.XLOOKUP("F-"&amp;$A64,'Short Circuit'!$A$6:$A$255,'Short Circuit'!$G$6:$G$255),IFERROR(_xlfn.XLOOKUP($A64,'Short Circuit'!$A$6:$A$255,'Short Circuit'!$G$6:$G$255),"⚠ no feeder data"))))</f>
        <v/>
      </c>
      <c r="G64" s="78" t="str">
        <f>IF($A64="","",IF($C64=0,0,IFERROR(_xlfn.XLOOKUP("F-"&amp;$A64,'Feeder Schedule'!$B$5:$B$254,'Feeder Schedule'!$U$5:$U$254),"")))</f>
        <v/>
      </c>
      <c r="H64" s="78" t="str">
        <f t="shared" si="2"/>
        <v/>
      </c>
      <c r="I64" s="78" t="str">
        <f t="shared" si="0"/>
        <v/>
      </c>
      <c r="J64" s="78" t="str">
        <f t="shared" si="1"/>
        <v/>
      </c>
      <c r="K64" s="15" t="str">
        <f t="shared" si="3"/>
        <v/>
      </c>
      <c r="L64" s="363"/>
    </row>
    <row r="65" spans="1:12" s="20" customFormat="1" ht="15" customHeight="1" x14ac:dyDescent="0.35">
      <c r="A65" s="15" t="str" cm="1">
        <f t="array" ref="A65">IFERROR(IF(INDEX(_xlfn.ANCHORARRAY('Short Circuit'!$BK$4),ROW()-5,1)="","",INDEX(_xlfn.ANCHORARRAY('Short Circuit'!$BK$4),ROW()-5,1)),"")</f>
        <v/>
      </c>
      <c r="B65" s="362" t="str" cm="1">
        <f t="array" ref="B65">IFERROR(IF($A65="","",INDEX(_xlfn.ANCHORARRAY('Short Circuit'!$BK$4),ROW()-5,5)),"")</f>
        <v/>
      </c>
      <c r="C65" s="181" t="str" cm="1">
        <f t="array" ref="C65">IFERROR(IF($A65="","",INDEX(_xlfn.ANCHORARRAY('Short Circuit'!$BK$4),ROW()-5,7)),"")</f>
        <v/>
      </c>
      <c r="D65" s="168" t="str" cm="1">
        <f t="array" ref="D65">IFERROR(IF($A65="","",INDEX(_xlfn.ANCHORARRAY('Short Circuit'!$BK$4),ROW()-5,3)),"")</f>
        <v/>
      </c>
      <c r="E65" s="362" t="str" cm="1">
        <f t="array" ref="E65">IFERROR(IF($A65="","",INDEX(_xlfn.ANCHORARRAY('Short Circuit'!$BK$4),ROW()-5,2)),"")</f>
        <v/>
      </c>
      <c r="F65" s="15" t="str">
        <f>IF($A65="","",IF($C65=0,"— utility service —",IFERROR(_xlfn.XLOOKUP("F-"&amp;$A65,'Short Circuit'!$A$6:$A$255,'Short Circuit'!$G$6:$G$255),IFERROR(_xlfn.XLOOKUP($A65,'Short Circuit'!$A$6:$A$255,'Short Circuit'!$G$6:$G$255),"⚠ no feeder data"))))</f>
        <v/>
      </c>
      <c r="G65" s="78" t="str">
        <f>IF($A65="","",IF($C65=0,0,IFERROR(_xlfn.XLOOKUP("F-"&amp;$A65,'Feeder Schedule'!$B$5:$B$254,'Feeder Schedule'!$U$5:$U$254),"")))</f>
        <v/>
      </c>
      <c r="H65" s="78" t="str">
        <f t="shared" si="2"/>
        <v/>
      </c>
      <c r="I65" s="78" t="str">
        <f t="shared" si="0"/>
        <v/>
      </c>
      <c r="J65" s="78" t="str">
        <f t="shared" si="1"/>
        <v/>
      </c>
      <c r="K65" s="15" t="str">
        <f t="shared" si="3"/>
        <v/>
      </c>
      <c r="L65" s="363"/>
    </row>
    <row r="66" spans="1:12" s="20" customFormat="1" ht="15" customHeight="1" x14ac:dyDescent="0.35">
      <c r="A66" s="15" t="str" cm="1">
        <f t="array" ref="A66">IFERROR(IF(INDEX(_xlfn.ANCHORARRAY('Short Circuit'!$BK$4),ROW()-5,1)="","",INDEX(_xlfn.ANCHORARRAY('Short Circuit'!$BK$4),ROW()-5,1)),"")</f>
        <v/>
      </c>
      <c r="B66" s="362" t="str" cm="1">
        <f t="array" ref="B66">IFERROR(IF($A66="","",INDEX(_xlfn.ANCHORARRAY('Short Circuit'!$BK$4),ROW()-5,5)),"")</f>
        <v/>
      </c>
      <c r="C66" s="181" t="str" cm="1">
        <f t="array" ref="C66">IFERROR(IF($A66="","",INDEX(_xlfn.ANCHORARRAY('Short Circuit'!$BK$4),ROW()-5,7)),"")</f>
        <v/>
      </c>
      <c r="D66" s="168" t="str" cm="1">
        <f t="array" ref="D66">IFERROR(IF($A66="","",INDEX(_xlfn.ANCHORARRAY('Short Circuit'!$BK$4),ROW()-5,3)),"")</f>
        <v/>
      </c>
      <c r="E66" s="362" t="str" cm="1">
        <f t="array" ref="E66">IFERROR(IF($A66="","",INDEX(_xlfn.ANCHORARRAY('Short Circuit'!$BK$4),ROW()-5,2)),"")</f>
        <v/>
      </c>
      <c r="F66" s="15" t="str">
        <f>IF($A66="","",IF($C66=0,"— utility service —",IFERROR(_xlfn.XLOOKUP("F-"&amp;$A66,'Short Circuit'!$A$6:$A$255,'Short Circuit'!$G$6:$G$255),IFERROR(_xlfn.XLOOKUP($A66,'Short Circuit'!$A$6:$A$255,'Short Circuit'!$G$6:$G$255),"⚠ no feeder data"))))</f>
        <v/>
      </c>
      <c r="G66" s="78" t="str">
        <f>IF($A66="","",IF($C66=0,0,IFERROR(_xlfn.XLOOKUP("F-"&amp;$A66,'Feeder Schedule'!$B$5:$B$254,'Feeder Schedule'!$U$5:$U$254),"")))</f>
        <v/>
      </c>
      <c r="H66" s="78" t="str">
        <f t="shared" si="2"/>
        <v/>
      </c>
      <c r="I66" s="78" t="str">
        <f t="shared" si="0"/>
        <v/>
      </c>
      <c r="J66" s="78" t="str">
        <f t="shared" si="1"/>
        <v/>
      </c>
      <c r="K66" s="15" t="str">
        <f t="shared" si="3"/>
        <v/>
      </c>
      <c r="L66" s="363"/>
    </row>
    <row r="67" spans="1:12" s="20" customFormat="1" ht="15" customHeight="1" x14ac:dyDescent="0.35">
      <c r="A67" s="15" t="str" cm="1">
        <f t="array" ref="A67">IFERROR(IF(INDEX(_xlfn.ANCHORARRAY('Short Circuit'!$BK$4),ROW()-5,1)="","",INDEX(_xlfn.ANCHORARRAY('Short Circuit'!$BK$4),ROW()-5,1)),"")</f>
        <v/>
      </c>
      <c r="B67" s="362" t="str" cm="1">
        <f t="array" ref="B67">IFERROR(IF($A67="","",INDEX(_xlfn.ANCHORARRAY('Short Circuit'!$BK$4),ROW()-5,5)),"")</f>
        <v/>
      </c>
      <c r="C67" s="181" t="str" cm="1">
        <f t="array" ref="C67">IFERROR(IF($A67="","",INDEX(_xlfn.ANCHORARRAY('Short Circuit'!$BK$4),ROW()-5,7)),"")</f>
        <v/>
      </c>
      <c r="D67" s="168" t="str" cm="1">
        <f t="array" ref="D67">IFERROR(IF($A67="","",INDEX(_xlfn.ANCHORARRAY('Short Circuit'!$BK$4),ROW()-5,3)),"")</f>
        <v/>
      </c>
      <c r="E67" s="362" t="str" cm="1">
        <f t="array" ref="E67">IFERROR(IF($A67="","",INDEX(_xlfn.ANCHORARRAY('Short Circuit'!$BK$4),ROW()-5,2)),"")</f>
        <v/>
      </c>
      <c r="F67" s="15" t="str">
        <f>IF($A67="","",IF($C67=0,"— utility service —",IFERROR(_xlfn.XLOOKUP("F-"&amp;$A67,'Short Circuit'!$A$6:$A$255,'Short Circuit'!$G$6:$G$255),IFERROR(_xlfn.XLOOKUP($A67,'Short Circuit'!$A$6:$A$255,'Short Circuit'!$G$6:$G$255),"⚠ no feeder data"))))</f>
        <v/>
      </c>
      <c r="G67" s="78" t="str">
        <f>IF($A67="","",IF($C67=0,0,IFERROR(_xlfn.XLOOKUP("F-"&amp;$A67,'Feeder Schedule'!$B$5:$B$254,'Feeder Schedule'!$U$5:$U$254),"")))</f>
        <v/>
      </c>
      <c r="H67" s="78" t="str">
        <f t="shared" si="2"/>
        <v/>
      </c>
      <c r="I67" s="78" t="str">
        <f t="shared" si="0"/>
        <v/>
      </c>
      <c r="J67" s="78" t="str">
        <f t="shared" si="1"/>
        <v/>
      </c>
      <c r="K67" s="15" t="str">
        <f t="shared" si="3"/>
        <v/>
      </c>
      <c r="L67" s="363"/>
    </row>
    <row r="68" spans="1:12" s="20" customFormat="1" ht="15" customHeight="1" x14ac:dyDescent="0.35">
      <c r="A68" s="15" t="str" cm="1">
        <f t="array" ref="A68">IFERROR(IF(INDEX(_xlfn.ANCHORARRAY('Short Circuit'!$BK$4),ROW()-5,1)="","",INDEX(_xlfn.ANCHORARRAY('Short Circuit'!$BK$4),ROW()-5,1)),"")</f>
        <v/>
      </c>
      <c r="B68" s="362" t="str" cm="1">
        <f t="array" ref="B68">IFERROR(IF($A68="","",INDEX(_xlfn.ANCHORARRAY('Short Circuit'!$BK$4),ROW()-5,5)),"")</f>
        <v/>
      </c>
      <c r="C68" s="181" t="str" cm="1">
        <f t="array" ref="C68">IFERROR(IF($A68="","",INDEX(_xlfn.ANCHORARRAY('Short Circuit'!$BK$4),ROW()-5,7)),"")</f>
        <v/>
      </c>
      <c r="D68" s="168" t="str" cm="1">
        <f t="array" ref="D68">IFERROR(IF($A68="","",INDEX(_xlfn.ANCHORARRAY('Short Circuit'!$BK$4),ROW()-5,3)),"")</f>
        <v/>
      </c>
      <c r="E68" s="362" t="str" cm="1">
        <f t="array" ref="E68">IFERROR(IF($A68="","",INDEX(_xlfn.ANCHORARRAY('Short Circuit'!$BK$4),ROW()-5,2)),"")</f>
        <v/>
      </c>
      <c r="F68" s="15" t="str">
        <f>IF($A68="","",IF($C68=0,"— utility service —",IFERROR(_xlfn.XLOOKUP("F-"&amp;$A68,'Short Circuit'!$A$6:$A$255,'Short Circuit'!$G$6:$G$255),IFERROR(_xlfn.XLOOKUP($A68,'Short Circuit'!$A$6:$A$255,'Short Circuit'!$G$6:$G$255),"⚠ no feeder data"))))</f>
        <v/>
      </c>
      <c r="G68" s="78" t="str">
        <f>IF($A68="","",IF($C68=0,0,IFERROR(_xlfn.XLOOKUP("F-"&amp;$A68,'Feeder Schedule'!$B$5:$B$254,'Feeder Schedule'!$U$5:$U$254),"")))</f>
        <v/>
      </c>
      <c r="H68" s="78" t="str">
        <f t="shared" si="2"/>
        <v/>
      </c>
      <c r="I68" s="78" t="str">
        <f t="shared" si="0"/>
        <v/>
      </c>
      <c r="J68" s="78" t="str">
        <f t="shared" si="1"/>
        <v/>
      </c>
      <c r="K68" s="15" t="str">
        <f t="shared" si="3"/>
        <v/>
      </c>
      <c r="L68" s="363"/>
    </row>
    <row r="69" spans="1:12" s="20" customFormat="1" ht="15" customHeight="1" x14ac:dyDescent="0.35">
      <c r="A69" s="15" t="str" cm="1">
        <f t="array" ref="A69">IFERROR(IF(INDEX(_xlfn.ANCHORARRAY('Short Circuit'!$BK$4),ROW()-5,1)="","",INDEX(_xlfn.ANCHORARRAY('Short Circuit'!$BK$4),ROW()-5,1)),"")</f>
        <v/>
      </c>
      <c r="B69" s="362" t="str" cm="1">
        <f t="array" ref="B69">IFERROR(IF($A69="","",INDEX(_xlfn.ANCHORARRAY('Short Circuit'!$BK$4),ROW()-5,5)),"")</f>
        <v/>
      </c>
      <c r="C69" s="181" t="str" cm="1">
        <f t="array" ref="C69">IFERROR(IF($A69="","",INDEX(_xlfn.ANCHORARRAY('Short Circuit'!$BK$4),ROW()-5,7)),"")</f>
        <v/>
      </c>
      <c r="D69" s="168" t="str" cm="1">
        <f t="array" ref="D69">IFERROR(IF($A69="","",INDEX(_xlfn.ANCHORARRAY('Short Circuit'!$BK$4),ROW()-5,3)),"")</f>
        <v/>
      </c>
      <c r="E69" s="362" t="str" cm="1">
        <f t="array" ref="E69">IFERROR(IF($A69="","",INDEX(_xlfn.ANCHORARRAY('Short Circuit'!$BK$4),ROW()-5,2)),"")</f>
        <v/>
      </c>
      <c r="F69" s="15" t="str">
        <f>IF($A69="","",IF($C69=0,"— utility service —",IFERROR(_xlfn.XLOOKUP("F-"&amp;$A69,'Short Circuit'!$A$6:$A$255,'Short Circuit'!$G$6:$G$255),IFERROR(_xlfn.XLOOKUP($A69,'Short Circuit'!$A$6:$A$255,'Short Circuit'!$G$6:$G$255),"⚠ no feeder data"))))</f>
        <v/>
      </c>
      <c r="G69" s="78" t="str">
        <f>IF($A69="","",IF($C69=0,0,IFERROR(_xlfn.XLOOKUP("F-"&amp;$A69,'Feeder Schedule'!$B$5:$B$254,'Feeder Schedule'!$U$5:$U$254),"")))</f>
        <v/>
      </c>
      <c r="H69" s="78" t="str">
        <f t="shared" si="2"/>
        <v/>
      </c>
      <c r="I69" s="78" t="str">
        <f t="shared" si="0"/>
        <v/>
      </c>
      <c r="J69" s="78" t="str">
        <f t="shared" si="1"/>
        <v/>
      </c>
      <c r="K69" s="15" t="str">
        <f t="shared" si="3"/>
        <v/>
      </c>
      <c r="L69" s="363"/>
    </row>
    <row r="70" spans="1:12" s="20" customFormat="1" ht="15" customHeight="1" x14ac:dyDescent="0.35">
      <c r="A70" s="15" t="str" cm="1">
        <f t="array" ref="A70">IFERROR(IF(INDEX(_xlfn.ANCHORARRAY('Short Circuit'!$BK$4),ROW()-5,1)="","",INDEX(_xlfn.ANCHORARRAY('Short Circuit'!$BK$4),ROW()-5,1)),"")</f>
        <v/>
      </c>
      <c r="B70" s="362" t="str" cm="1">
        <f t="array" ref="B70">IFERROR(IF($A70="","",INDEX(_xlfn.ANCHORARRAY('Short Circuit'!$BK$4),ROW()-5,5)),"")</f>
        <v/>
      </c>
      <c r="C70" s="181" t="str" cm="1">
        <f t="array" ref="C70">IFERROR(IF($A70="","",INDEX(_xlfn.ANCHORARRAY('Short Circuit'!$BK$4),ROW()-5,7)),"")</f>
        <v/>
      </c>
      <c r="D70" s="168" t="str" cm="1">
        <f t="array" ref="D70">IFERROR(IF($A70="","",INDEX(_xlfn.ANCHORARRAY('Short Circuit'!$BK$4),ROW()-5,3)),"")</f>
        <v/>
      </c>
      <c r="E70" s="362" t="str" cm="1">
        <f t="array" ref="E70">IFERROR(IF($A70="","",INDEX(_xlfn.ANCHORARRAY('Short Circuit'!$BK$4),ROW()-5,2)),"")</f>
        <v/>
      </c>
      <c r="F70" s="15" t="str">
        <f>IF($A70="","",IF($C70=0,"— utility service —",IFERROR(_xlfn.XLOOKUP("F-"&amp;$A70,'Short Circuit'!$A$6:$A$255,'Short Circuit'!$G$6:$G$255),IFERROR(_xlfn.XLOOKUP($A70,'Short Circuit'!$A$6:$A$255,'Short Circuit'!$G$6:$G$255),"⚠ no feeder data"))))</f>
        <v/>
      </c>
      <c r="G70" s="78" t="str">
        <f>IF($A70="","",IF($C70=0,0,IFERROR(_xlfn.XLOOKUP("F-"&amp;$A70,'Feeder Schedule'!$B$5:$B$254,'Feeder Schedule'!$U$5:$U$254),"")))</f>
        <v/>
      </c>
      <c r="H70" s="78" t="str">
        <f t="shared" si="2"/>
        <v/>
      </c>
      <c r="I70" s="78" t="str">
        <f t="shared" ref="I70:I133" si="4">IF($A70="","",Cfg_VDFeeder)</f>
        <v/>
      </c>
      <c r="J70" s="78" t="str">
        <f t="shared" ref="J70:J133" si="5">IF($A70="","",Cfg_VDTotal)</f>
        <v/>
      </c>
      <c r="K70" s="15" t="str">
        <f t="shared" si="3"/>
        <v/>
      </c>
      <c r="L70" s="363"/>
    </row>
    <row r="71" spans="1:12" s="20" customFormat="1" ht="15" customHeight="1" x14ac:dyDescent="0.35">
      <c r="A71" s="15" t="str" cm="1">
        <f t="array" ref="A71">IFERROR(IF(INDEX(_xlfn.ANCHORARRAY('Short Circuit'!$BK$4),ROW()-5,1)="","",INDEX(_xlfn.ANCHORARRAY('Short Circuit'!$BK$4),ROW()-5,1)),"")</f>
        <v/>
      </c>
      <c r="B71" s="362" t="str" cm="1">
        <f t="array" ref="B71">IFERROR(IF($A71="","",INDEX(_xlfn.ANCHORARRAY('Short Circuit'!$BK$4),ROW()-5,5)),"")</f>
        <v/>
      </c>
      <c r="C71" s="181" t="str" cm="1">
        <f t="array" ref="C71">IFERROR(IF($A71="","",INDEX(_xlfn.ANCHORARRAY('Short Circuit'!$BK$4),ROW()-5,7)),"")</f>
        <v/>
      </c>
      <c r="D71" s="168" t="str" cm="1">
        <f t="array" ref="D71">IFERROR(IF($A71="","",INDEX(_xlfn.ANCHORARRAY('Short Circuit'!$BK$4),ROW()-5,3)),"")</f>
        <v/>
      </c>
      <c r="E71" s="362" t="str" cm="1">
        <f t="array" ref="E71">IFERROR(IF($A71="","",INDEX(_xlfn.ANCHORARRAY('Short Circuit'!$BK$4),ROW()-5,2)),"")</f>
        <v/>
      </c>
      <c r="F71" s="15" t="str">
        <f>IF($A71="","",IF($C71=0,"— utility service —",IFERROR(_xlfn.XLOOKUP("F-"&amp;$A71,'Short Circuit'!$A$6:$A$255,'Short Circuit'!$G$6:$G$255),IFERROR(_xlfn.XLOOKUP($A71,'Short Circuit'!$A$6:$A$255,'Short Circuit'!$G$6:$G$255),"⚠ no feeder data"))))</f>
        <v/>
      </c>
      <c r="G71" s="78" t="str">
        <f>IF($A71="","",IF($C71=0,0,IFERROR(_xlfn.XLOOKUP("F-"&amp;$A71,'Feeder Schedule'!$B$5:$B$254,'Feeder Schedule'!$U$5:$U$254),"")))</f>
        <v/>
      </c>
      <c r="H71" s="78" t="str">
        <f t="shared" ref="H71:H134" si="6">IF($A71="","",IF($C71=0,0,IF($G71="","",_xlfn.LET(_xlpm.p,IFERROR(_xlfn.XLOOKUP($E71,$A$6:$A$255,$H$6:$H$255),0),IF(ISNUMBER(_xlpm.p),_xlpm.p,0)+$G71))))</f>
        <v/>
      </c>
      <c r="I71" s="78" t="str">
        <f t="shared" si="4"/>
        <v/>
      </c>
      <c r="J71" s="78" t="str">
        <f t="shared" si="5"/>
        <v/>
      </c>
      <c r="K71" s="15" t="str">
        <f t="shared" ref="K71:K134" si="7">IF($A71="","",IF($C71=0,"— utility source —",IF($G71="","⚠ feeder data missing",_xlfn.LET(_xlpm.p,IFERROR(_xlfn.XLOOKUP($E71,$A$6:$A$255,$H$6:$H$255),0),IF(NOT(ISNUMBER(_xlpm.p)),"⚠ upstream feeder data missing — cumulative incomplete",IF($H71&gt;$J71,"FAIL — cumulative over total limit",IF($H71&gt;$I71,"⚠ cumulative over feeder recommendation",IF($G71&gt;$I71,"⚠ this run over feeder recommendation","PASS"))))))))</f>
        <v/>
      </c>
      <c r="L71" s="363"/>
    </row>
    <row r="72" spans="1:12" s="20" customFormat="1" ht="15" customHeight="1" x14ac:dyDescent="0.35">
      <c r="A72" s="15" t="str" cm="1">
        <f t="array" ref="A72">IFERROR(IF(INDEX(_xlfn.ANCHORARRAY('Short Circuit'!$BK$4),ROW()-5,1)="","",INDEX(_xlfn.ANCHORARRAY('Short Circuit'!$BK$4),ROW()-5,1)),"")</f>
        <v/>
      </c>
      <c r="B72" s="362" t="str" cm="1">
        <f t="array" ref="B72">IFERROR(IF($A72="","",INDEX(_xlfn.ANCHORARRAY('Short Circuit'!$BK$4),ROW()-5,5)),"")</f>
        <v/>
      </c>
      <c r="C72" s="181" t="str" cm="1">
        <f t="array" ref="C72">IFERROR(IF($A72="","",INDEX(_xlfn.ANCHORARRAY('Short Circuit'!$BK$4),ROW()-5,7)),"")</f>
        <v/>
      </c>
      <c r="D72" s="168" t="str" cm="1">
        <f t="array" ref="D72">IFERROR(IF($A72="","",INDEX(_xlfn.ANCHORARRAY('Short Circuit'!$BK$4),ROW()-5,3)),"")</f>
        <v/>
      </c>
      <c r="E72" s="362" t="str" cm="1">
        <f t="array" ref="E72">IFERROR(IF($A72="","",INDEX(_xlfn.ANCHORARRAY('Short Circuit'!$BK$4),ROW()-5,2)),"")</f>
        <v/>
      </c>
      <c r="F72" s="15" t="str">
        <f>IF($A72="","",IF($C72=0,"— utility service —",IFERROR(_xlfn.XLOOKUP("F-"&amp;$A72,'Short Circuit'!$A$6:$A$255,'Short Circuit'!$G$6:$G$255),IFERROR(_xlfn.XLOOKUP($A72,'Short Circuit'!$A$6:$A$255,'Short Circuit'!$G$6:$G$255),"⚠ no feeder data"))))</f>
        <v/>
      </c>
      <c r="G72" s="78" t="str">
        <f>IF($A72="","",IF($C72=0,0,IFERROR(_xlfn.XLOOKUP("F-"&amp;$A72,'Feeder Schedule'!$B$5:$B$254,'Feeder Schedule'!$U$5:$U$254),"")))</f>
        <v/>
      </c>
      <c r="H72" s="78" t="str">
        <f t="shared" si="6"/>
        <v/>
      </c>
      <c r="I72" s="78" t="str">
        <f t="shared" si="4"/>
        <v/>
      </c>
      <c r="J72" s="78" t="str">
        <f t="shared" si="5"/>
        <v/>
      </c>
      <c r="K72" s="15" t="str">
        <f t="shared" si="7"/>
        <v/>
      </c>
      <c r="L72" s="363"/>
    </row>
    <row r="73" spans="1:12" s="20" customFormat="1" ht="15" customHeight="1" x14ac:dyDescent="0.35">
      <c r="A73" s="15" t="str" cm="1">
        <f t="array" ref="A73">IFERROR(IF(INDEX(_xlfn.ANCHORARRAY('Short Circuit'!$BK$4),ROW()-5,1)="","",INDEX(_xlfn.ANCHORARRAY('Short Circuit'!$BK$4),ROW()-5,1)),"")</f>
        <v/>
      </c>
      <c r="B73" s="362" t="str" cm="1">
        <f t="array" ref="B73">IFERROR(IF($A73="","",INDEX(_xlfn.ANCHORARRAY('Short Circuit'!$BK$4),ROW()-5,5)),"")</f>
        <v/>
      </c>
      <c r="C73" s="181" t="str" cm="1">
        <f t="array" ref="C73">IFERROR(IF($A73="","",INDEX(_xlfn.ANCHORARRAY('Short Circuit'!$BK$4),ROW()-5,7)),"")</f>
        <v/>
      </c>
      <c r="D73" s="168" t="str" cm="1">
        <f t="array" ref="D73">IFERROR(IF($A73="","",INDEX(_xlfn.ANCHORARRAY('Short Circuit'!$BK$4),ROW()-5,3)),"")</f>
        <v/>
      </c>
      <c r="E73" s="362" t="str" cm="1">
        <f t="array" ref="E73">IFERROR(IF($A73="","",INDEX(_xlfn.ANCHORARRAY('Short Circuit'!$BK$4),ROW()-5,2)),"")</f>
        <v/>
      </c>
      <c r="F73" s="15" t="str">
        <f>IF($A73="","",IF($C73=0,"— utility service —",IFERROR(_xlfn.XLOOKUP("F-"&amp;$A73,'Short Circuit'!$A$6:$A$255,'Short Circuit'!$G$6:$G$255),IFERROR(_xlfn.XLOOKUP($A73,'Short Circuit'!$A$6:$A$255,'Short Circuit'!$G$6:$G$255),"⚠ no feeder data"))))</f>
        <v/>
      </c>
      <c r="G73" s="78" t="str">
        <f>IF($A73="","",IF($C73=0,0,IFERROR(_xlfn.XLOOKUP("F-"&amp;$A73,'Feeder Schedule'!$B$5:$B$254,'Feeder Schedule'!$U$5:$U$254),"")))</f>
        <v/>
      </c>
      <c r="H73" s="78" t="str">
        <f t="shared" si="6"/>
        <v/>
      </c>
      <c r="I73" s="78" t="str">
        <f t="shared" si="4"/>
        <v/>
      </c>
      <c r="J73" s="78" t="str">
        <f t="shared" si="5"/>
        <v/>
      </c>
      <c r="K73" s="15" t="str">
        <f t="shared" si="7"/>
        <v/>
      </c>
      <c r="L73" s="363"/>
    </row>
    <row r="74" spans="1:12" s="20" customFormat="1" ht="15" customHeight="1" x14ac:dyDescent="0.35">
      <c r="A74" s="15" t="str" cm="1">
        <f t="array" ref="A74">IFERROR(IF(INDEX(_xlfn.ANCHORARRAY('Short Circuit'!$BK$4),ROW()-5,1)="","",INDEX(_xlfn.ANCHORARRAY('Short Circuit'!$BK$4),ROW()-5,1)),"")</f>
        <v/>
      </c>
      <c r="B74" s="362" t="str" cm="1">
        <f t="array" ref="B74">IFERROR(IF($A74="","",INDEX(_xlfn.ANCHORARRAY('Short Circuit'!$BK$4),ROW()-5,5)),"")</f>
        <v/>
      </c>
      <c r="C74" s="181" t="str" cm="1">
        <f t="array" ref="C74">IFERROR(IF($A74="","",INDEX(_xlfn.ANCHORARRAY('Short Circuit'!$BK$4),ROW()-5,7)),"")</f>
        <v/>
      </c>
      <c r="D74" s="168" t="str" cm="1">
        <f t="array" ref="D74">IFERROR(IF($A74="","",INDEX(_xlfn.ANCHORARRAY('Short Circuit'!$BK$4),ROW()-5,3)),"")</f>
        <v/>
      </c>
      <c r="E74" s="362" t="str" cm="1">
        <f t="array" ref="E74">IFERROR(IF($A74="","",INDEX(_xlfn.ANCHORARRAY('Short Circuit'!$BK$4),ROW()-5,2)),"")</f>
        <v/>
      </c>
      <c r="F74" s="15" t="str">
        <f>IF($A74="","",IF($C74=0,"— utility service —",IFERROR(_xlfn.XLOOKUP("F-"&amp;$A74,'Short Circuit'!$A$6:$A$255,'Short Circuit'!$G$6:$G$255),IFERROR(_xlfn.XLOOKUP($A74,'Short Circuit'!$A$6:$A$255,'Short Circuit'!$G$6:$G$255),"⚠ no feeder data"))))</f>
        <v/>
      </c>
      <c r="G74" s="78" t="str">
        <f>IF($A74="","",IF($C74=0,0,IFERROR(_xlfn.XLOOKUP("F-"&amp;$A74,'Feeder Schedule'!$B$5:$B$254,'Feeder Schedule'!$U$5:$U$254),"")))</f>
        <v/>
      </c>
      <c r="H74" s="78" t="str">
        <f t="shared" si="6"/>
        <v/>
      </c>
      <c r="I74" s="78" t="str">
        <f t="shared" si="4"/>
        <v/>
      </c>
      <c r="J74" s="78" t="str">
        <f t="shared" si="5"/>
        <v/>
      </c>
      <c r="K74" s="15" t="str">
        <f t="shared" si="7"/>
        <v/>
      </c>
      <c r="L74" s="363"/>
    </row>
    <row r="75" spans="1:12" s="20" customFormat="1" ht="15" customHeight="1" x14ac:dyDescent="0.35">
      <c r="A75" s="15" t="str" cm="1">
        <f t="array" ref="A75">IFERROR(IF(INDEX(_xlfn.ANCHORARRAY('Short Circuit'!$BK$4),ROW()-5,1)="","",INDEX(_xlfn.ANCHORARRAY('Short Circuit'!$BK$4),ROW()-5,1)),"")</f>
        <v/>
      </c>
      <c r="B75" s="362" t="str" cm="1">
        <f t="array" ref="B75">IFERROR(IF($A75="","",INDEX(_xlfn.ANCHORARRAY('Short Circuit'!$BK$4),ROW()-5,5)),"")</f>
        <v/>
      </c>
      <c r="C75" s="181" t="str" cm="1">
        <f t="array" ref="C75">IFERROR(IF($A75="","",INDEX(_xlfn.ANCHORARRAY('Short Circuit'!$BK$4),ROW()-5,7)),"")</f>
        <v/>
      </c>
      <c r="D75" s="168" t="str" cm="1">
        <f t="array" ref="D75">IFERROR(IF($A75="","",INDEX(_xlfn.ANCHORARRAY('Short Circuit'!$BK$4),ROW()-5,3)),"")</f>
        <v/>
      </c>
      <c r="E75" s="362" t="str" cm="1">
        <f t="array" ref="E75">IFERROR(IF($A75="","",INDEX(_xlfn.ANCHORARRAY('Short Circuit'!$BK$4),ROW()-5,2)),"")</f>
        <v/>
      </c>
      <c r="F75" s="15" t="str">
        <f>IF($A75="","",IF($C75=0,"— utility service —",IFERROR(_xlfn.XLOOKUP("F-"&amp;$A75,'Short Circuit'!$A$6:$A$255,'Short Circuit'!$G$6:$G$255),IFERROR(_xlfn.XLOOKUP($A75,'Short Circuit'!$A$6:$A$255,'Short Circuit'!$G$6:$G$255),"⚠ no feeder data"))))</f>
        <v/>
      </c>
      <c r="G75" s="78" t="str">
        <f>IF($A75="","",IF($C75=0,0,IFERROR(_xlfn.XLOOKUP("F-"&amp;$A75,'Feeder Schedule'!$B$5:$B$254,'Feeder Schedule'!$U$5:$U$254),"")))</f>
        <v/>
      </c>
      <c r="H75" s="78" t="str">
        <f t="shared" si="6"/>
        <v/>
      </c>
      <c r="I75" s="78" t="str">
        <f t="shared" si="4"/>
        <v/>
      </c>
      <c r="J75" s="78" t="str">
        <f t="shared" si="5"/>
        <v/>
      </c>
      <c r="K75" s="15" t="str">
        <f t="shared" si="7"/>
        <v/>
      </c>
      <c r="L75" s="363"/>
    </row>
    <row r="76" spans="1:12" s="20" customFormat="1" ht="15" customHeight="1" x14ac:dyDescent="0.35">
      <c r="A76" s="15" t="str" cm="1">
        <f t="array" ref="A76">IFERROR(IF(INDEX(_xlfn.ANCHORARRAY('Short Circuit'!$BK$4),ROW()-5,1)="","",INDEX(_xlfn.ANCHORARRAY('Short Circuit'!$BK$4),ROW()-5,1)),"")</f>
        <v/>
      </c>
      <c r="B76" s="362" t="str" cm="1">
        <f t="array" ref="B76">IFERROR(IF($A76="","",INDEX(_xlfn.ANCHORARRAY('Short Circuit'!$BK$4),ROW()-5,5)),"")</f>
        <v/>
      </c>
      <c r="C76" s="181" t="str" cm="1">
        <f t="array" ref="C76">IFERROR(IF($A76="","",INDEX(_xlfn.ANCHORARRAY('Short Circuit'!$BK$4),ROW()-5,7)),"")</f>
        <v/>
      </c>
      <c r="D76" s="168" t="str" cm="1">
        <f t="array" ref="D76">IFERROR(IF($A76="","",INDEX(_xlfn.ANCHORARRAY('Short Circuit'!$BK$4),ROW()-5,3)),"")</f>
        <v/>
      </c>
      <c r="E76" s="362" t="str" cm="1">
        <f t="array" ref="E76">IFERROR(IF($A76="","",INDEX(_xlfn.ANCHORARRAY('Short Circuit'!$BK$4),ROW()-5,2)),"")</f>
        <v/>
      </c>
      <c r="F76" s="15" t="str">
        <f>IF($A76="","",IF($C76=0,"— utility service —",IFERROR(_xlfn.XLOOKUP("F-"&amp;$A76,'Short Circuit'!$A$6:$A$255,'Short Circuit'!$G$6:$G$255),IFERROR(_xlfn.XLOOKUP($A76,'Short Circuit'!$A$6:$A$255,'Short Circuit'!$G$6:$G$255),"⚠ no feeder data"))))</f>
        <v/>
      </c>
      <c r="G76" s="78" t="str">
        <f>IF($A76="","",IF($C76=0,0,IFERROR(_xlfn.XLOOKUP("F-"&amp;$A76,'Feeder Schedule'!$B$5:$B$254,'Feeder Schedule'!$U$5:$U$254),"")))</f>
        <v/>
      </c>
      <c r="H76" s="78" t="str">
        <f t="shared" si="6"/>
        <v/>
      </c>
      <c r="I76" s="78" t="str">
        <f t="shared" si="4"/>
        <v/>
      </c>
      <c r="J76" s="78" t="str">
        <f t="shared" si="5"/>
        <v/>
      </c>
      <c r="K76" s="15" t="str">
        <f t="shared" si="7"/>
        <v/>
      </c>
      <c r="L76" s="363"/>
    </row>
    <row r="77" spans="1:12" s="20" customFormat="1" ht="15" customHeight="1" x14ac:dyDescent="0.35">
      <c r="A77" s="15" t="str" cm="1">
        <f t="array" ref="A77">IFERROR(IF(INDEX(_xlfn.ANCHORARRAY('Short Circuit'!$BK$4),ROW()-5,1)="","",INDEX(_xlfn.ANCHORARRAY('Short Circuit'!$BK$4),ROW()-5,1)),"")</f>
        <v/>
      </c>
      <c r="B77" s="362" t="str" cm="1">
        <f t="array" ref="B77">IFERROR(IF($A77="","",INDEX(_xlfn.ANCHORARRAY('Short Circuit'!$BK$4),ROW()-5,5)),"")</f>
        <v/>
      </c>
      <c r="C77" s="181" t="str" cm="1">
        <f t="array" ref="C77">IFERROR(IF($A77="","",INDEX(_xlfn.ANCHORARRAY('Short Circuit'!$BK$4),ROW()-5,7)),"")</f>
        <v/>
      </c>
      <c r="D77" s="168" t="str" cm="1">
        <f t="array" ref="D77">IFERROR(IF($A77="","",INDEX(_xlfn.ANCHORARRAY('Short Circuit'!$BK$4),ROW()-5,3)),"")</f>
        <v/>
      </c>
      <c r="E77" s="362" t="str" cm="1">
        <f t="array" ref="E77">IFERROR(IF($A77="","",INDEX(_xlfn.ANCHORARRAY('Short Circuit'!$BK$4),ROW()-5,2)),"")</f>
        <v/>
      </c>
      <c r="F77" s="15" t="str">
        <f>IF($A77="","",IF($C77=0,"— utility service —",IFERROR(_xlfn.XLOOKUP("F-"&amp;$A77,'Short Circuit'!$A$6:$A$255,'Short Circuit'!$G$6:$G$255),IFERROR(_xlfn.XLOOKUP($A77,'Short Circuit'!$A$6:$A$255,'Short Circuit'!$G$6:$G$255),"⚠ no feeder data"))))</f>
        <v/>
      </c>
      <c r="G77" s="78" t="str">
        <f>IF($A77="","",IF($C77=0,0,IFERROR(_xlfn.XLOOKUP("F-"&amp;$A77,'Feeder Schedule'!$B$5:$B$254,'Feeder Schedule'!$U$5:$U$254),"")))</f>
        <v/>
      </c>
      <c r="H77" s="78" t="str">
        <f t="shared" si="6"/>
        <v/>
      </c>
      <c r="I77" s="78" t="str">
        <f t="shared" si="4"/>
        <v/>
      </c>
      <c r="J77" s="78" t="str">
        <f t="shared" si="5"/>
        <v/>
      </c>
      <c r="K77" s="15" t="str">
        <f t="shared" si="7"/>
        <v/>
      </c>
      <c r="L77" s="363"/>
    </row>
    <row r="78" spans="1:12" s="20" customFormat="1" ht="15" customHeight="1" x14ac:dyDescent="0.35">
      <c r="A78" s="15" t="str" cm="1">
        <f t="array" ref="A78">IFERROR(IF(INDEX(_xlfn.ANCHORARRAY('Short Circuit'!$BK$4),ROW()-5,1)="","",INDEX(_xlfn.ANCHORARRAY('Short Circuit'!$BK$4),ROW()-5,1)),"")</f>
        <v/>
      </c>
      <c r="B78" s="362" t="str" cm="1">
        <f t="array" ref="B78">IFERROR(IF($A78="","",INDEX(_xlfn.ANCHORARRAY('Short Circuit'!$BK$4),ROW()-5,5)),"")</f>
        <v/>
      </c>
      <c r="C78" s="181" t="str" cm="1">
        <f t="array" ref="C78">IFERROR(IF($A78="","",INDEX(_xlfn.ANCHORARRAY('Short Circuit'!$BK$4),ROW()-5,7)),"")</f>
        <v/>
      </c>
      <c r="D78" s="168" t="str" cm="1">
        <f t="array" ref="D78">IFERROR(IF($A78="","",INDEX(_xlfn.ANCHORARRAY('Short Circuit'!$BK$4),ROW()-5,3)),"")</f>
        <v/>
      </c>
      <c r="E78" s="362" t="str" cm="1">
        <f t="array" ref="E78">IFERROR(IF($A78="","",INDEX(_xlfn.ANCHORARRAY('Short Circuit'!$BK$4),ROW()-5,2)),"")</f>
        <v/>
      </c>
      <c r="F78" s="15" t="str">
        <f>IF($A78="","",IF($C78=0,"— utility service —",IFERROR(_xlfn.XLOOKUP("F-"&amp;$A78,'Short Circuit'!$A$6:$A$255,'Short Circuit'!$G$6:$G$255),IFERROR(_xlfn.XLOOKUP($A78,'Short Circuit'!$A$6:$A$255,'Short Circuit'!$G$6:$G$255),"⚠ no feeder data"))))</f>
        <v/>
      </c>
      <c r="G78" s="78" t="str">
        <f>IF($A78="","",IF($C78=0,0,IFERROR(_xlfn.XLOOKUP("F-"&amp;$A78,'Feeder Schedule'!$B$5:$B$254,'Feeder Schedule'!$U$5:$U$254),"")))</f>
        <v/>
      </c>
      <c r="H78" s="78" t="str">
        <f t="shared" si="6"/>
        <v/>
      </c>
      <c r="I78" s="78" t="str">
        <f t="shared" si="4"/>
        <v/>
      </c>
      <c r="J78" s="78" t="str">
        <f t="shared" si="5"/>
        <v/>
      </c>
      <c r="K78" s="15" t="str">
        <f t="shared" si="7"/>
        <v/>
      </c>
      <c r="L78" s="363"/>
    </row>
    <row r="79" spans="1:12" s="20" customFormat="1" ht="15" customHeight="1" x14ac:dyDescent="0.35">
      <c r="A79" s="15" t="str" cm="1">
        <f t="array" ref="A79">IFERROR(IF(INDEX(_xlfn.ANCHORARRAY('Short Circuit'!$BK$4),ROW()-5,1)="","",INDEX(_xlfn.ANCHORARRAY('Short Circuit'!$BK$4),ROW()-5,1)),"")</f>
        <v/>
      </c>
      <c r="B79" s="362" t="str" cm="1">
        <f t="array" ref="B79">IFERROR(IF($A79="","",INDEX(_xlfn.ANCHORARRAY('Short Circuit'!$BK$4),ROW()-5,5)),"")</f>
        <v/>
      </c>
      <c r="C79" s="181" t="str" cm="1">
        <f t="array" ref="C79">IFERROR(IF($A79="","",INDEX(_xlfn.ANCHORARRAY('Short Circuit'!$BK$4),ROW()-5,7)),"")</f>
        <v/>
      </c>
      <c r="D79" s="168" t="str" cm="1">
        <f t="array" ref="D79">IFERROR(IF($A79="","",INDEX(_xlfn.ANCHORARRAY('Short Circuit'!$BK$4),ROW()-5,3)),"")</f>
        <v/>
      </c>
      <c r="E79" s="362" t="str" cm="1">
        <f t="array" ref="E79">IFERROR(IF($A79="","",INDEX(_xlfn.ANCHORARRAY('Short Circuit'!$BK$4),ROW()-5,2)),"")</f>
        <v/>
      </c>
      <c r="F79" s="15" t="str">
        <f>IF($A79="","",IF($C79=0,"— utility service —",IFERROR(_xlfn.XLOOKUP("F-"&amp;$A79,'Short Circuit'!$A$6:$A$255,'Short Circuit'!$G$6:$G$255),IFERROR(_xlfn.XLOOKUP($A79,'Short Circuit'!$A$6:$A$255,'Short Circuit'!$G$6:$G$255),"⚠ no feeder data"))))</f>
        <v/>
      </c>
      <c r="G79" s="78" t="str">
        <f>IF($A79="","",IF($C79=0,0,IFERROR(_xlfn.XLOOKUP("F-"&amp;$A79,'Feeder Schedule'!$B$5:$B$254,'Feeder Schedule'!$U$5:$U$254),"")))</f>
        <v/>
      </c>
      <c r="H79" s="78" t="str">
        <f t="shared" si="6"/>
        <v/>
      </c>
      <c r="I79" s="78" t="str">
        <f t="shared" si="4"/>
        <v/>
      </c>
      <c r="J79" s="78" t="str">
        <f t="shared" si="5"/>
        <v/>
      </c>
      <c r="K79" s="15" t="str">
        <f t="shared" si="7"/>
        <v/>
      </c>
      <c r="L79" s="363"/>
    </row>
    <row r="80" spans="1:12" s="20" customFormat="1" ht="15" customHeight="1" x14ac:dyDescent="0.35">
      <c r="A80" s="15" t="str" cm="1">
        <f t="array" ref="A80">IFERROR(IF(INDEX(_xlfn.ANCHORARRAY('Short Circuit'!$BK$4),ROW()-5,1)="","",INDEX(_xlfn.ANCHORARRAY('Short Circuit'!$BK$4),ROW()-5,1)),"")</f>
        <v/>
      </c>
      <c r="B80" s="362" t="str" cm="1">
        <f t="array" ref="B80">IFERROR(IF($A80="","",INDEX(_xlfn.ANCHORARRAY('Short Circuit'!$BK$4),ROW()-5,5)),"")</f>
        <v/>
      </c>
      <c r="C80" s="181" t="str" cm="1">
        <f t="array" ref="C80">IFERROR(IF($A80="","",INDEX(_xlfn.ANCHORARRAY('Short Circuit'!$BK$4),ROW()-5,7)),"")</f>
        <v/>
      </c>
      <c r="D80" s="168" t="str" cm="1">
        <f t="array" ref="D80">IFERROR(IF($A80="","",INDEX(_xlfn.ANCHORARRAY('Short Circuit'!$BK$4),ROW()-5,3)),"")</f>
        <v/>
      </c>
      <c r="E80" s="362" t="str" cm="1">
        <f t="array" ref="E80">IFERROR(IF($A80="","",INDEX(_xlfn.ANCHORARRAY('Short Circuit'!$BK$4),ROW()-5,2)),"")</f>
        <v/>
      </c>
      <c r="F80" s="15" t="str">
        <f>IF($A80="","",IF($C80=0,"— utility service —",IFERROR(_xlfn.XLOOKUP("F-"&amp;$A80,'Short Circuit'!$A$6:$A$255,'Short Circuit'!$G$6:$G$255),IFERROR(_xlfn.XLOOKUP($A80,'Short Circuit'!$A$6:$A$255,'Short Circuit'!$G$6:$G$255),"⚠ no feeder data"))))</f>
        <v/>
      </c>
      <c r="G80" s="78" t="str">
        <f>IF($A80="","",IF($C80=0,0,IFERROR(_xlfn.XLOOKUP("F-"&amp;$A80,'Feeder Schedule'!$B$5:$B$254,'Feeder Schedule'!$U$5:$U$254),"")))</f>
        <v/>
      </c>
      <c r="H80" s="78" t="str">
        <f t="shared" si="6"/>
        <v/>
      </c>
      <c r="I80" s="78" t="str">
        <f t="shared" si="4"/>
        <v/>
      </c>
      <c r="J80" s="78" t="str">
        <f t="shared" si="5"/>
        <v/>
      </c>
      <c r="K80" s="15" t="str">
        <f t="shared" si="7"/>
        <v/>
      </c>
      <c r="L80" s="363"/>
    </row>
    <row r="81" spans="1:12" s="20" customFormat="1" ht="15" customHeight="1" x14ac:dyDescent="0.35">
      <c r="A81" s="15" t="str" cm="1">
        <f t="array" ref="A81">IFERROR(IF(INDEX(_xlfn.ANCHORARRAY('Short Circuit'!$BK$4),ROW()-5,1)="","",INDEX(_xlfn.ANCHORARRAY('Short Circuit'!$BK$4),ROW()-5,1)),"")</f>
        <v/>
      </c>
      <c r="B81" s="362" t="str" cm="1">
        <f t="array" ref="B81">IFERROR(IF($A81="","",INDEX(_xlfn.ANCHORARRAY('Short Circuit'!$BK$4),ROW()-5,5)),"")</f>
        <v/>
      </c>
      <c r="C81" s="181" t="str" cm="1">
        <f t="array" ref="C81">IFERROR(IF($A81="","",INDEX(_xlfn.ANCHORARRAY('Short Circuit'!$BK$4),ROW()-5,7)),"")</f>
        <v/>
      </c>
      <c r="D81" s="168" t="str" cm="1">
        <f t="array" ref="D81">IFERROR(IF($A81="","",INDEX(_xlfn.ANCHORARRAY('Short Circuit'!$BK$4),ROW()-5,3)),"")</f>
        <v/>
      </c>
      <c r="E81" s="362" t="str" cm="1">
        <f t="array" ref="E81">IFERROR(IF($A81="","",INDEX(_xlfn.ANCHORARRAY('Short Circuit'!$BK$4),ROW()-5,2)),"")</f>
        <v/>
      </c>
      <c r="F81" s="15" t="str">
        <f>IF($A81="","",IF($C81=0,"— utility service —",IFERROR(_xlfn.XLOOKUP("F-"&amp;$A81,'Short Circuit'!$A$6:$A$255,'Short Circuit'!$G$6:$G$255),IFERROR(_xlfn.XLOOKUP($A81,'Short Circuit'!$A$6:$A$255,'Short Circuit'!$G$6:$G$255),"⚠ no feeder data"))))</f>
        <v/>
      </c>
      <c r="G81" s="78" t="str">
        <f>IF($A81="","",IF($C81=0,0,IFERROR(_xlfn.XLOOKUP("F-"&amp;$A81,'Feeder Schedule'!$B$5:$B$254,'Feeder Schedule'!$U$5:$U$254),"")))</f>
        <v/>
      </c>
      <c r="H81" s="78" t="str">
        <f t="shared" si="6"/>
        <v/>
      </c>
      <c r="I81" s="78" t="str">
        <f t="shared" si="4"/>
        <v/>
      </c>
      <c r="J81" s="78" t="str">
        <f t="shared" si="5"/>
        <v/>
      </c>
      <c r="K81" s="15" t="str">
        <f t="shared" si="7"/>
        <v/>
      </c>
      <c r="L81" s="363"/>
    </row>
    <row r="82" spans="1:12" s="20" customFormat="1" ht="15" customHeight="1" x14ac:dyDescent="0.35">
      <c r="A82" s="15" t="str" cm="1">
        <f t="array" ref="A82">IFERROR(IF(INDEX(_xlfn.ANCHORARRAY('Short Circuit'!$BK$4),ROW()-5,1)="","",INDEX(_xlfn.ANCHORARRAY('Short Circuit'!$BK$4),ROW()-5,1)),"")</f>
        <v/>
      </c>
      <c r="B82" s="362" t="str" cm="1">
        <f t="array" ref="B82">IFERROR(IF($A82="","",INDEX(_xlfn.ANCHORARRAY('Short Circuit'!$BK$4),ROW()-5,5)),"")</f>
        <v/>
      </c>
      <c r="C82" s="181" t="str" cm="1">
        <f t="array" ref="C82">IFERROR(IF($A82="","",INDEX(_xlfn.ANCHORARRAY('Short Circuit'!$BK$4),ROW()-5,7)),"")</f>
        <v/>
      </c>
      <c r="D82" s="168" t="str" cm="1">
        <f t="array" ref="D82">IFERROR(IF($A82="","",INDEX(_xlfn.ANCHORARRAY('Short Circuit'!$BK$4),ROW()-5,3)),"")</f>
        <v/>
      </c>
      <c r="E82" s="362" t="str" cm="1">
        <f t="array" ref="E82">IFERROR(IF($A82="","",INDEX(_xlfn.ANCHORARRAY('Short Circuit'!$BK$4),ROW()-5,2)),"")</f>
        <v/>
      </c>
      <c r="F82" s="15" t="str">
        <f>IF($A82="","",IF($C82=0,"— utility service —",IFERROR(_xlfn.XLOOKUP("F-"&amp;$A82,'Short Circuit'!$A$6:$A$255,'Short Circuit'!$G$6:$G$255),IFERROR(_xlfn.XLOOKUP($A82,'Short Circuit'!$A$6:$A$255,'Short Circuit'!$G$6:$G$255),"⚠ no feeder data"))))</f>
        <v/>
      </c>
      <c r="G82" s="78" t="str">
        <f>IF($A82="","",IF($C82=0,0,IFERROR(_xlfn.XLOOKUP("F-"&amp;$A82,'Feeder Schedule'!$B$5:$B$254,'Feeder Schedule'!$U$5:$U$254),"")))</f>
        <v/>
      </c>
      <c r="H82" s="78" t="str">
        <f t="shared" si="6"/>
        <v/>
      </c>
      <c r="I82" s="78" t="str">
        <f t="shared" si="4"/>
        <v/>
      </c>
      <c r="J82" s="78" t="str">
        <f t="shared" si="5"/>
        <v/>
      </c>
      <c r="K82" s="15" t="str">
        <f t="shared" si="7"/>
        <v/>
      </c>
      <c r="L82" s="363"/>
    </row>
    <row r="83" spans="1:12" s="20" customFormat="1" ht="15" customHeight="1" x14ac:dyDescent="0.35">
      <c r="A83" s="15" t="str" cm="1">
        <f t="array" ref="A83">IFERROR(IF(INDEX(_xlfn.ANCHORARRAY('Short Circuit'!$BK$4),ROW()-5,1)="","",INDEX(_xlfn.ANCHORARRAY('Short Circuit'!$BK$4),ROW()-5,1)),"")</f>
        <v/>
      </c>
      <c r="B83" s="362" t="str" cm="1">
        <f t="array" ref="B83">IFERROR(IF($A83="","",INDEX(_xlfn.ANCHORARRAY('Short Circuit'!$BK$4),ROW()-5,5)),"")</f>
        <v/>
      </c>
      <c r="C83" s="181" t="str" cm="1">
        <f t="array" ref="C83">IFERROR(IF($A83="","",INDEX(_xlfn.ANCHORARRAY('Short Circuit'!$BK$4),ROW()-5,7)),"")</f>
        <v/>
      </c>
      <c r="D83" s="168" t="str" cm="1">
        <f t="array" ref="D83">IFERROR(IF($A83="","",INDEX(_xlfn.ANCHORARRAY('Short Circuit'!$BK$4),ROW()-5,3)),"")</f>
        <v/>
      </c>
      <c r="E83" s="362" t="str" cm="1">
        <f t="array" ref="E83">IFERROR(IF($A83="","",INDEX(_xlfn.ANCHORARRAY('Short Circuit'!$BK$4),ROW()-5,2)),"")</f>
        <v/>
      </c>
      <c r="F83" s="15" t="str">
        <f>IF($A83="","",IF($C83=0,"— utility service —",IFERROR(_xlfn.XLOOKUP("F-"&amp;$A83,'Short Circuit'!$A$6:$A$255,'Short Circuit'!$G$6:$G$255),IFERROR(_xlfn.XLOOKUP($A83,'Short Circuit'!$A$6:$A$255,'Short Circuit'!$G$6:$G$255),"⚠ no feeder data"))))</f>
        <v/>
      </c>
      <c r="G83" s="78" t="str">
        <f>IF($A83="","",IF($C83=0,0,IFERROR(_xlfn.XLOOKUP("F-"&amp;$A83,'Feeder Schedule'!$B$5:$B$254,'Feeder Schedule'!$U$5:$U$254),"")))</f>
        <v/>
      </c>
      <c r="H83" s="78" t="str">
        <f t="shared" si="6"/>
        <v/>
      </c>
      <c r="I83" s="78" t="str">
        <f t="shared" si="4"/>
        <v/>
      </c>
      <c r="J83" s="78" t="str">
        <f t="shared" si="5"/>
        <v/>
      </c>
      <c r="K83" s="15" t="str">
        <f t="shared" si="7"/>
        <v/>
      </c>
      <c r="L83" s="363"/>
    </row>
    <row r="84" spans="1:12" s="20" customFormat="1" ht="15" customHeight="1" x14ac:dyDescent="0.35">
      <c r="A84" s="15" t="str" cm="1">
        <f t="array" ref="A84">IFERROR(IF(INDEX(_xlfn.ANCHORARRAY('Short Circuit'!$BK$4),ROW()-5,1)="","",INDEX(_xlfn.ANCHORARRAY('Short Circuit'!$BK$4),ROW()-5,1)),"")</f>
        <v/>
      </c>
      <c r="B84" s="362" t="str" cm="1">
        <f t="array" ref="B84">IFERROR(IF($A84="","",INDEX(_xlfn.ANCHORARRAY('Short Circuit'!$BK$4),ROW()-5,5)),"")</f>
        <v/>
      </c>
      <c r="C84" s="181" t="str" cm="1">
        <f t="array" ref="C84">IFERROR(IF($A84="","",INDEX(_xlfn.ANCHORARRAY('Short Circuit'!$BK$4),ROW()-5,7)),"")</f>
        <v/>
      </c>
      <c r="D84" s="168" t="str" cm="1">
        <f t="array" ref="D84">IFERROR(IF($A84="","",INDEX(_xlfn.ANCHORARRAY('Short Circuit'!$BK$4),ROW()-5,3)),"")</f>
        <v/>
      </c>
      <c r="E84" s="362" t="str" cm="1">
        <f t="array" ref="E84">IFERROR(IF($A84="","",INDEX(_xlfn.ANCHORARRAY('Short Circuit'!$BK$4),ROW()-5,2)),"")</f>
        <v/>
      </c>
      <c r="F84" s="15" t="str">
        <f>IF($A84="","",IF($C84=0,"— utility service —",IFERROR(_xlfn.XLOOKUP("F-"&amp;$A84,'Short Circuit'!$A$6:$A$255,'Short Circuit'!$G$6:$G$255),IFERROR(_xlfn.XLOOKUP($A84,'Short Circuit'!$A$6:$A$255,'Short Circuit'!$G$6:$G$255),"⚠ no feeder data"))))</f>
        <v/>
      </c>
      <c r="G84" s="78" t="str">
        <f>IF($A84="","",IF($C84=0,0,IFERROR(_xlfn.XLOOKUP("F-"&amp;$A84,'Feeder Schedule'!$B$5:$B$254,'Feeder Schedule'!$U$5:$U$254),"")))</f>
        <v/>
      </c>
      <c r="H84" s="78" t="str">
        <f t="shared" si="6"/>
        <v/>
      </c>
      <c r="I84" s="78" t="str">
        <f t="shared" si="4"/>
        <v/>
      </c>
      <c r="J84" s="78" t="str">
        <f t="shared" si="5"/>
        <v/>
      </c>
      <c r="K84" s="15" t="str">
        <f t="shared" si="7"/>
        <v/>
      </c>
      <c r="L84" s="363"/>
    </row>
    <row r="85" spans="1:12" s="20" customFormat="1" ht="15" customHeight="1" x14ac:dyDescent="0.35">
      <c r="A85" s="15" t="str" cm="1">
        <f t="array" ref="A85">IFERROR(IF(INDEX(_xlfn.ANCHORARRAY('Short Circuit'!$BK$4),ROW()-5,1)="","",INDEX(_xlfn.ANCHORARRAY('Short Circuit'!$BK$4),ROW()-5,1)),"")</f>
        <v/>
      </c>
      <c r="B85" s="362" t="str" cm="1">
        <f t="array" ref="B85">IFERROR(IF($A85="","",INDEX(_xlfn.ANCHORARRAY('Short Circuit'!$BK$4),ROW()-5,5)),"")</f>
        <v/>
      </c>
      <c r="C85" s="181" t="str" cm="1">
        <f t="array" ref="C85">IFERROR(IF($A85="","",INDEX(_xlfn.ANCHORARRAY('Short Circuit'!$BK$4),ROW()-5,7)),"")</f>
        <v/>
      </c>
      <c r="D85" s="168" t="str" cm="1">
        <f t="array" ref="D85">IFERROR(IF($A85="","",INDEX(_xlfn.ANCHORARRAY('Short Circuit'!$BK$4),ROW()-5,3)),"")</f>
        <v/>
      </c>
      <c r="E85" s="362" t="str" cm="1">
        <f t="array" ref="E85">IFERROR(IF($A85="","",INDEX(_xlfn.ANCHORARRAY('Short Circuit'!$BK$4),ROW()-5,2)),"")</f>
        <v/>
      </c>
      <c r="F85" s="15" t="str">
        <f>IF($A85="","",IF($C85=0,"— utility service —",IFERROR(_xlfn.XLOOKUP("F-"&amp;$A85,'Short Circuit'!$A$6:$A$255,'Short Circuit'!$G$6:$G$255),IFERROR(_xlfn.XLOOKUP($A85,'Short Circuit'!$A$6:$A$255,'Short Circuit'!$G$6:$G$255),"⚠ no feeder data"))))</f>
        <v/>
      </c>
      <c r="G85" s="78" t="str">
        <f>IF($A85="","",IF($C85=0,0,IFERROR(_xlfn.XLOOKUP("F-"&amp;$A85,'Feeder Schedule'!$B$5:$B$254,'Feeder Schedule'!$U$5:$U$254),"")))</f>
        <v/>
      </c>
      <c r="H85" s="78" t="str">
        <f t="shared" si="6"/>
        <v/>
      </c>
      <c r="I85" s="78" t="str">
        <f t="shared" si="4"/>
        <v/>
      </c>
      <c r="J85" s="78" t="str">
        <f t="shared" si="5"/>
        <v/>
      </c>
      <c r="K85" s="15" t="str">
        <f t="shared" si="7"/>
        <v/>
      </c>
      <c r="L85" s="363"/>
    </row>
    <row r="86" spans="1:12" s="20" customFormat="1" ht="15" customHeight="1" x14ac:dyDescent="0.35">
      <c r="A86" s="15" t="str" cm="1">
        <f t="array" ref="A86">IFERROR(IF(INDEX(_xlfn.ANCHORARRAY('Short Circuit'!$BK$4),ROW()-5,1)="","",INDEX(_xlfn.ANCHORARRAY('Short Circuit'!$BK$4),ROW()-5,1)),"")</f>
        <v/>
      </c>
      <c r="B86" s="362" t="str" cm="1">
        <f t="array" ref="B86">IFERROR(IF($A86="","",INDEX(_xlfn.ANCHORARRAY('Short Circuit'!$BK$4),ROW()-5,5)),"")</f>
        <v/>
      </c>
      <c r="C86" s="181" t="str" cm="1">
        <f t="array" ref="C86">IFERROR(IF($A86="","",INDEX(_xlfn.ANCHORARRAY('Short Circuit'!$BK$4),ROW()-5,7)),"")</f>
        <v/>
      </c>
      <c r="D86" s="168" t="str" cm="1">
        <f t="array" ref="D86">IFERROR(IF($A86="","",INDEX(_xlfn.ANCHORARRAY('Short Circuit'!$BK$4),ROW()-5,3)),"")</f>
        <v/>
      </c>
      <c r="E86" s="362" t="str" cm="1">
        <f t="array" ref="E86">IFERROR(IF($A86="","",INDEX(_xlfn.ANCHORARRAY('Short Circuit'!$BK$4),ROW()-5,2)),"")</f>
        <v/>
      </c>
      <c r="F86" s="15" t="str">
        <f>IF($A86="","",IF($C86=0,"— utility service —",IFERROR(_xlfn.XLOOKUP("F-"&amp;$A86,'Short Circuit'!$A$6:$A$255,'Short Circuit'!$G$6:$G$255),IFERROR(_xlfn.XLOOKUP($A86,'Short Circuit'!$A$6:$A$255,'Short Circuit'!$G$6:$G$255),"⚠ no feeder data"))))</f>
        <v/>
      </c>
      <c r="G86" s="78" t="str">
        <f>IF($A86="","",IF($C86=0,0,IFERROR(_xlfn.XLOOKUP("F-"&amp;$A86,'Feeder Schedule'!$B$5:$B$254,'Feeder Schedule'!$U$5:$U$254),"")))</f>
        <v/>
      </c>
      <c r="H86" s="78" t="str">
        <f t="shared" si="6"/>
        <v/>
      </c>
      <c r="I86" s="78" t="str">
        <f t="shared" si="4"/>
        <v/>
      </c>
      <c r="J86" s="78" t="str">
        <f t="shared" si="5"/>
        <v/>
      </c>
      <c r="K86" s="15" t="str">
        <f t="shared" si="7"/>
        <v/>
      </c>
      <c r="L86" s="363"/>
    </row>
    <row r="87" spans="1:12" s="20" customFormat="1" ht="15" customHeight="1" x14ac:dyDescent="0.35">
      <c r="A87" s="15" t="str" cm="1">
        <f t="array" ref="A87">IFERROR(IF(INDEX(_xlfn.ANCHORARRAY('Short Circuit'!$BK$4),ROW()-5,1)="","",INDEX(_xlfn.ANCHORARRAY('Short Circuit'!$BK$4),ROW()-5,1)),"")</f>
        <v/>
      </c>
      <c r="B87" s="362" t="str" cm="1">
        <f t="array" ref="B87">IFERROR(IF($A87="","",INDEX(_xlfn.ANCHORARRAY('Short Circuit'!$BK$4),ROW()-5,5)),"")</f>
        <v/>
      </c>
      <c r="C87" s="181" t="str" cm="1">
        <f t="array" ref="C87">IFERROR(IF($A87="","",INDEX(_xlfn.ANCHORARRAY('Short Circuit'!$BK$4),ROW()-5,7)),"")</f>
        <v/>
      </c>
      <c r="D87" s="168" t="str" cm="1">
        <f t="array" ref="D87">IFERROR(IF($A87="","",INDEX(_xlfn.ANCHORARRAY('Short Circuit'!$BK$4),ROW()-5,3)),"")</f>
        <v/>
      </c>
      <c r="E87" s="362" t="str" cm="1">
        <f t="array" ref="E87">IFERROR(IF($A87="","",INDEX(_xlfn.ANCHORARRAY('Short Circuit'!$BK$4),ROW()-5,2)),"")</f>
        <v/>
      </c>
      <c r="F87" s="15" t="str">
        <f>IF($A87="","",IF($C87=0,"— utility service —",IFERROR(_xlfn.XLOOKUP("F-"&amp;$A87,'Short Circuit'!$A$6:$A$255,'Short Circuit'!$G$6:$G$255),IFERROR(_xlfn.XLOOKUP($A87,'Short Circuit'!$A$6:$A$255,'Short Circuit'!$G$6:$G$255),"⚠ no feeder data"))))</f>
        <v/>
      </c>
      <c r="G87" s="78" t="str">
        <f>IF($A87="","",IF($C87=0,0,IFERROR(_xlfn.XLOOKUP("F-"&amp;$A87,'Feeder Schedule'!$B$5:$B$254,'Feeder Schedule'!$U$5:$U$254),"")))</f>
        <v/>
      </c>
      <c r="H87" s="78" t="str">
        <f t="shared" si="6"/>
        <v/>
      </c>
      <c r="I87" s="78" t="str">
        <f t="shared" si="4"/>
        <v/>
      </c>
      <c r="J87" s="78" t="str">
        <f t="shared" si="5"/>
        <v/>
      </c>
      <c r="K87" s="15" t="str">
        <f t="shared" si="7"/>
        <v/>
      </c>
      <c r="L87" s="363"/>
    </row>
    <row r="88" spans="1:12" s="20" customFormat="1" ht="15" customHeight="1" x14ac:dyDescent="0.35">
      <c r="A88" s="15" t="str" cm="1">
        <f t="array" ref="A88">IFERROR(IF(INDEX(_xlfn.ANCHORARRAY('Short Circuit'!$BK$4),ROW()-5,1)="","",INDEX(_xlfn.ANCHORARRAY('Short Circuit'!$BK$4),ROW()-5,1)),"")</f>
        <v/>
      </c>
      <c r="B88" s="362" t="str" cm="1">
        <f t="array" ref="B88">IFERROR(IF($A88="","",INDEX(_xlfn.ANCHORARRAY('Short Circuit'!$BK$4),ROW()-5,5)),"")</f>
        <v/>
      </c>
      <c r="C88" s="181" t="str" cm="1">
        <f t="array" ref="C88">IFERROR(IF($A88="","",INDEX(_xlfn.ANCHORARRAY('Short Circuit'!$BK$4),ROW()-5,7)),"")</f>
        <v/>
      </c>
      <c r="D88" s="168" t="str" cm="1">
        <f t="array" ref="D88">IFERROR(IF($A88="","",INDEX(_xlfn.ANCHORARRAY('Short Circuit'!$BK$4),ROW()-5,3)),"")</f>
        <v/>
      </c>
      <c r="E88" s="362" t="str" cm="1">
        <f t="array" ref="E88">IFERROR(IF($A88="","",INDEX(_xlfn.ANCHORARRAY('Short Circuit'!$BK$4),ROW()-5,2)),"")</f>
        <v/>
      </c>
      <c r="F88" s="15" t="str">
        <f>IF($A88="","",IF($C88=0,"— utility service —",IFERROR(_xlfn.XLOOKUP("F-"&amp;$A88,'Short Circuit'!$A$6:$A$255,'Short Circuit'!$G$6:$G$255),IFERROR(_xlfn.XLOOKUP($A88,'Short Circuit'!$A$6:$A$255,'Short Circuit'!$G$6:$G$255),"⚠ no feeder data"))))</f>
        <v/>
      </c>
      <c r="G88" s="78" t="str">
        <f>IF($A88="","",IF($C88=0,0,IFERROR(_xlfn.XLOOKUP("F-"&amp;$A88,'Feeder Schedule'!$B$5:$B$254,'Feeder Schedule'!$U$5:$U$254),"")))</f>
        <v/>
      </c>
      <c r="H88" s="78" t="str">
        <f t="shared" si="6"/>
        <v/>
      </c>
      <c r="I88" s="78" t="str">
        <f t="shared" si="4"/>
        <v/>
      </c>
      <c r="J88" s="78" t="str">
        <f t="shared" si="5"/>
        <v/>
      </c>
      <c r="K88" s="15" t="str">
        <f t="shared" si="7"/>
        <v/>
      </c>
      <c r="L88" s="363"/>
    </row>
    <row r="89" spans="1:12" s="20" customFormat="1" ht="15" customHeight="1" x14ac:dyDescent="0.35">
      <c r="A89" s="15" t="str" cm="1">
        <f t="array" ref="A89">IFERROR(IF(INDEX(_xlfn.ANCHORARRAY('Short Circuit'!$BK$4),ROW()-5,1)="","",INDEX(_xlfn.ANCHORARRAY('Short Circuit'!$BK$4),ROW()-5,1)),"")</f>
        <v/>
      </c>
      <c r="B89" s="362" t="str" cm="1">
        <f t="array" ref="B89">IFERROR(IF($A89="","",INDEX(_xlfn.ANCHORARRAY('Short Circuit'!$BK$4),ROW()-5,5)),"")</f>
        <v/>
      </c>
      <c r="C89" s="181" t="str" cm="1">
        <f t="array" ref="C89">IFERROR(IF($A89="","",INDEX(_xlfn.ANCHORARRAY('Short Circuit'!$BK$4),ROW()-5,7)),"")</f>
        <v/>
      </c>
      <c r="D89" s="168" t="str" cm="1">
        <f t="array" ref="D89">IFERROR(IF($A89="","",INDEX(_xlfn.ANCHORARRAY('Short Circuit'!$BK$4),ROW()-5,3)),"")</f>
        <v/>
      </c>
      <c r="E89" s="362" t="str" cm="1">
        <f t="array" ref="E89">IFERROR(IF($A89="","",INDEX(_xlfn.ANCHORARRAY('Short Circuit'!$BK$4),ROW()-5,2)),"")</f>
        <v/>
      </c>
      <c r="F89" s="15" t="str">
        <f>IF($A89="","",IF($C89=0,"— utility service —",IFERROR(_xlfn.XLOOKUP("F-"&amp;$A89,'Short Circuit'!$A$6:$A$255,'Short Circuit'!$G$6:$G$255),IFERROR(_xlfn.XLOOKUP($A89,'Short Circuit'!$A$6:$A$255,'Short Circuit'!$G$6:$G$255),"⚠ no feeder data"))))</f>
        <v/>
      </c>
      <c r="G89" s="78" t="str">
        <f>IF($A89="","",IF($C89=0,0,IFERROR(_xlfn.XLOOKUP("F-"&amp;$A89,'Feeder Schedule'!$B$5:$B$254,'Feeder Schedule'!$U$5:$U$254),"")))</f>
        <v/>
      </c>
      <c r="H89" s="78" t="str">
        <f t="shared" si="6"/>
        <v/>
      </c>
      <c r="I89" s="78" t="str">
        <f t="shared" si="4"/>
        <v/>
      </c>
      <c r="J89" s="78" t="str">
        <f t="shared" si="5"/>
        <v/>
      </c>
      <c r="K89" s="15" t="str">
        <f t="shared" si="7"/>
        <v/>
      </c>
      <c r="L89" s="363"/>
    </row>
    <row r="90" spans="1:12" s="20" customFormat="1" ht="15" customHeight="1" x14ac:dyDescent="0.35">
      <c r="A90" s="15" t="str" cm="1">
        <f t="array" ref="A90">IFERROR(IF(INDEX(_xlfn.ANCHORARRAY('Short Circuit'!$BK$4),ROW()-5,1)="","",INDEX(_xlfn.ANCHORARRAY('Short Circuit'!$BK$4),ROW()-5,1)),"")</f>
        <v/>
      </c>
      <c r="B90" s="362" t="str" cm="1">
        <f t="array" ref="B90">IFERROR(IF($A90="","",INDEX(_xlfn.ANCHORARRAY('Short Circuit'!$BK$4),ROW()-5,5)),"")</f>
        <v/>
      </c>
      <c r="C90" s="181" t="str" cm="1">
        <f t="array" ref="C90">IFERROR(IF($A90="","",INDEX(_xlfn.ANCHORARRAY('Short Circuit'!$BK$4),ROW()-5,7)),"")</f>
        <v/>
      </c>
      <c r="D90" s="168" t="str" cm="1">
        <f t="array" ref="D90">IFERROR(IF($A90="","",INDEX(_xlfn.ANCHORARRAY('Short Circuit'!$BK$4),ROW()-5,3)),"")</f>
        <v/>
      </c>
      <c r="E90" s="362" t="str" cm="1">
        <f t="array" ref="E90">IFERROR(IF($A90="","",INDEX(_xlfn.ANCHORARRAY('Short Circuit'!$BK$4),ROW()-5,2)),"")</f>
        <v/>
      </c>
      <c r="F90" s="15" t="str">
        <f>IF($A90="","",IF($C90=0,"— utility service —",IFERROR(_xlfn.XLOOKUP("F-"&amp;$A90,'Short Circuit'!$A$6:$A$255,'Short Circuit'!$G$6:$G$255),IFERROR(_xlfn.XLOOKUP($A90,'Short Circuit'!$A$6:$A$255,'Short Circuit'!$G$6:$G$255),"⚠ no feeder data"))))</f>
        <v/>
      </c>
      <c r="G90" s="78" t="str">
        <f>IF($A90="","",IF($C90=0,0,IFERROR(_xlfn.XLOOKUP("F-"&amp;$A90,'Feeder Schedule'!$B$5:$B$254,'Feeder Schedule'!$U$5:$U$254),"")))</f>
        <v/>
      </c>
      <c r="H90" s="78" t="str">
        <f t="shared" si="6"/>
        <v/>
      </c>
      <c r="I90" s="78" t="str">
        <f t="shared" si="4"/>
        <v/>
      </c>
      <c r="J90" s="78" t="str">
        <f t="shared" si="5"/>
        <v/>
      </c>
      <c r="K90" s="15" t="str">
        <f t="shared" si="7"/>
        <v/>
      </c>
      <c r="L90" s="363"/>
    </row>
    <row r="91" spans="1:12" s="20" customFormat="1" ht="15" customHeight="1" x14ac:dyDescent="0.35">
      <c r="A91" s="15" t="str" cm="1">
        <f t="array" ref="A91">IFERROR(IF(INDEX(_xlfn.ANCHORARRAY('Short Circuit'!$BK$4),ROW()-5,1)="","",INDEX(_xlfn.ANCHORARRAY('Short Circuit'!$BK$4),ROW()-5,1)),"")</f>
        <v/>
      </c>
      <c r="B91" s="362" t="str" cm="1">
        <f t="array" ref="B91">IFERROR(IF($A91="","",INDEX(_xlfn.ANCHORARRAY('Short Circuit'!$BK$4),ROW()-5,5)),"")</f>
        <v/>
      </c>
      <c r="C91" s="181" t="str" cm="1">
        <f t="array" ref="C91">IFERROR(IF($A91="","",INDEX(_xlfn.ANCHORARRAY('Short Circuit'!$BK$4),ROW()-5,7)),"")</f>
        <v/>
      </c>
      <c r="D91" s="168" t="str" cm="1">
        <f t="array" ref="D91">IFERROR(IF($A91="","",INDEX(_xlfn.ANCHORARRAY('Short Circuit'!$BK$4),ROW()-5,3)),"")</f>
        <v/>
      </c>
      <c r="E91" s="362" t="str" cm="1">
        <f t="array" ref="E91">IFERROR(IF($A91="","",INDEX(_xlfn.ANCHORARRAY('Short Circuit'!$BK$4),ROW()-5,2)),"")</f>
        <v/>
      </c>
      <c r="F91" s="15" t="str">
        <f>IF($A91="","",IF($C91=0,"— utility service —",IFERROR(_xlfn.XLOOKUP("F-"&amp;$A91,'Short Circuit'!$A$6:$A$255,'Short Circuit'!$G$6:$G$255),IFERROR(_xlfn.XLOOKUP($A91,'Short Circuit'!$A$6:$A$255,'Short Circuit'!$G$6:$G$255),"⚠ no feeder data"))))</f>
        <v/>
      </c>
      <c r="G91" s="78" t="str">
        <f>IF($A91="","",IF($C91=0,0,IFERROR(_xlfn.XLOOKUP("F-"&amp;$A91,'Feeder Schedule'!$B$5:$B$254,'Feeder Schedule'!$U$5:$U$254),"")))</f>
        <v/>
      </c>
      <c r="H91" s="78" t="str">
        <f t="shared" si="6"/>
        <v/>
      </c>
      <c r="I91" s="78" t="str">
        <f t="shared" si="4"/>
        <v/>
      </c>
      <c r="J91" s="78" t="str">
        <f t="shared" si="5"/>
        <v/>
      </c>
      <c r="K91" s="15" t="str">
        <f t="shared" si="7"/>
        <v/>
      </c>
      <c r="L91" s="363"/>
    </row>
    <row r="92" spans="1:12" s="20" customFormat="1" ht="15" customHeight="1" x14ac:dyDescent="0.35">
      <c r="A92" s="15" t="str" cm="1">
        <f t="array" ref="A92">IFERROR(IF(INDEX(_xlfn.ANCHORARRAY('Short Circuit'!$BK$4),ROW()-5,1)="","",INDEX(_xlfn.ANCHORARRAY('Short Circuit'!$BK$4),ROW()-5,1)),"")</f>
        <v/>
      </c>
      <c r="B92" s="362" t="str" cm="1">
        <f t="array" ref="B92">IFERROR(IF($A92="","",INDEX(_xlfn.ANCHORARRAY('Short Circuit'!$BK$4),ROW()-5,5)),"")</f>
        <v/>
      </c>
      <c r="C92" s="181" t="str" cm="1">
        <f t="array" ref="C92">IFERROR(IF($A92="","",INDEX(_xlfn.ANCHORARRAY('Short Circuit'!$BK$4),ROW()-5,7)),"")</f>
        <v/>
      </c>
      <c r="D92" s="168" t="str" cm="1">
        <f t="array" ref="D92">IFERROR(IF($A92="","",INDEX(_xlfn.ANCHORARRAY('Short Circuit'!$BK$4),ROW()-5,3)),"")</f>
        <v/>
      </c>
      <c r="E92" s="362" t="str" cm="1">
        <f t="array" ref="E92">IFERROR(IF($A92="","",INDEX(_xlfn.ANCHORARRAY('Short Circuit'!$BK$4),ROW()-5,2)),"")</f>
        <v/>
      </c>
      <c r="F92" s="15" t="str">
        <f>IF($A92="","",IF($C92=0,"— utility service —",IFERROR(_xlfn.XLOOKUP("F-"&amp;$A92,'Short Circuit'!$A$6:$A$255,'Short Circuit'!$G$6:$G$255),IFERROR(_xlfn.XLOOKUP($A92,'Short Circuit'!$A$6:$A$255,'Short Circuit'!$G$6:$G$255),"⚠ no feeder data"))))</f>
        <v/>
      </c>
      <c r="G92" s="78" t="str">
        <f>IF($A92="","",IF($C92=0,0,IFERROR(_xlfn.XLOOKUP("F-"&amp;$A92,'Feeder Schedule'!$B$5:$B$254,'Feeder Schedule'!$U$5:$U$254),"")))</f>
        <v/>
      </c>
      <c r="H92" s="78" t="str">
        <f t="shared" si="6"/>
        <v/>
      </c>
      <c r="I92" s="78" t="str">
        <f t="shared" si="4"/>
        <v/>
      </c>
      <c r="J92" s="78" t="str">
        <f t="shared" si="5"/>
        <v/>
      </c>
      <c r="K92" s="15" t="str">
        <f t="shared" si="7"/>
        <v/>
      </c>
      <c r="L92" s="363"/>
    </row>
    <row r="93" spans="1:12" s="20" customFormat="1" ht="15" customHeight="1" x14ac:dyDescent="0.35">
      <c r="A93" s="15" t="str" cm="1">
        <f t="array" ref="A93">IFERROR(IF(INDEX(_xlfn.ANCHORARRAY('Short Circuit'!$BK$4),ROW()-5,1)="","",INDEX(_xlfn.ANCHORARRAY('Short Circuit'!$BK$4),ROW()-5,1)),"")</f>
        <v/>
      </c>
      <c r="B93" s="362" t="str" cm="1">
        <f t="array" ref="B93">IFERROR(IF($A93="","",INDEX(_xlfn.ANCHORARRAY('Short Circuit'!$BK$4),ROW()-5,5)),"")</f>
        <v/>
      </c>
      <c r="C93" s="181" t="str" cm="1">
        <f t="array" ref="C93">IFERROR(IF($A93="","",INDEX(_xlfn.ANCHORARRAY('Short Circuit'!$BK$4),ROW()-5,7)),"")</f>
        <v/>
      </c>
      <c r="D93" s="168" t="str" cm="1">
        <f t="array" ref="D93">IFERROR(IF($A93="","",INDEX(_xlfn.ANCHORARRAY('Short Circuit'!$BK$4),ROW()-5,3)),"")</f>
        <v/>
      </c>
      <c r="E93" s="362" t="str" cm="1">
        <f t="array" ref="E93">IFERROR(IF($A93="","",INDEX(_xlfn.ANCHORARRAY('Short Circuit'!$BK$4),ROW()-5,2)),"")</f>
        <v/>
      </c>
      <c r="F93" s="15" t="str">
        <f>IF($A93="","",IF($C93=0,"— utility service —",IFERROR(_xlfn.XLOOKUP("F-"&amp;$A93,'Short Circuit'!$A$6:$A$255,'Short Circuit'!$G$6:$G$255),IFERROR(_xlfn.XLOOKUP($A93,'Short Circuit'!$A$6:$A$255,'Short Circuit'!$G$6:$G$255),"⚠ no feeder data"))))</f>
        <v/>
      </c>
      <c r="G93" s="78" t="str">
        <f>IF($A93="","",IF($C93=0,0,IFERROR(_xlfn.XLOOKUP("F-"&amp;$A93,'Feeder Schedule'!$B$5:$B$254,'Feeder Schedule'!$U$5:$U$254),"")))</f>
        <v/>
      </c>
      <c r="H93" s="78" t="str">
        <f t="shared" si="6"/>
        <v/>
      </c>
      <c r="I93" s="78" t="str">
        <f t="shared" si="4"/>
        <v/>
      </c>
      <c r="J93" s="78" t="str">
        <f t="shared" si="5"/>
        <v/>
      </c>
      <c r="K93" s="15" t="str">
        <f t="shared" si="7"/>
        <v/>
      </c>
      <c r="L93" s="363"/>
    </row>
    <row r="94" spans="1:12" s="20" customFormat="1" ht="15" customHeight="1" x14ac:dyDescent="0.35">
      <c r="A94" s="15" t="str" cm="1">
        <f t="array" ref="A94">IFERROR(IF(INDEX(_xlfn.ANCHORARRAY('Short Circuit'!$BK$4),ROW()-5,1)="","",INDEX(_xlfn.ANCHORARRAY('Short Circuit'!$BK$4),ROW()-5,1)),"")</f>
        <v/>
      </c>
      <c r="B94" s="362" t="str" cm="1">
        <f t="array" ref="B94">IFERROR(IF($A94="","",INDEX(_xlfn.ANCHORARRAY('Short Circuit'!$BK$4),ROW()-5,5)),"")</f>
        <v/>
      </c>
      <c r="C94" s="181" t="str" cm="1">
        <f t="array" ref="C94">IFERROR(IF($A94="","",INDEX(_xlfn.ANCHORARRAY('Short Circuit'!$BK$4),ROW()-5,7)),"")</f>
        <v/>
      </c>
      <c r="D94" s="168" t="str" cm="1">
        <f t="array" ref="D94">IFERROR(IF($A94="","",INDEX(_xlfn.ANCHORARRAY('Short Circuit'!$BK$4),ROW()-5,3)),"")</f>
        <v/>
      </c>
      <c r="E94" s="362" t="str" cm="1">
        <f t="array" ref="E94">IFERROR(IF($A94="","",INDEX(_xlfn.ANCHORARRAY('Short Circuit'!$BK$4),ROW()-5,2)),"")</f>
        <v/>
      </c>
      <c r="F94" s="15" t="str">
        <f>IF($A94="","",IF($C94=0,"— utility service —",IFERROR(_xlfn.XLOOKUP("F-"&amp;$A94,'Short Circuit'!$A$6:$A$255,'Short Circuit'!$G$6:$G$255),IFERROR(_xlfn.XLOOKUP($A94,'Short Circuit'!$A$6:$A$255,'Short Circuit'!$G$6:$G$255),"⚠ no feeder data"))))</f>
        <v/>
      </c>
      <c r="G94" s="78" t="str">
        <f>IF($A94="","",IF($C94=0,0,IFERROR(_xlfn.XLOOKUP("F-"&amp;$A94,'Feeder Schedule'!$B$5:$B$254,'Feeder Schedule'!$U$5:$U$254),"")))</f>
        <v/>
      </c>
      <c r="H94" s="78" t="str">
        <f t="shared" si="6"/>
        <v/>
      </c>
      <c r="I94" s="78" t="str">
        <f t="shared" si="4"/>
        <v/>
      </c>
      <c r="J94" s="78" t="str">
        <f t="shared" si="5"/>
        <v/>
      </c>
      <c r="K94" s="15" t="str">
        <f t="shared" si="7"/>
        <v/>
      </c>
      <c r="L94" s="363"/>
    </row>
    <row r="95" spans="1:12" s="20" customFormat="1" ht="15" customHeight="1" x14ac:dyDescent="0.35">
      <c r="A95" s="15" t="str" cm="1">
        <f t="array" ref="A95">IFERROR(IF(INDEX(_xlfn.ANCHORARRAY('Short Circuit'!$BK$4),ROW()-5,1)="","",INDEX(_xlfn.ANCHORARRAY('Short Circuit'!$BK$4),ROW()-5,1)),"")</f>
        <v/>
      </c>
      <c r="B95" s="362" t="str" cm="1">
        <f t="array" ref="B95">IFERROR(IF($A95="","",INDEX(_xlfn.ANCHORARRAY('Short Circuit'!$BK$4),ROW()-5,5)),"")</f>
        <v/>
      </c>
      <c r="C95" s="181" t="str" cm="1">
        <f t="array" ref="C95">IFERROR(IF($A95="","",INDEX(_xlfn.ANCHORARRAY('Short Circuit'!$BK$4),ROW()-5,7)),"")</f>
        <v/>
      </c>
      <c r="D95" s="168" t="str" cm="1">
        <f t="array" ref="D95">IFERROR(IF($A95="","",INDEX(_xlfn.ANCHORARRAY('Short Circuit'!$BK$4),ROW()-5,3)),"")</f>
        <v/>
      </c>
      <c r="E95" s="362" t="str" cm="1">
        <f t="array" ref="E95">IFERROR(IF($A95="","",INDEX(_xlfn.ANCHORARRAY('Short Circuit'!$BK$4),ROW()-5,2)),"")</f>
        <v/>
      </c>
      <c r="F95" s="15" t="str">
        <f>IF($A95="","",IF($C95=0,"— utility service —",IFERROR(_xlfn.XLOOKUP("F-"&amp;$A95,'Short Circuit'!$A$6:$A$255,'Short Circuit'!$G$6:$G$255),IFERROR(_xlfn.XLOOKUP($A95,'Short Circuit'!$A$6:$A$255,'Short Circuit'!$G$6:$G$255),"⚠ no feeder data"))))</f>
        <v/>
      </c>
      <c r="G95" s="78" t="str">
        <f>IF($A95="","",IF($C95=0,0,IFERROR(_xlfn.XLOOKUP("F-"&amp;$A95,'Feeder Schedule'!$B$5:$B$254,'Feeder Schedule'!$U$5:$U$254),"")))</f>
        <v/>
      </c>
      <c r="H95" s="78" t="str">
        <f t="shared" si="6"/>
        <v/>
      </c>
      <c r="I95" s="78" t="str">
        <f t="shared" si="4"/>
        <v/>
      </c>
      <c r="J95" s="78" t="str">
        <f t="shared" si="5"/>
        <v/>
      </c>
      <c r="K95" s="15" t="str">
        <f t="shared" si="7"/>
        <v/>
      </c>
      <c r="L95" s="363"/>
    </row>
    <row r="96" spans="1:12" s="20" customFormat="1" ht="15" customHeight="1" x14ac:dyDescent="0.35">
      <c r="A96" s="15" t="str" cm="1">
        <f t="array" ref="A96">IFERROR(IF(INDEX(_xlfn.ANCHORARRAY('Short Circuit'!$BK$4),ROW()-5,1)="","",INDEX(_xlfn.ANCHORARRAY('Short Circuit'!$BK$4),ROW()-5,1)),"")</f>
        <v/>
      </c>
      <c r="B96" s="362" t="str" cm="1">
        <f t="array" ref="B96">IFERROR(IF($A96="","",INDEX(_xlfn.ANCHORARRAY('Short Circuit'!$BK$4),ROW()-5,5)),"")</f>
        <v/>
      </c>
      <c r="C96" s="181" t="str" cm="1">
        <f t="array" ref="C96">IFERROR(IF($A96="","",INDEX(_xlfn.ANCHORARRAY('Short Circuit'!$BK$4),ROW()-5,7)),"")</f>
        <v/>
      </c>
      <c r="D96" s="168" t="str" cm="1">
        <f t="array" ref="D96">IFERROR(IF($A96="","",INDEX(_xlfn.ANCHORARRAY('Short Circuit'!$BK$4),ROW()-5,3)),"")</f>
        <v/>
      </c>
      <c r="E96" s="362" t="str" cm="1">
        <f t="array" ref="E96">IFERROR(IF($A96="","",INDEX(_xlfn.ANCHORARRAY('Short Circuit'!$BK$4),ROW()-5,2)),"")</f>
        <v/>
      </c>
      <c r="F96" s="15" t="str">
        <f>IF($A96="","",IF($C96=0,"— utility service —",IFERROR(_xlfn.XLOOKUP("F-"&amp;$A96,'Short Circuit'!$A$6:$A$255,'Short Circuit'!$G$6:$G$255),IFERROR(_xlfn.XLOOKUP($A96,'Short Circuit'!$A$6:$A$255,'Short Circuit'!$G$6:$G$255),"⚠ no feeder data"))))</f>
        <v/>
      </c>
      <c r="G96" s="78" t="str">
        <f>IF($A96="","",IF($C96=0,0,IFERROR(_xlfn.XLOOKUP("F-"&amp;$A96,'Feeder Schedule'!$B$5:$B$254,'Feeder Schedule'!$U$5:$U$254),"")))</f>
        <v/>
      </c>
      <c r="H96" s="78" t="str">
        <f t="shared" si="6"/>
        <v/>
      </c>
      <c r="I96" s="78" t="str">
        <f t="shared" si="4"/>
        <v/>
      </c>
      <c r="J96" s="78" t="str">
        <f t="shared" si="5"/>
        <v/>
      </c>
      <c r="K96" s="15" t="str">
        <f t="shared" si="7"/>
        <v/>
      </c>
      <c r="L96" s="363"/>
    </row>
    <row r="97" spans="1:12" s="20" customFormat="1" ht="15" customHeight="1" x14ac:dyDescent="0.35">
      <c r="A97" s="15" t="str" cm="1">
        <f t="array" ref="A97">IFERROR(IF(INDEX(_xlfn.ANCHORARRAY('Short Circuit'!$BK$4),ROW()-5,1)="","",INDEX(_xlfn.ANCHORARRAY('Short Circuit'!$BK$4),ROW()-5,1)),"")</f>
        <v/>
      </c>
      <c r="B97" s="362" t="str" cm="1">
        <f t="array" ref="B97">IFERROR(IF($A97="","",INDEX(_xlfn.ANCHORARRAY('Short Circuit'!$BK$4),ROW()-5,5)),"")</f>
        <v/>
      </c>
      <c r="C97" s="181" t="str" cm="1">
        <f t="array" ref="C97">IFERROR(IF($A97="","",INDEX(_xlfn.ANCHORARRAY('Short Circuit'!$BK$4),ROW()-5,7)),"")</f>
        <v/>
      </c>
      <c r="D97" s="168" t="str" cm="1">
        <f t="array" ref="D97">IFERROR(IF($A97="","",INDEX(_xlfn.ANCHORARRAY('Short Circuit'!$BK$4),ROW()-5,3)),"")</f>
        <v/>
      </c>
      <c r="E97" s="362" t="str" cm="1">
        <f t="array" ref="E97">IFERROR(IF($A97="","",INDEX(_xlfn.ANCHORARRAY('Short Circuit'!$BK$4),ROW()-5,2)),"")</f>
        <v/>
      </c>
      <c r="F97" s="15" t="str">
        <f>IF($A97="","",IF($C97=0,"— utility service —",IFERROR(_xlfn.XLOOKUP("F-"&amp;$A97,'Short Circuit'!$A$6:$A$255,'Short Circuit'!$G$6:$G$255),IFERROR(_xlfn.XLOOKUP($A97,'Short Circuit'!$A$6:$A$255,'Short Circuit'!$G$6:$G$255),"⚠ no feeder data"))))</f>
        <v/>
      </c>
      <c r="G97" s="78" t="str">
        <f>IF($A97="","",IF($C97=0,0,IFERROR(_xlfn.XLOOKUP("F-"&amp;$A97,'Feeder Schedule'!$B$5:$B$254,'Feeder Schedule'!$U$5:$U$254),"")))</f>
        <v/>
      </c>
      <c r="H97" s="78" t="str">
        <f t="shared" si="6"/>
        <v/>
      </c>
      <c r="I97" s="78" t="str">
        <f t="shared" si="4"/>
        <v/>
      </c>
      <c r="J97" s="78" t="str">
        <f t="shared" si="5"/>
        <v/>
      </c>
      <c r="K97" s="15" t="str">
        <f t="shared" si="7"/>
        <v/>
      </c>
      <c r="L97" s="363"/>
    </row>
    <row r="98" spans="1:12" s="20" customFormat="1" ht="15" customHeight="1" x14ac:dyDescent="0.35">
      <c r="A98" s="15" t="str" cm="1">
        <f t="array" ref="A98">IFERROR(IF(INDEX(_xlfn.ANCHORARRAY('Short Circuit'!$BK$4),ROW()-5,1)="","",INDEX(_xlfn.ANCHORARRAY('Short Circuit'!$BK$4),ROW()-5,1)),"")</f>
        <v/>
      </c>
      <c r="B98" s="362" t="str" cm="1">
        <f t="array" ref="B98">IFERROR(IF($A98="","",INDEX(_xlfn.ANCHORARRAY('Short Circuit'!$BK$4),ROW()-5,5)),"")</f>
        <v/>
      </c>
      <c r="C98" s="181" t="str" cm="1">
        <f t="array" ref="C98">IFERROR(IF($A98="","",INDEX(_xlfn.ANCHORARRAY('Short Circuit'!$BK$4),ROW()-5,7)),"")</f>
        <v/>
      </c>
      <c r="D98" s="168" t="str" cm="1">
        <f t="array" ref="D98">IFERROR(IF($A98="","",INDEX(_xlfn.ANCHORARRAY('Short Circuit'!$BK$4),ROW()-5,3)),"")</f>
        <v/>
      </c>
      <c r="E98" s="362" t="str" cm="1">
        <f t="array" ref="E98">IFERROR(IF($A98="","",INDEX(_xlfn.ANCHORARRAY('Short Circuit'!$BK$4),ROW()-5,2)),"")</f>
        <v/>
      </c>
      <c r="F98" s="15" t="str">
        <f>IF($A98="","",IF($C98=0,"— utility service —",IFERROR(_xlfn.XLOOKUP("F-"&amp;$A98,'Short Circuit'!$A$6:$A$255,'Short Circuit'!$G$6:$G$255),IFERROR(_xlfn.XLOOKUP($A98,'Short Circuit'!$A$6:$A$255,'Short Circuit'!$G$6:$G$255),"⚠ no feeder data"))))</f>
        <v/>
      </c>
      <c r="G98" s="78" t="str">
        <f>IF($A98="","",IF($C98=0,0,IFERROR(_xlfn.XLOOKUP("F-"&amp;$A98,'Feeder Schedule'!$B$5:$B$254,'Feeder Schedule'!$U$5:$U$254),"")))</f>
        <v/>
      </c>
      <c r="H98" s="78" t="str">
        <f t="shared" si="6"/>
        <v/>
      </c>
      <c r="I98" s="78" t="str">
        <f t="shared" si="4"/>
        <v/>
      </c>
      <c r="J98" s="78" t="str">
        <f t="shared" si="5"/>
        <v/>
      </c>
      <c r="K98" s="15" t="str">
        <f t="shared" si="7"/>
        <v/>
      </c>
      <c r="L98" s="363"/>
    </row>
    <row r="99" spans="1:12" s="20" customFormat="1" ht="15" customHeight="1" x14ac:dyDescent="0.35">
      <c r="A99" s="15" t="str" cm="1">
        <f t="array" ref="A99">IFERROR(IF(INDEX(_xlfn.ANCHORARRAY('Short Circuit'!$BK$4),ROW()-5,1)="","",INDEX(_xlfn.ANCHORARRAY('Short Circuit'!$BK$4),ROW()-5,1)),"")</f>
        <v/>
      </c>
      <c r="B99" s="362" t="str" cm="1">
        <f t="array" ref="B99">IFERROR(IF($A99="","",INDEX(_xlfn.ANCHORARRAY('Short Circuit'!$BK$4),ROW()-5,5)),"")</f>
        <v/>
      </c>
      <c r="C99" s="181" t="str" cm="1">
        <f t="array" ref="C99">IFERROR(IF($A99="","",INDEX(_xlfn.ANCHORARRAY('Short Circuit'!$BK$4),ROW()-5,7)),"")</f>
        <v/>
      </c>
      <c r="D99" s="168" t="str" cm="1">
        <f t="array" ref="D99">IFERROR(IF($A99="","",INDEX(_xlfn.ANCHORARRAY('Short Circuit'!$BK$4),ROW()-5,3)),"")</f>
        <v/>
      </c>
      <c r="E99" s="362" t="str" cm="1">
        <f t="array" ref="E99">IFERROR(IF($A99="","",INDEX(_xlfn.ANCHORARRAY('Short Circuit'!$BK$4),ROW()-5,2)),"")</f>
        <v/>
      </c>
      <c r="F99" s="15" t="str">
        <f>IF($A99="","",IF($C99=0,"— utility service —",IFERROR(_xlfn.XLOOKUP("F-"&amp;$A99,'Short Circuit'!$A$6:$A$255,'Short Circuit'!$G$6:$G$255),IFERROR(_xlfn.XLOOKUP($A99,'Short Circuit'!$A$6:$A$255,'Short Circuit'!$G$6:$G$255),"⚠ no feeder data"))))</f>
        <v/>
      </c>
      <c r="G99" s="78" t="str">
        <f>IF($A99="","",IF($C99=0,0,IFERROR(_xlfn.XLOOKUP("F-"&amp;$A99,'Feeder Schedule'!$B$5:$B$254,'Feeder Schedule'!$U$5:$U$254),"")))</f>
        <v/>
      </c>
      <c r="H99" s="78" t="str">
        <f t="shared" si="6"/>
        <v/>
      </c>
      <c r="I99" s="78" t="str">
        <f t="shared" si="4"/>
        <v/>
      </c>
      <c r="J99" s="78" t="str">
        <f t="shared" si="5"/>
        <v/>
      </c>
      <c r="K99" s="15" t="str">
        <f t="shared" si="7"/>
        <v/>
      </c>
      <c r="L99" s="363"/>
    </row>
    <row r="100" spans="1:12" s="20" customFormat="1" ht="15" customHeight="1" x14ac:dyDescent="0.35">
      <c r="A100" s="15" t="str" cm="1">
        <f t="array" ref="A100">IFERROR(IF(INDEX(_xlfn.ANCHORARRAY('Short Circuit'!$BK$4),ROW()-5,1)="","",INDEX(_xlfn.ANCHORARRAY('Short Circuit'!$BK$4),ROW()-5,1)),"")</f>
        <v/>
      </c>
      <c r="B100" s="362" t="str" cm="1">
        <f t="array" ref="B100">IFERROR(IF($A100="","",INDEX(_xlfn.ANCHORARRAY('Short Circuit'!$BK$4),ROW()-5,5)),"")</f>
        <v/>
      </c>
      <c r="C100" s="181" t="str" cm="1">
        <f t="array" ref="C100">IFERROR(IF($A100="","",INDEX(_xlfn.ANCHORARRAY('Short Circuit'!$BK$4),ROW()-5,7)),"")</f>
        <v/>
      </c>
      <c r="D100" s="168" t="str" cm="1">
        <f t="array" ref="D100">IFERROR(IF($A100="","",INDEX(_xlfn.ANCHORARRAY('Short Circuit'!$BK$4),ROW()-5,3)),"")</f>
        <v/>
      </c>
      <c r="E100" s="362" t="str" cm="1">
        <f t="array" ref="E100">IFERROR(IF($A100="","",INDEX(_xlfn.ANCHORARRAY('Short Circuit'!$BK$4),ROW()-5,2)),"")</f>
        <v/>
      </c>
      <c r="F100" s="15" t="str">
        <f>IF($A100="","",IF($C100=0,"— utility service —",IFERROR(_xlfn.XLOOKUP("F-"&amp;$A100,'Short Circuit'!$A$6:$A$255,'Short Circuit'!$G$6:$G$255),IFERROR(_xlfn.XLOOKUP($A100,'Short Circuit'!$A$6:$A$255,'Short Circuit'!$G$6:$G$255),"⚠ no feeder data"))))</f>
        <v/>
      </c>
      <c r="G100" s="78" t="str">
        <f>IF($A100="","",IF($C100=0,0,IFERROR(_xlfn.XLOOKUP("F-"&amp;$A100,'Feeder Schedule'!$B$5:$B$254,'Feeder Schedule'!$U$5:$U$254),"")))</f>
        <v/>
      </c>
      <c r="H100" s="78" t="str">
        <f t="shared" si="6"/>
        <v/>
      </c>
      <c r="I100" s="78" t="str">
        <f t="shared" si="4"/>
        <v/>
      </c>
      <c r="J100" s="78" t="str">
        <f t="shared" si="5"/>
        <v/>
      </c>
      <c r="K100" s="15" t="str">
        <f t="shared" si="7"/>
        <v/>
      </c>
      <c r="L100" s="363"/>
    </row>
    <row r="101" spans="1:12" s="20" customFormat="1" ht="15" customHeight="1" x14ac:dyDescent="0.35">
      <c r="A101" s="15" t="str" cm="1">
        <f t="array" ref="A101">IFERROR(IF(INDEX(_xlfn.ANCHORARRAY('Short Circuit'!$BK$4),ROW()-5,1)="","",INDEX(_xlfn.ANCHORARRAY('Short Circuit'!$BK$4),ROW()-5,1)),"")</f>
        <v/>
      </c>
      <c r="B101" s="362" t="str" cm="1">
        <f t="array" ref="B101">IFERROR(IF($A101="","",INDEX(_xlfn.ANCHORARRAY('Short Circuit'!$BK$4),ROW()-5,5)),"")</f>
        <v/>
      </c>
      <c r="C101" s="181" t="str" cm="1">
        <f t="array" ref="C101">IFERROR(IF($A101="","",INDEX(_xlfn.ANCHORARRAY('Short Circuit'!$BK$4),ROW()-5,7)),"")</f>
        <v/>
      </c>
      <c r="D101" s="168" t="str" cm="1">
        <f t="array" ref="D101">IFERROR(IF($A101="","",INDEX(_xlfn.ANCHORARRAY('Short Circuit'!$BK$4),ROW()-5,3)),"")</f>
        <v/>
      </c>
      <c r="E101" s="362" t="str" cm="1">
        <f t="array" ref="E101">IFERROR(IF($A101="","",INDEX(_xlfn.ANCHORARRAY('Short Circuit'!$BK$4),ROW()-5,2)),"")</f>
        <v/>
      </c>
      <c r="F101" s="15" t="str">
        <f>IF($A101="","",IF($C101=0,"— utility service —",IFERROR(_xlfn.XLOOKUP("F-"&amp;$A101,'Short Circuit'!$A$6:$A$255,'Short Circuit'!$G$6:$G$255),IFERROR(_xlfn.XLOOKUP($A101,'Short Circuit'!$A$6:$A$255,'Short Circuit'!$G$6:$G$255),"⚠ no feeder data"))))</f>
        <v/>
      </c>
      <c r="G101" s="78" t="str">
        <f>IF($A101="","",IF($C101=0,0,IFERROR(_xlfn.XLOOKUP("F-"&amp;$A101,'Feeder Schedule'!$B$5:$B$254,'Feeder Schedule'!$U$5:$U$254),"")))</f>
        <v/>
      </c>
      <c r="H101" s="78" t="str">
        <f t="shared" si="6"/>
        <v/>
      </c>
      <c r="I101" s="78" t="str">
        <f t="shared" si="4"/>
        <v/>
      </c>
      <c r="J101" s="78" t="str">
        <f t="shared" si="5"/>
        <v/>
      </c>
      <c r="K101" s="15" t="str">
        <f t="shared" si="7"/>
        <v/>
      </c>
      <c r="L101" s="363"/>
    </row>
    <row r="102" spans="1:12" s="20" customFormat="1" ht="15" customHeight="1" x14ac:dyDescent="0.35">
      <c r="A102" s="15" t="str" cm="1">
        <f t="array" ref="A102">IFERROR(IF(INDEX(_xlfn.ANCHORARRAY('Short Circuit'!$BK$4),ROW()-5,1)="","",INDEX(_xlfn.ANCHORARRAY('Short Circuit'!$BK$4),ROW()-5,1)),"")</f>
        <v/>
      </c>
      <c r="B102" s="362" t="str" cm="1">
        <f t="array" ref="B102">IFERROR(IF($A102="","",INDEX(_xlfn.ANCHORARRAY('Short Circuit'!$BK$4),ROW()-5,5)),"")</f>
        <v/>
      </c>
      <c r="C102" s="181" t="str" cm="1">
        <f t="array" ref="C102">IFERROR(IF($A102="","",INDEX(_xlfn.ANCHORARRAY('Short Circuit'!$BK$4),ROW()-5,7)),"")</f>
        <v/>
      </c>
      <c r="D102" s="168" t="str" cm="1">
        <f t="array" ref="D102">IFERROR(IF($A102="","",INDEX(_xlfn.ANCHORARRAY('Short Circuit'!$BK$4),ROW()-5,3)),"")</f>
        <v/>
      </c>
      <c r="E102" s="362" t="str" cm="1">
        <f t="array" ref="E102">IFERROR(IF($A102="","",INDEX(_xlfn.ANCHORARRAY('Short Circuit'!$BK$4),ROW()-5,2)),"")</f>
        <v/>
      </c>
      <c r="F102" s="15" t="str">
        <f>IF($A102="","",IF($C102=0,"— utility service —",IFERROR(_xlfn.XLOOKUP("F-"&amp;$A102,'Short Circuit'!$A$6:$A$255,'Short Circuit'!$G$6:$G$255),IFERROR(_xlfn.XLOOKUP($A102,'Short Circuit'!$A$6:$A$255,'Short Circuit'!$G$6:$G$255),"⚠ no feeder data"))))</f>
        <v/>
      </c>
      <c r="G102" s="78" t="str">
        <f>IF($A102="","",IF($C102=0,0,IFERROR(_xlfn.XLOOKUP("F-"&amp;$A102,'Feeder Schedule'!$B$5:$B$254,'Feeder Schedule'!$U$5:$U$254),"")))</f>
        <v/>
      </c>
      <c r="H102" s="78" t="str">
        <f t="shared" si="6"/>
        <v/>
      </c>
      <c r="I102" s="78" t="str">
        <f t="shared" si="4"/>
        <v/>
      </c>
      <c r="J102" s="78" t="str">
        <f t="shared" si="5"/>
        <v/>
      </c>
      <c r="K102" s="15" t="str">
        <f t="shared" si="7"/>
        <v/>
      </c>
      <c r="L102" s="363"/>
    </row>
    <row r="103" spans="1:12" s="20" customFormat="1" ht="15" customHeight="1" x14ac:dyDescent="0.35">
      <c r="A103" s="15" t="str" cm="1">
        <f t="array" ref="A103">IFERROR(IF(INDEX(_xlfn.ANCHORARRAY('Short Circuit'!$BK$4),ROW()-5,1)="","",INDEX(_xlfn.ANCHORARRAY('Short Circuit'!$BK$4),ROW()-5,1)),"")</f>
        <v/>
      </c>
      <c r="B103" s="362" t="str" cm="1">
        <f t="array" ref="B103">IFERROR(IF($A103="","",INDEX(_xlfn.ANCHORARRAY('Short Circuit'!$BK$4),ROW()-5,5)),"")</f>
        <v/>
      </c>
      <c r="C103" s="181" t="str" cm="1">
        <f t="array" ref="C103">IFERROR(IF($A103="","",INDEX(_xlfn.ANCHORARRAY('Short Circuit'!$BK$4),ROW()-5,7)),"")</f>
        <v/>
      </c>
      <c r="D103" s="168" t="str" cm="1">
        <f t="array" ref="D103">IFERROR(IF($A103="","",INDEX(_xlfn.ANCHORARRAY('Short Circuit'!$BK$4),ROW()-5,3)),"")</f>
        <v/>
      </c>
      <c r="E103" s="362" t="str" cm="1">
        <f t="array" ref="E103">IFERROR(IF($A103="","",INDEX(_xlfn.ANCHORARRAY('Short Circuit'!$BK$4),ROW()-5,2)),"")</f>
        <v/>
      </c>
      <c r="F103" s="15" t="str">
        <f>IF($A103="","",IF($C103=0,"— utility service —",IFERROR(_xlfn.XLOOKUP("F-"&amp;$A103,'Short Circuit'!$A$6:$A$255,'Short Circuit'!$G$6:$G$255),IFERROR(_xlfn.XLOOKUP($A103,'Short Circuit'!$A$6:$A$255,'Short Circuit'!$G$6:$G$255),"⚠ no feeder data"))))</f>
        <v/>
      </c>
      <c r="G103" s="78" t="str">
        <f>IF($A103="","",IF($C103=0,0,IFERROR(_xlfn.XLOOKUP("F-"&amp;$A103,'Feeder Schedule'!$B$5:$B$254,'Feeder Schedule'!$U$5:$U$254),"")))</f>
        <v/>
      </c>
      <c r="H103" s="78" t="str">
        <f t="shared" si="6"/>
        <v/>
      </c>
      <c r="I103" s="78" t="str">
        <f t="shared" si="4"/>
        <v/>
      </c>
      <c r="J103" s="78" t="str">
        <f t="shared" si="5"/>
        <v/>
      </c>
      <c r="K103" s="15" t="str">
        <f t="shared" si="7"/>
        <v/>
      </c>
      <c r="L103" s="363"/>
    </row>
    <row r="104" spans="1:12" s="20" customFormat="1" ht="15" customHeight="1" x14ac:dyDescent="0.35">
      <c r="A104" s="15" t="str" cm="1">
        <f t="array" ref="A104">IFERROR(IF(INDEX(_xlfn.ANCHORARRAY('Short Circuit'!$BK$4),ROW()-5,1)="","",INDEX(_xlfn.ANCHORARRAY('Short Circuit'!$BK$4),ROW()-5,1)),"")</f>
        <v/>
      </c>
      <c r="B104" s="362" t="str" cm="1">
        <f t="array" ref="B104">IFERROR(IF($A104="","",INDEX(_xlfn.ANCHORARRAY('Short Circuit'!$BK$4),ROW()-5,5)),"")</f>
        <v/>
      </c>
      <c r="C104" s="181" t="str" cm="1">
        <f t="array" ref="C104">IFERROR(IF($A104="","",INDEX(_xlfn.ANCHORARRAY('Short Circuit'!$BK$4),ROW()-5,7)),"")</f>
        <v/>
      </c>
      <c r="D104" s="168" t="str" cm="1">
        <f t="array" ref="D104">IFERROR(IF($A104="","",INDEX(_xlfn.ANCHORARRAY('Short Circuit'!$BK$4),ROW()-5,3)),"")</f>
        <v/>
      </c>
      <c r="E104" s="362" t="str" cm="1">
        <f t="array" ref="E104">IFERROR(IF($A104="","",INDEX(_xlfn.ANCHORARRAY('Short Circuit'!$BK$4),ROW()-5,2)),"")</f>
        <v/>
      </c>
      <c r="F104" s="15" t="str">
        <f>IF($A104="","",IF($C104=0,"— utility service —",IFERROR(_xlfn.XLOOKUP("F-"&amp;$A104,'Short Circuit'!$A$6:$A$255,'Short Circuit'!$G$6:$G$255),IFERROR(_xlfn.XLOOKUP($A104,'Short Circuit'!$A$6:$A$255,'Short Circuit'!$G$6:$G$255),"⚠ no feeder data"))))</f>
        <v/>
      </c>
      <c r="G104" s="78" t="str">
        <f>IF($A104="","",IF($C104=0,0,IFERROR(_xlfn.XLOOKUP("F-"&amp;$A104,'Feeder Schedule'!$B$5:$B$254,'Feeder Schedule'!$U$5:$U$254),"")))</f>
        <v/>
      </c>
      <c r="H104" s="78" t="str">
        <f t="shared" si="6"/>
        <v/>
      </c>
      <c r="I104" s="78" t="str">
        <f t="shared" si="4"/>
        <v/>
      </c>
      <c r="J104" s="78" t="str">
        <f t="shared" si="5"/>
        <v/>
      </c>
      <c r="K104" s="15" t="str">
        <f t="shared" si="7"/>
        <v/>
      </c>
      <c r="L104" s="363"/>
    </row>
    <row r="105" spans="1:12" s="20" customFormat="1" ht="15" customHeight="1" x14ac:dyDescent="0.35">
      <c r="A105" s="15" t="str" cm="1">
        <f t="array" ref="A105">IFERROR(IF(INDEX(_xlfn.ANCHORARRAY('Short Circuit'!$BK$4),ROW()-5,1)="","",INDEX(_xlfn.ANCHORARRAY('Short Circuit'!$BK$4),ROW()-5,1)),"")</f>
        <v/>
      </c>
      <c r="B105" s="362" t="str" cm="1">
        <f t="array" ref="B105">IFERROR(IF($A105="","",INDEX(_xlfn.ANCHORARRAY('Short Circuit'!$BK$4),ROW()-5,5)),"")</f>
        <v/>
      </c>
      <c r="C105" s="181" t="str" cm="1">
        <f t="array" ref="C105">IFERROR(IF($A105="","",INDEX(_xlfn.ANCHORARRAY('Short Circuit'!$BK$4),ROW()-5,7)),"")</f>
        <v/>
      </c>
      <c r="D105" s="168" t="str" cm="1">
        <f t="array" ref="D105">IFERROR(IF($A105="","",INDEX(_xlfn.ANCHORARRAY('Short Circuit'!$BK$4),ROW()-5,3)),"")</f>
        <v/>
      </c>
      <c r="E105" s="362" t="str" cm="1">
        <f t="array" ref="E105">IFERROR(IF($A105="","",INDEX(_xlfn.ANCHORARRAY('Short Circuit'!$BK$4),ROW()-5,2)),"")</f>
        <v/>
      </c>
      <c r="F105" s="15" t="str">
        <f>IF($A105="","",IF($C105=0,"— utility service —",IFERROR(_xlfn.XLOOKUP("F-"&amp;$A105,'Short Circuit'!$A$6:$A$255,'Short Circuit'!$G$6:$G$255),IFERROR(_xlfn.XLOOKUP($A105,'Short Circuit'!$A$6:$A$255,'Short Circuit'!$G$6:$G$255),"⚠ no feeder data"))))</f>
        <v/>
      </c>
      <c r="G105" s="78" t="str">
        <f>IF($A105="","",IF($C105=0,0,IFERROR(_xlfn.XLOOKUP("F-"&amp;$A105,'Feeder Schedule'!$B$5:$B$254,'Feeder Schedule'!$U$5:$U$254),"")))</f>
        <v/>
      </c>
      <c r="H105" s="78" t="str">
        <f t="shared" si="6"/>
        <v/>
      </c>
      <c r="I105" s="78" t="str">
        <f t="shared" si="4"/>
        <v/>
      </c>
      <c r="J105" s="78" t="str">
        <f t="shared" si="5"/>
        <v/>
      </c>
      <c r="K105" s="15" t="str">
        <f t="shared" si="7"/>
        <v/>
      </c>
      <c r="L105" s="363"/>
    </row>
    <row r="106" spans="1:12" s="20" customFormat="1" ht="15" customHeight="1" x14ac:dyDescent="0.35">
      <c r="A106" s="15" t="str" cm="1">
        <f t="array" ref="A106">IFERROR(IF(INDEX(_xlfn.ANCHORARRAY('Short Circuit'!$BK$4),ROW()-5,1)="","",INDEX(_xlfn.ANCHORARRAY('Short Circuit'!$BK$4),ROW()-5,1)),"")</f>
        <v/>
      </c>
      <c r="B106" s="362" t="str" cm="1">
        <f t="array" ref="B106">IFERROR(IF($A106="","",INDEX(_xlfn.ANCHORARRAY('Short Circuit'!$BK$4),ROW()-5,5)),"")</f>
        <v/>
      </c>
      <c r="C106" s="181" t="str" cm="1">
        <f t="array" ref="C106">IFERROR(IF($A106="","",INDEX(_xlfn.ANCHORARRAY('Short Circuit'!$BK$4),ROW()-5,7)),"")</f>
        <v/>
      </c>
      <c r="D106" s="168" t="str" cm="1">
        <f t="array" ref="D106">IFERROR(IF($A106="","",INDEX(_xlfn.ANCHORARRAY('Short Circuit'!$BK$4),ROW()-5,3)),"")</f>
        <v/>
      </c>
      <c r="E106" s="362" t="str" cm="1">
        <f t="array" ref="E106">IFERROR(IF($A106="","",INDEX(_xlfn.ANCHORARRAY('Short Circuit'!$BK$4),ROW()-5,2)),"")</f>
        <v/>
      </c>
      <c r="F106" s="15" t="str">
        <f>IF($A106="","",IF($C106=0,"— utility service —",IFERROR(_xlfn.XLOOKUP("F-"&amp;$A106,'Short Circuit'!$A$6:$A$255,'Short Circuit'!$G$6:$G$255),IFERROR(_xlfn.XLOOKUP($A106,'Short Circuit'!$A$6:$A$255,'Short Circuit'!$G$6:$G$255),"⚠ no feeder data"))))</f>
        <v/>
      </c>
      <c r="G106" s="78" t="str">
        <f>IF($A106="","",IF($C106=0,0,IFERROR(_xlfn.XLOOKUP("F-"&amp;$A106,'Feeder Schedule'!$B$5:$B$254,'Feeder Schedule'!$U$5:$U$254),"")))</f>
        <v/>
      </c>
      <c r="H106" s="78" t="str">
        <f t="shared" si="6"/>
        <v/>
      </c>
      <c r="I106" s="78" t="str">
        <f t="shared" si="4"/>
        <v/>
      </c>
      <c r="J106" s="78" t="str">
        <f t="shared" si="5"/>
        <v/>
      </c>
      <c r="K106" s="15" t="str">
        <f t="shared" si="7"/>
        <v/>
      </c>
      <c r="L106" s="363"/>
    </row>
    <row r="107" spans="1:12" s="20" customFormat="1" ht="15" customHeight="1" x14ac:dyDescent="0.35">
      <c r="A107" s="15" t="str" cm="1">
        <f t="array" ref="A107">IFERROR(IF(INDEX(_xlfn.ANCHORARRAY('Short Circuit'!$BK$4),ROW()-5,1)="","",INDEX(_xlfn.ANCHORARRAY('Short Circuit'!$BK$4),ROW()-5,1)),"")</f>
        <v/>
      </c>
      <c r="B107" s="362" t="str" cm="1">
        <f t="array" ref="B107">IFERROR(IF($A107="","",INDEX(_xlfn.ANCHORARRAY('Short Circuit'!$BK$4),ROW()-5,5)),"")</f>
        <v/>
      </c>
      <c r="C107" s="181" t="str" cm="1">
        <f t="array" ref="C107">IFERROR(IF($A107="","",INDEX(_xlfn.ANCHORARRAY('Short Circuit'!$BK$4),ROW()-5,7)),"")</f>
        <v/>
      </c>
      <c r="D107" s="168" t="str" cm="1">
        <f t="array" ref="D107">IFERROR(IF($A107="","",INDEX(_xlfn.ANCHORARRAY('Short Circuit'!$BK$4),ROW()-5,3)),"")</f>
        <v/>
      </c>
      <c r="E107" s="362" t="str" cm="1">
        <f t="array" ref="E107">IFERROR(IF($A107="","",INDEX(_xlfn.ANCHORARRAY('Short Circuit'!$BK$4),ROW()-5,2)),"")</f>
        <v/>
      </c>
      <c r="F107" s="15" t="str">
        <f>IF($A107="","",IF($C107=0,"— utility service —",IFERROR(_xlfn.XLOOKUP("F-"&amp;$A107,'Short Circuit'!$A$6:$A$255,'Short Circuit'!$G$6:$G$255),IFERROR(_xlfn.XLOOKUP($A107,'Short Circuit'!$A$6:$A$255,'Short Circuit'!$G$6:$G$255),"⚠ no feeder data"))))</f>
        <v/>
      </c>
      <c r="G107" s="78" t="str">
        <f>IF($A107="","",IF($C107=0,0,IFERROR(_xlfn.XLOOKUP("F-"&amp;$A107,'Feeder Schedule'!$B$5:$B$254,'Feeder Schedule'!$U$5:$U$254),"")))</f>
        <v/>
      </c>
      <c r="H107" s="78" t="str">
        <f t="shared" si="6"/>
        <v/>
      </c>
      <c r="I107" s="78" t="str">
        <f t="shared" si="4"/>
        <v/>
      </c>
      <c r="J107" s="78" t="str">
        <f t="shared" si="5"/>
        <v/>
      </c>
      <c r="K107" s="15" t="str">
        <f t="shared" si="7"/>
        <v/>
      </c>
      <c r="L107" s="363"/>
    </row>
    <row r="108" spans="1:12" s="20" customFormat="1" ht="15" customHeight="1" x14ac:dyDescent="0.35">
      <c r="A108" s="15" t="str" cm="1">
        <f t="array" ref="A108">IFERROR(IF(INDEX(_xlfn.ANCHORARRAY('Short Circuit'!$BK$4),ROW()-5,1)="","",INDEX(_xlfn.ANCHORARRAY('Short Circuit'!$BK$4),ROW()-5,1)),"")</f>
        <v/>
      </c>
      <c r="B108" s="362" t="str" cm="1">
        <f t="array" ref="B108">IFERROR(IF($A108="","",INDEX(_xlfn.ANCHORARRAY('Short Circuit'!$BK$4),ROW()-5,5)),"")</f>
        <v/>
      </c>
      <c r="C108" s="181" t="str" cm="1">
        <f t="array" ref="C108">IFERROR(IF($A108="","",INDEX(_xlfn.ANCHORARRAY('Short Circuit'!$BK$4),ROW()-5,7)),"")</f>
        <v/>
      </c>
      <c r="D108" s="168" t="str" cm="1">
        <f t="array" ref="D108">IFERROR(IF($A108="","",INDEX(_xlfn.ANCHORARRAY('Short Circuit'!$BK$4),ROW()-5,3)),"")</f>
        <v/>
      </c>
      <c r="E108" s="362" t="str" cm="1">
        <f t="array" ref="E108">IFERROR(IF($A108="","",INDEX(_xlfn.ANCHORARRAY('Short Circuit'!$BK$4),ROW()-5,2)),"")</f>
        <v/>
      </c>
      <c r="F108" s="15" t="str">
        <f>IF($A108="","",IF($C108=0,"— utility service —",IFERROR(_xlfn.XLOOKUP("F-"&amp;$A108,'Short Circuit'!$A$6:$A$255,'Short Circuit'!$G$6:$G$255),IFERROR(_xlfn.XLOOKUP($A108,'Short Circuit'!$A$6:$A$255,'Short Circuit'!$G$6:$G$255),"⚠ no feeder data"))))</f>
        <v/>
      </c>
      <c r="G108" s="78" t="str">
        <f>IF($A108="","",IF($C108=0,0,IFERROR(_xlfn.XLOOKUP("F-"&amp;$A108,'Feeder Schedule'!$B$5:$B$254,'Feeder Schedule'!$U$5:$U$254),"")))</f>
        <v/>
      </c>
      <c r="H108" s="78" t="str">
        <f t="shared" si="6"/>
        <v/>
      </c>
      <c r="I108" s="78" t="str">
        <f t="shared" si="4"/>
        <v/>
      </c>
      <c r="J108" s="78" t="str">
        <f t="shared" si="5"/>
        <v/>
      </c>
      <c r="K108" s="15" t="str">
        <f t="shared" si="7"/>
        <v/>
      </c>
      <c r="L108" s="363"/>
    </row>
    <row r="109" spans="1:12" s="20" customFormat="1" ht="15" customHeight="1" x14ac:dyDescent="0.35">
      <c r="A109" s="15" t="str" cm="1">
        <f t="array" ref="A109">IFERROR(IF(INDEX(_xlfn.ANCHORARRAY('Short Circuit'!$BK$4),ROW()-5,1)="","",INDEX(_xlfn.ANCHORARRAY('Short Circuit'!$BK$4),ROW()-5,1)),"")</f>
        <v/>
      </c>
      <c r="B109" s="362" t="str" cm="1">
        <f t="array" ref="B109">IFERROR(IF($A109="","",INDEX(_xlfn.ANCHORARRAY('Short Circuit'!$BK$4),ROW()-5,5)),"")</f>
        <v/>
      </c>
      <c r="C109" s="181" t="str" cm="1">
        <f t="array" ref="C109">IFERROR(IF($A109="","",INDEX(_xlfn.ANCHORARRAY('Short Circuit'!$BK$4),ROW()-5,7)),"")</f>
        <v/>
      </c>
      <c r="D109" s="168" t="str" cm="1">
        <f t="array" ref="D109">IFERROR(IF($A109="","",INDEX(_xlfn.ANCHORARRAY('Short Circuit'!$BK$4),ROW()-5,3)),"")</f>
        <v/>
      </c>
      <c r="E109" s="362" t="str" cm="1">
        <f t="array" ref="E109">IFERROR(IF($A109="","",INDEX(_xlfn.ANCHORARRAY('Short Circuit'!$BK$4),ROW()-5,2)),"")</f>
        <v/>
      </c>
      <c r="F109" s="15" t="str">
        <f>IF($A109="","",IF($C109=0,"— utility service —",IFERROR(_xlfn.XLOOKUP("F-"&amp;$A109,'Short Circuit'!$A$6:$A$255,'Short Circuit'!$G$6:$G$255),IFERROR(_xlfn.XLOOKUP($A109,'Short Circuit'!$A$6:$A$255,'Short Circuit'!$G$6:$G$255),"⚠ no feeder data"))))</f>
        <v/>
      </c>
      <c r="G109" s="78" t="str">
        <f>IF($A109="","",IF($C109=0,0,IFERROR(_xlfn.XLOOKUP("F-"&amp;$A109,'Feeder Schedule'!$B$5:$B$254,'Feeder Schedule'!$U$5:$U$254),"")))</f>
        <v/>
      </c>
      <c r="H109" s="78" t="str">
        <f t="shared" si="6"/>
        <v/>
      </c>
      <c r="I109" s="78" t="str">
        <f t="shared" si="4"/>
        <v/>
      </c>
      <c r="J109" s="78" t="str">
        <f t="shared" si="5"/>
        <v/>
      </c>
      <c r="K109" s="15" t="str">
        <f t="shared" si="7"/>
        <v/>
      </c>
      <c r="L109" s="363"/>
    </row>
    <row r="110" spans="1:12" s="20" customFormat="1" ht="15" customHeight="1" x14ac:dyDescent="0.35">
      <c r="A110" s="15" t="str" cm="1">
        <f t="array" ref="A110">IFERROR(IF(INDEX(_xlfn.ANCHORARRAY('Short Circuit'!$BK$4),ROW()-5,1)="","",INDEX(_xlfn.ANCHORARRAY('Short Circuit'!$BK$4),ROW()-5,1)),"")</f>
        <v/>
      </c>
      <c r="B110" s="362" t="str" cm="1">
        <f t="array" ref="B110">IFERROR(IF($A110="","",INDEX(_xlfn.ANCHORARRAY('Short Circuit'!$BK$4),ROW()-5,5)),"")</f>
        <v/>
      </c>
      <c r="C110" s="181" t="str" cm="1">
        <f t="array" ref="C110">IFERROR(IF($A110="","",INDEX(_xlfn.ANCHORARRAY('Short Circuit'!$BK$4),ROW()-5,7)),"")</f>
        <v/>
      </c>
      <c r="D110" s="168" t="str" cm="1">
        <f t="array" ref="D110">IFERROR(IF($A110="","",INDEX(_xlfn.ANCHORARRAY('Short Circuit'!$BK$4),ROW()-5,3)),"")</f>
        <v/>
      </c>
      <c r="E110" s="362" t="str" cm="1">
        <f t="array" ref="E110">IFERROR(IF($A110="","",INDEX(_xlfn.ANCHORARRAY('Short Circuit'!$BK$4),ROW()-5,2)),"")</f>
        <v/>
      </c>
      <c r="F110" s="15" t="str">
        <f>IF($A110="","",IF($C110=0,"— utility service —",IFERROR(_xlfn.XLOOKUP("F-"&amp;$A110,'Short Circuit'!$A$6:$A$255,'Short Circuit'!$G$6:$G$255),IFERROR(_xlfn.XLOOKUP($A110,'Short Circuit'!$A$6:$A$255,'Short Circuit'!$G$6:$G$255),"⚠ no feeder data"))))</f>
        <v/>
      </c>
      <c r="G110" s="78" t="str">
        <f>IF($A110="","",IF($C110=0,0,IFERROR(_xlfn.XLOOKUP("F-"&amp;$A110,'Feeder Schedule'!$B$5:$B$254,'Feeder Schedule'!$U$5:$U$254),"")))</f>
        <v/>
      </c>
      <c r="H110" s="78" t="str">
        <f t="shared" si="6"/>
        <v/>
      </c>
      <c r="I110" s="78" t="str">
        <f t="shared" si="4"/>
        <v/>
      </c>
      <c r="J110" s="78" t="str">
        <f t="shared" si="5"/>
        <v/>
      </c>
      <c r="K110" s="15" t="str">
        <f t="shared" si="7"/>
        <v/>
      </c>
      <c r="L110" s="363"/>
    </row>
    <row r="111" spans="1:12" s="20" customFormat="1" ht="15" customHeight="1" x14ac:dyDescent="0.35">
      <c r="A111" s="15" t="str" cm="1">
        <f t="array" ref="A111">IFERROR(IF(INDEX(_xlfn.ANCHORARRAY('Short Circuit'!$BK$4),ROW()-5,1)="","",INDEX(_xlfn.ANCHORARRAY('Short Circuit'!$BK$4),ROW()-5,1)),"")</f>
        <v/>
      </c>
      <c r="B111" s="362" t="str" cm="1">
        <f t="array" ref="B111">IFERROR(IF($A111="","",INDEX(_xlfn.ANCHORARRAY('Short Circuit'!$BK$4),ROW()-5,5)),"")</f>
        <v/>
      </c>
      <c r="C111" s="181" t="str" cm="1">
        <f t="array" ref="C111">IFERROR(IF($A111="","",INDEX(_xlfn.ANCHORARRAY('Short Circuit'!$BK$4),ROW()-5,7)),"")</f>
        <v/>
      </c>
      <c r="D111" s="168" t="str" cm="1">
        <f t="array" ref="D111">IFERROR(IF($A111="","",INDEX(_xlfn.ANCHORARRAY('Short Circuit'!$BK$4),ROW()-5,3)),"")</f>
        <v/>
      </c>
      <c r="E111" s="362" t="str" cm="1">
        <f t="array" ref="E111">IFERROR(IF($A111="","",INDEX(_xlfn.ANCHORARRAY('Short Circuit'!$BK$4),ROW()-5,2)),"")</f>
        <v/>
      </c>
      <c r="F111" s="15" t="str">
        <f>IF($A111="","",IF($C111=0,"— utility service —",IFERROR(_xlfn.XLOOKUP("F-"&amp;$A111,'Short Circuit'!$A$6:$A$255,'Short Circuit'!$G$6:$G$255),IFERROR(_xlfn.XLOOKUP($A111,'Short Circuit'!$A$6:$A$255,'Short Circuit'!$G$6:$G$255),"⚠ no feeder data"))))</f>
        <v/>
      </c>
      <c r="G111" s="78" t="str">
        <f>IF($A111="","",IF($C111=0,0,IFERROR(_xlfn.XLOOKUP("F-"&amp;$A111,'Feeder Schedule'!$B$5:$B$254,'Feeder Schedule'!$U$5:$U$254),"")))</f>
        <v/>
      </c>
      <c r="H111" s="78" t="str">
        <f t="shared" si="6"/>
        <v/>
      </c>
      <c r="I111" s="78" t="str">
        <f t="shared" si="4"/>
        <v/>
      </c>
      <c r="J111" s="78" t="str">
        <f t="shared" si="5"/>
        <v/>
      </c>
      <c r="K111" s="15" t="str">
        <f t="shared" si="7"/>
        <v/>
      </c>
      <c r="L111" s="363"/>
    </row>
    <row r="112" spans="1:12" s="20" customFormat="1" ht="15" customHeight="1" x14ac:dyDescent="0.35">
      <c r="A112" s="15" t="str" cm="1">
        <f t="array" ref="A112">IFERROR(IF(INDEX(_xlfn.ANCHORARRAY('Short Circuit'!$BK$4),ROW()-5,1)="","",INDEX(_xlfn.ANCHORARRAY('Short Circuit'!$BK$4),ROW()-5,1)),"")</f>
        <v/>
      </c>
      <c r="B112" s="362" t="str" cm="1">
        <f t="array" ref="B112">IFERROR(IF($A112="","",INDEX(_xlfn.ANCHORARRAY('Short Circuit'!$BK$4),ROW()-5,5)),"")</f>
        <v/>
      </c>
      <c r="C112" s="181" t="str" cm="1">
        <f t="array" ref="C112">IFERROR(IF($A112="","",INDEX(_xlfn.ANCHORARRAY('Short Circuit'!$BK$4),ROW()-5,7)),"")</f>
        <v/>
      </c>
      <c r="D112" s="168" t="str" cm="1">
        <f t="array" ref="D112">IFERROR(IF($A112="","",INDEX(_xlfn.ANCHORARRAY('Short Circuit'!$BK$4),ROW()-5,3)),"")</f>
        <v/>
      </c>
      <c r="E112" s="362" t="str" cm="1">
        <f t="array" ref="E112">IFERROR(IF($A112="","",INDEX(_xlfn.ANCHORARRAY('Short Circuit'!$BK$4),ROW()-5,2)),"")</f>
        <v/>
      </c>
      <c r="F112" s="15" t="str">
        <f>IF($A112="","",IF($C112=0,"— utility service —",IFERROR(_xlfn.XLOOKUP("F-"&amp;$A112,'Short Circuit'!$A$6:$A$255,'Short Circuit'!$G$6:$G$255),IFERROR(_xlfn.XLOOKUP($A112,'Short Circuit'!$A$6:$A$255,'Short Circuit'!$G$6:$G$255),"⚠ no feeder data"))))</f>
        <v/>
      </c>
      <c r="G112" s="78" t="str">
        <f>IF($A112="","",IF($C112=0,0,IFERROR(_xlfn.XLOOKUP("F-"&amp;$A112,'Feeder Schedule'!$B$5:$B$254,'Feeder Schedule'!$U$5:$U$254),"")))</f>
        <v/>
      </c>
      <c r="H112" s="78" t="str">
        <f t="shared" si="6"/>
        <v/>
      </c>
      <c r="I112" s="78" t="str">
        <f t="shared" si="4"/>
        <v/>
      </c>
      <c r="J112" s="78" t="str">
        <f t="shared" si="5"/>
        <v/>
      </c>
      <c r="K112" s="15" t="str">
        <f t="shared" si="7"/>
        <v/>
      </c>
      <c r="L112" s="363"/>
    </row>
    <row r="113" spans="1:12" s="20" customFormat="1" ht="15" customHeight="1" x14ac:dyDescent="0.35">
      <c r="A113" s="15" t="str" cm="1">
        <f t="array" ref="A113">IFERROR(IF(INDEX(_xlfn.ANCHORARRAY('Short Circuit'!$BK$4),ROW()-5,1)="","",INDEX(_xlfn.ANCHORARRAY('Short Circuit'!$BK$4),ROW()-5,1)),"")</f>
        <v/>
      </c>
      <c r="B113" s="362" t="str" cm="1">
        <f t="array" ref="B113">IFERROR(IF($A113="","",INDEX(_xlfn.ANCHORARRAY('Short Circuit'!$BK$4),ROW()-5,5)),"")</f>
        <v/>
      </c>
      <c r="C113" s="181" t="str" cm="1">
        <f t="array" ref="C113">IFERROR(IF($A113="","",INDEX(_xlfn.ANCHORARRAY('Short Circuit'!$BK$4),ROW()-5,7)),"")</f>
        <v/>
      </c>
      <c r="D113" s="168" t="str" cm="1">
        <f t="array" ref="D113">IFERROR(IF($A113="","",INDEX(_xlfn.ANCHORARRAY('Short Circuit'!$BK$4),ROW()-5,3)),"")</f>
        <v/>
      </c>
      <c r="E113" s="362" t="str" cm="1">
        <f t="array" ref="E113">IFERROR(IF($A113="","",INDEX(_xlfn.ANCHORARRAY('Short Circuit'!$BK$4),ROW()-5,2)),"")</f>
        <v/>
      </c>
      <c r="F113" s="15" t="str">
        <f>IF($A113="","",IF($C113=0,"— utility service —",IFERROR(_xlfn.XLOOKUP("F-"&amp;$A113,'Short Circuit'!$A$6:$A$255,'Short Circuit'!$G$6:$G$255),IFERROR(_xlfn.XLOOKUP($A113,'Short Circuit'!$A$6:$A$255,'Short Circuit'!$G$6:$G$255),"⚠ no feeder data"))))</f>
        <v/>
      </c>
      <c r="G113" s="78" t="str">
        <f>IF($A113="","",IF($C113=0,0,IFERROR(_xlfn.XLOOKUP("F-"&amp;$A113,'Feeder Schedule'!$B$5:$B$254,'Feeder Schedule'!$U$5:$U$254),"")))</f>
        <v/>
      </c>
      <c r="H113" s="78" t="str">
        <f t="shared" si="6"/>
        <v/>
      </c>
      <c r="I113" s="78" t="str">
        <f t="shared" si="4"/>
        <v/>
      </c>
      <c r="J113" s="78" t="str">
        <f t="shared" si="5"/>
        <v/>
      </c>
      <c r="K113" s="15" t="str">
        <f t="shared" si="7"/>
        <v/>
      </c>
      <c r="L113" s="363"/>
    </row>
    <row r="114" spans="1:12" s="20" customFormat="1" ht="15" customHeight="1" x14ac:dyDescent="0.35">
      <c r="A114" s="15" t="str" cm="1">
        <f t="array" ref="A114">IFERROR(IF(INDEX(_xlfn.ANCHORARRAY('Short Circuit'!$BK$4),ROW()-5,1)="","",INDEX(_xlfn.ANCHORARRAY('Short Circuit'!$BK$4),ROW()-5,1)),"")</f>
        <v/>
      </c>
      <c r="B114" s="362" t="str" cm="1">
        <f t="array" ref="B114">IFERROR(IF($A114="","",INDEX(_xlfn.ANCHORARRAY('Short Circuit'!$BK$4),ROW()-5,5)),"")</f>
        <v/>
      </c>
      <c r="C114" s="181" t="str" cm="1">
        <f t="array" ref="C114">IFERROR(IF($A114="","",INDEX(_xlfn.ANCHORARRAY('Short Circuit'!$BK$4),ROW()-5,7)),"")</f>
        <v/>
      </c>
      <c r="D114" s="168" t="str" cm="1">
        <f t="array" ref="D114">IFERROR(IF($A114="","",INDEX(_xlfn.ANCHORARRAY('Short Circuit'!$BK$4),ROW()-5,3)),"")</f>
        <v/>
      </c>
      <c r="E114" s="362" t="str" cm="1">
        <f t="array" ref="E114">IFERROR(IF($A114="","",INDEX(_xlfn.ANCHORARRAY('Short Circuit'!$BK$4),ROW()-5,2)),"")</f>
        <v/>
      </c>
      <c r="F114" s="15" t="str">
        <f>IF($A114="","",IF($C114=0,"— utility service —",IFERROR(_xlfn.XLOOKUP("F-"&amp;$A114,'Short Circuit'!$A$6:$A$255,'Short Circuit'!$G$6:$G$255),IFERROR(_xlfn.XLOOKUP($A114,'Short Circuit'!$A$6:$A$255,'Short Circuit'!$G$6:$G$255),"⚠ no feeder data"))))</f>
        <v/>
      </c>
      <c r="G114" s="78" t="str">
        <f>IF($A114="","",IF($C114=0,0,IFERROR(_xlfn.XLOOKUP("F-"&amp;$A114,'Feeder Schedule'!$B$5:$B$254,'Feeder Schedule'!$U$5:$U$254),"")))</f>
        <v/>
      </c>
      <c r="H114" s="78" t="str">
        <f t="shared" si="6"/>
        <v/>
      </c>
      <c r="I114" s="78" t="str">
        <f t="shared" si="4"/>
        <v/>
      </c>
      <c r="J114" s="78" t="str">
        <f t="shared" si="5"/>
        <v/>
      </c>
      <c r="K114" s="15" t="str">
        <f t="shared" si="7"/>
        <v/>
      </c>
      <c r="L114" s="363"/>
    </row>
    <row r="115" spans="1:12" s="20" customFormat="1" ht="15" customHeight="1" x14ac:dyDescent="0.35">
      <c r="A115" s="15" t="str" cm="1">
        <f t="array" ref="A115">IFERROR(IF(INDEX(_xlfn.ANCHORARRAY('Short Circuit'!$BK$4),ROW()-5,1)="","",INDEX(_xlfn.ANCHORARRAY('Short Circuit'!$BK$4),ROW()-5,1)),"")</f>
        <v/>
      </c>
      <c r="B115" s="362" t="str" cm="1">
        <f t="array" ref="B115">IFERROR(IF($A115="","",INDEX(_xlfn.ANCHORARRAY('Short Circuit'!$BK$4),ROW()-5,5)),"")</f>
        <v/>
      </c>
      <c r="C115" s="181" t="str" cm="1">
        <f t="array" ref="C115">IFERROR(IF($A115="","",INDEX(_xlfn.ANCHORARRAY('Short Circuit'!$BK$4),ROW()-5,7)),"")</f>
        <v/>
      </c>
      <c r="D115" s="168" t="str" cm="1">
        <f t="array" ref="D115">IFERROR(IF($A115="","",INDEX(_xlfn.ANCHORARRAY('Short Circuit'!$BK$4),ROW()-5,3)),"")</f>
        <v/>
      </c>
      <c r="E115" s="362" t="str" cm="1">
        <f t="array" ref="E115">IFERROR(IF($A115="","",INDEX(_xlfn.ANCHORARRAY('Short Circuit'!$BK$4),ROW()-5,2)),"")</f>
        <v/>
      </c>
      <c r="F115" s="15" t="str">
        <f>IF($A115="","",IF($C115=0,"— utility service —",IFERROR(_xlfn.XLOOKUP("F-"&amp;$A115,'Short Circuit'!$A$6:$A$255,'Short Circuit'!$G$6:$G$255),IFERROR(_xlfn.XLOOKUP($A115,'Short Circuit'!$A$6:$A$255,'Short Circuit'!$G$6:$G$255),"⚠ no feeder data"))))</f>
        <v/>
      </c>
      <c r="G115" s="78" t="str">
        <f>IF($A115="","",IF($C115=0,0,IFERROR(_xlfn.XLOOKUP("F-"&amp;$A115,'Feeder Schedule'!$B$5:$B$254,'Feeder Schedule'!$U$5:$U$254),"")))</f>
        <v/>
      </c>
      <c r="H115" s="78" t="str">
        <f t="shared" si="6"/>
        <v/>
      </c>
      <c r="I115" s="78" t="str">
        <f t="shared" si="4"/>
        <v/>
      </c>
      <c r="J115" s="78" t="str">
        <f t="shared" si="5"/>
        <v/>
      </c>
      <c r="K115" s="15" t="str">
        <f t="shared" si="7"/>
        <v/>
      </c>
      <c r="L115" s="363"/>
    </row>
    <row r="116" spans="1:12" s="20" customFormat="1" ht="15" customHeight="1" x14ac:dyDescent="0.35">
      <c r="A116" s="15" t="str" cm="1">
        <f t="array" ref="A116">IFERROR(IF(INDEX(_xlfn.ANCHORARRAY('Short Circuit'!$BK$4),ROW()-5,1)="","",INDEX(_xlfn.ANCHORARRAY('Short Circuit'!$BK$4),ROW()-5,1)),"")</f>
        <v/>
      </c>
      <c r="B116" s="362" t="str" cm="1">
        <f t="array" ref="B116">IFERROR(IF($A116="","",INDEX(_xlfn.ANCHORARRAY('Short Circuit'!$BK$4),ROW()-5,5)),"")</f>
        <v/>
      </c>
      <c r="C116" s="181" t="str" cm="1">
        <f t="array" ref="C116">IFERROR(IF($A116="","",INDEX(_xlfn.ANCHORARRAY('Short Circuit'!$BK$4),ROW()-5,7)),"")</f>
        <v/>
      </c>
      <c r="D116" s="168" t="str" cm="1">
        <f t="array" ref="D116">IFERROR(IF($A116="","",INDEX(_xlfn.ANCHORARRAY('Short Circuit'!$BK$4),ROW()-5,3)),"")</f>
        <v/>
      </c>
      <c r="E116" s="362" t="str" cm="1">
        <f t="array" ref="E116">IFERROR(IF($A116="","",INDEX(_xlfn.ANCHORARRAY('Short Circuit'!$BK$4),ROW()-5,2)),"")</f>
        <v/>
      </c>
      <c r="F116" s="15" t="str">
        <f>IF($A116="","",IF($C116=0,"— utility service —",IFERROR(_xlfn.XLOOKUP("F-"&amp;$A116,'Short Circuit'!$A$6:$A$255,'Short Circuit'!$G$6:$G$255),IFERROR(_xlfn.XLOOKUP($A116,'Short Circuit'!$A$6:$A$255,'Short Circuit'!$G$6:$G$255),"⚠ no feeder data"))))</f>
        <v/>
      </c>
      <c r="G116" s="78" t="str">
        <f>IF($A116="","",IF($C116=0,0,IFERROR(_xlfn.XLOOKUP("F-"&amp;$A116,'Feeder Schedule'!$B$5:$B$254,'Feeder Schedule'!$U$5:$U$254),"")))</f>
        <v/>
      </c>
      <c r="H116" s="78" t="str">
        <f t="shared" si="6"/>
        <v/>
      </c>
      <c r="I116" s="78" t="str">
        <f t="shared" si="4"/>
        <v/>
      </c>
      <c r="J116" s="78" t="str">
        <f t="shared" si="5"/>
        <v/>
      </c>
      <c r="K116" s="15" t="str">
        <f t="shared" si="7"/>
        <v/>
      </c>
      <c r="L116" s="363"/>
    </row>
    <row r="117" spans="1:12" s="20" customFormat="1" ht="15" customHeight="1" x14ac:dyDescent="0.35">
      <c r="A117" s="15" t="str" cm="1">
        <f t="array" ref="A117">IFERROR(IF(INDEX(_xlfn.ANCHORARRAY('Short Circuit'!$BK$4),ROW()-5,1)="","",INDEX(_xlfn.ANCHORARRAY('Short Circuit'!$BK$4),ROW()-5,1)),"")</f>
        <v/>
      </c>
      <c r="B117" s="362" t="str" cm="1">
        <f t="array" ref="B117">IFERROR(IF($A117="","",INDEX(_xlfn.ANCHORARRAY('Short Circuit'!$BK$4),ROW()-5,5)),"")</f>
        <v/>
      </c>
      <c r="C117" s="181" t="str" cm="1">
        <f t="array" ref="C117">IFERROR(IF($A117="","",INDEX(_xlfn.ANCHORARRAY('Short Circuit'!$BK$4),ROW()-5,7)),"")</f>
        <v/>
      </c>
      <c r="D117" s="168" t="str" cm="1">
        <f t="array" ref="D117">IFERROR(IF($A117="","",INDEX(_xlfn.ANCHORARRAY('Short Circuit'!$BK$4),ROW()-5,3)),"")</f>
        <v/>
      </c>
      <c r="E117" s="362" t="str" cm="1">
        <f t="array" ref="E117">IFERROR(IF($A117="","",INDEX(_xlfn.ANCHORARRAY('Short Circuit'!$BK$4),ROW()-5,2)),"")</f>
        <v/>
      </c>
      <c r="F117" s="15" t="str">
        <f>IF($A117="","",IF($C117=0,"— utility service —",IFERROR(_xlfn.XLOOKUP("F-"&amp;$A117,'Short Circuit'!$A$6:$A$255,'Short Circuit'!$G$6:$G$255),IFERROR(_xlfn.XLOOKUP($A117,'Short Circuit'!$A$6:$A$255,'Short Circuit'!$G$6:$G$255),"⚠ no feeder data"))))</f>
        <v/>
      </c>
      <c r="G117" s="78" t="str">
        <f>IF($A117="","",IF($C117=0,0,IFERROR(_xlfn.XLOOKUP("F-"&amp;$A117,'Feeder Schedule'!$B$5:$B$254,'Feeder Schedule'!$U$5:$U$254),"")))</f>
        <v/>
      </c>
      <c r="H117" s="78" t="str">
        <f t="shared" si="6"/>
        <v/>
      </c>
      <c r="I117" s="78" t="str">
        <f t="shared" si="4"/>
        <v/>
      </c>
      <c r="J117" s="78" t="str">
        <f t="shared" si="5"/>
        <v/>
      </c>
      <c r="K117" s="15" t="str">
        <f t="shared" si="7"/>
        <v/>
      </c>
      <c r="L117" s="363"/>
    </row>
    <row r="118" spans="1:12" s="20" customFormat="1" ht="15" customHeight="1" x14ac:dyDescent="0.35">
      <c r="A118" s="15" t="str" cm="1">
        <f t="array" ref="A118">IFERROR(IF(INDEX(_xlfn.ANCHORARRAY('Short Circuit'!$BK$4),ROW()-5,1)="","",INDEX(_xlfn.ANCHORARRAY('Short Circuit'!$BK$4),ROW()-5,1)),"")</f>
        <v/>
      </c>
      <c r="B118" s="362" t="str" cm="1">
        <f t="array" ref="B118">IFERROR(IF($A118="","",INDEX(_xlfn.ANCHORARRAY('Short Circuit'!$BK$4),ROW()-5,5)),"")</f>
        <v/>
      </c>
      <c r="C118" s="181" t="str" cm="1">
        <f t="array" ref="C118">IFERROR(IF($A118="","",INDEX(_xlfn.ANCHORARRAY('Short Circuit'!$BK$4),ROW()-5,7)),"")</f>
        <v/>
      </c>
      <c r="D118" s="168" t="str" cm="1">
        <f t="array" ref="D118">IFERROR(IF($A118="","",INDEX(_xlfn.ANCHORARRAY('Short Circuit'!$BK$4),ROW()-5,3)),"")</f>
        <v/>
      </c>
      <c r="E118" s="362" t="str" cm="1">
        <f t="array" ref="E118">IFERROR(IF($A118="","",INDEX(_xlfn.ANCHORARRAY('Short Circuit'!$BK$4),ROW()-5,2)),"")</f>
        <v/>
      </c>
      <c r="F118" s="15" t="str">
        <f>IF($A118="","",IF($C118=0,"— utility service —",IFERROR(_xlfn.XLOOKUP("F-"&amp;$A118,'Short Circuit'!$A$6:$A$255,'Short Circuit'!$G$6:$G$255),IFERROR(_xlfn.XLOOKUP($A118,'Short Circuit'!$A$6:$A$255,'Short Circuit'!$G$6:$G$255),"⚠ no feeder data"))))</f>
        <v/>
      </c>
      <c r="G118" s="78" t="str">
        <f>IF($A118="","",IF($C118=0,0,IFERROR(_xlfn.XLOOKUP("F-"&amp;$A118,'Feeder Schedule'!$B$5:$B$254,'Feeder Schedule'!$U$5:$U$254),"")))</f>
        <v/>
      </c>
      <c r="H118" s="78" t="str">
        <f t="shared" si="6"/>
        <v/>
      </c>
      <c r="I118" s="78" t="str">
        <f t="shared" si="4"/>
        <v/>
      </c>
      <c r="J118" s="78" t="str">
        <f t="shared" si="5"/>
        <v/>
      </c>
      <c r="K118" s="15" t="str">
        <f t="shared" si="7"/>
        <v/>
      </c>
      <c r="L118" s="363"/>
    </row>
    <row r="119" spans="1:12" s="20" customFormat="1" ht="15" customHeight="1" x14ac:dyDescent="0.35">
      <c r="A119" s="15" t="str" cm="1">
        <f t="array" ref="A119">IFERROR(IF(INDEX(_xlfn.ANCHORARRAY('Short Circuit'!$BK$4),ROW()-5,1)="","",INDEX(_xlfn.ANCHORARRAY('Short Circuit'!$BK$4),ROW()-5,1)),"")</f>
        <v/>
      </c>
      <c r="B119" s="362" t="str" cm="1">
        <f t="array" ref="B119">IFERROR(IF($A119="","",INDEX(_xlfn.ANCHORARRAY('Short Circuit'!$BK$4),ROW()-5,5)),"")</f>
        <v/>
      </c>
      <c r="C119" s="181" t="str" cm="1">
        <f t="array" ref="C119">IFERROR(IF($A119="","",INDEX(_xlfn.ANCHORARRAY('Short Circuit'!$BK$4),ROW()-5,7)),"")</f>
        <v/>
      </c>
      <c r="D119" s="168" t="str" cm="1">
        <f t="array" ref="D119">IFERROR(IF($A119="","",INDEX(_xlfn.ANCHORARRAY('Short Circuit'!$BK$4),ROW()-5,3)),"")</f>
        <v/>
      </c>
      <c r="E119" s="362" t="str" cm="1">
        <f t="array" ref="E119">IFERROR(IF($A119="","",INDEX(_xlfn.ANCHORARRAY('Short Circuit'!$BK$4),ROW()-5,2)),"")</f>
        <v/>
      </c>
      <c r="F119" s="15" t="str">
        <f>IF($A119="","",IF($C119=0,"— utility service —",IFERROR(_xlfn.XLOOKUP("F-"&amp;$A119,'Short Circuit'!$A$6:$A$255,'Short Circuit'!$G$6:$G$255),IFERROR(_xlfn.XLOOKUP($A119,'Short Circuit'!$A$6:$A$255,'Short Circuit'!$G$6:$G$255),"⚠ no feeder data"))))</f>
        <v/>
      </c>
      <c r="G119" s="78" t="str">
        <f>IF($A119="","",IF($C119=0,0,IFERROR(_xlfn.XLOOKUP("F-"&amp;$A119,'Feeder Schedule'!$B$5:$B$254,'Feeder Schedule'!$U$5:$U$254),"")))</f>
        <v/>
      </c>
      <c r="H119" s="78" t="str">
        <f t="shared" si="6"/>
        <v/>
      </c>
      <c r="I119" s="78" t="str">
        <f t="shared" si="4"/>
        <v/>
      </c>
      <c r="J119" s="78" t="str">
        <f t="shared" si="5"/>
        <v/>
      </c>
      <c r="K119" s="15" t="str">
        <f t="shared" si="7"/>
        <v/>
      </c>
      <c r="L119" s="363"/>
    </row>
    <row r="120" spans="1:12" s="20" customFormat="1" ht="15" customHeight="1" x14ac:dyDescent="0.35">
      <c r="A120" s="15" t="str" cm="1">
        <f t="array" ref="A120">IFERROR(IF(INDEX(_xlfn.ANCHORARRAY('Short Circuit'!$BK$4),ROW()-5,1)="","",INDEX(_xlfn.ANCHORARRAY('Short Circuit'!$BK$4),ROW()-5,1)),"")</f>
        <v/>
      </c>
      <c r="B120" s="362" t="str" cm="1">
        <f t="array" ref="B120">IFERROR(IF($A120="","",INDEX(_xlfn.ANCHORARRAY('Short Circuit'!$BK$4),ROW()-5,5)),"")</f>
        <v/>
      </c>
      <c r="C120" s="181" t="str" cm="1">
        <f t="array" ref="C120">IFERROR(IF($A120="","",INDEX(_xlfn.ANCHORARRAY('Short Circuit'!$BK$4),ROW()-5,7)),"")</f>
        <v/>
      </c>
      <c r="D120" s="168" t="str" cm="1">
        <f t="array" ref="D120">IFERROR(IF($A120="","",INDEX(_xlfn.ANCHORARRAY('Short Circuit'!$BK$4),ROW()-5,3)),"")</f>
        <v/>
      </c>
      <c r="E120" s="362" t="str" cm="1">
        <f t="array" ref="E120">IFERROR(IF($A120="","",INDEX(_xlfn.ANCHORARRAY('Short Circuit'!$BK$4),ROW()-5,2)),"")</f>
        <v/>
      </c>
      <c r="F120" s="15" t="str">
        <f>IF($A120="","",IF($C120=0,"— utility service —",IFERROR(_xlfn.XLOOKUP("F-"&amp;$A120,'Short Circuit'!$A$6:$A$255,'Short Circuit'!$G$6:$G$255),IFERROR(_xlfn.XLOOKUP($A120,'Short Circuit'!$A$6:$A$255,'Short Circuit'!$G$6:$G$255),"⚠ no feeder data"))))</f>
        <v/>
      </c>
      <c r="G120" s="78" t="str">
        <f>IF($A120="","",IF($C120=0,0,IFERROR(_xlfn.XLOOKUP("F-"&amp;$A120,'Feeder Schedule'!$B$5:$B$254,'Feeder Schedule'!$U$5:$U$254),"")))</f>
        <v/>
      </c>
      <c r="H120" s="78" t="str">
        <f t="shared" si="6"/>
        <v/>
      </c>
      <c r="I120" s="78" t="str">
        <f t="shared" si="4"/>
        <v/>
      </c>
      <c r="J120" s="78" t="str">
        <f t="shared" si="5"/>
        <v/>
      </c>
      <c r="K120" s="15" t="str">
        <f t="shared" si="7"/>
        <v/>
      </c>
      <c r="L120" s="363"/>
    </row>
    <row r="121" spans="1:12" s="20" customFormat="1" ht="15" customHeight="1" x14ac:dyDescent="0.35">
      <c r="A121" s="15" t="str" cm="1">
        <f t="array" ref="A121">IFERROR(IF(INDEX(_xlfn.ANCHORARRAY('Short Circuit'!$BK$4),ROW()-5,1)="","",INDEX(_xlfn.ANCHORARRAY('Short Circuit'!$BK$4),ROW()-5,1)),"")</f>
        <v/>
      </c>
      <c r="B121" s="362" t="str" cm="1">
        <f t="array" ref="B121">IFERROR(IF($A121="","",INDEX(_xlfn.ANCHORARRAY('Short Circuit'!$BK$4),ROW()-5,5)),"")</f>
        <v/>
      </c>
      <c r="C121" s="181" t="str" cm="1">
        <f t="array" ref="C121">IFERROR(IF($A121="","",INDEX(_xlfn.ANCHORARRAY('Short Circuit'!$BK$4),ROW()-5,7)),"")</f>
        <v/>
      </c>
      <c r="D121" s="168" t="str" cm="1">
        <f t="array" ref="D121">IFERROR(IF($A121="","",INDEX(_xlfn.ANCHORARRAY('Short Circuit'!$BK$4),ROW()-5,3)),"")</f>
        <v/>
      </c>
      <c r="E121" s="362" t="str" cm="1">
        <f t="array" ref="E121">IFERROR(IF($A121="","",INDEX(_xlfn.ANCHORARRAY('Short Circuit'!$BK$4),ROW()-5,2)),"")</f>
        <v/>
      </c>
      <c r="F121" s="15" t="str">
        <f>IF($A121="","",IF($C121=0,"— utility service —",IFERROR(_xlfn.XLOOKUP("F-"&amp;$A121,'Short Circuit'!$A$6:$A$255,'Short Circuit'!$G$6:$G$255),IFERROR(_xlfn.XLOOKUP($A121,'Short Circuit'!$A$6:$A$255,'Short Circuit'!$G$6:$G$255),"⚠ no feeder data"))))</f>
        <v/>
      </c>
      <c r="G121" s="78" t="str">
        <f>IF($A121="","",IF($C121=0,0,IFERROR(_xlfn.XLOOKUP("F-"&amp;$A121,'Feeder Schedule'!$B$5:$B$254,'Feeder Schedule'!$U$5:$U$254),"")))</f>
        <v/>
      </c>
      <c r="H121" s="78" t="str">
        <f t="shared" si="6"/>
        <v/>
      </c>
      <c r="I121" s="78" t="str">
        <f t="shared" si="4"/>
        <v/>
      </c>
      <c r="J121" s="78" t="str">
        <f t="shared" si="5"/>
        <v/>
      </c>
      <c r="K121" s="15" t="str">
        <f t="shared" si="7"/>
        <v/>
      </c>
      <c r="L121" s="363"/>
    </row>
    <row r="122" spans="1:12" s="20" customFormat="1" ht="15" customHeight="1" x14ac:dyDescent="0.35">
      <c r="A122" s="15" t="str" cm="1">
        <f t="array" ref="A122">IFERROR(IF(INDEX(_xlfn.ANCHORARRAY('Short Circuit'!$BK$4),ROW()-5,1)="","",INDEX(_xlfn.ANCHORARRAY('Short Circuit'!$BK$4),ROW()-5,1)),"")</f>
        <v/>
      </c>
      <c r="B122" s="362" t="str" cm="1">
        <f t="array" ref="B122">IFERROR(IF($A122="","",INDEX(_xlfn.ANCHORARRAY('Short Circuit'!$BK$4),ROW()-5,5)),"")</f>
        <v/>
      </c>
      <c r="C122" s="181" t="str" cm="1">
        <f t="array" ref="C122">IFERROR(IF($A122="","",INDEX(_xlfn.ANCHORARRAY('Short Circuit'!$BK$4),ROW()-5,7)),"")</f>
        <v/>
      </c>
      <c r="D122" s="168" t="str" cm="1">
        <f t="array" ref="D122">IFERROR(IF($A122="","",INDEX(_xlfn.ANCHORARRAY('Short Circuit'!$BK$4),ROW()-5,3)),"")</f>
        <v/>
      </c>
      <c r="E122" s="362" t="str" cm="1">
        <f t="array" ref="E122">IFERROR(IF($A122="","",INDEX(_xlfn.ANCHORARRAY('Short Circuit'!$BK$4),ROW()-5,2)),"")</f>
        <v/>
      </c>
      <c r="F122" s="15" t="str">
        <f>IF($A122="","",IF($C122=0,"— utility service —",IFERROR(_xlfn.XLOOKUP("F-"&amp;$A122,'Short Circuit'!$A$6:$A$255,'Short Circuit'!$G$6:$G$255),IFERROR(_xlfn.XLOOKUP($A122,'Short Circuit'!$A$6:$A$255,'Short Circuit'!$G$6:$G$255),"⚠ no feeder data"))))</f>
        <v/>
      </c>
      <c r="G122" s="78" t="str">
        <f>IF($A122="","",IF($C122=0,0,IFERROR(_xlfn.XLOOKUP("F-"&amp;$A122,'Feeder Schedule'!$B$5:$B$254,'Feeder Schedule'!$U$5:$U$254),"")))</f>
        <v/>
      </c>
      <c r="H122" s="78" t="str">
        <f t="shared" si="6"/>
        <v/>
      </c>
      <c r="I122" s="78" t="str">
        <f t="shared" si="4"/>
        <v/>
      </c>
      <c r="J122" s="78" t="str">
        <f t="shared" si="5"/>
        <v/>
      </c>
      <c r="K122" s="15" t="str">
        <f t="shared" si="7"/>
        <v/>
      </c>
      <c r="L122" s="363"/>
    </row>
    <row r="123" spans="1:12" s="20" customFormat="1" ht="15" customHeight="1" x14ac:dyDescent="0.35">
      <c r="A123" s="15" t="str" cm="1">
        <f t="array" ref="A123">IFERROR(IF(INDEX(_xlfn.ANCHORARRAY('Short Circuit'!$BK$4),ROW()-5,1)="","",INDEX(_xlfn.ANCHORARRAY('Short Circuit'!$BK$4),ROW()-5,1)),"")</f>
        <v/>
      </c>
      <c r="B123" s="362" t="str" cm="1">
        <f t="array" ref="B123">IFERROR(IF($A123="","",INDEX(_xlfn.ANCHORARRAY('Short Circuit'!$BK$4),ROW()-5,5)),"")</f>
        <v/>
      </c>
      <c r="C123" s="181" t="str" cm="1">
        <f t="array" ref="C123">IFERROR(IF($A123="","",INDEX(_xlfn.ANCHORARRAY('Short Circuit'!$BK$4),ROW()-5,7)),"")</f>
        <v/>
      </c>
      <c r="D123" s="168" t="str" cm="1">
        <f t="array" ref="D123">IFERROR(IF($A123="","",INDEX(_xlfn.ANCHORARRAY('Short Circuit'!$BK$4),ROW()-5,3)),"")</f>
        <v/>
      </c>
      <c r="E123" s="362" t="str" cm="1">
        <f t="array" ref="E123">IFERROR(IF($A123="","",INDEX(_xlfn.ANCHORARRAY('Short Circuit'!$BK$4),ROW()-5,2)),"")</f>
        <v/>
      </c>
      <c r="F123" s="15" t="str">
        <f>IF($A123="","",IF($C123=0,"— utility service —",IFERROR(_xlfn.XLOOKUP("F-"&amp;$A123,'Short Circuit'!$A$6:$A$255,'Short Circuit'!$G$6:$G$255),IFERROR(_xlfn.XLOOKUP($A123,'Short Circuit'!$A$6:$A$255,'Short Circuit'!$G$6:$G$255),"⚠ no feeder data"))))</f>
        <v/>
      </c>
      <c r="G123" s="78" t="str">
        <f>IF($A123="","",IF($C123=0,0,IFERROR(_xlfn.XLOOKUP("F-"&amp;$A123,'Feeder Schedule'!$B$5:$B$254,'Feeder Schedule'!$U$5:$U$254),"")))</f>
        <v/>
      </c>
      <c r="H123" s="78" t="str">
        <f t="shared" si="6"/>
        <v/>
      </c>
      <c r="I123" s="78" t="str">
        <f t="shared" si="4"/>
        <v/>
      </c>
      <c r="J123" s="78" t="str">
        <f t="shared" si="5"/>
        <v/>
      </c>
      <c r="K123" s="15" t="str">
        <f t="shared" si="7"/>
        <v/>
      </c>
      <c r="L123" s="363"/>
    </row>
    <row r="124" spans="1:12" s="20" customFormat="1" ht="15" customHeight="1" x14ac:dyDescent="0.35">
      <c r="A124" s="15" t="str" cm="1">
        <f t="array" ref="A124">IFERROR(IF(INDEX(_xlfn.ANCHORARRAY('Short Circuit'!$BK$4),ROW()-5,1)="","",INDEX(_xlfn.ANCHORARRAY('Short Circuit'!$BK$4),ROW()-5,1)),"")</f>
        <v/>
      </c>
      <c r="B124" s="362" t="str" cm="1">
        <f t="array" ref="B124">IFERROR(IF($A124="","",INDEX(_xlfn.ANCHORARRAY('Short Circuit'!$BK$4),ROW()-5,5)),"")</f>
        <v/>
      </c>
      <c r="C124" s="181" t="str" cm="1">
        <f t="array" ref="C124">IFERROR(IF($A124="","",INDEX(_xlfn.ANCHORARRAY('Short Circuit'!$BK$4),ROW()-5,7)),"")</f>
        <v/>
      </c>
      <c r="D124" s="168" t="str" cm="1">
        <f t="array" ref="D124">IFERROR(IF($A124="","",INDEX(_xlfn.ANCHORARRAY('Short Circuit'!$BK$4),ROW()-5,3)),"")</f>
        <v/>
      </c>
      <c r="E124" s="362" t="str" cm="1">
        <f t="array" ref="E124">IFERROR(IF($A124="","",INDEX(_xlfn.ANCHORARRAY('Short Circuit'!$BK$4),ROW()-5,2)),"")</f>
        <v/>
      </c>
      <c r="F124" s="15" t="str">
        <f>IF($A124="","",IF($C124=0,"— utility service —",IFERROR(_xlfn.XLOOKUP("F-"&amp;$A124,'Short Circuit'!$A$6:$A$255,'Short Circuit'!$G$6:$G$255),IFERROR(_xlfn.XLOOKUP($A124,'Short Circuit'!$A$6:$A$255,'Short Circuit'!$G$6:$G$255),"⚠ no feeder data"))))</f>
        <v/>
      </c>
      <c r="G124" s="78" t="str">
        <f>IF($A124="","",IF($C124=0,0,IFERROR(_xlfn.XLOOKUP("F-"&amp;$A124,'Feeder Schedule'!$B$5:$B$254,'Feeder Schedule'!$U$5:$U$254),"")))</f>
        <v/>
      </c>
      <c r="H124" s="78" t="str">
        <f t="shared" si="6"/>
        <v/>
      </c>
      <c r="I124" s="78" t="str">
        <f t="shared" si="4"/>
        <v/>
      </c>
      <c r="J124" s="78" t="str">
        <f t="shared" si="5"/>
        <v/>
      </c>
      <c r="K124" s="15" t="str">
        <f t="shared" si="7"/>
        <v/>
      </c>
      <c r="L124" s="363"/>
    </row>
    <row r="125" spans="1:12" s="20" customFormat="1" ht="15" customHeight="1" x14ac:dyDescent="0.35">
      <c r="A125" s="15" t="str" cm="1">
        <f t="array" ref="A125">IFERROR(IF(INDEX(_xlfn.ANCHORARRAY('Short Circuit'!$BK$4),ROW()-5,1)="","",INDEX(_xlfn.ANCHORARRAY('Short Circuit'!$BK$4),ROW()-5,1)),"")</f>
        <v/>
      </c>
      <c r="B125" s="362" t="str" cm="1">
        <f t="array" ref="B125">IFERROR(IF($A125="","",INDEX(_xlfn.ANCHORARRAY('Short Circuit'!$BK$4),ROW()-5,5)),"")</f>
        <v/>
      </c>
      <c r="C125" s="181" t="str" cm="1">
        <f t="array" ref="C125">IFERROR(IF($A125="","",INDEX(_xlfn.ANCHORARRAY('Short Circuit'!$BK$4),ROW()-5,7)),"")</f>
        <v/>
      </c>
      <c r="D125" s="168" t="str" cm="1">
        <f t="array" ref="D125">IFERROR(IF($A125="","",INDEX(_xlfn.ANCHORARRAY('Short Circuit'!$BK$4),ROW()-5,3)),"")</f>
        <v/>
      </c>
      <c r="E125" s="362" t="str" cm="1">
        <f t="array" ref="E125">IFERROR(IF($A125="","",INDEX(_xlfn.ANCHORARRAY('Short Circuit'!$BK$4),ROW()-5,2)),"")</f>
        <v/>
      </c>
      <c r="F125" s="15" t="str">
        <f>IF($A125="","",IF($C125=0,"— utility service —",IFERROR(_xlfn.XLOOKUP("F-"&amp;$A125,'Short Circuit'!$A$6:$A$255,'Short Circuit'!$G$6:$G$255),IFERROR(_xlfn.XLOOKUP($A125,'Short Circuit'!$A$6:$A$255,'Short Circuit'!$G$6:$G$255),"⚠ no feeder data"))))</f>
        <v/>
      </c>
      <c r="G125" s="78" t="str">
        <f>IF($A125="","",IF($C125=0,0,IFERROR(_xlfn.XLOOKUP("F-"&amp;$A125,'Feeder Schedule'!$B$5:$B$254,'Feeder Schedule'!$U$5:$U$254),"")))</f>
        <v/>
      </c>
      <c r="H125" s="78" t="str">
        <f t="shared" si="6"/>
        <v/>
      </c>
      <c r="I125" s="78" t="str">
        <f t="shared" si="4"/>
        <v/>
      </c>
      <c r="J125" s="78" t="str">
        <f t="shared" si="5"/>
        <v/>
      </c>
      <c r="K125" s="15" t="str">
        <f t="shared" si="7"/>
        <v/>
      </c>
      <c r="L125" s="363"/>
    </row>
    <row r="126" spans="1:12" s="20" customFormat="1" ht="15" customHeight="1" x14ac:dyDescent="0.35">
      <c r="A126" s="15" t="str" cm="1">
        <f t="array" ref="A126">IFERROR(IF(INDEX(_xlfn.ANCHORARRAY('Short Circuit'!$BK$4),ROW()-5,1)="","",INDEX(_xlfn.ANCHORARRAY('Short Circuit'!$BK$4),ROW()-5,1)),"")</f>
        <v/>
      </c>
      <c r="B126" s="362" t="str" cm="1">
        <f t="array" ref="B126">IFERROR(IF($A126="","",INDEX(_xlfn.ANCHORARRAY('Short Circuit'!$BK$4),ROW()-5,5)),"")</f>
        <v/>
      </c>
      <c r="C126" s="181" t="str" cm="1">
        <f t="array" ref="C126">IFERROR(IF($A126="","",INDEX(_xlfn.ANCHORARRAY('Short Circuit'!$BK$4),ROW()-5,7)),"")</f>
        <v/>
      </c>
      <c r="D126" s="168" t="str" cm="1">
        <f t="array" ref="D126">IFERROR(IF($A126="","",INDEX(_xlfn.ANCHORARRAY('Short Circuit'!$BK$4),ROW()-5,3)),"")</f>
        <v/>
      </c>
      <c r="E126" s="362" t="str" cm="1">
        <f t="array" ref="E126">IFERROR(IF($A126="","",INDEX(_xlfn.ANCHORARRAY('Short Circuit'!$BK$4),ROW()-5,2)),"")</f>
        <v/>
      </c>
      <c r="F126" s="15" t="str">
        <f>IF($A126="","",IF($C126=0,"— utility service —",IFERROR(_xlfn.XLOOKUP("F-"&amp;$A126,'Short Circuit'!$A$6:$A$255,'Short Circuit'!$G$6:$G$255),IFERROR(_xlfn.XLOOKUP($A126,'Short Circuit'!$A$6:$A$255,'Short Circuit'!$G$6:$G$255),"⚠ no feeder data"))))</f>
        <v/>
      </c>
      <c r="G126" s="78" t="str">
        <f>IF($A126="","",IF($C126=0,0,IFERROR(_xlfn.XLOOKUP("F-"&amp;$A126,'Feeder Schedule'!$B$5:$B$254,'Feeder Schedule'!$U$5:$U$254),"")))</f>
        <v/>
      </c>
      <c r="H126" s="78" t="str">
        <f t="shared" si="6"/>
        <v/>
      </c>
      <c r="I126" s="78" t="str">
        <f t="shared" si="4"/>
        <v/>
      </c>
      <c r="J126" s="78" t="str">
        <f t="shared" si="5"/>
        <v/>
      </c>
      <c r="K126" s="15" t="str">
        <f t="shared" si="7"/>
        <v/>
      </c>
      <c r="L126" s="363"/>
    </row>
    <row r="127" spans="1:12" s="20" customFormat="1" ht="15" customHeight="1" x14ac:dyDescent="0.35">
      <c r="A127" s="15" t="str" cm="1">
        <f t="array" ref="A127">IFERROR(IF(INDEX(_xlfn.ANCHORARRAY('Short Circuit'!$BK$4),ROW()-5,1)="","",INDEX(_xlfn.ANCHORARRAY('Short Circuit'!$BK$4),ROW()-5,1)),"")</f>
        <v/>
      </c>
      <c r="B127" s="362" t="str" cm="1">
        <f t="array" ref="B127">IFERROR(IF($A127="","",INDEX(_xlfn.ANCHORARRAY('Short Circuit'!$BK$4),ROW()-5,5)),"")</f>
        <v/>
      </c>
      <c r="C127" s="181" t="str" cm="1">
        <f t="array" ref="C127">IFERROR(IF($A127="","",INDEX(_xlfn.ANCHORARRAY('Short Circuit'!$BK$4),ROW()-5,7)),"")</f>
        <v/>
      </c>
      <c r="D127" s="168" t="str" cm="1">
        <f t="array" ref="D127">IFERROR(IF($A127="","",INDEX(_xlfn.ANCHORARRAY('Short Circuit'!$BK$4),ROW()-5,3)),"")</f>
        <v/>
      </c>
      <c r="E127" s="362" t="str" cm="1">
        <f t="array" ref="E127">IFERROR(IF($A127="","",INDEX(_xlfn.ANCHORARRAY('Short Circuit'!$BK$4),ROW()-5,2)),"")</f>
        <v/>
      </c>
      <c r="F127" s="15" t="str">
        <f>IF($A127="","",IF($C127=0,"— utility service —",IFERROR(_xlfn.XLOOKUP("F-"&amp;$A127,'Short Circuit'!$A$6:$A$255,'Short Circuit'!$G$6:$G$255),IFERROR(_xlfn.XLOOKUP($A127,'Short Circuit'!$A$6:$A$255,'Short Circuit'!$G$6:$G$255),"⚠ no feeder data"))))</f>
        <v/>
      </c>
      <c r="G127" s="78" t="str">
        <f>IF($A127="","",IF($C127=0,0,IFERROR(_xlfn.XLOOKUP("F-"&amp;$A127,'Feeder Schedule'!$B$5:$B$254,'Feeder Schedule'!$U$5:$U$254),"")))</f>
        <v/>
      </c>
      <c r="H127" s="78" t="str">
        <f t="shared" si="6"/>
        <v/>
      </c>
      <c r="I127" s="78" t="str">
        <f t="shared" si="4"/>
        <v/>
      </c>
      <c r="J127" s="78" t="str">
        <f t="shared" si="5"/>
        <v/>
      </c>
      <c r="K127" s="15" t="str">
        <f t="shared" si="7"/>
        <v/>
      </c>
      <c r="L127" s="363"/>
    </row>
    <row r="128" spans="1:12" s="20" customFormat="1" ht="15" customHeight="1" x14ac:dyDescent="0.35">
      <c r="A128" s="15" t="str" cm="1">
        <f t="array" ref="A128">IFERROR(IF(INDEX(_xlfn.ANCHORARRAY('Short Circuit'!$BK$4),ROW()-5,1)="","",INDEX(_xlfn.ANCHORARRAY('Short Circuit'!$BK$4),ROW()-5,1)),"")</f>
        <v/>
      </c>
      <c r="B128" s="362" t="str" cm="1">
        <f t="array" ref="B128">IFERROR(IF($A128="","",INDEX(_xlfn.ANCHORARRAY('Short Circuit'!$BK$4),ROW()-5,5)),"")</f>
        <v/>
      </c>
      <c r="C128" s="181" t="str" cm="1">
        <f t="array" ref="C128">IFERROR(IF($A128="","",INDEX(_xlfn.ANCHORARRAY('Short Circuit'!$BK$4),ROW()-5,7)),"")</f>
        <v/>
      </c>
      <c r="D128" s="168" t="str" cm="1">
        <f t="array" ref="D128">IFERROR(IF($A128="","",INDEX(_xlfn.ANCHORARRAY('Short Circuit'!$BK$4),ROW()-5,3)),"")</f>
        <v/>
      </c>
      <c r="E128" s="362" t="str" cm="1">
        <f t="array" ref="E128">IFERROR(IF($A128="","",INDEX(_xlfn.ANCHORARRAY('Short Circuit'!$BK$4),ROW()-5,2)),"")</f>
        <v/>
      </c>
      <c r="F128" s="15" t="str">
        <f>IF($A128="","",IF($C128=0,"— utility service —",IFERROR(_xlfn.XLOOKUP("F-"&amp;$A128,'Short Circuit'!$A$6:$A$255,'Short Circuit'!$G$6:$G$255),IFERROR(_xlfn.XLOOKUP($A128,'Short Circuit'!$A$6:$A$255,'Short Circuit'!$G$6:$G$255),"⚠ no feeder data"))))</f>
        <v/>
      </c>
      <c r="G128" s="78" t="str">
        <f>IF($A128="","",IF($C128=0,0,IFERROR(_xlfn.XLOOKUP("F-"&amp;$A128,'Feeder Schedule'!$B$5:$B$254,'Feeder Schedule'!$U$5:$U$254),"")))</f>
        <v/>
      </c>
      <c r="H128" s="78" t="str">
        <f t="shared" si="6"/>
        <v/>
      </c>
      <c r="I128" s="78" t="str">
        <f t="shared" si="4"/>
        <v/>
      </c>
      <c r="J128" s="78" t="str">
        <f t="shared" si="5"/>
        <v/>
      </c>
      <c r="K128" s="15" t="str">
        <f t="shared" si="7"/>
        <v/>
      </c>
      <c r="L128" s="363"/>
    </row>
    <row r="129" spans="1:12" s="20" customFormat="1" ht="15" customHeight="1" x14ac:dyDescent="0.35">
      <c r="A129" s="15" t="str" cm="1">
        <f t="array" ref="A129">IFERROR(IF(INDEX(_xlfn.ANCHORARRAY('Short Circuit'!$BK$4),ROW()-5,1)="","",INDEX(_xlfn.ANCHORARRAY('Short Circuit'!$BK$4),ROW()-5,1)),"")</f>
        <v/>
      </c>
      <c r="B129" s="362" t="str" cm="1">
        <f t="array" ref="B129">IFERROR(IF($A129="","",INDEX(_xlfn.ANCHORARRAY('Short Circuit'!$BK$4),ROW()-5,5)),"")</f>
        <v/>
      </c>
      <c r="C129" s="181" t="str" cm="1">
        <f t="array" ref="C129">IFERROR(IF($A129="","",INDEX(_xlfn.ANCHORARRAY('Short Circuit'!$BK$4),ROW()-5,7)),"")</f>
        <v/>
      </c>
      <c r="D129" s="168" t="str" cm="1">
        <f t="array" ref="D129">IFERROR(IF($A129="","",INDEX(_xlfn.ANCHORARRAY('Short Circuit'!$BK$4),ROW()-5,3)),"")</f>
        <v/>
      </c>
      <c r="E129" s="362" t="str" cm="1">
        <f t="array" ref="E129">IFERROR(IF($A129="","",INDEX(_xlfn.ANCHORARRAY('Short Circuit'!$BK$4),ROW()-5,2)),"")</f>
        <v/>
      </c>
      <c r="F129" s="15" t="str">
        <f>IF($A129="","",IF($C129=0,"— utility service —",IFERROR(_xlfn.XLOOKUP("F-"&amp;$A129,'Short Circuit'!$A$6:$A$255,'Short Circuit'!$G$6:$G$255),IFERROR(_xlfn.XLOOKUP($A129,'Short Circuit'!$A$6:$A$255,'Short Circuit'!$G$6:$G$255),"⚠ no feeder data"))))</f>
        <v/>
      </c>
      <c r="G129" s="78" t="str">
        <f>IF($A129="","",IF($C129=0,0,IFERROR(_xlfn.XLOOKUP("F-"&amp;$A129,'Feeder Schedule'!$B$5:$B$254,'Feeder Schedule'!$U$5:$U$254),"")))</f>
        <v/>
      </c>
      <c r="H129" s="78" t="str">
        <f t="shared" si="6"/>
        <v/>
      </c>
      <c r="I129" s="78" t="str">
        <f t="shared" si="4"/>
        <v/>
      </c>
      <c r="J129" s="78" t="str">
        <f t="shared" si="5"/>
        <v/>
      </c>
      <c r="K129" s="15" t="str">
        <f t="shared" si="7"/>
        <v/>
      </c>
      <c r="L129" s="363"/>
    </row>
    <row r="130" spans="1:12" s="20" customFormat="1" ht="15" customHeight="1" x14ac:dyDescent="0.35">
      <c r="A130" s="15" t="str" cm="1">
        <f t="array" ref="A130">IFERROR(IF(INDEX(_xlfn.ANCHORARRAY('Short Circuit'!$BK$4),ROW()-5,1)="","",INDEX(_xlfn.ANCHORARRAY('Short Circuit'!$BK$4),ROW()-5,1)),"")</f>
        <v/>
      </c>
      <c r="B130" s="362" t="str" cm="1">
        <f t="array" ref="B130">IFERROR(IF($A130="","",INDEX(_xlfn.ANCHORARRAY('Short Circuit'!$BK$4),ROW()-5,5)),"")</f>
        <v/>
      </c>
      <c r="C130" s="181" t="str" cm="1">
        <f t="array" ref="C130">IFERROR(IF($A130="","",INDEX(_xlfn.ANCHORARRAY('Short Circuit'!$BK$4),ROW()-5,7)),"")</f>
        <v/>
      </c>
      <c r="D130" s="168" t="str" cm="1">
        <f t="array" ref="D130">IFERROR(IF($A130="","",INDEX(_xlfn.ANCHORARRAY('Short Circuit'!$BK$4),ROW()-5,3)),"")</f>
        <v/>
      </c>
      <c r="E130" s="362" t="str" cm="1">
        <f t="array" ref="E130">IFERROR(IF($A130="","",INDEX(_xlfn.ANCHORARRAY('Short Circuit'!$BK$4),ROW()-5,2)),"")</f>
        <v/>
      </c>
      <c r="F130" s="15" t="str">
        <f>IF($A130="","",IF($C130=0,"— utility service —",IFERROR(_xlfn.XLOOKUP("F-"&amp;$A130,'Short Circuit'!$A$6:$A$255,'Short Circuit'!$G$6:$G$255),IFERROR(_xlfn.XLOOKUP($A130,'Short Circuit'!$A$6:$A$255,'Short Circuit'!$G$6:$G$255),"⚠ no feeder data"))))</f>
        <v/>
      </c>
      <c r="G130" s="78" t="str">
        <f>IF($A130="","",IF($C130=0,0,IFERROR(_xlfn.XLOOKUP("F-"&amp;$A130,'Feeder Schedule'!$B$5:$B$254,'Feeder Schedule'!$U$5:$U$254),"")))</f>
        <v/>
      </c>
      <c r="H130" s="78" t="str">
        <f t="shared" si="6"/>
        <v/>
      </c>
      <c r="I130" s="78" t="str">
        <f t="shared" si="4"/>
        <v/>
      </c>
      <c r="J130" s="78" t="str">
        <f t="shared" si="5"/>
        <v/>
      </c>
      <c r="K130" s="15" t="str">
        <f t="shared" si="7"/>
        <v/>
      </c>
      <c r="L130" s="363"/>
    </row>
    <row r="131" spans="1:12" s="20" customFormat="1" ht="15" customHeight="1" x14ac:dyDescent="0.35">
      <c r="A131" s="15" t="str" cm="1">
        <f t="array" ref="A131">IFERROR(IF(INDEX(_xlfn.ANCHORARRAY('Short Circuit'!$BK$4),ROW()-5,1)="","",INDEX(_xlfn.ANCHORARRAY('Short Circuit'!$BK$4),ROW()-5,1)),"")</f>
        <v/>
      </c>
      <c r="B131" s="362" t="str" cm="1">
        <f t="array" ref="B131">IFERROR(IF($A131="","",INDEX(_xlfn.ANCHORARRAY('Short Circuit'!$BK$4),ROW()-5,5)),"")</f>
        <v/>
      </c>
      <c r="C131" s="181" t="str" cm="1">
        <f t="array" ref="C131">IFERROR(IF($A131="","",INDEX(_xlfn.ANCHORARRAY('Short Circuit'!$BK$4),ROW()-5,7)),"")</f>
        <v/>
      </c>
      <c r="D131" s="168" t="str" cm="1">
        <f t="array" ref="D131">IFERROR(IF($A131="","",INDEX(_xlfn.ANCHORARRAY('Short Circuit'!$BK$4),ROW()-5,3)),"")</f>
        <v/>
      </c>
      <c r="E131" s="362" t="str" cm="1">
        <f t="array" ref="E131">IFERROR(IF($A131="","",INDEX(_xlfn.ANCHORARRAY('Short Circuit'!$BK$4),ROW()-5,2)),"")</f>
        <v/>
      </c>
      <c r="F131" s="15" t="str">
        <f>IF($A131="","",IF($C131=0,"— utility service —",IFERROR(_xlfn.XLOOKUP("F-"&amp;$A131,'Short Circuit'!$A$6:$A$255,'Short Circuit'!$G$6:$G$255),IFERROR(_xlfn.XLOOKUP($A131,'Short Circuit'!$A$6:$A$255,'Short Circuit'!$G$6:$G$255),"⚠ no feeder data"))))</f>
        <v/>
      </c>
      <c r="G131" s="78" t="str">
        <f>IF($A131="","",IF($C131=0,0,IFERROR(_xlfn.XLOOKUP("F-"&amp;$A131,'Feeder Schedule'!$B$5:$B$254,'Feeder Schedule'!$U$5:$U$254),"")))</f>
        <v/>
      </c>
      <c r="H131" s="78" t="str">
        <f t="shared" si="6"/>
        <v/>
      </c>
      <c r="I131" s="78" t="str">
        <f t="shared" si="4"/>
        <v/>
      </c>
      <c r="J131" s="78" t="str">
        <f t="shared" si="5"/>
        <v/>
      </c>
      <c r="K131" s="15" t="str">
        <f t="shared" si="7"/>
        <v/>
      </c>
      <c r="L131" s="363"/>
    </row>
    <row r="132" spans="1:12" s="20" customFormat="1" ht="15" customHeight="1" x14ac:dyDescent="0.35">
      <c r="A132" s="15" t="str" cm="1">
        <f t="array" ref="A132">IFERROR(IF(INDEX(_xlfn.ANCHORARRAY('Short Circuit'!$BK$4),ROW()-5,1)="","",INDEX(_xlfn.ANCHORARRAY('Short Circuit'!$BK$4),ROW()-5,1)),"")</f>
        <v/>
      </c>
      <c r="B132" s="362" t="str" cm="1">
        <f t="array" ref="B132">IFERROR(IF($A132="","",INDEX(_xlfn.ANCHORARRAY('Short Circuit'!$BK$4),ROW()-5,5)),"")</f>
        <v/>
      </c>
      <c r="C132" s="181" t="str" cm="1">
        <f t="array" ref="C132">IFERROR(IF($A132="","",INDEX(_xlfn.ANCHORARRAY('Short Circuit'!$BK$4),ROW()-5,7)),"")</f>
        <v/>
      </c>
      <c r="D132" s="168" t="str" cm="1">
        <f t="array" ref="D132">IFERROR(IF($A132="","",INDEX(_xlfn.ANCHORARRAY('Short Circuit'!$BK$4),ROW()-5,3)),"")</f>
        <v/>
      </c>
      <c r="E132" s="362" t="str" cm="1">
        <f t="array" ref="E132">IFERROR(IF($A132="","",INDEX(_xlfn.ANCHORARRAY('Short Circuit'!$BK$4),ROW()-5,2)),"")</f>
        <v/>
      </c>
      <c r="F132" s="15" t="str">
        <f>IF($A132="","",IF($C132=0,"— utility service —",IFERROR(_xlfn.XLOOKUP("F-"&amp;$A132,'Short Circuit'!$A$6:$A$255,'Short Circuit'!$G$6:$G$255),IFERROR(_xlfn.XLOOKUP($A132,'Short Circuit'!$A$6:$A$255,'Short Circuit'!$G$6:$G$255),"⚠ no feeder data"))))</f>
        <v/>
      </c>
      <c r="G132" s="78" t="str">
        <f>IF($A132="","",IF($C132=0,0,IFERROR(_xlfn.XLOOKUP("F-"&amp;$A132,'Feeder Schedule'!$B$5:$B$254,'Feeder Schedule'!$U$5:$U$254),"")))</f>
        <v/>
      </c>
      <c r="H132" s="78" t="str">
        <f t="shared" si="6"/>
        <v/>
      </c>
      <c r="I132" s="78" t="str">
        <f t="shared" si="4"/>
        <v/>
      </c>
      <c r="J132" s="78" t="str">
        <f t="shared" si="5"/>
        <v/>
      </c>
      <c r="K132" s="15" t="str">
        <f t="shared" si="7"/>
        <v/>
      </c>
      <c r="L132" s="363"/>
    </row>
    <row r="133" spans="1:12" s="20" customFormat="1" ht="15" customHeight="1" x14ac:dyDescent="0.35">
      <c r="A133" s="15" t="str" cm="1">
        <f t="array" ref="A133">IFERROR(IF(INDEX(_xlfn.ANCHORARRAY('Short Circuit'!$BK$4),ROW()-5,1)="","",INDEX(_xlfn.ANCHORARRAY('Short Circuit'!$BK$4),ROW()-5,1)),"")</f>
        <v/>
      </c>
      <c r="B133" s="362" t="str" cm="1">
        <f t="array" ref="B133">IFERROR(IF($A133="","",INDEX(_xlfn.ANCHORARRAY('Short Circuit'!$BK$4),ROW()-5,5)),"")</f>
        <v/>
      </c>
      <c r="C133" s="181" t="str" cm="1">
        <f t="array" ref="C133">IFERROR(IF($A133="","",INDEX(_xlfn.ANCHORARRAY('Short Circuit'!$BK$4),ROW()-5,7)),"")</f>
        <v/>
      </c>
      <c r="D133" s="168" t="str" cm="1">
        <f t="array" ref="D133">IFERROR(IF($A133="","",INDEX(_xlfn.ANCHORARRAY('Short Circuit'!$BK$4),ROW()-5,3)),"")</f>
        <v/>
      </c>
      <c r="E133" s="362" t="str" cm="1">
        <f t="array" ref="E133">IFERROR(IF($A133="","",INDEX(_xlfn.ANCHORARRAY('Short Circuit'!$BK$4),ROW()-5,2)),"")</f>
        <v/>
      </c>
      <c r="F133" s="15" t="str">
        <f>IF($A133="","",IF($C133=0,"— utility service —",IFERROR(_xlfn.XLOOKUP("F-"&amp;$A133,'Short Circuit'!$A$6:$A$255,'Short Circuit'!$G$6:$G$255),IFERROR(_xlfn.XLOOKUP($A133,'Short Circuit'!$A$6:$A$255,'Short Circuit'!$G$6:$G$255),"⚠ no feeder data"))))</f>
        <v/>
      </c>
      <c r="G133" s="78" t="str">
        <f>IF($A133="","",IF($C133=0,0,IFERROR(_xlfn.XLOOKUP("F-"&amp;$A133,'Feeder Schedule'!$B$5:$B$254,'Feeder Schedule'!$U$5:$U$254),"")))</f>
        <v/>
      </c>
      <c r="H133" s="78" t="str">
        <f t="shared" si="6"/>
        <v/>
      </c>
      <c r="I133" s="78" t="str">
        <f t="shared" si="4"/>
        <v/>
      </c>
      <c r="J133" s="78" t="str">
        <f t="shared" si="5"/>
        <v/>
      </c>
      <c r="K133" s="15" t="str">
        <f t="shared" si="7"/>
        <v/>
      </c>
      <c r="L133" s="363"/>
    </row>
    <row r="134" spans="1:12" s="20" customFormat="1" ht="15" customHeight="1" x14ac:dyDescent="0.35">
      <c r="A134" s="15" t="str" cm="1">
        <f t="array" ref="A134">IFERROR(IF(INDEX(_xlfn.ANCHORARRAY('Short Circuit'!$BK$4),ROW()-5,1)="","",INDEX(_xlfn.ANCHORARRAY('Short Circuit'!$BK$4),ROW()-5,1)),"")</f>
        <v/>
      </c>
      <c r="B134" s="362" t="str" cm="1">
        <f t="array" ref="B134">IFERROR(IF($A134="","",INDEX(_xlfn.ANCHORARRAY('Short Circuit'!$BK$4),ROW()-5,5)),"")</f>
        <v/>
      </c>
      <c r="C134" s="181" t="str" cm="1">
        <f t="array" ref="C134">IFERROR(IF($A134="","",INDEX(_xlfn.ANCHORARRAY('Short Circuit'!$BK$4),ROW()-5,7)),"")</f>
        <v/>
      </c>
      <c r="D134" s="168" t="str" cm="1">
        <f t="array" ref="D134">IFERROR(IF($A134="","",INDEX(_xlfn.ANCHORARRAY('Short Circuit'!$BK$4),ROW()-5,3)),"")</f>
        <v/>
      </c>
      <c r="E134" s="362" t="str" cm="1">
        <f t="array" ref="E134">IFERROR(IF($A134="","",INDEX(_xlfn.ANCHORARRAY('Short Circuit'!$BK$4),ROW()-5,2)),"")</f>
        <v/>
      </c>
      <c r="F134" s="15" t="str">
        <f>IF($A134="","",IF($C134=0,"— utility service —",IFERROR(_xlfn.XLOOKUP("F-"&amp;$A134,'Short Circuit'!$A$6:$A$255,'Short Circuit'!$G$6:$G$255),IFERROR(_xlfn.XLOOKUP($A134,'Short Circuit'!$A$6:$A$255,'Short Circuit'!$G$6:$G$255),"⚠ no feeder data"))))</f>
        <v/>
      </c>
      <c r="G134" s="78" t="str">
        <f>IF($A134="","",IF($C134=0,0,IFERROR(_xlfn.XLOOKUP("F-"&amp;$A134,'Feeder Schedule'!$B$5:$B$254,'Feeder Schedule'!$U$5:$U$254),"")))</f>
        <v/>
      </c>
      <c r="H134" s="78" t="str">
        <f t="shared" si="6"/>
        <v/>
      </c>
      <c r="I134" s="78" t="str">
        <f t="shared" ref="I134:I197" si="8">IF($A134="","",Cfg_VDFeeder)</f>
        <v/>
      </c>
      <c r="J134" s="78" t="str">
        <f t="shared" ref="J134:J197" si="9">IF($A134="","",Cfg_VDTotal)</f>
        <v/>
      </c>
      <c r="K134" s="15" t="str">
        <f t="shared" si="7"/>
        <v/>
      </c>
      <c r="L134" s="363"/>
    </row>
    <row r="135" spans="1:12" s="20" customFormat="1" ht="15" customHeight="1" x14ac:dyDescent="0.35">
      <c r="A135" s="15" t="str" cm="1">
        <f t="array" ref="A135">IFERROR(IF(INDEX(_xlfn.ANCHORARRAY('Short Circuit'!$BK$4),ROW()-5,1)="","",INDEX(_xlfn.ANCHORARRAY('Short Circuit'!$BK$4),ROW()-5,1)),"")</f>
        <v/>
      </c>
      <c r="B135" s="362" t="str" cm="1">
        <f t="array" ref="B135">IFERROR(IF($A135="","",INDEX(_xlfn.ANCHORARRAY('Short Circuit'!$BK$4),ROW()-5,5)),"")</f>
        <v/>
      </c>
      <c r="C135" s="181" t="str" cm="1">
        <f t="array" ref="C135">IFERROR(IF($A135="","",INDEX(_xlfn.ANCHORARRAY('Short Circuit'!$BK$4),ROW()-5,7)),"")</f>
        <v/>
      </c>
      <c r="D135" s="168" t="str" cm="1">
        <f t="array" ref="D135">IFERROR(IF($A135="","",INDEX(_xlfn.ANCHORARRAY('Short Circuit'!$BK$4),ROW()-5,3)),"")</f>
        <v/>
      </c>
      <c r="E135" s="362" t="str" cm="1">
        <f t="array" ref="E135">IFERROR(IF($A135="","",INDEX(_xlfn.ANCHORARRAY('Short Circuit'!$BK$4),ROW()-5,2)),"")</f>
        <v/>
      </c>
      <c r="F135" s="15" t="str">
        <f>IF($A135="","",IF($C135=0,"— utility service —",IFERROR(_xlfn.XLOOKUP("F-"&amp;$A135,'Short Circuit'!$A$6:$A$255,'Short Circuit'!$G$6:$G$255),IFERROR(_xlfn.XLOOKUP($A135,'Short Circuit'!$A$6:$A$255,'Short Circuit'!$G$6:$G$255),"⚠ no feeder data"))))</f>
        <v/>
      </c>
      <c r="G135" s="78" t="str">
        <f>IF($A135="","",IF($C135=0,0,IFERROR(_xlfn.XLOOKUP("F-"&amp;$A135,'Feeder Schedule'!$B$5:$B$254,'Feeder Schedule'!$U$5:$U$254),"")))</f>
        <v/>
      </c>
      <c r="H135" s="78" t="str">
        <f t="shared" ref="H135:H198" si="10">IF($A135="","",IF($C135=0,0,IF($G135="","",_xlfn.LET(_xlpm.p,IFERROR(_xlfn.XLOOKUP($E135,$A$6:$A$255,$H$6:$H$255),0),IF(ISNUMBER(_xlpm.p),_xlpm.p,0)+$G135))))</f>
        <v/>
      </c>
      <c r="I135" s="78" t="str">
        <f t="shared" si="8"/>
        <v/>
      </c>
      <c r="J135" s="78" t="str">
        <f t="shared" si="9"/>
        <v/>
      </c>
      <c r="K135" s="15" t="str">
        <f t="shared" ref="K135:K198" si="11">IF($A135="","",IF($C135=0,"— utility source —",IF($G135="","⚠ feeder data missing",_xlfn.LET(_xlpm.p,IFERROR(_xlfn.XLOOKUP($E135,$A$6:$A$255,$H$6:$H$255),0),IF(NOT(ISNUMBER(_xlpm.p)),"⚠ upstream feeder data missing — cumulative incomplete",IF($H135&gt;$J135,"FAIL — cumulative over total limit",IF($H135&gt;$I135,"⚠ cumulative over feeder recommendation",IF($G135&gt;$I135,"⚠ this run over feeder recommendation","PASS"))))))))</f>
        <v/>
      </c>
      <c r="L135" s="363"/>
    </row>
    <row r="136" spans="1:12" s="20" customFormat="1" ht="15" customHeight="1" x14ac:dyDescent="0.35">
      <c r="A136" s="15" t="str" cm="1">
        <f t="array" ref="A136">IFERROR(IF(INDEX(_xlfn.ANCHORARRAY('Short Circuit'!$BK$4),ROW()-5,1)="","",INDEX(_xlfn.ANCHORARRAY('Short Circuit'!$BK$4),ROW()-5,1)),"")</f>
        <v/>
      </c>
      <c r="B136" s="362" t="str" cm="1">
        <f t="array" ref="B136">IFERROR(IF($A136="","",INDEX(_xlfn.ANCHORARRAY('Short Circuit'!$BK$4),ROW()-5,5)),"")</f>
        <v/>
      </c>
      <c r="C136" s="181" t="str" cm="1">
        <f t="array" ref="C136">IFERROR(IF($A136="","",INDEX(_xlfn.ANCHORARRAY('Short Circuit'!$BK$4),ROW()-5,7)),"")</f>
        <v/>
      </c>
      <c r="D136" s="168" t="str" cm="1">
        <f t="array" ref="D136">IFERROR(IF($A136="","",INDEX(_xlfn.ANCHORARRAY('Short Circuit'!$BK$4),ROW()-5,3)),"")</f>
        <v/>
      </c>
      <c r="E136" s="362" t="str" cm="1">
        <f t="array" ref="E136">IFERROR(IF($A136="","",INDEX(_xlfn.ANCHORARRAY('Short Circuit'!$BK$4),ROW()-5,2)),"")</f>
        <v/>
      </c>
      <c r="F136" s="15" t="str">
        <f>IF($A136="","",IF($C136=0,"— utility service —",IFERROR(_xlfn.XLOOKUP("F-"&amp;$A136,'Short Circuit'!$A$6:$A$255,'Short Circuit'!$G$6:$G$255),IFERROR(_xlfn.XLOOKUP($A136,'Short Circuit'!$A$6:$A$255,'Short Circuit'!$G$6:$G$255),"⚠ no feeder data"))))</f>
        <v/>
      </c>
      <c r="G136" s="78" t="str">
        <f>IF($A136="","",IF($C136=0,0,IFERROR(_xlfn.XLOOKUP("F-"&amp;$A136,'Feeder Schedule'!$B$5:$B$254,'Feeder Schedule'!$U$5:$U$254),"")))</f>
        <v/>
      </c>
      <c r="H136" s="78" t="str">
        <f t="shared" si="10"/>
        <v/>
      </c>
      <c r="I136" s="78" t="str">
        <f t="shared" si="8"/>
        <v/>
      </c>
      <c r="J136" s="78" t="str">
        <f t="shared" si="9"/>
        <v/>
      </c>
      <c r="K136" s="15" t="str">
        <f t="shared" si="11"/>
        <v/>
      </c>
      <c r="L136" s="363"/>
    </row>
    <row r="137" spans="1:12" s="20" customFormat="1" ht="15" customHeight="1" x14ac:dyDescent="0.35">
      <c r="A137" s="15" t="str" cm="1">
        <f t="array" ref="A137">IFERROR(IF(INDEX(_xlfn.ANCHORARRAY('Short Circuit'!$BK$4),ROW()-5,1)="","",INDEX(_xlfn.ANCHORARRAY('Short Circuit'!$BK$4),ROW()-5,1)),"")</f>
        <v/>
      </c>
      <c r="B137" s="362" t="str" cm="1">
        <f t="array" ref="B137">IFERROR(IF($A137="","",INDEX(_xlfn.ANCHORARRAY('Short Circuit'!$BK$4),ROW()-5,5)),"")</f>
        <v/>
      </c>
      <c r="C137" s="181" t="str" cm="1">
        <f t="array" ref="C137">IFERROR(IF($A137="","",INDEX(_xlfn.ANCHORARRAY('Short Circuit'!$BK$4),ROW()-5,7)),"")</f>
        <v/>
      </c>
      <c r="D137" s="168" t="str" cm="1">
        <f t="array" ref="D137">IFERROR(IF($A137="","",INDEX(_xlfn.ANCHORARRAY('Short Circuit'!$BK$4),ROW()-5,3)),"")</f>
        <v/>
      </c>
      <c r="E137" s="362" t="str" cm="1">
        <f t="array" ref="E137">IFERROR(IF($A137="","",INDEX(_xlfn.ANCHORARRAY('Short Circuit'!$BK$4),ROW()-5,2)),"")</f>
        <v/>
      </c>
      <c r="F137" s="15" t="str">
        <f>IF($A137="","",IF($C137=0,"— utility service —",IFERROR(_xlfn.XLOOKUP("F-"&amp;$A137,'Short Circuit'!$A$6:$A$255,'Short Circuit'!$G$6:$G$255),IFERROR(_xlfn.XLOOKUP($A137,'Short Circuit'!$A$6:$A$255,'Short Circuit'!$G$6:$G$255),"⚠ no feeder data"))))</f>
        <v/>
      </c>
      <c r="G137" s="78" t="str">
        <f>IF($A137="","",IF($C137=0,0,IFERROR(_xlfn.XLOOKUP("F-"&amp;$A137,'Feeder Schedule'!$B$5:$B$254,'Feeder Schedule'!$U$5:$U$254),"")))</f>
        <v/>
      </c>
      <c r="H137" s="78" t="str">
        <f t="shared" si="10"/>
        <v/>
      </c>
      <c r="I137" s="78" t="str">
        <f t="shared" si="8"/>
        <v/>
      </c>
      <c r="J137" s="78" t="str">
        <f t="shared" si="9"/>
        <v/>
      </c>
      <c r="K137" s="15" t="str">
        <f t="shared" si="11"/>
        <v/>
      </c>
      <c r="L137" s="363"/>
    </row>
    <row r="138" spans="1:12" s="20" customFormat="1" ht="15" customHeight="1" x14ac:dyDescent="0.35">
      <c r="A138" s="15" t="str" cm="1">
        <f t="array" ref="A138">IFERROR(IF(INDEX(_xlfn.ANCHORARRAY('Short Circuit'!$BK$4),ROW()-5,1)="","",INDEX(_xlfn.ANCHORARRAY('Short Circuit'!$BK$4),ROW()-5,1)),"")</f>
        <v/>
      </c>
      <c r="B138" s="362" t="str" cm="1">
        <f t="array" ref="B138">IFERROR(IF($A138="","",INDEX(_xlfn.ANCHORARRAY('Short Circuit'!$BK$4),ROW()-5,5)),"")</f>
        <v/>
      </c>
      <c r="C138" s="181" t="str" cm="1">
        <f t="array" ref="C138">IFERROR(IF($A138="","",INDEX(_xlfn.ANCHORARRAY('Short Circuit'!$BK$4),ROW()-5,7)),"")</f>
        <v/>
      </c>
      <c r="D138" s="168" t="str" cm="1">
        <f t="array" ref="D138">IFERROR(IF($A138="","",INDEX(_xlfn.ANCHORARRAY('Short Circuit'!$BK$4),ROW()-5,3)),"")</f>
        <v/>
      </c>
      <c r="E138" s="362" t="str" cm="1">
        <f t="array" ref="E138">IFERROR(IF($A138="","",INDEX(_xlfn.ANCHORARRAY('Short Circuit'!$BK$4),ROW()-5,2)),"")</f>
        <v/>
      </c>
      <c r="F138" s="15" t="str">
        <f>IF($A138="","",IF($C138=0,"— utility service —",IFERROR(_xlfn.XLOOKUP("F-"&amp;$A138,'Short Circuit'!$A$6:$A$255,'Short Circuit'!$G$6:$G$255),IFERROR(_xlfn.XLOOKUP($A138,'Short Circuit'!$A$6:$A$255,'Short Circuit'!$G$6:$G$255),"⚠ no feeder data"))))</f>
        <v/>
      </c>
      <c r="G138" s="78" t="str">
        <f>IF($A138="","",IF($C138=0,0,IFERROR(_xlfn.XLOOKUP("F-"&amp;$A138,'Feeder Schedule'!$B$5:$B$254,'Feeder Schedule'!$U$5:$U$254),"")))</f>
        <v/>
      </c>
      <c r="H138" s="78" t="str">
        <f t="shared" si="10"/>
        <v/>
      </c>
      <c r="I138" s="78" t="str">
        <f t="shared" si="8"/>
        <v/>
      </c>
      <c r="J138" s="78" t="str">
        <f t="shared" si="9"/>
        <v/>
      </c>
      <c r="K138" s="15" t="str">
        <f t="shared" si="11"/>
        <v/>
      </c>
      <c r="L138" s="363"/>
    </row>
    <row r="139" spans="1:12" s="20" customFormat="1" ht="15" customHeight="1" x14ac:dyDescent="0.35">
      <c r="A139" s="15" t="str" cm="1">
        <f t="array" ref="A139">IFERROR(IF(INDEX(_xlfn.ANCHORARRAY('Short Circuit'!$BK$4),ROW()-5,1)="","",INDEX(_xlfn.ANCHORARRAY('Short Circuit'!$BK$4),ROW()-5,1)),"")</f>
        <v/>
      </c>
      <c r="B139" s="362" t="str" cm="1">
        <f t="array" ref="B139">IFERROR(IF($A139="","",INDEX(_xlfn.ANCHORARRAY('Short Circuit'!$BK$4),ROW()-5,5)),"")</f>
        <v/>
      </c>
      <c r="C139" s="181" t="str" cm="1">
        <f t="array" ref="C139">IFERROR(IF($A139="","",INDEX(_xlfn.ANCHORARRAY('Short Circuit'!$BK$4),ROW()-5,7)),"")</f>
        <v/>
      </c>
      <c r="D139" s="168" t="str" cm="1">
        <f t="array" ref="D139">IFERROR(IF($A139="","",INDEX(_xlfn.ANCHORARRAY('Short Circuit'!$BK$4),ROW()-5,3)),"")</f>
        <v/>
      </c>
      <c r="E139" s="362" t="str" cm="1">
        <f t="array" ref="E139">IFERROR(IF($A139="","",INDEX(_xlfn.ANCHORARRAY('Short Circuit'!$BK$4),ROW()-5,2)),"")</f>
        <v/>
      </c>
      <c r="F139" s="15" t="str">
        <f>IF($A139="","",IF($C139=0,"— utility service —",IFERROR(_xlfn.XLOOKUP("F-"&amp;$A139,'Short Circuit'!$A$6:$A$255,'Short Circuit'!$G$6:$G$255),IFERROR(_xlfn.XLOOKUP($A139,'Short Circuit'!$A$6:$A$255,'Short Circuit'!$G$6:$G$255),"⚠ no feeder data"))))</f>
        <v/>
      </c>
      <c r="G139" s="78" t="str">
        <f>IF($A139="","",IF($C139=0,0,IFERROR(_xlfn.XLOOKUP("F-"&amp;$A139,'Feeder Schedule'!$B$5:$B$254,'Feeder Schedule'!$U$5:$U$254),"")))</f>
        <v/>
      </c>
      <c r="H139" s="78" t="str">
        <f t="shared" si="10"/>
        <v/>
      </c>
      <c r="I139" s="78" t="str">
        <f t="shared" si="8"/>
        <v/>
      </c>
      <c r="J139" s="78" t="str">
        <f t="shared" si="9"/>
        <v/>
      </c>
      <c r="K139" s="15" t="str">
        <f t="shared" si="11"/>
        <v/>
      </c>
      <c r="L139" s="363"/>
    </row>
    <row r="140" spans="1:12" s="20" customFormat="1" ht="15" customHeight="1" x14ac:dyDescent="0.35">
      <c r="A140" s="15" t="str" cm="1">
        <f t="array" ref="A140">IFERROR(IF(INDEX(_xlfn.ANCHORARRAY('Short Circuit'!$BK$4),ROW()-5,1)="","",INDEX(_xlfn.ANCHORARRAY('Short Circuit'!$BK$4),ROW()-5,1)),"")</f>
        <v/>
      </c>
      <c r="B140" s="362" t="str" cm="1">
        <f t="array" ref="B140">IFERROR(IF($A140="","",INDEX(_xlfn.ANCHORARRAY('Short Circuit'!$BK$4),ROW()-5,5)),"")</f>
        <v/>
      </c>
      <c r="C140" s="181" t="str" cm="1">
        <f t="array" ref="C140">IFERROR(IF($A140="","",INDEX(_xlfn.ANCHORARRAY('Short Circuit'!$BK$4),ROW()-5,7)),"")</f>
        <v/>
      </c>
      <c r="D140" s="168" t="str" cm="1">
        <f t="array" ref="D140">IFERROR(IF($A140="","",INDEX(_xlfn.ANCHORARRAY('Short Circuit'!$BK$4),ROW()-5,3)),"")</f>
        <v/>
      </c>
      <c r="E140" s="362" t="str" cm="1">
        <f t="array" ref="E140">IFERROR(IF($A140="","",INDEX(_xlfn.ANCHORARRAY('Short Circuit'!$BK$4),ROW()-5,2)),"")</f>
        <v/>
      </c>
      <c r="F140" s="15" t="str">
        <f>IF($A140="","",IF($C140=0,"— utility service —",IFERROR(_xlfn.XLOOKUP("F-"&amp;$A140,'Short Circuit'!$A$6:$A$255,'Short Circuit'!$G$6:$G$255),IFERROR(_xlfn.XLOOKUP($A140,'Short Circuit'!$A$6:$A$255,'Short Circuit'!$G$6:$G$255),"⚠ no feeder data"))))</f>
        <v/>
      </c>
      <c r="G140" s="78" t="str">
        <f>IF($A140="","",IF($C140=0,0,IFERROR(_xlfn.XLOOKUP("F-"&amp;$A140,'Feeder Schedule'!$B$5:$B$254,'Feeder Schedule'!$U$5:$U$254),"")))</f>
        <v/>
      </c>
      <c r="H140" s="78" t="str">
        <f t="shared" si="10"/>
        <v/>
      </c>
      <c r="I140" s="78" t="str">
        <f t="shared" si="8"/>
        <v/>
      </c>
      <c r="J140" s="78" t="str">
        <f t="shared" si="9"/>
        <v/>
      </c>
      <c r="K140" s="15" t="str">
        <f t="shared" si="11"/>
        <v/>
      </c>
      <c r="L140" s="363"/>
    </row>
    <row r="141" spans="1:12" s="20" customFormat="1" ht="15" customHeight="1" x14ac:dyDescent="0.35">
      <c r="A141" s="15" t="str" cm="1">
        <f t="array" ref="A141">IFERROR(IF(INDEX(_xlfn.ANCHORARRAY('Short Circuit'!$BK$4),ROW()-5,1)="","",INDEX(_xlfn.ANCHORARRAY('Short Circuit'!$BK$4),ROW()-5,1)),"")</f>
        <v/>
      </c>
      <c r="B141" s="362" t="str" cm="1">
        <f t="array" ref="B141">IFERROR(IF($A141="","",INDEX(_xlfn.ANCHORARRAY('Short Circuit'!$BK$4),ROW()-5,5)),"")</f>
        <v/>
      </c>
      <c r="C141" s="181" t="str" cm="1">
        <f t="array" ref="C141">IFERROR(IF($A141="","",INDEX(_xlfn.ANCHORARRAY('Short Circuit'!$BK$4),ROW()-5,7)),"")</f>
        <v/>
      </c>
      <c r="D141" s="168" t="str" cm="1">
        <f t="array" ref="D141">IFERROR(IF($A141="","",INDEX(_xlfn.ANCHORARRAY('Short Circuit'!$BK$4),ROW()-5,3)),"")</f>
        <v/>
      </c>
      <c r="E141" s="362" t="str" cm="1">
        <f t="array" ref="E141">IFERROR(IF($A141="","",INDEX(_xlfn.ANCHORARRAY('Short Circuit'!$BK$4),ROW()-5,2)),"")</f>
        <v/>
      </c>
      <c r="F141" s="15" t="str">
        <f>IF($A141="","",IF($C141=0,"— utility service —",IFERROR(_xlfn.XLOOKUP("F-"&amp;$A141,'Short Circuit'!$A$6:$A$255,'Short Circuit'!$G$6:$G$255),IFERROR(_xlfn.XLOOKUP($A141,'Short Circuit'!$A$6:$A$255,'Short Circuit'!$G$6:$G$255),"⚠ no feeder data"))))</f>
        <v/>
      </c>
      <c r="G141" s="78" t="str">
        <f>IF($A141="","",IF($C141=0,0,IFERROR(_xlfn.XLOOKUP("F-"&amp;$A141,'Feeder Schedule'!$B$5:$B$254,'Feeder Schedule'!$U$5:$U$254),"")))</f>
        <v/>
      </c>
      <c r="H141" s="78" t="str">
        <f t="shared" si="10"/>
        <v/>
      </c>
      <c r="I141" s="78" t="str">
        <f t="shared" si="8"/>
        <v/>
      </c>
      <c r="J141" s="78" t="str">
        <f t="shared" si="9"/>
        <v/>
      </c>
      <c r="K141" s="15" t="str">
        <f t="shared" si="11"/>
        <v/>
      </c>
      <c r="L141" s="363"/>
    </row>
    <row r="142" spans="1:12" s="20" customFormat="1" ht="15" customHeight="1" x14ac:dyDescent="0.35">
      <c r="A142" s="15" t="str" cm="1">
        <f t="array" ref="A142">IFERROR(IF(INDEX(_xlfn.ANCHORARRAY('Short Circuit'!$BK$4),ROW()-5,1)="","",INDEX(_xlfn.ANCHORARRAY('Short Circuit'!$BK$4),ROW()-5,1)),"")</f>
        <v/>
      </c>
      <c r="B142" s="362" t="str" cm="1">
        <f t="array" ref="B142">IFERROR(IF($A142="","",INDEX(_xlfn.ANCHORARRAY('Short Circuit'!$BK$4),ROW()-5,5)),"")</f>
        <v/>
      </c>
      <c r="C142" s="181" t="str" cm="1">
        <f t="array" ref="C142">IFERROR(IF($A142="","",INDEX(_xlfn.ANCHORARRAY('Short Circuit'!$BK$4),ROW()-5,7)),"")</f>
        <v/>
      </c>
      <c r="D142" s="168" t="str" cm="1">
        <f t="array" ref="D142">IFERROR(IF($A142="","",INDEX(_xlfn.ANCHORARRAY('Short Circuit'!$BK$4),ROW()-5,3)),"")</f>
        <v/>
      </c>
      <c r="E142" s="362" t="str" cm="1">
        <f t="array" ref="E142">IFERROR(IF($A142="","",INDEX(_xlfn.ANCHORARRAY('Short Circuit'!$BK$4),ROW()-5,2)),"")</f>
        <v/>
      </c>
      <c r="F142" s="15" t="str">
        <f>IF($A142="","",IF($C142=0,"— utility service —",IFERROR(_xlfn.XLOOKUP("F-"&amp;$A142,'Short Circuit'!$A$6:$A$255,'Short Circuit'!$G$6:$G$255),IFERROR(_xlfn.XLOOKUP($A142,'Short Circuit'!$A$6:$A$255,'Short Circuit'!$G$6:$G$255),"⚠ no feeder data"))))</f>
        <v/>
      </c>
      <c r="G142" s="78" t="str">
        <f>IF($A142="","",IF($C142=0,0,IFERROR(_xlfn.XLOOKUP("F-"&amp;$A142,'Feeder Schedule'!$B$5:$B$254,'Feeder Schedule'!$U$5:$U$254),"")))</f>
        <v/>
      </c>
      <c r="H142" s="78" t="str">
        <f t="shared" si="10"/>
        <v/>
      </c>
      <c r="I142" s="78" t="str">
        <f t="shared" si="8"/>
        <v/>
      </c>
      <c r="J142" s="78" t="str">
        <f t="shared" si="9"/>
        <v/>
      </c>
      <c r="K142" s="15" t="str">
        <f t="shared" si="11"/>
        <v/>
      </c>
      <c r="L142" s="363"/>
    </row>
    <row r="143" spans="1:12" s="20" customFormat="1" ht="15" customHeight="1" x14ac:dyDescent="0.35">
      <c r="A143" s="15" t="str" cm="1">
        <f t="array" ref="A143">IFERROR(IF(INDEX(_xlfn.ANCHORARRAY('Short Circuit'!$BK$4),ROW()-5,1)="","",INDEX(_xlfn.ANCHORARRAY('Short Circuit'!$BK$4),ROW()-5,1)),"")</f>
        <v/>
      </c>
      <c r="B143" s="362" t="str" cm="1">
        <f t="array" ref="B143">IFERROR(IF($A143="","",INDEX(_xlfn.ANCHORARRAY('Short Circuit'!$BK$4),ROW()-5,5)),"")</f>
        <v/>
      </c>
      <c r="C143" s="181" t="str" cm="1">
        <f t="array" ref="C143">IFERROR(IF($A143="","",INDEX(_xlfn.ANCHORARRAY('Short Circuit'!$BK$4),ROW()-5,7)),"")</f>
        <v/>
      </c>
      <c r="D143" s="168" t="str" cm="1">
        <f t="array" ref="D143">IFERROR(IF($A143="","",INDEX(_xlfn.ANCHORARRAY('Short Circuit'!$BK$4),ROW()-5,3)),"")</f>
        <v/>
      </c>
      <c r="E143" s="362" t="str" cm="1">
        <f t="array" ref="E143">IFERROR(IF($A143="","",INDEX(_xlfn.ANCHORARRAY('Short Circuit'!$BK$4),ROW()-5,2)),"")</f>
        <v/>
      </c>
      <c r="F143" s="15" t="str">
        <f>IF($A143="","",IF($C143=0,"— utility service —",IFERROR(_xlfn.XLOOKUP("F-"&amp;$A143,'Short Circuit'!$A$6:$A$255,'Short Circuit'!$G$6:$G$255),IFERROR(_xlfn.XLOOKUP($A143,'Short Circuit'!$A$6:$A$255,'Short Circuit'!$G$6:$G$255),"⚠ no feeder data"))))</f>
        <v/>
      </c>
      <c r="G143" s="78" t="str">
        <f>IF($A143="","",IF($C143=0,0,IFERROR(_xlfn.XLOOKUP("F-"&amp;$A143,'Feeder Schedule'!$B$5:$B$254,'Feeder Schedule'!$U$5:$U$254),"")))</f>
        <v/>
      </c>
      <c r="H143" s="78" t="str">
        <f t="shared" si="10"/>
        <v/>
      </c>
      <c r="I143" s="78" t="str">
        <f t="shared" si="8"/>
        <v/>
      </c>
      <c r="J143" s="78" t="str">
        <f t="shared" si="9"/>
        <v/>
      </c>
      <c r="K143" s="15" t="str">
        <f t="shared" si="11"/>
        <v/>
      </c>
      <c r="L143" s="363"/>
    </row>
    <row r="144" spans="1:12" s="20" customFormat="1" ht="15" customHeight="1" x14ac:dyDescent="0.35">
      <c r="A144" s="15" t="str" cm="1">
        <f t="array" ref="A144">IFERROR(IF(INDEX(_xlfn.ANCHORARRAY('Short Circuit'!$BK$4),ROW()-5,1)="","",INDEX(_xlfn.ANCHORARRAY('Short Circuit'!$BK$4),ROW()-5,1)),"")</f>
        <v/>
      </c>
      <c r="B144" s="362" t="str" cm="1">
        <f t="array" ref="B144">IFERROR(IF($A144="","",INDEX(_xlfn.ANCHORARRAY('Short Circuit'!$BK$4),ROW()-5,5)),"")</f>
        <v/>
      </c>
      <c r="C144" s="181" t="str" cm="1">
        <f t="array" ref="C144">IFERROR(IF($A144="","",INDEX(_xlfn.ANCHORARRAY('Short Circuit'!$BK$4),ROW()-5,7)),"")</f>
        <v/>
      </c>
      <c r="D144" s="168" t="str" cm="1">
        <f t="array" ref="D144">IFERROR(IF($A144="","",INDEX(_xlfn.ANCHORARRAY('Short Circuit'!$BK$4),ROW()-5,3)),"")</f>
        <v/>
      </c>
      <c r="E144" s="362" t="str" cm="1">
        <f t="array" ref="E144">IFERROR(IF($A144="","",INDEX(_xlfn.ANCHORARRAY('Short Circuit'!$BK$4),ROW()-5,2)),"")</f>
        <v/>
      </c>
      <c r="F144" s="15" t="str">
        <f>IF($A144="","",IF($C144=0,"— utility service —",IFERROR(_xlfn.XLOOKUP("F-"&amp;$A144,'Short Circuit'!$A$6:$A$255,'Short Circuit'!$G$6:$G$255),IFERROR(_xlfn.XLOOKUP($A144,'Short Circuit'!$A$6:$A$255,'Short Circuit'!$G$6:$G$255),"⚠ no feeder data"))))</f>
        <v/>
      </c>
      <c r="G144" s="78" t="str">
        <f>IF($A144="","",IF($C144=0,0,IFERROR(_xlfn.XLOOKUP("F-"&amp;$A144,'Feeder Schedule'!$B$5:$B$254,'Feeder Schedule'!$U$5:$U$254),"")))</f>
        <v/>
      </c>
      <c r="H144" s="78" t="str">
        <f t="shared" si="10"/>
        <v/>
      </c>
      <c r="I144" s="78" t="str">
        <f t="shared" si="8"/>
        <v/>
      </c>
      <c r="J144" s="78" t="str">
        <f t="shared" si="9"/>
        <v/>
      </c>
      <c r="K144" s="15" t="str">
        <f t="shared" si="11"/>
        <v/>
      </c>
      <c r="L144" s="363"/>
    </row>
    <row r="145" spans="1:12" s="20" customFormat="1" ht="15" customHeight="1" x14ac:dyDescent="0.35">
      <c r="A145" s="15" t="str" cm="1">
        <f t="array" ref="A145">IFERROR(IF(INDEX(_xlfn.ANCHORARRAY('Short Circuit'!$BK$4),ROW()-5,1)="","",INDEX(_xlfn.ANCHORARRAY('Short Circuit'!$BK$4),ROW()-5,1)),"")</f>
        <v/>
      </c>
      <c r="B145" s="362" t="str" cm="1">
        <f t="array" ref="B145">IFERROR(IF($A145="","",INDEX(_xlfn.ANCHORARRAY('Short Circuit'!$BK$4),ROW()-5,5)),"")</f>
        <v/>
      </c>
      <c r="C145" s="181" t="str" cm="1">
        <f t="array" ref="C145">IFERROR(IF($A145="","",INDEX(_xlfn.ANCHORARRAY('Short Circuit'!$BK$4),ROW()-5,7)),"")</f>
        <v/>
      </c>
      <c r="D145" s="168" t="str" cm="1">
        <f t="array" ref="D145">IFERROR(IF($A145="","",INDEX(_xlfn.ANCHORARRAY('Short Circuit'!$BK$4),ROW()-5,3)),"")</f>
        <v/>
      </c>
      <c r="E145" s="362" t="str" cm="1">
        <f t="array" ref="E145">IFERROR(IF($A145="","",INDEX(_xlfn.ANCHORARRAY('Short Circuit'!$BK$4),ROW()-5,2)),"")</f>
        <v/>
      </c>
      <c r="F145" s="15" t="str">
        <f>IF($A145="","",IF($C145=0,"— utility service —",IFERROR(_xlfn.XLOOKUP("F-"&amp;$A145,'Short Circuit'!$A$6:$A$255,'Short Circuit'!$G$6:$G$255),IFERROR(_xlfn.XLOOKUP($A145,'Short Circuit'!$A$6:$A$255,'Short Circuit'!$G$6:$G$255),"⚠ no feeder data"))))</f>
        <v/>
      </c>
      <c r="G145" s="78" t="str">
        <f>IF($A145="","",IF($C145=0,0,IFERROR(_xlfn.XLOOKUP("F-"&amp;$A145,'Feeder Schedule'!$B$5:$B$254,'Feeder Schedule'!$U$5:$U$254),"")))</f>
        <v/>
      </c>
      <c r="H145" s="78" t="str">
        <f t="shared" si="10"/>
        <v/>
      </c>
      <c r="I145" s="78" t="str">
        <f t="shared" si="8"/>
        <v/>
      </c>
      <c r="J145" s="78" t="str">
        <f t="shared" si="9"/>
        <v/>
      </c>
      <c r="K145" s="15" t="str">
        <f t="shared" si="11"/>
        <v/>
      </c>
      <c r="L145" s="363"/>
    </row>
    <row r="146" spans="1:12" s="20" customFormat="1" ht="15" customHeight="1" x14ac:dyDescent="0.35">
      <c r="A146" s="15" t="str" cm="1">
        <f t="array" ref="A146">IFERROR(IF(INDEX(_xlfn.ANCHORARRAY('Short Circuit'!$BK$4),ROW()-5,1)="","",INDEX(_xlfn.ANCHORARRAY('Short Circuit'!$BK$4),ROW()-5,1)),"")</f>
        <v/>
      </c>
      <c r="B146" s="362" t="str" cm="1">
        <f t="array" ref="B146">IFERROR(IF($A146="","",INDEX(_xlfn.ANCHORARRAY('Short Circuit'!$BK$4),ROW()-5,5)),"")</f>
        <v/>
      </c>
      <c r="C146" s="181" t="str" cm="1">
        <f t="array" ref="C146">IFERROR(IF($A146="","",INDEX(_xlfn.ANCHORARRAY('Short Circuit'!$BK$4),ROW()-5,7)),"")</f>
        <v/>
      </c>
      <c r="D146" s="168" t="str" cm="1">
        <f t="array" ref="D146">IFERROR(IF($A146="","",INDEX(_xlfn.ANCHORARRAY('Short Circuit'!$BK$4),ROW()-5,3)),"")</f>
        <v/>
      </c>
      <c r="E146" s="362" t="str" cm="1">
        <f t="array" ref="E146">IFERROR(IF($A146="","",INDEX(_xlfn.ANCHORARRAY('Short Circuit'!$BK$4),ROW()-5,2)),"")</f>
        <v/>
      </c>
      <c r="F146" s="15" t="str">
        <f>IF($A146="","",IF($C146=0,"— utility service —",IFERROR(_xlfn.XLOOKUP("F-"&amp;$A146,'Short Circuit'!$A$6:$A$255,'Short Circuit'!$G$6:$G$255),IFERROR(_xlfn.XLOOKUP($A146,'Short Circuit'!$A$6:$A$255,'Short Circuit'!$G$6:$G$255),"⚠ no feeder data"))))</f>
        <v/>
      </c>
      <c r="G146" s="78" t="str">
        <f>IF($A146="","",IF($C146=0,0,IFERROR(_xlfn.XLOOKUP("F-"&amp;$A146,'Feeder Schedule'!$B$5:$B$254,'Feeder Schedule'!$U$5:$U$254),"")))</f>
        <v/>
      </c>
      <c r="H146" s="78" t="str">
        <f t="shared" si="10"/>
        <v/>
      </c>
      <c r="I146" s="78" t="str">
        <f t="shared" si="8"/>
        <v/>
      </c>
      <c r="J146" s="78" t="str">
        <f t="shared" si="9"/>
        <v/>
      </c>
      <c r="K146" s="15" t="str">
        <f t="shared" si="11"/>
        <v/>
      </c>
      <c r="L146" s="363"/>
    </row>
    <row r="147" spans="1:12" s="20" customFormat="1" ht="15" customHeight="1" x14ac:dyDescent="0.35">
      <c r="A147" s="15" t="str" cm="1">
        <f t="array" ref="A147">IFERROR(IF(INDEX(_xlfn.ANCHORARRAY('Short Circuit'!$BK$4),ROW()-5,1)="","",INDEX(_xlfn.ANCHORARRAY('Short Circuit'!$BK$4),ROW()-5,1)),"")</f>
        <v/>
      </c>
      <c r="B147" s="362" t="str" cm="1">
        <f t="array" ref="B147">IFERROR(IF($A147="","",INDEX(_xlfn.ANCHORARRAY('Short Circuit'!$BK$4),ROW()-5,5)),"")</f>
        <v/>
      </c>
      <c r="C147" s="181" t="str" cm="1">
        <f t="array" ref="C147">IFERROR(IF($A147="","",INDEX(_xlfn.ANCHORARRAY('Short Circuit'!$BK$4),ROW()-5,7)),"")</f>
        <v/>
      </c>
      <c r="D147" s="168" t="str" cm="1">
        <f t="array" ref="D147">IFERROR(IF($A147="","",INDEX(_xlfn.ANCHORARRAY('Short Circuit'!$BK$4),ROW()-5,3)),"")</f>
        <v/>
      </c>
      <c r="E147" s="362" t="str" cm="1">
        <f t="array" ref="E147">IFERROR(IF($A147="","",INDEX(_xlfn.ANCHORARRAY('Short Circuit'!$BK$4),ROW()-5,2)),"")</f>
        <v/>
      </c>
      <c r="F147" s="15" t="str">
        <f>IF($A147="","",IF($C147=0,"— utility service —",IFERROR(_xlfn.XLOOKUP("F-"&amp;$A147,'Short Circuit'!$A$6:$A$255,'Short Circuit'!$G$6:$G$255),IFERROR(_xlfn.XLOOKUP($A147,'Short Circuit'!$A$6:$A$255,'Short Circuit'!$G$6:$G$255),"⚠ no feeder data"))))</f>
        <v/>
      </c>
      <c r="G147" s="78" t="str">
        <f>IF($A147="","",IF($C147=0,0,IFERROR(_xlfn.XLOOKUP("F-"&amp;$A147,'Feeder Schedule'!$B$5:$B$254,'Feeder Schedule'!$U$5:$U$254),"")))</f>
        <v/>
      </c>
      <c r="H147" s="78" t="str">
        <f t="shared" si="10"/>
        <v/>
      </c>
      <c r="I147" s="78" t="str">
        <f t="shared" si="8"/>
        <v/>
      </c>
      <c r="J147" s="78" t="str">
        <f t="shared" si="9"/>
        <v/>
      </c>
      <c r="K147" s="15" t="str">
        <f t="shared" si="11"/>
        <v/>
      </c>
      <c r="L147" s="363"/>
    </row>
    <row r="148" spans="1:12" s="20" customFormat="1" ht="15" customHeight="1" x14ac:dyDescent="0.35">
      <c r="A148" s="15" t="str" cm="1">
        <f t="array" ref="A148">IFERROR(IF(INDEX(_xlfn.ANCHORARRAY('Short Circuit'!$BK$4),ROW()-5,1)="","",INDEX(_xlfn.ANCHORARRAY('Short Circuit'!$BK$4),ROW()-5,1)),"")</f>
        <v/>
      </c>
      <c r="B148" s="362" t="str" cm="1">
        <f t="array" ref="B148">IFERROR(IF($A148="","",INDEX(_xlfn.ANCHORARRAY('Short Circuit'!$BK$4),ROW()-5,5)),"")</f>
        <v/>
      </c>
      <c r="C148" s="181" t="str" cm="1">
        <f t="array" ref="C148">IFERROR(IF($A148="","",INDEX(_xlfn.ANCHORARRAY('Short Circuit'!$BK$4),ROW()-5,7)),"")</f>
        <v/>
      </c>
      <c r="D148" s="168" t="str" cm="1">
        <f t="array" ref="D148">IFERROR(IF($A148="","",INDEX(_xlfn.ANCHORARRAY('Short Circuit'!$BK$4),ROW()-5,3)),"")</f>
        <v/>
      </c>
      <c r="E148" s="362" t="str" cm="1">
        <f t="array" ref="E148">IFERROR(IF($A148="","",INDEX(_xlfn.ANCHORARRAY('Short Circuit'!$BK$4),ROW()-5,2)),"")</f>
        <v/>
      </c>
      <c r="F148" s="15" t="str">
        <f>IF($A148="","",IF($C148=0,"— utility service —",IFERROR(_xlfn.XLOOKUP("F-"&amp;$A148,'Short Circuit'!$A$6:$A$255,'Short Circuit'!$G$6:$G$255),IFERROR(_xlfn.XLOOKUP($A148,'Short Circuit'!$A$6:$A$255,'Short Circuit'!$G$6:$G$255),"⚠ no feeder data"))))</f>
        <v/>
      </c>
      <c r="G148" s="78" t="str">
        <f>IF($A148="","",IF($C148=0,0,IFERROR(_xlfn.XLOOKUP("F-"&amp;$A148,'Feeder Schedule'!$B$5:$B$254,'Feeder Schedule'!$U$5:$U$254),"")))</f>
        <v/>
      </c>
      <c r="H148" s="78" t="str">
        <f t="shared" si="10"/>
        <v/>
      </c>
      <c r="I148" s="78" t="str">
        <f t="shared" si="8"/>
        <v/>
      </c>
      <c r="J148" s="78" t="str">
        <f t="shared" si="9"/>
        <v/>
      </c>
      <c r="K148" s="15" t="str">
        <f t="shared" si="11"/>
        <v/>
      </c>
      <c r="L148" s="363"/>
    </row>
    <row r="149" spans="1:12" s="20" customFormat="1" ht="15" customHeight="1" x14ac:dyDescent="0.35">
      <c r="A149" s="15" t="str" cm="1">
        <f t="array" ref="A149">IFERROR(IF(INDEX(_xlfn.ANCHORARRAY('Short Circuit'!$BK$4),ROW()-5,1)="","",INDEX(_xlfn.ANCHORARRAY('Short Circuit'!$BK$4),ROW()-5,1)),"")</f>
        <v/>
      </c>
      <c r="B149" s="362" t="str" cm="1">
        <f t="array" ref="B149">IFERROR(IF($A149="","",INDEX(_xlfn.ANCHORARRAY('Short Circuit'!$BK$4),ROW()-5,5)),"")</f>
        <v/>
      </c>
      <c r="C149" s="181" t="str" cm="1">
        <f t="array" ref="C149">IFERROR(IF($A149="","",INDEX(_xlfn.ANCHORARRAY('Short Circuit'!$BK$4),ROW()-5,7)),"")</f>
        <v/>
      </c>
      <c r="D149" s="168" t="str" cm="1">
        <f t="array" ref="D149">IFERROR(IF($A149="","",INDEX(_xlfn.ANCHORARRAY('Short Circuit'!$BK$4),ROW()-5,3)),"")</f>
        <v/>
      </c>
      <c r="E149" s="362" t="str" cm="1">
        <f t="array" ref="E149">IFERROR(IF($A149="","",INDEX(_xlfn.ANCHORARRAY('Short Circuit'!$BK$4),ROW()-5,2)),"")</f>
        <v/>
      </c>
      <c r="F149" s="15" t="str">
        <f>IF($A149="","",IF($C149=0,"— utility service —",IFERROR(_xlfn.XLOOKUP("F-"&amp;$A149,'Short Circuit'!$A$6:$A$255,'Short Circuit'!$G$6:$G$255),IFERROR(_xlfn.XLOOKUP($A149,'Short Circuit'!$A$6:$A$255,'Short Circuit'!$G$6:$G$255),"⚠ no feeder data"))))</f>
        <v/>
      </c>
      <c r="G149" s="78" t="str">
        <f>IF($A149="","",IF($C149=0,0,IFERROR(_xlfn.XLOOKUP("F-"&amp;$A149,'Feeder Schedule'!$B$5:$B$254,'Feeder Schedule'!$U$5:$U$254),"")))</f>
        <v/>
      </c>
      <c r="H149" s="78" t="str">
        <f t="shared" si="10"/>
        <v/>
      </c>
      <c r="I149" s="78" t="str">
        <f t="shared" si="8"/>
        <v/>
      </c>
      <c r="J149" s="78" t="str">
        <f t="shared" si="9"/>
        <v/>
      </c>
      <c r="K149" s="15" t="str">
        <f t="shared" si="11"/>
        <v/>
      </c>
      <c r="L149" s="363"/>
    </row>
    <row r="150" spans="1:12" s="20" customFormat="1" ht="15" customHeight="1" x14ac:dyDescent="0.35">
      <c r="A150" s="15" t="str" cm="1">
        <f t="array" ref="A150">IFERROR(IF(INDEX(_xlfn.ANCHORARRAY('Short Circuit'!$BK$4),ROW()-5,1)="","",INDEX(_xlfn.ANCHORARRAY('Short Circuit'!$BK$4),ROW()-5,1)),"")</f>
        <v/>
      </c>
      <c r="B150" s="362" t="str" cm="1">
        <f t="array" ref="B150">IFERROR(IF($A150="","",INDEX(_xlfn.ANCHORARRAY('Short Circuit'!$BK$4),ROW()-5,5)),"")</f>
        <v/>
      </c>
      <c r="C150" s="181" t="str" cm="1">
        <f t="array" ref="C150">IFERROR(IF($A150="","",INDEX(_xlfn.ANCHORARRAY('Short Circuit'!$BK$4),ROW()-5,7)),"")</f>
        <v/>
      </c>
      <c r="D150" s="168" t="str" cm="1">
        <f t="array" ref="D150">IFERROR(IF($A150="","",INDEX(_xlfn.ANCHORARRAY('Short Circuit'!$BK$4),ROW()-5,3)),"")</f>
        <v/>
      </c>
      <c r="E150" s="362" t="str" cm="1">
        <f t="array" ref="E150">IFERROR(IF($A150="","",INDEX(_xlfn.ANCHORARRAY('Short Circuit'!$BK$4),ROW()-5,2)),"")</f>
        <v/>
      </c>
      <c r="F150" s="15" t="str">
        <f>IF($A150="","",IF($C150=0,"— utility service —",IFERROR(_xlfn.XLOOKUP("F-"&amp;$A150,'Short Circuit'!$A$6:$A$255,'Short Circuit'!$G$6:$G$255),IFERROR(_xlfn.XLOOKUP($A150,'Short Circuit'!$A$6:$A$255,'Short Circuit'!$G$6:$G$255),"⚠ no feeder data"))))</f>
        <v/>
      </c>
      <c r="G150" s="78" t="str">
        <f>IF($A150="","",IF($C150=0,0,IFERROR(_xlfn.XLOOKUP("F-"&amp;$A150,'Feeder Schedule'!$B$5:$B$254,'Feeder Schedule'!$U$5:$U$254),"")))</f>
        <v/>
      </c>
      <c r="H150" s="78" t="str">
        <f t="shared" si="10"/>
        <v/>
      </c>
      <c r="I150" s="78" t="str">
        <f t="shared" si="8"/>
        <v/>
      </c>
      <c r="J150" s="78" t="str">
        <f t="shared" si="9"/>
        <v/>
      </c>
      <c r="K150" s="15" t="str">
        <f t="shared" si="11"/>
        <v/>
      </c>
      <c r="L150" s="363"/>
    </row>
    <row r="151" spans="1:12" s="20" customFormat="1" ht="15" customHeight="1" x14ac:dyDescent="0.35">
      <c r="A151" s="15" t="str" cm="1">
        <f t="array" ref="A151">IFERROR(IF(INDEX(_xlfn.ANCHORARRAY('Short Circuit'!$BK$4),ROW()-5,1)="","",INDEX(_xlfn.ANCHORARRAY('Short Circuit'!$BK$4),ROW()-5,1)),"")</f>
        <v/>
      </c>
      <c r="B151" s="362" t="str" cm="1">
        <f t="array" ref="B151">IFERROR(IF($A151="","",INDEX(_xlfn.ANCHORARRAY('Short Circuit'!$BK$4),ROW()-5,5)),"")</f>
        <v/>
      </c>
      <c r="C151" s="181" t="str" cm="1">
        <f t="array" ref="C151">IFERROR(IF($A151="","",INDEX(_xlfn.ANCHORARRAY('Short Circuit'!$BK$4),ROW()-5,7)),"")</f>
        <v/>
      </c>
      <c r="D151" s="168" t="str" cm="1">
        <f t="array" ref="D151">IFERROR(IF($A151="","",INDEX(_xlfn.ANCHORARRAY('Short Circuit'!$BK$4),ROW()-5,3)),"")</f>
        <v/>
      </c>
      <c r="E151" s="362" t="str" cm="1">
        <f t="array" ref="E151">IFERROR(IF($A151="","",INDEX(_xlfn.ANCHORARRAY('Short Circuit'!$BK$4),ROW()-5,2)),"")</f>
        <v/>
      </c>
      <c r="F151" s="15" t="str">
        <f>IF($A151="","",IF($C151=0,"— utility service —",IFERROR(_xlfn.XLOOKUP("F-"&amp;$A151,'Short Circuit'!$A$6:$A$255,'Short Circuit'!$G$6:$G$255),IFERROR(_xlfn.XLOOKUP($A151,'Short Circuit'!$A$6:$A$255,'Short Circuit'!$G$6:$G$255),"⚠ no feeder data"))))</f>
        <v/>
      </c>
      <c r="G151" s="78" t="str">
        <f>IF($A151="","",IF($C151=0,0,IFERROR(_xlfn.XLOOKUP("F-"&amp;$A151,'Feeder Schedule'!$B$5:$B$254,'Feeder Schedule'!$U$5:$U$254),"")))</f>
        <v/>
      </c>
      <c r="H151" s="78" t="str">
        <f t="shared" si="10"/>
        <v/>
      </c>
      <c r="I151" s="78" t="str">
        <f t="shared" si="8"/>
        <v/>
      </c>
      <c r="J151" s="78" t="str">
        <f t="shared" si="9"/>
        <v/>
      </c>
      <c r="K151" s="15" t="str">
        <f t="shared" si="11"/>
        <v/>
      </c>
      <c r="L151" s="363"/>
    </row>
    <row r="152" spans="1:12" s="20" customFormat="1" ht="15" customHeight="1" x14ac:dyDescent="0.35">
      <c r="A152" s="15" t="str" cm="1">
        <f t="array" ref="A152">IFERROR(IF(INDEX(_xlfn.ANCHORARRAY('Short Circuit'!$BK$4),ROW()-5,1)="","",INDEX(_xlfn.ANCHORARRAY('Short Circuit'!$BK$4),ROW()-5,1)),"")</f>
        <v/>
      </c>
      <c r="B152" s="362" t="str" cm="1">
        <f t="array" ref="B152">IFERROR(IF($A152="","",INDEX(_xlfn.ANCHORARRAY('Short Circuit'!$BK$4),ROW()-5,5)),"")</f>
        <v/>
      </c>
      <c r="C152" s="181" t="str" cm="1">
        <f t="array" ref="C152">IFERROR(IF($A152="","",INDEX(_xlfn.ANCHORARRAY('Short Circuit'!$BK$4),ROW()-5,7)),"")</f>
        <v/>
      </c>
      <c r="D152" s="168" t="str" cm="1">
        <f t="array" ref="D152">IFERROR(IF($A152="","",INDEX(_xlfn.ANCHORARRAY('Short Circuit'!$BK$4),ROW()-5,3)),"")</f>
        <v/>
      </c>
      <c r="E152" s="362" t="str" cm="1">
        <f t="array" ref="E152">IFERROR(IF($A152="","",INDEX(_xlfn.ANCHORARRAY('Short Circuit'!$BK$4),ROW()-5,2)),"")</f>
        <v/>
      </c>
      <c r="F152" s="15" t="str">
        <f>IF($A152="","",IF($C152=0,"— utility service —",IFERROR(_xlfn.XLOOKUP("F-"&amp;$A152,'Short Circuit'!$A$6:$A$255,'Short Circuit'!$G$6:$G$255),IFERROR(_xlfn.XLOOKUP($A152,'Short Circuit'!$A$6:$A$255,'Short Circuit'!$G$6:$G$255),"⚠ no feeder data"))))</f>
        <v/>
      </c>
      <c r="G152" s="78" t="str">
        <f>IF($A152="","",IF($C152=0,0,IFERROR(_xlfn.XLOOKUP("F-"&amp;$A152,'Feeder Schedule'!$B$5:$B$254,'Feeder Schedule'!$U$5:$U$254),"")))</f>
        <v/>
      </c>
      <c r="H152" s="78" t="str">
        <f t="shared" si="10"/>
        <v/>
      </c>
      <c r="I152" s="78" t="str">
        <f t="shared" si="8"/>
        <v/>
      </c>
      <c r="J152" s="78" t="str">
        <f t="shared" si="9"/>
        <v/>
      </c>
      <c r="K152" s="15" t="str">
        <f t="shared" si="11"/>
        <v/>
      </c>
      <c r="L152" s="363"/>
    </row>
    <row r="153" spans="1:12" s="20" customFormat="1" ht="15" customHeight="1" x14ac:dyDescent="0.35">
      <c r="A153" s="15" t="str" cm="1">
        <f t="array" ref="A153">IFERROR(IF(INDEX(_xlfn.ANCHORARRAY('Short Circuit'!$BK$4),ROW()-5,1)="","",INDEX(_xlfn.ANCHORARRAY('Short Circuit'!$BK$4),ROW()-5,1)),"")</f>
        <v/>
      </c>
      <c r="B153" s="362" t="str" cm="1">
        <f t="array" ref="B153">IFERROR(IF($A153="","",INDEX(_xlfn.ANCHORARRAY('Short Circuit'!$BK$4),ROW()-5,5)),"")</f>
        <v/>
      </c>
      <c r="C153" s="181" t="str" cm="1">
        <f t="array" ref="C153">IFERROR(IF($A153="","",INDEX(_xlfn.ANCHORARRAY('Short Circuit'!$BK$4),ROW()-5,7)),"")</f>
        <v/>
      </c>
      <c r="D153" s="168" t="str" cm="1">
        <f t="array" ref="D153">IFERROR(IF($A153="","",INDEX(_xlfn.ANCHORARRAY('Short Circuit'!$BK$4),ROW()-5,3)),"")</f>
        <v/>
      </c>
      <c r="E153" s="362" t="str" cm="1">
        <f t="array" ref="E153">IFERROR(IF($A153="","",INDEX(_xlfn.ANCHORARRAY('Short Circuit'!$BK$4),ROW()-5,2)),"")</f>
        <v/>
      </c>
      <c r="F153" s="15" t="str">
        <f>IF($A153="","",IF($C153=0,"— utility service —",IFERROR(_xlfn.XLOOKUP("F-"&amp;$A153,'Short Circuit'!$A$6:$A$255,'Short Circuit'!$G$6:$G$255),IFERROR(_xlfn.XLOOKUP($A153,'Short Circuit'!$A$6:$A$255,'Short Circuit'!$G$6:$G$255),"⚠ no feeder data"))))</f>
        <v/>
      </c>
      <c r="G153" s="78" t="str">
        <f>IF($A153="","",IF($C153=0,0,IFERROR(_xlfn.XLOOKUP("F-"&amp;$A153,'Feeder Schedule'!$B$5:$B$254,'Feeder Schedule'!$U$5:$U$254),"")))</f>
        <v/>
      </c>
      <c r="H153" s="78" t="str">
        <f t="shared" si="10"/>
        <v/>
      </c>
      <c r="I153" s="78" t="str">
        <f t="shared" si="8"/>
        <v/>
      </c>
      <c r="J153" s="78" t="str">
        <f t="shared" si="9"/>
        <v/>
      </c>
      <c r="K153" s="15" t="str">
        <f t="shared" si="11"/>
        <v/>
      </c>
      <c r="L153" s="363"/>
    </row>
    <row r="154" spans="1:12" s="20" customFormat="1" ht="15" customHeight="1" x14ac:dyDescent="0.35">
      <c r="A154" s="15" t="str" cm="1">
        <f t="array" ref="A154">IFERROR(IF(INDEX(_xlfn.ANCHORARRAY('Short Circuit'!$BK$4),ROW()-5,1)="","",INDEX(_xlfn.ANCHORARRAY('Short Circuit'!$BK$4),ROW()-5,1)),"")</f>
        <v/>
      </c>
      <c r="B154" s="362" t="str" cm="1">
        <f t="array" ref="B154">IFERROR(IF($A154="","",INDEX(_xlfn.ANCHORARRAY('Short Circuit'!$BK$4),ROW()-5,5)),"")</f>
        <v/>
      </c>
      <c r="C154" s="181" t="str" cm="1">
        <f t="array" ref="C154">IFERROR(IF($A154="","",INDEX(_xlfn.ANCHORARRAY('Short Circuit'!$BK$4),ROW()-5,7)),"")</f>
        <v/>
      </c>
      <c r="D154" s="168" t="str" cm="1">
        <f t="array" ref="D154">IFERROR(IF($A154="","",INDEX(_xlfn.ANCHORARRAY('Short Circuit'!$BK$4),ROW()-5,3)),"")</f>
        <v/>
      </c>
      <c r="E154" s="362" t="str" cm="1">
        <f t="array" ref="E154">IFERROR(IF($A154="","",INDEX(_xlfn.ANCHORARRAY('Short Circuit'!$BK$4),ROW()-5,2)),"")</f>
        <v/>
      </c>
      <c r="F154" s="15" t="str">
        <f>IF($A154="","",IF($C154=0,"— utility service —",IFERROR(_xlfn.XLOOKUP("F-"&amp;$A154,'Short Circuit'!$A$6:$A$255,'Short Circuit'!$G$6:$G$255),IFERROR(_xlfn.XLOOKUP($A154,'Short Circuit'!$A$6:$A$255,'Short Circuit'!$G$6:$G$255),"⚠ no feeder data"))))</f>
        <v/>
      </c>
      <c r="G154" s="78" t="str">
        <f>IF($A154="","",IF($C154=0,0,IFERROR(_xlfn.XLOOKUP("F-"&amp;$A154,'Feeder Schedule'!$B$5:$B$254,'Feeder Schedule'!$U$5:$U$254),"")))</f>
        <v/>
      </c>
      <c r="H154" s="78" t="str">
        <f t="shared" si="10"/>
        <v/>
      </c>
      <c r="I154" s="78" t="str">
        <f t="shared" si="8"/>
        <v/>
      </c>
      <c r="J154" s="78" t="str">
        <f t="shared" si="9"/>
        <v/>
      </c>
      <c r="K154" s="15" t="str">
        <f t="shared" si="11"/>
        <v/>
      </c>
      <c r="L154" s="363"/>
    </row>
    <row r="155" spans="1:12" s="20" customFormat="1" ht="15" customHeight="1" x14ac:dyDescent="0.35">
      <c r="A155" s="15" t="str" cm="1">
        <f t="array" ref="A155">IFERROR(IF(INDEX(_xlfn.ANCHORARRAY('Short Circuit'!$BK$4),ROW()-5,1)="","",INDEX(_xlfn.ANCHORARRAY('Short Circuit'!$BK$4),ROW()-5,1)),"")</f>
        <v/>
      </c>
      <c r="B155" s="362" t="str" cm="1">
        <f t="array" ref="B155">IFERROR(IF($A155="","",INDEX(_xlfn.ANCHORARRAY('Short Circuit'!$BK$4),ROW()-5,5)),"")</f>
        <v/>
      </c>
      <c r="C155" s="181" t="str" cm="1">
        <f t="array" ref="C155">IFERROR(IF($A155="","",INDEX(_xlfn.ANCHORARRAY('Short Circuit'!$BK$4),ROW()-5,7)),"")</f>
        <v/>
      </c>
      <c r="D155" s="168" t="str" cm="1">
        <f t="array" ref="D155">IFERROR(IF($A155="","",INDEX(_xlfn.ANCHORARRAY('Short Circuit'!$BK$4),ROW()-5,3)),"")</f>
        <v/>
      </c>
      <c r="E155" s="362" t="str" cm="1">
        <f t="array" ref="E155">IFERROR(IF($A155="","",INDEX(_xlfn.ANCHORARRAY('Short Circuit'!$BK$4),ROW()-5,2)),"")</f>
        <v/>
      </c>
      <c r="F155" s="15" t="str">
        <f>IF($A155="","",IF($C155=0,"— utility service —",IFERROR(_xlfn.XLOOKUP("F-"&amp;$A155,'Short Circuit'!$A$6:$A$255,'Short Circuit'!$G$6:$G$255),IFERROR(_xlfn.XLOOKUP($A155,'Short Circuit'!$A$6:$A$255,'Short Circuit'!$G$6:$G$255),"⚠ no feeder data"))))</f>
        <v/>
      </c>
      <c r="G155" s="78" t="str">
        <f>IF($A155="","",IF($C155=0,0,IFERROR(_xlfn.XLOOKUP("F-"&amp;$A155,'Feeder Schedule'!$B$5:$B$254,'Feeder Schedule'!$U$5:$U$254),"")))</f>
        <v/>
      </c>
      <c r="H155" s="78" t="str">
        <f t="shared" si="10"/>
        <v/>
      </c>
      <c r="I155" s="78" t="str">
        <f t="shared" si="8"/>
        <v/>
      </c>
      <c r="J155" s="78" t="str">
        <f t="shared" si="9"/>
        <v/>
      </c>
      <c r="K155" s="15" t="str">
        <f t="shared" si="11"/>
        <v/>
      </c>
      <c r="L155" s="363"/>
    </row>
    <row r="156" spans="1:12" s="20" customFormat="1" ht="15" customHeight="1" x14ac:dyDescent="0.35">
      <c r="A156" s="15" t="str" cm="1">
        <f t="array" ref="A156">IFERROR(IF(INDEX(_xlfn.ANCHORARRAY('Short Circuit'!$BK$4),ROW()-5,1)="","",INDEX(_xlfn.ANCHORARRAY('Short Circuit'!$BK$4),ROW()-5,1)),"")</f>
        <v/>
      </c>
      <c r="B156" s="362" t="str" cm="1">
        <f t="array" ref="B156">IFERROR(IF($A156="","",INDEX(_xlfn.ANCHORARRAY('Short Circuit'!$BK$4),ROW()-5,5)),"")</f>
        <v/>
      </c>
      <c r="C156" s="181" t="str" cm="1">
        <f t="array" ref="C156">IFERROR(IF($A156="","",INDEX(_xlfn.ANCHORARRAY('Short Circuit'!$BK$4),ROW()-5,7)),"")</f>
        <v/>
      </c>
      <c r="D156" s="168" t="str" cm="1">
        <f t="array" ref="D156">IFERROR(IF($A156="","",INDEX(_xlfn.ANCHORARRAY('Short Circuit'!$BK$4),ROW()-5,3)),"")</f>
        <v/>
      </c>
      <c r="E156" s="362" t="str" cm="1">
        <f t="array" ref="E156">IFERROR(IF($A156="","",INDEX(_xlfn.ANCHORARRAY('Short Circuit'!$BK$4),ROW()-5,2)),"")</f>
        <v/>
      </c>
      <c r="F156" s="15" t="str">
        <f>IF($A156="","",IF($C156=0,"— utility service —",IFERROR(_xlfn.XLOOKUP("F-"&amp;$A156,'Short Circuit'!$A$6:$A$255,'Short Circuit'!$G$6:$G$255),IFERROR(_xlfn.XLOOKUP($A156,'Short Circuit'!$A$6:$A$255,'Short Circuit'!$G$6:$G$255),"⚠ no feeder data"))))</f>
        <v/>
      </c>
      <c r="G156" s="78" t="str">
        <f>IF($A156="","",IF($C156=0,0,IFERROR(_xlfn.XLOOKUP("F-"&amp;$A156,'Feeder Schedule'!$B$5:$B$254,'Feeder Schedule'!$U$5:$U$254),"")))</f>
        <v/>
      </c>
      <c r="H156" s="78" t="str">
        <f t="shared" si="10"/>
        <v/>
      </c>
      <c r="I156" s="78" t="str">
        <f t="shared" si="8"/>
        <v/>
      </c>
      <c r="J156" s="78" t="str">
        <f t="shared" si="9"/>
        <v/>
      </c>
      <c r="K156" s="15" t="str">
        <f t="shared" si="11"/>
        <v/>
      </c>
      <c r="L156" s="363"/>
    </row>
    <row r="157" spans="1:12" s="20" customFormat="1" ht="15" customHeight="1" x14ac:dyDescent="0.35">
      <c r="A157" s="15" t="str" cm="1">
        <f t="array" ref="A157">IFERROR(IF(INDEX(_xlfn.ANCHORARRAY('Short Circuit'!$BK$4),ROW()-5,1)="","",INDEX(_xlfn.ANCHORARRAY('Short Circuit'!$BK$4),ROW()-5,1)),"")</f>
        <v/>
      </c>
      <c r="B157" s="362" t="str" cm="1">
        <f t="array" ref="B157">IFERROR(IF($A157="","",INDEX(_xlfn.ANCHORARRAY('Short Circuit'!$BK$4),ROW()-5,5)),"")</f>
        <v/>
      </c>
      <c r="C157" s="181" t="str" cm="1">
        <f t="array" ref="C157">IFERROR(IF($A157="","",INDEX(_xlfn.ANCHORARRAY('Short Circuit'!$BK$4),ROW()-5,7)),"")</f>
        <v/>
      </c>
      <c r="D157" s="168" t="str" cm="1">
        <f t="array" ref="D157">IFERROR(IF($A157="","",INDEX(_xlfn.ANCHORARRAY('Short Circuit'!$BK$4),ROW()-5,3)),"")</f>
        <v/>
      </c>
      <c r="E157" s="362" t="str" cm="1">
        <f t="array" ref="E157">IFERROR(IF($A157="","",INDEX(_xlfn.ANCHORARRAY('Short Circuit'!$BK$4),ROW()-5,2)),"")</f>
        <v/>
      </c>
      <c r="F157" s="15" t="str">
        <f>IF($A157="","",IF($C157=0,"— utility service —",IFERROR(_xlfn.XLOOKUP("F-"&amp;$A157,'Short Circuit'!$A$6:$A$255,'Short Circuit'!$G$6:$G$255),IFERROR(_xlfn.XLOOKUP($A157,'Short Circuit'!$A$6:$A$255,'Short Circuit'!$G$6:$G$255),"⚠ no feeder data"))))</f>
        <v/>
      </c>
      <c r="G157" s="78" t="str">
        <f>IF($A157="","",IF($C157=0,0,IFERROR(_xlfn.XLOOKUP("F-"&amp;$A157,'Feeder Schedule'!$B$5:$B$254,'Feeder Schedule'!$U$5:$U$254),"")))</f>
        <v/>
      </c>
      <c r="H157" s="78" t="str">
        <f t="shared" si="10"/>
        <v/>
      </c>
      <c r="I157" s="78" t="str">
        <f t="shared" si="8"/>
        <v/>
      </c>
      <c r="J157" s="78" t="str">
        <f t="shared" si="9"/>
        <v/>
      </c>
      <c r="K157" s="15" t="str">
        <f t="shared" si="11"/>
        <v/>
      </c>
      <c r="L157" s="363"/>
    </row>
    <row r="158" spans="1:12" s="20" customFormat="1" ht="15" customHeight="1" x14ac:dyDescent="0.35">
      <c r="A158" s="15" t="str" cm="1">
        <f t="array" ref="A158">IFERROR(IF(INDEX(_xlfn.ANCHORARRAY('Short Circuit'!$BK$4),ROW()-5,1)="","",INDEX(_xlfn.ANCHORARRAY('Short Circuit'!$BK$4),ROW()-5,1)),"")</f>
        <v/>
      </c>
      <c r="B158" s="362" t="str" cm="1">
        <f t="array" ref="B158">IFERROR(IF($A158="","",INDEX(_xlfn.ANCHORARRAY('Short Circuit'!$BK$4),ROW()-5,5)),"")</f>
        <v/>
      </c>
      <c r="C158" s="181" t="str" cm="1">
        <f t="array" ref="C158">IFERROR(IF($A158="","",INDEX(_xlfn.ANCHORARRAY('Short Circuit'!$BK$4),ROW()-5,7)),"")</f>
        <v/>
      </c>
      <c r="D158" s="168" t="str" cm="1">
        <f t="array" ref="D158">IFERROR(IF($A158="","",INDEX(_xlfn.ANCHORARRAY('Short Circuit'!$BK$4),ROW()-5,3)),"")</f>
        <v/>
      </c>
      <c r="E158" s="362" t="str" cm="1">
        <f t="array" ref="E158">IFERROR(IF($A158="","",INDEX(_xlfn.ANCHORARRAY('Short Circuit'!$BK$4),ROW()-5,2)),"")</f>
        <v/>
      </c>
      <c r="F158" s="15" t="str">
        <f>IF($A158="","",IF($C158=0,"— utility service —",IFERROR(_xlfn.XLOOKUP("F-"&amp;$A158,'Short Circuit'!$A$6:$A$255,'Short Circuit'!$G$6:$G$255),IFERROR(_xlfn.XLOOKUP($A158,'Short Circuit'!$A$6:$A$255,'Short Circuit'!$G$6:$G$255),"⚠ no feeder data"))))</f>
        <v/>
      </c>
      <c r="G158" s="78" t="str">
        <f>IF($A158="","",IF($C158=0,0,IFERROR(_xlfn.XLOOKUP("F-"&amp;$A158,'Feeder Schedule'!$B$5:$B$254,'Feeder Schedule'!$U$5:$U$254),"")))</f>
        <v/>
      </c>
      <c r="H158" s="78" t="str">
        <f t="shared" si="10"/>
        <v/>
      </c>
      <c r="I158" s="78" t="str">
        <f t="shared" si="8"/>
        <v/>
      </c>
      <c r="J158" s="78" t="str">
        <f t="shared" si="9"/>
        <v/>
      </c>
      <c r="K158" s="15" t="str">
        <f t="shared" si="11"/>
        <v/>
      </c>
      <c r="L158" s="363"/>
    </row>
    <row r="159" spans="1:12" s="20" customFormat="1" ht="15" customHeight="1" x14ac:dyDescent="0.35">
      <c r="A159" s="15" t="str" cm="1">
        <f t="array" ref="A159">IFERROR(IF(INDEX(_xlfn.ANCHORARRAY('Short Circuit'!$BK$4),ROW()-5,1)="","",INDEX(_xlfn.ANCHORARRAY('Short Circuit'!$BK$4),ROW()-5,1)),"")</f>
        <v/>
      </c>
      <c r="B159" s="362" t="str" cm="1">
        <f t="array" ref="B159">IFERROR(IF($A159="","",INDEX(_xlfn.ANCHORARRAY('Short Circuit'!$BK$4),ROW()-5,5)),"")</f>
        <v/>
      </c>
      <c r="C159" s="181" t="str" cm="1">
        <f t="array" ref="C159">IFERROR(IF($A159="","",INDEX(_xlfn.ANCHORARRAY('Short Circuit'!$BK$4),ROW()-5,7)),"")</f>
        <v/>
      </c>
      <c r="D159" s="168" t="str" cm="1">
        <f t="array" ref="D159">IFERROR(IF($A159="","",INDEX(_xlfn.ANCHORARRAY('Short Circuit'!$BK$4),ROW()-5,3)),"")</f>
        <v/>
      </c>
      <c r="E159" s="362" t="str" cm="1">
        <f t="array" ref="E159">IFERROR(IF($A159="","",INDEX(_xlfn.ANCHORARRAY('Short Circuit'!$BK$4),ROW()-5,2)),"")</f>
        <v/>
      </c>
      <c r="F159" s="15" t="str">
        <f>IF($A159="","",IF($C159=0,"— utility service —",IFERROR(_xlfn.XLOOKUP("F-"&amp;$A159,'Short Circuit'!$A$6:$A$255,'Short Circuit'!$G$6:$G$255),IFERROR(_xlfn.XLOOKUP($A159,'Short Circuit'!$A$6:$A$255,'Short Circuit'!$G$6:$G$255),"⚠ no feeder data"))))</f>
        <v/>
      </c>
      <c r="G159" s="78" t="str">
        <f>IF($A159="","",IF($C159=0,0,IFERROR(_xlfn.XLOOKUP("F-"&amp;$A159,'Feeder Schedule'!$B$5:$B$254,'Feeder Schedule'!$U$5:$U$254),"")))</f>
        <v/>
      </c>
      <c r="H159" s="78" t="str">
        <f t="shared" si="10"/>
        <v/>
      </c>
      <c r="I159" s="78" t="str">
        <f t="shared" si="8"/>
        <v/>
      </c>
      <c r="J159" s="78" t="str">
        <f t="shared" si="9"/>
        <v/>
      </c>
      <c r="K159" s="15" t="str">
        <f t="shared" si="11"/>
        <v/>
      </c>
      <c r="L159" s="363"/>
    </row>
    <row r="160" spans="1:12" s="20" customFormat="1" ht="15" customHeight="1" x14ac:dyDescent="0.35">
      <c r="A160" s="15" t="str" cm="1">
        <f t="array" ref="A160">IFERROR(IF(INDEX(_xlfn.ANCHORARRAY('Short Circuit'!$BK$4),ROW()-5,1)="","",INDEX(_xlfn.ANCHORARRAY('Short Circuit'!$BK$4),ROW()-5,1)),"")</f>
        <v/>
      </c>
      <c r="B160" s="362" t="str" cm="1">
        <f t="array" ref="B160">IFERROR(IF($A160="","",INDEX(_xlfn.ANCHORARRAY('Short Circuit'!$BK$4),ROW()-5,5)),"")</f>
        <v/>
      </c>
      <c r="C160" s="181" t="str" cm="1">
        <f t="array" ref="C160">IFERROR(IF($A160="","",INDEX(_xlfn.ANCHORARRAY('Short Circuit'!$BK$4),ROW()-5,7)),"")</f>
        <v/>
      </c>
      <c r="D160" s="168" t="str" cm="1">
        <f t="array" ref="D160">IFERROR(IF($A160="","",INDEX(_xlfn.ANCHORARRAY('Short Circuit'!$BK$4),ROW()-5,3)),"")</f>
        <v/>
      </c>
      <c r="E160" s="362" t="str" cm="1">
        <f t="array" ref="E160">IFERROR(IF($A160="","",INDEX(_xlfn.ANCHORARRAY('Short Circuit'!$BK$4),ROW()-5,2)),"")</f>
        <v/>
      </c>
      <c r="F160" s="15" t="str">
        <f>IF($A160="","",IF($C160=0,"— utility service —",IFERROR(_xlfn.XLOOKUP("F-"&amp;$A160,'Short Circuit'!$A$6:$A$255,'Short Circuit'!$G$6:$G$255),IFERROR(_xlfn.XLOOKUP($A160,'Short Circuit'!$A$6:$A$255,'Short Circuit'!$G$6:$G$255),"⚠ no feeder data"))))</f>
        <v/>
      </c>
      <c r="G160" s="78" t="str">
        <f>IF($A160="","",IF($C160=0,0,IFERROR(_xlfn.XLOOKUP("F-"&amp;$A160,'Feeder Schedule'!$B$5:$B$254,'Feeder Schedule'!$U$5:$U$254),"")))</f>
        <v/>
      </c>
      <c r="H160" s="78" t="str">
        <f t="shared" si="10"/>
        <v/>
      </c>
      <c r="I160" s="78" t="str">
        <f t="shared" si="8"/>
        <v/>
      </c>
      <c r="J160" s="78" t="str">
        <f t="shared" si="9"/>
        <v/>
      </c>
      <c r="K160" s="15" t="str">
        <f t="shared" si="11"/>
        <v/>
      </c>
      <c r="L160" s="363"/>
    </row>
    <row r="161" spans="1:12" s="20" customFormat="1" ht="15" customHeight="1" x14ac:dyDescent="0.35">
      <c r="A161" s="15" t="str" cm="1">
        <f t="array" ref="A161">IFERROR(IF(INDEX(_xlfn.ANCHORARRAY('Short Circuit'!$BK$4),ROW()-5,1)="","",INDEX(_xlfn.ANCHORARRAY('Short Circuit'!$BK$4),ROW()-5,1)),"")</f>
        <v/>
      </c>
      <c r="B161" s="362" t="str" cm="1">
        <f t="array" ref="B161">IFERROR(IF($A161="","",INDEX(_xlfn.ANCHORARRAY('Short Circuit'!$BK$4),ROW()-5,5)),"")</f>
        <v/>
      </c>
      <c r="C161" s="181" t="str" cm="1">
        <f t="array" ref="C161">IFERROR(IF($A161="","",INDEX(_xlfn.ANCHORARRAY('Short Circuit'!$BK$4),ROW()-5,7)),"")</f>
        <v/>
      </c>
      <c r="D161" s="168" t="str" cm="1">
        <f t="array" ref="D161">IFERROR(IF($A161="","",INDEX(_xlfn.ANCHORARRAY('Short Circuit'!$BK$4),ROW()-5,3)),"")</f>
        <v/>
      </c>
      <c r="E161" s="362" t="str" cm="1">
        <f t="array" ref="E161">IFERROR(IF($A161="","",INDEX(_xlfn.ANCHORARRAY('Short Circuit'!$BK$4),ROW()-5,2)),"")</f>
        <v/>
      </c>
      <c r="F161" s="15" t="str">
        <f>IF($A161="","",IF($C161=0,"— utility service —",IFERROR(_xlfn.XLOOKUP("F-"&amp;$A161,'Short Circuit'!$A$6:$A$255,'Short Circuit'!$G$6:$G$255),IFERROR(_xlfn.XLOOKUP($A161,'Short Circuit'!$A$6:$A$255,'Short Circuit'!$G$6:$G$255),"⚠ no feeder data"))))</f>
        <v/>
      </c>
      <c r="G161" s="78" t="str">
        <f>IF($A161="","",IF($C161=0,0,IFERROR(_xlfn.XLOOKUP("F-"&amp;$A161,'Feeder Schedule'!$B$5:$B$254,'Feeder Schedule'!$U$5:$U$254),"")))</f>
        <v/>
      </c>
      <c r="H161" s="78" t="str">
        <f t="shared" si="10"/>
        <v/>
      </c>
      <c r="I161" s="78" t="str">
        <f t="shared" si="8"/>
        <v/>
      </c>
      <c r="J161" s="78" t="str">
        <f t="shared" si="9"/>
        <v/>
      </c>
      <c r="K161" s="15" t="str">
        <f t="shared" si="11"/>
        <v/>
      </c>
      <c r="L161" s="363"/>
    </row>
    <row r="162" spans="1:12" s="20" customFormat="1" ht="15" customHeight="1" x14ac:dyDescent="0.35">
      <c r="A162" s="15" t="str" cm="1">
        <f t="array" ref="A162">IFERROR(IF(INDEX(_xlfn.ANCHORARRAY('Short Circuit'!$BK$4),ROW()-5,1)="","",INDEX(_xlfn.ANCHORARRAY('Short Circuit'!$BK$4),ROW()-5,1)),"")</f>
        <v/>
      </c>
      <c r="B162" s="362" t="str" cm="1">
        <f t="array" ref="B162">IFERROR(IF($A162="","",INDEX(_xlfn.ANCHORARRAY('Short Circuit'!$BK$4),ROW()-5,5)),"")</f>
        <v/>
      </c>
      <c r="C162" s="181" t="str" cm="1">
        <f t="array" ref="C162">IFERROR(IF($A162="","",INDEX(_xlfn.ANCHORARRAY('Short Circuit'!$BK$4),ROW()-5,7)),"")</f>
        <v/>
      </c>
      <c r="D162" s="168" t="str" cm="1">
        <f t="array" ref="D162">IFERROR(IF($A162="","",INDEX(_xlfn.ANCHORARRAY('Short Circuit'!$BK$4),ROW()-5,3)),"")</f>
        <v/>
      </c>
      <c r="E162" s="362" t="str" cm="1">
        <f t="array" ref="E162">IFERROR(IF($A162="","",INDEX(_xlfn.ANCHORARRAY('Short Circuit'!$BK$4),ROW()-5,2)),"")</f>
        <v/>
      </c>
      <c r="F162" s="15" t="str">
        <f>IF($A162="","",IF($C162=0,"— utility service —",IFERROR(_xlfn.XLOOKUP("F-"&amp;$A162,'Short Circuit'!$A$6:$A$255,'Short Circuit'!$G$6:$G$255),IFERROR(_xlfn.XLOOKUP($A162,'Short Circuit'!$A$6:$A$255,'Short Circuit'!$G$6:$G$255),"⚠ no feeder data"))))</f>
        <v/>
      </c>
      <c r="G162" s="78" t="str">
        <f>IF($A162="","",IF($C162=0,0,IFERROR(_xlfn.XLOOKUP("F-"&amp;$A162,'Feeder Schedule'!$B$5:$B$254,'Feeder Schedule'!$U$5:$U$254),"")))</f>
        <v/>
      </c>
      <c r="H162" s="78" t="str">
        <f t="shared" si="10"/>
        <v/>
      </c>
      <c r="I162" s="78" t="str">
        <f t="shared" si="8"/>
        <v/>
      </c>
      <c r="J162" s="78" t="str">
        <f t="shared" si="9"/>
        <v/>
      </c>
      <c r="K162" s="15" t="str">
        <f t="shared" si="11"/>
        <v/>
      </c>
      <c r="L162" s="363"/>
    </row>
    <row r="163" spans="1:12" s="20" customFormat="1" ht="15" customHeight="1" x14ac:dyDescent="0.35">
      <c r="A163" s="15" t="str" cm="1">
        <f t="array" ref="A163">IFERROR(IF(INDEX(_xlfn.ANCHORARRAY('Short Circuit'!$BK$4),ROW()-5,1)="","",INDEX(_xlfn.ANCHORARRAY('Short Circuit'!$BK$4),ROW()-5,1)),"")</f>
        <v/>
      </c>
      <c r="B163" s="362" t="str" cm="1">
        <f t="array" ref="B163">IFERROR(IF($A163="","",INDEX(_xlfn.ANCHORARRAY('Short Circuit'!$BK$4),ROW()-5,5)),"")</f>
        <v/>
      </c>
      <c r="C163" s="181" t="str" cm="1">
        <f t="array" ref="C163">IFERROR(IF($A163="","",INDEX(_xlfn.ANCHORARRAY('Short Circuit'!$BK$4),ROW()-5,7)),"")</f>
        <v/>
      </c>
      <c r="D163" s="168" t="str" cm="1">
        <f t="array" ref="D163">IFERROR(IF($A163="","",INDEX(_xlfn.ANCHORARRAY('Short Circuit'!$BK$4),ROW()-5,3)),"")</f>
        <v/>
      </c>
      <c r="E163" s="362" t="str" cm="1">
        <f t="array" ref="E163">IFERROR(IF($A163="","",INDEX(_xlfn.ANCHORARRAY('Short Circuit'!$BK$4),ROW()-5,2)),"")</f>
        <v/>
      </c>
      <c r="F163" s="15" t="str">
        <f>IF($A163="","",IF($C163=0,"— utility service —",IFERROR(_xlfn.XLOOKUP("F-"&amp;$A163,'Short Circuit'!$A$6:$A$255,'Short Circuit'!$G$6:$G$255),IFERROR(_xlfn.XLOOKUP($A163,'Short Circuit'!$A$6:$A$255,'Short Circuit'!$G$6:$G$255),"⚠ no feeder data"))))</f>
        <v/>
      </c>
      <c r="G163" s="78" t="str">
        <f>IF($A163="","",IF($C163=0,0,IFERROR(_xlfn.XLOOKUP("F-"&amp;$A163,'Feeder Schedule'!$B$5:$B$254,'Feeder Schedule'!$U$5:$U$254),"")))</f>
        <v/>
      </c>
      <c r="H163" s="78" t="str">
        <f t="shared" si="10"/>
        <v/>
      </c>
      <c r="I163" s="78" t="str">
        <f t="shared" si="8"/>
        <v/>
      </c>
      <c r="J163" s="78" t="str">
        <f t="shared" si="9"/>
        <v/>
      </c>
      <c r="K163" s="15" t="str">
        <f t="shared" si="11"/>
        <v/>
      </c>
      <c r="L163" s="363"/>
    </row>
    <row r="164" spans="1:12" s="20" customFormat="1" ht="15" customHeight="1" x14ac:dyDescent="0.35">
      <c r="A164" s="15" t="str" cm="1">
        <f t="array" ref="A164">IFERROR(IF(INDEX(_xlfn.ANCHORARRAY('Short Circuit'!$BK$4),ROW()-5,1)="","",INDEX(_xlfn.ANCHORARRAY('Short Circuit'!$BK$4),ROW()-5,1)),"")</f>
        <v/>
      </c>
      <c r="B164" s="362" t="str" cm="1">
        <f t="array" ref="B164">IFERROR(IF($A164="","",INDEX(_xlfn.ANCHORARRAY('Short Circuit'!$BK$4),ROW()-5,5)),"")</f>
        <v/>
      </c>
      <c r="C164" s="181" t="str" cm="1">
        <f t="array" ref="C164">IFERROR(IF($A164="","",INDEX(_xlfn.ANCHORARRAY('Short Circuit'!$BK$4),ROW()-5,7)),"")</f>
        <v/>
      </c>
      <c r="D164" s="168" t="str" cm="1">
        <f t="array" ref="D164">IFERROR(IF($A164="","",INDEX(_xlfn.ANCHORARRAY('Short Circuit'!$BK$4),ROW()-5,3)),"")</f>
        <v/>
      </c>
      <c r="E164" s="362" t="str" cm="1">
        <f t="array" ref="E164">IFERROR(IF($A164="","",INDEX(_xlfn.ANCHORARRAY('Short Circuit'!$BK$4),ROW()-5,2)),"")</f>
        <v/>
      </c>
      <c r="F164" s="15" t="str">
        <f>IF($A164="","",IF($C164=0,"— utility service —",IFERROR(_xlfn.XLOOKUP("F-"&amp;$A164,'Short Circuit'!$A$6:$A$255,'Short Circuit'!$G$6:$G$255),IFERROR(_xlfn.XLOOKUP($A164,'Short Circuit'!$A$6:$A$255,'Short Circuit'!$G$6:$G$255),"⚠ no feeder data"))))</f>
        <v/>
      </c>
      <c r="G164" s="78" t="str">
        <f>IF($A164="","",IF($C164=0,0,IFERROR(_xlfn.XLOOKUP("F-"&amp;$A164,'Feeder Schedule'!$B$5:$B$254,'Feeder Schedule'!$U$5:$U$254),"")))</f>
        <v/>
      </c>
      <c r="H164" s="78" t="str">
        <f t="shared" si="10"/>
        <v/>
      </c>
      <c r="I164" s="78" t="str">
        <f t="shared" si="8"/>
        <v/>
      </c>
      <c r="J164" s="78" t="str">
        <f t="shared" si="9"/>
        <v/>
      </c>
      <c r="K164" s="15" t="str">
        <f t="shared" si="11"/>
        <v/>
      </c>
      <c r="L164" s="363"/>
    </row>
    <row r="165" spans="1:12" s="20" customFormat="1" ht="15" customHeight="1" x14ac:dyDescent="0.35">
      <c r="A165" s="15" t="str" cm="1">
        <f t="array" ref="A165">IFERROR(IF(INDEX(_xlfn.ANCHORARRAY('Short Circuit'!$BK$4),ROW()-5,1)="","",INDEX(_xlfn.ANCHORARRAY('Short Circuit'!$BK$4),ROW()-5,1)),"")</f>
        <v/>
      </c>
      <c r="B165" s="362" t="str" cm="1">
        <f t="array" ref="B165">IFERROR(IF($A165="","",INDEX(_xlfn.ANCHORARRAY('Short Circuit'!$BK$4),ROW()-5,5)),"")</f>
        <v/>
      </c>
      <c r="C165" s="181" t="str" cm="1">
        <f t="array" ref="C165">IFERROR(IF($A165="","",INDEX(_xlfn.ANCHORARRAY('Short Circuit'!$BK$4),ROW()-5,7)),"")</f>
        <v/>
      </c>
      <c r="D165" s="168" t="str" cm="1">
        <f t="array" ref="D165">IFERROR(IF($A165="","",INDEX(_xlfn.ANCHORARRAY('Short Circuit'!$BK$4),ROW()-5,3)),"")</f>
        <v/>
      </c>
      <c r="E165" s="362" t="str" cm="1">
        <f t="array" ref="E165">IFERROR(IF($A165="","",INDEX(_xlfn.ANCHORARRAY('Short Circuit'!$BK$4),ROW()-5,2)),"")</f>
        <v/>
      </c>
      <c r="F165" s="15" t="str">
        <f>IF($A165="","",IF($C165=0,"— utility service —",IFERROR(_xlfn.XLOOKUP("F-"&amp;$A165,'Short Circuit'!$A$6:$A$255,'Short Circuit'!$G$6:$G$255),IFERROR(_xlfn.XLOOKUP($A165,'Short Circuit'!$A$6:$A$255,'Short Circuit'!$G$6:$G$255),"⚠ no feeder data"))))</f>
        <v/>
      </c>
      <c r="G165" s="78" t="str">
        <f>IF($A165="","",IF($C165=0,0,IFERROR(_xlfn.XLOOKUP("F-"&amp;$A165,'Feeder Schedule'!$B$5:$B$254,'Feeder Schedule'!$U$5:$U$254),"")))</f>
        <v/>
      </c>
      <c r="H165" s="78" t="str">
        <f t="shared" si="10"/>
        <v/>
      </c>
      <c r="I165" s="78" t="str">
        <f t="shared" si="8"/>
        <v/>
      </c>
      <c r="J165" s="78" t="str">
        <f t="shared" si="9"/>
        <v/>
      </c>
      <c r="K165" s="15" t="str">
        <f t="shared" si="11"/>
        <v/>
      </c>
      <c r="L165" s="363"/>
    </row>
    <row r="166" spans="1:12" s="20" customFormat="1" ht="15" customHeight="1" x14ac:dyDescent="0.35">
      <c r="A166" s="15" t="str" cm="1">
        <f t="array" ref="A166">IFERROR(IF(INDEX(_xlfn.ANCHORARRAY('Short Circuit'!$BK$4),ROW()-5,1)="","",INDEX(_xlfn.ANCHORARRAY('Short Circuit'!$BK$4),ROW()-5,1)),"")</f>
        <v/>
      </c>
      <c r="B166" s="362" t="str" cm="1">
        <f t="array" ref="B166">IFERROR(IF($A166="","",INDEX(_xlfn.ANCHORARRAY('Short Circuit'!$BK$4),ROW()-5,5)),"")</f>
        <v/>
      </c>
      <c r="C166" s="181" t="str" cm="1">
        <f t="array" ref="C166">IFERROR(IF($A166="","",INDEX(_xlfn.ANCHORARRAY('Short Circuit'!$BK$4),ROW()-5,7)),"")</f>
        <v/>
      </c>
      <c r="D166" s="168" t="str" cm="1">
        <f t="array" ref="D166">IFERROR(IF($A166="","",INDEX(_xlfn.ANCHORARRAY('Short Circuit'!$BK$4),ROW()-5,3)),"")</f>
        <v/>
      </c>
      <c r="E166" s="362" t="str" cm="1">
        <f t="array" ref="E166">IFERROR(IF($A166="","",INDEX(_xlfn.ANCHORARRAY('Short Circuit'!$BK$4),ROW()-5,2)),"")</f>
        <v/>
      </c>
      <c r="F166" s="15" t="str">
        <f>IF($A166="","",IF($C166=0,"— utility service —",IFERROR(_xlfn.XLOOKUP("F-"&amp;$A166,'Short Circuit'!$A$6:$A$255,'Short Circuit'!$G$6:$G$255),IFERROR(_xlfn.XLOOKUP($A166,'Short Circuit'!$A$6:$A$255,'Short Circuit'!$G$6:$G$255),"⚠ no feeder data"))))</f>
        <v/>
      </c>
      <c r="G166" s="78" t="str">
        <f>IF($A166="","",IF($C166=0,0,IFERROR(_xlfn.XLOOKUP("F-"&amp;$A166,'Feeder Schedule'!$B$5:$B$254,'Feeder Schedule'!$U$5:$U$254),"")))</f>
        <v/>
      </c>
      <c r="H166" s="78" t="str">
        <f t="shared" si="10"/>
        <v/>
      </c>
      <c r="I166" s="78" t="str">
        <f t="shared" si="8"/>
        <v/>
      </c>
      <c r="J166" s="78" t="str">
        <f t="shared" si="9"/>
        <v/>
      </c>
      <c r="K166" s="15" t="str">
        <f t="shared" si="11"/>
        <v/>
      </c>
      <c r="L166" s="363"/>
    </row>
    <row r="167" spans="1:12" s="20" customFormat="1" ht="15" customHeight="1" x14ac:dyDescent="0.35">
      <c r="A167" s="15" t="str" cm="1">
        <f t="array" ref="A167">IFERROR(IF(INDEX(_xlfn.ANCHORARRAY('Short Circuit'!$BK$4),ROW()-5,1)="","",INDEX(_xlfn.ANCHORARRAY('Short Circuit'!$BK$4),ROW()-5,1)),"")</f>
        <v/>
      </c>
      <c r="B167" s="362" t="str" cm="1">
        <f t="array" ref="B167">IFERROR(IF($A167="","",INDEX(_xlfn.ANCHORARRAY('Short Circuit'!$BK$4),ROW()-5,5)),"")</f>
        <v/>
      </c>
      <c r="C167" s="181" t="str" cm="1">
        <f t="array" ref="C167">IFERROR(IF($A167="","",INDEX(_xlfn.ANCHORARRAY('Short Circuit'!$BK$4),ROW()-5,7)),"")</f>
        <v/>
      </c>
      <c r="D167" s="168" t="str" cm="1">
        <f t="array" ref="D167">IFERROR(IF($A167="","",INDEX(_xlfn.ANCHORARRAY('Short Circuit'!$BK$4),ROW()-5,3)),"")</f>
        <v/>
      </c>
      <c r="E167" s="362" t="str" cm="1">
        <f t="array" ref="E167">IFERROR(IF($A167="","",INDEX(_xlfn.ANCHORARRAY('Short Circuit'!$BK$4),ROW()-5,2)),"")</f>
        <v/>
      </c>
      <c r="F167" s="15" t="str">
        <f>IF($A167="","",IF($C167=0,"— utility service —",IFERROR(_xlfn.XLOOKUP("F-"&amp;$A167,'Short Circuit'!$A$6:$A$255,'Short Circuit'!$G$6:$G$255),IFERROR(_xlfn.XLOOKUP($A167,'Short Circuit'!$A$6:$A$255,'Short Circuit'!$G$6:$G$255),"⚠ no feeder data"))))</f>
        <v/>
      </c>
      <c r="G167" s="78" t="str">
        <f>IF($A167="","",IF($C167=0,0,IFERROR(_xlfn.XLOOKUP("F-"&amp;$A167,'Feeder Schedule'!$B$5:$B$254,'Feeder Schedule'!$U$5:$U$254),"")))</f>
        <v/>
      </c>
      <c r="H167" s="78" t="str">
        <f t="shared" si="10"/>
        <v/>
      </c>
      <c r="I167" s="78" t="str">
        <f t="shared" si="8"/>
        <v/>
      </c>
      <c r="J167" s="78" t="str">
        <f t="shared" si="9"/>
        <v/>
      </c>
      <c r="K167" s="15" t="str">
        <f t="shared" si="11"/>
        <v/>
      </c>
      <c r="L167" s="363"/>
    </row>
    <row r="168" spans="1:12" s="20" customFormat="1" ht="15" customHeight="1" x14ac:dyDescent="0.35">
      <c r="A168" s="15" t="str" cm="1">
        <f t="array" ref="A168">IFERROR(IF(INDEX(_xlfn.ANCHORARRAY('Short Circuit'!$BK$4),ROW()-5,1)="","",INDEX(_xlfn.ANCHORARRAY('Short Circuit'!$BK$4),ROW()-5,1)),"")</f>
        <v/>
      </c>
      <c r="B168" s="362" t="str" cm="1">
        <f t="array" ref="B168">IFERROR(IF($A168="","",INDEX(_xlfn.ANCHORARRAY('Short Circuit'!$BK$4),ROW()-5,5)),"")</f>
        <v/>
      </c>
      <c r="C168" s="181" t="str" cm="1">
        <f t="array" ref="C168">IFERROR(IF($A168="","",INDEX(_xlfn.ANCHORARRAY('Short Circuit'!$BK$4),ROW()-5,7)),"")</f>
        <v/>
      </c>
      <c r="D168" s="168" t="str" cm="1">
        <f t="array" ref="D168">IFERROR(IF($A168="","",INDEX(_xlfn.ANCHORARRAY('Short Circuit'!$BK$4),ROW()-5,3)),"")</f>
        <v/>
      </c>
      <c r="E168" s="362" t="str" cm="1">
        <f t="array" ref="E168">IFERROR(IF($A168="","",INDEX(_xlfn.ANCHORARRAY('Short Circuit'!$BK$4),ROW()-5,2)),"")</f>
        <v/>
      </c>
      <c r="F168" s="15" t="str">
        <f>IF($A168="","",IF($C168=0,"— utility service —",IFERROR(_xlfn.XLOOKUP("F-"&amp;$A168,'Short Circuit'!$A$6:$A$255,'Short Circuit'!$G$6:$G$255),IFERROR(_xlfn.XLOOKUP($A168,'Short Circuit'!$A$6:$A$255,'Short Circuit'!$G$6:$G$255),"⚠ no feeder data"))))</f>
        <v/>
      </c>
      <c r="G168" s="78" t="str">
        <f>IF($A168="","",IF($C168=0,0,IFERROR(_xlfn.XLOOKUP("F-"&amp;$A168,'Feeder Schedule'!$B$5:$B$254,'Feeder Schedule'!$U$5:$U$254),"")))</f>
        <v/>
      </c>
      <c r="H168" s="78" t="str">
        <f t="shared" si="10"/>
        <v/>
      </c>
      <c r="I168" s="78" t="str">
        <f t="shared" si="8"/>
        <v/>
      </c>
      <c r="J168" s="78" t="str">
        <f t="shared" si="9"/>
        <v/>
      </c>
      <c r="K168" s="15" t="str">
        <f t="shared" si="11"/>
        <v/>
      </c>
      <c r="L168" s="363"/>
    </row>
    <row r="169" spans="1:12" s="20" customFormat="1" ht="15" customHeight="1" x14ac:dyDescent="0.35">
      <c r="A169" s="15" t="str" cm="1">
        <f t="array" ref="A169">IFERROR(IF(INDEX(_xlfn.ANCHORARRAY('Short Circuit'!$BK$4),ROW()-5,1)="","",INDEX(_xlfn.ANCHORARRAY('Short Circuit'!$BK$4),ROW()-5,1)),"")</f>
        <v/>
      </c>
      <c r="B169" s="362" t="str" cm="1">
        <f t="array" ref="B169">IFERROR(IF($A169="","",INDEX(_xlfn.ANCHORARRAY('Short Circuit'!$BK$4),ROW()-5,5)),"")</f>
        <v/>
      </c>
      <c r="C169" s="181" t="str" cm="1">
        <f t="array" ref="C169">IFERROR(IF($A169="","",INDEX(_xlfn.ANCHORARRAY('Short Circuit'!$BK$4),ROW()-5,7)),"")</f>
        <v/>
      </c>
      <c r="D169" s="168" t="str" cm="1">
        <f t="array" ref="D169">IFERROR(IF($A169="","",INDEX(_xlfn.ANCHORARRAY('Short Circuit'!$BK$4),ROW()-5,3)),"")</f>
        <v/>
      </c>
      <c r="E169" s="362" t="str" cm="1">
        <f t="array" ref="E169">IFERROR(IF($A169="","",INDEX(_xlfn.ANCHORARRAY('Short Circuit'!$BK$4),ROW()-5,2)),"")</f>
        <v/>
      </c>
      <c r="F169" s="15" t="str">
        <f>IF($A169="","",IF($C169=0,"— utility service —",IFERROR(_xlfn.XLOOKUP("F-"&amp;$A169,'Short Circuit'!$A$6:$A$255,'Short Circuit'!$G$6:$G$255),IFERROR(_xlfn.XLOOKUP($A169,'Short Circuit'!$A$6:$A$255,'Short Circuit'!$G$6:$G$255),"⚠ no feeder data"))))</f>
        <v/>
      </c>
      <c r="G169" s="78" t="str">
        <f>IF($A169="","",IF($C169=0,0,IFERROR(_xlfn.XLOOKUP("F-"&amp;$A169,'Feeder Schedule'!$B$5:$B$254,'Feeder Schedule'!$U$5:$U$254),"")))</f>
        <v/>
      </c>
      <c r="H169" s="78" t="str">
        <f t="shared" si="10"/>
        <v/>
      </c>
      <c r="I169" s="78" t="str">
        <f t="shared" si="8"/>
        <v/>
      </c>
      <c r="J169" s="78" t="str">
        <f t="shared" si="9"/>
        <v/>
      </c>
      <c r="K169" s="15" t="str">
        <f t="shared" si="11"/>
        <v/>
      </c>
      <c r="L169" s="363"/>
    </row>
    <row r="170" spans="1:12" s="20" customFormat="1" ht="15" customHeight="1" x14ac:dyDescent="0.35">
      <c r="A170" s="15" t="str" cm="1">
        <f t="array" ref="A170">IFERROR(IF(INDEX(_xlfn.ANCHORARRAY('Short Circuit'!$BK$4),ROW()-5,1)="","",INDEX(_xlfn.ANCHORARRAY('Short Circuit'!$BK$4),ROW()-5,1)),"")</f>
        <v/>
      </c>
      <c r="B170" s="362" t="str" cm="1">
        <f t="array" ref="B170">IFERROR(IF($A170="","",INDEX(_xlfn.ANCHORARRAY('Short Circuit'!$BK$4),ROW()-5,5)),"")</f>
        <v/>
      </c>
      <c r="C170" s="181" t="str" cm="1">
        <f t="array" ref="C170">IFERROR(IF($A170="","",INDEX(_xlfn.ANCHORARRAY('Short Circuit'!$BK$4),ROW()-5,7)),"")</f>
        <v/>
      </c>
      <c r="D170" s="168" t="str" cm="1">
        <f t="array" ref="D170">IFERROR(IF($A170="","",INDEX(_xlfn.ANCHORARRAY('Short Circuit'!$BK$4),ROW()-5,3)),"")</f>
        <v/>
      </c>
      <c r="E170" s="362" t="str" cm="1">
        <f t="array" ref="E170">IFERROR(IF($A170="","",INDEX(_xlfn.ANCHORARRAY('Short Circuit'!$BK$4),ROW()-5,2)),"")</f>
        <v/>
      </c>
      <c r="F170" s="15" t="str">
        <f>IF($A170="","",IF($C170=0,"— utility service —",IFERROR(_xlfn.XLOOKUP("F-"&amp;$A170,'Short Circuit'!$A$6:$A$255,'Short Circuit'!$G$6:$G$255),IFERROR(_xlfn.XLOOKUP($A170,'Short Circuit'!$A$6:$A$255,'Short Circuit'!$G$6:$G$255),"⚠ no feeder data"))))</f>
        <v/>
      </c>
      <c r="G170" s="78" t="str">
        <f>IF($A170="","",IF($C170=0,0,IFERROR(_xlfn.XLOOKUP("F-"&amp;$A170,'Feeder Schedule'!$B$5:$B$254,'Feeder Schedule'!$U$5:$U$254),"")))</f>
        <v/>
      </c>
      <c r="H170" s="78" t="str">
        <f t="shared" si="10"/>
        <v/>
      </c>
      <c r="I170" s="78" t="str">
        <f t="shared" si="8"/>
        <v/>
      </c>
      <c r="J170" s="78" t="str">
        <f t="shared" si="9"/>
        <v/>
      </c>
      <c r="K170" s="15" t="str">
        <f t="shared" si="11"/>
        <v/>
      </c>
      <c r="L170" s="363"/>
    </row>
    <row r="171" spans="1:12" s="20" customFormat="1" ht="15" customHeight="1" x14ac:dyDescent="0.35">
      <c r="A171" s="15" t="str" cm="1">
        <f t="array" ref="A171">IFERROR(IF(INDEX(_xlfn.ANCHORARRAY('Short Circuit'!$BK$4),ROW()-5,1)="","",INDEX(_xlfn.ANCHORARRAY('Short Circuit'!$BK$4),ROW()-5,1)),"")</f>
        <v/>
      </c>
      <c r="B171" s="362" t="str" cm="1">
        <f t="array" ref="B171">IFERROR(IF($A171="","",INDEX(_xlfn.ANCHORARRAY('Short Circuit'!$BK$4),ROW()-5,5)),"")</f>
        <v/>
      </c>
      <c r="C171" s="181" t="str" cm="1">
        <f t="array" ref="C171">IFERROR(IF($A171="","",INDEX(_xlfn.ANCHORARRAY('Short Circuit'!$BK$4),ROW()-5,7)),"")</f>
        <v/>
      </c>
      <c r="D171" s="168" t="str" cm="1">
        <f t="array" ref="D171">IFERROR(IF($A171="","",INDEX(_xlfn.ANCHORARRAY('Short Circuit'!$BK$4),ROW()-5,3)),"")</f>
        <v/>
      </c>
      <c r="E171" s="362" t="str" cm="1">
        <f t="array" ref="E171">IFERROR(IF($A171="","",INDEX(_xlfn.ANCHORARRAY('Short Circuit'!$BK$4),ROW()-5,2)),"")</f>
        <v/>
      </c>
      <c r="F171" s="15" t="str">
        <f>IF($A171="","",IF($C171=0,"— utility service —",IFERROR(_xlfn.XLOOKUP("F-"&amp;$A171,'Short Circuit'!$A$6:$A$255,'Short Circuit'!$G$6:$G$255),IFERROR(_xlfn.XLOOKUP($A171,'Short Circuit'!$A$6:$A$255,'Short Circuit'!$G$6:$G$255),"⚠ no feeder data"))))</f>
        <v/>
      </c>
      <c r="G171" s="78" t="str">
        <f>IF($A171="","",IF($C171=0,0,IFERROR(_xlfn.XLOOKUP("F-"&amp;$A171,'Feeder Schedule'!$B$5:$B$254,'Feeder Schedule'!$U$5:$U$254),"")))</f>
        <v/>
      </c>
      <c r="H171" s="78" t="str">
        <f t="shared" si="10"/>
        <v/>
      </c>
      <c r="I171" s="78" t="str">
        <f t="shared" si="8"/>
        <v/>
      </c>
      <c r="J171" s="78" t="str">
        <f t="shared" si="9"/>
        <v/>
      </c>
      <c r="K171" s="15" t="str">
        <f t="shared" si="11"/>
        <v/>
      </c>
      <c r="L171" s="363"/>
    </row>
    <row r="172" spans="1:12" s="20" customFormat="1" ht="15" customHeight="1" x14ac:dyDescent="0.35">
      <c r="A172" s="15" t="str" cm="1">
        <f t="array" ref="A172">IFERROR(IF(INDEX(_xlfn.ANCHORARRAY('Short Circuit'!$BK$4),ROW()-5,1)="","",INDEX(_xlfn.ANCHORARRAY('Short Circuit'!$BK$4),ROW()-5,1)),"")</f>
        <v/>
      </c>
      <c r="B172" s="362" t="str" cm="1">
        <f t="array" ref="B172">IFERROR(IF($A172="","",INDEX(_xlfn.ANCHORARRAY('Short Circuit'!$BK$4),ROW()-5,5)),"")</f>
        <v/>
      </c>
      <c r="C172" s="181" t="str" cm="1">
        <f t="array" ref="C172">IFERROR(IF($A172="","",INDEX(_xlfn.ANCHORARRAY('Short Circuit'!$BK$4),ROW()-5,7)),"")</f>
        <v/>
      </c>
      <c r="D172" s="168" t="str" cm="1">
        <f t="array" ref="D172">IFERROR(IF($A172="","",INDEX(_xlfn.ANCHORARRAY('Short Circuit'!$BK$4),ROW()-5,3)),"")</f>
        <v/>
      </c>
      <c r="E172" s="362" t="str" cm="1">
        <f t="array" ref="E172">IFERROR(IF($A172="","",INDEX(_xlfn.ANCHORARRAY('Short Circuit'!$BK$4),ROW()-5,2)),"")</f>
        <v/>
      </c>
      <c r="F172" s="15" t="str">
        <f>IF($A172="","",IF($C172=0,"— utility service —",IFERROR(_xlfn.XLOOKUP("F-"&amp;$A172,'Short Circuit'!$A$6:$A$255,'Short Circuit'!$G$6:$G$255),IFERROR(_xlfn.XLOOKUP($A172,'Short Circuit'!$A$6:$A$255,'Short Circuit'!$G$6:$G$255),"⚠ no feeder data"))))</f>
        <v/>
      </c>
      <c r="G172" s="78" t="str">
        <f>IF($A172="","",IF($C172=0,0,IFERROR(_xlfn.XLOOKUP("F-"&amp;$A172,'Feeder Schedule'!$B$5:$B$254,'Feeder Schedule'!$U$5:$U$254),"")))</f>
        <v/>
      </c>
      <c r="H172" s="78" t="str">
        <f t="shared" si="10"/>
        <v/>
      </c>
      <c r="I172" s="78" t="str">
        <f t="shared" si="8"/>
        <v/>
      </c>
      <c r="J172" s="78" t="str">
        <f t="shared" si="9"/>
        <v/>
      </c>
      <c r="K172" s="15" t="str">
        <f t="shared" si="11"/>
        <v/>
      </c>
      <c r="L172" s="363"/>
    </row>
    <row r="173" spans="1:12" s="20" customFormat="1" ht="15" customHeight="1" x14ac:dyDescent="0.35">
      <c r="A173" s="15" t="str" cm="1">
        <f t="array" ref="A173">IFERROR(IF(INDEX(_xlfn.ANCHORARRAY('Short Circuit'!$BK$4),ROW()-5,1)="","",INDEX(_xlfn.ANCHORARRAY('Short Circuit'!$BK$4),ROW()-5,1)),"")</f>
        <v/>
      </c>
      <c r="B173" s="362" t="str" cm="1">
        <f t="array" ref="B173">IFERROR(IF($A173="","",INDEX(_xlfn.ANCHORARRAY('Short Circuit'!$BK$4),ROW()-5,5)),"")</f>
        <v/>
      </c>
      <c r="C173" s="181" t="str" cm="1">
        <f t="array" ref="C173">IFERROR(IF($A173="","",INDEX(_xlfn.ANCHORARRAY('Short Circuit'!$BK$4),ROW()-5,7)),"")</f>
        <v/>
      </c>
      <c r="D173" s="168" t="str" cm="1">
        <f t="array" ref="D173">IFERROR(IF($A173="","",INDEX(_xlfn.ANCHORARRAY('Short Circuit'!$BK$4),ROW()-5,3)),"")</f>
        <v/>
      </c>
      <c r="E173" s="362" t="str" cm="1">
        <f t="array" ref="E173">IFERROR(IF($A173="","",INDEX(_xlfn.ANCHORARRAY('Short Circuit'!$BK$4),ROW()-5,2)),"")</f>
        <v/>
      </c>
      <c r="F173" s="15" t="str">
        <f>IF($A173="","",IF($C173=0,"— utility service —",IFERROR(_xlfn.XLOOKUP("F-"&amp;$A173,'Short Circuit'!$A$6:$A$255,'Short Circuit'!$G$6:$G$255),IFERROR(_xlfn.XLOOKUP($A173,'Short Circuit'!$A$6:$A$255,'Short Circuit'!$G$6:$G$255),"⚠ no feeder data"))))</f>
        <v/>
      </c>
      <c r="G173" s="78" t="str">
        <f>IF($A173="","",IF($C173=0,0,IFERROR(_xlfn.XLOOKUP("F-"&amp;$A173,'Feeder Schedule'!$B$5:$B$254,'Feeder Schedule'!$U$5:$U$254),"")))</f>
        <v/>
      </c>
      <c r="H173" s="78" t="str">
        <f t="shared" si="10"/>
        <v/>
      </c>
      <c r="I173" s="78" t="str">
        <f t="shared" si="8"/>
        <v/>
      </c>
      <c r="J173" s="78" t="str">
        <f t="shared" si="9"/>
        <v/>
      </c>
      <c r="K173" s="15" t="str">
        <f t="shared" si="11"/>
        <v/>
      </c>
      <c r="L173" s="363"/>
    </row>
    <row r="174" spans="1:12" s="20" customFormat="1" ht="15" customHeight="1" x14ac:dyDescent="0.35">
      <c r="A174" s="15" t="str" cm="1">
        <f t="array" ref="A174">IFERROR(IF(INDEX(_xlfn.ANCHORARRAY('Short Circuit'!$BK$4),ROW()-5,1)="","",INDEX(_xlfn.ANCHORARRAY('Short Circuit'!$BK$4),ROW()-5,1)),"")</f>
        <v/>
      </c>
      <c r="B174" s="362" t="str" cm="1">
        <f t="array" ref="B174">IFERROR(IF($A174="","",INDEX(_xlfn.ANCHORARRAY('Short Circuit'!$BK$4),ROW()-5,5)),"")</f>
        <v/>
      </c>
      <c r="C174" s="181" t="str" cm="1">
        <f t="array" ref="C174">IFERROR(IF($A174="","",INDEX(_xlfn.ANCHORARRAY('Short Circuit'!$BK$4),ROW()-5,7)),"")</f>
        <v/>
      </c>
      <c r="D174" s="168" t="str" cm="1">
        <f t="array" ref="D174">IFERROR(IF($A174="","",INDEX(_xlfn.ANCHORARRAY('Short Circuit'!$BK$4),ROW()-5,3)),"")</f>
        <v/>
      </c>
      <c r="E174" s="362" t="str" cm="1">
        <f t="array" ref="E174">IFERROR(IF($A174="","",INDEX(_xlfn.ANCHORARRAY('Short Circuit'!$BK$4),ROW()-5,2)),"")</f>
        <v/>
      </c>
      <c r="F174" s="15" t="str">
        <f>IF($A174="","",IF($C174=0,"— utility service —",IFERROR(_xlfn.XLOOKUP("F-"&amp;$A174,'Short Circuit'!$A$6:$A$255,'Short Circuit'!$G$6:$G$255),IFERROR(_xlfn.XLOOKUP($A174,'Short Circuit'!$A$6:$A$255,'Short Circuit'!$G$6:$G$255),"⚠ no feeder data"))))</f>
        <v/>
      </c>
      <c r="G174" s="78" t="str">
        <f>IF($A174="","",IF($C174=0,0,IFERROR(_xlfn.XLOOKUP("F-"&amp;$A174,'Feeder Schedule'!$B$5:$B$254,'Feeder Schedule'!$U$5:$U$254),"")))</f>
        <v/>
      </c>
      <c r="H174" s="78" t="str">
        <f t="shared" si="10"/>
        <v/>
      </c>
      <c r="I174" s="78" t="str">
        <f t="shared" si="8"/>
        <v/>
      </c>
      <c r="J174" s="78" t="str">
        <f t="shared" si="9"/>
        <v/>
      </c>
      <c r="K174" s="15" t="str">
        <f t="shared" si="11"/>
        <v/>
      </c>
      <c r="L174" s="363"/>
    </row>
    <row r="175" spans="1:12" s="20" customFormat="1" ht="15" customHeight="1" x14ac:dyDescent="0.35">
      <c r="A175" s="15" t="str" cm="1">
        <f t="array" ref="A175">IFERROR(IF(INDEX(_xlfn.ANCHORARRAY('Short Circuit'!$BK$4),ROW()-5,1)="","",INDEX(_xlfn.ANCHORARRAY('Short Circuit'!$BK$4),ROW()-5,1)),"")</f>
        <v/>
      </c>
      <c r="B175" s="362" t="str" cm="1">
        <f t="array" ref="B175">IFERROR(IF($A175="","",INDEX(_xlfn.ANCHORARRAY('Short Circuit'!$BK$4),ROW()-5,5)),"")</f>
        <v/>
      </c>
      <c r="C175" s="181" t="str" cm="1">
        <f t="array" ref="C175">IFERROR(IF($A175="","",INDEX(_xlfn.ANCHORARRAY('Short Circuit'!$BK$4),ROW()-5,7)),"")</f>
        <v/>
      </c>
      <c r="D175" s="168" t="str" cm="1">
        <f t="array" ref="D175">IFERROR(IF($A175="","",INDEX(_xlfn.ANCHORARRAY('Short Circuit'!$BK$4),ROW()-5,3)),"")</f>
        <v/>
      </c>
      <c r="E175" s="362" t="str" cm="1">
        <f t="array" ref="E175">IFERROR(IF($A175="","",INDEX(_xlfn.ANCHORARRAY('Short Circuit'!$BK$4),ROW()-5,2)),"")</f>
        <v/>
      </c>
      <c r="F175" s="15" t="str">
        <f>IF($A175="","",IF($C175=0,"— utility service —",IFERROR(_xlfn.XLOOKUP("F-"&amp;$A175,'Short Circuit'!$A$6:$A$255,'Short Circuit'!$G$6:$G$255),IFERROR(_xlfn.XLOOKUP($A175,'Short Circuit'!$A$6:$A$255,'Short Circuit'!$G$6:$G$255),"⚠ no feeder data"))))</f>
        <v/>
      </c>
      <c r="G175" s="78" t="str">
        <f>IF($A175="","",IF($C175=0,0,IFERROR(_xlfn.XLOOKUP("F-"&amp;$A175,'Feeder Schedule'!$B$5:$B$254,'Feeder Schedule'!$U$5:$U$254),"")))</f>
        <v/>
      </c>
      <c r="H175" s="78" t="str">
        <f t="shared" si="10"/>
        <v/>
      </c>
      <c r="I175" s="78" t="str">
        <f t="shared" si="8"/>
        <v/>
      </c>
      <c r="J175" s="78" t="str">
        <f t="shared" si="9"/>
        <v/>
      </c>
      <c r="K175" s="15" t="str">
        <f t="shared" si="11"/>
        <v/>
      </c>
      <c r="L175" s="363"/>
    </row>
    <row r="176" spans="1:12" s="20" customFormat="1" ht="15" customHeight="1" x14ac:dyDescent="0.35">
      <c r="A176" s="15" t="str" cm="1">
        <f t="array" ref="A176">IFERROR(IF(INDEX(_xlfn.ANCHORARRAY('Short Circuit'!$BK$4),ROW()-5,1)="","",INDEX(_xlfn.ANCHORARRAY('Short Circuit'!$BK$4),ROW()-5,1)),"")</f>
        <v/>
      </c>
      <c r="B176" s="362" t="str" cm="1">
        <f t="array" ref="B176">IFERROR(IF($A176="","",INDEX(_xlfn.ANCHORARRAY('Short Circuit'!$BK$4),ROW()-5,5)),"")</f>
        <v/>
      </c>
      <c r="C176" s="181" t="str" cm="1">
        <f t="array" ref="C176">IFERROR(IF($A176="","",INDEX(_xlfn.ANCHORARRAY('Short Circuit'!$BK$4),ROW()-5,7)),"")</f>
        <v/>
      </c>
      <c r="D176" s="168" t="str" cm="1">
        <f t="array" ref="D176">IFERROR(IF($A176="","",INDEX(_xlfn.ANCHORARRAY('Short Circuit'!$BK$4),ROW()-5,3)),"")</f>
        <v/>
      </c>
      <c r="E176" s="362" t="str" cm="1">
        <f t="array" ref="E176">IFERROR(IF($A176="","",INDEX(_xlfn.ANCHORARRAY('Short Circuit'!$BK$4),ROW()-5,2)),"")</f>
        <v/>
      </c>
      <c r="F176" s="15" t="str">
        <f>IF($A176="","",IF($C176=0,"— utility service —",IFERROR(_xlfn.XLOOKUP("F-"&amp;$A176,'Short Circuit'!$A$6:$A$255,'Short Circuit'!$G$6:$G$255),IFERROR(_xlfn.XLOOKUP($A176,'Short Circuit'!$A$6:$A$255,'Short Circuit'!$G$6:$G$255),"⚠ no feeder data"))))</f>
        <v/>
      </c>
      <c r="G176" s="78" t="str">
        <f>IF($A176="","",IF($C176=0,0,IFERROR(_xlfn.XLOOKUP("F-"&amp;$A176,'Feeder Schedule'!$B$5:$B$254,'Feeder Schedule'!$U$5:$U$254),"")))</f>
        <v/>
      </c>
      <c r="H176" s="78" t="str">
        <f t="shared" si="10"/>
        <v/>
      </c>
      <c r="I176" s="78" t="str">
        <f t="shared" si="8"/>
        <v/>
      </c>
      <c r="J176" s="78" t="str">
        <f t="shared" si="9"/>
        <v/>
      </c>
      <c r="K176" s="15" t="str">
        <f t="shared" si="11"/>
        <v/>
      </c>
      <c r="L176" s="363"/>
    </row>
    <row r="177" spans="1:12" s="20" customFormat="1" ht="15" customHeight="1" x14ac:dyDescent="0.35">
      <c r="A177" s="15" t="str" cm="1">
        <f t="array" ref="A177">IFERROR(IF(INDEX(_xlfn.ANCHORARRAY('Short Circuit'!$BK$4),ROW()-5,1)="","",INDEX(_xlfn.ANCHORARRAY('Short Circuit'!$BK$4),ROW()-5,1)),"")</f>
        <v/>
      </c>
      <c r="B177" s="362" t="str" cm="1">
        <f t="array" ref="B177">IFERROR(IF($A177="","",INDEX(_xlfn.ANCHORARRAY('Short Circuit'!$BK$4),ROW()-5,5)),"")</f>
        <v/>
      </c>
      <c r="C177" s="181" t="str" cm="1">
        <f t="array" ref="C177">IFERROR(IF($A177="","",INDEX(_xlfn.ANCHORARRAY('Short Circuit'!$BK$4),ROW()-5,7)),"")</f>
        <v/>
      </c>
      <c r="D177" s="168" t="str" cm="1">
        <f t="array" ref="D177">IFERROR(IF($A177="","",INDEX(_xlfn.ANCHORARRAY('Short Circuit'!$BK$4),ROW()-5,3)),"")</f>
        <v/>
      </c>
      <c r="E177" s="362" t="str" cm="1">
        <f t="array" ref="E177">IFERROR(IF($A177="","",INDEX(_xlfn.ANCHORARRAY('Short Circuit'!$BK$4),ROW()-5,2)),"")</f>
        <v/>
      </c>
      <c r="F177" s="15" t="str">
        <f>IF($A177="","",IF($C177=0,"— utility service —",IFERROR(_xlfn.XLOOKUP("F-"&amp;$A177,'Short Circuit'!$A$6:$A$255,'Short Circuit'!$G$6:$G$255),IFERROR(_xlfn.XLOOKUP($A177,'Short Circuit'!$A$6:$A$255,'Short Circuit'!$G$6:$G$255),"⚠ no feeder data"))))</f>
        <v/>
      </c>
      <c r="G177" s="78" t="str">
        <f>IF($A177="","",IF($C177=0,0,IFERROR(_xlfn.XLOOKUP("F-"&amp;$A177,'Feeder Schedule'!$B$5:$B$254,'Feeder Schedule'!$U$5:$U$254),"")))</f>
        <v/>
      </c>
      <c r="H177" s="78" t="str">
        <f t="shared" si="10"/>
        <v/>
      </c>
      <c r="I177" s="78" t="str">
        <f t="shared" si="8"/>
        <v/>
      </c>
      <c r="J177" s="78" t="str">
        <f t="shared" si="9"/>
        <v/>
      </c>
      <c r="K177" s="15" t="str">
        <f t="shared" si="11"/>
        <v/>
      </c>
      <c r="L177" s="363"/>
    </row>
    <row r="178" spans="1:12" s="20" customFormat="1" ht="15" customHeight="1" x14ac:dyDescent="0.35">
      <c r="A178" s="15" t="str" cm="1">
        <f t="array" ref="A178">IFERROR(IF(INDEX(_xlfn.ANCHORARRAY('Short Circuit'!$BK$4),ROW()-5,1)="","",INDEX(_xlfn.ANCHORARRAY('Short Circuit'!$BK$4),ROW()-5,1)),"")</f>
        <v/>
      </c>
      <c r="B178" s="362" t="str" cm="1">
        <f t="array" ref="B178">IFERROR(IF($A178="","",INDEX(_xlfn.ANCHORARRAY('Short Circuit'!$BK$4),ROW()-5,5)),"")</f>
        <v/>
      </c>
      <c r="C178" s="181" t="str" cm="1">
        <f t="array" ref="C178">IFERROR(IF($A178="","",INDEX(_xlfn.ANCHORARRAY('Short Circuit'!$BK$4),ROW()-5,7)),"")</f>
        <v/>
      </c>
      <c r="D178" s="168" t="str" cm="1">
        <f t="array" ref="D178">IFERROR(IF($A178="","",INDEX(_xlfn.ANCHORARRAY('Short Circuit'!$BK$4),ROW()-5,3)),"")</f>
        <v/>
      </c>
      <c r="E178" s="362" t="str" cm="1">
        <f t="array" ref="E178">IFERROR(IF($A178="","",INDEX(_xlfn.ANCHORARRAY('Short Circuit'!$BK$4),ROW()-5,2)),"")</f>
        <v/>
      </c>
      <c r="F178" s="15" t="str">
        <f>IF($A178="","",IF($C178=0,"— utility service —",IFERROR(_xlfn.XLOOKUP("F-"&amp;$A178,'Short Circuit'!$A$6:$A$255,'Short Circuit'!$G$6:$G$255),IFERROR(_xlfn.XLOOKUP($A178,'Short Circuit'!$A$6:$A$255,'Short Circuit'!$G$6:$G$255),"⚠ no feeder data"))))</f>
        <v/>
      </c>
      <c r="G178" s="78" t="str">
        <f>IF($A178="","",IF($C178=0,0,IFERROR(_xlfn.XLOOKUP("F-"&amp;$A178,'Feeder Schedule'!$B$5:$B$254,'Feeder Schedule'!$U$5:$U$254),"")))</f>
        <v/>
      </c>
      <c r="H178" s="78" t="str">
        <f t="shared" si="10"/>
        <v/>
      </c>
      <c r="I178" s="78" t="str">
        <f t="shared" si="8"/>
        <v/>
      </c>
      <c r="J178" s="78" t="str">
        <f t="shared" si="9"/>
        <v/>
      </c>
      <c r="K178" s="15" t="str">
        <f t="shared" si="11"/>
        <v/>
      </c>
      <c r="L178" s="363"/>
    </row>
    <row r="179" spans="1:12" s="20" customFormat="1" ht="15" customHeight="1" x14ac:dyDescent="0.35">
      <c r="A179" s="15" t="str" cm="1">
        <f t="array" ref="A179">IFERROR(IF(INDEX(_xlfn.ANCHORARRAY('Short Circuit'!$BK$4),ROW()-5,1)="","",INDEX(_xlfn.ANCHORARRAY('Short Circuit'!$BK$4),ROW()-5,1)),"")</f>
        <v/>
      </c>
      <c r="B179" s="362" t="str" cm="1">
        <f t="array" ref="B179">IFERROR(IF($A179="","",INDEX(_xlfn.ANCHORARRAY('Short Circuit'!$BK$4),ROW()-5,5)),"")</f>
        <v/>
      </c>
      <c r="C179" s="181" t="str" cm="1">
        <f t="array" ref="C179">IFERROR(IF($A179="","",INDEX(_xlfn.ANCHORARRAY('Short Circuit'!$BK$4),ROW()-5,7)),"")</f>
        <v/>
      </c>
      <c r="D179" s="168" t="str" cm="1">
        <f t="array" ref="D179">IFERROR(IF($A179="","",INDEX(_xlfn.ANCHORARRAY('Short Circuit'!$BK$4),ROW()-5,3)),"")</f>
        <v/>
      </c>
      <c r="E179" s="362" t="str" cm="1">
        <f t="array" ref="E179">IFERROR(IF($A179="","",INDEX(_xlfn.ANCHORARRAY('Short Circuit'!$BK$4),ROW()-5,2)),"")</f>
        <v/>
      </c>
      <c r="F179" s="15" t="str">
        <f>IF($A179="","",IF($C179=0,"— utility service —",IFERROR(_xlfn.XLOOKUP("F-"&amp;$A179,'Short Circuit'!$A$6:$A$255,'Short Circuit'!$G$6:$G$255),IFERROR(_xlfn.XLOOKUP($A179,'Short Circuit'!$A$6:$A$255,'Short Circuit'!$G$6:$G$255),"⚠ no feeder data"))))</f>
        <v/>
      </c>
      <c r="G179" s="78" t="str">
        <f>IF($A179="","",IF($C179=0,0,IFERROR(_xlfn.XLOOKUP("F-"&amp;$A179,'Feeder Schedule'!$B$5:$B$254,'Feeder Schedule'!$U$5:$U$254),"")))</f>
        <v/>
      </c>
      <c r="H179" s="78" t="str">
        <f t="shared" si="10"/>
        <v/>
      </c>
      <c r="I179" s="78" t="str">
        <f t="shared" si="8"/>
        <v/>
      </c>
      <c r="J179" s="78" t="str">
        <f t="shared" si="9"/>
        <v/>
      </c>
      <c r="K179" s="15" t="str">
        <f t="shared" si="11"/>
        <v/>
      </c>
      <c r="L179" s="363"/>
    </row>
    <row r="180" spans="1:12" s="20" customFormat="1" ht="15" customHeight="1" x14ac:dyDescent="0.35">
      <c r="A180" s="15" t="str" cm="1">
        <f t="array" ref="A180">IFERROR(IF(INDEX(_xlfn.ANCHORARRAY('Short Circuit'!$BK$4),ROW()-5,1)="","",INDEX(_xlfn.ANCHORARRAY('Short Circuit'!$BK$4),ROW()-5,1)),"")</f>
        <v/>
      </c>
      <c r="B180" s="362" t="str" cm="1">
        <f t="array" ref="B180">IFERROR(IF($A180="","",INDEX(_xlfn.ANCHORARRAY('Short Circuit'!$BK$4),ROW()-5,5)),"")</f>
        <v/>
      </c>
      <c r="C180" s="181" t="str" cm="1">
        <f t="array" ref="C180">IFERROR(IF($A180="","",INDEX(_xlfn.ANCHORARRAY('Short Circuit'!$BK$4),ROW()-5,7)),"")</f>
        <v/>
      </c>
      <c r="D180" s="168" t="str" cm="1">
        <f t="array" ref="D180">IFERROR(IF($A180="","",INDEX(_xlfn.ANCHORARRAY('Short Circuit'!$BK$4),ROW()-5,3)),"")</f>
        <v/>
      </c>
      <c r="E180" s="362" t="str" cm="1">
        <f t="array" ref="E180">IFERROR(IF($A180="","",INDEX(_xlfn.ANCHORARRAY('Short Circuit'!$BK$4),ROW()-5,2)),"")</f>
        <v/>
      </c>
      <c r="F180" s="15" t="str">
        <f>IF($A180="","",IF($C180=0,"— utility service —",IFERROR(_xlfn.XLOOKUP("F-"&amp;$A180,'Short Circuit'!$A$6:$A$255,'Short Circuit'!$G$6:$G$255),IFERROR(_xlfn.XLOOKUP($A180,'Short Circuit'!$A$6:$A$255,'Short Circuit'!$G$6:$G$255),"⚠ no feeder data"))))</f>
        <v/>
      </c>
      <c r="G180" s="78" t="str">
        <f>IF($A180="","",IF($C180=0,0,IFERROR(_xlfn.XLOOKUP("F-"&amp;$A180,'Feeder Schedule'!$B$5:$B$254,'Feeder Schedule'!$U$5:$U$254),"")))</f>
        <v/>
      </c>
      <c r="H180" s="78" t="str">
        <f t="shared" si="10"/>
        <v/>
      </c>
      <c r="I180" s="78" t="str">
        <f t="shared" si="8"/>
        <v/>
      </c>
      <c r="J180" s="78" t="str">
        <f t="shared" si="9"/>
        <v/>
      </c>
      <c r="K180" s="15" t="str">
        <f t="shared" si="11"/>
        <v/>
      </c>
      <c r="L180" s="363"/>
    </row>
    <row r="181" spans="1:12" s="20" customFormat="1" ht="15" customHeight="1" x14ac:dyDescent="0.35">
      <c r="A181" s="15" t="str" cm="1">
        <f t="array" ref="A181">IFERROR(IF(INDEX(_xlfn.ANCHORARRAY('Short Circuit'!$BK$4),ROW()-5,1)="","",INDEX(_xlfn.ANCHORARRAY('Short Circuit'!$BK$4),ROW()-5,1)),"")</f>
        <v/>
      </c>
      <c r="B181" s="362" t="str" cm="1">
        <f t="array" ref="B181">IFERROR(IF($A181="","",INDEX(_xlfn.ANCHORARRAY('Short Circuit'!$BK$4),ROW()-5,5)),"")</f>
        <v/>
      </c>
      <c r="C181" s="181" t="str" cm="1">
        <f t="array" ref="C181">IFERROR(IF($A181="","",INDEX(_xlfn.ANCHORARRAY('Short Circuit'!$BK$4),ROW()-5,7)),"")</f>
        <v/>
      </c>
      <c r="D181" s="168" t="str" cm="1">
        <f t="array" ref="D181">IFERROR(IF($A181="","",INDEX(_xlfn.ANCHORARRAY('Short Circuit'!$BK$4),ROW()-5,3)),"")</f>
        <v/>
      </c>
      <c r="E181" s="362" t="str" cm="1">
        <f t="array" ref="E181">IFERROR(IF($A181="","",INDEX(_xlfn.ANCHORARRAY('Short Circuit'!$BK$4),ROW()-5,2)),"")</f>
        <v/>
      </c>
      <c r="F181" s="15" t="str">
        <f>IF($A181="","",IF($C181=0,"— utility service —",IFERROR(_xlfn.XLOOKUP("F-"&amp;$A181,'Short Circuit'!$A$6:$A$255,'Short Circuit'!$G$6:$G$255),IFERROR(_xlfn.XLOOKUP($A181,'Short Circuit'!$A$6:$A$255,'Short Circuit'!$G$6:$G$255),"⚠ no feeder data"))))</f>
        <v/>
      </c>
      <c r="G181" s="78" t="str">
        <f>IF($A181="","",IF($C181=0,0,IFERROR(_xlfn.XLOOKUP("F-"&amp;$A181,'Feeder Schedule'!$B$5:$B$254,'Feeder Schedule'!$U$5:$U$254),"")))</f>
        <v/>
      </c>
      <c r="H181" s="78" t="str">
        <f t="shared" si="10"/>
        <v/>
      </c>
      <c r="I181" s="78" t="str">
        <f t="shared" si="8"/>
        <v/>
      </c>
      <c r="J181" s="78" t="str">
        <f t="shared" si="9"/>
        <v/>
      </c>
      <c r="K181" s="15" t="str">
        <f t="shared" si="11"/>
        <v/>
      </c>
      <c r="L181" s="363"/>
    </row>
    <row r="182" spans="1:12" s="20" customFormat="1" ht="15" customHeight="1" x14ac:dyDescent="0.35">
      <c r="A182" s="15" t="str" cm="1">
        <f t="array" ref="A182">IFERROR(IF(INDEX(_xlfn.ANCHORARRAY('Short Circuit'!$BK$4),ROW()-5,1)="","",INDEX(_xlfn.ANCHORARRAY('Short Circuit'!$BK$4),ROW()-5,1)),"")</f>
        <v/>
      </c>
      <c r="B182" s="362" t="str" cm="1">
        <f t="array" ref="B182">IFERROR(IF($A182="","",INDEX(_xlfn.ANCHORARRAY('Short Circuit'!$BK$4),ROW()-5,5)),"")</f>
        <v/>
      </c>
      <c r="C182" s="181" t="str" cm="1">
        <f t="array" ref="C182">IFERROR(IF($A182="","",INDEX(_xlfn.ANCHORARRAY('Short Circuit'!$BK$4),ROW()-5,7)),"")</f>
        <v/>
      </c>
      <c r="D182" s="168" t="str" cm="1">
        <f t="array" ref="D182">IFERROR(IF($A182="","",INDEX(_xlfn.ANCHORARRAY('Short Circuit'!$BK$4),ROW()-5,3)),"")</f>
        <v/>
      </c>
      <c r="E182" s="362" t="str" cm="1">
        <f t="array" ref="E182">IFERROR(IF($A182="","",INDEX(_xlfn.ANCHORARRAY('Short Circuit'!$BK$4),ROW()-5,2)),"")</f>
        <v/>
      </c>
      <c r="F182" s="15" t="str">
        <f>IF($A182="","",IF($C182=0,"— utility service —",IFERROR(_xlfn.XLOOKUP("F-"&amp;$A182,'Short Circuit'!$A$6:$A$255,'Short Circuit'!$G$6:$G$255),IFERROR(_xlfn.XLOOKUP($A182,'Short Circuit'!$A$6:$A$255,'Short Circuit'!$G$6:$G$255),"⚠ no feeder data"))))</f>
        <v/>
      </c>
      <c r="G182" s="78" t="str">
        <f>IF($A182="","",IF($C182=0,0,IFERROR(_xlfn.XLOOKUP("F-"&amp;$A182,'Feeder Schedule'!$B$5:$B$254,'Feeder Schedule'!$U$5:$U$254),"")))</f>
        <v/>
      </c>
      <c r="H182" s="78" t="str">
        <f t="shared" si="10"/>
        <v/>
      </c>
      <c r="I182" s="78" t="str">
        <f t="shared" si="8"/>
        <v/>
      </c>
      <c r="J182" s="78" t="str">
        <f t="shared" si="9"/>
        <v/>
      </c>
      <c r="K182" s="15" t="str">
        <f t="shared" si="11"/>
        <v/>
      </c>
      <c r="L182" s="363"/>
    </row>
    <row r="183" spans="1:12" s="20" customFormat="1" ht="15" customHeight="1" x14ac:dyDescent="0.35">
      <c r="A183" s="15" t="str" cm="1">
        <f t="array" ref="A183">IFERROR(IF(INDEX(_xlfn.ANCHORARRAY('Short Circuit'!$BK$4),ROW()-5,1)="","",INDEX(_xlfn.ANCHORARRAY('Short Circuit'!$BK$4),ROW()-5,1)),"")</f>
        <v/>
      </c>
      <c r="B183" s="362" t="str" cm="1">
        <f t="array" ref="B183">IFERROR(IF($A183="","",INDEX(_xlfn.ANCHORARRAY('Short Circuit'!$BK$4),ROW()-5,5)),"")</f>
        <v/>
      </c>
      <c r="C183" s="181" t="str" cm="1">
        <f t="array" ref="C183">IFERROR(IF($A183="","",INDEX(_xlfn.ANCHORARRAY('Short Circuit'!$BK$4),ROW()-5,7)),"")</f>
        <v/>
      </c>
      <c r="D183" s="168" t="str" cm="1">
        <f t="array" ref="D183">IFERROR(IF($A183="","",INDEX(_xlfn.ANCHORARRAY('Short Circuit'!$BK$4),ROW()-5,3)),"")</f>
        <v/>
      </c>
      <c r="E183" s="362" t="str" cm="1">
        <f t="array" ref="E183">IFERROR(IF($A183="","",INDEX(_xlfn.ANCHORARRAY('Short Circuit'!$BK$4),ROW()-5,2)),"")</f>
        <v/>
      </c>
      <c r="F183" s="15" t="str">
        <f>IF($A183="","",IF($C183=0,"— utility service —",IFERROR(_xlfn.XLOOKUP("F-"&amp;$A183,'Short Circuit'!$A$6:$A$255,'Short Circuit'!$G$6:$G$255),IFERROR(_xlfn.XLOOKUP($A183,'Short Circuit'!$A$6:$A$255,'Short Circuit'!$G$6:$G$255),"⚠ no feeder data"))))</f>
        <v/>
      </c>
      <c r="G183" s="78" t="str">
        <f>IF($A183="","",IF($C183=0,0,IFERROR(_xlfn.XLOOKUP("F-"&amp;$A183,'Feeder Schedule'!$B$5:$B$254,'Feeder Schedule'!$U$5:$U$254),"")))</f>
        <v/>
      </c>
      <c r="H183" s="78" t="str">
        <f t="shared" si="10"/>
        <v/>
      </c>
      <c r="I183" s="78" t="str">
        <f t="shared" si="8"/>
        <v/>
      </c>
      <c r="J183" s="78" t="str">
        <f t="shared" si="9"/>
        <v/>
      </c>
      <c r="K183" s="15" t="str">
        <f t="shared" si="11"/>
        <v/>
      </c>
      <c r="L183" s="363"/>
    </row>
    <row r="184" spans="1:12" s="20" customFormat="1" ht="15" customHeight="1" x14ac:dyDescent="0.35">
      <c r="A184" s="15" t="str" cm="1">
        <f t="array" ref="A184">IFERROR(IF(INDEX(_xlfn.ANCHORARRAY('Short Circuit'!$BK$4),ROW()-5,1)="","",INDEX(_xlfn.ANCHORARRAY('Short Circuit'!$BK$4),ROW()-5,1)),"")</f>
        <v/>
      </c>
      <c r="B184" s="362" t="str" cm="1">
        <f t="array" ref="B184">IFERROR(IF($A184="","",INDEX(_xlfn.ANCHORARRAY('Short Circuit'!$BK$4),ROW()-5,5)),"")</f>
        <v/>
      </c>
      <c r="C184" s="181" t="str" cm="1">
        <f t="array" ref="C184">IFERROR(IF($A184="","",INDEX(_xlfn.ANCHORARRAY('Short Circuit'!$BK$4),ROW()-5,7)),"")</f>
        <v/>
      </c>
      <c r="D184" s="168" t="str" cm="1">
        <f t="array" ref="D184">IFERROR(IF($A184="","",INDEX(_xlfn.ANCHORARRAY('Short Circuit'!$BK$4),ROW()-5,3)),"")</f>
        <v/>
      </c>
      <c r="E184" s="362" t="str" cm="1">
        <f t="array" ref="E184">IFERROR(IF($A184="","",INDEX(_xlfn.ANCHORARRAY('Short Circuit'!$BK$4),ROW()-5,2)),"")</f>
        <v/>
      </c>
      <c r="F184" s="15" t="str">
        <f>IF($A184="","",IF($C184=0,"— utility service —",IFERROR(_xlfn.XLOOKUP("F-"&amp;$A184,'Short Circuit'!$A$6:$A$255,'Short Circuit'!$G$6:$G$255),IFERROR(_xlfn.XLOOKUP($A184,'Short Circuit'!$A$6:$A$255,'Short Circuit'!$G$6:$G$255),"⚠ no feeder data"))))</f>
        <v/>
      </c>
      <c r="G184" s="78" t="str">
        <f>IF($A184="","",IF($C184=0,0,IFERROR(_xlfn.XLOOKUP("F-"&amp;$A184,'Feeder Schedule'!$B$5:$B$254,'Feeder Schedule'!$U$5:$U$254),"")))</f>
        <v/>
      </c>
      <c r="H184" s="78" t="str">
        <f t="shared" si="10"/>
        <v/>
      </c>
      <c r="I184" s="78" t="str">
        <f t="shared" si="8"/>
        <v/>
      </c>
      <c r="J184" s="78" t="str">
        <f t="shared" si="9"/>
        <v/>
      </c>
      <c r="K184" s="15" t="str">
        <f t="shared" si="11"/>
        <v/>
      </c>
      <c r="L184" s="363"/>
    </row>
    <row r="185" spans="1:12" s="20" customFormat="1" ht="15" customHeight="1" x14ac:dyDescent="0.35">
      <c r="A185" s="15" t="str" cm="1">
        <f t="array" ref="A185">IFERROR(IF(INDEX(_xlfn.ANCHORARRAY('Short Circuit'!$BK$4),ROW()-5,1)="","",INDEX(_xlfn.ANCHORARRAY('Short Circuit'!$BK$4),ROW()-5,1)),"")</f>
        <v/>
      </c>
      <c r="B185" s="362" t="str" cm="1">
        <f t="array" ref="B185">IFERROR(IF($A185="","",INDEX(_xlfn.ANCHORARRAY('Short Circuit'!$BK$4),ROW()-5,5)),"")</f>
        <v/>
      </c>
      <c r="C185" s="181" t="str" cm="1">
        <f t="array" ref="C185">IFERROR(IF($A185="","",INDEX(_xlfn.ANCHORARRAY('Short Circuit'!$BK$4),ROW()-5,7)),"")</f>
        <v/>
      </c>
      <c r="D185" s="168" t="str" cm="1">
        <f t="array" ref="D185">IFERROR(IF($A185="","",INDEX(_xlfn.ANCHORARRAY('Short Circuit'!$BK$4),ROW()-5,3)),"")</f>
        <v/>
      </c>
      <c r="E185" s="362" t="str" cm="1">
        <f t="array" ref="E185">IFERROR(IF($A185="","",INDEX(_xlfn.ANCHORARRAY('Short Circuit'!$BK$4),ROW()-5,2)),"")</f>
        <v/>
      </c>
      <c r="F185" s="15" t="str">
        <f>IF($A185="","",IF($C185=0,"— utility service —",IFERROR(_xlfn.XLOOKUP("F-"&amp;$A185,'Short Circuit'!$A$6:$A$255,'Short Circuit'!$G$6:$G$255),IFERROR(_xlfn.XLOOKUP($A185,'Short Circuit'!$A$6:$A$255,'Short Circuit'!$G$6:$G$255),"⚠ no feeder data"))))</f>
        <v/>
      </c>
      <c r="G185" s="78" t="str">
        <f>IF($A185="","",IF($C185=0,0,IFERROR(_xlfn.XLOOKUP("F-"&amp;$A185,'Feeder Schedule'!$B$5:$B$254,'Feeder Schedule'!$U$5:$U$254),"")))</f>
        <v/>
      </c>
      <c r="H185" s="78" t="str">
        <f t="shared" si="10"/>
        <v/>
      </c>
      <c r="I185" s="78" t="str">
        <f t="shared" si="8"/>
        <v/>
      </c>
      <c r="J185" s="78" t="str">
        <f t="shared" si="9"/>
        <v/>
      </c>
      <c r="K185" s="15" t="str">
        <f t="shared" si="11"/>
        <v/>
      </c>
      <c r="L185" s="363"/>
    </row>
    <row r="186" spans="1:12" s="20" customFormat="1" ht="15" customHeight="1" x14ac:dyDescent="0.35">
      <c r="A186" s="15" t="str" cm="1">
        <f t="array" ref="A186">IFERROR(IF(INDEX(_xlfn.ANCHORARRAY('Short Circuit'!$BK$4),ROW()-5,1)="","",INDEX(_xlfn.ANCHORARRAY('Short Circuit'!$BK$4),ROW()-5,1)),"")</f>
        <v/>
      </c>
      <c r="B186" s="362" t="str" cm="1">
        <f t="array" ref="B186">IFERROR(IF($A186="","",INDEX(_xlfn.ANCHORARRAY('Short Circuit'!$BK$4),ROW()-5,5)),"")</f>
        <v/>
      </c>
      <c r="C186" s="181" t="str" cm="1">
        <f t="array" ref="C186">IFERROR(IF($A186="","",INDEX(_xlfn.ANCHORARRAY('Short Circuit'!$BK$4),ROW()-5,7)),"")</f>
        <v/>
      </c>
      <c r="D186" s="168" t="str" cm="1">
        <f t="array" ref="D186">IFERROR(IF($A186="","",INDEX(_xlfn.ANCHORARRAY('Short Circuit'!$BK$4),ROW()-5,3)),"")</f>
        <v/>
      </c>
      <c r="E186" s="362" t="str" cm="1">
        <f t="array" ref="E186">IFERROR(IF($A186="","",INDEX(_xlfn.ANCHORARRAY('Short Circuit'!$BK$4),ROW()-5,2)),"")</f>
        <v/>
      </c>
      <c r="F186" s="15" t="str">
        <f>IF($A186="","",IF($C186=0,"— utility service —",IFERROR(_xlfn.XLOOKUP("F-"&amp;$A186,'Short Circuit'!$A$6:$A$255,'Short Circuit'!$G$6:$G$255),IFERROR(_xlfn.XLOOKUP($A186,'Short Circuit'!$A$6:$A$255,'Short Circuit'!$G$6:$G$255),"⚠ no feeder data"))))</f>
        <v/>
      </c>
      <c r="G186" s="78" t="str">
        <f>IF($A186="","",IF($C186=0,0,IFERROR(_xlfn.XLOOKUP("F-"&amp;$A186,'Feeder Schedule'!$B$5:$B$254,'Feeder Schedule'!$U$5:$U$254),"")))</f>
        <v/>
      </c>
      <c r="H186" s="78" t="str">
        <f t="shared" si="10"/>
        <v/>
      </c>
      <c r="I186" s="78" t="str">
        <f t="shared" si="8"/>
        <v/>
      </c>
      <c r="J186" s="78" t="str">
        <f t="shared" si="9"/>
        <v/>
      </c>
      <c r="K186" s="15" t="str">
        <f t="shared" si="11"/>
        <v/>
      </c>
      <c r="L186" s="363"/>
    </row>
    <row r="187" spans="1:12" s="20" customFormat="1" ht="15" customHeight="1" x14ac:dyDescent="0.35">
      <c r="A187" s="15" t="str" cm="1">
        <f t="array" ref="A187">IFERROR(IF(INDEX(_xlfn.ANCHORARRAY('Short Circuit'!$BK$4),ROW()-5,1)="","",INDEX(_xlfn.ANCHORARRAY('Short Circuit'!$BK$4),ROW()-5,1)),"")</f>
        <v/>
      </c>
      <c r="B187" s="362" t="str" cm="1">
        <f t="array" ref="B187">IFERROR(IF($A187="","",INDEX(_xlfn.ANCHORARRAY('Short Circuit'!$BK$4),ROW()-5,5)),"")</f>
        <v/>
      </c>
      <c r="C187" s="181" t="str" cm="1">
        <f t="array" ref="C187">IFERROR(IF($A187="","",INDEX(_xlfn.ANCHORARRAY('Short Circuit'!$BK$4),ROW()-5,7)),"")</f>
        <v/>
      </c>
      <c r="D187" s="168" t="str" cm="1">
        <f t="array" ref="D187">IFERROR(IF($A187="","",INDEX(_xlfn.ANCHORARRAY('Short Circuit'!$BK$4),ROW()-5,3)),"")</f>
        <v/>
      </c>
      <c r="E187" s="362" t="str" cm="1">
        <f t="array" ref="E187">IFERROR(IF($A187="","",INDEX(_xlfn.ANCHORARRAY('Short Circuit'!$BK$4),ROW()-5,2)),"")</f>
        <v/>
      </c>
      <c r="F187" s="15" t="str">
        <f>IF($A187="","",IF($C187=0,"— utility service —",IFERROR(_xlfn.XLOOKUP("F-"&amp;$A187,'Short Circuit'!$A$6:$A$255,'Short Circuit'!$G$6:$G$255),IFERROR(_xlfn.XLOOKUP($A187,'Short Circuit'!$A$6:$A$255,'Short Circuit'!$G$6:$G$255),"⚠ no feeder data"))))</f>
        <v/>
      </c>
      <c r="G187" s="78" t="str">
        <f>IF($A187="","",IF($C187=0,0,IFERROR(_xlfn.XLOOKUP("F-"&amp;$A187,'Feeder Schedule'!$B$5:$B$254,'Feeder Schedule'!$U$5:$U$254),"")))</f>
        <v/>
      </c>
      <c r="H187" s="78" t="str">
        <f t="shared" si="10"/>
        <v/>
      </c>
      <c r="I187" s="78" t="str">
        <f t="shared" si="8"/>
        <v/>
      </c>
      <c r="J187" s="78" t="str">
        <f t="shared" si="9"/>
        <v/>
      </c>
      <c r="K187" s="15" t="str">
        <f t="shared" si="11"/>
        <v/>
      </c>
      <c r="L187" s="363"/>
    </row>
    <row r="188" spans="1:12" s="20" customFormat="1" ht="15" customHeight="1" x14ac:dyDescent="0.35">
      <c r="A188" s="15" t="str" cm="1">
        <f t="array" ref="A188">IFERROR(IF(INDEX(_xlfn.ANCHORARRAY('Short Circuit'!$BK$4),ROW()-5,1)="","",INDEX(_xlfn.ANCHORARRAY('Short Circuit'!$BK$4),ROW()-5,1)),"")</f>
        <v/>
      </c>
      <c r="B188" s="362" t="str" cm="1">
        <f t="array" ref="B188">IFERROR(IF($A188="","",INDEX(_xlfn.ANCHORARRAY('Short Circuit'!$BK$4),ROW()-5,5)),"")</f>
        <v/>
      </c>
      <c r="C188" s="181" t="str" cm="1">
        <f t="array" ref="C188">IFERROR(IF($A188="","",INDEX(_xlfn.ANCHORARRAY('Short Circuit'!$BK$4),ROW()-5,7)),"")</f>
        <v/>
      </c>
      <c r="D188" s="168" t="str" cm="1">
        <f t="array" ref="D188">IFERROR(IF($A188="","",INDEX(_xlfn.ANCHORARRAY('Short Circuit'!$BK$4),ROW()-5,3)),"")</f>
        <v/>
      </c>
      <c r="E188" s="362" t="str" cm="1">
        <f t="array" ref="E188">IFERROR(IF($A188="","",INDEX(_xlfn.ANCHORARRAY('Short Circuit'!$BK$4),ROW()-5,2)),"")</f>
        <v/>
      </c>
      <c r="F188" s="15" t="str">
        <f>IF($A188="","",IF($C188=0,"— utility service —",IFERROR(_xlfn.XLOOKUP("F-"&amp;$A188,'Short Circuit'!$A$6:$A$255,'Short Circuit'!$G$6:$G$255),IFERROR(_xlfn.XLOOKUP($A188,'Short Circuit'!$A$6:$A$255,'Short Circuit'!$G$6:$G$255),"⚠ no feeder data"))))</f>
        <v/>
      </c>
      <c r="G188" s="78" t="str">
        <f>IF($A188="","",IF($C188=0,0,IFERROR(_xlfn.XLOOKUP("F-"&amp;$A188,'Feeder Schedule'!$B$5:$B$254,'Feeder Schedule'!$U$5:$U$254),"")))</f>
        <v/>
      </c>
      <c r="H188" s="78" t="str">
        <f t="shared" si="10"/>
        <v/>
      </c>
      <c r="I188" s="78" t="str">
        <f t="shared" si="8"/>
        <v/>
      </c>
      <c r="J188" s="78" t="str">
        <f t="shared" si="9"/>
        <v/>
      </c>
      <c r="K188" s="15" t="str">
        <f t="shared" si="11"/>
        <v/>
      </c>
      <c r="L188" s="363"/>
    </row>
    <row r="189" spans="1:12" s="20" customFormat="1" ht="15" customHeight="1" x14ac:dyDescent="0.35">
      <c r="A189" s="15" t="str" cm="1">
        <f t="array" ref="A189">IFERROR(IF(INDEX(_xlfn.ANCHORARRAY('Short Circuit'!$BK$4),ROW()-5,1)="","",INDEX(_xlfn.ANCHORARRAY('Short Circuit'!$BK$4),ROW()-5,1)),"")</f>
        <v/>
      </c>
      <c r="B189" s="362" t="str" cm="1">
        <f t="array" ref="B189">IFERROR(IF($A189="","",INDEX(_xlfn.ANCHORARRAY('Short Circuit'!$BK$4),ROW()-5,5)),"")</f>
        <v/>
      </c>
      <c r="C189" s="181" t="str" cm="1">
        <f t="array" ref="C189">IFERROR(IF($A189="","",INDEX(_xlfn.ANCHORARRAY('Short Circuit'!$BK$4),ROW()-5,7)),"")</f>
        <v/>
      </c>
      <c r="D189" s="168" t="str" cm="1">
        <f t="array" ref="D189">IFERROR(IF($A189="","",INDEX(_xlfn.ANCHORARRAY('Short Circuit'!$BK$4),ROW()-5,3)),"")</f>
        <v/>
      </c>
      <c r="E189" s="362" t="str" cm="1">
        <f t="array" ref="E189">IFERROR(IF($A189="","",INDEX(_xlfn.ANCHORARRAY('Short Circuit'!$BK$4),ROW()-5,2)),"")</f>
        <v/>
      </c>
      <c r="F189" s="15" t="str">
        <f>IF($A189="","",IF($C189=0,"— utility service —",IFERROR(_xlfn.XLOOKUP("F-"&amp;$A189,'Short Circuit'!$A$6:$A$255,'Short Circuit'!$G$6:$G$255),IFERROR(_xlfn.XLOOKUP($A189,'Short Circuit'!$A$6:$A$255,'Short Circuit'!$G$6:$G$255),"⚠ no feeder data"))))</f>
        <v/>
      </c>
      <c r="G189" s="78" t="str">
        <f>IF($A189="","",IF($C189=0,0,IFERROR(_xlfn.XLOOKUP("F-"&amp;$A189,'Feeder Schedule'!$B$5:$B$254,'Feeder Schedule'!$U$5:$U$254),"")))</f>
        <v/>
      </c>
      <c r="H189" s="78" t="str">
        <f t="shared" si="10"/>
        <v/>
      </c>
      <c r="I189" s="78" t="str">
        <f t="shared" si="8"/>
        <v/>
      </c>
      <c r="J189" s="78" t="str">
        <f t="shared" si="9"/>
        <v/>
      </c>
      <c r="K189" s="15" t="str">
        <f t="shared" si="11"/>
        <v/>
      </c>
      <c r="L189" s="363"/>
    </row>
    <row r="190" spans="1:12" s="20" customFormat="1" ht="15" customHeight="1" x14ac:dyDescent="0.35">
      <c r="A190" s="15" t="str" cm="1">
        <f t="array" ref="A190">IFERROR(IF(INDEX(_xlfn.ANCHORARRAY('Short Circuit'!$BK$4),ROW()-5,1)="","",INDEX(_xlfn.ANCHORARRAY('Short Circuit'!$BK$4),ROW()-5,1)),"")</f>
        <v/>
      </c>
      <c r="B190" s="362" t="str" cm="1">
        <f t="array" ref="B190">IFERROR(IF($A190="","",INDEX(_xlfn.ANCHORARRAY('Short Circuit'!$BK$4),ROW()-5,5)),"")</f>
        <v/>
      </c>
      <c r="C190" s="181" t="str" cm="1">
        <f t="array" ref="C190">IFERROR(IF($A190="","",INDEX(_xlfn.ANCHORARRAY('Short Circuit'!$BK$4),ROW()-5,7)),"")</f>
        <v/>
      </c>
      <c r="D190" s="168" t="str" cm="1">
        <f t="array" ref="D190">IFERROR(IF($A190="","",INDEX(_xlfn.ANCHORARRAY('Short Circuit'!$BK$4),ROW()-5,3)),"")</f>
        <v/>
      </c>
      <c r="E190" s="362" t="str" cm="1">
        <f t="array" ref="E190">IFERROR(IF($A190="","",INDEX(_xlfn.ANCHORARRAY('Short Circuit'!$BK$4),ROW()-5,2)),"")</f>
        <v/>
      </c>
      <c r="F190" s="15" t="str">
        <f>IF($A190="","",IF($C190=0,"— utility service —",IFERROR(_xlfn.XLOOKUP("F-"&amp;$A190,'Short Circuit'!$A$6:$A$255,'Short Circuit'!$G$6:$G$255),IFERROR(_xlfn.XLOOKUP($A190,'Short Circuit'!$A$6:$A$255,'Short Circuit'!$G$6:$G$255),"⚠ no feeder data"))))</f>
        <v/>
      </c>
      <c r="G190" s="78" t="str">
        <f>IF($A190="","",IF($C190=0,0,IFERROR(_xlfn.XLOOKUP("F-"&amp;$A190,'Feeder Schedule'!$B$5:$B$254,'Feeder Schedule'!$U$5:$U$254),"")))</f>
        <v/>
      </c>
      <c r="H190" s="78" t="str">
        <f t="shared" si="10"/>
        <v/>
      </c>
      <c r="I190" s="78" t="str">
        <f t="shared" si="8"/>
        <v/>
      </c>
      <c r="J190" s="78" t="str">
        <f t="shared" si="9"/>
        <v/>
      </c>
      <c r="K190" s="15" t="str">
        <f t="shared" si="11"/>
        <v/>
      </c>
      <c r="L190" s="363"/>
    </row>
    <row r="191" spans="1:12" s="20" customFormat="1" ht="15" customHeight="1" x14ac:dyDescent="0.35">
      <c r="A191" s="15" t="str" cm="1">
        <f t="array" ref="A191">IFERROR(IF(INDEX(_xlfn.ANCHORARRAY('Short Circuit'!$BK$4),ROW()-5,1)="","",INDEX(_xlfn.ANCHORARRAY('Short Circuit'!$BK$4),ROW()-5,1)),"")</f>
        <v/>
      </c>
      <c r="B191" s="362" t="str" cm="1">
        <f t="array" ref="B191">IFERROR(IF($A191="","",INDEX(_xlfn.ANCHORARRAY('Short Circuit'!$BK$4),ROW()-5,5)),"")</f>
        <v/>
      </c>
      <c r="C191" s="181" t="str" cm="1">
        <f t="array" ref="C191">IFERROR(IF($A191="","",INDEX(_xlfn.ANCHORARRAY('Short Circuit'!$BK$4),ROW()-5,7)),"")</f>
        <v/>
      </c>
      <c r="D191" s="168" t="str" cm="1">
        <f t="array" ref="D191">IFERROR(IF($A191="","",INDEX(_xlfn.ANCHORARRAY('Short Circuit'!$BK$4),ROW()-5,3)),"")</f>
        <v/>
      </c>
      <c r="E191" s="362" t="str" cm="1">
        <f t="array" ref="E191">IFERROR(IF($A191="","",INDEX(_xlfn.ANCHORARRAY('Short Circuit'!$BK$4),ROW()-5,2)),"")</f>
        <v/>
      </c>
      <c r="F191" s="15" t="str">
        <f>IF($A191="","",IF($C191=0,"— utility service —",IFERROR(_xlfn.XLOOKUP("F-"&amp;$A191,'Short Circuit'!$A$6:$A$255,'Short Circuit'!$G$6:$G$255),IFERROR(_xlfn.XLOOKUP($A191,'Short Circuit'!$A$6:$A$255,'Short Circuit'!$G$6:$G$255),"⚠ no feeder data"))))</f>
        <v/>
      </c>
      <c r="G191" s="78" t="str">
        <f>IF($A191="","",IF($C191=0,0,IFERROR(_xlfn.XLOOKUP("F-"&amp;$A191,'Feeder Schedule'!$B$5:$B$254,'Feeder Schedule'!$U$5:$U$254),"")))</f>
        <v/>
      </c>
      <c r="H191" s="78" t="str">
        <f t="shared" si="10"/>
        <v/>
      </c>
      <c r="I191" s="78" t="str">
        <f t="shared" si="8"/>
        <v/>
      </c>
      <c r="J191" s="78" t="str">
        <f t="shared" si="9"/>
        <v/>
      </c>
      <c r="K191" s="15" t="str">
        <f t="shared" si="11"/>
        <v/>
      </c>
      <c r="L191" s="363"/>
    </row>
    <row r="192" spans="1:12" s="20" customFormat="1" ht="15" customHeight="1" x14ac:dyDescent="0.35">
      <c r="A192" s="15" t="str" cm="1">
        <f t="array" ref="A192">IFERROR(IF(INDEX(_xlfn.ANCHORARRAY('Short Circuit'!$BK$4),ROW()-5,1)="","",INDEX(_xlfn.ANCHORARRAY('Short Circuit'!$BK$4),ROW()-5,1)),"")</f>
        <v/>
      </c>
      <c r="B192" s="362" t="str" cm="1">
        <f t="array" ref="B192">IFERROR(IF($A192="","",INDEX(_xlfn.ANCHORARRAY('Short Circuit'!$BK$4),ROW()-5,5)),"")</f>
        <v/>
      </c>
      <c r="C192" s="181" t="str" cm="1">
        <f t="array" ref="C192">IFERROR(IF($A192="","",INDEX(_xlfn.ANCHORARRAY('Short Circuit'!$BK$4),ROW()-5,7)),"")</f>
        <v/>
      </c>
      <c r="D192" s="168" t="str" cm="1">
        <f t="array" ref="D192">IFERROR(IF($A192="","",INDEX(_xlfn.ANCHORARRAY('Short Circuit'!$BK$4),ROW()-5,3)),"")</f>
        <v/>
      </c>
      <c r="E192" s="362" t="str" cm="1">
        <f t="array" ref="E192">IFERROR(IF($A192="","",INDEX(_xlfn.ANCHORARRAY('Short Circuit'!$BK$4),ROW()-5,2)),"")</f>
        <v/>
      </c>
      <c r="F192" s="15" t="str">
        <f>IF($A192="","",IF($C192=0,"— utility service —",IFERROR(_xlfn.XLOOKUP("F-"&amp;$A192,'Short Circuit'!$A$6:$A$255,'Short Circuit'!$G$6:$G$255),IFERROR(_xlfn.XLOOKUP($A192,'Short Circuit'!$A$6:$A$255,'Short Circuit'!$G$6:$G$255),"⚠ no feeder data"))))</f>
        <v/>
      </c>
      <c r="G192" s="78" t="str">
        <f>IF($A192="","",IF($C192=0,0,IFERROR(_xlfn.XLOOKUP("F-"&amp;$A192,'Feeder Schedule'!$B$5:$B$254,'Feeder Schedule'!$U$5:$U$254),"")))</f>
        <v/>
      </c>
      <c r="H192" s="78" t="str">
        <f t="shared" si="10"/>
        <v/>
      </c>
      <c r="I192" s="78" t="str">
        <f t="shared" si="8"/>
        <v/>
      </c>
      <c r="J192" s="78" t="str">
        <f t="shared" si="9"/>
        <v/>
      </c>
      <c r="K192" s="15" t="str">
        <f t="shared" si="11"/>
        <v/>
      </c>
      <c r="L192" s="363"/>
    </row>
    <row r="193" spans="1:12" s="20" customFormat="1" ht="15" customHeight="1" x14ac:dyDescent="0.35">
      <c r="A193" s="15" t="str" cm="1">
        <f t="array" ref="A193">IFERROR(IF(INDEX(_xlfn.ANCHORARRAY('Short Circuit'!$BK$4),ROW()-5,1)="","",INDEX(_xlfn.ANCHORARRAY('Short Circuit'!$BK$4),ROW()-5,1)),"")</f>
        <v/>
      </c>
      <c r="B193" s="362" t="str" cm="1">
        <f t="array" ref="B193">IFERROR(IF($A193="","",INDEX(_xlfn.ANCHORARRAY('Short Circuit'!$BK$4),ROW()-5,5)),"")</f>
        <v/>
      </c>
      <c r="C193" s="181" t="str" cm="1">
        <f t="array" ref="C193">IFERROR(IF($A193="","",INDEX(_xlfn.ANCHORARRAY('Short Circuit'!$BK$4),ROW()-5,7)),"")</f>
        <v/>
      </c>
      <c r="D193" s="168" t="str" cm="1">
        <f t="array" ref="D193">IFERROR(IF($A193="","",INDEX(_xlfn.ANCHORARRAY('Short Circuit'!$BK$4),ROW()-5,3)),"")</f>
        <v/>
      </c>
      <c r="E193" s="362" t="str" cm="1">
        <f t="array" ref="E193">IFERROR(IF($A193="","",INDEX(_xlfn.ANCHORARRAY('Short Circuit'!$BK$4),ROW()-5,2)),"")</f>
        <v/>
      </c>
      <c r="F193" s="15" t="str">
        <f>IF($A193="","",IF($C193=0,"— utility service —",IFERROR(_xlfn.XLOOKUP("F-"&amp;$A193,'Short Circuit'!$A$6:$A$255,'Short Circuit'!$G$6:$G$255),IFERROR(_xlfn.XLOOKUP($A193,'Short Circuit'!$A$6:$A$255,'Short Circuit'!$G$6:$G$255),"⚠ no feeder data"))))</f>
        <v/>
      </c>
      <c r="G193" s="78" t="str">
        <f>IF($A193="","",IF($C193=0,0,IFERROR(_xlfn.XLOOKUP("F-"&amp;$A193,'Feeder Schedule'!$B$5:$B$254,'Feeder Schedule'!$U$5:$U$254),"")))</f>
        <v/>
      </c>
      <c r="H193" s="78" t="str">
        <f t="shared" si="10"/>
        <v/>
      </c>
      <c r="I193" s="78" t="str">
        <f t="shared" si="8"/>
        <v/>
      </c>
      <c r="J193" s="78" t="str">
        <f t="shared" si="9"/>
        <v/>
      </c>
      <c r="K193" s="15" t="str">
        <f t="shared" si="11"/>
        <v/>
      </c>
      <c r="L193" s="363"/>
    </row>
    <row r="194" spans="1:12" s="20" customFormat="1" ht="15" customHeight="1" x14ac:dyDescent="0.35">
      <c r="A194" s="15" t="str" cm="1">
        <f t="array" ref="A194">IFERROR(IF(INDEX(_xlfn.ANCHORARRAY('Short Circuit'!$BK$4),ROW()-5,1)="","",INDEX(_xlfn.ANCHORARRAY('Short Circuit'!$BK$4),ROW()-5,1)),"")</f>
        <v/>
      </c>
      <c r="B194" s="362" t="str" cm="1">
        <f t="array" ref="B194">IFERROR(IF($A194="","",INDEX(_xlfn.ANCHORARRAY('Short Circuit'!$BK$4),ROW()-5,5)),"")</f>
        <v/>
      </c>
      <c r="C194" s="181" t="str" cm="1">
        <f t="array" ref="C194">IFERROR(IF($A194="","",INDEX(_xlfn.ANCHORARRAY('Short Circuit'!$BK$4),ROW()-5,7)),"")</f>
        <v/>
      </c>
      <c r="D194" s="168" t="str" cm="1">
        <f t="array" ref="D194">IFERROR(IF($A194="","",INDEX(_xlfn.ANCHORARRAY('Short Circuit'!$BK$4),ROW()-5,3)),"")</f>
        <v/>
      </c>
      <c r="E194" s="362" t="str" cm="1">
        <f t="array" ref="E194">IFERROR(IF($A194="","",INDEX(_xlfn.ANCHORARRAY('Short Circuit'!$BK$4),ROW()-5,2)),"")</f>
        <v/>
      </c>
      <c r="F194" s="15" t="str">
        <f>IF($A194="","",IF($C194=0,"— utility service —",IFERROR(_xlfn.XLOOKUP("F-"&amp;$A194,'Short Circuit'!$A$6:$A$255,'Short Circuit'!$G$6:$G$255),IFERROR(_xlfn.XLOOKUP($A194,'Short Circuit'!$A$6:$A$255,'Short Circuit'!$G$6:$G$255),"⚠ no feeder data"))))</f>
        <v/>
      </c>
      <c r="G194" s="78" t="str">
        <f>IF($A194="","",IF($C194=0,0,IFERROR(_xlfn.XLOOKUP("F-"&amp;$A194,'Feeder Schedule'!$B$5:$B$254,'Feeder Schedule'!$U$5:$U$254),"")))</f>
        <v/>
      </c>
      <c r="H194" s="78" t="str">
        <f t="shared" si="10"/>
        <v/>
      </c>
      <c r="I194" s="78" t="str">
        <f t="shared" si="8"/>
        <v/>
      </c>
      <c r="J194" s="78" t="str">
        <f t="shared" si="9"/>
        <v/>
      </c>
      <c r="K194" s="15" t="str">
        <f t="shared" si="11"/>
        <v/>
      </c>
      <c r="L194" s="363"/>
    </row>
    <row r="195" spans="1:12" s="20" customFormat="1" ht="15" customHeight="1" x14ac:dyDescent="0.35">
      <c r="A195" s="15" t="str" cm="1">
        <f t="array" ref="A195">IFERROR(IF(INDEX(_xlfn.ANCHORARRAY('Short Circuit'!$BK$4),ROW()-5,1)="","",INDEX(_xlfn.ANCHORARRAY('Short Circuit'!$BK$4),ROW()-5,1)),"")</f>
        <v/>
      </c>
      <c r="B195" s="362" t="str" cm="1">
        <f t="array" ref="B195">IFERROR(IF($A195="","",INDEX(_xlfn.ANCHORARRAY('Short Circuit'!$BK$4),ROW()-5,5)),"")</f>
        <v/>
      </c>
      <c r="C195" s="181" t="str" cm="1">
        <f t="array" ref="C195">IFERROR(IF($A195="","",INDEX(_xlfn.ANCHORARRAY('Short Circuit'!$BK$4),ROW()-5,7)),"")</f>
        <v/>
      </c>
      <c r="D195" s="168" t="str" cm="1">
        <f t="array" ref="D195">IFERROR(IF($A195="","",INDEX(_xlfn.ANCHORARRAY('Short Circuit'!$BK$4),ROW()-5,3)),"")</f>
        <v/>
      </c>
      <c r="E195" s="362" t="str" cm="1">
        <f t="array" ref="E195">IFERROR(IF($A195="","",INDEX(_xlfn.ANCHORARRAY('Short Circuit'!$BK$4),ROW()-5,2)),"")</f>
        <v/>
      </c>
      <c r="F195" s="15" t="str">
        <f>IF($A195="","",IF($C195=0,"— utility service —",IFERROR(_xlfn.XLOOKUP("F-"&amp;$A195,'Short Circuit'!$A$6:$A$255,'Short Circuit'!$G$6:$G$255),IFERROR(_xlfn.XLOOKUP($A195,'Short Circuit'!$A$6:$A$255,'Short Circuit'!$G$6:$G$255),"⚠ no feeder data"))))</f>
        <v/>
      </c>
      <c r="G195" s="78" t="str">
        <f>IF($A195="","",IF($C195=0,0,IFERROR(_xlfn.XLOOKUP("F-"&amp;$A195,'Feeder Schedule'!$B$5:$B$254,'Feeder Schedule'!$U$5:$U$254),"")))</f>
        <v/>
      </c>
      <c r="H195" s="78" t="str">
        <f t="shared" si="10"/>
        <v/>
      </c>
      <c r="I195" s="78" t="str">
        <f t="shared" si="8"/>
        <v/>
      </c>
      <c r="J195" s="78" t="str">
        <f t="shared" si="9"/>
        <v/>
      </c>
      <c r="K195" s="15" t="str">
        <f t="shared" si="11"/>
        <v/>
      </c>
      <c r="L195" s="363"/>
    </row>
    <row r="196" spans="1:12" s="20" customFormat="1" ht="15" customHeight="1" x14ac:dyDescent="0.35">
      <c r="A196" s="15" t="str" cm="1">
        <f t="array" ref="A196">IFERROR(IF(INDEX(_xlfn.ANCHORARRAY('Short Circuit'!$BK$4),ROW()-5,1)="","",INDEX(_xlfn.ANCHORARRAY('Short Circuit'!$BK$4),ROW()-5,1)),"")</f>
        <v/>
      </c>
      <c r="B196" s="362" t="str" cm="1">
        <f t="array" ref="B196">IFERROR(IF($A196="","",INDEX(_xlfn.ANCHORARRAY('Short Circuit'!$BK$4),ROW()-5,5)),"")</f>
        <v/>
      </c>
      <c r="C196" s="181" t="str" cm="1">
        <f t="array" ref="C196">IFERROR(IF($A196="","",INDEX(_xlfn.ANCHORARRAY('Short Circuit'!$BK$4),ROW()-5,7)),"")</f>
        <v/>
      </c>
      <c r="D196" s="168" t="str" cm="1">
        <f t="array" ref="D196">IFERROR(IF($A196="","",INDEX(_xlfn.ANCHORARRAY('Short Circuit'!$BK$4),ROW()-5,3)),"")</f>
        <v/>
      </c>
      <c r="E196" s="362" t="str" cm="1">
        <f t="array" ref="E196">IFERROR(IF($A196="","",INDEX(_xlfn.ANCHORARRAY('Short Circuit'!$BK$4),ROW()-5,2)),"")</f>
        <v/>
      </c>
      <c r="F196" s="15" t="str">
        <f>IF($A196="","",IF($C196=0,"— utility service —",IFERROR(_xlfn.XLOOKUP("F-"&amp;$A196,'Short Circuit'!$A$6:$A$255,'Short Circuit'!$G$6:$G$255),IFERROR(_xlfn.XLOOKUP($A196,'Short Circuit'!$A$6:$A$255,'Short Circuit'!$G$6:$G$255),"⚠ no feeder data"))))</f>
        <v/>
      </c>
      <c r="G196" s="78" t="str">
        <f>IF($A196="","",IF($C196=0,0,IFERROR(_xlfn.XLOOKUP("F-"&amp;$A196,'Feeder Schedule'!$B$5:$B$254,'Feeder Schedule'!$U$5:$U$254),"")))</f>
        <v/>
      </c>
      <c r="H196" s="78" t="str">
        <f t="shared" si="10"/>
        <v/>
      </c>
      <c r="I196" s="78" t="str">
        <f t="shared" si="8"/>
        <v/>
      </c>
      <c r="J196" s="78" t="str">
        <f t="shared" si="9"/>
        <v/>
      </c>
      <c r="K196" s="15" t="str">
        <f t="shared" si="11"/>
        <v/>
      </c>
      <c r="L196" s="363"/>
    </row>
    <row r="197" spans="1:12" s="20" customFormat="1" ht="15" customHeight="1" x14ac:dyDescent="0.35">
      <c r="A197" s="15" t="str" cm="1">
        <f t="array" ref="A197">IFERROR(IF(INDEX(_xlfn.ANCHORARRAY('Short Circuit'!$BK$4),ROW()-5,1)="","",INDEX(_xlfn.ANCHORARRAY('Short Circuit'!$BK$4),ROW()-5,1)),"")</f>
        <v/>
      </c>
      <c r="B197" s="362" t="str" cm="1">
        <f t="array" ref="B197">IFERROR(IF($A197="","",INDEX(_xlfn.ANCHORARRAY('Short Circuit'!$BK$4),ROW()-5,5)),"")</f>
        <v/>
      </c>
      <c r="C197" s="181" t="str" cm="1">
        <f t="array" ref="C197">IFERROR(IF($A197="","",INDEX(_xlfn.ANCHORARRAY('Short Circuit'!$BK$4),ROW()-5,7)),"")</f>
        <v/>
      </c>
      <c r="D197" s="168" t="str" cm="1">
        <f t="array" ref="D197">IFERROR(IF($A197="","",INDEX(_xlfn.ANCHORARRAY('Short Circuit'!$BK$4),ROW()-5,3)),"")</f>
        <v/>
      </c>
      <c r="E197" s="362" t="str" cm="1">
        <f t="array" ref="E197">IFERROR(IF($A197="","",INDEX(_xlfn.ANCHORARRAY('Short Circuit'!$BK$4),ROW()-5,2)),"")</f>
        <v/>
      </c>
      <c r="F197" s="15" t="str">
        <f>IF($A197="","",IF($C197=0,"— utility service —",IFERROR(_xlfn.XLOOKUP("F-"&amp;$A197,'Short Circuit'!$A$6:$A$255,'Short Circuit'!$G$6:$G$255),IFERROR(_xlfn.XLOOKUP($A197,'Short Circuit'!$A$6:$A$255,'Short Circuit'!$G$6:$G$255),"⚠ no feeder data"))))</f>
        <v/>
      </c>
      <c r="G197" s="78" t="str">
        <f>IF($A197="","",IF($C197=0,0,IFERROR(_xlfn.XLOOKUP("F-"&amp;$A197,'Feeder Schedule'!$B$5:$B$254,'Feeder Schedule'!$U$5:$U$254),"")))</f>
        <v/>
      </c>
      <c r="H197" s="78" t="str">
        <f t="shared" si="10"/>
        <v/>
      </c>
      <c r="I197" s="78" t="str">
        <f t="shared" si="8"/>
        <v/>
      </c>
      <c r="J197" s="78" t="str">
        <f t="shared" si="9"/>
        <v/>
      </c>
      <c r="K197" s="15" t="str">
        <f t="shared" si="11"/>
        <v/>
      </c>
      <c r="L197" s="363"/>
    </row>
    <row r="198" spans="1:12" s="20" customFormat="1" ht="15" customHeight="1" x14ac:dyDescent="0.35">
      <c r="A198" s="15" t="str" cm="1">
        <f t="array" ref="A198">IFERROR(IF(INDEX(_xlfn.ANCHORARRAY('Short Circuit'!$BK$4),ROW()-5,1)="","",INDEX(_xlfn.ANCHORARRAY('Short Circuit'!$BK$4),ROW()-5,1)),"")</f>
        <v/>
      </c>
      <c r="B198" s="362" t="str" cm="1">
        <f t="array" ref="B198">IFERROR(IF($A198="","",INDEX(_xlfn.ANCHORARRAY('Short Circuit'!$BK$4),ROW()-5,5)),"")</f>
        <v/>
      </c>
      <c r="C198" s="181" t="str" cm="1">
        <f t="array" ref="C198">IFERROR(IF($A198="","",INDEX(_xlfn.ANCHORARRAY('Short Circuit'!$BK$4),ROW()-5,7)),"")</f>
        <v/>
      </c>
      <c r="D198" s="168" t="str" cm="1">
        <f t="array" ref="D198">IFERROR(IF($A198="","",INDEX(_xlfn.ANCHORARRAY('Short Circuit'!$BK$4),ROW()-5,3)),"")</f>
        <v/>
      </c>
      <c r="E198" s="362" t="str" cm="1">
        <f t="array" ref="E198">IFERROR(IF($A198="","",INDEX(_xlfn.ANCHORARRAY('Short Circuit'!$BK$4),ROW()-5,2)),"")</f>
        <v/>
      </c>
      <c r="F198" s="15" t="str">
        <f>IF($A198="","",IF($C198=0,"— utility service —",IFERROR(_xlfn.XLOOKUP("F-"&amp;$A198,'Short Circuit'!$A$6:$A$255,'Short Circuit'!$G$6:$G$255),IFERROR(_xlfn.XLOOKUP($A198,'Short Circuit'!$A$6:$A$255,'Short Circuit'!$G$6:$G$255),"⚠ no feeder data"))))</f>
        <v/>
      </c>
      <c r="G198" s="78" t="str">
        <f>IF($A198="","",IF($C198=0,0,IFERROR(_xlfn.XLOOKUP("F-"&amp;$A198,'Feeder Schedule'!$B$5:$B$254,'Feeder Schedule'!$U$5:$U$254),"")))</f>
        <v/>
      </c>
      <c r="H198" s="78" t="str">
        <f t="shared" si="10"/>
        <v/>
      </c>
      <c r="I198" s="78" t="str">
        <f t="shared" ref="I198:I255" si="12">IF($A198="","",Cfg_VDFeeder)</f>
        <v/>
      </c>
      <c r="J198" s="78" t="str">
        <f t="shared" ref="J198:J255" si="13">IF($A198="","",Cfg_VDTotal)</f>
        <v/>
      </c>
      <c r="K198" s="15" t="str">
        <f t="shared" si="11"/>
        <v/>
      </c>
      <c r="L198" s="363"/>
    </row>
    <row r="199" spans="1:12" s="20" customFormat="1" ht="15" customHeight="1" x14ac:dyDescent="0.35">
      <c r="A199" s="15" t="str" cm="1">
        <f t="array" ref="A199">IFERROR(IF(INDEX(_xlfn.ANCHORARRAY('Short Circuit'!$BK$4),ROW()-5,1)="","",INDEX(_xlfn.ANCHORARRAY('Short Circuit'!$BK$4),ROW()-5,1)),"")</f>
        <v/>
      </c>
      <c r="B199" s="362" t="str" cm="1">
        <f t="array" ref="B199">IFERROR(IF($A199="","",INDEX(_xlfn.ANCHORARRAY('Short Circuit'!$BK$4),ROW()-5,5)),"")</f>
        <v/>
      </c>
      <c r="C199" s="181" t="str" cm="1">
        <f t="array" ref="C199">IFERROR(IF($A199="","",INDEX(_xlfn.ANCHORARRAY('Short Circuit'!$BK$4),ROW()-5,7)),"")</f>
        <v/>
      </c>
      <c r="D199" s="168" t="str" cm="1">
        <f t="array" ref="D199">IFERROR(IF($A199="","",INDEX(_xlfn.ANCHORARRAY('Short Circuit'!$BK$4),ROW()-5,3)),"")</f>
        <v/>
      </c>
      <c r="E199" s="362" t="str" cm="1">
        <f t="array" ref="E199">IFERROR(IF($A199="","",INDEX(_xlfn.ANCHORARRAY('Short Circuit'!$BK$4),ROW()-5,2)),"")</f>
        <v/>
      </c>
      <c r="F199" s="15" t="str">
        <f>IF($A199="","",IF($C199=0,"— utility service —",IFERROR(_xlfn.XLOOKUP("F-"&amp;$A199,'Short Circuit'!$A$6:$A$255,'Short Circuit'!$G$6:$G$255),IFERROR(_xlfn.XLOOKUP($A199,'Short Circuit'!$A$6:$A$255,'Short Circuit'!$G$6:$G$255),"⚠ no feeder data"))))</f>
        <v/>
      </c>
      <c r="G199" s="78" t="str">
        <f>IF($A199="","",IF($C199=0,0,IFERROR(_xlfn.XLOOKUP("F-"&amp;$A199,'Feeder Schedule'!$B$5:$B$254,'Feeder Schedule'!$U$5:$U$254),"")))</f>
        <v/>
      </c>
      <c r="H199" s="78" t="str">
        <f t="shared" ref="H199:H255" si="14">IF($A199="","",IF($C199=0,0,IF($G199="","",_xlfn.LET(_xlpm.p,IFERROR(_xlfn.XLOOKUP($E199,$A$6:$A$255,$H$6:$H$255),0),IF(ISNUMBER(_xlpm.p),_xlpm.p,0)+$G199))))</f>
        <v/>
      </c>
      <c r="I199" s="78" t="str">
        <f t="shared" si="12"/>
        <v/>
      </c>
      <c r="J199" s="78" t="str">
        <f t="shared" si="13"/>
        <v/>
      </c>
      <c r="K199" s="15" t="str">
        <f t="shared" ref="K199:K255" si="15">IF($A199="","",IF($C199=0,"— utility source —",IF($G199="","⚠ feeder data missing",_xlfn.LET(_xlpm.p,IFERROR(_xlfn.XLOOKUP($E199,$A$6:$A$255,$H$6:$H$255),0),IF(NOT(ISNUMBER(_xlpm.p)),"⚠ upstream feeder data missing — cumulative incomplete",IF($H199&gt;$J199,"FAIL — cumulative over total limit",IF($H199&gt;$I199,"⚠ cumulative over feeder recommendation",IF($G199&gt;$I199,"⚠ this run over feeder recommendation","PASS"))))))))</f>
        <v/>
      </c>
      <c r="L199" s="363"/>
    </row>
    <row r="200" spans="1:12" s="20" customFormat="1" ht="15" customHeight="1" x14ac:dyDescent="0.35">
      <c r="A200" s="15" t="str" cm="1">
        <f t="array" ref="A200">IFERROR(IF(INDEX(_xlfn.ANCHORARRAY('Short Circuit'!$BK$4),ROW()-5,1)="","",INDEX(_xlfn.ANCHORARRAY('Short Circuit'!$BK$4),ROW()-5,1)),"")</f>
        <v/>
      </c>
      <c r="B200" s="362" t="str" cm="1">
        <f t="array" ref="B200">IFERROR(IF($A200="","",INDEX(_xlfn.ANCHORARRAY('Short Circuit'!$BK$4),ROW()-5,5)),"")</f>
        <v/>
      </c>
      <c r="C200" s="181" t="str" cm="1">
        <f t="array" ref="C200">IFERROR(IF($A200="","",INDEX(_xlfn.ANCHORARRAY('Short Circuit'!$BK$4),ROW()-5,7)),"")</f>
        <v/>
      </c>
      <c r="D200" s="168" t="str" cm="1">
        <f t="array" ref="D200">IFERROR(IF($A200="","",INDEX(_xlfn.ANCHORARRAY('Short Circuit'!$BK$4),ROW()-5,3)),"")</f>
        <v/>
      </c>
      <c r="E200" s="362" t="str" cm="1">
        <f t="array" ref="E200">IFERROR(IF($A200="","",INDEX(_xlfn.ANCHORARRAY('Short Circuit'!$BK$4),ROW()-5,2)),"")</f>
        <v/>
      </c>
      <c r="F200" s="15" t="str">
        <f>IF($A200="","",IF($C200=0,"— utility service —",IFERROR(_xlfn.XLOOKUP("F-"&amp;$A200,'Short Circuit'!$A$6:$A$255,'Short Circuit'!$G$6:$G$255),IFERROR(_xlfn.XLOOKUP($A200,'Short Circuit'!$A$6:$A$255,'Short Circuit'!$G$6:$G$255),"⚠ no feeder data"))))</f>
        <v/>
      </c>
      <c r="G200" s="78" t="str">
        <f>IF($A200="","",IF($C200=0,0,IFERROR(_xlfn.XLOOKUP("F-"&amp;$A200,'Feeder Schedule'!$B$5:$B$254,'Feeder Schedule'!$U$5:$U$254),"")))</f>
        <v/>
      </c>
      <c r="H200" s="78" t="str">
        <f t="shared" si="14"/>
        <v/>
      </c>
      <c r="I200" s="78" t="str">
        <f t="shared" si="12"/>
        <v/>
      </c>
      <c r="J200" s="78" t="str">
        <f t="shared" si="13"/>
        <v/>
      </c>
      <c r="K200" s="15" t="str">
        <f t="shared" si="15"/>
        <v/>
      </c>
      <c r="L200" s="363"/>
    </row>
    <row r="201" spans="1:12" s="20" customFormat="1" ht="15" customHeight="1" x14ac:dyDescent="0.35">
      <c r="A201" s="15" t="str" cm="1">
        <f t="array" ref="A201">IFERROR(IF(INDEX(_xlfn.ANCHORARRAY('Short Circuit'!$BK$4),ROW()-5,1)="","",INDEX(_xlfn.ANCHORARRAY('Short Circuit'!$BK$4),ROW()-5,1)),"")</f>
        <v/>
      </c>
      <c r="B201" s="362" t="str" cm="1">
        <f t="array" ref="B201">IFERROR(IF($A201="","",INDEX(_xlfn.ANCHORARRAY('Short Circuit'!$BK$4),ROW()-5,5)),"")</f>
        <v/>
      </c>
      <c r="C201" s="181" t="str" cm="1">
        <f t="array" ref="C201">IFERROR(IF($A201="","",INDEX(_xlfn.ANCHORARRAY('Short Circuit'!$BK$4),ROW()-5,7)),"")</f>
        <v/>
      </c>
      <c r="D201" s="168" t="str" cm="1">
        <f t="array" ref="D201">IFERROR(IF($A201="","",INDEX(_xlfn.ANCHORARRAY('Short Circuit'!$BK$4),ROW()-5,3)),"")</f>
        <v/>
      </c>
      <c r="E201" s="362" t="str" cm="1">
        <f t="array" ref="E201">IFERROR(IF($A201="","",INDEX(_xlfn.ANCHORARRAY('Short Circuit'!$BK$4),ROW()-5,2)),"")</f>
        <v/>
      </c>
      <c r="F201" s="15" t="str">
        <f>IF($A201="","",IF($C201=0,"— utility service —",IFERROR(_xlfn.XLOOKUP("F-"&amp;$A201,'Short Circuit'!$A$6:$A$255,'Short Circuit'!$G$6:$G$255),IFERROR(_xlfn.XLOOKUP($A201,'Short Circuit'!$A$6:$A$255,'Short Circuit'!$G$6:$G$255),"⚠ no feeder data"))))</f>
        <v/>
      </c>
      <c r="G201" s="78" t="str">
        <f>IF($A201="","",IF($C201=0,0,IFERROR(_xlfn.XLOOKUP("F-"&amp;$A201,'Feeder Schedule'!$B$5:$B$254,'Feeder Schedule'!$U$5:$U$254),"")))</f>
        <v/>
      </c>
      <c r="H201" s="78" t="str">
        <f t="shared" si="14"/>
        <v/>
      </c>
      <c r="I201" s="78" t="str">
        <f t="shared" si="12"/>
        <v/>
      </c>
      <c r="J201" s="78" t="str">
        <f t="shared" si="13"/>
        <v/>
      </c>
      <c r="K201" s="15" t="str">
        <f t="shared" si="15"/>
        <v/>
      </c>
      <c r="L201" s="363"/>
    </row>
    <row r="202" spans="1:12" s="20" customFormat="1" ht="15" customHeight="1" x14ac:dyDescent="0.35">
      <c r="A202" s="15" t="str" cm="1">
        <f t="array" ref="A202">IFERROR(IF(INDEX(_xlfn.ANCHORARRAY('Short Circuit'!$BK$4),ROW()-5,1)="","",INDEX(_xlfn.ANCHORARRAY('Short Circuit'!$BK$4),ROW()-5,1)),"")</f>
        <v/>
      </c>
      <c r="B202" s="362" t="str" cm="1">
        <f t="array" ref="B202">IFERROR(IF($A202="","",INDEX(_xlfn.ANCHORARRAY('Short Circuit'!$BK$4),ROW()-5,5)),"")</f>
        <v/>
      </c>
      <c r="C202" s="181" t="str" cm="1">
        <f t="array" ref="C202">IFERROR(IF($A202="","",INDEX(_xlfn.ANCHORARRAY('Short Circuit'!$BK$4),ROW()-5,7)),"")</f>
        <v/>
      </c>
      <c r="D202" s="168" t="str" cm="1">
        <f t="array" ref="D202">IFERROR(IF($A202="","",INDEX(_xlfn.ANCHORARRAY('Short Circuit'!$BK$4),ROW()-5,3)),"")</f>
        <v/>
      </c>
      <c r="E202" s="362" t="str" cm="1">
        <f t="array" ref="E202">IFERROR(IF($A202="","",INDEX(_xlfn.ANCHORARRAY('Short Circuit'!$BK$4),ROW()-5,2)),"")</f>
        <v/>
      </c>
      <c r="F202" s="15" t="str">
        <f>IF($A202="","",IF($C202=0,"— utility service —",IFERROR(_xlfn.XLOOKUP("F-"&amp;$A202,'Short Circuit'!$A$6:$A$255,'Short Circuit'!$G$6:$G$255),IFERROR(_xlfn.XLOOKUP($A202,'Short Circuit'!$A$6:$A$255,'Short Circuit'!$G$6:$G$255),"⚠ no feeder data"))))</f>
        <v/>
      </c>
      <c r="G202" s="78" t="str">
        <f>IF($A202="","",IF($C202=0,0,IFERROR(_xlfn.XLOOKUP("F-"&amp;$A202,'Feeder Schedule'!$B$5:$B$254,'Feeder Schedule'!$U$5:$U$254),"")))</f>
        <v/>
      </c>
      <c r="H202" s="78" t="str">
        <f t="shared" si="14"/>
        <v/>
      </c>
      <c r="I202" s="78" t="str">
        <f t="shared" si="12"/>
        <v/>
      </c>
      <c r="J202" s="78" t="str">
        <f t="shared" si="13"/>
        <v/>
      </c>
      <c r="K202" s="15" t="str">
        <f t="shared" si="15"/>
        <v/>
      </c>
      <c r="L202" s="363"/>
    </row>
    <row r="203" spans="1:12" s="20" customFormat="1" ht="15" customHeight="1" x14ac:dyDescent="0.35">
      <c r="A203" s="15" t="str" cm="1">
        <f t="array" ref="A203">IFERROR(IF(INDEX(_xlfn.ANCHORARRAY('Short Circuit'!$BK$4),ROW()-5,1)="","",INDEX(_xlfn.ANCHORARRAY('Short Circuit'!$BK$4),ROW()-5,1)),"")</f>
        <v/>
      </c>
      <c r="B203" s="362" t="str" cm="1">
        <f t="array" ref="B203">IFERROR(IF($A203="","",INDEX(_xlfn.ANCHORARRAY('Short Circuit'!$BK$4),ROW()-5,5)),"")</f>
        <v/>
      </c>
      <c r="C203" s="181" t="str" cm="1">
        <f t="array" ref="C203">IFERROR(IF($A203="","",INDEX(_xlfn.ANCHORARRAY('Short Circuit'!$BK$4),ROW()-5,7)),"")</f>
        <v/>
      </c>
      <c r="D203" s="168" t="str" cm="1">
        <f t="array" ref="D203">IFERROR(IF($A203="","",INDEX(_xlfn.ANCHORARRAY('Short Circuit'!$BK$4),ROW()-5,3)),"")</f>
        <v/>
      </c>
      <c r="E203" s="362" t="str" cm="1">
        <f t="array" ref="E203">IFERROR(IF($A203="","",INDEX(_xlfn.ANCHORARRAY('Short Circuit'!$BK$4),ROW()-5,2)),"")</f>
        <v/>
      </c>
      <c r="F203" s="15" t="str">
        <f>IF($A203="","",IF($C203=0,"— utility service —",IFERROR(_xlfn.XLOOKUP("F-"&amp;$A203,'Short Circuit'!$A$6:$A$255,'Short Circuit'!$G$6:$G$255),IFERROR(_xlfn.XLOOKUP($A203,'Short Circuit'!$A$6:$A$255,'Short Circuit'!$G$6:$G$255),"⚠ no feeder data"))))</f>
        <v/>
      </c>
      <c r="G203" s="78" t="str">
        <f>IF($A203="","",IF($C203=0,0,IFERROR(_xlfn.XLOOKUP("F-"&amp;$A203,'Feeder Schedule'!$B$5:$B$254,'Feeder Schedule'!$U$5:$U$254),"")))</f>
        <v/>
      </c>
      <c r="H203" s="78" t="str">
        <f t="shared" si="14"/>
        <v/>
      </c>
      <c r="I203" s="78" t="str">
        <f t="shared" si="12"/>
        <v/>
      </c>
      <c r="J203" s="78" t="str">
        <f t="shared" si="13"/>
        <v/>
      </c>
      <c r="K203" s="15" t="str">
        <f t="shared" si="15"/>
        <v/>
      </c>
      <c r="L203" s="363"/>
    </row>
    <row r="204" spans="1:12" s="20" customFormat="1" ht="15" customHeight="1" x14ac:dyDescent="0.35">
      <c r="A204" s="15" t="str" cm="1">
        <f t="array" ref="A204">IFERROR(IF(INDEX(_xlfn.ANCHORARRAY('Short Circuit'!$BK$4),ROW()-5,1)="","",INDEX(_xlfn.ANCHORARRAY('Short Circuit'!$BK$4),ROW()-5,1)),"")</f>
        <v/>
      </c>
      <c r="B204" s="362" t="str" cm="1">
        <f t="array" ref="B204">IFERROR(IF($A204="","",INDEX(_xlfn.ANCHORARRAY('Short Circuit'!$BK$4),ROW()-5,5)),"")</f>
        <v/>
      </c>
      <c r="C204" s="181" t="str" cm="1">
        <f t="array" ref="C204">IFERROR(IF($A204="","",INDEX(_xlfn.ANCHORARRAY('Short Circuit'!$BK$4),ROW()-5,7)),"")</f>
        <v/>
      </c>
      <c r="D204" s="168" t="str" cm="1">
        <f t="array" ref="D204">IFERROR(IF($A204="","",INDEX(_xlfn.ANCHORARRAY('Short Circuit'!$BK$4),ROW()-5,3)),"")</f>
        <v/>
      </c>
      <c r="E204" s="362" t="str" cm="1">
        <f t="array" ref="E204">IFERROR(IF($A204="","",INDEX(_xlfn.ANCHORARRAY('Short Circuit'!$BK$4),ROW()-5,2)),"")</f>
        <v/>
      </c>
      <c r="F204" s="15" t="str">
        <f>IF($A204="","",IF($C204=0,"— utility service —",IFERROR(_xlfn.XLOOKUP("F-"&amp;$A204,'Short Circuit'!$A$6:$A$255,'Short Circuit'!$G$6:$G$255),IFERROR(_xlfn.XLOOKUP($A204,'Short Circuit'!$A$6:$A$255,'Short Circuit'!$G$6:$G$255),"⚠ no feeder data"))))</f>
        <v/>
      </c>
      <c r="G204" s="78" t="str">
        <f>IF($A204="","",IF($C204=0,0,IFERROR(_xlfn.XLOOKUP("F-"&amp;$A204,'Feeder Schedule'!$B$5:$B$254,'Feeder Schedule'!$U$5:$U$254),"")))</f>
        <v/>
      </c>
      <c r="H204" s="78" t="str">
        <f t="shared" si="14"/>
        <v/>
      </c>
      <c r="I204" s="78" t="str">
        <f t="shared" si="12"/>
        <v/>
      </c>
      <c r="J204" s="78" t="str">
        <f t="shared" si="13"/>
        <v/>
      </c>
      <c r="K204" s="15" t="str">
        <f t="shared" si="15"/>
        <v/>
      </c>
      <c r="L204" s="363"/>
    </row>
    <row r="205" spans="1:12" s="20" customFormat="1" ht="15" customHeight="1" x14ac:dyDescent="0.35">
      <c r="A205" s="15" t="str" cm="1">
        <f t="array" ref="A205">IFERROR(IF(INDEX(_xlfn.ANCHORARRAY('Short Circuit'!$BK$4),ROW()-5,1)="","",INDEX(_xlfn.ANCHORARRAY('Short Circuit'!$BK$4),ROW()-5,1)),"")</f>
        <v/>
      </c>
      <c r="B205" s="362" t="str" cm="1">
        <f t="array" ref="B205">IFERROR(IF($A205="","",INDEX(_xlfn.ANCHORARRAY('Short Circuit'!$BK$4),ROW()-5,5)),"")</f>
        <v/>
      </c>
      <c r="C205" s="181" t="str" cm="1">
        <f t="array" ref="C205">IFERROR(IF($A205="","",INDEX(_xlfn.ANCHORARRAY('Short Circuit'!$BK$4),ROW()-5,7)),"")</f>
        <v/>
      </c>
      <c r="D205" s="168" t="str" cm="1">
        <f t="array" ref="D205">IFERROR(IF($A205="","",INDEX(_xlfn.ANCHORARRAY('Short Circuit'!$BK$4),ROW()-5,3)),"")</f>
        <v/>
      </c>
      <c r="E205" s="362" t="str" cm="1">
        <f t="array" ref="E205">IFERROR(IF($A205="","",INDEX(_xlfn.ANCHORARRAY('Short Circuit'!$BK$4),ROW()-5,2)),"")</f>
        <v/>
      </c>
      <c r="F205" s="15" t="str">
        <f>IF($A205="","",IF($C205=0,"— utility service —",IFERROR(_xlfn.XLOOKUP("F-"&amp;$A205,'Short Circuit'!$A$6:$A$255,'Short Circuit'!$G$6:$G$255),IFERROR(_xlfn.XLOOKUP($A205,'Short Circuit'!$A$6:$A$255,'Short Circuit'!$G$6:$G$255),"⚠ no feeder data"))))</f>
        <v/>
      </c>
      <c r="G205" s="78" t="str">
        <f>IF($A205="","",IF($C205=0,0,IFERROR(_xlfn.XLOOKUP("F-"&amp;$A205,'Feeder Schedule'!$B$5:$B$254,'Feeder Schedule'!$U$5:$U$254),"")))</f>
        <v/>
      </c>
      <c r="H205" s="78" t="str">
        <f t="shared" si="14"/>
        <v/>
      </c>
      <c r="I205" s="78" t="str">
        <f t="shared" si="12"/>
        <v/>
      </c>
      <c r="J205" s="78" t="str">
        <f t="shared" si="13"/>
        <v/>
      </c>
      <c r="K205" s="15" t="str">
        <f t="shared" si="15"/>
        <v/>
      </c>
      <c r="L205" s="363"/>
    </row>
    <row r="206" spans="1:12" s="20" customFormat="1" ht="15" customHeight="1" x14ac:dyDescent="0.35">
      <c r="A206" s="15" t="str" cm="1">
        <f t="array" ref="A206">IFERROR(IF(INDEX(_xlfn.ANCHORARRAY('Short Circuit'!$BK$4),ROW()-5,1)="","",INDEX(_xlfn.ANCHORARRAY('Short Circuit'!$BK$4),ROW()-5,1)),"")</f>
        <v/>
      </c>
      <c r="B206" s="362" t="str" cm="1">
        <f t="array" ref="B206">IFERROR(IF($A206="","",INDEX(_xlfn.ANCHORARRAY('Short Circuit'!$BK$4),ROW()-5,5)),"")</f>
        <v/>
      </c>
      <c r="C206" s="181" t="str" cm="1">
        <f t="array" ref="C206">IFERROR(IF($A206="","",INDEX(_xlfn.ANCHORARRAY('Short Circuit'!$BK$4),ROW()-5,7)),"")</f>
        <v/>
      </c>
      <c r="D206" s="168" t="str" cm="1">
        <f t="array" ref="D206">IFERROR(IF($A206="","",INDEX(_xlfn.ANCHORARRAY('Short Circuit'!$BK$4),ROW()-5,3)),"")</f>
        <v/>
      </c>
      <c r="E206" s="362" t="str" cm="1">
        <f t="array" ref="E206">IFERROR(IF($A206="","",INDEX(_xlfn.ANCHORARRAY('Short Circuit'!$BK$4),ROW()-5,2)),"")</f>
        <v/>
      </c>
      <c r="F206" s="15" t="str">
        <f>IF($A206="","",IF($C206=0,"— utility service —",IFERROR(_xlfn.XLOOKUP("F-"&amp;$A206,'Short Circuit'!$A$6:$A$255,'Short Circuit'!$G$6:$G$255),IFERROR(_xlfn.XLOOKUP($A206,'Short Circuit'!$A$6:$A$255,'Short Circuit'!$G$6:$G$255),"⚠ no feeder data"))))</f>
        <v/>
      </c>
      <c r="G206" s="78" t="str">
        <f>IF($A206="","",IF($C206=0,0,IFERROR(_xlfn.XLOOKUP("F-"&amp;$A206,'Feeder Schedule'!$B$5:$B$254,'Feeder Schedule'!$U$5:$U$254),"")))</f>
        <v/>
      </c>
      <c r="H206" s="78" t="str">
        <f t="shared" si="14"/>
        <v/>
      </c>
      <c r="I206" s="78" t="str">
        <f t="shared" si="12"/>
        <v/>
      </c>
      <c r="J206" s="78" t="str">
        <f t="shared" si="13"/>
        <v/>
      </c>
      <c r="K206" s="15" t="str">
        <f t="shared" si="15"/>
        <v/>
      </c>
      <c r="L206" s="363"/>
    </row>
    <row r="207" spans="1:12" s="20" customFormat="1" ht="15" customHeight="1" x14ac:dyDescent="0.35">
      <c r="A207" s="15" t="str" cm="1">
        <f t="array" ref="A207">IFERROR(IF(INDEX(_xlfn.ANCHORARRAY('Short Circuit'!$BK$4),ROW()-5,1)="","",INDEX(_xlfn.ANCHORARRAY('Short Circuit'!$BK$4),ROW()-5,1)),"")</f>
        <v/>
      </c>
      <c r="B207" s="362" t="str" cm="1">
        <f t="array" ref="B207">IFERROR(IF($A207="","",INDEX(_xlfn.ANCHORARRAY('Short Circuit'!$BK$4),ROW()-5,5)),"")</f>
        <v/>
      </c>
      <c r="C207" s="181" t="str" cm="1">
        <f t="array" ref="C207">IFERROR(IF($A207="","",INDEX(_xlfn.ANCHORARRAY('Short Circuit'!$BK$4),ROW()-5,7)),"")</f>
        <v/>
      </c>
      <c r="D207" s="168" t="str" cm="1">
        <f t="array" ref="D207">IFERROR(IF($A207="","",INDEX(_xlfn.ANCHORARRAY('Short Circuit'!$BK$4),ROW()-5,3)),"")</f>
        <v/>
      </c>
      <c r="E207" s="362" t="str" cm="1">
        <f t="array" ref="E207">IFERROR(IF($A207="","",INDEX(_xlfn.ANCHORARRAY('Short Circuit'!$BK$4),ROW()-5,2)),"")</f>
        <v/>
      </c>
      <c r="F207" s="15" t="str">
        <f>IF($A207="","",IF($C207=0,"— utility service —",IFERROR(_xlfn.XLOOKUP("F-"&amp;$A207,'Short Circuit'!$A$6:$A$255,'Short Circuit'!$G$6:$G$255),IFERROR(_xlfn.XLOOKUP($A207,'Short Circuit'!$A$6:$A$255,'Short Circuit'!$G$6:$G$255),"⚠ no feeder data"))))</f>
        <v/>
      </c>
      <c r="G207" s="78" t="str">
        <f>IF($A207="","",IF($C207=0,0,IFERROR(_xlfn.XLOOKUP("F-"&amp;$A207,'Feeder Schedule'!$B$5:$B$254,'Feeder Schedule'!$U$5:$U$254),"")))</f>
        <v/>
      </c>
      <c r="H207" s="78" t="str">
        <f t="shared" si="14"/>
        <v/>
      </c>
      <c r="I207" s="78" t="str">
        <f t="shared" si="12"/>
        <v/>
      </c>
      <c r="J207" s="78" t="str">
        <f t="shared" si="13"/>
        <v/>
      </c>
      <c r="K207" s="15" t="str">
        <f t="shared" si="15"/>
        <v/>
      </c>
      <c r="L207" s="363"/>
    </row>
    <row r="208" spans="1:12" s="20" customFormat="1" ht="15" customHeight="1" x14ac:dyDescent="0.35">
      <c r="A208" s="15" t="str" cm="1">
        <f t="array" ref="A208">IFERROR(IF(INDEX(_xlfn.ANCHORARRAY('Short Circuit'!$BK$4),ROW()-5,1)="","",INDEX(_xlfn.ANCHORARRAY('Short Circuit'!$BK$4),ROW()-5,1)),"")</f>
        <v/>
      </c>
      <c r="B208" s="362" t="str" cm="1">
        <f t="array" ref="B208">IFERROR(IF($A208="","",INDEX(_xlfn.ANCHORARRAY('Short Circuit'!$BK$4),ROW()-5,5)),"")</f>
        <v/>
      </c>
      <c r="C208" s="181" t="str" cm="1">
        <f t="array" ref="C208">IFERROR(IF($A208="","",INDEX(_xlfn.ANCHORARRAY('Short Circuit'!$BK$4),ROW()-5,7)),"")</f>
        <v/>
      </c>
      <c r="D208" s="168" t="str" cm="1">
        <f t="array" ref="D208">IFERROR(IF($A208="","",INDEX(_xlfn.ANCHORARRAY('Short Circuit'!$BK$4),ROW()-5,3)),"")</f>
        <v/>
      </c>
      <c r="E208" s="362" t="str" cm="1">
        <f t="array" ref="E208">IFERROR(IF($A208="","",INDEX(_xlfn.ANCHORARRAY('Short Circuit'!$BK$4),ROW()-5,2)),"")</f>
        <v/>
      </c>
      <c r="F208" s="15" t="str">
        <f>IF($A208="","",IF($C208=0,"— utility service —",IFERROR(_xlfn.XLOOKUP("F-"&amp;$A208,'Short Circuit'!$A$6:$A$255,'Short Circuit'!$G$6:$G$255),IFERROR(_xlfn.XLOOKUP($A208,'Short Circuit'!$A$6:$A$255,'Short Circuit'!$G$6:$G$255),"⚠ no feeder data"))))</f>
        <v/>
      </c>
      <c r="G208" s="78" t="str">
        <f>IF($A208="","",IF($C208=0,0,IFERROR(_xlfn.XLOOKUP("F-"&amp;$A208,'Feeder Schedule'!$B$5:$B$254,'Feeder Schedule'!$U$5:$U$254),"")))</f>
        <v/>
      </c>
      <c r="H208" s="78" t="str">
        <f t="shared" si="14"/>
        <v/>
      </c>
      <c r="I208" s="78" t="str">
        <f t="shared" si="12"/>
        <v/>
      </c>
      <c r="J208" s="78" t="str">
        <f t="shared" si="13"/>
        <v/>
      </c>
      <c r="K208" s="15" t="str">
        <f t="shared" si="15"/>
        <v/>
      </c>
      <c r="L208" s="363"/>
    </row>
    <row r="209" spans="1:12" s="20" customFormat="1" ht="15" customHeight="1" x14ac:dyDescent="0.35">
      <c r="A209" s="15" t="str" cm="1">
        <f t="array" ref="A209">IFERROR(IF(INDEX(_xlfn.ANCHORARRAY('Short Circuit'!$BK$4),ROW()-5,1)="","",INDEX(_xlfn.ANCHORARRAY('Short Circuit'!$BK$4),ROW()-5,1)),"")</f>
        <v/>
      </c>
      <c r="B209" s="362" t="str" cm="1">
        <f t="array" ref="B209">IFERROR(IF($A209="","",INDEX(_xlfn.ANCHORARRAY('Short Circuit'!$BK$4),ROW()-5,5)),"")</f>
        <v/>
      </c>
      <c r="C209" s="181" t="str" cm="1">
        <f t="array" ref="C209">IFERROR(IF($A209="","",INDEX(_xlfn.ANCHORARRAY('Short Circuit'!$BK$4),ROW()-5,7)),"")</f>
        <v/>
      </c>
      <c r="D209" s="168" t="str" cm="1">
        <f t="array" ref="D209">IFERROR(IF($A209="","",INDEX(_xlfn.ANCHORARRAY('Short Circuit'!$BK$4),ROW()-5,3)),"")</f>
        <v/>
      </c>
      <c r="E209" s="362" t="str" cm="1">
        <f t="array" ref="E209">IFERROR(IF($A209="","",INDEX(_xlfn.ANCHORARRAY('Short Circuit'!$BK$4),ROW()-5,2)),"")</f>
        <v/>
      </c>
      <c r="F209" s="15" t="str">
        <f>IF($A209="","",IF($C209=0,"— utility service —",IFERROR(_xlfn.XLOOKUP("F-"&amp;$A209,'Short Circuit'!$A$6:$A$255,'Short Circuit'!$G$6:$G$255),IFERROR(_xlfn.XLOOKUP($A209,'Short Circuit'!$A$6:$A$255,'Short Circuit'!$G$6:$G$255),"⚠ no feeder data"))))</f>
        <v/>
      </c>
      <c r="G209" s="78" t="str">
        <f>IF($A209="","",IF($C209=0,0,IFERROR(_xlfn.XLOOKUP("F-"&amp;$A209,'Feeder Schedule'!$B$5:$B$254,'Feeder Schedule'!$U$5:$U$254),"")))</f>
        <v/>
      </c>
      <c r="H209" s="78" t="str">
        <f t="shared" si="14"/>
        <v/>
      </c>
      <c r="I209" s="78" t="str">
        <f t="shared" si="12"/>
        <v/>
      </c>
      <c r="J209" s="78" t="str">
        <f t="shared" si="13"/>
        <v/>
      </c>
      <c r="K209" s="15" t="str">
        <f t="shared" si="15"/>
        <v/>
      </c>
      <c r="L209" s="363"/>
    </row>
    <row r="210" spans="1:12" s="20" customFormat="1" ht="15" customHeight="1" x14ac:dyDescent="0.35">
      <c r="A210" s="15" t="str" cm="1">
        <f t="array" ref="A210">IFERROR(IF(INDEX(_xlfn.ANCHORARRAY('Short Circuit'!$BK$4),ROW()-5,1)="","",INDEX(_xlfn.ANCHORARRAY('Short Circuit'!$BK$4),ROW()-5,1)),"")</f>
        <v/>
      </c>
      <c r="B210" s="362" t="str" cm="1">
        <f t="array" ref="B210">IFERROR(IF($A210="","",INDEX(_xlfn.ANCHORARRAY('Short Circuit'!$BK$4),ROW()-5,5)),"")</f>
        <v/>
      </c>
      <c r="C210" s="181" t="str" cm="1">
        <f t="array" ref="C210">IFERROR(IF($A210="","",INDEX(_xlfn.ANCHORARRAY('Short Circuit'!$BK$4),ROW()-5,7)),"")</f>
        <v/>
      </c>
      <c r="D210" s="168" t="str" cm="1">
        <f t="array" ref="D210">IFERROR(IF($A210="","",INDEX(_xlfn.ANCHORARRAY('Short Circuit'!$BK$4),ROW()-5,3)),"")</f>
        <v/>
      </c>
      <c r="E210" s="362" t="str" cm="1">
        <f t="array" ref="E210">IFERROR(IF($A210="","",INDEX(_xlfn.ANCHORARRAY('Short Circuit'!$BK$4),ROW()-5,2)),"")</f>
        <v/>
      </c>
      <c r="F210" s="15" t="str">
        <f>IF($A210="","",IF($C210=0,"— utility service —",IFERROR(_xlfn.XLOOKUP("F-"&amp;$A210,'Short Circuit'!$A$6:$A$255,'Short Circuit'!$G$6:$G$255),IFERROR(_xlfn.XLOOKUP($A210,'Short Circuit'!$A$6:$A$255,'Short Circuit'!$G$6:$G$255),"⚠ no feeder data"))))</f>
        <v/>
      </c>
      <c r="G210" s="78" t="str">
        <f>IF($A210="","",IF($C210=0,0,IFERROR(_xlfn.XLOOKUP("F-"&amp;$A210,'Feeder Schedule'!$B$5:$B$254,'Feeder Schedule'!$U$5:$U$254),"")))</f>
        <v/>
      </c>
      <c r="H210" s="78" t="str">
        <f t="shared" si="14"/>
        <v/>
      </c>
      <c r="I210" s="78" t="str">
        <f t="shared" si="12"/>
        <v/>
      </c>
      <c r="J210" s="78" t="str">
        <f t="shared" si="13"/>
        <v/>
      </c>
      <c r="K210" s="15" t="str">
        <f t="shared" si="15"/>
        <v/>
      </c>
      <c r="L210" s="363"/>
    </row>
    <row r="211" spans="1:12" s="20" customFormat="1" ht="15" customHeight="1" x14ac:dyDescent="0.35">
      <c r="A211" s="15" t="str" cm="1">
        <f t="array" ref="A211">IFERROR(IF(INDEX(_xlfn.ANCHORARRAY('Short Circuit'!$BK$4),ROW()-5,1)="","",INDEX(_xlfn.ANCHORARRAY('Short Circuit'!$BK$4),ROW()-5,1)),"")</f>
        <v/>
      </c>
      <c r="B211" s="362" t="str" cm="1">
        <f t="array" ref="B211">IFERROR(IF($A211="","",INDEX(_xlfn.ANCHORARRAY('Short Circuit'!$BK$4),ROW()-5,5)),"")</f>
        <v/>
      </c>
      <c r="C211" s="181" t="str" cm="1">
        <f t="array" ref="C211">IFERROR(IF($A211="","",INDEX(_xlfn.ANCHORARRAY('Short Circuit'!$BK$4),ROW()-5,7)),"")</f>
        <v/>
      </c>
      <c r="D211" s="168" t="str" cm="1">
        <f t="array" ref="D211">IFERROR(IF($A211="","",INDEX(_xlfn.ANCHORARRAY('Short Circuit'!$BK$4),ROW()-5,3)),"")</f>
        <v/>
      </c>
      <c r="E211" s="362" t="str" cm="1">
        <f t="array" ref="E211">IFERROR(IF($A211="","",INDEX(_xlfn.ANCHORARRAY('Short Circuit'!$BK$4),ROW()-5,2)),"")</f>
        <v/>
      </c>
      <c r="F211" s="15" t="str">
        <f>IF($A211="","",IF($C211=0,"— utility service —",IFERROR(_xlfn.XLOOKUP("F-"&amp;$A211,'Short Circuit'!$A$6:$A$255,'Short Circuit'!$G$6:$G$255),IFERROR(_xlfn.XLOOKUP($A211,'Short Circuit'!$A$6:$A$255,'Short Circuit'!$G$6:$G$255),"⚠ no feeder data"))))</f>
        <v/>
      </c>
      <c r="G211" s="78" t="str">
        <f>IF($A211="","",IF($C211=0,0,IFERROR(_xlfn.XLOOKUP("F-"&amp;$A211,'Feeder Schedule'!$B$5:$B$254,'Feeder Schedule'!$U$5:$U$254),"")))</f>
        <v/>
      </c>
      <c r="H211" s="78" t="str">
        <f t="shared" si="14"/>
        <v/>
      </c>
      <c r="I211" s="78" t="str">
        <f t="shared" si="12"/>
        <v/>
      </c>
      <c r="J211" s="78" t="str">
        <f t="shared" si="13"/>
        <v/>
      </c>
      <c r="K211" s="15" t="str">
        <f t="shared" si="15"/>
        <v/>
      </c>
      <c r="L211" s="363"/>
    </row>
    <row r="212" spans="1:12" s="20" customFormat="1" ht="15" customHeight="1" x14ac:dyDescent="0.35">
      <c r="A212" s="15" t="str" cm="1">
        <f t="array" ref="A212">IFERROR(IF(INDEX(_xlfn.ANCHORARRAY('Short Circuit'!$BK$4),ROW()-5,1)="","",INDEX(_xlfn.ANCHORARRAY('Short Circuit'!$BK$4),ROW()-5,1)),"")</f>
        <v/>
      </c>
      <c r="B212" s="362" t="str" cm="1">
        <f t="array" ref="B212">IFERROR(IF($A212="","",INDEX(_xlfn.ANCHORARRAY('Short Circuit'!$BK$4),ROW()-5,5)),"")</f>
        <v/>
      </c>
      <c r="C212" s="181" t="str" cm="1">
        <f t="array" ref="C212">IFERROR(IF($A212="","",INDEX(_xlfn.ANCHORARRAY('Short Circuit'!$BK$4),ROW()-5,7)),"")</f>
        <v/>
      </c>
      <c r="D212" s="168" t="str" cm="1">
        <f t="array" ref="D212">IFERROR(IF($A212="","",INDEX(_xlfn.ANCHORARRAY('Short Circuit'!$BK$4),ROW()-5,3)),"")</f>
        <v/>
      </c>
      <c r="E212" s="362" t="str" cm="1">
        <f t="array" ref="E212">IFERROR(IF($A212="","",INDEX(_xlfn.ANCHORARRAY('Short Circuit'!$BK$4),ROW()-5,2)),"")</f>
        <v/>
      </c>
      <c r="F212" s="15" t="str">
        <f>IF($A212="","",IF($C212=0,"— utility service —",IFERROR(_xlfn.XLOOKUP("F-"&amp;$A212,'Short Circuit'!$A$6:$A$255,'Short Circuit'!$G$6:$G$255),IFERROR(_xlfn.XLOOKUP($A212,'Short Circuit'!$A$6:$A$255,'Short Circuit'!$G$6:$G$255),"⚠ no feeder data"))))</f>
        <v/>
      </c>
      <c r="G212" s="78" t="str">
        <f>IF($A212="","",IF($C212=0,0,IFERROR(_xlfn.XLOOKUP("F-"&amp;$A212,'Feeder Schedule'!$B$5:$B$254,'Feeder Schedule'!$U$5:$U$254),"")))</f>
        <v/>
      </c>
      <c r="H212" s="78" t="str">
        <f t="shared" si="14"/>
        <v/>
      </c>
      <c r="I212" s="78" t="str">
        <f t="shared" si="12"/>
        <v/>
      </c>
      <c r="J212" s="78" t="str">
        <f t="shared" si="13"/>
        <v/>
      </c>
      <c r="K212" s="15" t="str">
        <f t="shared" si="15"/>
        <v/>
      </c>
      <c r="L212" s="363"/>
    </row>
    <row r="213" spans="1:12" s="20" customFormat="1" ht="15" customHeight="1" x14ac:dyDescent="0.35">
      <c r="A213" s="15" t="str" cm="1">
        <f t="array" ref="A213">IFERROR(IF(INDEX(_xlfn.ANCHORARRAY('Short Circuit'!$BK$4),ROW()-5,1)="","",INDEX(_xlfn.ANCHORARRAY('Short Circuit'!$BK$4),ROW()-5,1)),"")</f>
        <v/>
      </c>
      <c r="B213" s="362" t="str" cm="1">
        <f t="array" ref="B213">IFERROR(IF($A213="","",INDEX(_xlfn.ANCHORARRAY('Short Circuit'!$BK$4),ROW()-5,5)),"")</f>
        <v/>
      </c>
      <c r="C213" s="181" t="str" cm="1">
        <f t="array" ref="C213">IFERROR(IF($A213="","",INDEX(_xlfn.ANCHORARRAY('Short Circuit'!$BK$4),ROW()-5,7)),"")</f>
        <v/>
      </c>
      <c r="D213" s="168" t="str" cm="1">
        <f t="array" ref="D213">IFERROR(IF($A213="","",INDEX(_xlfn.ANCHORARRAY('Short Circuit'!$BK$4),ROW()-5,3)),"")</f>
        <v/>
      </c>
      <c r="E213" s="362" t="str" cm="1">
        <f t="array" ref="E213">IFERROR(IF($A213="","",INDEX(_xlfn.ANCHORARRAY('Short Circuit'!$BK$4),ROW()-5,2)),"")</f>
        <v/>
      </c>
      <c r="F213" s="15" t="str">
        <f>IF($A213="","",IF($C213=0,"— utility service —",IFERROR(_xlfn.XLOOKUP("F-"&amp;$A213,'Short Circuit'!$A$6:$A$255,'Short Circuit'!$G$6:$G$255),IFERROR(_xlfn.XLOOKUP($A213,'Short Circuit'!$A$6:$A$255,'Short Circuit'!$G$6:$G$255),"⚠ no feeder data"))))</f>
        <v/>
      </c>
      <c r="G213" s="78" t="str">
        <f>IF($A213="","",IF($C213=0,0,IFERROR(_xlfn.XLOOKUP("F-"&amp;$A213,'Feeder Schedule'!$B$5:$B$254,'Feeder Schedule'!$U$5:$U$254),"")))</f>
        <v/>
      </c>
      <c r="H213" s="78" t="str">
        <f t="shared" si="14"/>
        <v/>
      </c>
      <c r="I213" s="78" t="str">
        <f t="shared" si="12"/>
        <v/>
      </c>
      <c r="J213" s="78" t="str">
        <f t="shared" si="13"/>
        <v/>
      </c>
      <c r="K213" s="15" t="str">
        <f t="shared" si="15"/>
        <v/>
      </c>
      <c r="L213" s="363"/>
    </row>
    <row r="214" spans="1:12" s="20" customFormat="1" ht="15" customHeight="1" x14ac:dyDescent="0.35">
      <c r="A214" s="15" t="str" cm="1">
        <f t="array" ref="A214">IFERROR(IF(INDEX(_xlfn.ANCHORARRAY('Short Circuit'!$BK$4),ROW()-5,1)="","",INDEX(_xlfn.ANCHORARRAY('Short Circuit'!$BK$4),ROW()-5,1)),"")</f>
        <v/>
      </c>
      <c r="B214" s="362" t="str" cm="1">
        <f t="array" ref="B214">IFERROR(IF($A214="","",INDEX(_xlfn.ANCHORARRAY('Short Circuit'!$BK$4),ROW()-5,5)),"")</f>
        <v/>
      </c>
      <c r="C214" s="181" t="str" cm="1">
        <f t="array" ref="C214">IFERROR(IF($A214="","",INDEX(_xlfn.ANCHORARRAY('Short Circuit'!$BK$4),ROW()-5,7)),"")</f>
        <v/>
      </c>
      <c r="D214" s="168" t="str" cm="1">
        <f t="array" ref="D214">IFERROR(IF($A214="","",INDEX(_xlfn.ANCHORARRAY('Short Circuit'!$BK$4),ROW()-5,3)),"")</f>
        <v/>
      </c>
      <c r="E214" s="362" t="str" cm="1">
        <f t="array" ref="E214">IFERROR(IF($A214="","",INDEX(_xlfn.ANCHORARRAY('Short Circuit'!$BK$4),ROW()-5,2)),"")</f>
        <v/>
      </c>
      <c r="F214" s="15" t="str">
        <f>IF($A214="","",IF($C214=0,"— utility service —",IFERROR(_xlfn.XLOOKUP("F-"&amp;$A214,'Short Circuit'!$A$6:$A$255,'Short Circuit'!$G$6:$G$255),IFERROR(_xlfn.XLOOKUP($A214,'Short Circuit'!$A$6:$A$255,'Short Circuit'!$G$6:$G$255),"⚠ no feeder data"))))</f>
        <v/>
      </c>
      <c r="G214" s="78" t="str">
        <f>IF($A214="","",IF($C214=0,0,IFERROR(_xlfn.XLOOKUP("F-"&amp;$A214,'Feeder Schedule'!$B$5:$B$254,'Feeder Schedule'!$U$5:$U$254),"")))</f>
        <v/>
      </c>
      <c r="H214" s="78" t="str">
        <f t="shared" si="14"/>
        <v/>
      </c>
      <c r="I214" s="78" t="str">
        <f t="shared" si="12"/>
        <v/>
      </c>
      <c r="J214" s="78" t="str">
        <f t="shared" si="13"/>
        <v/>
      </c>
      <c r="K214" s="15" t="str">
        <f t="shared" si="15"/>
        <v/>
      </c>
      <c r="L214" s="363"/>
    </row>
    <row r="215" spans="1:12" s="20" customFormat="1" ht="15" customHeight="1" x14ac:dyDescent="0.35">
      <c r="A215" s="15" t="str" cm="1">
        <f t="array" ref="A215">IFERROR(IF(INDEX(_xlfn.ANCHORARRAY('Short Circuit'!$BK$4),ROW()-5,1)="","",INDEX(_xlfn.ANCHORARRAY('Short Circuit'!$BK$4),ROW()-5,1)),"")</f>
        <v/>
      </c>
      <c r="B215" s="362" t="str" cm="1">
        <f t="array" ref="B215">IFERROR(IF($A215="","",INDEX(_xlfn.ANCHORARRAY('Short Circuit'!$BK$4),ROW()-5,5)),"")</f>
        <v/>
      </c>
      <c r="C215" s="181" t="str" cm="1">
        <f t="array" ref="C215">IFERROR(IF($A215="","",INDEX(_xlfn.ANCHORARRAY('Short Circuit'!$BK$4),ROW()-5,7)),"")</f>
        <v/>
      </c>
      <c r="D215" s="168" t="str" cm="1">
        <f t="array" ref="D215">IFERROR(IF($A215="","",INDEX(_xlfn.ANCHORARRAY('Short Circuit'!$BK$4),ROW()-5,3)),"")</f>
        <v/>
      </c>
      <c r="E215" s="362" t="str" cm="1">
        <f t="array" ref="E215">IFERROR(IF($A215="","",INDEX(_xlfn.ANCHORARRAY('Short Circuit'!$BK$4),ROW()-5,2)),"")</f>
        <v/>
      </c>
      <c r="F215" s="15" t="str">
        <f>IF($A215="","",IF($C215=0,"— utility service —",IFERROR(_xlfn.XLOOKUP("F-"&amp;$A215,'Short Circuit'!$A$6:$A$255,'Short Circuit'!$G$6:$G$255),IFERROR(_xlfn.XLOOKUP($A215,'Short Circuit'!$A$6:$A$255,'Short Circuit'!$G$6:$G$255),"⚠ no feeder data"))))</f>
        <v/>
      </c>
      <c r="G215" s="78" t="str">
        <f>IF($A215="","",IF($C215=0,0,IFERROR(_xlfn.XLOOKUP("F-"&amp;$A215,'Feeder Schedule'!$B$5:$B$254,'Feeder Schedule'!$U$5:$U$254),"")))</f>
        <v/>
      </c>
      <c r="H215" s="78" t="str">
        <f t="shared" si="14"/>
        <v/>
      </c>
      <c r="I215" s="78" t="str">
        <f t="shared" si="12"/>
        <v/>
      </c>
      <c r="J215" s="78" t="str">
        <f t="shared" si="13"/>
        <v/>
      </c>
      <c r="K215" s="15" t="str">
        <f t="shared" si="15"/>
        <v/>
      </c>
      <c r="L215" s="363"/>
    </row>
    <row r="216" spans="1:12" s="20" customFormat="1" ht="15" customHeight="1" x14ac:dyDescent="0.35">
      <c r="A216" s="15" t="str" cm="1">
        <f t="array" ref="A216">IFERROR(IF(INDEX(_xlfn.ANCHORARRAY('Short Circuit'!$BK$4),ROW()-5,1)="","",INDEX(_xlfn.ANCHORARRAY('Short Circuit'!$BK$4),ROW()-5,1)),"")</f>
        <v/>
      </c>
      <c r="B216" s="362" t="str" cm="1">
        <f t="array" ref="B216">IFERROR(IF($A216="","",INDEX(_xlfn.ANCHORARRAY('Short Circuit'!$BK$4),ROW()-5,5)),"")</f>
        <v/>
      </c>
      <c r="C216" s="181" t="str" cm="1">
        <f t="array" ref="C216">IFERROR(IF($A216="","",INDEX(_xlfn.ANCHORARRAY('Short Circuit'!$BK$4),ROW()-5,7)),"")</f>
        <v/>
      </c>
      <c r="D216" s="168" t="str" cm="1">
        <f t="array" ref="D216">IFERROR(IF($A216="","",INDEX(_xlfn.ANCHORARRAY('Short Circuit'!$BK$4),ROW()-5,3)),"")</f>
        <v/>
      </c>
      <c r="E216" s="362" t="str" cm="1">
        <f t="array" ref="E216">IFERROR(IF($A216="","",INDEX(_xlfn.ANCHORARRAY('Short Circuit'!$BK$4),ROW()-5,2)),"")</f>
        <v/>
      </c>
      <c r="F216" s="15" t="str">
        <f>IF($A216="","",IF($C216=0,"— utility service —",IFERROR(_xlfn.XLOOKUP("F-"&amp;$A216,'Short Circuit'!$A$6:$A$255,'Short Circuit'!$G$6:$G$255),IFERROR(_xlfn.XLOOKUP($A216,'Short Circuit'!$A$6:$A$255,'Short Circuit'!$G$6:$G$255),"⚠ no feeder data"))))</f>
        <v/>
      </c>
      <c r="G216" s="78" t="str">
        <f>IF($A216="","",IF($C216=0,0,IFERROR(_xlfn.XLOOKUP("F-"&amp;$A216,'Feeder Schedule'!$B$5:$B$254,'Feeder Schedule'!$U$5:$U$254),"")))</f>
        <v/>
      </c>
      <c r="H216" s="78" t="str">
        <f t="shared" si="14"/>
        <v/>
      </c>
      <c r="I216" s="78" t="str">
        <f t="shared" si="12"/>
        <v/>
      </c>
      <c r="J216" s="78" t="str">
        <f t="shared" si="13"/>
        <v/>
      </c>
      <c r="K216" s="15" t="str">
        <f t="shared" si="15"/>
        <v/>
      </c>
      <c r="L216" s="363"/>
    </row>
    <row r="217" spans="1:12" s="20" customFormat="1" ht="15" customHeight="1" x14ac:dyDescent="0.35">
      <c r="A217" s="15" t="str" cm="1">
        <f t="array" ref="A217">IFERROR(IF(INDEX(_xlfn.ANCHORARRAY('Short Circuit'!$BK$4),ROW()-5,1)="","",INDEX(_xlfn.ANCHORARRAY('Short Circuit'!$BK$4),ROW()-5,1)),"")</f>
        <v/>
      </c>
      <c r="B217" s="362" t="str" cm="1">
        <f t="array" ref="B217">IFERROR(IF($A217="","",INDEX(_xlfn.ANCHORARRAY('Short Circuit'!$BK$4),ROW()-5,5)),"")</f>
        <v/>
      </c>
      <c r="C217" s="181" t="str" cm="1">
        <f t="array" ref="C217">IFERROR(IF($A217="","",INDEX(_xlfn.ANCHORARRAY('Short Circuit'!$BK$4),ROW()-5,7)),"")</f>
        <v/>
      </c>
      <c r="D217" s="168" t="str" cm="1">
        <f t="array" ref="D217">IFERROR(IF($A217="","",INDEX(_xlfn.ANCHORARRAY('Short Circuit'!$BK$4),ROW()-5,3)),"")</f>
        <v/>
      </c>
      <c r="E217" s="362" t="str" cm="1">
        <f t="array" ref="E217">IFERROR(IF($A217="","",INDEX(_xlfn.ANCHORARRAY('Short Circuit'!$BK$4),ROW()-5,2)),"")</f>
        <v/>
      </c>
      <c r="F217" s="15" t="str">
        <f>IF($A217="","",IF($C217=0,"— utility service —",IFERROR(_xlfn.XLOOKUP("F-"&amp;$A217,'Short Circuit'!$A$6:$A$255,'Short Circuit'!$G$6:$G$255),IFERROR(_xlfn.XLOOKUP($A217,'Short Circuit'!$A$6:$A$255,'Short Circuit'!$G$6:$G$255),"⚠ no feeder data"))))</f>
        <v/>
      </c>
      <c r="G217" s="78" t="str">
        <f>IF($A217="","",IF($C217=0,0,IFERROR(_xlfn.XLOOKUP("F-"&amp;$A217,'Feeder Schedule'!$B$5:$B$254,'Feeder Schedule'!$U$5:$U$254),"")))</f>
        <v/>
      </c>
      <c r="H217" s="78" t="str">
        <f t="shared" si="14"/>
        <v/>
      </c>
      <c r="I217" s="78" t="str">
        <f t="shared" si="12"/>
        <v/>
      </c>
      <c r="J217" s="78" t="str">
        <f t="shared" si="13"/>
        <v/>
      </c>
      <c r="K217" s="15" t="str">
        <f t="shared" si="15"/>
        <v/>
      </c>
      <c r="L217" s="363"/>
    </row>
    <row r="218" spans="1:12" s="20" customFormat="1" ht="15" customHeight="1" x14ac:dyDescent="0.35">
      <c r="A218" s="15" t="str" cm="1">
        <f t="array" ref="A218">IFERROR(IF(INDEX(_xlfn.ANCHORARRAY('Short Circuit'!$BK$4),ROW()-5,1)="","",INDEX(_xlfn.ANCHORARRAY('Short Circuit'!$BK$4),ROW()-5,1)),"")</f>
        <v/>
      </c>
      <c r="B218" s="362" t="str" cm="1">
        <f t="array" ref="B218">IFERROR(IF($A218="","",INDEX(_xlfn.ANCHORARRAY('Short Circuit'!$BK$4),ROW()-5,5)),"")</f>
        <v/>
      </c>
      <c r="C218" s="181" t="str" cm="1">
        <f t="array" ref="C218">IFERROR(IF($A218="","",INDEX(_xlfn.ANCHORARRAY('Short Circuit'!$BK$4),ROW()-5,7)),"")</f>
        <v/>
      </c>
      <c r="D218" s="168" t="str" cm="1">
        <f t="array" ref="D218">IFERROR(IF($A218="","",INDEX(_xlfn.ANCHORARRAY('Short Circuit'!$BK$4),ROW()-5,3)),"")</f>
        <v/>
      </c>
      <c r="E218" s="362" t="str" cm="1">
        <f t="array" ref="E218">IFERROR(IF($A218="","",INDEX(_xlfn.ANCHORARRAY('Short Circuit'!$BK$4),ROW()-5,2)),"")</f>
        <v/>
      </c>
      <c r="F218" s="15" t="str">
        <f>IF($A218="","",IF($C218=0,"— utility service —",IFERROR(_xlfn.XLOOKUP("F-"&amp;$A218,'Short Circuit'!$A$6:$A$255,'Short Circuit'!$G$6:$G$255),IFERROR(_xlfn.XLOOKUP($A218,'Short Circuit'!$A$6:$A$255,'Short Circuit'!$G$6:$G$255),"⚠ no feeder data"))))</f>
        <v/>
      </c>
      <c r="G218" s="78" t="str">
        <f>IF($A218="","",IF($C218=0,0,IFERROR(_xlfn.XLOOKUP("F-"&amp;$A218,'Feeder Schedule'!$B$5:$B$254,'Feeder Schedule'!$U$5:$U$254),"")))</f>
        <v/>
      </c>
      <c r="H218" s="78" t="str">
        <f t="shared" si="14"/>
        <v/>
      </c>
      <c r="I218" s="78" t="str">
        <f t="shared" si="12"/>
        <v/>
      </c>
      <c r="J218" s="78" t="str">
        <f t="shared" si="13"/>
        <v/>
      </c>
      <c r="K218" s="15" t="str">
        <f t="shared" si="15"/>
        <v/>
      </c>
      <c r="L218" s="363"/>
    </row>
    <row r="219" spans="1:12" s="20" customFormat="1" ht="15" customHeight="1" x14ac:dyDescent="0.35">
      <c r="A219" s="15" t="str" cm="1">
        <f t="array" ref="A219">IFERROR(IF(INDEX(_xlfn.ANCHORARRAY('Short Circuit'!$BK$4),ROW()-5,1)="","",INDEX(_xlfn.ANCHORARRAY('Short Circuit'!$BK$4),ROW()-5,1)),"")</f>
        <v/>
      </c>
      <c r="B219" s="362" t="str" cm="1">
        <f t="array" ref="B219">IFERROR(IF($A219="","",INDEX(_xlfn.ANCHORARRAY('Short Circuit'!$BK$4),ROW()-5,5)),"")</f>
        <v/>
      </c>
      <c r="C219" s="181" t="str" cm="1">
        <f t="array" ref="C219">IFERROR(IF($A219="","",INDEX(_xlfn.ANCHORARRAY('Short Circuit'!$BK$4),ROW()-5,7)),"")</f>
        <v/>
      </c>
      <c r="D219" s="168" t="str" cm="1">
        <f t="array" ref="D219">IFERROR(IF($A219="","",INDEX(_xlfn.ANCHORARRAY('Short Circuit'!$BK$4),ROW()-5,3)),"")</f>
        <v/>
      </c>
      <c r="E219" s="362" t="str" cm="1">
        <f t="array" ref="E219">IFERROR(IF($A219="","",INDEX(_xlfn.ANCHORARRAY('Short Circuit'!$BK$4),ROW()-5,2)),"")</f>
        <v/>
      </c>
      <c r="F219" s="15" t="str">
        <f>IF($A219="","",IF($C219=0,"— utility service —",IFERROR(_xlfn.XLOOKUP("F-"&amp;$A219,'Short Circuit'!$A$6:$A$255,'Short Circuit'!$G$6:$G$255),IFERROR(_xlfn.XLOOKUP($A219,'Short Circuit'!$A$6:$A$255,'Short Circuit'!$G$6:$G$255),"⚠ no feeder data"))))</f>
        <v/>
      </c>
      <c r="G219" s="78" t="str">
        <f>IF($A219="","",IF($C219=0,0,IFERROR(_xlfn.XLOOKUP("F-"&amp;$A219,'Feeder Schedule'!$B$5:$B$254,'Feeder Schedule'!$U$5:$U$254),"")))</f>
        <v/>
      </c>
      <c r="H219" s="78" t="str">
        <f t="shared" si="14"/>
        <v/>
      </c>
      <c r="I219" s="78" t="str">
        <f t="shared" si="12"/>
        <v/>
      </c>
      <c r="J219" s="78" t="str">
        <f t="shared" si="13"/>
        <v/>
      </c>
      <c r="K219" s="15" t="str">
        <f t="shared" si="15"/>
        <v/>
      </c>
      <c r="L219" s="363"/>
    </row>
    <row r="220" spans="1:12" s="20" customFormat="1" ht="15" customHeight="1" x14ac:dyDescent="0.35">
      <c r="A220" s="15" t="str" cm="1">
        <f t="array" ref="A220">IFERROR(IF(INDEX(_xlfn.ANCHORARRAY('Short Circuit'!$BK$4),ROW()-5,1)="","",INDEX(_xlfn.ANCHORARRAY('Short Circuit'!$BK$4),ROW()-5,1)),"")</f>
        <v/>
      </c>
      <c r="B220" s="362" t="str" cm="1">
        <f t="array" ref="B220">IFERROR(IF($A220="","",INDEX(_xlfn.ANCHORARRAY('Short Circuit'!$BK$4),ROW()-5,5)),"")</f>
        <v/>
      </c>
      <c r="C220" s="181" t="str" cm="1">
        <f t="array" ref="C220">IFERROR(IF($A220="","",INDEX(_xlfn.ANCHORARRAY('Short Circuit'!$BK$4),ROW()-5,7)),"")</f>
        <v/>
      </c>
      <c r="D220" s="168" t="str" cm="1">
        <f t="array" ref="D220">IFERROR(IF($A220="","",INDEX(_xlfn.ANCHORARRAY('Short Circuit'!$BK$4),ROW()-5,3)),"")</f>
        <v/>
      </c>
      <c r="E220" s="362" t="str" cm="1">
        <f t="array" ref="E220">IFERROR(IF($A220="","",INDEX(_xlfn.ANCHORARRAY('Short Circuit'!$BK$4),ROW()-5,2)),"")</f>
        <v/>
      </c>
      <c r="F220" s="15" t="str">
        <f>IF($A220="","",IF($C220=0,"— utility service —",IFERROR(_xlfn.XLOOKUP("F-"&amp;$A220,'Short Circuit'!$A$6:$A$255,'Short Circuit'!$G$6:$G$255),IFERROR(_xlfn.XLOOKUP($A220,'Short Circuit'!$A$6:$A$255,'Short Circuit'!$G$6:$G$255),"⚠ no feeder data"))))</f>
        <v/>
      </c>
      <c r="G220" s="78" t="str">
        <f>IF($A220="","",IF($C220=0,0,IFERROR(_xlfn.XLOOKUP("F-"&amp;$A220,'Feeder Schedule'!$B$5:$B$254,'Feeder Schedule'!$U$5:$U$254),"")))</f>
        <v/>
      </c>
      <c r="H220" s="78" t="str">
        <f t="shared" si="14"/>
        <v/>
      </c>
      <c r="I220" s="78" t="str">
        <f t="shared" si="12"/>
        <v/>
      </c>
      <c r="J220" s="78" t="str">
        <f t="shared" si="13"/>
        <v/>
      </c>
      <c r="K220" s="15" t="str">
        <f t="shared" si="15"/>
        <v/>
      </c>
      <c r="L220" s="363"/>
    </row>
    <row r="221" spans="1:12" s="20" customFormat="1" ht="15" customHeight="1" x14ac:dyDescent="0.35">
      <c r="A221" s="15" t="str" cm="1">
        <f t="array" ref="A221">IFERROR(IF(INDEX(_xlfn.ANCHORARRAY('Short Circuit'!$BK$4),ROW()-5,1)="","",INDEX(_xlfn.ANCHORARRAY('Short Circuit'!$BK$4),ROW()-5,1)),"")</f>
        <v/>
      </c>
      <c r="B221" s="362" t="str" cm="1">
        <f t="array" ref="B221">IFERROR(IF($A221="","",INDEX(_xlfn.ANCHORARRAY('Short Circuit'!$BK$4),ROW()-5,5)),"")</f>
        <v/>
      </c>
      <c r="C221" s="181" t="str" cm="1">
        <f t="array" ref="C221">IFERROR(IF($A221="","",INDEX(_xlfn.ANCHORARRAY('Short Circuit'!$BK$4),ROW()-5,7)),"")</f>
        <v/>
      </c>
      <c r="D221" s="168" t="str" cm="1">
        <f t="array" ref="D221">IFERROR(IF($A221="","",INDEX(_xlfn.ANCHORARRAY('Short Circuit'!$BK$4),ROW()-5,3)),"")</f>
        <v/>
      </c>
      <c r="E221" s="362" t="str" cm="1">
        <f t="array" ref="E221">IFERROR(IF($A221="","",INDEX(_xlfn.ANCHORARRAY('Short Circuit'!$BK$4),ROW()-5,2)),"")</f>
        <v/>
      </c>
      <c r="F221" s="15" t="str">
        <f>IF($A221="","",IF($C221=0,"— utility service —",IFERROR(_xlfn.XLOOKUP("F-"&amp;$A221,'Short Circuit'!$A$6:$A$255,'Short Circuit'!$G$6:$G$255),IFERROR(_xlfn.XLOOKUP($A221,'Short Circuit'!$A$6:$A$255,'Short Circuit'!$G$6:$G$255),"⚠ no feeder data"))))</f>
        <v/>
      </c>
      <c r="G221" s="78" t="str">
        <f>IF($A221="","",IF($C221=0,0,IFERROR(_xlfn.XLOOKUP("F-"&amp;$A221,'Feeder Schedule'!$B$5:$B$254,'Feeder Schedule'!$U$5:$U$254),"")))</f>
        <v/>
      </c>
      <c r="H221" s="78" t="str">
        <f t="shared" si="14"/>
        <v/>
      </c>
      <c r="I221" s="78" t="str">
        <f t="shared" si="12"/>
        <v/>
      </c>
      <c r="J221" s="78" t="str">
        <f t="shared" si="13"/>
        <v/>
      </c>
      <c r="K221" s="15" t="str">
        <f t="shared" si="15"/>
        <v/>
      </c>
      <c r="L221" s="363"/>
    </row>
    <row r="222" spans="1:12" s="20" customFormat="1" ht="15" customHeight="1" x14ac:dyDescent="0.35">
      <c r="A222" s="15" t="str" cm="1">
        <f t="array" ref="A222">IFERROR(IF(INDEX(_xlfn.ANCHORARRAY('Short Circuit'!$BK$4),ROW()-5,1)="","",INDEX(_xlfn.ANCHORARRAY('Short Circuit'!$BK$4),ROW()-5,1)),"")</f>
        <v/>
      </c>
      <c r="B222" s="362" t="str" cm="1">
        <f t="array" ref="B222">IFERROR(IF($A222="","",INDEX(_xlfn.ANCHORARRAY('Short Circuit'!$BK$4),ROW()-5,5)),"")</f>
        <v/>
      </c>
      <c r="C222" s="181" t="str" cm="1">
        <f t="array" ref="C222">IFERROR(IF($A222="","",INDEX(_xlfn.ANCHORARRAY('Short Circuit'!$BK$4),ROW()-5,7)),"")</f>
        <v/>
      </c>
      <c r="D222" s="168" t="str" cm="1">
        <f t="array" ref="D222">IFERROR(IF($A222="","",INDEX(_xlfn.ANCHORARRAY('Short Circuit'!$BK$4),ROW()-5,3)),"")</f>
        <v/>
      </c>
      <c r="E222" s="362" t="str" cm="1">
        <f t="array" ref="E222">IFERROR(IF($A222="","",INDEX(_xlfn.ANCHORARRAY('Short Circuit'!$BK$4),ROW()-5,2)),"")</f>
        <v/>
      </c>
      <c r="F222" s="15" t="str">
        <f>IF($A222="","",IF($C222=0,"— utility service —",IFERROR(_xlfn.XLOOKUP("F-"&amp;$A222,'Short Circuit'!$A$6:$A$255,'Short Circuit'!$G$6:$G$255),IFERROR(_xlfn.XLOOKUP($A222,'Short Circuit'!$A$6:$A$255,'Short Circuit'!$G$6:$G$255),"⚠ no feeder data"))))</f>
        <v/>
      </c>
      <c r="G222" s="78" t="str">
        <f>IF($A222="","",IF($C222=0,0,IFERROR(_xlfn.XLOOKUP("F-"&amp;$A222,'Feeder Schedule'!$B$5:$B$254,'Feeder Schedule'!$U$5:$U$254),"")))</f>
        <v/>
      </c>
      <c r="H222" s="78" t="str">
        <f t="shared" si="14"/>
        <v/>
      </c>
      <c r="I222" s="78" t="str">
        <f t="shared" si="12"/>
        <v/>
      </c>
      <c r="J222" s="78" t="str">
        <f t="shared" si="13"/>
        <v/>
      </c>
      <c r="K222" s="15" t="str">
        <f t="shared" si="15"/>
        <v/>
      </c>
      <c r="L222" s="363"/>
    </row>
    <row r="223" spans="1:12" s="20" customFormat="1" ht="15" customHeight="1" x14ac:dyDescent="0.35">
      <c r="A223" s="15" t="str" cm="1">
        <f t="array" ref="A223">IFERROR(IF(INDEX(_xlfn.ANCHORARRAY('Short Circuit'!$BK$4),ROW()-5,1)="","",INDEX(_xlfn.ANCHORARRAY('Short Circuit'!$BK$4),ROW()-5,1)),"")</f>
        <v/>
      </c>
      <c r="B223" s="362" t="str" cm="1">
        <f t="array" ref="B223">IFERROR(IF($A223="","",INDEX(_xlfn.ANCHORARRAY('Short Circuit'!$BK$4),ROW()-5,5)),"")</f>
        <v/>
      </c>
      <c r="C223" s="181" t="str" cm="1">
        <f t="array" ref="C223">IFERROR(IF($A223="","",INDEX(_xlfn.ANCHORARRAY('Short Circuit'!$BK$4),ROW()-5,7)),"")</f>
        <v/>
      </c>
      <c r="D223" s="168" t="str" cm="1">
        <f t="array" ref="D223">IFERROR(IF($A223="","",INDEX(_xlfn.ANCHORARRAY('Short Circuit'!$BK$4),ROW()-5,3)),"")</f>
        <v/>
      </c>
      <c r="E223" s="362" t="str" cm="1">
        <f t="array" ref="E223">IFERROR(IF($A223="","",INDEX(_xlfn.ANCHORARRAY('Short Circuit'!$BK$4),ROW()-5,2)),"")</f>
        <v/>
      </c>
      <c r="F223" s="15" t="str">
        <f>IF($A223="","",IF($C223=0,"— utility service —",IFERROR(_xlfn.XLOOKUP("F-"&amp;$A223,'Short Circuit'!$A$6:$A$255,'Short Circuit'!$G$6:$G$255),IFERROR(_xlfn.XLOOKUP($A223,'Short Circuit'!$A$6:$A$255,'Short Circuit'!$G$6:$G$255),"⚠ no feeder data"))))</f>
        <v/>
      </c>
      <c r="G223" s="78" t="str">
        <f>IF($A223="","",IF($C223=0,0,IFERROR(_xlfn.XLOOKUP("F-"&amp;$A223,'Feeder Schedule'!$B$5:$B$254,'Feeder Schedule'!$U$5:$U$254),"")))</f>
        <v/>
      </c>
      <c r="H223" s="78" t="str">
        <f t="shared" si="14"/>
        <v/>
      </c>
      <c r="I223" s="78" t="str">
        <f t="shared" si="12"/>
        <v/>
      </c>
      <c r="J223" s="78" t="str">
        <f t="shared" si="13"/>
        <v/>
      </c>
      <c r="K223" s="15" t="str">
        <f t="shared" si="15"/>
        <v/>
      </c>
      <c r="L223" s="363"/>
    </row>
    <row r="224" spans="1:12" s="20" customFormat="1" ht="15" customHeight="1" x14ac:dyDescent="0.35">
      <c r="A224" s="15" t="str" cm="1">
        <f t="array" ref="A224">IFERROR(IF(INDEX(_xlfn.ANCHORARRAY('Short Circuit'!$BK$4),ROW()-5,1)="","",INDEX(_xlfn.ANCHORARRAY('Short Circuit'!$BK$4),ROW()-5,1)),"")</f>
        <v/>
      </c>
      <c r="B224" s="362" t="str" cm="1">
        <f t="array" ref="B224">IFERROR(IF($A224="","",INDEX(_xlfn.ANCHORARRAY('Short Circuit'!$BK$4),ROW()-5,5)),"")</f>
        <v/>
      </c>
      <c r="C224" s="181" t="str" cm="1">
        <f t="array" ref="C224">IFERROR(IF($A224="","",INDEX(_xlfn.ANCHORARRAY('Short Circuit'!$BK$4),ROW()-5,7)),"")</f>
        <v/>
      </c>
      <c r="D224" s="168" t="str" cm="1">
        <f t="array" ref="D224">IFERROR(IF($A224="","",INDEX(_xlfn.ANCHORARRAY('Short Circuit'!$BK$4),ROW()-5,3)),"")</f>
        <v/>
      </c>
      <c r="E224" s="362" t="str" cm="1">
        <f t="array" ref="E224">IFERROR(IF($A224="","",INDEX(_xlfn.ANCHORARRAY('Short Circuit'!$BK$4),ROW()-5,2)),"")</f>
        <v/>
      </c>
      <c r="F224" s="15" t="str">
        <f>IF($A224="","",IF($C224=0,"— utility service —",IFERROR(_xlfn.XLOOKUP("F-"&amp;$A224,'Short Circuit'!$A$6:$A$255,'Short Circuit'!$G$6:$G$255),IFERROR(_xlfn.XLOOKUP($A224,'Short Circuit'!$A$6:$A$255,'Short Circuit'!$G$6:$G$255),"⚠ no feeder data"))))</f>
        <v/>
      </c>
      <c r="G224" s="78" t="str">
        <f>IF($A224="","",IF($C224=0,0,IFERROR(_xlfn.XLOOKUP("F-"&amp;$A224,'Feeder Schedule'!$B$5:$B$254,'Feeder Schedule'!$U$5:$U$254),"")))</f>
        <v/>
      </c>
      <c r="H224" s="78" t="str">
        <f t="shared" si="14"/>
        <v/>
      </c>
      <c r="I224" s="78" t="str">
        <f t="shared" si="12"/>
        <v/>
      </c>
      <c r="J224" s="78" t="str">
        <f t="shared" si="13"/>
        <v/>
      </c>
      <c r="K224" s="15" t="str">
        <f t="shared" si="15"/>
        <v/>
      </c>
      <c r="L224" s="363"/>
    </row>
    <row r="225" spans="1:12" s="20" customFormat="1" ht="15" customHeight="1" x14ac:dyDescent="0.35">
      <c r="A225" s="15" t="str" cm="1">
        <f t="array" ref="A225">IFERROR(IF(INDEX(_xlfn.ANCHORARRAY('Short Circuit'!$BK$4),ROW()-5,1)="","",INDEX(_xlfn.ANCHORARRAY('Short Circuit'!$BK$4),ROW()-5,1)),"")</f>
        <v/>
      </c>
      <c r="B225" s="362" t="str" cm="1">
        <f t="array" ref="B225">IFERROR(IF($A225="","",INDEX(_xlfn.ANCHORARRAY('Short Circuit'!$BK$4),ROW()-5,5)),"")</f>
        <v/>
      </c>
      <c r="C225" s="181" t="str" cm="1">
        <f t="array" ref="C225">IFERROR(IF($A225="","",INDEX(_xlfn.ANCHORARRAY('Short Circuit'!$BK$4),ROW()-5,7)),"")</f>
        <v/>
      </c>
      <c r="D225" s="168" t="str" cm="1">
        <f t="array" ref="D225">IFERROR(IF($A225="","",INDEX(_xlfn.ANCHORARRAY('Short Circuit'!$BK$4),ROW()-5,3)),"")</f>
        <v/>
      </c>
      <c r="E225" s="362" t="str" cm="1">
        <f t="array" ref="E225">IFERROR(IF($A225="","",INDEX(_xlfn.ANCHORARRAY('Short Circuit'!$BK$4),ROW()-5,2)),"")</f>
        <v/>
      </c>
      <c r="F225" s="15" t="str">
        <f>IF($A225="","",IF($C225=0,"— utility service —",IFERROR(_xlfn.XLOOKUP("F-"&amp;$A225,'Short Circuit'!$A$6:$A$255,'Short Circuit'!$G$6:$G$255),IFERROR(_xlfn.XLOOKUP($A225,'Short Circuit'!$A$6:$A$255,'Short Circuit'!$G$6:$G$255),"⚠ no feeder data"))))</f>
        <v/>
      </c>
      <c r="G225" s="78" t="str">
        <f>IF($A225="","",IF($C225=0,0,IFERROR(_xlfn.XLOOKUP("F-"&amp;$A225,'Feeder Schedule'!$B$5:$B$254,'Feeder Schedule'!$U$5:$U$254),"")))</f>
        <v/>
      </c>
      <c r="H225" s="78" t="str">
        <f t="shared" si="14"/>
        <v/>
      </c>
      <c r="I225" s="78" t="str">
        <f t="shared" si="12"/>
        <v/>
      </c>
      <c r="J225" s="78" t="str">
        <f t="shared" si="13"/>
        <v/>
      </c>
      <c r="K225" s="15" t="str">
        <f t="shared" si="15"/>
        <v/>
      </c>
      <c r="L225" s="363"/>
    </row>
    <row r="226" spans="1:12" s="20" customFormat="1" ht="15" customHeight="1" x14ac:dyDescent="0.35">
      <c r="A226" s="15" t="str" cm="1">
        <f t="array" ref="A226">IFERROR(IF(INDEX(_xlfn.ANCHORARRAY('Short Circuit'!$BK$4),ROW()-5,1)="","",INDEX(_xlfn.ANCHORARRAY('Short Circuit'!$BK$4),ROW()-5,1)),"")</f>
        <v/>
      </c>
      <c r="B226" s="362" t="str" cm="1">
        <f t="array" ref="B226">IFERROR(IF($A226="","",INDEX(_xlfn.ANCHORARRAY('Short Circuit'!$BK$4),ROW()-5,5)),"")</f>
        <v/>
      </c>
      <c r="C226" s="181" t="str" cm="1">
        <f t="array" ref="C226">IFERROR(IF($A226="","",INDEX(_xlfn.ANCHORARRAY('Short Circuit'!$BK$4),ROW()-5,7)),"")</f>
        <v/>
      </c>
      <c r="D226" s="168" t="str" cm="1">
        <f t="array" ref="D226">IFERROR(IF($A226="","",INDEX(_xlfn.ANCHORARRAY('Short Circuit'!$BK$4),ROW()-5,3)),"")</f>
        <v/>
      </c>
      <c r="E226" s="362" t="str" cm="1">
        <f t="array" ref="E226">IFERROR(IF($A226="","",INDEX(_xlfn.ANCHORARRAY('Short Circuit'!$BK$4),ROW()-5,2)),"")</f>
        <v/>
      </c>
      <c r="F226" s="15" t="str">
        <f>IF($A226="","",IF($C226=0,"— utility service —",IFERROR(_xlfn.XLOOKUP("F-"&amp;$A226,'Short Circuit'!$A$6:$A$255,'Short Circuit'!$G$6:$G$255),IFERROR(_xlfn.XLOOKUP($A226,'Short Circuit'!$A$6:$A$255,'Short Circuit'!$G$6:$G$255),"⚠ no feeder data"))))</f>
        <v/>
      </c>
      <c r="G226" s="78" t="str">
        <f>IF($A226="","",IF($C226=0,0,IFERROR(_xlfn.XLOOKUP("F-"&amp;$A226,'Feeder Schedule'!$B$5:$B$254,'Feeder Schedule'!$U$5:$U$254),"")))</f>
        <v/>
      </c>
      <c r="H226" s="78" t="str">
        <f t="shared" si="14"/>
        <v/>
      </c>
      <c r="I226" s="78" t="str">
        <f t="shared" si="12"/>
        <v/>
      </c>
      <c r="J226" s="78" t="str">
        <f t="shared" si="13"/>
        <v/>
      </c>
      <c r="K226" s="15" t="str">
        <f t="shared" si="15"/>
        <v/>
      </c>
      <c r="L226" s="363"/>
    </row>
    <row r="227" spans="1:12" s="20" customFormat="1" ht="15" customHeight="1" x14ac:dyDescent="0.35">
      <c r="A227" s="15" t="str" cm="1">
        <f t="array" ref="A227">IFERROR(IF(INDEX(_xlfn.ANCHORARRAY('Short Circuit'!$BK$4),ROW()-5,1)="","",INDEX(_xlfn.ANCHORARRAY('Short Circuit'!$BK$4),ROW()-5,1)),"")</f>
        <v/>
      </c>
      <c r="B227" s="362" t="str" cm="1">
        <f t="array" ref="B227">IFERROR(IF($A227="","",INDEX(_xlfn.ANCHORARRAY('Short Circuit'!$BK$4),ROW()-5,5)),"")</f>
        <v/>
      </c>
      <c r="C227" s="181" t="str" cm="1">
        <f t="array" ref="C227">IFERROR(IF($A227="","",INDEX(_xlfn.ANCHORARRAY('Short Circuit'!$BK$4),ROW()-5,7)),"")</f>
        <v/>
      </c>
      <c r="D227" s="168" t="str" cm="1">
        <f t="array" ref="D227">IFERROR(IF($A227="","",INDEX(_xlfn.ANCHORARRAY('Short Circuit'!$BK$4),ROW()-5,3)),"")</f>
        <v/>
      </c>
      <c r="E227" s="362" t="str" cm="1">
        <f t="array" ref="E227">IFERROR(IF($A227="","",INDEX(_xlfn.ANCHORARRAY('Short Circuit'!$BK$4),ROW()-5,2)),"")</f>
        <v/>
      </c>
      <c r="F227" s="15" t="str">
        <f>IF($A227="","",IF($C227=0,"— utility service —",IFERROR(_xlfn.XLOOKUP("F-"&amp;$A227,'Short Circuit'!$A$6:$A$255,'Short Circuit'!$G$6:$G$255),IFERROR(_xlfn.XLOOKUP($A227,'Short Circuit'!$A$6:$A$255,'Short Circuit'!$G$6:$G$255),"⚠ no feeder data"))))</f>
        <v/>
      </c>
      <c r="G227" s="78" t="str">
        <f>IF($A227="","",IF($C227=0,0,IFERROR(_xlfn.XLOOKUP("F-"&amp;$A227,'Feeder Schedule'!$B$5:$B$254,'Feeder Schedule'!$U$5:$U$254),"")))</f>
        <v/>
      </c>
      <c r="H227" s="78" t="str">
        <f t="shared" si="14"/>
        <v/>
      </c>
      <c r="I227" s="78" t="str">
        <f t="shared" si="12"/>
        <v/>
      </c>
      <c r="J227" s="78" t="str">
        <f t="shared" si="13"/>
        <v/>
      </c>
      <c r="K227" s="15" t="str">
        <f t="shared" si="15"/>
        <v/>
      </c>
      <c r="L227" s="363"/>
    </row>
    <row r="228" spans="1:12" s="20" customFormat="1" ht="15" customHeight="1" x14ac:dyDescent="0.35">
      <c r="A228" s="15" t="str" cm="1">
        <f t="array" ref="A228">IFERROR(IF(INDEX(_xlfn.ANCHORARRAY('Short Circuit'!$BK$4),ROW()-5,1)="","",INDEX(_xlfn.ANCHORARRAY('Short Circuit'!$BK$4),ROW()-5,1)),"")</f>
        <v/>
      </c>
      <c r="B228" s="362" t="str" cm="1">
        <f t="array" ref="B228">IFERROR(IF($A228="","",INDEX(_xlfn.ANCHORARRAY('Short Circuit'!$BK$4),ROW()-5,5)),"")</f>
        <v/>
      </c>
      <c r="C228" s="181" t="str" cm="1">
        <f t="array" ref="C228">IFERROR(IF($A228="","",INDEX(_xlfn.ANCHORARRAY('Short Circuit'!$BK$4),ROW()-5,7)),"")</f>
        <v/>
      </c>
      <c r="D228" s="168" t="str" cm="1">
        <f t="array" ref="D228">IFERROR(IF($A228="","",INDEX(_xlfn.ANCHORARRAY('Short Circuit'!$BK$4),ROW()-5,3)),"")</f>
        <v/>
      </c>
      <c r="E228" s="362" t="str" cm="1">
        <f t="array" ref="E228">IFERROR(IF($A228="","",INDEX(_xlfn.ANCHORARRAY('Short Circuit'!$BK$4),ROW()-5,2)),"")</f>
        <v/>
      </c>
      <c r="F228" s="15" t="str">
        <f>IF($A228="","",IF($C228=0,"— utility service —",IFERROR(_xlfn.XLOOKUP("F-"&amp;$A228,'Short Circuit'!$A$6:$A$255,'Short Circuit'!$G$6:$G$255),IFERROR(_xlfn.XLOOKUP($A228,'Short Circuit'!$A$6:$A$255,'Short Circuit'!$G$6:$G$255),"⚠ no feeder data"))))</f>
        <v/>
      </c>
      <c r="G228" s="78" t="str">
        <f>IF($A228="","",IF($C228=0,0,IFERROR(_xlfn.XLOOKUP("F-"&amp;$A228,'Feeder Schedule'!$B$5:$B$254,'Feeder Schedule'!$U$5:$U$254),"")))</f>
        <v/>
      </c>
      <c r="H228" s="78" t="str">
        <f t="shared" si="14"/>
        <v/>
      </c>
      <c r="I228" s="78" t="str">
        <f t="shared" si="12"/>
        <v/>
      </c>
      <c r="J228" s="78" t="str">
        <f t="shared" si="13"/>
        <v/>
      </c>
      <c r="K228" s="15" t="str">
        <f t="shared" si="15"/>
        <v/>
      </c>
      <c r="L228" s="363"/>
    </row>
    <row r="229" spans="1:12" s="20" customFormat="1" ht="15" customHeight="1" x14ac:dyDescent="0.35">
      <c r="A229" s="15" t="str" cm="1">
        <f t="array" ref="A229">IFERROR(IF(INDEX(_xlfn.ANCHORARRAY('Short Circuit'!$BK$4),ROW()-5,1)="","",INDEX(_xlfn.ANCHORARRAY('Short Circuit'!$BK$4),ROW()-5,1)),"")</f>
        <v/>
      </c>
      <c r="B229" s="362" t="str" cm="1">
        <f t="array" ref="B229">IFERROR(IF($A229="","",INDEX(_xlfn.ANCHORARRAY('Short Circuit'!$BK$4),ROW()-5,5)),"")</f>
        <v/>
      </c>
      <c r="C229" s="181" t="str" cm="1">
        <f t="array" ref="C229">IFERROR(IF($A229="","",INDEX(_xlfn.ANCHORARRAY('Short Circuit'!$BK$4),ROW()-5,7)),"")</f>
        <v/>
      </c>
      <c r="D229" s="168" t="str" cm="1">
        <f t="array" ref="D229">IFERROR(IF($A229="","",INDEX(_xlfn.ANCHORARRAY('Short Circuit'!$BK$4),ROW()-5,3)),"")</f>
        <v/>
      </c>
      <c r="E229" s="362" t="str" cm="1">
        <f t="array" ref="E229">IFERROR(IF($A229="","",INDEX(_xlfn.ANCHORARRAY('Short Circuit'!$BK$4),ROW()-5,2)),"")</f>
        <v/>
      </c>
      <c r="F229" s="15" t="str">
        <f>IF($A229="","",IF($C229=0,"— utility service —",IFERROR(_xlfn.XLOOKUP("F-"&amp;$A229,'Short Circuit'!$A$6:$A$255,'Short Circuit'!$G$6:$G$255),IFERROR(_xlfn.XLOOKUP($A229,'Short Circuit'!$A$6:$A$255,'Short Circuit'!$G$6:$G$255),"⚠ no feeder data"))))</f>
        <v/>
      </c>
      <c r="G229" s="78" t="str">
        <f>IF($A229="","",IF($C229=0,0,IFERROR(_xlfn.XLOOKUP("F-"&amp;$A229,'Feeder Schedule'!$B$5:$B$254,'Feeder Schedule'!$U$5:$U$254),"")))</f>
        <v/>
      </c>
      <c r="H229" s="78" t="str">
        <f t="shared" si="14"/>
        <v/>
      </c>
      <c r="I229" s="78" t="str">
        <f t="shared" si="12"/>
        <v/>
      </c>
      <c r="J229" s="78" t="str">
        <f t="shared" si="13"/>
        <v/>
      </c>
      <c r="K229" s="15" t="str">
        <f t="shared" si="15"/>
        <v/>
      </c>
      <c r="L229" s="363"/>
    </row>
    <row r="230" spans="1:12" s="20" customFormat="1" ht="15" customHeight="1" x14ac:dyDescent="0.35">
      <c r="A230" s="15" t="str" cm="1">
        <f t="array" ref="A230">IFERROR(IF(INDEX(_xlfn.ANCHORARRAY('Short Circuit'!$BK$4),ROW()-5,1)="","",INDEX(_xlfn.ANCHORARRAY('Short Circuit'!$BK$4),ROW()-5,1)),"")</f>
        <v/>
      </c>
      <c r="B230" s="362" t="str" cm="1">
        <f t="array" ref="B230">IFERROR(IF($A230="","",INDEX(_xlfn.ANCHORARRAY('Short Circuit'!$BK$4),ROW()-5,5)),"")</f>
        <v/>
      </c>
      <c r="C230" s="181" t="str" cm="1">
        <f t="array" ref="C230">IFERROR(IF($A230="","",INDEX(_xlfn.ANCHORARRAY('Short Circuit'!$BK$4),ROW()-5,7)),"")</f>
        <v/>
      </c>
      <c r="D230" s="168" t="str" cm="1">
        <f t="array" ref="D230">IFERROR(IF($A230="","",INDEX(_xlfn.ANCHORARRAY('Short Circuit'!$BK$4),ROW()-5,3)),"")</f>
        <v/>
      </c>
      <c r="E230" s="362" t="str" cm="1">
        <f t="array" ref="E230">IFERROR(IF($A230="","",INDEX(_xlfn.ANCHORARRAY('Short Circuit'!$BK$4),ROW()-5,2)),"")</f>
        <v/>
      </c>
      <c r="F230" s="15" t="str">
        <f>IF($A230="","",IF($C230=0,"— utility service —",IFERROR(_xlfn.XLOOKUP("F-"&amp;$A230,'Short Circuit'!$A$6:$A$255,'Short Circuit'!$G$6:$G$255),IFERROR(_xlfn.XLOOKUP($A230,'Short Circuit'!$A$6:$A$255,'Short Circuit'!$G$6:$G$255),"⚠ no feeder data"))))</f>
        <v/>
      </c>
      <c r="G230" s="78" t="str">
        <f>IF($A230="","",IF($C230=0,0,IFERROR(_xlfn.XLOOKUP("F-"&amp;$A230,'Feeder Schedule'!$B$5:$B$254,'Feeder Schedule'!$U$5:$U$254),"")))</f>
        <v/>
      </c>
      <c r="H230" s="78" t="str">
        <f t="shared" si="14"/>
        <v/>
      </c>
      <c r="I230" s="78" t="str">
        <f t="shared" si="12"/>
        <v/>
      </c>
      <c r="J230" s="78" t="str">
        <f t="shared" si="13"/>
        <v/>
      </c>
      <c r="K230" s="15" t="str">
        <f t="shared" si="15"/>
        <v/>
      </c>
      <c r="L230" s="363"/>
    </row>
    <row r="231" spans="1:12" s="20" customFormat="1" ht="15" customHeight="1" x14ac:dyDescent="0.35">
      <c r="A231" s="15" t="str" cm="1">
        <f t="array" ref="A231">IFERROR(IF(INDEX(_xlfn.ANCHORARRAY('Short Circuit'!$BK$4),ROW()-5,1)="","",INDEX(_xlfn.ANCHORARRAY('Short Circuit'!$BK$4),ROW()-5,1)),"")</f>
        <v/>
      </c>
      <c r="B231" s="362" t="str" cm="1">
        <f t="array" ref="B231">IFERROR(IF($A231="","",INDEX(_xlfn.ANCHORARRAY('Short Circuit'!$BK$4),ROW()-5,5)),"")</f>
        <v/>
      </c>
      <c r="C231" s="181" t="str" cm="1">
        <f t="array" ref="C231">IFERROR(IF($A231="","",INDEX(_xlfn.ANCHORARRAY('Short Circuit'!$BK$4),ROW()-5,7)),"")</f>
        <v/>
      </c>
      <c r="D231" s="168" t="str" cm="1">
        <f t="array" ref="D231">IFERROR(IF($A231="","",INDEX(_xlfn.ANCHORARRAY('Short Circuit'!$BK$4),ROW()-5,3)),"")</f>
        <v/>
      </c>
      <c r="E231" s="362" t="str" cm="1">
        <f t="array" ref="E231">IFERROR(IF($A231="","",INDEX(_xlfn.ANCHORARRAY('Short Circuit'!$BK$4),ROW()-5,2)),"")</f>
        <v/>
      </c>
      <c r="F231" s="15" t="str">
        <f>IF($A231="","",IF($C231=0,"— utility service —",IFERROR(_xlfn.XLOOKUP("F-"&amp;$A231,'Short Circuit'!$A$6:$A$255,'Short Circuit'!$G$6:$G$255),IFERROR(_xlfn.XLOOKUP($A231,'Short Circuit'!$A$6:$A$255,'Short Circuit'!$G$6:$G$255),"⚠ no feeder data"))))</f>
        <v/>
      </c>
      <c r="G231" s="78" t="str">
        <f>IF($A231="","",IF($C231=0,0,IFERROR(_xlfn.XLOOKUP("F-"&amp;$A231,'Feeder Schedule'!$B$5:$B$254,'Feeder Schedule'!$U$5:$U$254),"")))</f>
        <v/>
      </c>
      <c r="H231" s="78" t="str">
        <f t="shared" si="14"/>
        <v/>
      </c>
      <c r="I231" s="78" t="str">
        <f t="shared" si="12"/>
        <v/>
      </c>
      <c r="J231" s="78" t="str">
        <f t="shared" si="13"/>
        <v/>
      </c>
      <c r="K231" s="15" t="str">
        <f t="shared" si="15"/>
        <v/>
      </c>
      <c r="L231" s="363"/>
    </row>
    <row r="232" spans="1:12" s="20" customFormat="1" ht="15" customHeight="1" x14ac:dyDescent="0.35">
      <c r="A232" s="15" t="str" cm="1">
        <f t="array" ref="A232">IFERROR(IF(INDEX(_xlfn.ANCHORARRAY('Short Circuit'!$BK$4),ROW()-5,1)="","",INDEX(_xlfn.ANCHORARRAY('Short Circuit'!$BK$4),ROW()-5,1)),"")</f>
        <v/>
      </c>
      <c r="B232" s="362" t="str" cm="1">
        <f t="array" ref="B232">IFERROR(IF($A232="","",INDEX(_xlfn.ANCHORARRAY('Short Circuit'!$BK$4),ROW()-5,5)),"")</f>
        <v/>
      </c>
      <c r="C232" s="181" t="str" cm="1">
        <f t="array" ref="C232">IFERROR(IF($A232="","",INDEX(_xlfn.ANCHORARRAY('Short Circuit'!$BK$4),ROW()-5,7)),"")</f>
        <v/>
      </c>
      <c r="D232" s="168" t="str" cm="1">
        <f t="array" ref="D232">IFERROR(IF($A232="","",INDEX(_xlfn.ANCHORARRAY('Short Circuit'!$BK$4),ROW()-5,3)),"")</f>
        <v/>
      </c>
      <c r="E232" s="362" t="str" cm="1">
        <f t="array" ref="E232">IFERROR(IF($A232="","",INDEX(_xlfn.ANCHORARRAY('Short Circuit'!$BK$4),ROW()-5,2)),"")</f>
        <v/>
      </c>
      <c r="F232" s="15" t="str">
        <f>IF($A232="","",IF($C232=0,"— utility service —",IFERROR(_xlfn.XLOOKUP("F-"&amp;$A232,'Short Circuit'!$A$6:$A$255,'Short Circuit'!$G$6:$G$255),IFERROR(_xlfn.XLOOKUP($A232,'Short Circuit'!$A$6:$A$255,'Short Circuit'!$G$6:$G$255),"⚠ no feeder data"))))</f>
        <v/>
      </c>
      <c r="G232" s="78" t="str">
        <f>IF($A232="","",IF($C232=0,0,IFERROR(_xlfn.XLOOKUP("F-"&amp;$A232,'Feeder Schedule'!$B$5:$B$254,'Feeder Schedule'!$U$5:$U$254),"")))</f>
        <v/>
      </c>
      <c r="H232" s="78" t="str">
        <f t="shared" si="14"/>
        <v/>
      </c>
      <c r="I232" s="78" t="str">
        <f t="shared" si="12"/>
        <v/>
      </c>
      <c r="J232" s="78" t="str">
        <f t="shared" si="13"/>
        <v/>
      </c>
      <c r="K232" s="15" t="str">
        <f t="shared" si="15"/>
        <v/>
      </c>
      <c r="L232" s="363"/>
    </row>
    <row r="233" spans="1:12" s="20" customFormat="1" ht="15" customHeight="1" x14ac:dyDescent="0.35">
      <c r="A233" s="15" t="str" cm="1">
        <f t="array" ref="A233">IFERROR(IF(INDEX(_xlfn.ANCHORARRAY('Short Circuit'!$BK$4),ROW()-5,1)="","",INDEX(_xlfn.ANCHORARRAY('Short Circuit'!$BK$4),ROW()-5,1)),"")</f>
        <v/>
      </c>
      <c r="B233" s="362" t="str" cm="1">
        <f t="array" ref="B233">IFERROR(IF($A233="","",INDEX(_xlfn.ANCHORARRAY('Short Circuit'!$BK$4),ROW()-5,5)),"")</f>
        <v/>
      </c>
      <c r="C233" s="181" t="str" cm="1">
        <f t="array" ref="C233">IFERROR(IF($A233="","",INDEX(_xlfn.ANCHORARRAY('Short Circuit'!$BK$4),ROW()-5,7)),"")</f>
        <v/>
      </c>
      <c r="D233" s="168" t="str" cm="1">
        <f t="array" ref="D233">IFERROR(IF($A233="","",INDEX(_xlfn.ANCHORARRAY('Short Circuit'!$BK$4),ROW()-5,3)),"")</f>
        <v/>
      </c>
      <c r="E233" s="362" t="str" cm="1">
        <f t="array" ref="E233">IFERROR(IF($A233="","",INDEX(_xlfn.ANCHORARRAY('Short Circuit'!$BK$4),ROW()-5,2)),"")</f>
        <v/>
      </c>
      <c r="F233" s="15" t="str">
        <f>IF($A233="","",IF($C233=0,"— utility service —",IFERROR(_xlfn.XLOOKUP("F-"&amp;$A233,'Short Circuit'!$A$6:$A$255,'Short Circuit'!$G$6:$G$255),IFERROR(_xlfn.XLOOKUP($A233,'Short Circuit'!$A$6:$A$255,'Short Circuit'!$G$6:$G$255),"⚠ no feeder data"))))</f>
        <v/>
      </c>
      <c r="G233" s="78" t="str">
        <f>IF($A233="","",IF($C233=0,0,IFERROR(_xlfn.XLOOKUP("F-"&amp;$A233,'Feeder Schedule'!$B$5:$B$254,'Feeder Schedule'!$U$5:$U$254),"")))</f>
        <v/>
      </c>
      <c r="H233" s="78" t="str">
        <f t="shared" si="14"/>
        <v/>
      </c>
      <c r="I233" s="78" t="str">
        <f t="shared" si="12"/>
        <v/>
      </c>
      <c r="J233" s="78" t="str">
        <f t="shared" si="13"/>
        <v/>
      </c>
      <c r="K233" s="15" t="str">
        <f t="shared" si="15"/>
        <v/>
      </c>
      <c r="L233" s="363"/>
    </row>
    <row r="234" spans="1:12" s="20" customFormat="1" ht="15" customHeight="1" x14ac:dyDescent="0.35">
      <c r="A234" s="15" t="str" cm="1">
        <f t="array" ref="A234">IFERROR(IF(INDEX(_xlfn.ANCHORARRAY('Short Circuit'!$BK$4),ROW()-5,1)="","",INDEX(_xlfn.ANCHORARRAY('Short Circuit'!$BK$4),ROW()-5,1)),"")</f>
        <v/>
      </c>
      <c r="B234" s="362" t="str" cm="1">
        <f t="array" ref="B234">IFERROR(IF($A234="","",INDEX(_xlfn.ANCHORARRAY('Short Circuit'!$BK$4),ROW()-5,5)),"")</f>
        <v/>
      </c>
      <c r="C234" s="181" t="str" cm="1">
        <f t="array" ref="C234">IFERROR(IF($A234="","",INDEX(_xlfn.ANCHORARRAY('Short Circuit'!$BK$4),ROW()-5,7)),"")</f>
        <v/>
      </c>
      <c r="D234" s="168" t="str" cm="1">
        <f t="array" ref="D234">IFERROR(IF($A234="","",INDEX(_xlfn.ANCHORARRAY('Short Circuit'!$BK$4),ROW()-5,3)),"")</f>
        <v/>
      </c>
      <c r="E234" s="362" t="str" cm="1">
        <f t="array" ref="E234">IFERROR(IF($A234="","",INDEX(_xlfn.ANCHORARRAY('Short Circuit'!$BK$4),ROW()-5,2)),"")</f>
        <v/>
      </c>
      <c r="F234" s="15" t="str">
        <f>IF($A234="","",IF($C234=0,"— utility service —",IFERROR(_xlfn.XLOOKUP("F-"&amp;$A234,'Short Circuit'!$A$6:$A$255,'Short Circuit'!$G$6:$G$255),IFERROR(_xlfn.XLOOKUP($A234,'Short Circuit'!$A$6:$A$255,'Short Circuit'!$G$6:$G$255),"⚠ no feeder data"))))</f>
        <v/>
      </c>
      <c r="G234" s="78" t="str">
        <f>IF($A234="","",IF($C234=0,0,IFERROR(_xlfn.XLOOKUP("F-"&amp;$A234,'Feeder Schedule'!$B$5:$B$254,'Feeder Schedule'!$U$5:$U$254),"")))</f>
        <v/>
      </c>
      <c r="H234" s="78" t="str">
        <f t="shared" si="14"/>
        <v/>
      </c>
      <c r="I234" s="78" t="str">
        <f t="shared" si="12"/>
        <v/>
      </c>
      <c r="J234" s="78" t="str">
        <f t="shared" si="13"/>
        <v/>
      </c>
      <c r="K234" s="15" t="str">
        <f t="shared" si="15"/>
        <v/>
      </c>
      <c r="L234" s="363"/>
    </row>
    <row r="235" spans="1:12" s="20" customFormat="1" ht="15" customHeight="1" x14ac:dyDescent="0.35">
      <c r="A235" s="15" t="str" cm="1">
        <f t="array" ref="A235">IFERROR(IF(INDEX(_xlfn.ANCHORARRAY('Short Circuit'!$BK$4),ROW()-5,1)="","",INDEX(_xlfn.ANCHORARRAY('Short Circuit'!$BK$4),ROW()-5,1)),"")</f>
        <v/>
      </c>
      <c r="B235" s="362" t="str" cm="1">
        <f t="array" ref="B235">IFERROR(IF($A235="","",INDEX(_xlfn.ANCHORARRAY('Short Circuit'!$BK$4),ROW()-5,5)),"")</f>
        <v/>
      </c>
      <c r="C235" s="181" t="str" cm="1">
        <f t="array" ref="C235">IFERROR(IF($A235="","",INDEX(_xlfn.ANCHORARRAY('Short Circuit'!$BK$4),ROW()-5,7)),"")</f>
        <v/>
      </c>
      <c r="D235" s="168" t="str" cm="1">
        <f t="array" ref="D235">IFERROR(IF($A235="","",INDEX(_xlfn.ANCHORARRAY('Short Circuit'!$BK$4),ROW()-5,3)),"")</f>
        <v/>
      </c>
      <c r="E235" s="362" t="str" cm="1">
        <f t="array" ref="E235">IFERROR(IF($A235="","",INDEX(_xlfn.ANCHORARRAY('Short Circuit'!$BK$4),ROW()-5,2)),"")</f>
        <v/>
      </c>
      <c r="F235" s="15" t="str">
        <f>IF($A235="","",IF($C235=0,"— utility service —",IFERROR(_xlfn.XLOOKUP("F-"&amp;$A235,'Short Circuit'!$A$6:$A$255,'Short Circuit'!$G$6:$G$255),IFERROR(_xlfn.XLOOKUP($A235,'Short Circuit'!$A$6:$A$255,'Short Circuit'!$G$6:$G$255),"⚠ no feeder data"))))</f>
        <v/>
      </c>
      <c r="G235" s="78" t="str">
        <f>IF($A235="","",IF($C235=0,0,IFERROR(_xlfn.XLOOKUP("F-"&amp;$A235,'Feeder Schedule'!$B$5:$B$254,'Feeder Schedule'!$U$5:$U$254),"")))</f>
        <v/>
      </c>
      <c r="H235" s="78" t="str">
        <f t="shared" si="14"/>
        <v/>
      </c>
      <c r="I235" s="78" t="str">
        <f t="shared" si="12"/>
        <v/>
      </c>
      <c r="J235" s="78" t="str">
        <f t="shared" si="13"/>
        <v/>
      </c>
      <c r="K235" s="15" t="str">
        <f t="shared" si="15"/>
        <v/>
      </c>
      <c r="L235" s="363"/>
    </row>
    <row r="236" spans="1:12" s="20" customFormat="1" ht="15" customHeight="1" x14ac:dyDescent="0.35">
      <c r="A236" s="15" t="str" cm="1">
        <f t="array" ref="A236">IFERROR(IF(INDEX(_xlfn.ANCHORARRAY('Short Circuit'!$BK$4),ROW()-5,1)="","",INDEX(_xlfn.ANCHORARRAY('Short Circuit'!$BK$4),ROW()-5,1)),"")</f>
        <v/>
      </c>
      <c r="B236" s="362" t="str" cm="1">
        <f t="array" ref="B236">IFERROR(IF($A236="","",INDEX(_xlfn.ANCHORARRAY('Short Circuit'!$BK$4),ROW()-5,5)),"")</f>
        <v/>
      </c>
      <c r="C236" s="181" t="str" cm="1">
        <f t="array" ref="C236">IFERROR(IF($A236="","",INDEX(_xlfn.ANCHORARRAY('Short Circuit'!$BK$4),ROW()-5,7)),"")</f>
        <v/>
      </c>
      <c r="D236" s="168" t="str" cm="1">
        <f t="array" ref="D236">IFERROR(IF($A236="","",INDEX(_xlfn.ANCHORARRAY('Short Circuit'!$BK$4),ROW()-5,3)),"")</f>
        <v/>
      </c>
      <c r="E236" s="362" t="str" cm="1">
        <f t="array" ref="E236">IFERROR(IF($A236="","",INDEX(_xlfn.ANCHORARRAY('Short Circuit'!$BK$4),ROW()-5,2)),"")</f>
        <v/>
      </c>
      <c r="F236" s="15" t="str">
        <f>IF($A236="","",IF($C236=0,"— utility service —",IFERROR(_xlfn.XLOOKUP("F-"&amp;$A236,'Short Circuit'!$A$6:$A$255,'Short Circuit'!$G$6:$G$255),IFERROR(_xlfn.XLOOKUP($A236,'Short Circuit'!$A$6:$A$255,'Short Circuit'!$G$6:$G$255),"⚠ no feeder data"))))</f>
        <v/>
      </c>
      <c r="G236" s="78" t="str">
        <f>IF($A236="","",IF($C236=0,0,IFERROR(_xlfn.XLOOKUP("F-"&amp;$A236,'Feeder Schedule'!$B$5:$B$254,'Feeder Schedule'!$U$5:$U$254),"")))</f>
        <v/>
      </c>
      <c r="H236" s="78" t="str">
        <f t="shared" si="14"/>
        <v/>
      </c>
      <c r="I236" s="78" t="str">
        <f t="shared" si="12"/>
        <v/>
      </c>
      <c r="J236" s="78" t="str">
        <f t="shared" si="13"/>
        <v/>
      </c>
      <c r="K236" s="15" t="str">
        <f t="shared" si="15"/>
        <v/>
      </c>
      <c r="L236" s="363"/>
    </row>
    <row r="237" spans="1:12" s="20" customFormat="1" ht="15" customHeight="1" x14ac:dyDescent="0.35">
      <c r="A237" s="15" t="str" cm="1">
        <f t="array" ref="A237">IFERROR(IF(INDEX(_xlfn.ANCHORARRAY('Short Circuit'!$BK$4),ROW()-5,1)="","",INDEX(_xlfn.ANCHORARRAY('Short Circuit'!$BK$4),ROW()-5,1)),"")</f>
        <v/>
      </c>
      <c r="B237" s="362" t="str" cm="1">
        <f t="array" ref="B237">IFERROR(IF($A237="","",INDEX(_xlfn.ANCHORARRAY('Short Circuit'!$BK$4),ROW()-5,5)),"")</f>
        <v/>
      </c>
      <c r="C237" s="181" t="str" cm="1">
        <f t="array" ref="C237">IFERROR(IF($A237="","",INDEX(_xlfn.ANCHORARRAY('Short Circuit'!$BK$4),ROW()-5,7)),"")</f>
        <v/>
      </c>
      <c r="D237" s="168" t="str" cm="1">
        <f t="array" ref="D237">IFERROR(IF($A237="","",INDEX(_xlfn.ANCHORARRAY('Short Circuit'!$BK$4),ROW()-5,3)),"")</f>
        <v/>
      </c>
      <c r="E237" s="362" t="str" cm="1">
        <f t="array" ref="E237">IFERROR(IF($A237="","",INDEX(_xlfn.ANCHORARRAY('Short Circuit'!$BK$4),ROW()-5,2)),"")</f>
        <v/>
      </c>
      <c r="F237" s="15" t="str">
        <f>IF($A237="","",IF($C237=0,"— utility service —",IFERROR(_xlfn.XLOOKUP("F-"&amp;$A237,'Short Circuit'!$A$6:$A$255,'Short Circuit'!$G$6:$G$255),IFERROR(_xlfn.XLOOKUP($A237,'Short Circuit'!$A$6:$A$255,'Short Circuit'!$G$6:$G$255),"⚠ no feeder data"))))</f>
        <v/>
      </c>
      <c r="G237" s="78" t="str">
        <f>IF($A237="","",IF($C237=0,0,IFERROR(_xlfn.XLOOKUP("F-"&amp;$A237,'Feeder Schedule'!$B$5:$B$254,'Feeder Schedule'!$U$5:$U$254),"")))</f>
        <v/>
      </c>
      <c r="H237" s="78" t="str">
        <f t="shared" si="14"/>
        <v/>
      </c>
      <c r="I237" s="78" t="str">
        <f t="shared" si="12"/>
        <v/>
      </c>
      <c r="J237" s="78" t="str">
        <f t="shared" si="13"/>
        <v/>
      </c>
      <c r="K237" s="15" t="str">
        <f t="shared" si="15"/>
        <v/>
      </c>
      <c r="L237" s="363"/>
    </row>
    <row r="238" spans="1:12" s="20" customFormat="1" ht="15" customHeight="1" x14ac:dyDescent="0.35">
      <c r="A238" s="15" t="str" cm="1">
        <f t="array" ref="A238">IFERROR(IF(INDEX(_xlfn.ANCHORARRAY('Short Circuit'!$BK$4),ROW()-5,1)="","",INDEX(_xlfn.ANCHORARRAY('Short Circuit'!$BK$4),ROW()-5,1)),"")</f>
        <v/>
      </c>
      <c r="B238" s="362" t="str" cm="1">
        <f t="array" ref="B238">IFERROR(IF($A238="","",INDEX(_xlfn.ANCHORARRAY('Short Circuit'!$BK$4),ROW()-5,5)),"")</f>
        <v/>
      </c>
      <c r="C238" s="181" t="str" cm="1">
        <f t="array" ref="C238">IFERROR(IF($A238="","",INDEX(_xlfn.ANCHORARRAY('Short Circuit'!$BK$4),ROW()-5,7)),"")</f>
        <v/>
      </c>
      <c r="D238" s="168" t="str" cm="1">
        <f t="array" ref="D238">IFERROR(IF($A238="","",INDEX(_xlfn.ANCHORARRAY('Short Circuit'!$BK$4),ROW()-5,3)),"")</f>
        <v/>
      </c>
      <c r="E238" s="362" t="str" cm="1">
        <f t="array" ref="E238">IFERROR(IF($A238="","",INDEX(_xlfn.ANCHORARRAY('Short Circuit'!$BK$4),ROW()-5,2)),"")</f>
        <v/>
      </c>
      <c r="F238" s="15" t="str">
        <f>IF($A238="","",IF($C238=0,"— utility service —",IFERROR(_xlfn.XLOOKUP("F-"&amp;$A238,'Short Circuit'!$A$6:$A$255,'Short Circuit'!$G$6:$G$255),IFERROR(_xlfn.XLOOKUP($A238,'Short Circuit'!$A$6:$A$255,'Short Circuit'!$G$6:$G$255),"⚠ no feeder data"))))</f>
        <v/>
      </c>
      <c r="G238" s="78" t="str">
        <f>IF($A238="","",IF($C238=0,0,IFERROR(_xlfn.XLOOKUP("F-"&amp;$A238,'Feeder Schedule'!$B$5:$B$254,'Feeder Schedule'!$U$5:$U$254),"")))</f>
        <v/>
      </c>
      <c r="H238" s="78" t="str">
        <f t="shared" si="14"/>
        <v/>
      </c>
      <c r="I238" s="78" t="str">
        <f t="shared" si="12"/>
        <v/>
      </c>
      <c r="J238" s="78" t="str">
        <f t="shared" si="13"/>
        <v/>
      </c>
      <c r="K238" s="15" t="str">
        <f t="shared" si="15"/>
        <v/>
      </c>
      <c r="L238" s="363"/>
    </row>
    <row r="239" spans="1:12" s="20" customFormat="1" ht="15" customHeight="1" x14ac:dyDescent="0.35">
      <c r="A239" s="15" t="str" cm="1">
        <f t="array" ref="A239">IFERROR(IF(INDEX(_xlfn.ANCHORARRAY('Short Circuit'!$BK$4),ROW()-5,1)="","",INDEX(_xlfn.ANCHORARRAY('Short Circuit'!$BK$4),ROW()-5,1)),"")</f>
        <v/>
      </c>
      <c r="B239" s="362" t="str" cm="1">
        <f t="array" ref="B239">IFERROR(IF($A239="","",INDEX(_xlfn.ANCHORARRAY('Short Circuit'!$BK$4),ROW()-5,5)),"")</f>
        <v/>
      </c>
      <c r="C239" s="181" t="str" cm="1">
        <f t="array" ref="C239">IFERROR(IF($A239="","",INDEX(_xlfn.ANCHORARRAY('Short Circuit'!$BK$4),ROW()-5,7)),"")</f>
        <v/>
      </c>
      <c r="D239" s="168" t="str" cm="1">
        <f t="array" ref="D239">IFERROR(IF($A239="","",INDEX(_xlfn.ANCHORARRAY('Short Circuit'!$BK$4),ROW()-5,3)),"")</f>
        <v/>
      </c>
      <c r="E239" s="362" t="str" cm="1">
        <f t="array" ref="E239">IFERROR(IF($A239="","",INDEX(_xlfn.ANCHORARRAY('Short Circuit'!$BK$4),ROW()-5,2)),"")</f>
        <v/>
      </c>
      <c r="F239" s="15" t="str">
        <f>IF($A239="","",IF($C239=0,"— utility service —",IFERROR(_xlfn.XLOOKUP("F-"&amp;$A239,'Short Circuit'!$A$6:$A$255,'Short Circuit'!$G$6:$G$255),IFERROR(_xlfn.XLOOKUP($A239,'Short Circuit'!$A$6:$A$255,'Short Circuit'!$G$6:$G$255),"⚠ no feeder data"))))</f>
        <v/>
      </c>
      <c r="G239" s="78" t="str">
        <f>IF($A239="","",IF($C239=0,0,IFERROR(_xlfn.XLOOKUP("F-"&amp;$A239,'Feeder Schedule'!$B$5:$B$254,'Feeder Schedule'!$U$5:$U$254),"")))</f>
        <v/>
      </c>
      <c r="H239" s="78" t="str">
        <f t="shared" si="14"/>
        <v/>
      </c>
      <c r="I239" s="78" t="str">
        <f t="shared" si="12"/>
        <v/>
      </c>
      <c r="J239" s="78" t="str">
        <f t="shared" si="13"/>
        <v/>
      </c>
      <c r="K239" s="15" t="str">
        <f t="shared" si="15"/>
        <v/>
      </c>
      <c r="L239" s="363"/>
    </row>
    <row r="240" spans="1:12" s="20" customFormat="1" ht="15" customHeight="1" x14ac:dyDescent="0.35">
      <c r="A240" s="15" t="str" cm="1">
        <f t="array" ref="A240">IFERROR(IF(INDEX(_xlfn.ANCHORARRAY('Short Circuit'!$BK$4),ROW()-5,1)="","",INDEX(_xlfn.ANCHORARRAY('Short Circuit'!$BK$4),ROW()-5,1)),"")</f>
        <v/>
      </c>
      <c r="B240" s="362" t="str" cm="1">
        <f t="array" ref="B240">IFERROR(IF($A240="","",INDEX(_xlfn.ANCHORARRAY('Short Circuit'!$BK$4),ROW()-5,5)),"")</f>
        <v/>
      </c>
      <c r="C240" s="181" t="str" cm="1">
        <f t="array" ref="C240">IFERROR(IF($A240="","",INDEX(_xlfn.ANCHORARRAY('Short Circuit'!$BK$4),ROW()-5,7)),"")</f>
        <v/>
      </c>
      <c r="D240" s="168" t="str" cm="1">
        <f t="array" ref="D240">IFERROR(IF($A240="","",INDEX(_xlfn.ANCHORARRAY('Short Circuit'!$BK$4),ROW()-5,3)),"")</f>
        <v/>
      </c>
      <c r="E240" s="362" t="str" cm="1">
        <f t="array" ref="E240">IFERROR(IF($A240="","",INDEX(_xlfn.ANCHORARRAY('Short Circuit'!$BK$4),ROW()-5,2)),"")</f>
        <v/>
      </c>
      <c r="F240" s="15" t="str">
        <f>IF($A240="","",IF($C240=0,"— utility service —",IFERROR(_xlfn.XLOOKUP("F-"&amp;$A240,'Short Circuit'!$A$6:$A$255,'Short Circuit'!$G$6:$G$255),IFERROR(_xlfn.XLOOKUP($A240,'Short Circuit'!$A$6:$A$255,'Short Circuit'!$G$6:$G$255),"⚠ no feeder data"))))</f>
        <v/>
      </c>
      <c r="G240" s="78" t="str">
        <f>IF($A240="","",IF($C240=0,0,IFERROR(_xlfn.XLOOKUP("F-"&amp;$A240,'Feeder Schedule'!$B$5:$B$254,'Feeder Schedule'!$U$5:$U$254),"")))</f>
        <v/>
      </c>
      <c r="H240" s="78" t="str">
        <f t="shared" si="14"/>
        <v/>
      </c>
      <c r="I240" s="78" t="str">
        <f t="shared" si="12"/>
        <v/>
      </c>
      <c r="J240" s="78" t="str">
        <f t="shared" si="13"/>
        <v/>
      </c>
      <c r="K240" s="15" t="str">
        <f t="shared" si="15"/>
        <v/>
      </c>
      <c r="L240" s="363"/>
    </row>
    <row r="241" spans="1:12" s="20" customFormat="1" ht="15" customHeight="1" x14ac:dyDescent="0.35">
      <c r="A241" s="15" t="str" cm="1">
        <f t="array" ref="A241">IFERROR(IF(INDEX(_xlfn.ANCHORARRAY('Short Circuit'!$BK$4),ROW()-5,1)="","",INDEX(_xlfn.ANCHORARRAY('Short Circuit'!$BK$4),ROW()-5,1)),"")</f>
        <v/>
      </c>
      <c r="B241" s="362" t="str" cm="1">
        <f t="array" ref="B241">IFERROR(IF($A241="","",INDEX(_xlfn.ANCHORARRAY('Short Circuit'!$BK$4),ROW()-5,5)),"")</f>
        <v/>
      </c>
      <c r="C241" s="181" t="str" cm="1">
        <f t="array" ref="C241">IFERROR(IF($A241="","",INDEX(_xlfn.ANCHORARRAY('Short Circuit'!$BK$4),ROW()-5,7)),"")</f>
        <v/>
      </c>
      <c r="D241" s="168" t="str" cm="1">
        <f t="array" ref="D241">IFERROR(IF($A241="","",INDEX(_xlfn.ANCHORARRAY('Short Circuit'!$BK$4),ROW()-5,3)),"")</f>
        <v/>
      </c>
      <c r="E241" s="362" t="str" cm="1">
        <f t="array" ref="E241">IFERROR(IF($A241="","",INDEX(_xlfn.ANCHORARRAY('Short Circuit'!$BK$4),ROW()-5,2)),"")</f>
        <v/>
      </c>
      <c r="F241" s="15" t="str">
        <f>IF($A241="","",IF($C241=0,"— utility service —",IFERROR(_xlfn.XLOOKUP("F-"&amp;$A241,'Short Circuit'!$A$6:$A$255,'Short Circuit'!$G$6:$G$255),IFERROR(_xlfn.XLOOKUP($A241,'Short Circuit'!$A$6:$A$255,'Short Circuit'!$G$6:$G$255),"⚠ no feeder data"))))</f>
        <v/>
      </c>
      <c r="G241" s="78" t="str">
        <f>IF($A241="","",IF($C241=0,0,IFERROR(_xlfn.XLOOKUP("F-"&amp;$A241,'Feeder Schedule'!$B$5:$B$254,'Feeder Schedule'!$U$5:$U$254),"")))</f>
        <v/>
      </c>
      <c r="H241" s="78" t="str">
        <f t="shared" si="14"/>
        <v/>
      </c>
      <c r="I241" s="78" t="str">
        <f t="shared" si="12"/>
        <v/>
      </c>
      <c r="J241" s="78" t="str">
        <f t="shared" si="13"/>
        <v/>
      </c>
      <c r="K241" s="15" t="str">
        <f t="shared" si="15"/>
        <v/>
      </c>
      <c r="L241" s="363"/>
    </row>
    <row r="242" spans="1:12" s="20" customFormat="1" ht="15" customHeight="1" x14ac:dyDescent="0.35">
      <c r="A242" s="15" t="str" cm="1">
        <f t="array" ref="A242">IFERROR(IF(INDEX(_xlfn.ANCHORARRAY('Short Circuit'!$BK$4),ROW()-5,1)="","",INDEX(_xlfn.ANCHORARRAY('Short Circuit'!$BK$4),ROW()-5,1)),"")</f>
        <v/>
      </c>
      <c r="B242" s="362" t="str" cm="1">
        <f t="array" ref="B242">IFERROR(IF($A242="","",INDEX(_xlfn.ANCHORARRAY('Short Circuit'!$BK$4),ROW()-5,5)),"")</f>
        <v/>
      </c>
      <c r="C242" s="181" t="str" cm="1">
        <f t="array" ref="C242">IFERROR(IF($A242="","",INDEX(_xlfn.ANCHORARRAY('Short Circuit'!$BK$4),ROW()-5,7)),"")</f>
        <v/>
      </c>
      <c r="D242" s="168" t="str" cm="1">
        <f t="array" ref="D242">IFERROR(IF($A242="","",INDEX(_xlfn.ANCHORARRAY('Short Circuit'!$BK$4),ROW()-5,3)),"")</f>
        <v/>
      </c>
      <c r="E242" s="362" t="str" cm="1">
        <f t="array" ref="E242">IFERROR(IF($A242="","",INDEX(_xlfn.ANCHORARRAY('Short Circuit'!$BK$4),ROW()-5,2)),"")</f>
        <v/>
      </c>
      <c r="F242" s="15" t="str">
        <f>IF($A242="","",IF($C242=0,"— utility service —",IFERROR(_xlfn.XLOOKUP("F-"&amp;$A242,'Short Circuit'!$A$6:$A$255,'Short Circuit'!$G$6:$G$255),IFERROR(_xlfn.XLOOKUP($A242,'Short Circuit'!$A$6:$A$255,'Short Circuit'!$G$6:$G$255),"⚠ no feeder data"))))</f>
        <v/>
      </c>
      <c r="G242" s="78" t="str">
        <f>IF($A242="","",IF($C242=0,0,IFERROR(_xlfn.XLOOKUP("F-"&amp;$A242,'Feeder Schedule'!$B$5:$B$254,'Feeder Schedule'!$U$5:$U$254),"")))</f>
        <v/>
      </c>
      <c r="H242" s="78" t="str">
        <f t="shared" si="14"/>
        <v/>
      </c>
      <c r="I242" s="78" t="str">
        <f t="shared" si="12"/>
        <v/>
      </c>
      <c r="J242" s="78" t="str">
        <f t="shared" si="13"/>
        <v/>
      </c>
      <c r="K242" s="15" t="str">
        <f t="shared" si="15"/>
        <v/>
      </c>
      <c r="L242" s="363"/>
    </row>
    <row r="243" spans="1:12" s="20" customFormat="1" ht="15" customHeight="1" x14ac:dyDescent="0.35">
      <c r="A243" s="15" t="str" cm="1">
        <f t="array" ref="A243">IFERROR(IF(INDEX(_xlfn.ANCHORARRAY('Short Circuit'!$BK$4),ROW()-5,1)="","",INDEX(_xlfn.ANCHORARRAY('Short Circuit'!$BK$4),ROW()-5,1)),"")</f>
        <v/>
      </c>
      <c r="B243" s="362" t="str" cm="1">
        <f t="array" ref="B243">IFERROR(IF($A243="","",INDEX(_xlfn.ANCHORARRAY('Short Circuit'!$BK$4),ROW()-5,5)),"")</f>
        <v/>
      </c>
      <c r="C243" s="181" t="str" cm="1">
        <f t="array" ref="C243">IFERROR(IF($A243="","",INDEX(_xlfn.ANCHORARRAY('Short Circuit'!$BK$4),ROW()-5,7)),"")</f>
        <v/>
      </c>
      <c r="D243" s="168" t="str" cm="1">
        <f t="array" ref="D243">IFERROR(IF($A243="","",INDEX(_xlfn.ANCHORARRAY('Short Circuit'!$BK$4),ROW()-5,3)),"")</f>
        <v/>
      </c>
      <c r="E243" s="362" t="str" cm="1">
        <f t="array" ref="E243">IFERROR(IF($A243="","",INDEX(_xlfn.ANCHORARRAY('Short Circuit'!$BK$4),ROW()-5,2)),"")</f>
        <v/>
      </c>
      <c r="F243" s="15" t="str">
        <f>IF($A243="","",IF($C243=0,"— utility service —",IFERROR(_xlfn.XLOOKUP("F-"&amp;$A243,'Short Circuit'!$A$6:$A$255,'Short Circuit'!$G$6:$G$255),IFERROR(_xlfn.XLOOKUP($A243,'Short Circuit'!$A$6:$A$255,'Short Circuit'!$G$6:$G$255),"⚠ no feeder data"))))</f>
        <v/>
      </c>
      <c r="G243" s="78" t="str">
        <f>IF($A243="","",IF($C243=0,0,IFERROR(_xlfn.XLOOKUP("F-"&amp;$A243,'Feeder Schedule'!$B$5:$B$254,'Feeder Schedule'!$U$5:$U$254),"")))</f>
        <v/>
      </c>
      <c r="H243" s="78" t="str">
        <f t="shared" si="14"/>
        <v/>
      </c>
      <c r="I243" s="78" t="str">
        <f t="shared" si="12"/>
        <v/>
      </c>
      <c r="J243" s="78" t="str">
        <f t="shared" si="13"/>
        <v/>
      </c>
      <c r="K243" s="15" t="str">
        <f t="shared" si="15"/>
        <v/>
      </c>
      <c r="L243" s="363"/>
    </row>
    <row r="244" spans="1:12" s="20" customFormat="1" ht="15" customHeight="1" x14ac:dyDescent="0.35">
      <c r="A244" s="15" t="str" cm="1">
        <f t="array" ref="A244">IFERROR(IF(INDEX(_xlfn.ANCHORARRAY('Short Circuit'!$BK$4),ROW()-5,1)="","",INDEX(_xlfn.ANCHORARRAY('Short Circuit'!$BK$4),ROW()-5,1)),"")</f>
        <v/>
      </c>
      <c r="B244" s="362" t="str" cm="1">
        <f t="array" ref="B244">IFERROR(IF($A244="","",INDEX(_xlfn.ANCHORARRAY('Short Circuit'!$BK$4),ROW()-5,5)),"")</f>
        <v/>
      </c>
      <c r="C244" s="181" t="str" cm="1">
        <f t="array" ref="C244">IFERROR(IF($A244="","",INDEX(_xlfn.ANCHORARRAY('Short Circuit'!$BK$4),ROW()-5,7)),"")</f>
        <v/>
      </c>
      <c r="D244" s="168" t="str" cm="1">
        <f t="array" ref="D244">IFERROR(IF($A244="","",INDEX(_xlfn.ANCHORARRAY('Short Circuit'!$BK$4),ROW()-5,3)),"")</f>
        <v/>
      </c>
      <c r="E244" s="362" t="str" cm="1">
        <f t="array" ref="E244">IFERROR(IF($A244="","",INDEX(_xlfn.ANCHORARRAY('Short Circuit'!$BK$4),ROW()-5,2)),"")</f>
        <v/>
      </c>
      <c r="F244" s="15" t="str">
        <f>IF($A244="","",IF($C244=0,"— utility service —",IFERROR(_xlfn.XLOOKUP("F-"&amp;$A244,'Short Circuit'!$A$6:$A$255,'Short Circuit'!$G$6:$G$255),IFERROR(_xlfn.XLOOKUP($A244,'Short Circuit'!$A$6:$A$255,'Short Circuit'!$G$6:$G$255),"⚠ no feeder data"))))</f>
        <v/>
      </c>
      <c r="G244" s="78" t="str">
        <f>IF($A244="","",IF($C244=0,0,IFERROR(_xlfn.XLOOKUP("F-"&amp;$A244,'Feeder Schedule'!$B$5:$B$254,'Feeder Schedule'!$U$5:$U$254),"")))</f>
        <v/>
      </c>
      <c r="H244" s="78" t="str">
        <f t="shared" si="14"/>
        <v/>
      </c>
      <c r="I244" s="78" t="str">
        <f t="shared" si="12"/>
        <v/>
      </c>
      <c r="J244" s="78" t="str">
        <f t="shared" si="13"/>
        <v/>
      </c>
      <c r="K244" s="15" t="str">
        <f t="shared" si="15"/>
        <v/>
      </c>
      <c r="L244" s="363"/>
    </row>
    <row r="245" spans="1:12" s="20" customFormat="1" ht="15" customHeight="1" x14ac:dyDescent="0.35">
      <c r="A245" s="15" t="str" cm="1">
        <f t="array" ref="A245">IFERROR(IF(INDEX(_xlfn.ANCHORARRAY('Short Circuit'!$BK$4),ROW()-5,1)="","",INDEX(_xlfn.ANCHORARRAY('Short Circuit'!$BK$4),ROW()-5,1)),"")</f>
        <v/>
      </c>
      <c r="B245" s="362" t="str" cm="1">
        <f t="array" ref="B245">IFERROR(IF($A245="","",INDEX(_xlfn.ANCHORARRAY('Short Circuit'!$BK$4),ROW()-5,5)),"")</f>
        <v/>
      </c>
      <c r="C245" s="181" t="str" cm="1">
        <f t="array" ref="C245">IFERROR(IF($A245="","",INDEX(_xlfn.ANCHORARRAY('Short Circuit'!$BK$4),ROW()-5,7)),"")</f>
        <v/>
      </c>
      <c r="D245" s="168" t="str" cm="1">
        <f t="array" ref="D245">IFERROR(IF($A245="","",INDEX(_xlfn.ANCHORARRAY('Short Circuit'!$BK$4),ROW()-5,3)),"")</f>
        <v/>
      </c>
      <c r="E245" s="362" t="str" cm="1">
        <f t="array" ref="E245">IFERROR(IF($A245="","",INDEX(_xlfn.ANCHORARRAY('Short Circuit'!$BK$4),ROW()-5,2)),"")</f>
        <v/>
      </c>
      <c r="F245" s="15" t="str">
        <f>IF($A245="","",IF($C245=0,"— utility service —",IFERROR(_xlfn.XLOOKUP("F-"&amp;$A245,'Short Circuit'!$A$6:$A$255,'Short Circuit'!$G$6:$G$255),IFERROR(_xlfn.XLOOKUP($A245,'Short Circuit'!$A$6:$A$255,'Short Circuit'!$G$6:$G$255),"⚠ no feeder data"))))</f>
        <v/>
      </c>
      <c r="G245" s="78" t="str">
        <f>IF($A245="","",IF($C245=0,0,IFERROR(_xlfn.XLOOKUP("F-"&amp;$A245,'Feeder Schedule'!$B$5:$B$254,'Feeder Schedule'!$U$5:$U$254),"")))</f>
        <v/>
      </c>
      <c r="H245" s="78" t="str">
        <f t="shared" si="14"/>
        <v/>
      </c>
      <c r="I245" s="78" t="str">
        <f t="shared" si="12"/>
        <v/>
      </c>
      <c r="J245" s="78" t="str">
        <f t="shared" si="13"/>
        <v/>
      </c>
      <c r="K245" s="15" t="str">
        <f t="shared" si="15"/>
        <v/>
      </c>
      <c r="L245" s="363"/>
    </row>
    <row r="246" spans="1:12" s="20" customFormat="1" ht="15" customHeight="1" x14ac:dyDescent="0.35">
      <c r="A246" s="15" t="str" cm="1">
        <f t="array" ref="A246">IFERROR(IF(INDEX(_xlfn.ANCHORARRAY('Short Circuit'!$BK$4),ROW()-5,1)="","",INDEX(_xlfn.ANCHORARRAY('Short Circuit'!$BK$4),ROW()-5,1)),"")</f>
        <v/>
      </c>
      <c r="B246" s="362" t="str" cm="1">
        <f t="array" ref="B246">IFERROR(IF($A246="","",INDEX(_xlfn.ANCHORARRAY('Short Circuit'!$BK$4),ROW()-5,5)),"")</f>
        <v/>
      </c>
      <c r="C246" s="181" t="str" cm="1">
        <f t="array" ref="C246">IFERROR(IF($A246="","",INDEX(_xlfn.ANCHORARRAY('Short Circuit'!$BK$4),ROW()-5,7)),"")</f>
        <v/>
      </c>
      <c r="D246" s="168" t="str" cm="1">
        <f t="array" ref="D246">IFERROR(IF($A246="","",INDEX(_xlfn.ANCHORARRAY('Short Circuit'!$BK$4),ROW()-5,3)),"")</f>
        <v/>
      </c>
      <c r="E246" s="362" t="str" cm="1">
        <f t="array" ref="E246">IFERROR(IF($A246="","",INDEX(_xlfn.ANCHORARRAY('Short Circuit'!$BK$4),ROW()-5,2)),"")</f>
        <v/>
      </c>
      <c r="F246" s="15" t="str">
        <f>IF($A246="","",IF($C246=0,"— utility service —",IFERROR(_xlfn.XLOOKUP("F-"&amp;$A246,'Short Circuit'!$A$6:$A$255,'Short Circuit'!$G$6:$G$255),IFERROR(_xlfn.XLOOKUP($A246,'Short Circuit'!$A$6:$A$255,'Short Circuit'!$G$6:$G$255),"⚠ no feeder data"))))</f>
        <v/>
      </c>
      <c r="G246" s="78" t="str">
        <f>IF($A246="","",IF($C246=0,0,IFERROR(_xlfn.XLOOKUP("F-"&amp;$A246,'Feeder Schedule'!$B$5:$B$254,'Feeder Schedule'!$U$5:$U$254),"")))</f>
        <v/>
      </c>
      <c r="H246" s="78" t="str">
        <f t="shared" si="14"/>
        <v/>
      </c>
      <c r="I246" s="78" t="str">
        <f t="shared" si="12"/>
        <v/>
      </c>
      <c r="J246" s="78" t="str">
        <f t="shared" si="13"/>
        <v/>
      </c>
      <c r="K246" s="15" t="str">
        <f t="shared" si="15"/>
        <v/>
      </c>
      <c r="L246" s="363"/>
    </row>
    <row r="247" spans="1:12" s="20" customFormat="1" ht="15" customHeight="1" x14ac:dyDescent="0.35">
      <c r="A247" s="15" t="str" cm="1">
        <f t="array" ref="A247">IFERROR(IF(INDEX(_xlfn.ANCHORARRAY('Short Circuit'!$BK$4),ROW()-5,1)="","",INDEX(_xlfn.ANCHORARRAY('Short Circuit'!$BK$4),ROW()-5,1)),"")</f>
        <v/>
      </c>
      <c r="B247" s="362" t="str" cm="1">
        <f t="array" ref="B247">IFERROR(IF($A247="","",INDEX(_xlfn.ANCHORARRAY('Short Circuit'!$BK$4),ROW()-5,5)),"")</f>
        <v/>
      </c>
      <c r="C247" s="181" t="str" cm="1">
        <f t="array" ref="C247">IFERROR(IF($A247="","",INDEX(_xlfn.ANCHORARRAY('Short Circuit'!$BK$4),ROW()-5,7)),"")</f>
        <v/>
      </c>
      <c r="D247" s="168" t="str" cm="1">
        <f t="array" ref="D247">IFERROR(IF($A247="","",INDEX(_xlfn.ANCHORARRAY('Short Circuit'!$BK$4),ROW()-5,3)),"")</f>
        <v/>
      </c>
      <c r="E247" s="362" t="str" cm="1">
        <f t="array" ref="E247">IFERROR(IF($A247="","",INDEX(_xlfn.ANCHORARRAY('Short Circuit'!$BK$4),ROW()-5,2)),"")</f>
        <v/>
      </c>
      <c r="F247" s="15" t="str">
        <f>IF($A247="","",IF($C247=0,"— utility service —",IFERROR(_xlfn.XLOOKUP("F-"&amp;$A247,'Short Circuit'!$A$6:$A$255,'Short Circuit'!$G$6:$G$255),IFERROR(_xlfn.XLOOKUP($A247,'Short Circuit'!$A$6:$A$255,'Short Circuit'!$G$6:$G$255),"⚠ no feeder data"))))</f>
        <v/>
      </c>
      <c r="G247" s="78" t="str">
        <f>IF($A247="","",IF($C247=0,0,IFERROR(_xlfn.XLOOKUP("F-"&amp;$A247,'Feeder Schedule'!$B$5:$B$254,'Feeder Schedule'!$U$5:$U$254),"")))</f>
        <v/>
      </c>
      <c r="H247" s="78" t="str">
        <f t="shared" si="14"/>
        <v/>
      </c>
      <c r="I247" s="78" t="str">
        <f t="shared" si="12"/>
        <v/>
      </c>
      <c r="J247" s="78" t="str">
        <f t="shared" si="13"/>
        <v/>
      </c>
      <c r="K247" s="15" t="str">
        <f t="shared" si="15"/>
        <v/>
      </c>
      <c r="L247" s="363"/>
    </row>
    <row r="248" spans="1:12" s="20" customFormat="1" ht="15" customHeight="1" x14ac:dyDescent="0.35">
      <c r="A248" s="15" t="str" cm="1">
        <f t="array" ref="A248">IFERROR(IF(INDEX(_xlfn.ANCHORARRAY('Short Circuit'!$BK$4),ROW()-5,1)="","",INDEX(_xlfn.ANCHORARRAY('Short Circuit'!$BK$4),ROW()-5,1)),"")</f>
        <v/>
      </c>
      <c r="B248" s="362" t="str" cm="1">
        <f t="array" ref="B248">IFERROR(IF($A248="","",INDEX(_xlfn.ANCHORARRAY('Short Circuit'!$BK$4),ROW()-5,5)),"")</f>
        <v/>
      </c>
      <c r="C248" s="181" t="str" cm="1">
        <f t="array" ref="C248">IFERROR(IF($A248="","",INDEX(_xlfn.ANCHORARRAY('Short Circuit'!$BK$4),ROW()-5,7)),"")</f>
        <v/>
      </c>
      <c r="D248" s="168" t="str" cm="1">
        <f t="array" ref="D248">IFERROR(IF($A248="","",INDEX(_xlfn.ANCHORARRAY('Short Circuit'!$BK$4),ROW()-5,3)),"")</f>
        <v/>
      </c>
      <c r="E248" s="362" t="str" cm="1">
        <f t="array" ref="E248">IFERROR(IF($A248="","",INDEX(_xlfn.ANCHORARRAY('Short Circuit'!$BK$4),ROW()-5,2)),"")</f>
        <v/>
      </c>
      <c r="F248" s="15" t="str">
        <f>IF($A248="","",IF($C248=0,"— utility service —",IFERROR(_xlfn.XLOOKUP("F-"&amp;$A248,'Short Circuit'!$A$6:$A$255,'Short Circuit'!$G$6:$G$255),IFERROR(_xlfn.XLOOKUP($A248,'Short Circuit'!$A$6:$A$255,'Short Circuit'!$G$6:$G$255),"⚠ no feeder data"))))</f>
        <v/>
      </c>
      <c r="G248" s="78" t="str">
        <f>IF($A248="","",IF($C248=0,0,IFERROR(_xlfn.XLOOKUP("F-"&amp;$A248,'Feeder Schedule'!$B$5:$B$254,'Feeder Schedule'!$U$5:$U$254),"")))</f>
        <v/>
      </c>
      <c r="H248" s="78" t="str">
        <f t="shared" si="14"/>
        <v/>
      </c>
      <c r="I248" s="78" t="str">
        <f t="shared" si="12"/>
        <v/>
      </c>
      <c r="J248" s="78" t="str">
        <f t="shared" si="13"/>
        <v/>
      </c>
      <c r="K248" s="15" t="str">
        <f t="shared" si="15"/>
        <v/>
      </c>
      <c r="L248" s="363"/>
    </row>
    <row r="249" spans="1:12" s="20" customFormat="1" ht="15" customHeight="1" x14ac:dyDescent="0.35">
      <c r="A249" s="15" t="str" cm="1">
        <f t="array" ref="A249">IFERROR(IF(INDEX(_xlfn.ANCHORARRAY('Short Circuit'!$BK$4),ROW()-5,1)="","",INDEX(_xlfn.ANCHORARRAY('Short Circuit'!$BK$4),ROW()-5,1)),"")</f>
        <v/>
      </c>
      <c r="B249" s="362" t="str" cm="1">
        <f t="array" ref="B249">IFERROR(IF($A249="","",INDEX(_xlfn.ANCHORARRAY('Short Circuit'!$BK$4),ROW()-5,5)),"")</f>
        <v/>
      </c>
      <c r="C249" s="181" t="str" cm="1">
        <f t="array" ref="C249">IFERROR(IF($A249="","",INDEX(_xlfn.ANCHORARRAY('Short Circuit'!$BK$4),ROW()-5,7)),"")</f>
        <v/>
      </c>
      <c r="D249" s="168" t="str" cm="1">
        <f t="array" ref="D249">IFERROR(IF($A249="","",INDEX(_xlfn.ANCHORARRAY('Short Circuit'!$BK$4),ROW()-5,3)),"")</f>
        <v/>
      </c>
      <c r="E249" s="362" t="str" cm="1">
        <f t="array" ref="E249">IFERROR(IF($A249="","",INDEX(_xlfn.ANCHORARRAY('Short Circuit'!$BK$4),ROW()-5,2)),"")</f>
        <v/>
      </c>
      <c r="F249" s="15" t="str">
        <f>IF($A249="","",IF($C249=0,"— utility service —",IFERROR(_xlfn.XLOOKUP("F-"&amp;$A249,'Short Circuit'!$A$6:$A$255,'Short Circuit'!$G$6:$G$255),IFERROR(_xlfn.XLOOKUP($A249,'Short Circuit'!$A$6:$A$255,'Short Circuit'!$G$6:$G$255),"⚠ no feeder data"))))</f>
        <v/>
      </c>
      <c r="G249" s="78" t="str">
        <f>IF($A249="","",IF($C249=0,0,IFERROR(_xlfn.XLOOKUP("F-"&amp;$A249,'Feeder Schedule'!$B$5:$B$254,'Feeder Schedule'!$U$5:$U$254),"")))</f>
        <v/>
      </c>
      <c r="H249" s="78" t="str">
        <f t="shared" si="14"/>
        <v/>
      </c>
      <c r="I249" s="78" t="str">
        <f t="shared" si="12"/>
        <v/>
      </c>
      <c r="J249" s="78" t="str">
        <f t="shared" si="13"/>
        <v/>
      </c>
      <c r="K249" s="15" t="str">
        <f t="shared" si="15"/>
        <v/>
      </c>
      <c r="L249" s="363"/>
    </row>
    <row r="250" spans="1:12" s="20" customFormat="1" ht="15" customHeight="1" x14ac:dyDescent="0.35">
      <c r="A250" s="15" t="str" cm="1">
        <f t="array" ref="A250">IFERROR(IF(INDEX(_xlfn.ANCHORARRAY('Short Circuit'!$BK$4),ROW()-5,1)="","",INDEX(_xlfn.ANCHORARRAY('Short Circuit'!$BK$4),ROW()-5,1)),"")</f>
        <v/>
      </c>
      <c r="B250" s="362" t="str" cm="1">
        <f t="array" ref="B250">IFERROR(IF($A250="","",INDEX(_xlfn.ANCHORARRAY('Short Circuit'!$BK$4),ROW()-5,5)),"")</f>
        <v/>
      </c>
      <c r="C250" s="181" t="str" cm="1">
        <f t="array" ref="C250">IFERROR(IF($A250="","",INDEX(_xlfn.ANCHORARRAY('Short Circuit'!$BK$4),ROW()-5,7)),"")</f>
        <v/>
      </c>
      <c r="D250" s="168" t="str" cm="1">
        <f t="array" ref="D250">IFERROR(IF($A250="","",INDEX(_xlfn.ANCHORARRAY('Short Circuit'!$BK$4),ROW()-5,3)),"")</f>
        <v/>
      </c>
      <c r="E250" s="362" t="str" cm="1">
        <f t="array" ref="E250">IFERROR(IF($A250="","",INDEX(_xlfn.ANCHORARRAY('Short Circuit'!$BK$4),ROW()-5,2)),"")</f>
        <v/>
      </c>
      <c r="F250" s="15" t="str">
        <f>IF($A250="","",IF($C250=0,"— utility service —",IFERROR(_xlfn.XLOOKUP("F-"&amp;$A250,'Short Circuit'!$A$6:$A$255,'Short Circuit'!$G$6:$G$255),IFERROR(_xlfn.XLOOKUP($A250,'Short Circuit'!$A$6:$A$255,'Short Circuit'!$G$6:$G$255),"⚠ no feeder data"))))</f>
        <v/>
      </c>
      <c r="G250" s="78" t="str">
        <f>IF($A250="","",IF($C250=0,0,IFERROR(_xlfn.XLOOKUP("F-"&amp;$A250,'Feeder Schedule'!$B$5:$B$254,'Feeder Schedule'!$U$5:$U$254),"")))</f>
        <v/>
      </c>
      <c r="H250" s="78" t="str">
        <f t="shared" si="14"/>
        <v/>
      </c>
      <c r="I250" s="78" t="str">
        <f t="shared" si="12"/>
        <v/>
      </c>
      <c r="J250" s="78" t="str">
        <f t="shared" si="13"/>
        <v/>
      </c>
      <c r="K250" s="15" t="str">
        <f t="shared" si="15"/>
        <v/>
      </c>
      <c r="L250" s="363"/>
    </row>
    <row r="251" spans="1:12" ht="15" customHeight="1" x14ac:dyDescent="0.45">
      <c r="A251" s="275" t="str" cm="1">
        <f t="array" ref="A251">IFERROR(IF(INDEX(_xlfn.ANCHORARRAY('Short Circuit'!$BK$4),ROW()-5,1)="","",INDEX(_xlfn.ANCHORARRAY('Short Circuit'!$BK$4),ROW()-5,1)),"")</f>
        <v/>
      </c>
      <c r="B251" s="25" t="str" cm="1">
        <f t="array" ref="B251">IFERROR(IF($A251="","",INDEX(_xlfn.ANCHORARRAY('Short Circuit'!$BK$4),ROW()-5,5)),"")</f>
        <v/>
      </c>
      <c r="C251" s="178" t="str" cm="1">
        <f t="array" ref="C251">IFERROR(IF($A251="","",INDEX(_xlfn.ANCHORARRAY('Short Circuit'!$BK$4),ROW()-5,7)),"")</f>
        <v/>
      </c>
      <c r="D251" s="177" t="str" cm="1">
        <f t="array" ref="D251">IFERROR(IF($A251="","",INDEX(_xlfn.ANCHORARRAY('Short Circuit'!$BK$4),ROW()-5,3)),"")</f>
        <v/>
      </c>
      <c r="E251" s="25" t="str" cm="1">
        <f t="array" ref="E251">IFERROR(IF($A251="","",INDEX(_xlfn.ANCHORARRAY('Short Circuit'!$BK$4),ROW()-5,2)),"")</f>
        <v/>
      </c>
      <c r="F251" s="275" t="str">
        <f>IF($A251="","",IF($C251=0,"— utility service —",IFERROR(_xlfn.XLOOKUP("F-"&amp;$A251,'Short Circuit'!$A$6:$A$255,'Short Circuit'!$G$6:$G$255),IFERROR(_xlfn.XLOOKUP($A251,'Short Circuit'!$A$6:$A$255,'Short Circuit'!$G$6:$G$255),"⚠ no feeder data"))))</f>
        <v/>
      </c>
      <c r="G251" s="179" t="str">
        <f>IF($A251="","",IF($C251=0,0,IFERROR(_xlfn.XLOOKUP("F-"&amp;$A251,'Feeder Schedule'!$B$5:$B$254,'Feeder Schedule'!$U$5:$U$254),"")))</f>
        <v/>
      </c>
      <c r="H251" s="179" t="str">
        <f t="shared" si="14"/>
        <v/>
      </c>
      <c r="I251" s="179" t="str">
        <f t="shared" si="12"/>
        <v/>
      </c>
      <c r="J251" s="179" t="str">
        <f t="shared" si="13"/>
        <v/>
      </c>
      <c r="K251" s="275" t="str">
        <f t="shared" si="15"/>
        <v/>
      </c>
      <c r="L251" s="364"/>
    </row>
    <row r="252" spans="1:12" ht="15" customHeight="1" x14ac:dyDescent="0.45">
      <c r="A252" s="275" t="str" cm="1">
        <f t="array" ref="A252">IFERROR(IF(INDEX(_xlfn.ANCHORARRAY('Short Circuit'!$BK$4),ROW()-5,1)="","",INDEX(_xlfn.ANCHORARRAY('Short Circuit'!$BK$4),ROW()-5,1)),"")</f>
        <v/>
      </c>
      <c r="B252" s="25" t="str" cm="1">
        <f t="array" ref="B252">IFERROR(IF($A252="","",INDEX(_xlfn.ANCHORARRAY('Short Circuit'!$BK$4),ROW()-5,5)),"")</f>
        <v/>
      </c>
      <c r="C252" s="178" t="str" cm="1">
        <f t="array" ref="C252">IFERROR(IF($A252="","",INDEX(_xlfn.ANCHORARRAY('Short Circuit'!$BK$4),ROW()-5,7)),"")</f>
        <v/>
      </c>
      <c r="D252" s="177" t="str" cm="1">
        <f t="array" ref="D252">IFERROR(IF($A252="","",INDEX(_xlfn.ANCHORARRAY('Short Circuit'!$BK$4),ROW()-5,3)),"")</f>
        <v/>
      </c>
      <c r="E252" s="25" t="str" cm="1">
        <f t="array" ref="E252">IFERROR(IF($A252="","",INDEX(_xlfn.ANCHORARRAY('Short Circuit'!$BK$4),ROW()-5,2)),"")</f>
        <v/>
      </c>
      <c r="F252" s="275" t="str">
        <f>IF($A252="","",IF($C252=0,"— utility service —",IFERROR(_xlfn.XLOOKUP("F-"&amp;$A252,'Short Circuit'!$A$6:$A$255,'Short Circuit'!$G$6:$G$255),IFERROR(_xlfn.XLOOKUP($A252,'Short Circuit'!$A$6:$A$255,'Short Circuit'!$G$6:$G$255),"⚠ no feeder data"))))</f>
        <v/>
      </c>
      <c r="G252" s="179" t="str">
        <f>IF($A252="","",IF($C252=0,0,IFERROR(_xlfn.XLOOKUP("F-"&amp;$A252,'Feeder Schedule'!$B$5:$B$254,'Feeder Schedule'!$U$5:$U$254),"")))</f>
        <v/>
      </c>
      <c r="H252" s="179" t="str">
        <f t="shared" si="14"/>
        <v/>
      </c>
      <c r="I252" s="179" t="str">
        <f t="shared" si="12"/>
        <v/>
      </c>
      <c r="J252" s="179" t="str">
        <f t="shared" si="13"/>
        <v/>
      </c>
      <c r="K252" s="275" t="str">
        <f t="shared" si="15"/>
        <v/>
      </c>
      <c r="L252" s="364"/>
    </row>
    <row r="253" spans="1:12" ht="15" customHeight="1" x14ac:dyDescent="0.45">
      <c r="A253" s="275" t="str" cm="1">
        <f t="array" ref="A253">IFERROR(IF(INDEX(_xlfn.ANCHORARRAY('Short Circuit'!$BK$4),ROW()-5,1)="","",INDEX(_xlfn.ANCHORARRAY('Short Circuit'!$BK$4),ROW()-5,1)),"")</f>
        <v/>
      </c>
      <c r="B253" s="25" t="str" cm="1">
        <f t="array" ref="B253">IFERROR(IF($A253="","",INDEX(_xlfn.ANCHORARRAY('Short Circuit'!$BK$4),ROW()-5,5)),"")</f>
        <v/>
      </c>
      <c r="C253" s="178" t="str" cm="1">
        <f t="array" ref="C253">IFERROR(IF($A253="","",INDEX(_xlfn.ANCHORARRAY('Short Circuit'!$BK$4),ROW()-5,7)),"")</f>
        <v/>
      </c>
      <c r="D253" s="177" t="str" cm="1">
        <f t="array" ref="D253">IFERROR(IF($A253="","",INDEX(_xlfn.ANCHORARRAY('Short Circuit'!$BK$4),ROW()-5,3)),"")</f>
        <v/>
      </c>
      <c r="E253" s="25" t="str" cm="1">
        <f t="array" ref="E253">IFERROR(IF($A253="","",INDEX(_xlfn.ANCHORARRAY('Short Circuit'!$BK$4),ROW()-5,2)),"")</f>
        <v/>
      </c>
      <c r="F253" s="275" t="str">
        <f>IF($A253="","",IF($C253=0,"— utility service —",IFERROR(_xlfn.XLOOKUP("F-"&amp;$A253,'Short Circuit'!$A$6:$A$255,'Short Circuit'!$G$6:$G$255),IFERROR(_xlfn.XLOOKUP($A253,'Short Circuit'!$A$6:$A$255,'Short Circuit'!$G$6:$G$255),"⚠ no feeder data"))))</f>
        <v/>
      </c>
      <c r="G253" s="179" t="str">
        <f>IF($A253="","",IF($C253=0,0,IFERROR(_xlfn.XLOOKUP("F-"&amp;$A253,'Feeder Schedule'!$B$5:$B$254,'Feeder Schedule'!$U$5:$U$254),"")))</f>
        <v/>
      </c>
      <c r="H253" s="179" t="str">
        <f t="shared" si="14"/>
        <v/>
      </c>
      <c r="I253" s="179" t="str">
        <f t="shared" si="12"/>
        <v/>
      </c>
      <c r="J253" s="179" t="str">
        <f t="shared" si="13"/>
        <v/>
      </c>
      <c r="K253" s="275" t="str">
        <f t="shared" si="15"/>
        <v/>
      </c>
      <c r="L253" s="364"/>
    </row>
    <row r="254" spans="1:12" ht="15" customHeight="1" x14ac:dyDescent="0.45">
      <c r="A254" s="275" t="str" cm="1">
        <f t="array" ref="A254">IFERROR(IF(INDEX(_xlfn.ANCHORARRAY('Short Circuit'!$BK$4),ROW()-5,1)="","",INDEX(_xlfn.ANCHORARRAY('Short Circuit'!$BK$4),ROW()-5,1)),"")</f>
        <v/>
      </c>
      <c r="B254" s="25" t="str" cm="1">
        <f t="array" ref="B254">IFERROR(IF($A254="","",INDEX(_xlfn.ANCHORARRAY('Short Circuit'!$BK$4),ROW()-5,5)),"")</f>
        <v/>
      </c>
      <c r="C254" s="178" t="str" cm="1">
        <f t="array" ref="C254">IFERROR(IF($A254="","",INDEX(_xlfn.ANCHORARRAY('Short Circuit'!$BK$4),ROW()-5,7)),"")</f>
        <v/>
      </c>
      <c r="D254" s="177" t="str" cm="1">
        <f t="array" ref="D254">IFERROR(IF($A254="","",INDEX(_xlfn.ANCHORARRAY('Short Circuit'!$BK$4),ROW()-5,3)),"")</f>
        <v/>
      </c>
      <c r="E254" s="25" t="str" cm="1">
        <f t="array" ref="E254">IFERROR(IF($A254="","",INDEX(_xlfn.ANCHORARRAY('Short Circuit'!$BK$4),ROW()-5,2)),"")</f>
        <v/>
      </c>
      <c r="F254" s="275" t="str">
        <f>IF($A254="","",IF($C254=0,"— utility service —",IFERROR(_xlfn.XLOOKUP("F-"&amp;$A254,'Short Circuit'!$A$6:$A$255,'Short Circuit'!$G$6:$G$255),IFERROR(_xlfn.XLOOKUP($A254,'Short Circuit'!$A$6:$A$255,'Short Circuit'!$G$6:$G$255),"⚠ no feeder data"))))</f>
        <v/>
      </c>
      <c r="G254" s="179" t="str">
        <f>IF($A254="","",IF($C254=0,0,IFERROR(_xlfn.XLOOKUP("F-"&amp;$A254,'Feeder Schedule'!$B$5:$B$254,'Feeder Schedule'!$U$5:$U$254),"")))</f>
        <v/>
      </c>
      <c r="H254" s="179" t="str">
        <f t="shared" si="14"/>
        <v/>
      </c>
      <c r="I254" s="179" t="str">
        <f t="shared" si="12"/>
        <v/>
      </c>
      <c r="J254" s="179" t="str">
        <f t="shared" si="13"/>
        <v/>
      </c>
      <c r="K254" s="275" t="str">
        <f t="shared" si="15"/>
        <v/>
      </c>
      <c r="L254" s="364"/>
    </row>
    <row r="255" spans="1:12" ht="15" customHeight="1" x14ac:dyDescent="0.45">
      <c r="A255" s="275" t="str" cm="1">
        <f t="array" ref="A255">IFERROR(IF(INDEX(_xlfn.ANCHORARRAY('Short Circuit'!$BK$4),ROW()-5,1)="","",INDEX(_xlfn.ANCHORARRAY('Short Circuit'!$BK$4),ROW()-5,1)),"")</f>
        <v/>
      </c>
      <c r="B255" s="25" t="str" cm="1">
        <f t="array" ref="B255">IFERROR(IF($A255="","",INDEX(_xlfn.ANCHORARRAY('Short Circuit'!$BK$4),ROW()-5,5)),"")</f>
        <v/>
      </c>
      <c r="C255" s="178" t="str" cm="1">
        <f t="array" ref="C255">IFERROR(IF($A255="","",INDEX(_xlfn.ANCHORARRAY('Short Circuit'!$BK$4),ROW()-5,7)),"")</f>
        <v/>
      </c>
      <c r="D255" s="177" t="str" cm="1">
        <f t="array" ref="D255">IFERROR(IF($A255="","",INDEX(_xlfn.ANCHORARRAY('Short Circuit'!$BK$4),ROW()-5,3)),"")</f>
        <v/>
      </c>
      <c r="E255" s="25" t="str" cm="1">
        <f t="array" ref="E255">IFERROR(IF($A255="","",INDEX(_xlfn.ANCHORARRAY('Short Circuit'!$BK$4),ROW()-5,2)),"")</f>
        <v/>
      </c>
      <c r="F255" s="275" t="str">
        <f>IF($A255="","",IF($C255=0,"— utility service —",IFERROR(_xlfn.XLOOKUP("F-"&amp;$A255,'Short Circuit'!$A$6:$A$255,'Short Circuit'!$G$6:$G$255),IFERROR(_xlfn.XLOOKUP($A255,'Short Circuit'!$A$6:$A$255,'Short Circuit'!$G$6:$G$255),"⚠ no feeder data"))))</f>
        <v/>
      </c>
      <c r="G255" s="179" t="str">
        <f>IF($A255="","",IF($C255=0,0,IFERROR(_xlfn.XLOOKUP("F-"&amp;$A255,'Feeder Schedule'!$B$5:$B$254,'Feeder Schedule'!$U$5:$U$254),"")))</f>
        <v/>
      </c>
      <c r="H255" s="179" t="str">
        <f t="shared" si="14"/>
        <v/>
      </c>
      <c r="I255" s="179" t="str">
        <f t="shared" si="12"/>
        <v/>
      </c>
      <c r="J255" s="179" t="str">
        <f t="shared" si="13"/>
        <v/>
      </c>
      <c r="K255" s="275" t="str">
        <f t="shared" si="15"/>
        <v/>
      </c>
      <c r="L255" s="364"/>
    </row>
    <row r="258" spans="1:12" x14ac:dyDescent="0.45">
      <c r="A258" s="714" t="s">
        <v>1406</v>
      </c>
      <c r="B258" s="713"/>
      <c r="C258" s="713"/>
      <c r="D258" s="713"/>
      <c r="E258" s="713"/>
      <c r="F258" s="713"/>
      <c r="G258" s="713"/>
      <c r="H258" s="713"/>
      <c r="I258" s="713"/>
      <c r="J258" s="713"/>
      <c r="K258" s="713"/>
      <c r="L258" s="713"/>
    </row>
    <row r="259" spans="1:12" x14ac:dyDescent="0.45">
      <c r="A259" s="713" t="s">
        <v>1418</v>
      </c>
      <c r="B259" s="713"/>
      <c r="C259" s="713"/>
      <c r="D259" s="713"/>
      <c r="E259" s="713"/>
      <c r="F259" s="713"/>
      <c r="G259" s="713"/>
      <c r="H259" s="713"/>
      <c r="I259" s="713"/>
      <c r="J259" s="713"/>
      <c r="K259" s="713"/>
      <c r="L259" s="713"/>
    </row>
    <row r="260" spans="1:12" x14ac:dyDescent="0.45">
      <c r="A260" s="713" t="str" cm="1">
        <f t="array" ref="A260">"Cumulative %VD at a bus = the parent bus cumulative + this feeder's run. Because rows are ordered by tier, each parent is already resolved above its child. Limits are the informational-note recommendations of NEC "&amp;NECREF("210.19")&amp;"(A)(1) and "&amp;NECREF("215.2")&amp;"(A)(1) — 3% feeder, 5% total — and are design guidance rather than mandatory, so they are flagged rather than enforced. Motor-load and branch-circuit drop beyond the last panel is not included here; add it against the 5% total using the cum"&amp;"ulative figure at that panel as the starting point."</f>
        <v>Cumulative %VD at a bus = the parent bus cumulative + this feeder's run. Because rows are ordered by tier, each parent is already resolved above its child. Limits are the informational-note recommendations of NEC 210.19(A)(1) and 215.2(A)(1) — 3% feeder, 5% total — and are design guidance rather than mandatory, so they are flagged rather than enforced. Motor-load and branch-circuit drop beyond the last panel is not included here; add it against the 5% total using the cumulative figure at that panel as the starting point.</v>
      </c>
      <c r="B260" s="713"/>
      <c r="C260" s="713"/>
      <c r="D260" s="713"/>
      <c r="E260" s="713"/>
      <c r="F260" s="713"/>
      <c r="G260" s="713"/>
      <c r="H260" s="713"/>
      <c r="I260" s="713"/>
      <c r="J260" s="713"/>
      <c r="K260" s="713"/>
      <c r="L260" s="713"/>
    </row>
    <row r="300" spans="1:14" x14ac:dyDescent="0.45">
      <c r="A300"/>
      <c r="B300"/>
      <c r="C300"/>
      <c r="D300"/>
      <c r="E300"/>
      <c r="F300"/>
      <c r="G300"/>
      <c r="H300"/>
      <c r="I300"/>
      <c r="J300"/>
      <c r="K300"/>
      <c r="L300"/>
      <c r="N300"/>
    </row>
    <row r="301" spans="1:14" x14ac:dyDescent="0.45">
      <c r="N301"/>
    </row>
    <row r="302" spans="1:14" x14ac:dyDescent="0.45">
      <c r="N302"/>
    </row>
    <row r="303" spans="1:14" x14ac:dyDescent="0.45">
      <c r="N303"/>
    </row>
  </sheetData>
  <sheetProtection sheet="1" objects="1" scenarios="1"/>
  <mergeCells count="20">
    <mergeCell ref="A258:L258"/>
    <mergeCell ref="A259:L259"/>
    <mergeCell ref="A260:L260"/>
    <mergeCell ref="I4:I5"/>
    <mergeCell ref="J4:J5"/>
    <mergeCell ref="K4:K5"/>
    <mergeCell ref="L4:L5"/>
    <mergeCell ref="A1:J1"/>
    <mergeCell ref="A4:A5"/>
    <mergeCell ref="B4:B5"/>
    <mergeCell ref="C4:C5"/>
    <mergeCell ref="D4:D5"/>
    <mergeCell ref="E4:E5"/>
    <mergeCell ref="F4:F5"/>
    <mergeCell ref="G4:G5"/>
    <mergeCell ref="H4:H5"/>
    <mergeCell ref="A2:L2"/>
    <mergeCell ref="A3:E3"/>
    <mergeCell ref="F3:H3"/>
    <mergeCell ref="I3:L3"/>
  </mergeCells>
  <conditionalFormatting sqref="A6:L255">
    <cfRule type="expression" dxfId="40" priority="7">
      <formula>OR($A6&lt;&gt;"",ROW()=6)</formula>
    </cfRule>
  </conditionalFormatting>
  <conditionalFormatting sqref="L6:L255">
    <cfRule type="expression" dxfId="39" priority="8">
      <formula>OR($A6&lt;&gt;"",ROW()=6)</formula>
    </cfRule>
  </conditionalFormatting>
  <conditionalFormatting sqref="K6:K255">
    <cfRule type="expression" dxfId="38" priority="9">
      <formula>AND($A6&lt;&gt;"",LEFT($K6,1)="⚠")</formula>
    </cfRule>
  </conditionalFormatting>
  <conditionalFormatting sqref="A6:L255">
    <cfRule type="expression" dxfId="37" priority="5">
      <formula>AND($A6&lt;&gt;"",LEFT($K6,4)="FAIL")</formula>
    </cfRule>
  </conditionalFormatting>
  <pageMargins left="0.7" right="0.7" top="0.75" bottom="0.75" header="0.3" footer="0.3"/>
  <pageSetup scale="2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552B-4B6E-42A8-8059-2EBA1924E374}">
  <sheetPr codeName="Sheet17">
    <tabColor rgb="FF4DAB51"/>
    <pageSetUpPr fitToPage="1"/>
  </sheetPr>
  <dimension ref="A1:Q201"/>
  <sheetViews>
    <sheetView showGridLines="0" showRowColHeaders="0" workbookViewId="0">
      <pane ySplit="2" topLeftCell="A3" activePane="bottomLeft" state="frozen"/>
      <selection pane="bottomLeft" sqref="A1:Q1"/>
    </sheetView>
  </sheetViews>
  <sheetFormatPr defaultColWidth="9.1796875" defaultRowHeight="16.5" x14ac:dyDescent="0.45"/>
  <cols>
    <col min="1" max="14" width="15.7265625" style="8" customWidth="1"/>
    <col min="15" max="15" width="34.7265625" style="8" customWidth="1"/>
    <col min="16" max="17" width="45.7265625" style="8" customWidth="1"/>
    <col min="18" max="16384" width="9.1796875" style="8"/>
  </cols>
  <sheetData>
    <row r="1" spans="1:17" ht="30" customHeight="1" x14ac:dyDescent="0.45">
      <c r="A1" s="716" t="s">
        <v>357</v>
      </c>
      <c r="B1" s="716"/>
      <c r="C1" s="716"/>
      <c r="D1" s="716"/>
      <c r="E1" s="716"/>
      <c r="F1" s="716"/>
      <c r="G1" s="716"/>
      <c r="H1" s="716"/>
      <c r="I1" s="716"/>
      <c r="J1" s="716"/>
      <c r="K1" s="716"/>
      <c r="L1" s="716"/>
      <c r="M1" s="716"/>
      <c r="N1" s="716"/>
      <c r="O1" s="716"/>
      <c r="P1" s="716"/>
      <c r="Q1" s="716"/>
    </row>
    <row r="2" spans="1:17" s="49" customFormat="1" ht="15" customHeight="1" x14ac:dyDescent="0.35">
      <c r="A2" s="32"/>
      <c r="B2" s="23" t="s">
        <v>254</v>
      </c>
      <c r="C2" s="717" t="str">
        <f>IF(Dashboard!B7="","—",Dashboard!B7)</f>
        <v>—</v>
      </c>
      <c r="D2" s="717"/>
      <c r="E2" s="717"/>
      <c r="F2" s="32"/>
      <c r="G2" s="32"/>
      <c r="H2" s="32"/>
      <c r="I2" s="32"/>
      <c r="J2" s="32"/>
      <c r="K2" s="32"/>
      <c r="L2" s="32"/>
      <c r="M2" s="32"/>
      <c r="N2" s="32"/>
      <c r="O2" s="32"/>
      <c r="P2" s="32"/>
      <c r="Q2" s="32"/>
    </row>
    <row r="3" spans="1:17" ht="15" customHeight="1" x14ac:dyDescent="0.45">
      <c r="A3" s="9"/>
      <c r="B3" s="9"/>
      <c r="C3" s="9"/>
      <c r="D3" s="9"/>
      <c r="E3" s="9"/>
      <c r="F3" s="9"/>
      <c r="G3" s="9"/>
      <c r="H3" s="9"/>
      <c r="I3" s="9"/>
      <c r="J3" s="9"/>
      <c r="K3" s="9"/>
      <c r="L3" s="9"/>
      <c r="M3" s="9"/>
      <c r="N3" s="9"/>
      <c r="O3" s="9"/>
      <c r="P3" s="9"/>
      <c r="Q3" s="9"/>
    </row>
    <row r="4" spans="1:17" ht="30" customHeight="1" x14ac:dyDescent="0.45">
      <c r="A4" s="718" t="s">
        <v>358</v>
      </c>
      <c r="B4" s="718"/>
      <c r="C4" s="718"/>
      <c r="D4" s="718"/>
      <c r="E4" s="718"/>
      <c r="F4" s="718"/>
      <c r="G4" s="718"/>
      <c r="H4" s="718"/>
      <c r="I4" s="718"/>
      <c r="J4" s="718"/>
      <c r="K4" s="718"/>
      <c r="L4" s="718"/>
      <c r="M4" s="718"/>
      <c r="N4" s="718"/>
      <c r="O4" s="718"/>
      <c r="P4" s="718"/>
      <c r="Q4" s="718"/>
    </row>
    <row r="5" spans="1:17" ht="15" customHeight="1" x14ac:dyDescent="0.45">
      <c r="A5" s="44"/>
      <c r="B5" s="44"/>
      <c r="C5" s="44"/>
      <c r="D5" s="44"/>
      <c r="E5" s="44"/>
      <c r="F5" s="44"/>
      <c r="G5" s="44"/>
      <c r="H5" s="44"/>
      <c r="I5" s="44"/>
      <c r="J5" s="44"/>
      <c r="K5" s="44"/>
      <c r="L5" s="44"/>
      <c r="M5" s="44"/>
      <c r="N5" s="44"/>
      <c r="O5" s="44"/>
      <c r="P5" s="44"/>
      <c r="Q5" s="44"/>
    </row>
    <row r="6" spans="1:17" ht="15" customHeight="1" x14ac:dyDescent="0.45">
      <c r="A6" s="719" t="s">
        <v>359</v>
      </c>
      <c r="B6" s="719"/>
      <c r="C6" s="719"/>
      <c r="D6" s="719"/>
      <c r="E6" s="719"/>
      <c r="F6" s="719"/>
      <c r="G6" s="719"/>
      <c r="H6" s="719"/>
      <c r="I6" s="719"/>
      <c r="J6" s="719"/>
      <c r="K6" s="719"/>
      <c r="L6" s="719"/>
      <c r="M6" s="719"/>
      <c r="N6" s="719"/>
      <c r="O6" s="719"/>
      <c r="P6" s="719"/>
      <c r="Q6" s="719"/>
    </row>
    <row r="7" spans="1:17" ht="15" customHeight="1" x14ac:dyDescent="0.45">
      <c r="A7" s="719" t="s">
        <v>360</v>
      </c>
      <c r="B7" s="719"/>
      <c r="C7" s="719"/>
      <c r="D7" s="719"/>
      <c r="E7" s="719"/>
      <c r="F7" s="719"/>
      <c r="G7" s="719"/>
      <c r="H7" s="719"/>
      <c r="I7" s="719"/>
      <c r="J7" s="719"/>
      <c r="K7" s="719"/>
      <c r="L7" s="719"/>
      <c r="M7" s="719"/>
      <c r="N7" s="719"/>
      <c r="O7" s="719"/>
      <c r="P7" s="719"/>
      <c r="Q7" s="719"/>
    </row>
    <row r="8" spans="1:17" ht="15" customHeight="1" x14ac:dyDescent="0.45">
      <c r="A8" s="720" t="s">
        <v>361</v>
      </c>
      <c r="B8" s="720"/>
      <c r="C8" s="720"/>
      <c r="D8" s="720"/>
      <c r="E8" s="720"/>
      <c r="F8" s="720"/>
      <c r="G8" s="720"/>
      <c r="H8" s="720"/>
      <c r="I8" s="720"/>
      <c r="J8" s="720"/>
      <c r="K8" s="720"/>
      <c r="L8" s="720"/>
      <c r="M8" s="720"/>
      <c r="N8" s="720"/>
      <c r="O8" s="720"/>
      <c r="P8" s="720"/>
      <c r="Q8" s="720"/>
    </row>
    <row r="9" spans="1:17" ht="15" customHeight="1" x14ac:dyDescent="0.45">
      <c r="A9" s="719" t="s">
        <v>362</v>
      </c>
      <c r="B9" s="719"/>
      <c r="C9" s="719"/>
      <c r="D9" s="719"/>
      <c r="E9" s="719"/>
      <c r="F9" s="719"/>
      <c r="G9" s="719"/>
      <c r="H9" s="719"/>
      <c r="I9" s="719"/>
      <c r="J9" s="719"/>
      <c r="K9" s="719"/>
      <c r="L9" s="719"/>
      <c r="M9" s="719"/>
      <c r="N9" s="719"/>
      <c r="O9" s="719"/>
      <c r="P9" s="719"/>
      <c r="Q9" s="719"/>
    </row>
    <row r="10" spans="1:17" ht="15" customHeight="1" x14ac:dyDescent="0.45">
      <c r="A10" s="719" t="s">
        <v>363</v>
      </c>
      <c r="B10" s="719"/>
      <c r="C10" s="719"/>
      <c r="D10" s="719"/>
      <c r="E10" s="719"/>
      <c r="F10" s="719"/>
      <c r="G10" s="719"/>
      <c r="H10" s="719"/>
      <c r="I10" s="719"/>
      <c r="J10" s="719"/>
      <c r="K10" s="719"/>
      <c r="L10" s="719"/>
      <c r="M10" s="719"/>
      <c r="N10" s="719"/>
      <c r="O10" s="719"/>
      <c r="P10" s="719"/>
      <c r="Q10" s="719"/>
    </row>
    <row r="11" spans="1:17" ht="15" customHeight="1" x14ac:dyDescent="0.45">
      <c r="A11" s="9"/>
      <c r="B11" s="9"/>
      <c r="C11" s="9"/>
      <c r="D11" s="9"/>
      <c r="E11" s="9"/>
      <c r="F11" s="9"/>
      <c r="G11" s="9"/>
      <c r="H11" s="9"/>
      <c r="I11" s="9"/>
      <c r="J11" s="9"/>
      <c r="K11" s="9"/>
      <c r="L11" s="9"/>
      <c r="M11" s="9"/>
      <c r="N11" s="9"/>
      <c r="O11" s="9"/>
      <c r="P11" s="9"/>
      <c r="Q11" s="9"/>
    </row>
    <row r="12" spans="1:17" ht="30" customHeight="1" x14ac:dyDescent="0.45">
      <c r="A12" s="718" t="s">
        <v>364</v>
      </c>
      <c r="B12" s="718"/>
      <c r="C12" s="718"/>
      <c r="D12" s="718"/>
      <c r="E12" s="718"/>
      <c r="F12" s="718"/>
      <c r="G12" s="718"/>
      <c r="H12" s="718"/>
      <c r="I12" s="718"/>
      <c r="J12" s="718"/>
      <c r="K12" s="718"/>
      <c r="L12" s="718"/>
      <c r="M12" s="718"/>
      <c r="N12" s="718"/>
      <c r="O12" s="718"/>
      <c r="P12" s="718"/>
      <c r="Q12" s="718"/>
    </row>
    <row r="13" spans="1:17" ht="15" customHeight="1" x14ac:dyDescent="0.45">
      <c r="A13" s="58"/>
      <c r="B13" s="58"/>
      <c r="C13" s="58"/>
      <c r="D13" s="58"/>
      <c r="E13" s="58"/>
      <c r="F13" s="58"/>
      <c r="G13" s="58"/>
      <c r="H13" s="58"/>
      <c r="I13" s="58"/>
      <c r="J13" s="58"/>
      <c r="K13" s="58"/>
      <c r="L13" s="58"/>
      <c r="M13" s="58"/>
      <c r="N13" s="58"/>
      <c r="O13" s="58"/>
      <c r="P13" s="58"/>
      <c r="Q13" s="58"/>
    </row>
    <row r="14" spans="1:17" ht="15" customHeight="1" x14ac:dyDescent="0.45">
      <c r="A14" s="640" t="s">
        <v>365</v>
      </c>
      <c r="B14" s="640"/>
      <c r="C14" s="640"/>
      <c r="D14" s="156">
        <v>2.5000000000000001E-2</v>
      </c>
      <c r="E14" s="9"/>
      <c r="F14" s="9"/>
      <c r="G14" s="9"/>
      <c r="H14" s="9"/>
      <c r="I14" s="9"/>
      <c r="J14" s="9"/>
      <c r="K14" s="9"/>
      <c r="L14" s="9"/>
      <c r="M14" s="9"/>
      <c r="N14" s="9"/>
      <c r="O14" s="9"/>
      <c r="P14" s="9"/>
      <c r="Q14" s="9"/>
    </row>
    <row r="15" spans="1:17" ht="15" customHeight="1" x14ac:dyDescent="0.45">
      <c r="A15" s="640" t="s">
        <v>366</v>
      </c>
      <c r="B15" s="640"/>
      <c r="C15" s="640"/>
      <c r="D15" s="156">
        <v>8.0000000000000002E-3</v>
      </c>
      <c r="E15" s="9"/>
      <c r="F15" s="9"/>
      <c r="G15" s="9"/>
      <c r="H15" s="9"/>
      <c r="I15" s="9"/>
      <c r="J15" s="9"/>
      <c r="K15" s="9"/>
      <c r="L15" s="9"/>
      <c r="M15" s="9"/>
      <c r="N15" s="9"/>
      <c r="O15" s="9"/>
      <c r="P15" s="9"/>
      <c r="Q15" s="9"/>
    </row>
    <row r="16" spans="1:17" ht="15" customHeight="1" x14ac:dyDescent="0.45">
      <c r="A16" s="640" t="s">
        <v>367</v>
      </c>
      <c r="B16" s="640"/>
      <c r="C16" s="640"/>
      <c r="D16" s="156">
        <v>2.5000000000000001E-2</v>
      </c>
      <c r="E16" s="9"/>
      <c r="F16" s="9"/>
      <c r="G16" s="9"/>
      <c r="H16" s="9"/>
      <c r="I16" s="9"/>
      <c r="J16" s="9"/>
      <c r="K16" s="9"/>
      <c r="L16" s="9"/>
      <c r="M16" s="9"/>
      <c r="N16" s="9"/>
      <c r="O16" s="9"/>
      <c r="P16" s="9"/>
      <c r="Q16" s="9"/>
    </row>
    <row r="17" spans="1:17" ht="15" customHeight="1" x14ac:dyDescent="0.45">
      <c r="A17" s="640" t="s">
        <v>368</v>
      </c>
      <c r="B17" s="640"/>
      <c r="C17" s="640"/>
      <c r="D17" s="156">
        <v>0.05</v>
      </c>
      <c r="E17" s="9"/>
      <c r="F17" s="9"/>
      <c r="G17" s="9"/>
      <c r="H17" s="9"/>
      <c r="I17" s="9"/>
      <c r="J17" s="9"/>
      <c r="K17" s="9"/>
      <c r="L17" s="9"/>
      <c r="M17" s="9"/>
      <c r="N17" s="9"/>
      <c r="O17" s="9"/>
      <c r="P17" s="9"/>
      <c r="Q17" s="9"/>
    </row>
    <row r="18" spans="1:17" ht="15" customHeight="1" x14ac:dyDescent="0.45">
      <c r="A18" s="640" t="s">
        <v>369</v>
      </c>
      <c r="B18" s="640"/>
      <c r="C18" s="640"/>
      <c r="D18" s="156">
        <v>0.3</v>
      </c>
      <c r="E18" s="9"/>
      <c r="F18" s="9"/>
      <c r="G18" s="9"/>
      <c r="H18" s="9"/>
      <c r="I18" s="9"/>
      <c r="J18" s="9"/>
      <c r="K18" s="9"/>
      <c r="L18" s="9"/>
      <c r="M18" s="9"/>
      <c r="N18" s="9"/>
      <c r="O18" s="9"/>
      <c r="P18" s="9"/>
      <c r="Q18" s="9"/>
    </row>
    <row r="19" spans="1:17" ht="15" customHeight="1" x14ac:dyDescent="0.45">
      <c r="A19" s="640" t="s">
        <v>370</v>
      </c>
      <c r="B19" s="640"/>
      <c r="C19" s="640"/>
      <c r="D19" s="156">
        <v>0.1</v>
      </c>
      <c r="E19" s="9"/>
      <c r="F19" s="9"/>
      <c r="G19" s="9"/>
      <c r="H19" s="9"/>
      <c r="I19" s="9"/>
      <c r="J19" s="9"/>
      <c r="K19" s="9"/>
      <c r="L19" s="9"/>
      <c r="M19" s="9"/>
      <c r="N19" s="9"/>
      <c r="O19" s="9"/>
      <c r="P19" s="9"/>
      <c r="Q19" s="9"/>
    </row>
    <row r="20" spans="1:17" ht="15" customHeight="1" x14ac:dyDescent="0.45">
      <c r="A20" s="9"/>
      <c r="B20" s="9"/>
      <c r="C20" s="9"/>
      <c r="D20" s="9"/>
      <c r="E20" s="9"/>
      <c r="F20" s="9"/>
      <c r="G20" s="9"/>
      <c r="H20" s="9"/>
      <c r="I20" s="9"/>
      <c r="J20" s="9"/>
      <c r="K20" s="9"/>
      <c r="L20" s="9"/>
      <c r="M20" s="9"/>
      <c r="N20" s="9"/>
      <c r="O20" s="9"/>
      <c r="P20" s="9"/>
      <c r="Q20" s="9"/>
    </row>
    <row r="21" spans="1:17" ht="30" customHeight="1" x14ac:dyDescent="0.45">
      <c r="A21" s="718" t="s">
        <v>371</v>
      </c>
      <c r="B21" s="718"/>
      <c r="C21" s="718"/>
      <c r="D21" s="718"/>
      <c r="E21" s="718"/>
      <c r="F21" s="718"/>
      <c r="G21" s="718"/>
      <c r="H21" s="718"/>
      <c r="I21" s="718"/>
      <c r="J21" s="718"/>
      <c r="K21" s="718"/>
      <c r="L21" s="718"/>
      <c r="M21" s="718"/>
      <c r="N21" s="718"/>
      <c r="O21" s="718"/>
      <c r="P21" s="718"/>
      <c r="Q21" s="718"/>
    </row>
    <row r="22" spans="1:17" ht="15" customHeight="1" x14ac:dyDescent="0.45">
      <c r="A22" s="58"/>
      <c r="B22" s="58"/>
      <c r="C22" s="58"/>
      <c r="D22" s="58"/>
      <c r="E22" s="58"/>
      <c r="F22" s="58"/>
      <c r="G22" s="58"/>
      <c r="H22" s="58"/>
      <c r="I22" s="58"/>
      <c r="J22" s="58"/>
      <c r="K22" s="58"/>
      <c r="L22" s="58"/>
      <c r="M22" s="58"/>
      <c r="N22" s="58"/>
      <c r="O22" s="58"/>
      <c r="P22" s="58"/>
      <c r="Q22" s="58"/>
    </row>
    <row r="23" spans="1:17" s="45" customFormat="1" ht="15" customHeight="1" x14ac:dyDescent="0.45">
      <c r="A23" s="24" t="s">
        <v>227</v>
      </c>
      <c r="B23" s="24" t="s">
        <v>280</v>
      </c>
      <c r="C23" s="24" t="s">
        <v>372</v>
      </c>
      <c r="D23" s="24" t="s">
        <v>373</v>
      </c>
      <c r="E23" s="24" t="s">
        <v>374</v>
      </c>
      <c r="F23" s="24" t="s">
        <v>375</v>
      </c>
      <c r="G23" s="24" t="s">
        <v>376</v>
      </c>
      <c r="H23" s="24" t="s">
        <v>377</v>
      </c>
      <c r="I23" s="24" t="s">
        <v>378</v>
      </c>
      <c r="J23" s="24" t="s">
        <v>379</v>
      </c>
      <c r="K23" s="24" t="s">
        <v>380</v>
      </c>
      <c r="L23" s="24" t="s">
        <v>381</v>
      </c>
      <c r="M23" s="24" t="s">
        <v>382</v>
      </c>
      <c r="N23" s="24" t="s">
        <v>383</v>
      </c>
      <c r="O23" s="24" t="s">
        <v>384</v>
      </c>
      <c r="P23" s="24" t="s">
        <v>1610</v>
      </c>
      <c r="Q23" s="24" t="s">
        <v>206</v>
      </c>
    </row>
    <row r="24" spans="1:17" ht="15" customHeight="1" x14ac:dyDescent="0.45">
      <c r="A24" s="134"/>
      <c r="B24" s="16" t="str">
        <f>IF($A24="","",IFERROR(_xlfn.XLOOKUP($A24,'Short Circuit'!$A$6:$A$255,'Short Circuit'!$D$6:$D$255),""))</f>
        <v/>
      </c>
      <c r="C24" s="537" t="str">
        <f>IF($A24="","",IF($P24&lt;&gt;"","",IFERROR(_xlfn.XLOOKUP($A24,'Short Circuit'!$A$6:$A$255,'Short Circuit'!$M$6:$M$255)/1000,"")))</f>
        <v/>
      </c>
      <c r="D24" s="134"/>
      <c r="E24" s="16" t="str" cm="1">
        <f t="array" ref="E24">IF($D24="","",_xlfn.SWITCH($D24,"LV Switchgear",32,"MCC",25,"Panelboard",25,"Cable/Junction",13,"Open Air",40,25))</f>
        <v/>
      </c>
      <c r="F24" s="134"/>
      <c r="G24" s="50" t="str">
        <f>IF($D24="","",IF(N($B24)&gt;1000,36,IF($D24="LV Switchgear",24,18)))</f>
        <v/>
      </c>
      <c r="H24" s="156"/>
      <c r="I24" s="156"/>
      <c r="J24" s="537" t="str">
        <f>IF(OR(N($C24)&lt;=0,N($B24)&lt;=0,N($E24)&lt;=0),"",_xlfn.LET(_xlpm.kv,$B24/1000,_xlpm.lg,LOG10($C24),_xlpm.g,$E24,_xlpm.k,IF($D24="Open Air",-0.153,-0.097),IF(_xlpm.kv&lt;=1,10^(_xlpm.k+0.662*_xlpm.lg+0.0966*_xlpm.kv+0.000526*_xlpm.g+0.5588*_xlpm.kv*_xlpm.lg-0.00304*_xlpm.g*_xlpm.lg),10^(0.00402+0.983*_xlpm.lg))))</f>
        <v/>
      </c>
      <c r="K24" s="30" t="str" cm="1">
        <f t="array" ref="K24">IF(OR(NOT(ISNUMBER($J24)),N($H24)&lt;=0,N($G24)&lt;=0),"",_xlfn.LET(_xlpm.kv,$B24/1000,_xlpm.ia,$J24,_xlpm.t,$H24,_xlpm.dmm,$G24*25.4,_xlpm.kone,IF($D24="Open Air",-0.792,-0.555),_xlpm.ktwo,IF($F24="Grounded",-0.113,0),_xlpm.xexp,_xlfn.SWITCH($D24,"LV Switchgear",IF($B24&gt;1000,0.973,1.473),"MCC",1.641,"Panelboard",1.641,"Cable/Junction",2,"Open Air",2,1.641),_xlpm.cfac,IF(_xlpm.kv&lt;=1,1.5,1),_xlpm.enrm,10^(_xlpm.kone+_xlpm.ktwo+1.081*LOG10(_xlpm.ia)+0.0011*$E24),_xlpm.cfac*_xlpm.enrm*(_xlpm.t/0.2)*(610^_xlpm.xexp/_xlpm.dmm^_xlpm.xexp)))</f>
        <v/>
      </c>
      <c r="L24" s="30" t="str" cm="1">
        <f t="array" ref="L24">IF(OR(NOT(ISNUMBER($J24)),N($G24)&lt;=0,N($B24)&gt;1000),"",_xlfn.LET(_xlpm.t,IF(N($I24)&gt;0,$I24,$H24),IF(N(_xlpm.t)&lt;=0,"",_xlfn.LET(_xlpm.ia,0.85*$J24,_xlpm.dmm,$G24*25.4,_xlpm.kone,IF($D24="Open Air",-0.792,-0.555),_xlpm.ktwo,IF($F24="Grounded",-0.113,0),_xlpm.xexp,_xlfn.SWITCH($D24,"LV Switchgear",IF($B24&gt;1000,0.973,1.473),"MCC",1.641,"Panelboard",1.641,"Cable/Junction",2,"Open Air",2,1.641),_xlpm.enrm,10^(_xlpm.kone+_xlpm.ktwo+1.081*LOG10(_xlpm.ia)+0.0011*$E24),1.5*_xlpm.enrm*(_xlpm.t/0.2)*(610^_xlpm.xexp/_xlpm.dmm^_xlpm.xexp)))))</f>
        <v/>
      </c>
      <c r="M24" s="39" t="str">
        <f>IF(NOT(ISNUMBER($K24)),"",MAX($K24,N($L24)))</f>
        <v/>
      </c>
      <c r="N24" s="50" t="str" cm="1">
        <f t="array" ref="N24">IF(NOT(ISNUMBER($M24)),"",_xlfn.LET(_xlpm.xexp,_xlfn.SWITCH($D24,"LV Switchgear",IF($B24&gt;1000,0.973,1.473),"MCC",1.641,"Panelboard",1.641,"Cable/Junction",2,"Open Air",2,1.641),$G24*($M24/1.2)^(1/_xlpm.xexp)))</f>
        <v/>
      </c>
      <c r="O24" s="16" t="str">
        <f>IF($A24="","",IF(AND(N($C24)&gt;0,OR($C24&lt;0.7,$C24&gt;106)),"⚠ Ibf outside 1584 range (0.7–106 kA)",IF(AND(N($B24)&gt;0,OR($B24&lt;208,$B24&gt;15000)),"⚠ voltage outside 208 V–15 kV",IF(NOT(ISNUMBER($M24)),"",LOOKUP($M24,{0,1.2,4.0001,8.0001,25.0001,40.0001},{"&lt; 1.2 — below AR threshold","1","2","3","4","⚠ &gt; 40 — DANGER"})))))</f>
        <v/>
      </c>
      <c r="P24" s="16" t="str">
        <f>IF($A24="","",_xlfn.LET(_xlpm.ph,IFERROR(_xlfn.XLOOKUP($A24,'Short Circuit'!$A$6:$A$255,'Short Circuit'!$CB$6:$CB$255),""),IF(_xlpm.ph=1,"⚠ single-phase bus — the IEEE 1584 three-phase model does not apply here; evaluate this bus separately","")))</f>
        <v/>
      </c>
      <c r="Q24" s="131"/>
    </row>
    <row r="25" spans="1:17" customFormat="1" ht="15" customHeight="1" x14ac:dyDescent="0.35"/>
    <row r="26" spans="1:17" ht="15" customHeight="1" x14ac:dyDescent="0.45">
      <c r="A26" s="577" t="s">
        <v>1947</v>
      </c>
      <c r="B26"/>
      <c r="C26"/>
      <c r="D26"/>
      <c r="E26"/>
      <c r="F26"/>
      <c r="G26"/>
      <c r="H26"/>
      <c r="I26"/>
      <c r="J26"/>
      <c r="K26"/>
      <c r="L26"/>
      <c r="M26"/>
      <c r="N26"/>
      <c r="O26"/>
      <c r="P26"/>
      <c r="Q26"/>
    </row>
    <row r="27" spans="1:17" ht="15" customHeight="1" x14ac:dyDescent="0.45">
      <c r="A27" s="9"/>
      <c r="B27" s="9"/>
      <c r="C27" s="9"/>
      <c r="D27" s="9"/>
      <c r="E27" s="9"/>
      <c r="F27" s="9"/>
      <c r="G27" s="9"/>
      <c r="H27" s="9"/>
      <c r="I27" s="9"/>
      <c r="J27" s="9"/>
      <c r="K27" s="9"/>
      <c r="L27" s="9"/>
      <c r="M27" s="9"/>
      <c r="N27" s="9"/>
      <c r="O27" s="9"/>
      <c r="P27" s="9"/>
      <c r="Q27" s="9"/>
    </row>
    <row r="28" spans="1:17" ht="15" customHeight="1" x14ac:dyDescent="0.45">
      <c r="A28" s="9"/>
      <c r="B28" s="9"/>
      <c r="C28" s="9"/>
      <c r="D28" s="9"/>
      <c r="E28" s="9"/>
      <c r="F28" s="9"/>
      <c r="G28" s="9"/>
      <c r="H28" s="9"/>
      <c r="I28" s="9"/>
      <c r="J28" s="9"/>
      <c r="K28" s="9"/>
      <c r="L28" s="9"/>
      <c r="M28" s="9"/>
      <c r="N28" s="9"/>
      <c r="O28" s="9"/>
      <c r="P28" s="9"/>
      <c r="Q28" s="9"/>
    </row>
    <row r="29" spans="1:17" ht="15" customHeight="1" x14ac:dyDescent="0.45">
      <c r="A29" s="9"/>
      <c r="B29" s="9"/>
      <c r="C29" s="9"/>
      <c r="D29" s="9"/>
      <c r="E29" s="9"/>
      <c r="F29" s="9"/>
      <c r="G29" s="9"/>
      <c r="H29" s="9"/>
      <c r="I29" s="9"/>
      <c r="J29" s="9"/>
      <c r="K29" s="9"/>
      <c r="L29" s="9"/>
      <c r="M29" s="9"/>
      <c r="N29" s="9"/>
      <c r="O29" s="9"/>
      <c r="P29" s="9"/>
      <c r="Q29" s="9"/>
    </row>
    <row r="201" spans="15:15" x14ac:dyDescent="0.45">
      <c r="O201"/>
    </row>
  </sheetData>
  <sheetProtection sheet="1" objects="1" scenarios="1"/>
  <mergeCells count="16">
    <mergeCell ref="A15:C15"/>
    <mergeCell ref="A21:Q21"/>
    <mergeCell ref="A19:C19"/>
    <mergeCell ref="A18:C18"/>
    <mergeCell ref="A17:C17"/>
    <mergeCell ref="A16:C16"/>
    <mergeCell ref="A1:Q1"/>
    <mergeCell ref="C2:E2"/>
    <mergeCell ref="A4:Q4"/>
    <mergeCell ref="A12:Q12"/>
    <mergeCell ref="A14:C14"/>
    <mergeCell ref="A10:Q10"/>
    <mergeCell ref="A9:Q9"/>
    <mergeCell ref="A8:Q8"/>
    <mergeCell ref="A7:Q7"/>
    <mergeCell ref="A6:Q6"/>
  </mergeCells>
  <dataValidations count="2">
    <dataValidation type="list" allowBlank="1" showInputMessage="1" showErrorMessage="1" sqref="D24:D26" xr:uid="{0C64E42D-C68A-4AD0-8C03-51FADDD52885}">
      <formula1>"LV Switchgear,MCC,Panelboard,Cable/Junction,Open Air"</formula1>
    </dataValidation>
    <dataValidation type="list" allowBlank="1" showInputMessage="1" showErrorMessage="1" sqref="F24:F26" xr:uid="{D3351492-A6A0-4674-8283-212493CDE16D}">
      <formula1>"Grounded,Ungrounded"</formula1>
    </dataValidation>
  </dataValidations>
  <pageMargins left="0.7" right="0.7" top="0.75" bottom="0.75" header="0.3" footer="0.3"/>
  <pageSetup scale="2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E12A-82BB-4E0B-AB6C-84680040C31E}">
  <sheetPr codeName="Sheet5">
    <tabColor rgb="FF00B050"/>
    <pageSetUpPr fitToPage="1"/>
  </sheetPr>
  <dimension ref="A1:BZ255"/>
  <sheetViews>
    <sheetView showGridLines="0" showRowColHeaders="0" workbookViewId="0">
      <pane ySplit="5" topLeftCell="A6" activePane="bottomLeft" state="frozen"/>
      <selection pane="bottomLeft" sqref="A1:U1"/>
    </sheetView>
  </sheetViews>
  <sheetFormatPr defaultRowHeight="14.5" x14ac:dyDescent="0.35"/>
  <cols>
    <col min="1" max="7" width="15.7265625" customWidth="1"/>
    <col min="8" max="8" width="10.7265625" customWidth="1"/>
    <col min="9" max="9" width="25.7265625" customWidth="1"/>
    <col min="10" max="12" width="10.7265625" customWidth="1"/>
    <col min="13" max="16" width="15.7265625" customWidth="1"/>
    <col min="17" max="17" width="45.7265625" customWidth="1"/>
    <col min="18" max="19" width="10.7265625" customWidth="1"/>
    <col min="20" max="20" width="45.7265625" customWidth="1"/>
    <col min="21" max="21" width="25.7265625" customWidth="1"/>
  </cols>
  <sheetData>
    <row r="1" spans="1:78" ht="30" customHeight="1" x14ac:dyDescent="0.35">
      <c r="A1" s="721" t="s">
        <v>1576</v>
      </c>
      <c r="B1" s="722"/>
      <c r="C1" s="722"/>
      <c r="D1" s="722"/>
      <c r="E1" s="722"/>
      <c r="F1" s="722"/>
      <c r="G1" s="722"/>
      <c r="H1" s="722"/>
      <c r="I1" s="722"/>
      <c r="J1" s="722"/>
      <c r="K1" s="722"/>
      <c r="L1" s="722"/>
      <c r="M1" s="722"/>
      <c r="N1" s="722"/>
      <c r="O1" s="722"/>
      <c r="P1" s="722"/>
      <c r="Q1" s="722"/>
      <c r="R1" s="722"/>
      <c r="S1" s="722"/>
      <c r="T1" s="722"/>
      <c r="U1" s="723"/>
    </row>
    <row r="2" spans="1:78" ht="72" customHeight="1" x14ac:dyDescent="0.35">
      <c r="A2" s="724" t="s">
        <v>1577</v>
      </c>
      <c r="B2" s="725"/>
      <c r="C2" s="726"/>
      <c r="D2" s="725"/>
      <c r="E2" s="726"/>
      <c r="F2" s="725"/>
      <c r="G2" s="725"/>
      <c r="H2" s="725"/>
      <c r="I2" s="726"/>
      <c r="J2" s="726"/>
      <c r="K2" s="726"/>
      <c r="L2" s="726"/>
      <c r="M2" s="726"/>
      <c r="N2" s="726"/>
      <c r="O2" s="726"/>
      <c r="P2" s="726"/>
      <c r="Q2" s="726"/>
      <c r="R2" s="726"/>
      <c r="S2" s="726"/>
      <c r="T2" s="726"/>
      <c r="U2" s="726"/>
    </row>
    <row r="3" spans="1:78" ht="15" customHeight="1" x14ac:dyDescent="0.35">
      <c r="A3" s="382" t="s">
        <v>1578</v>
      </c>
      <c r="B3" s="383" t="s">
        <v>1581</v>
      </c>
      <c r="C3" s="382" t="s">
        <v>1579</v>
      </c>
      <c r="D3" s="383" t="s">
        <v>1581</v>
      </c>
      <c r="E3" s="382" t="s">
        <v>1580</v>
      </c>
      <c r="F3" s="384" t="s">
        <v>1581</v>
      </c>
      <c r="G3" s="385"/>
      <c r="H3" s="385"/>
      <c r="I3" s="727" t="str" cm="1">
        <f t="array" ref="I3">"Showing "&amp;SUMPRODUCT(--($BW$6:$BW$255=TRUE))&amp;" of "&amp;SUMPRODUCT(--($BA$6:$BA$255&lt;&gt;""))&amp;" buses"</f>
        <v>Showing 1 of 1 buses</v>
      </c>
      <c r="J3" s="728"/>
      <c r="K3" s="728"/>
      <c r="L3" s="728"/>
      <c r="M3" s="728"/>
      <c r="N3" s="728"/>
      <c r="O3" s="728"/>
      <c r="P3" s="728"/>
      <c r="Q3" s="728"/>
      <c r="R3" s="728"/>
      <c r="S3" s="728"/>
      <c r="T3" s="728"/>
      <c r="U3" s="728"/>
    </row>
    <row r="4" spans="1:78" ht="30" customHeight="1" x14ac:dyDescent="0.45">
      <c r="A4" s="729" t="s">
        <v>1582</v>
      </c>
      <c r="B4" s="729"/>
      <c r="C4" s="729"/>
      <c r="D4" s="729"/>
      <c r="E4" s="729"/>
      <c r="F4" s="730" t="s">
        <v>1583</v>
      </c>
      <c r="G4" s="730"/>
      <c r="H4" s="730"/>
      <c r="I4" s="730"/>
      <c r="J4" s="730"/>
      <c r="K4" s="730"/>
      <c r="L4" s="730"/>
      <c r="M4" s="729" t="s">
        <v>252</v>
      </c>
      <c r="N4" s="729"/>
      <c r="O4" s="729"/>
      <c r="P4" s="729"/>
      <c r="Q4" s="729"/>
      <c r="R4" s="729" t="s">
        <v>74</v>
      </c>
      <c r="S4" s="729"/>
      <c r="T4" s="729"/>
      <c r="U4" s="386" t="s">
        <v>1584</v>
      </c>
      <c r="BA4" s="387" t="s">
        <v>1590</v>
      </c>
      <c r="BB4" s="387"/>
      <c r="BC4" s="387"/>
      <c r="BD4" s="387"/>
      <c r="BE4" s="387"/>
      <c r="BF4" s="387"/>
      <c r="BG4" s="387"/>
      <c r="BH4" s="387"/>
      <c r="BI4" s="387"/>
      <c r="BJ4" s="387"/>
      <c r="BK4" s="387"/>
      <c r="BL4" s="387"/>
      <c r="BM4" s="387"/>
      <c r="BN4" s="387"/>
      <c r="BO4" s="387"/>
      <c r="BP4" s="387"/>
      <c r="BQ4" s="387"/>
      <c r="BR4" s="387"/>
      <c r="BS4" s="387"/>
      <c r="BT4" s="387"/>
      <c r="BU4" s="387"/>
      <c r="BV4" s="387"/>
      <c r="BW4" s="387"/>
    </row>
    <row r="5" spans="1:78" ht="30" customHeight="1" x14ac:dyDescent="0.45">
      <c r="A5" s="388" t="s">
        <v>227</v>
      </c>
      <c r="B5" s="388" t="s">
        <v>207</v>
      </c>
      <c r="C5" s="388" t="s">
        <v>1379</v>
      </c>
      <c r="D5" s="388" t="s">
        <v>1396</v>
      </c>
      <c r="E5" s="388" t="s">
        <v>104</v>
      </c>
      <c r="F5" s="388" t="s">
        <v>562</v>
      </c>
      <c r="G5" s="388" t="s">
        <v>1560</v>
      </c>
      <c r="H5" s="388" t="s">
        <v>571</v>
      </c>
      <c r="I5" s="388" t="s">
        <v>222</v>
      </c>
      <c r="J5" s="388" t="s">
        <v>1433</v>
      </c>
      <c r="K5" s="388" t="s">
        <v>1434</v>
      </c>
      <c r="L5" s="388" t="s">
        <v>566</v>
      </c>
      <c r="M5" s="388" t="s">
        <v>1400</v>
      </c>
      <c r="N5" s="388" t="s">
        <v>1606</v>
      </c>
      <c r="O5" s="388" t="s">
        <v>228</v>
      </c>
      <c r="P5" s="388" t="s">
        <v>356</v>
      </c>
      <c r="Q5" s="388" t="s">
        <v>1585</v>
      </c>
      <c r="R5" s="388" t="s">
        <v>1413</v>
      </c>
      <c r="S5" s="388" t="s">
        <v>1586</v>
      </c>
      <c r="T5" s="388" t="s">
        <v>1587</v>
      </c>
      <c r="U5" s="388" t="s">
        <v>1584</v>
      </c>
      <c r="BA5" s="387" t="s">
        <v>227</v>
      </c>
      <c r="BB5" s="387" t="s">
        <v>207</v>
      </c>
      <c r="BC5" s="387" t="s">
        <v>1379</v>
      </c>
      <c r="BD5" s="387" t="s">
        <v>1396</v>
      </c>
      <c r="BE5" s="387" t="s">
        <v>104</v>
      </c>
      <c r="BF5" s="387" t="s">
        <v>562</v>
      </c>
      <c r="BG5" s="387" t="s">
        <v>1560</v>
      </c>
      <c r="BH5" s="387" t="s">
        <v>571</v>
      </c>
      <c r="BI5" s="387" t="s">
        <v>222</v>
      </c>
      <c r="BJ5" s="387" t="s">
        <v>1433</v>
      </c>
      <c r="BK5" s="387" t="s">
        <v>1434</v>
      </c>
      <c r="BL5" s="387" t="s">
        <v>1383</v>
      </c>
      <c r="BM5" s="387" t="s">
        <v>1591</v>
      </c>
      <c r="BN5" s="387" t="s">
        <v>1609</v>
      </c>
      <c r="BO5" s="387" t="s">
        <v>1592</v>
      </c>
      <c r="BP5" s="387" t="s">
        <v>1593</v>
      </c>
      <c r="BQ5" s="387" t="s">
        <v>1585</v>
      </c>
      <c r="BR5" s="387" t="s">
        <v>1413</v>
      </c>
      <c r="BS5" s="387" t="s">
        <v>1586</v>
      </c>
      <c r="BT5" s="387" t="s">
        <v>1587</v>
      </c>
      <c r="BU5" s="387" t="s">
        <v>1584</v>
      </c>
      <c r="BV5" s="387"/>
      <c r="BW5" s="387" t="s">
        <v>1594</v>
      </c>
      <c r="BY5" s="387" t="s">
        <v>1588</v>
      </c>
      <c r="BZ5" s="387" t="s">
        <v>1589</v>
      </c>
    </row>
    <row r="6" spans="1:78" ht="15" customHeight="1" x14ac:dyDescent="0.45">
      <c r="A6" s="161" t="str" cm="1">
        <f t="array" ref="A6:U6">IF(SUM(--($BW$6:$BW$255=TRUE))=0,"— no rows match the current filters —",_xlfn._xlws.FILTER($BA$6:$BU$255,$BW$6:$BW$255=TRUE))</f>
        <v>Utility Service</v>
      </c>
      <c r="B6" s="389" t="str">
        <v>Source</v>
      </c>
      <c r="C6" s="207">
        <v>0</v>
      </c>
      <c r="D6" s="208" t="str">
        <v/>
      </c>
      <c r="E6" s="161" t="str">
        <v>—</v>
      </c>
      <c r="F6" s="389" t="str">
        <v/>
      </c>
      <c r="G6" s="389" t="str">
        <v/>
      </c>
      <c r="H6" s="389" t="str">
        <v/>
      </c>
      <c r="I6" s="389" t="str">
        <v/>
      </c>
      <c r="J6" s="389" t="str">
        <v/>
      </c>
      <c r="K6" s="389" t="str">
        <v/>
      </c>
      <c r="L6" s="209" t="str">
        <v/>
      </c>
      <c r="M6" s="209" t="str">
        <v/>
      </c>
      <c r="N6" s="209" t="str">
        <v/>
      </c>
      <c r="O6" s="209" t="str">
        <v/>
      </c>
      <c r="P6" s="209" t="str">
        <v/>
      </c>
      <c r="Q6" s="161" t="str">
        <v>⚠ enter available fault current (Dashboard)</v>
      </c>
      <c r="R6" s="390">
        <v>0</v>
      </c>
      <c r="S6" s="390">
        <v>0</v>
      </c>
      <c r="T6" s="161" t="str">
        <v>— utility source —</v>
      </c>
      <c r="U6" s="389" t="str">
        <v>— utility source —</v>
      </c>
      <c r="BA6" s="387" t="str">
        <f>IF('Short Circuit'!$A6="","",'Short Circuit'!$A6)</f>
        <v>Utility Service</v>
      </c>
      <c r="BB6" s="387" t="str">
        <f>IF($BA6="","",'Short Circuit'!$B6)</f>
        <v>Source</v>
      </c>
      <c r="BC6" s="387">
        <f>IF($BA6="","",'Short Circuit'!$C6)</f>
        <v>0</v>
      </c>
      <c r="BD6" s="387" t="str">
        <f>IF($BA6="","",'Short Circuit'!$D6)</f>
        <v/>
      </c>
      <c r="BE6" s="387" t="str">
        <f>IF($BA6="","",'Short Circuit'!$E6)</f>
        <v>—</v>
      </c>
      <c r="BF6" s="387" t="str">
        <f>IF($BA6="","",IFERROR(_xlfn.XLOOKUP("F-"&amp;$BA6,'Feeder Schedule'!$B$5:$B$254,'Feeder Schedule'!$B$5:$B$254),IFERROR(_xlfn.XLOOKUP($BA6,'Feeder Schedule'!$B$5:$B$254,'Feeder Schedule'!$B$5:$B$254),"")))</f>
        <v/>
      </c>
      <c r="BG6" s="387" t="str">
        <f>IF($BF6="","",IFERROR(_xlfn.XLOOKUP($BF6,'Feeder Schedule'!$B$5:$B$254,'Feeder Schedule'!$A$5:$A$254),""))</f>
        <v/>
      </c>
      <c r="BH6" s="387" t="str">
        <f>IF($BF6="","",IFERROR(_xlfn.XLOOKUP($BF6,'Feeder Schedule'!$B$5:$B$254,'Feeder Schedule'!$O$5:$O$254),""))</f>
        <v/>
      </c>
      <c r="BI6" s="387" t="str">
        <f>IF($BF6="","",IFERROR(_xlfn.XLOOKUP($BF6,'Feeder Schedule'!$B$5:$B$254,'Feeder Schedule'!$P$5:$P$254),""))</f>
        <v/>
      </c>
      <c r="BJ6" s="387" t="str">
        <f>IF($BF6="","",IFERROR(_xlfn.XLOOKUP($BF6,'Feeder Schedule'!$B$5:$B$254,'Feeder Schedule'!$Q$5:$Q$254),""))</f>
        <v/>
      </c>
      <c r="BK6" s="387" t="str">
        <f>IF($BF6="","",IFERROR(_xlfn.XLOOKUP($BF6,'Feeder Schedule'!$B$5:$B$254,'Feeder Schedule'!$S$5:$S$254),""))</f>
        <v/>
      </c>
      <c r="BL6" s="387" t="str">
        <f>IF($BF6="","",IFERROR(_xlfn.XLOOKUP($BF6,'Feeder Schedule'!$B$5:$B$254,'Feeder Schedule'!$H$5:$H$254),""))</f>
        <v/>
      </c>
      <c r="BM6" s="534" t="str">
        <f>IF($BA6="","",'Short Circuit'!$J6)</f>
        <v/>
      </c>
      <c r="BN6" s="534" t="str">
        <f>IF($BA6="","",'Short Circuit'!$Q6)</f>
        <v/>
      </c>
      <c r="BO6" s="387" t="str">
        <f>IF($BA6="","",'Short Circuit'!$R6)</f>
        <v/>
      </c>
      <c r="BP6" s="535" t="str">
        <f>IF($BA6="","",'Short Circuit'!$S6)</f>
        <v/>
      </c>
      <c r="BQ6" s="387" t="str">
        <f>IF($BA6="","",'Short Circuit'!$T6)</f>
        <v>⚠ enter available fault current (Dashboard)</v>
      </c>
      <c r="BR6" s="536">
        <f>IF($BA6="","",'Voltage Drop'!$G6)</f>
        <v>0</v>
      </c>
      <c r="BS6" s="536">
        <f>IF($BA6="","",'Voltage Drop'!$H6)</f>
        <v>0</v>
      </c>
      <c r="BT6" s="387" t="str">
        <f>IF($BA6="","",'Voltage Drop'!$K6)</f>
        <v>— utility source —</v>
      </c>
      <c r="BU6" s="387" t="str">
        <f>IF($BA6="","",IF($BC6=0,"— utility source —",IF(OR(ISNUMBER(SEARCH("FAIL",$BQ6&amp;$BT6))),"FAIL",IF(ISNUMBER(SEARCH("⚠",$BQ6&amp;$BT6)),"REVIEW","PASS"))))</f>
        <v>— utility source —</v>
      </c>
      <c r="BV6" s="387"/>
      <c r="BW6" s="387" t="b">
        <f>IF($BA6="",FALSE,AND(OR($B$3="All",$B$3="",$BC6=$B$3),OR($D$3="All",$D$3="",$BB6=$D$3),IF($F$3="Failures only",ISNUMBER(SEARCH("FAIL",$BQ6&amp;$BT6)),IF($F$3="Warnings &amp; failures only",OR(ISNUMBER(SEARCH("FAIL",$BQ6&amp;$BT6)),ISNUMBER(SEARCH("⚠",$BQ6&amp;$BT6))),TRUE))))</f>
        <v>1</v>
      </c>
      <c r="BY6" s="387" t="str" cm="1">
        <f t="array" ref="BY6:BY7">IFERROR(_xlfn.VSTACK("All",_xlfn._xlws.SORT(_xlfn.UNIQUE(_xlfn._xlws.FILTER('Short Circuit'!$B$6:$B$255,'Short Circuit'!$B$6:$B$255&lt;&gt;"")))),"All")</f>
        <v>All</v>
      </c>
      <c r="BZ6" s="387" t="str" cm="1">
        <f t="array" ref="BZ6:BZ7">IFERROR(_xlfn.VSTACK("All",_xlfn._xlws.SORT(_xlfn.UNIQUE(_xlfn._xlws.FILTER('Short Circuit'!$C$6:$C$255,'Short Circuit'!$A$6:$A$255&lt;&gt;"")))),"All")</f>
        <v>All</v>
      </c>
    </row>
    <row r="7" spans="1:78" ht="15" customHeight="1" x14ac:dyDescent="0.45">
      <c r="A7" s="161"/>
      <c r="B7" s="389"/>
      <c r="C7" s="207"/>
      <c r="D7" s="208"/>
      <c r="E7" s="161"/>
      <c r="F7" s="389"/>
      <c r="G7" s="389"/>
      <c r="H7" s="389"/>
      <c r="I7" s="389"/>
      <c r="J7" s="389"/>
      <c r="K7" s="389"/>
      <c r="L7" s="209"/>
      <c r="M7" s="209"/>
      <c r="N7" s="209"/>
      <c r="O7" s="209"/>
      <c r="P7" s="209"/>
      <c r="Q7" s="161"/>
      <c r="R7" s="390"/>
      <c r="S7" s="390"/>
      <c r="T7" s="161"/>
      <c r="U7" s="389"/>
      <c r="BA7" s="387" t="str">
        <f>IF('Short Circuit'!$A7="","",'Short Circuit'!$A7)</f>
        <v/>
      </c>
      <c r="BB7" s="387" t="str">
        <f>IF($BA7="","",'Short Circuit'!$B7)</f>
        <v/>
      </c>
      <c r="BC7" s="387" t="str">
        <f>IF($BA7="","",'Short Circuit'!$C7)</f>
        <v/>
      </c>
      <c r="BD7" s="387" t="str">
        <f>IF($BA7="","",'Short Circuit'!$D7)</f>
        <v/>
      </c>
      <c r="BE7" s="387" t="str">
        <f>IF($BA7="","",'Short Circuit'!$E7)</f>
        <v/>
      </c>
      <c r="BF7" s="387" t="str">
        <f>IF($BA7="","",IFERROR(_xlfn.XLOOKUP("F-"&amp;$BA7,'Feeder Schedule'!$B$5:$B$254,'Feeder Schedule'!$B$5:$B$254),IFERROR(_xlfn.XLOOKUP($BA7,'Feeder Schedule'!$B$5:$B$254,'Feeder Schedule'!$B$5:$B$254),"")))</f>
        <v/>
      </c>
      <c r="BG7" s="387" t="str">
        <f>IF($BF7="","",IFERROR(_xlfn.XLOOKUP($BF7,'Feeder Schedule'!$B$5:$B$254,'Feeder Schedule'!$A$5:$A$254),""))</f>
        <v/>
      </c>
      <c r="BH7" s="387" t="str">
        <f>IF($BF7="","",IFERROR(_xlfn.XLOOKUP($BF7,'Feeder Schedule'!$B$5:$B$254,'Feeder Schedule'!$O$5:$O$254),""))</f>
        <v/>
      </c>
      <c r="BI7" s="387" t="str">
        <f>IF($BF7="","",IFERROR(_xlfn.XLOOKUP($BF7,'Feeder Schedule'!$B$5:$B$254,'Feeder Schedule'!$P$5:$P$254),""))</f>
        <v/>
      </c>
      <c r="BJ7" s="387" t="str">
        <f>IF($BF7="","",IFERROR(_xlfn.XLOOKUP($BF7,'Feeder Schedule'!$B$5:$B$254,'Feeder Schedule'!$Q$5:$Q$254),""))</f>
        <v/>
      </c>
      <c r="BK7" s="387" t="str">
        <f>IF($BF7="","",IFERROR(_xlfn.XLOOKUP($BF7,'Feeder Schedule'!$B$5:$B$254,'Feeder Schedule'!$S$5:$S$254),""))</f>
        <v/>
      </c>
      <c r="BL7" s="387" t="str">
        <f>IF($BF7="","",IFERROR(_xlfn.XLOOKUP($BF7,'Feeder Schedule'!$B$5:$B$254,'Feeder Schedule'!$H$5:$H$254),""))</f>
        <v/>
      </c>
      <c r="BM7" s="534" t="str">
        <f>IF($BA7="","",'Short Circuit'!$J7)</f>
        <v/>
      </c>
      <c r="BN7" s="534" t="str">
        <f>IF($BA7="","",'Short Circuit'!$Q7)</f>
        <v/>
      </c>
      <c r="BO7" s="387" t="str">
        <f>IF($BA7="","",'Short Circuit'!$R7)</f>
        <v/>
      </c>
      <c r="BP7" s="535" t="str">
        <f>IF($BA7="","",'Short Circuit'!$S7)</f>
        <v/>
      </c>
      <c r="BQ7" s="387" t="str">
        <f>IF($BA7="","",'Short Circuit'!$T7)</f>
        <v/>
      </c>
      <c r="BR7" s="536" t="str">
        <f>IF($BA7="","",'Voltage Drop'!$G7)</f>
        <v/>
      </c>
      <c r="BS7" s="536" t="str">
        <f>IF($BA7="","",'Voltage Drop'!$H7)</f>
        <v/>
      </c>
      <c r="BT7" s="387" t="str">
        <f>IF($BA7="","",'Voltage Drop'!$K7)</f>
        <v/>
      </c>
      <c r="BU7" s="387" t="str">
        <f t="shared" ref="BU7:BU70" si="0">IF($BA7="","",IF($BC7=0,"— utility source —",IF(OR(ISNUMBER(SEARCH("FAIL",$BQ7&amp;$BT7))),"FAIL",IF(ISNUMBER(SEARCH("⚠",$BQ7&amp;$BT7)),"REVIEW","PASS"))))</f>
        <v/>
      </c>
      <c r="BV7" s="387"/>
      <c r="BW7" s="387" t="b">
        <f t="shared" ref="BW7:BW70" si="1">IF($BA7="",FALSE,AND(OR($B$3="All",$B$3="",$BC7=$B$3),OR($D$3="All",$D$3="",$BB7=$D$3),IF($F$3="Failures only",ISNUMBER(SEARCH("FAIL",$BQ7&amp;$BT7)),IF($F$3="Warnings &amp; failures only",OR(ISNUMBER(SEARCH("FAIL",$BQ7&amp;$BT7)),ISNUMBER(SEARCH("⚠",$BQ7&amp;$BT7))),TRUE))))</f>
        <v>0</v>
      </c>
      <c r="BY7" s="387" t="str">
        <v>Source</v>
      </c>
      <c r="BZ7" s="387">
        <v>0</v>
      </c>
    </row>
    <row r="8" spans="1:78" ht="15" customHeight="1" x14ac:dyDescent="0.45">
      <c r="A8" s="161"/>
      <c r="B8" s="389"/>
      <c r="C8" s="207"/>
      <c r="D8" s="208"/>
      <c r="E8" s="161"/>
      <c r="F8" s="389"/>
      <c r="G8" s="389"/>
      <c r="H8" s="389"/>
      <c r="I8" s="389"/>
      <c r="J8" s="389"/>
      <c r="K8" s="389"/>
      <c r="L8" s="209"/>
      <c r="M8" s="209"/>
      <c r="N8" s="209"/>
      <c r="O8" s="209"/>
      <c r="P8" s="209"/>
      <c r="Q8" s="161"/>
      <c r="R8" s="390"/>
      <c r="S8" s="390"/>
      <c r="T8" s="161"/>
      <c r="U8" s="389"/>
      <c r="BA8" s="387" t="str">
        <f>IF('Short Circuit'!$A8="","",'Short Circuit'!$A8)</f>
        <v/>
      </c>
      <c r="BB8" s="387" t="str">
        <f>IF($BA8="","",'Short Circuit'!$B8)</f>
        <v/>
      </c>
      <c r="BC8" s="387" t="str">
        <f>IF($BA8="","",'Short Circuit'!$C8)</f>
        <v/>
      </c>
      <c r="BD8" s="387" t="str">
        <f>IF($BA8="","",'Short Circuit'!$D8)</f>
        <v/>
      </c>
      <c r="BE8" s="387" t="str">
        <f>IF($BA8="","",'Short Circuit'!$E8)</f>
        <v/>
      </c>
      <c r="BF8" s="387" t="str">
        <f>IF($BA8="","",IFERROR(_xlfn.XLOOKUP("F-"&amp;$BA8,'Feeder Schedule'!$B$5:$B$254,'Feeder Schedule'!$B$5:$B$254),IFERROR(_xlfn.XLOOKUP($BA8,'Feeder Schedule'!$B$5:$B$254,'Feeder Schedule'!$B$5:$B$254),"")))</f>
        <v/>
      </c>
      <c r="BG8" s="387" t="str">
        <f>IF($BF8="","",IFERROR(_xlfn.XLOOKUP($BF8,'Feeder Schedule'!$B$5:$B$254,'Feeder Schedule'!$A$5:$A$254),""))</f>
        <v/>
      </c>
      <c r="BH8" s="387" t="str">
        <f>IF($BF8="","",IFERROR(_xlfn.XLOOKUP($BF8,'Feeder Schedule'!$B$5:$B$254,'Feeder Schedule'!$O$5:$O$254),""))</f>
        <v/>
      </c>
      <c r="BI8" s="387" t="str">
        <f>IF($BF8="","",IFERROR(_xlfn.XLOOKUP($BF8,'Feeder Schedule'!$B$5:$B$254,'Feeder Schedule'!$P$5:$P$254),""))</f>
        <v/>
      </c>
      <c r="BJ8" s="387" t="str">
        <f>IF($BF8="","",IFERROR(_xlfn.XLOOKUP($BF8,'Feeder Schedule'!$B$5:$B$254,'Feeder Schedule'!$Q$5:$Q$254),""))</f>
        <v/>
      </c>
      <c r="BK8" s="387" t="str">
        <f>IF($BF8="","",IFERROR(_xlfn.XLOOKUP($BF8,'Feeder Schedule'!$B$5:$B$254,'Feeder Schedule'!$S$5:$S$254),""))</f>
        <v/>
      </c>
      <c r="BL8" s="387" t="str">
        <f>IF($BF8="","",IFERROR(_xlfn.XLOOKUP($BF8,'Feeder Schedule'!$B$5:$B$254,'Feeder Schedule'!$H$5:$H$254),""))</f>
        <v/>
      </c>
      <c r="BM8" s="534" t="str">
        <f>IF($BA8="","",'Short Circuit'!$J8)</f>
        <v/>
      </c>
      <c r="BN8" s="534" t="str">
        <f>IF($BA8="","",'Short Circuit'!$Q8)</f>
        <v/>
      </c>
      <c r="BO8" s="387" t="str">
        <f>IF($BA8="","",'Short Circuit'!$R8)</f>
        <v/>
      </c>
      <c r="BP8" s="535" t="str">
        <f>IF($BA8="","",'Short Circuit'!$S8)</f>
        <v/>
      </c>
      <c r="BQ8" s="387" t="str">
        <f>IF($BA8="","",'Short Circuit'!$T8)</f>
        <v/>
      </c>
      <c r="BR8" s="536" t="str">
        <f>IF($BA8="","",'Voltage Drop'!$G8)</f>
        <v/>
      </c>
      <c r="BS8" s="536" t="str">
        <f>IF($BA8="","",'Voltage Drop'!$H8)</f>
        <v/>
      </c>
      <c r="BT8" s="387" t="str">
        <f>IF($BA8="","",'Voltage Drop'!$K8)</f>
        <v/>
      </c>
      <c r="BU8" s="387" t="str">
        <f t="shared" si="0"/>
        <v/>
      </c>
      <c r="BV8" s="387"/>
      <c r="BW8" s="387" t="b">
        <f t="shared" si="1"/>
        <v>0</v>
      </c>
      <c r="BY8" s="387"/>
      <c r="BZ8" s="387"/>
    </row>
    <row r="9" spans="1:78" ht="15" customHeight="1" x14ac:dyDescent="0.45">
      <c r="A9" s="161"/>
      <c r="B9" s="389"/>
      <c r="C9" s="207"/>
      <c r="D9" s="208"/>
      <c r="E9" s="161"/>
      <c r="F9" s="389"/>
      <c r="G9" s="389"/>
      <c r="H9" s="389"/>
      <c r="I9" s="389"/>
      <c r="J9" s="389"/>
      <c r="K9" s="389"/>
      <c r="L9" s="209"/>
      <c r="M9" s="209"/>
      <c r="N9" s="209"/>
      <c r="O9" s="209"/>
      <c r="P9" s="209"/>
      <c r="Q9" s="161"/>
      <c r="R9" s="390"/>
      <c r="S9" s="390"/>
      <c r="T9" s="161"/>
      <c r="U9" s="389"/>
      <c r="BA9" s="387" t="str">
        <f>IF('Short Circuit'!$A9="","",'Short Circuit'!$A9)</f>
        <v/>
      </c>
      <c r="BB9" s="387" t="str">
        <f>IF($BA9="","",'Short Circuit'!$B9)</f>
        <v/>
      </c>
      <c r="BC9" s="387" t="str">
        <f>IF($BA9="","",'Short Circuit'!$C9)</f>
        <v/>
      </c>
      <c r="BD9" s="387" t="str">
        <f>IF($BA9="","",'Short Circuit'!$D9)</f>
        <v/>
      </c>
      <c r="BE9" s="387" t="str">
        <f>IF($BA9="","",'Short Circuit'!$E9)</f>
        <v/>
      </c>
      <c r="BF9" s="387" t="str">
        <f>IF($BA9="","",IFERROR(_xlfn.XLOOKUP("F-"&amp;$BA9,'Feeder Schedule'!$B$5:$B$254,'Feeder Schedule'!$B$5:$B$254),IFERROR(_xlfn.XLOOKUP($BA9,'Feeder Schedule'!$B$5:$B$254,'Feeder Schedule'!$B$5:$B$254),"")))</f>
        <v/>
      </c>
      <c r="BG9" s="387" t="str">
        <f>IF($BF9="","",IFERROR(_xlfn.XLOOKUP($BF9,'Feeder Schedule'!$B$5:$B$254,'Feeder Schedule'!$A$5:$A$254),""))</f>
        <v/>
      </c>
      <c r="BH9" s="387" t="str">
        <f>IF($BF9="","",IFERROR(_xlfn.XLOOKUP($BF9,'Feeder Schedule'!$B$5:$B$254,'Feeder Schedule'!$O$5:$O$254),""))</f>
        <v/>
      </c>
      <c r="BI9" s="387" t="str">
        <f>IF($BF9="","",IFERROR(_xlfn.XLOOKUP($BF9,'Feeder Schedule'!$B$5:$B$254,'Feeder Schedule'!$P$5:$P$254),""))</f>
        <v/>
      </c>
      <c r="BJ9" s="387" t="str">
        <f>IF($BF9="","",IFERROR(_xlfn.XLOOKUP($BF9,'Feeder Schedule'!$B$5:$B$254,'Feeder Schedule'!$Q$5:$Q$254),""))</f>
        <v/>
      </c>
      <c r="BK9" s="387" t="str">
        <f>IF($BF9="","",IFERROR(_xlfn.XLOOKUP($BF9,'Feeder Schedule'!$B$5:$B$254,'Feeder Schedule'!$S$5:$S$254),""))</f>
        <v/>
      </c>
      <c r="BL9" s="387" t="str">
        <f>IF($BF9="","",IFERROR(_xlfn.XLOOKUP($BF9,'Feeder Schedule'!$B$5:$B$254,'Feeder Schedule'!$H$5:$H$254),""))</f>
        <v/>
      </c>
      <c r="BM9" s="534" t="str">
        <f>IF($BA9="","",'Short Circuit'!$J9)</f>
        <v/>
      </c>
      <c r="BN9" s="534" t="str">
        <f>IF($BA9="","",'Short Circuit'!$Q9)</f>
        <v/>
      </c>
      <c r="BO9" s="387" t="str">
        <f>IF($BA9="","",'Short Circuit'!$R9)</f>
        <v/>
      </c>
      <c r="BP9" s="535" t="str">
        <f>IF($BA9="","",'Short Circuit'!$S9)</f>
        <v/>
      </c>
      <c r="BQ9" s="387" t="str">
        <f>IF($BA9="","",'Short Circuit'!$T9)</f>
        <v/>
      </c>
      <c r="BR9" s="536" t="str">
        <f>IF($BA9="","",'Voltage Drop'!$G9)</f>
        <v/>
      </c>
      <c r="BS9" s="536" t="str">
        <f>IF($BA9="","",'Voltage Drop'!$H9)</f>
        <v/>
      </c>
      <c r="BT9" s="387" t="str">
        <f>IF($BA9="","",'Voltage Drop'!$K9)</f>
        <v/>
      </c>
      <c r="BU9" s="387" t="str">
        <f t="shared" si="0"/>
        <v/>
      </c>
      <c r="BV9" s="387"/>
      <c r="BW9" s="387" t="b">
        <f t="shared" si="1"/>
        <v>0</v>
      </c>
      <c r="BY9" s="387"/>
      <c r="BZ9" s="387"/>
    </row>
    <row r="10" spans="1:78" ht="15" customHeight="1" x14ac:dyDescent="0.45">
      <c r="A10" s="161"/>
      <c r="B10" s="389"/>
      <c r="C10" s="207"/>
      <c r="D10" s="208"/>
      <c r="E10" s="161"/>
      <c r="F10" s="389"/>
      <c r="G10" s="389"/>
      <c r="H10" s="389"/>
      <c r="I10" s="389"/>
      <c r="J10" s="389"/>
      <c r="K10" s="389"/>
      <c r="L10" s="209"/>
      <c r="M10" s="209"/>
      <c r="N10" s="209"/>
      <c r="O10" s="209"/>
      <c r="P10" s="209"/>
      <c r="Q10" s="161"/>
      <c r="R10" s="390"/>
      <c r="S10" s="390"/>
      <c r="T10" s="161"/>
      <c r="U10" s="389"/>
      <c r="BA10" s="387" t="str">
        <f>IF('Short Circuit'!$A10="","",'Short Circuit'!$A10)</f>
        <v/>
      </c>
      <c r="BB10" s="387" t="str">
        <f>IF($BA10="","",'Short Circuit'!$B10)</f>
        <v/>
      </c>
      <c r="BC10" s="387" t="str">
        <f>IF($BA10="","",'Short Circuit'!$C10)</f>
        <v/>
      </c>
      <c r="BD10" s="387" t="str">
        <f>IF($BA10="","",'Short Circuit'!$D10)</f>
        <v/>
      </c>
      <c r="BE10" s="387" t="str">
        <f>IF($BA10="","",'Short Circuit'!$E10)</f>
        <v/>
      </c>
      <c r="BF10" s="387" t="str">
        <f>IF($BA10="","",IFERROR(_xlfn.XLOOKUP("F-"&amp;$BA10,'Feeder Schedule'!$B$5:$B$254,'Feeder Schedule'!$B$5:$B$254),IFERROR(_xlfn.XLOOKUP($BA10,'Feeder Schedule'!$B$5:$B$254,'Feeder Schedule'!$B$5:$B$254),"")))</f>
        <v/>
      </c>
      <c r="BG10" s="387" t="str">
        <f>IF($BF10="","",IFERROR(_xlfn.XLOOKUP($BF10,'Feeder Schedule'!$B$5:$B$254,'Feeder Schedule'!$A$5:$A$254),""))</f>
        <v/>
      </c>
      <c r="BH10" s="387" t="str">
        <f>IF($BF10="","",IFERROR(_xlfn.XLOOKUP($BF10,'Feeder Schedule'!$B$5:$B$254,'Feeder Schedule'!$O$5:$O$254),""))</f>
        <v/>
      </c>
      <c r="BI10" s="387" t="str">
        <f>IF($BF10="","",IFERROR(_xlfn.XLOOKUP($BF10,'Feeder Schedule'!$B$5:$B$254,'Feeder Schedule'!$P$5:$P$254),""))</f>
        <v/>
      </c>
      <c r="BJ10" s="387" t="str">
        <f>IF($BF10="","",IFERROR(_xlfn.XLOOKUP($BF10,'Feeder Schedule'!$B$5:$B$254,'Feeder Schedule'!$Q$5:$Q$254),""))</f>
        <v/>
      </c>
      <c r="BK10" s="387" t="str">
        <f>IF($BF10="","",IFERROR(_xlfn.XLOOKUP($BF10,'Feeder Schedule'!$B$5:$B$254,'Feeder Schedule'!$S$5:$S$254),""))</f>
        <v/>
      </c>
      <c r="BL10" s="387" t="str">
        <f>IF($BF10="","",IFERROR(_xlfn.XLOOKUP($BF10,'Feeder Schedule'!$B$5:$B$254,'Feeder Schedule'!$H$5:$H$254),""))</f>
        <v/>
      </c>
      <c r="BM10" s="534" t="str">
        <f>IF($BA10="","",'Short Circuit'!$J10)</f>
        <v/>
      </c>
      <c r="BN10" s="534" t="str">
        <f>IF($BA10="","",'Short Circuit'!$Q10)</f>
        <v/>
      </c>
      <c r="BO10" s="387" t="str">
        <f>IF($BA10="","",'Short Circuit'!$R10)</f>
        <v/>
      </c>
      <c r="BP10" s="535" t="str">
        <f>IF($BA10="","",'Short Circuit'!$S10)</f>
        <v/>
      </c>
      <c r="BQ10" s="387" t="str">
        <f>IF($BA10="","",'Short Circuit'!$T10)</f>
        <v/>
      </c>
      <c r="BR10" s="536" t="str">
        <f>IF($BA10="","",'Voltage Drop'!$G10)</f>
        <v/>
      </c>
      <c r="BS10" s="536" t="str">
        <f>IF($BA10="","",'Voltage Drop'!$H10)</f>
        <v/>
      </c>
      <c r="BT10" s="387" t="str">
        <f>IF($BA10="","",'Voltage Drop'!$K10)</f>
        <v/>
      </c>
      <c r="BU10" s="387" t="str">
        <f t="shared" si="0"/>
        <v/>
      </c>
      <c r="BV10" s="387"/>
      <c r="BW10" s="387" t="b">
        <f t="shared" si="1"/>
        <v>0</v>
      </c>
      <c r="BY10" s="387"/>
      <c r="BZ10" s="387"/>
    </row>
    <row r="11" spans="1:78" ht="15" customHeight="1" x14ac:dyDescent="0.45">
      <c r="A11" s="161"/>
      <c r="B11" s="389"/>
      <c r="C11" s="207"/>
      <c r="D11" s="208"/>
      <c r="E11" s="161"/>
      <c r="F11" s="389"/>
      <c r="G11" s="389"/>
      <c r="H11" s="389"/>
      <c r="I11" s="389"/>
      <c r="J11" s="389"/>
      <c r="K11" s="389"/>
      <c r="L11" s="209"/>
      <c r="M11" s="209"/>
      <c r="N11" s="209"/>
      <c r="O11" s="209"/>
      <c r="P11" s="209"/>
      <c r="Q11" s="161"/>
      <c r="R11" s="390"/>
      <c r="S11" s="390"/>
      <c r="T11" s="161"/>
      <c r="U11" s="389"/>
      <c r="BA11" s="387" t="str">
        <f>IF('Short Circuit'!$A11="","",'Short Circuit'!$A11)</f>
        <v/>
      </c>
      <c r="BB11" s="387" t="str">
        <f>IF($BA11="","",'Short Circuit'!$B11)</f>
        <v/>
      </c>
      <c r="BC11" s="387" t="str">
        <f>IF($BA11="","",'Short Circuit'!$C11)</f>
        <v/>
      </c>
      <c r="BD11" s="387" t="str">
        <f>IF($BA11="","",'Short Circuit'!$D11)</f>
        <v/>
      </c>
      <c r="BE11" s="387" t="str">
        <f>IF($BA11="","",'Short Circuit'!$E11)</f>
        <v/>
      </c>
      <c r="BF11" s="387" t="str">
        <f>IF($BA11="","",IFERROR(_xlfn.XLOOKUP("F-"&amp;$BA11,'Feeder Schedule'!$B$5:$B$254,'Feeder Schedule'!$B$5:$B$254),IFERROR(_xlfn.XLOOKUP($BA11,'Feeder Schedule'!$B$5:$B$254,'Feeder Schedule'!$B$5:$B$254),"")))</f>
        <v/>
      </c>
      <c r="BG11" s="387" t="str">
        <f>IF($BF11="","",IFERROR(_xlfn.XLOOKUP($BF11,'Feeder Schedule'!$B$5:$B$254,'Feeder Schedule'!$A$5:$A$254),""))</f>
        <v/>
      </c>
      <c r="BH11" s="387" t="str">
        <f>IF($BF11="","",IFERROR(_xlfn.XLOOKUP($BF11,'Feeder Schedule'!$B$5:$B$254,'Feeder Schedule'!$O$5:$O$254),""))</f>
        <v/>
      </c>
      <c r="BI11" s="387" t="str">
        <f>IF($BF11="","",IFERROR(_xlfn.XLOOKUP($BF11,'Feeder Schedule'!$B$5:$B$254,'Feeder Schedule'!$P$5:$P$254),""))</f>
        <v/>
      </c>
      <c r="BJ11" s="387" t="str">
        <f>IF($BF11="","",IFERROR(_xlfn.XLOOKUP($BF11,'Feeder Schedule'!$B$5:$B$254,'Feeder Schedule'!$Q$5:$Q$254),""))</f>
        <v/>
      </c>
      <c r="BK11" s="387" t="str">
        <f>IF($BF11="","",IFERROR(_xlfn.XLOOKUP($BF11,'Feeder Schedule'!$B$5:$B$254,'Feeder Schedule'!$S$5:$S$254),""))</f>
        <v/>
      </c>
      <c r="BL11" s="387" t="str">
        <f>IF($BF11="","",IFERROR(_xlfn.XLOOKUP($BF11,'Feeder Schedule'!$B$5:$B$254,'Feeder Schedule'!$H$5:$H$254),""))</f>
        <v/>
      </c>
      <c r="BM11" s="534" t="str">
        <f>IF($BA11="","",'Short Circuit'!$J11)</f>
        <v/>
      </c>
      <c r="BN11" s="534" t="str">
        <f>IF($BA11="","",'Short Circuit'!$Q11)</f>
        <v/>
      </c>
      <c r="BO11" s="387" t="str">
        <f>IF($BA11="","",'Short Circuit'!$R11)</f>
        <v/>
      </c>
      <c r="BP11" s="535" t="str">
        <f>IF($BA11="","",'Short Circuit'!$S11)</f>
        <v/>
      </c>
      <c r="BQ11" s="387" t="str">
        <f>IF($BA11="","",'Short Circuit'!$T11)</f>
        <v/>
      </c>
      <c r="BR11" s="536" t="str">
        <f>IF($BA11="","",'Voltage Drop'!$G11)</f>
        <v/>
      </c>
      <c r="BS11" s="536" t="str">
        <f>IF($BA11="","",'Voltage Drop'!$H11)</f>
        <v/>
      </c>
      <c r="BT11" s="387" t="str">
        <f>IF($BA11="","",'Voltage Drop'!$K11)</f>
        <v/>
      </c>
      <c r="BU11" s="387" t="str">
        <f t="shared" si="0"/>
        <v/>
      </c>
      <c r="BV11" s="387"/>
      <c r="BW11" s="387" t="b">
        <f t="shared" si="1"/>
        <v>0</v>
      </c>
      <c r="BY11" s="387"/>
      <c r="BZ11" s="387"/>
    </row>
    <row r="12" spans="1:78" ht="15" customHeight="1" x14ac:dyDescent="0.45">
      <c r="A12" s="161"/>
      <c r="B12" s="389"/>
      <c r="C12" s="207"/>
      <c r="D12" s="208"/>
      <c r="E12" s="161"/>
      <c r="F12" s="389"/>
      <c r="G12" s="389"/>
      <c r="H12" s="389"/>
      <c r="I12" s="389"/>
      <c r="J12" s="389"/>
      <c r="K12" s="389"/>
      <c r="L12" s="209"/>
      <c r="M12" s="209"/>
      <c r="N12" s="209"/>
      <c r="O12" s="209"/>
      <c r="P12" s="209"/>
      <c r="Q12" s="161"/>
      <c r="R12" s="390"/>
      <c r="S12" s="390"/>
      <c r="T12" s="161"/>
      <c r="U12" s="389"/>
      <c r="BA12" s="387" t="str">
        <f>IF('Short Circuit'!$A12="","",'Short Circuit'!$A12)</f>
        <v/>
      </c>
      <c r="BB12" s="387" t="str">
        <f>IF($BA12="","",'Short Circuit'!$B12)</f>
        <v/>
      </c>
      <c r="BC12" s="387" t="str">
        <f>IF($BA12="","",'Short Circuit'!$C12)</f>
        <v/>
      </c>
      <c r="BD12" s="387" t="str">
        <f>IF($BA12="","",'Short Circuit'!$D12)</f>
        <v/>
      </c>
      <c r="BE12" s="387" t="str">
        <f>IF($BA12="","",'Short Circuit'!$E12)</f>
        <v/>
      </c>
      <c r="BF12" s="387" t="str">
        <f>IF($BA12="","",IFERROR(_xlfn.XLOOKUP("F-"&amp;$BA12,'Feeder Schedule'!$B$5:$B$254,'Feeder Schedule'!$B$5:$B$254),IFERROR(_xlfn.XLOOKUP($BA12,'Feeder Schedule'!$B$5:$B$254,'Feeder Schedule'!$B$5:$B$254),"")))</f>
        <v/>
      </c>
      <c r="BG12" s="387" t="str">
        <f>IF($BF12="","",IFERROR(_xlfn.XLOOKUP($BF12,'Feeder Schedule'!$B$5:$B$254,'Feeder Schedule'!$A$5:$A$254),""))</f>
        <v/>
      </c>
      <c r="BH12" s="387" t="str">
        <f>IF($BF12="","",IFERROR(_xlfn.XLOOKUP($BF12,'Feeder Schedule'!$B$5:$B$254,'Feeder Schedule'!$O$5:$O$254),""))</f>
        <v/>
      </c>
      <c r="BI12" s="387" t="str">
        <f>IF($BF12="","",IFERROR(_xlfn.XLOOKUP($BF12,'Feeder Schedule'!$B$5:$B$254,'Feeder Schedule'!$P$5:$P$254),""))</f>
        <v/>
      </c>
      <c r="BJ12" s="387" t="str">
        <f>IF($BF12="","",IFERROR(_xlfn.XLOOKUP($BF12,'Feeder Schedule'!$B$5:$B$254,'Feeder Schedule'!$Q$5:$Q$254),""))</f>
        <v/>
      </c>
      <c r="BK12" s="387" t="str">
        <f>IF($BF12="","",IFERROR(_xlfn.XLOOKUP($BF12,'Feeder Schedule'!$B$5:$B$254,'Feeder Schedule'!$S$5:$S$254),""))</f>
        <v/>
      </c>
      <c r="BL12" s="387" t="str">
        <f>IF($BF12="","",IFERROR(_xlfn.XLOOKUP($BF12,'Feeder Schedule'!$B$5:$B$254,'Feeder Schedule'!$H$5:$H$254),""))</f>
        <v/>
      </c>
      <c r="BM12" s="534" t="str">
        <f>IF($BA12="","",'Short Circuit'!$J12)</f>
        <v/>
      </c>
      <c r="BN12" s="534" t="str">
        <f>IF($BA12="","",'Short Circuit'!$Q12)</f>
        <v/>
      </c>
      <c r="BO12" s="387" t="str">
        <f>IF($BA12="","",'Short Circuit'!$R12)</f>
        <v/>
      </c>
      <c r="BP12" s="535" t="str">
        <f>IF($BA12="","",'Short Circuit'!$S12)</f>
        <v/>
      </c>
      <c r="BQ12" s="387" t="str">
        <f>IF($BA12="","",'Short Circuit'!$T12)</f>
        <v/>
      </c>
      <c r="BR12" s="536" t="str">
        <f>IF($BA12="","",'Voltage Drop'!$G12)</f>
        <v/>
      </c>
      <c r="BS12" s="536" t="str">
        <f>IF($BA12="","",'Voltage Drop'!$H12)</f>
        <v/>
      </c>
      <c r="BT12" s="387" t="str">
        <f>IF($BA12="","",'Voltage Drop'!$K12)</f>
        <v/>
      </c>
      <c r="BU12" s="387" t="str">
        <f t="shared" si="0"/>
        <v/>
      </c>
      <c r="BV12" s="387"/>
      <c r="BW12" s="387" t="b">
        <f t="shared" si="1"/>
        <v>0</v>
      </c>
      <c r="BY12" s="387"/>
      <c r="BZ12" s="387"/>
    </row>
    <row r="13" spans="1:78" ht="15" customHeight="1" x14ac:dyDescent="0.45">
      <c r="A13" s="161"/>
      <c r="B13" s="389"/>
      <c r="C13" s="207"/>
      <c r="D13" s="208"/>
      <c r="E13" s="161"/>
      <c r="F13" s="389"/>
      <c r="G13" s="389"/>
      <c r="H13" s="389"/>
      <c r="I13" s="389"/>
      <c r="J13" s="389"/>
      <c r="K13" s="389"/>
      <c r="L13" s="209"/>
      <c r="M13" s="209"/>
      <c r="N13" s="209"/>
      <c r="O13" s="209"/>
      <c r="P13" s="209"/>
      <c r="Q13" s="161"/>
      <c r="R13" s="390"/>
      <c r="S13" s="390"/>
      <c r="T13" s="161"/>
      <c r="U13" s="389"/>
      <c r="BA13" s="387" t="str">
        <f>IF('Short Circuit'!$A13="","",'Short Circuit'!$A13)</f>
        <v/>
      </c>
      <c r="BB13" s="387" t="str">
        <f>IF($BA13="","",'Short Circuit'!$B13)</f>
        <v/>
      </c>
      <c r="BC13" s="387" t="str">
        <f>IF($BA13="","",'Short Circuit'!$C13)</f>
        <v/>
      </c>
      <c r="BD13" s="387" t="str">
        <f>IF($BA13="","",'Short Circuit'!$D13)</f>
        <v/>
      </c>
      <c r="BE13" s="387" t="str">
        <f>IF($BA13="","",'Short Circuit'!$E13)</f>
        <v/>
      </c>
      <c r="BF13" s="387" t="str">
        <f>IF($BA13="","",IFERROR(_xlfn.XLOOKUP("F-"&amp;$BA13,'Feeder Schedule'!$B$5:$B$254,'Feeder Schedule'!$B$5:$B$254),IFERROR(_xlfn.XLOOKUP($BA13,'Feeder Schedule'!$B$5:$B$254,'Feeder Schedule'!$B$5:$B$254),"")))</f>
        <v/>
      </c>
      <c r="BG13" s="387" t="str">
        <f>IF($BF13="","",IFERROR(_xlfn.XLOOKUP($BF13,'Feeder Schedule'!$B$5:$B$254,'Feeder Schedule'!$A$5:$A$254),""))</f>
        <v/>
      </c>
      <c r="BH13" s="387" t="str">
        <f>IF($BF13="","",IFERROR(_xlfn.XLOOKUP($BF13,'Feeder Schedule'!$B$5:$B$254,'Feeder Schedule'!$O$5:$O$254),""))</f>
        <v/>
      </c>
      <c r="BI13" s="387" t="str">
        <f>IF($BF13="","",IFERROR(_xlfn.XLOOKUP($BF13,'Feeder Schedule'!$B$5:$B$254,'Feeder Schedule'!$P$5:$P$254),""))</f>
        <v/>
      </c>
      <c r="BJ13" s="387" t="str">
        <f>IF($BF13="","",IFERROR(_xlfn.XLOOKUP($BF13,'Feeder Schedule'!$B$5:$B$254,'Feeder Schedule'!$Q$5:$Q$254),""))</f>
        <v/>
      </c>
      <c r="BK13" s="387" t="str">
        <f>IF($BF13="","",IFERROR(_xlfn.XLOOKUP($BF13,'Feeder Schedule'!$B$5:$B$254,'Feeder Schedule'!$S$5:$S$254),""))</f>
        <v/>
      </c>
      <c r="BL13" s="387" t="str">
        <f>IF($BF13="","",IFERROR(_xlfn.XLOOKUP($BF13,'Feeder Schedule'!$B$5:$B$254,'Feeder Schedule'!$H$5:$H$254),""))</f>
        <v/>
      </c>
      <c r="BM13" s="534" t="str">
        <f>IF($BA13="","",'Short Circuit'!$J13)</f>
        <v/>
      </c>
      <c r="BN13" s="534" t="str">
        <f>IF($BA13="","",'Short Circuit'!$Q13)</f>
        <v/>
      </c>
      <c r="BO13" s="387" t="str">
        <f>IF($BA13="","",'Short Circuit'!$R13)</f>
        <v/>
      </c>
      <c r="BP13" s="535" t="str">
        <f>IF($BA13="","",'Short Circuit'!$S13)</f>
        <v/>
      </c>
      <c r="BQ13" s="387" t="str">
        <f>IF($BA13="","",'Short Circuit'!$T13)</f>
        <v/>
      </c>
      <c r="BR13" s="536" t="str">
        <f>IF($BA13="","",'Voltage Drop'!$G13)</f>
        <v/>
      </c>
      <c r="BS13" s="536" t="str">
        <f>IF($BA13="","",'Voltage Drop'!$H13)</f>
        <v/>
      </c>
      <c r="BT13" s="387" t="str">
        <f>IF($BA13="","",'Voltage Drop'!$K13)</f>
        <v/>
      </c>
      <c r="BU13" s="387" t="str">
        <f t="shared" si="0"/>
        <v/>
      </c>
      <c r="BV13" s="387"/>
      <c r="BW13" s="387" t="b">
        <f t="shared" si="1"/>
        <v>0</v>
      </c>
      <c r="BY13" s="387"/>
      <c r="BZ13" s="387"/>
    </row>
    <row r="14" spans="1:78" ht="15" customHeight="1" x14ac:dyDescent="0.45">
      <c r="A14" s="161"/>
      <c r="B14" s="389"/>
      <c r="C14" s="207"/>
      <c r="D14" s="208"/>
      <c r="E14" s="161"/>
      <c r="F14" s="389"/>
      <c r="G14" s="389"/>
      <c r="H14" s="389"/>
      <c r="I14" s="389"/>
      <c r="J14" s="389"/>
      <c r="K14" s="389"/>
      <c r="L14" s="209"/>
      <c r="M14" s="209"/>
      <c r="N14" s="209"/>
      <c r="O14" s="209"/>
      <c r="P14" s="209"/>
      <c r="Q14" s="161"/>
      <c r="R14" s="390"/>
      <c r="S14" s="390"/>
      <c r="T14" s="161"/>
      <c r="U14" s="389"/>
      <c r="BA14" s="387" t="str">
        <f>IF('Short Circuit'!$A14="","",'Short Circuit'!$A14)</f>
        <v/>
      </c>
      <c r="BB14" s="387" t="str">
        <f>IF($BA14="","",'Short Circuit'!$B14)</f>
        <v/>
      </c>
      <c r="BC14" s="387" t="str">
        <f>IF($BA14="","",'Short Circuit'!$C14)</f>
        <v/>
      </c>
      <c r="BD14" s="387" t="str">
        <f>IF($BA14="","",'Short Circuit'!$D14)</f>
        <v/>
      </c>
      <c r="BE14" s="387" t="str">
        <f>IF($BA14="","",'Short Circuit'!$E14)</f>
        <v/>
      </c>
      <c r="BF14" s="387" t="str">
        <f>IF($BA14="","",IFERROR(_xlfn.XLOOKUP("F-"&amp;$BA14,'Feeder Schedule'!$B$5:$B$254,'Feeder Schedule'!$B$5:$B$254),IFERROR(_xlfn.XLOOKUP($BA14,'Feeder Schedule'!$B$5:$B$254,'Feeder Schedule'!$B$5:$B$254),"")))</f>
        <v/>
      </c>
      <c r="BG14" s="387" t="str">
        <f>IF($BF14="","",IFERROR(_xlfn.XLOOKUP($BF14,'Feeder Schedule'!$B$5:$B$254,'Feeder Schedule'!$A$5:$A$254),""))</f>
        <v/>
      </c>
      <c r="BH14" s="387" t="str">
        <f>IF($BF14="","",IFERROR(_xlfn.XLOOKUP($BF14,'Feeder Schedule'!$B$5:$B$254,'Feeder Schedule'!$O$5:$O$254),""))</f>
        <v/>
      </c>
      <c r="BI14" s="387" t="str">
        <f>IF($BF14="","",IFERROR(_xlfn.XLOOKUP($BF14,'Feeder Schedule'!$B$5:$B$254,'Feeder Schedule'!$P$5:$P$254),""))</f>
        <v/>
      </c>
      <c r="BJ14" s="387" t="str">
        <f>IF($BF14="","",IFERROR(_xlfn.XLOOKUP($BF14,'Feeder Schedule'!$B$5:$B$254,'Feeder Schedule'!$Q$5:$Q$254),""))</f>
        <v/>
      </c>
      <c r="BK14" s="387" t="str">
        <f>IF($BF14="","",IFERROR(_xlfn.XLOOKUP($BF14,'Feeder Schedule'!$B$5:$B$254,'Feeder Schedule'!$S$5:$S$254),""))</f>
        <v/>
      </c>
      <c r="BL14" s="387" t="str">
        <f>IF($BF14="","",IFERROR(_xlfn.XLOOKUP($BF14,'Feeder Schedule'!$B$5:$B$254,'Feeder Schedule'!$H$5:$H$254),""))</f>
        <v/>
      </c>
      <c r="BM14" s="534" t="str">
        <f>IF($BA14="","",'Short Circuit'!$J14)</f>
        <v/>
      </c>
      <c r="BN14" s="534" t="str">
        <f>IF($BA14="","",'Short Circuit'!$Q14)</f>
        <v/>
      </c>
      <c r="BO14" s="387" t="str">
        <f>IF($BA14="","",'Short Circuit'!$R14)</f>
        <v/>
      </c>
      <c r="BP14" s="535" t="str">
        <f>IF($BA14="","",'Short Circuit'!$S14)</f>
        <v/>
      </c>
      <c r="BQ14" s="387" t="str">
        <f>IF($BA14="","",'Short Circuit'!$T14)</f>
        <v/>
      </c>
      <c r="BR14" s="536" t="str">
        <f>IF($BA14="","",'Voltage Drop'!$G14)</f>
        <v/>
      </c>
      <c r="BS14" s="536" t="str">
        <f>IF($BA14="","",'Voltage Drop'!$H14)</f>
        <v/>
      </c>
      <c r="BT14" s="387" t="str">
        <f>IF($BA14="","",'Voltage Drop'!$K14)</f>
        <v/>
      </c>
      <c r="BU14" s="387" t="str">
        <f t="shared" si="0"/>
        <v/>
      </c>
      <c r="BV14" s="387"/>
      <c r="BW14" s="387" t="b">
        <f t="shared" si="1"/>
        <v>0</v>
      </c>
      <c r="BY14" s="387"/>
      <c r="BZ14" s="387"/>
    </row>
    <row r="15" spans="1:78" ht="15" customHeight="1" x14ac:dyDescent="0.45">
      <c r="A15" s="161"/>
      <c r="B15" s="389"/>
      <c r="C15" s="207"/>
      <c r="D15" s="208"/>
      <c r="E15" s="161"/>
      <c r="F15" s="389"/>
      <c r="G15" s="389"/>
      <c r="H15" s="389"/>
      <c r="I15" s="389"/>
      <c r="J15" s="389"/>
      <c r="K15" s="389"/>
      <c r="L15" s="209"/>
      <c r="M15" s="209"/>
      <c r="N15" s="209"/>
      <c r="O15" s="209"/>
      <c r="P15" s="209"/>
      <c r="Q15" s="161"/>
      <c r="R15" s="390"/>
      <c r="S15" s="390"/>
      <c r="T15" s="161"/>
      <c r="U15" s="389"/>
      <c r="BA15" s="387" t="str">
        <f>IF('Short Circuit'!$A15="","",'Short Circuit'!$A15)</f>
        <v/>
      </c>
      <c r="BB15" s="387" t="str">
        <f>IF($BA15="","",'Short Circuit'!$B15)</f>
        <v/>
      </c>
      <c r="BC15" s="387" t="str">
        <f>IF($BA15="","",'Short Circuit'!$C15)</f>
        <v/>
      </c>
      <c r="BD15" s="387" t="str">
        <f>IF($BA15="","",'Short Circuit'!$D15)</f>
        <v/>
      </c>
      <c r="BE15" s="387" t="str">
        <f>IF($BA15="","",'Short Circuit'!$E15)</f>
        <v/>
      </c>
      <c r="BF15" s="387" t="str">
        <f>IF($BA15="","",IFERROR(_xlfn.XLOOKUP("F-"&amp;$BA15,'Feeder Schedule'!$B$5:$B$254,'Feeder Schedule'!$B$5:$B$254),IFERROR(_xlfn.XLOOKUP($BA15,'Feeder Schedule'!$B$5:$B$254,'Feeder Schedule'!$B$5:$B$254),"")))</f>
        <v/>
      </c>
      <c r="BG15" s="387" t="str">
        <f>IF($BF15="","",IFERROR(_xlfn.XLOOKUP($BF15,'Feeder Schedule'!$B$5:$B$254,'Feeder Schedule'!$A$5:$A$254),""))</f>
        <v/>
      </c>
      <c r="BH15" s="387" t="str">
        <f>IF($BF15="","",IFERROR(_xlfn.XLOOKUP($BF15,'Feeder Schedule'!$B$5:$B$254,'Feeder Schedule'!$O$5:$O$254),""))</f>
        <v/>
      </c>
      <c r="BI15" s="387" t="str">
        <f>IF($BF15="","",IFERROR(_xlfn.XLOOKUP($BF15,'Feeder Schedule'!$B$5:$B$254,'Feeder Schedule'!$P$5:$P$254),""))</f>
        <v/>
      </c>
      <c r="BJ15" s="387" t="str">
        <f>IF($BF15="","",IFERROR(_xlfn.XLOOKUP($BF15,'Feeder Schedule'!$B$5:$B$254,'Feeder Schedule'!$Q$5:$Q$254),""))</f>
        <v/>
      </c>
      <c r="BK15" s="387" t="str">
        <f>IF($BF15="","",IFERROR(_xlfn.XLOOKUP($BF15,'Feeder Schedule'!$B$5:$B$254,'Feeder Schedule'!$S$5:$S$254),""))</f>
        <v/>
      </c>
      <c r="BL15" s="387" t="str">
        <f>IF($BF15="","",IFERROR(_xlfn.XLOOKUP($BF15,'Feeder Schedule'!$B$5:$B$254,'Feeder Schedule'!$H$5:$H$254),""))</f>
        <v/>
      </c>
      <c r="BM15" s="534" t="str">
        <f>IF($BA15="","",'Short Circuit'!$J15)</f>
        <v/>
      </c>
      <c r="BN15" s="534" t="str">
        <f>IF($BA15="","",'Short Circuit'!$Q15)</f>
        <v/>
      </c>
      <c r="BO15" s="387" t="str">
        <f>IF($BA15="","",'Short Circuit'!$R15)</f>
        <v/>
      </c>
      <c r="BP15" s="535" t="str">
        <f>IF($BA15="","",'Short Circuit'!$S15)</f>
        <v/>
      </c>
      <c r="BQ15" s="387" t="str">
        <f>IF($BA15="","",'Short Circuit'!$T15)</f>
        <v/>
      </c>
      <c r="BR15" s="536" t="str">
        <f>IF($BA15="","",'Voltage Drop'!$G15)</f>
        <v/>
      </c>
      <c r="BS15" s="536" t="str">
        <f>IF($BA15="","",'Voltage Drop'!$H15)</f>
        <v/>
      </c>
      <c r="BT15" s="387" t="str">
        <f>IF($BA15="","",'Voltage Drop'!$K15)</f>
        <v/>
      </c>
      <c r="BU15" s="387" t="str">
        <f t="shared" si="0"/>
        <v/>
      </c>
      <c r="BV15" s="387"/>
      <c r="BW15" s="387" t="b">
        <f t="shared" si="1"/>
        <v>0</v>
      </c>
      <c r="BY15" s="387"/>
      <c r="BZ15" s="387"/>
    </row>
    <row r="16" spans="1:78" ht="15" customHeight="1" x14ac:dyDescent="0.45">
      <c r="A16" s="161"/>
      <c r="B16" s="389"/>
      <c r="C16" s="207"/>
      <c r="D16" s="208"/>
      <c r="E16" s="161"/>
      <c r="F16" s="389"/>
      <c r="G16" s="389"/>
      <c r="H16" s="389"/>
      <c r="I16" s="389"/>
      <c r="J16" s="389"/>
      <c r="K16" s="389"/>
      <c r="L16" s="209"/>
      <c r="M16" s="209"/>
      <c r="N16" s="209"/>
      <c r="O16" s="209"/>
      <c r="P16" s="209"/>
      <c r="Q16" s="161"/>
      <c r="R16" s="390"/>
      <c r="S16" s="390"/>
      <c r="T16" s="161"/>
      <c r="U16" s="389"/>
      <c r="BA16" s="387" t="str">
        <f>IF('Short Circuit'!$A16="","",'Short Circuit'!$A16)</f>
        <v/>
      </c>
      <c r="BB16" s="387" t="str">
        <f>IF($BA16="","",'Short Circuit'!$B16)</f>
        <v/>
      </c>
      <c r="BC16" s="387" t="str">
        <f>IF($BA16="","",'Short Circuit'!$C16)</f>
        <v/>
      </c>
      <c r="BD16" s="387" t="str">
        <f>IF($BA16="","",'Short Circuit'!$D16)</f>
        <v/>
      </c>
      <c r="BE16" s="387" t="str">
        <f>IF($BA16="","",'Short Circuit'!$E16)</f>
        <v/>
      </c>
      <c r="BF16" s="387" t="str">
        <f>IF($BA16="","",IFERROR(_xlfn.XLOOKUP("F-"&amp;$BA16,'Feeder Schedule'!$B$5:$B$254,'Feeder Schedule'!$B$5:$B$254),IFERROR(_xlfn.XLOOKUP($BA16,'Feeder Schedule'!$B$5:$B$254,'Feeder Schedule'!$B$5:$B$254),"")))</f>
        <v/>
      </c>
      <c r="BG16" s="387" t="str">
        <f>IF($BF16="","",IFERROR(_xlfn.XLOOKUP($BF16,'Feeder Schedule'!$B$5:$B$254,'Feeder Schedule'!$A$5:$A$254),""))</f>
        <v/>
      </c>
      <c r="BH16" s="387" t="str">
        <f>IF($BF16="","",IFERROR(_xlfn.XLOOKUP($BF16,'Feeder Schedule'!$B$5:$B$254,'Feeder Schedule'!$O$5:$O$254),""))</f>
        <v/>
      </c>
      <c r="BI16" s="387" t="str">
        <f>IF($BF16="","",IFERROR(_xlfn.XLOOKUP($BF16,'Feeder Schedule'!$B$5:$B$254,'Feeder Schedule'!$P$5:$P$254),""))</f>
        <v/>
      </c>
      <c r="BJ16" s="387" t="str">
        <f>IF($BF16="","",IFERROR(_xlfn.XLOOKUP($BF16,'Feeder Schedule'!$B$5:$B$254,'Feeder Schedule'!$Q$5:$Q$254),""))</f>
        <v/>
      </c>
      <c r="BK16" s="387" t="str">
        <f>IF($BF16="","",IFERROR(_xlfn.XLOOKUP($BF16,'Feeder Schedule'!$B$5:$B$254,'Feeder Schedule'!$S$5:$S$254),""))</f>
        <v/>
      </c>
      <c r="BL16" s="387" t="str">
        <f>IF($BF16="","",IFERROR(_xlfn.XLOOKUP($BF16,'Feeder Schedule'!$B$5:$B$254,'Feeder Schedule'!$H$5:$H$254),""))</f>
        <v/>
      </c>
      <c r="BM16" s="534" t="str">
        <f>IF($BA16="","",'Short Circuit'!$J16)</f>
        <v/>
      </c>
      <c r="BN16" s="534" t="str">
        <f>IF($BA16="","",'Short Circuit'!$Q16)</f>
        <v/>
      </c>
      <c r="BO16" s="387" t="str">
        <f>IF($BA16="","",'Short Circuit'!$R16)</f>
        <v/>
      </c>
      <c r="BP16" s="535" t="str">
        <f>IF($BA16="","",'Short Circuit'!$S16)</f>
        <v/>
      </c>
      <c r="BQ16" s="387" t="str">
        <f>IF($BA16="","",'Short Circuit'!$T16)</f>
        <v/>
      </c>
      <c r="BR16" s="536" t="str">
        <f>IF($BA16="","",'Voltage Drop'!$G16)</f>
        <v/>
      </c>
      <c r="BS16" s="536" t="str">
        <f>IF($BA16="","",'Voltage Drop'!$H16)</f>
        <v/>
      </c>
      <c r="BT16" s="387" t="str">
        <f>IF($BA16="","",'Voltage Drop'!$K16)</f>
        <v/>
      </c>
      <c r="BU16" s="387" t="str">
        <f t="shared" si="0"/>
        <v/>
      </c>
      <c r="BV16" s="387"/>
      <c r="BW16" s="387" t="b">
        <f t="shared" si="1"/>
        <v>0</v>
      </c>
      <c r="BY16" s="387"/>
      <c r="BZ16" s="387"/>
    </row>
    <row r="17" spans="1:78" ht="15" customHeight="1" x14ac:dyDescent="0.45">
      <c r="A17" s="161"/>
      <c r="B17" s="389"/>
      <c r="C17" s="207"/>
      <c r="D17" s="208"/>
      <c r="E17" s="161"/>
      <c r="F17" s="389"/>
      <c r="G17" s="389"/>
      <c r="H17" s="389"/>
      <c r="I17" s="389"/>
      <c r="J17" s="389"/>
      <c r="K17" s="389"/>
      <c r="L17" s="209"/>
      <c r="M17" s="209"/>
      <c r="N17" s="209"/>
      <c r="O17" s="209"/>
      <c r="P17" s="209"/>
      <c r="Q17" s="161"/>
      <c r="R17" s="390"/>
      <c r="S17" s="390"/>
      <c r="T17" s="161"/>
      <c r="U17" s="389"/>
      <c r="BA17" s="387" t="str">
        <f>IF('Short Circuit'!$A17="","",'Short Circuit'!$A17)</f>
        <v/>
      </c>
      <c r="BB17" s="387" t="str">
        <f>IF($BA17="","",'Short Circuit'!$B17)</f>
        <v/>
      </c>
      <c r="BC17" s="387" t="str">
        <f>IF($BA17="","",'Short Circuit'!$C17)</f>
        <v/>
      </c>
      <c r="BD17" s="387" t="str">
        <f>IF($BA17="","",'Short Circuit'!$D17)</f>
        <v/>
      </c>
      <c r="BE17" s="387" t="str">
        <f>IF($BA17="","",'Short Circuit'!$E17)</f>
        <v/>
      </c>
      <c r="BF17" s="387" t="str">
        <f>IF($BA17="","",IFERROR(_xlfn.XLOOKUP("F-"&amp;$BA17,'Feeder Schedule'!$B$5:$B$254,'Feeder Schedule'!$B$5:$B$254),IFERROR(_xlfn.XLOOKUP($BA17,'Feeder Schedule'!$B$5:$B$254,'Feeder Schedule'!$B$5:$B$254),"")))</f>
        <v/>
      </c>
      <c r="BG17" s="387" t="str">
        <f>IF($BF17="","",IFERROR(_xlfn.XLOOKUP($BF17,'Feeder Schedule'!$B$5:$B$254,'Feeder Schedule'!$A$5:$A$254),""))</f>
        <v/>
      </c>
      <c r="BH17" s="387" t="str">
        <f>IF($BF17="","",IFERROR(_xlfn.XLOOKUP($BF17,'Feeder Schedule'!$B$5:$B$254,'Feeder Schedule'!$O$5:$O$254),""))</f>
        <v/>
      </c>
      <c r="BI17" s="387" t="str">
        <f>IF($BF17="","",IFERROR(_xlfn.XLOOKUP($BF17,'Feeder Schedule'!$B$5:$B$254,'Feeder Schedule'!$P$5:$P$254),""))</f>
        <v/>
      </c>
      <c r="BJ17" s="387" t="str">
        <f>IF($BF17="","",IFERROR(_xlfn.XLOOKUP($BF17,'Feeder Schedule'!$B$5:$B$254,'Feeder Schedule'!$Q$5:$Q$254),""))</f>
        <v/>
      </c>
      <c r="BK17" s="387" t="str">
        <f>IF($BF17="","",IFERROR(_xlfn.XLOOKUP($BF17,'Feeder Schedule'!$B$5:$B$254,'Feeder Schedule'!$S$5:$S$254),""))</f>
        <v/>
      </c>
      <c r="BL17" s="387" t="str">
        <f>IF($BF17="","",IFERROR(_xlfn.XLOOKUP($BF17,'Feeder Schedule'!$B$5:$B$254,'Feeder Schedule'!$H$5:$H$254),""))</f>
        <v/>
      </c>
      <c r="BM17" s="534" t="str">
        <f>IF($BA17="","",'Short Circuit'!$J17)</f>
        <v/>
      </c>
      <c r="BN17" s="534" t="str">
        <f>IF($BA17="","",'Short Circuit'!$Q17)</f>
        <v/>
      </c>
      <c r="BO17" s="387" t="str">
        <f>IF($BA17="","",'Short Circuit'!$R17)</f>
        <v/>
      </c>
      <c r="BP17" s="535" t="str">
        <f>IF($BA17="","",'Short Circuit'!$S17)</f>
        <v/>
      </c>
      <c r="BQ17" s="387" t="str">
        <f>IF($BA17="","",'Short Circuit'!$T17)</f>
        <v/>
      </c>
      <c r="BR17" s="536" t="str">
        <f>IF($BA17="","",'Voltage Drop'!$G17)</f>
        <v/>
      </c>
      <c r="BS17" s="536" t="str">
        <f>IF($BA17="","",'Voltage Drop'!$H17)</f>
        <v/>
      </c>
      <c r="BT17" s="387" t="str">
        <f>IF($BA17="","",'Voltage Drop'!$K17)</f>
        <v/>
      </c>
      <c r="BU17" s="387" t="str">
        <f t="shared" si="0"/>
        <v/>
      </c>
      <c r="BV17" s="387"/>
      <c r="BW17" s="387" t="b">
        <f t="shared" si="1"/>
        <v>0</v>
      </c>
      <c r="BY17" s="387"/>
      <c r="BZ17" s="387"/>
    </row>
    <row r="18" spans="1:78" ht="15" customHeight="1" x14ac:dyDescent="0.45">
      <c r="A18" s="161"/>
      <c r="B18" s="389"/>
      <c r="C18" s="207"/>
      <c r="D18" s="208"/>
      <c r="E18" s="161"/>
      <c r="F18" s="389"/>
      <c r="G18" s="389"/>
      <c r="H18" s="389"/>
      <c r="I18" s="389"/>
      <c r="J18" s="389"/>
      <c r="K18" s="389"/>
      <c r="L18" s="209"/>
      <c r="M18" s="209"/>
      <c r="N18" s="209"/>
      <c r="O18" s="209"/>
      <c r="P18" s="209"/>
      <c r="Q18" s="161"/>
      <c r="R18" s="390"/>
      <c r="S18" s="390"/>
      <c r="T18" s="161"/>
      <c r="U18" s="389"/>
      <c r="BA18" s="387" t="str">
        <f>IF('Short Circuit'!$A18="","",'Short Circuit'!$A18)</f>
        <v/>
      </c>
      <c r="BB18" s="387" t="str">
        <f>IF($BA18="","",'Short Circuit'!$B18)</f>
        <v/>
      </c>
      <c r="BC18" s="387" t="str">
        <f>IF($BA18="","",'Short Circuit'!$C18)</f>
        <v/>
      </c>
      <c r="BD18" s="387" t="str">
        <f>IF($BA18="","",'Short Circuit'!$D18)</f>
        <v/>
      </c>
      <c r="BE18" s="387" t="str">
        <f>IF($BA18="","",'Short Circuit'!$E18)</f>
        <v/>
      </c>
      <c r="BF18" s="387" t="str">
        <f>IF($BA18="","",IFERROR(_xlfn.XLOOKUP("F-"&amp;$BA18,'Feeder Schedule'!$B$5:$B$254,'Feeder Schedule'!$B$5:$B$254),IFERROR(_xlfn.XLOOKUP($BA18,'Feeder Schedule'!$B$5:$B$254,'Feeder Schedule'!$B$5:$B$254),"")))</f>
        <v/>
      </c>
      <c r="BG18" s="387" t="str">
        <f>IF($BF18="","",IFERROR(_xlfn.XLOOKUP($BF18,'Feeder Schedule'!$B$5:$B$254,'Feeder Schedule'!$A$5:$A$254),""))</f>
        <v/>
      </c>
      <c r="BH18" s="387" t="str">
        <f>IF($BF18="","",IFERROR(_xlfn.XLOOKUP($BF18,'Feeder Schedule'!$B$5:$B$254,'Feeder Schedule'!$O$5:$O$254),""))</f>
        <v/>
      </c>
      <c r="BI18" s="387" t="str">
        <f>IF($BF18="","",IFERROR(_xlfn.XLOOKUP($BF18,'Feeder Schedule'!$B$5:$B$254,'Feeder Schedule'!$P$5:$P$254),""))</f>
        <v/>
      </c>
      <c r="BJ18" s="387" t="str">
        <f>IF($BF18="","",IFERROR(_xlfn.XLOOKUP($BF18,'Feeder Schedule'!$B$5:$B$254,'Feeder Schedule'!$Q$5:$Q$254),""))</f>
        <v/>
      </c>
      <c r="BK18" s="387" t="str">
        <f>IF($BF18="","",IFERROR(_xlfn.XLOOKUP($BF18,'Feeder Schedule'!$B$5:$B$254,'Feeder Schedule'!$S$5:$S$254),""))</f>
        <v/>
      </c>
      <c r="BL18" s="387" t="str">
        <f>IF($BF18="","",IFERROR(_xlfn.XLOOKUP($BF18,'Feeder Schedule'!$B$5:$B$254,'Feeder Schedule'!$H$5:$H$254),""))</f>
        <v/>
      </c>
      <c r="BM18" s="534" t="str">
        <f>IF($BA18="","",'Short Circuit'!$J18)</f>
        <v/>
      </c>
      <c r="BN18" s="534" t="str">
        <f>IF($BA18="","",'Short Circuit'!$Q18)</f>
        <v/>
      </c>
      <c r="BO18" s="387" t="str">
        <f>IF($BA18="","",'Short Circuit'!$R18)</f>
        <v/>
      </c>
      <c r="BP18" s="535" t="str">
        <f>IF($BA18="","",'Short Circuit'!$S18)</f>
        <v/>
      </c>
      <c r="BQ18" s="387" t="str">
        <f>IF($BA18="","",'Short Circuit'!$T18)</f>
        <v/>
      </c>
      <c r="BR18" s="536" t="str">
        <f>IF($BA18="","",'Voltage Drop'!$G18)</f>
        <v/>
      </c>
      <c r="BS18" s="536" t="str">
        <f>IF($BA18="","",'Voltage Drop'!$H18)</f>
        <v/>
      </c>
      <c r="BT18" s="387" t="str">
        <f>IF($BA18="","",'Voltage Drop'!$K18)</f>
        <v/>
      </c>
      <c r="BU18" s="387" t="str">
        <f t="shared" si="0"/>
        <v/>
      </c>
      <c r="BV18" s="387"/>
      <c r="BW18" s="387" t="b">
        <f t="shared" si="1"/>
        <v>0</v>
      </c>
      <c r="BY18" s="387"/>
      <c r="BZ18" s="387"/>
    </row>
    <row r="19" spans="1:78" ht="15" customHeight="1" x14ac:dyDescent="0.45">
      <c r="A19" s="161"/>
      <c r="B19" s="389"/>
      <c r="C19" s="207"/>
      <c r="D19" s="208"/>
      <c r="E19" s="161"/>
      <c r="F19" s="389"/>
      <c r="G19" s="389"/>
      <c r="H19" s="389"/>
      <c r="I19" s="389"/>
      <c r="J19" s="389"/>
      <c r="K19" s="389"/>
      <c r="L19" s="209"/>
      <c r="M19" s="209"/>
      <c r="N19" s="209"/>
      <c r="O19" s="209"/>
      <c r="P19" s="209"/>
      <c r="Q19" s="161"/>
      <c r="R19" s="390"/>
      <c r="S19" s="390"/>
      <c r="T19" s="161"/>
      <c r="U19" s="389"/>
      <c r="BA19" s="387" t="str">
        <f>IF('Short Circuit'!$A19="","",'Short Circuit'!$A19)</f>
        <v/>
      </c>
      <c r="BB19" s="387" t="str">
        <f>IF($BA19="","",'Short Circuit'!$B19)</f>
        <v/>
      </c>
      <c r="BC19" s="387" t="str">
        <f>IF($BA19="","",'Short Circuit'!$C19)</f>
        <v/>
      </c>
      <c r="BD19" s="387" t="str">
        <f>IF($BA19="","",'Short Circuit'!$D19)</f>
        <v/>
      </c>
      <c r="BE19" s="387" t="str">
        <f>IF($BA19="","",'Short Circuit'!$E19)</f>
        <v/>
      </c>
      <c r="BF19" s="387" t="str">
        <f>IF($BA19="","",IFERROR(_xlfn.XLOOKUP("F-"&amp;$BA19,'Feeder Schedule'!$B$5:$B$254,'Feeder Schedule'!$B$5:$B$254),IFERROR(_xlfn.XLOOKUP($BA19,'Feeder Schedule'!$B$5:$B$254,'Feeder Schedule'!$B$5:$B$254),"")))</f>
        <v/>
      </c>
      <c r="BG19" s="387" t="str">
        <f>IF($BF19="","",IFERROR(_xlfn.XLOOKUP($BF19,'Feeder Schedule'!$B$5:$B$254,'Feeder Schedule'!$A$5:$A$254),""))</f>
        <v/>
      </c>
      <c r="BH19" s="387" t="str">
        <f>IF($BF19="","",IFERROR(_xlfn.XLOOKUP($BF19,'Feeder Schedule'!$B$5:$B$254,'Feeder Schedule'!$O$5:$O$254),""))</f>
        <v/>
      </c>
      <c r="BI19" s="387" t="str">
        <f>IF($BF19="","",IFERROR(_xlfn.XLOOKUP($BF19,'Feeder Schedule'!$B$5:$B$254,'Feeder Schedule'!$P$5:$P$254),""))</f>
        <v/>
      </c>
      <c r="BJ19" s="387" t="str">
        <f>IF($BF19="","",IFERROR(_xlfn.XLOOKUP($BF19,'Feeder Schedule'!$B$5:$B$254,'Feeder Schedule'!$Q$5:$Q$254),""))</f>
        <v/>
      </c>
      <c r="BK19" s="387" t="str">
        <f>IF($BF19="","",IFERROR(_xlfn.XLOOKUP($BF19,'Feeder Schedule'!$B$5:$B$254,'Feeder Schedule'!$S$5:$S$254),""))</f>
        <v/>
      </c>
      <c r="BL19" s="387" t="str">
        <f>IF($BF19="","",IFERROR(_xlfn.XLOOKUP($BF19,'Feeder Schedule'!$B$5:$B$254,'Feeder Schedule'!$H$5:$H$254),""))</f>
        <v/>
      </c>
      <c r="BM19" s="534" t="str">
        <f>IF($BA19="","",'Short Circuit'!$J19)</f>
        <v/>
      </c>
      <c r="BN19" s="534" t="str">
        <f>IF($BA19="","",'Short Circuit'!$Q19)</f>
        <v/>
      </c>
      <c r="BO19" s="387" t="str">
        <f>IF($BA19="","",'Short Circuit'!$R19)</f>
        <v/>
      </c>
      <c r="BP19" s="535" t="str">
        <f>IF($BA19="","",'Short Circuit'!$S19)</f>
        <v/>
      </c>
      <c r="BQ19" s="387" t="str">
        <f>IF($BA19="","",'Short Circuit'!$T19)</f>
        <v/>
      </c>
      <c r="BR19" s="536" t="str">
        <f>IF($BA19="","",'Voltage Drop'!$G19)</f>
        <v/>
      </c>
      <c r="BS19" s="536" t="str">
        <f>IF($BA19="","",'Voltage Drop'!$H19)</f>
        <v/>
      </c>
      <c r="BT19" s="387" t="str">
        <f>IF($BA19="","",'Voltage Drop'!$K19)</f>
        <v/>
      </c>
      <c r="BU19" s="387" t="str">
        <f t="shared" si="0"/>
        <v/>
      </c>
      <c r="BV19" s="387"/>
      <c r="BW19" s="387" t="b">
        <f t="shared" si="1"/>
        <v>0</v>
      </c>
      <c r="BY19" s="387"/>
      <c r="BZ19" s="387"/>
    </row>
    <row r="20" spans="1:78" ht="15" customHeight="1" x14ac:dyDescent="0.45">
      <c r="A20" s="161"/>
      <c r="B20" s="389"/>
      <c r="C20" s="207"/>
      <c r="D20" s="208"/>
      <c r="E20" s="161"/>
      <c r="F20" s="389"/>
      <c r="G20" s="389"/>
      <c r="H20" s="389"/>
      <c r="I20" s="389"/>
      <c r="J20" s="389"/>
      <c r="K20" s="389"/>
      <c r="L20" s="209"/>
      <c r="M20" s="209"/>
      <c r="N20" s="209"/>
      <c r="O20" s="209"/>
      <c r="P20" s="209"/>
      <c r="Q20" s="161"/>
      <c r="R20" s="390"/>
      <c r="S20" s="390"/>
      <c r="T20" s="161"/>
      <c r="U20" s="389"/>
      <c r="BA20" s="387" t="str">
        <f>IF('Short Circuit'!$A20="","",'Short Circuit'!$A20)</f>
        <v/>
      </c>
      <c r="BB20" s="387" t="str">
        <f>IF($BA20="","",'Short Circuit'!$B20)</f>
        <v/>
      </c>
      <c r="BC20" s="387" t="str">
        <f>IF($BA20="","",'Short Circuit'!$C20)</f>
        <v/>
      </c>
      <c r="BD20" s="387" t="str">
        <f>IF($BA20="","",'Short Circuit'!$D20)</f>
        <v/>
      </c>
      <c r="BE20" s="387" t="str">
        <f>IF($BA20="","",'Short Circuit'!$E20)</f>
        <v/>
      </c>
      <c r="BF20" s="387" t="str">
        <f>IF($BA20="","",IFERROR(_xlfn.XLOOKUP("F-"&amp;$BA20,'Feeder Schedule'!$B$5:$B$254,'Feeder Schedule'!$B$5:$B$254),IFERROR(_xlfn.XLOOKUP($BA20,'Feeder Schedule'!$B$5:$B$254,'Feeder Schedule'!$B$5:$B$254),"")))</f>
        <v/>
      </c>
      <c r="BG20" s="387" t="str">
        <f>IF($BF20="","",IFERROR(_xlfn.XLOOKUP($BF20,'Feeder Schedule'!$B$5:$B$254,'Feeder Schedule'!$A$5:$A$254),""))</f>
        <v/>
      </c>
      <c r="BH20" s="387" t="str">
        <f>IF($BF20="","",IFERROR(_xlfn.XLOOKUP($BF20,'Feeder Schedule'!$B$5:$B$254,'Feeder Schedule'!$O$5:$O$254),""))</f>
        <v/>
      </c>
      <c r="BI20" s="387" t="str">
        <f>IF($BF20="","",IFERROR(_xlfn.XLOOKUP($BF20,'Feeder Schedule'!$B$5:$B$254,'Feeder Schedule'!$P$5:$P$254),""))</f>
        <v/>
      </c>
      <c r="BJ20" s="387" t="str">
        <f>IF($BF20="","",IFERROR(_xlfn.XLOOKUP($BF20,'Feeder Schedule'!$B$5:$B$254,'Feeder Schedule'!$Q$5:$Q$254),""))</f>
        <v/>
      </c>
      <c r="BK20" s="387" t="str">
        <f>IF($BF20="","",IFERROR(_xlfn.XLOOKUP($BF20,'Feeder Schedule'!$B$5:$B$254,'Feeder Schedule'!$S$5:$S$254),""))</f>
        <v/>
      </c>
      <c r="BL20" s="387" t="str">
        <f>IF($BF20="","",IFERROR(_xlfn.XLOOKUP($BF20,'Feeder Schedule'!$B$5:$B$254,'Feeder Schedule'!$H$5:$H$254),""))</f>
        <v/>
      </c>
      <c r="BM20" s="534" t="str">
        <f>IF($BA20="","",'Short Circuit'!$J20)</f>
        <v/>
      </c>
      <c r="BN20" s="534" t="str">
        <f>IF($BA20="","",'Short Circuit'!$Q20)</f>
        <v/>
      </c>
      <c r="BO20" s="387" t="str">
        <f>IF($BA20="","",'Short Circuit'!$R20)</f>
        <v/>
      </c>
      <c r="BP20" s="535" t="str">
        <f>IF($BA20="","",'Short Circuit'!$S20)</f>
        <v/>
      </c>
      <c r="BQ20" s="387" t="str">
        <f>IF($BA20="","",'Short Circuit'!$T20)</f>
        <v/>
      </c>
      <c r="BR20" s="536" t="str">
        <f>IF($BA20="","",'Voltage Drop'!$G20)</f>
        <v/>
      </c>
      <c r="BS20" s="536" t="str">
        <f>IF($BA20="","",'Voltage Drop'!$H20)</f>
        <v/>
      </c>
      <c r="BT20" s="387" t="str">
        <f>IF($BA20="","",'Voltage Drop'!$K20)</f>
        <v/>
      </c>
      <c r="BU20" s="387" t="str">
        <f t="shared" si="0"/>
        <v/>
      </c>
      <c r="BV20" s="387"/>
      <c r="BW20" s="387" t="b">
        <f t="shared" si="1"/>
        <v>0</v>
      </c>
      <c r="BY20" s="387"/>
      <c r="BZ20" s="387"/>
    </row>
    <row r="21" spans="1:78" ht="15" customHeight="1" x14ac:dyDescent="0.45">
      <c r="A21" s="161"/>
      <c r="B21" s="389"/>
      <c r="C21" s="207"/>
      <c r="D21" s="208"/>
      <c r="E21" s="161"/>
      <c r="F21" s="389"/>
      <c r="G21" s="389"/>
      <c r="H21" s="389"/>
      <c r="I21" s="389"/>
      <c r="J21" s="389"/>
      <c r="K21" s="389"/>
      <c r="L21" s="209"/>
      <c r="M21" s="209"/>
      <c r="N21" s="209"/>
      <c r="O21" s="209"/>
      <c r="P21" s="209"/>
      <c r="Q21" s="161"/>
      <c r="R21" s="390"/>
      <c r="S21" s="390"/>
      <c r="T21" s="161"/>
      <c r="U21" s="389"/>
      <c r="BA21" s="387" t="str">
        <f>IF('Short Circuit'!$A21="","",'Short Circuit'!$A21)</f>
        <v/>
      </c>
      <c r="BB21" s="387" t="str">
        <f>IF($BA21="","",'Short Circuit'!$B21)</f>
        <v/>
      </c>
      <c r="BC21" s="387" t="str">
        <f>IF($BA21="","",'Short Circuit'!$C21)</f>
        <v/>
      </c>
      <c r="BD21" s="387" t="str">
        <f>IF($BA21="","",'Short Circuit'!$D21)</f>
        <v/>
      </c>
      <c r="BE21" s="387" t="str">
        <f>IF($BA21="","",'Short Circuit'!$E21)</f>
        <v/>
      </c>
      <c r="BF21" s="387" t="str">
        <f>IF($BA21="","",IFERROR(_xlfn.XLOOKUP("F-"&amp;$BA21,'Feeder Schedule'!$B$5:$B$254,'Feeder Schedule'!$B$5:$B$254),IFERROR(_xlfn.XLOOKUP($BA21,'Feeder Schedule'!$B$5:$B$254,'Feeder Schedule'!$B$5:$B$254),"")))</f>
        <v/>
      </c>
      <c r="BG21" s="387" t="str">
        <f>IF($BF21="","",IFERROR(_xlfn.XLOOKUP($BF21,'Feeder Schedule'!$B$5:$B$254,'Feeder Schedule'!$A$5:$A$254),""))</f>
        <v/>
      </c>
      <c r="BH21" s="387" t="str">
        <f>IF($BF21="","",IFERROR(_xlfn.XLOOKUP($BF21,'Feeder Schedule'!$B$5:$B$254,'Feeder Schedule'!$O$5:$O$254),""))</f>
        <v/>
      </c>
      <c r="BI21" s="387" t="str">
        <f>IF($BF21="","",IFERROR(_xlfn.XLOOKUP($BF21,'Feeder Schedule'!$B$5:$B$254,'Feeder Schedule'!$P$5:$P$254),""))</f>
        <v/>
      </c>
      <c r="BJ21" s="387" t="str">
        <f>IF($BF21="","",IFERROR(_xlfn.XLOOKUP($BF21,'Feeder Schedule'!$B$5:$B$254,'Feeder Schedule'!$Q$5:$Q$254),""))</f>
        <v/>
      </c>
      <c r="BK21" s="387" t="str">
        <f>IF($BF21="","",IFERROR(_xlfn.XLOOKUP($BF21,'Feeder Schedule'!$B$5:$B$254,'Feeder Schedule'!$S$5:$S$254),""))</f>
        <v/>
      </c>
      <c r="BL21" s="387" t="str">
        <f>IF($BF21="","",IFERROR(_xlfn.XLOOKUP($BF21,'Feeder Schedule'!$B$5:$B$254,'Feeder Schedule'!$H$5:$H$254),""))</f>
        <v/>
      </c>
      <c r="BM21" s="534" t="str">
        <f>IF($BA21="","",'Short Circuit'!$J21)</f>
        <v/>
      </c>
      <c r="BN21" s="534" t="str">
        <f>IF($BA21="","",'Short Circuit'!$Q21)</f>
        <v/>
      </c>
      <c r="BO21" s="387" t="str">
        <f>IF($BA21="","",'Short Circuit'!$R21)</f>
        <v/>
      </c>
      <c r="BP21" s="535" t="str">
        <f>IF($BA21="","",'Short Circuit'!$S21)</f>
        <v/>
      </c>
      <c r="BQ21" s="387" t="str">
        <f>IF($BA21="","",'Short Circuit'!$T21)</f>
        <v/>
      </c>
      <c r="BR21" s="536" t="str">
        <f>IF($BA21="","",'Voltage Drop'!$G21)</f>
        <v/>
      </c>
      <c r="BS21" s="536" t="str">
        <f>IF($BA21="","",'Voltage Drop'!$H21)</f>
        <v/>
      </c>
      <c r="BT21" s="387" t="str">
        <f>IF($BA21="","",'Voltage Drop'!$K21)</f>
        <v/>
      </c>
      <c r="BU21" s="387" t="str">
        <f t="shared" si="0"/>
        <v/>
      </c>
      <c r="BV21" s="387"/>
      <c r="BW21" s="387" t="b">
        <f t="shared" si="1"/>
        <v>0</v>
      </c>
    </row>
    <row r="22" spans="1:78" ht="15" customHeight="1" x14ac:dyDescent="0.45">
      <c r="A22" s="161"/>
      <c r="B22" s="389"/>
      <c r="C22" s="207"/>
      <c r="D22" s="208"/>
      <c r="E22" s="161"/>
      <c r="F22" s="389"/>
      <c r="G22" s="389"/>
      <c r="H22" s="389"/>
      <c r="I22" s="389"/>
      <c r="J22" s="389"/>
      <c r="K22" s="389"/>
      <c r="L22" s="209"/>
      <c r="M22" s="209"/>
      <c r="N22" s="209"/>
      <c r="O22" s="209"/>
      <c r="P22" s="209"/>
      <c r="Q22" s="161"/>
      <c r="R22" s="390"/>
      <c r="S22" s="390"/>
      <c r="T22" s="161"/>
      <c r="U22" s="389"/>
      <c r="BA22" s="387" t="str">
        <f>IF('Short Circuit'!$A22="","",'Short Circuit'!$A22)</f>
        <v/>
      </c>
      <c r="BB22" s="387" t="str">
        <f>IF($BA22="","",'Short Circuit'!$B22)</f>
        <v/>
      </c>
      <c r="BC22" s="387" t="str">
        <f>IF($BA22="","",'Short Circuit'!$C22)</f>
        <v/>
      </c>
      <c r="BD22" s="387" t="str">
        <f>IF($BA22="","",'Short Circuit'!$D22)</f>
        <v/>
      </c>
      <c r="BE22" s="387" t="str">
        <f>IF($BA22="","",'Short Circuit'!$E22)</f>
        <v/>
      </c>
      <c r="BF22" s="387" t="str">
        <f>IF($BA22="","",IFERROR(_xlfn.XLOOKUP("F-"&amp;$BA22,'Feeder Schedule'!$B$5:$B$254,'Feeder Schedule'!$B$5:$B$254),IFERROR(_xlfn.XLOOKUP($BA22,'Feeder Schedule'!$B$5:$B$254,'Feeder Schedule'!$B$5:$B$254),"")))</f>
        <v/>
      </c>
      <c r="BG22" s="387" t="str">
        <f>IF($BF22="","",IFERROR(_xlfn.XLOOKUP($BF22,'Feeder Schedule'!$B$5:$B$254,'Feeder Schedule'!$A$5:$A$254),""))</f>
        <v/>
      </c>
      <c r="BH22" s="387" t="str">
        <f>IF($BF22="","",IFERROR(_xlfn.XLOOKUP($BF22,'Feeder Schedule'!$B$5:$B$254,'Feeder Schedule'!$O$5:$O$254),""))</f>
        <v/>
      </c>
      <c r="BI22" s="387" t="str">
        <f>IF($BF22="","",IFERROR(_xlfn.XLOOKUP($BF22,'Feeder Schedule'!$B$5:$B$254,'Feeder Schedule'!$P$5:$P$254),""))</f>
        <v/>
      </c>
      <c r="BJ22" s="387" t="str">
        <f>IF($BF22="","",IFERROR(_xlfn.XLOOKUP($BF22,'Feeder Schedule'!$B$5:$B$254,'Feeder Schedule'!$Q$5:$Q$254),""))</f>
        <v/>
      </c>
      <c r="BK22" s="387" t="str">
        <f>IF($BF22="","",IFERROR(_xlfn.XLOOKUP($BF22,'Feeder Schedule'!$B$5:$B$254,'Feeder Schedule'!$S$5:$S$254),""))</f>
        <v/>
      </c>
      <c r="BL22" s="387" t="str">
        <f>IF($BF22="","",IFERROR(_xlfn.XLOOKUP($BF22,'Feeder Schedule'!$B$5:$B$254,'Feeder Schedule'!$H$5:$H$254),""))</f>
        <v/>
      </c>
      <c r="BM22" s="534" t="str">
        <f>IF($BA22="","",'Short Circuit'!$J22)</f>
        <v/>
      </c>
      <c r="BN22" s="534" t="str">
        <f>IF($BA22="","",'Short Circuit'!$Q22)</f>
        <v/>
      </c>
      <c r="BO22" s="387" t="str">
        <f>IF($BA22="","",'Short Circuit'!$R22)</f>
        <v/>
      </c>
      <c r="BP22" s="535" t="str">
        <f>IF($BA22="","",'Short Circuit'!$S22)</f>
        <v/>
      </c>
      <c r="BQ22" s="387" t="str">
        <f>IF($BA22="","",'Short Circuit'!$T22)</f>
        <v/>
      </c>
      <c r="BR22" s="536" t="str">
        <f>IF($BA22="","",'Voltage Drop'!$G22)</f>
        <v/>
      </c>
      <c r="BS22" s="536" t="str">
        <f>IF($BA22="","",'Voltage Drop'!$H22)</f>
        <v/>
      </c>
      <c r="BT22" s="387" t="str">
        <f>IF($BA22="","",'Voltage Drop'!$K22)</f>
        <v/>
      </c>
      <c r="BU22" s="387" t="str">
        <f t="shared" si="0"/>
        <v/>
      </c>
      <c r="BV22" s="387"/>
      <c r="BW22" s="387" t="b">
        <f t="shared" si="1"/>
        <v>0</v>
      </c>
    </row>
    <row r="23" spans="1:78" ht="15" customHeight="1" x14ac:dyDescent="0.45">
      <c r="A23" s="161"/>
      <c r="B23" s="389"/>
      <c r="C23" s="207"/>
      <c r="D23" s="208"/>
      <c r="E23" s="161"/>
      <c r="F23" s="389"/>
      <c r="G23" s="389"/>
      <c r="H23" s="389"/>
      <c r="I23" s="389"/>
      <c r="J23" s="389"/>
      <c r="K23" s="389"/>
      <c r="L23" s="209"/>
      <c r="M23" s="209"/>
      <c r="N23" s="209"/>
      <c r="O23" s="209"/>
      <c r="P23" s="209"/>
      <c r="Q23" s="161"/>
      <c r="R23" s="390"/>
      <c r="S23" s="390"/>
      <c r="T23" s="161"/>
      <c r="U23" s="389"/>
      <c r="BA23" s="387" t="str">
        <f>IF('Short Circuit'!$A23="","",'Short Circuit'!$A23)</f>
        <v/>
      </c>
      <c r="BB23" s="387" t="str">
        <f>IF($BA23="","",'Short Circuit'!$B23)</f>
        <v/>
      </c>
      <c r="BC23" s="387" t="str">
        <f>IF($BA23="","",'Short Circuit'!$C23)</f>
        <v/>
      </c>
      <c r="BD23" s="387" t="str">
        <f>IF($BA23="","",'Short Circuit'!$D23)</f>
        <v/>
      </c>
      <c r="BE23" s="387" t="str">
        <f>IF($BA23="","",'Short Circuit'!$E23)</f>
        <v/>
      </c>
      <c r="BF23" s="387" t="str">
        <f>IF($BA23="","",IFERROR(_xlfn.XLOOKUP("F-"&amp;$BA23,'Feeder Schedule'!$B$5:$B$254,'Feeder Schedule'!$B$5:$B$254),IFERROR(_xlfn.XLOOKUP($BA23,'Feeder Schedule'!$B$5:$B$254,'Feeder Schedule'!$B$5:$B$254),"")))</f>
        <v/>
      </c>
      <c r="BG23" s="387" t="str">
        <f>IF($BF23="","",IFERROR(_xlfn.XLOOKUP($BF23,'Feeder Schedule'!$B$5:$B$254,'Feeder Schedule'!$A$5:$A$254),""))</f>
        <v/>
      </c>
      <c r="BH23" s="387" t="str">
        <f>IF($BF23="","",IFERROR(_xlfn.XLOOKUP($BF23,'Feeder Schedule'!$B$5:$B$254,'Feeder Schedule'!$O$5:$O$254),""))</f>
        <v/>
      </c>
      <c r="BI23" s="387" t="str">
        <f>IF($BF23="","",IFERROR(_xlfn.XLOOKUP($BF23,'Feeder Schedule'!$B$5:$B$254,'Feeder Schedule'!$P$5:$P$254),""))</f>
        <v/>
      </c>
      <c r="BJ23" s="387" t="str">
        <f>IF($BF23="","",IFERROR(_xlfn.XLOOKUP($BF23,'Feeder Schedule'!$B$5:$B$254,'Feeder Schedule'!$Q$5:$Q$254),""))</f>
        <v/>
      </c>
      <c r="BK23" s="387" t="str">
        <f>IF($BF23="","",IFERROR(_xlfn.XLOOKUP($BF23,'Feeder Schedule'!$B$5:$B$254,'Feeder Schedule'!$S$5:$S$254),""))</f>
        <v/>
      </c>
      <c r="BL23" s="387" t="str">
        <f>IF($BF23="","",IFERROR(_xlfn.XLOOKUP($BF23,'Feeder Schedule'!$B$5:$B$254,'Feeder Schedule'!$H$5:$H$254),""))</f>
        <v/>
      </c>
      <c r="BM23" s="534" t="str">
        <f>IF($BA23="","",'Short Circuit'!$J23)</f>
        <v/>
      </c>
      <c r="BN23" s="534" t="str">
        <f>IF($BA23="","",'Short Circuit'!$Q23)</f>
        <v/>
      </c>
      <c r="BO23" s="387" t="str">
        <f>IF($BA23="","",'Short Circuit'!$R23)</f>
        <v/>
      </c>
      <c r="BP23" s="535" t="str">
        <f>IF($BA23="","",'Short Circuit'!$S23)</f>
        <v/>
      </c>
      <c r="BQ23" s="387" t="str">
        <f>IF($BA23="","",'Short Circuit'!$T23)</f>
        <v/>
      </c>
      <c r="BR23" s="536" t="str">
        <f>IF($BA23="","",'Voltage Drop'!$G23)</f>
        <v/>
      </c>
      <c r="BS23" s="536" t="str">
        <f>IF($BA23="","",'Voltage Drop'!$H23)</f>
        <v/>
      </c>
      <c r="BT23" s="387" t="str">
        <f>IF($BA23="","",'Voltage Drop'!$K23)</f>
        <v/>
      </c>
      <c r="BU23" s="387" t="str">
        <f t="shared" si="0"/>
        <v/>
      </c>
      <c r="BV23" s="387"/>
      <c r="BW23" s="387" t="b">
        <f t="shared" si="1"/>
        <v>0</v>
      </c>
    </row>
    <row r="24" spans="1:78" ht="15" customHeight="1" x14ac:dyDescent="0.45">
      <c r="A24" s="161"/>
      <c r="B24" s="389"/>
      <c r="C24" s="207"/>
      <c r="D24" s="208"/>
      <c r="E24" s="161"/>
      <c r="F24" s="389"/>
      <c r="G24" s="389"/>
      <c r="H24" s="389"/>
      <c r="I24" s="389"/>
      <c r="J24" s="389"/>
      <c r="K24" s="389"/>
      <c r="L24" s="209"/>
      <c r="M24" s="209"/>
      <c r="N24" s="209"/>
      <c r="O24" s="209"/>
      <c r="P24" s="209"/>
      <c r="Q24" s="161"/>
      <c r="R24" s="390"/>
      <c r="S24" s="390"/>
      <c r="T24" s="161"/>
      <c r="U24" s="389"/>
      <c r="BA24" s="387" t="str">
        <f>IF('Short Circuit'!$A24="","",'Short Circuit'!$A24)</f>
        <v/>
      </c>
      <c r="BB24" s="387" t="str">
        <f>IF($BA24="","",'Short Circuit'!$B24)</f>
        <v/>
      </c>
      <c r="BC24" s="387" t="str">
        <f>IF($BA24="","",'Short Circuit'!$C24)</f>
        <v/>
      </c>
      <c r="BD24" s="387" t="str">
        <f>IF($BA24="","",'Short Circuit'!$D24)</f>
        <v/>
      </c>
      <c r="BE24" s="387" t="str">
        <f>IF($BA24="","",'Short Circuit'!$E24)</f>
        <v/>
      </c>
      <c r="BF24" s="387" t="str">
        <f>IF($BA24="","",IFERROR(_xlfn.XLOOKUP("F-"&amp;$BA24,'Feeder Schedule'!$B$5:$B$254,'Feeder Schedule'!$B$5:$B$254),IFERROR(_xlfn.XLOOKUP($BA24,'Feeder Schedule'!$B$5:$B$254,'Feeder Schedule'!$B$5:$B$254),"")))</f>
        <v/>
      </c>
      <c r="BG24" s="387" t="str">
        <f>IF($BF24="","",IFERROR(_xlfn.XLOOKUP($BF24,'Feeder Schedule'!$B$5:$B$254,'Feeder Schedule'!$A$5:$A$254),""))</f>
        <v/>
      </c>
      <c r="BH24" s="387" t="str">
        <f>IF($BF24="","",IFERROR(_xlfn.XLOOKUP($BF24,'Feeder Schedule'!$B$5:$B$254,'Feeder Schedule'!$O$5:$O$254),""))</f>
        <v/>
      </c>
      <c r="BI24" s="387" t="str">
        <f>IF($BF24="","",IFERROR(_xlfn.XLOOKUP($BF24,'Feeder Schedule'!$B$5:$B$254,'Feeder Schedule'!$P$5:$P$254),""))</f>
        <v/>
      </c>
      <c r="BJ24" s="387" t="str">
        <f>IF($BF24="","",IFERROR(_xlfn.XLOOKUP($BF24,'Feeder Schedule'!$B$5:$B$254,'Feeder Schedule'!$Q$5:$Q$254),""))</f>
        <v/>
      </c>
      <c r="BK24" s="387" t="str">
        <f>IF($BF24="","",IFERROR(_xlfn.XLOOKUP($BF24,'Feeder Schedule'!$B$5:$B$254,'Feeder Schedule'!$S$5:$S$254),""))</f>
        <v/>
      </c>
      <c r="BL24" s="387" t="str">
        <f>IF($BF24="","",IFERROR(_xlfn.XLOOKUP($BF24,'Feeder Schedule'!$B$5:$B$254,'Feeder Schedule'!$H$5:$H$254),""))</f>
        <v/>
      </c>
      <c r="BM24" s="534" t="str">
        <f>IF($BA24="","",'Short Circuit'!$J24)</f>
        <v/>
      </c>
      <c r="BN24" s="534" t="str">
        <f>IF($BA24="","",'Short Circuit'!$Q24)</f>
        <v/>
      </c>
      <c r="BO24" s="387" t="str">
        <f>IF($BA24="","",'Short Circuit'!$R24)</f>
        <v/>
      </c>
      <c r="BP24" s="535" t="str">
        <f>IF($BA24="","",'Short Circuit'!$S24)</f>
        <v/>
      </c>
      <c r="BQ24" s="387" t="str">
        <f>IF($BA24="","",'Short Circuit'!$T24)</f>
        <v/>
      </c>
      <c r="BR24" s="536" t="str">
        <f>IF($BA24="","",'Voltage Drop'!$G24)</f>
        <v/>
      </c>
      <c r="BS24" s="536" t="str">
        <f>IF($BA24="","",'Voltage Drop'!$H24)</f>
        <v/>
      </c>
      <c r="BT24" s="387" t="str">
        <f>IF($BA24="","",'Voltage Drop'!$K24)</f>
        <v/>
      </c>
      <c r="BU24" s="387" t="str">
        <f t="shared" si="0"/>
        <v/>
      </c>
      <c r="BV24" s="387"/>
      <c r="BW24" s="387" t="b">
        <f t="shared" si="1"/>
        <v>0</v>
      </c>
    </row>
    <row r="25" spans="1:78" ht="15" customHeight="1" x14ac:dyDescent="0.45">
      <c r="A25" s="161"/>
      <c r="B25" s="389"/>
      <c r="C25" s="207"/>
      <c r="D25" s="208"/>
      <c r="E25" s="161"/>
      <c r="F25" s="389"/>
      <c r="G25" s="389"/>
      <c r="H25" s="389"/>
      <c r="I25" s="389"/>
      <c r="J25" s="389"/>
      <c r="K25" s="389"/>
      <c r="L25" s="209"/>
      <c r="M25" s="209"/>
      <c r="N25" s="209"/>
      <c r="O25" s="209"/>
      <c r="P25" s="209"/>
      <c r="Q25" s="161"/>
      <c r="R25" s="390"/>
      <c r="S25" s="390"/>
      <c r="T25" s="161"/>
      <c r="U25" s="389"/>
      <c r="BA25" s="387" t="str">
        <f>IF('Short Circuit'!$A25="","",'Short Circuit'!$A25)</f>
        <v/>
      </c>
      <c r="BB25" s="387" t="str">
        <f>IF($BA25="","",'Short Circuit'!$B25)</f>
        <v/>
      </c>
      <c r="BC25" s="387" t="str">
        <f>IF($BA25="","",'Short Circuit'!$C25)</f>
        <v/>
      </c>
      <c r="BD25" s="387" t="str">
        <f>IF($BA25="","",'Short Circuit'!$D25)</f>
        <v/>
      </c>
      <c r="BE25" s="387" t="str">
        <f>IF($BA25="","",'Short Circuit'!$E25)</f>
        <v/>
      </c>
      <c r="BF25" s="387" t="str">
        <f>IF($BA25="","",IFERROR(_xlfn.XLOOKUP("F-"&amp;$BA25,'Feeder Schedule'!$B$5:$B$254,'Feeder Schedule'!$B$5:$B$254),IFERROR(_xlfn.XLOOKUP($BA25,'Feeder Schedule'!$B$5:$B$254,'Feeder Schedule'!$B$5:$B$254),"")))</f>
        <v/>
      </c>
      <c r="BG25" s="387" t="str">
        <f>IF($BF25="","",IFERROR(_xlfn.XLOOKUP($BF25,'Feeder Schedule'!$B$5:$B$254,'Feeder Schedule'!$A$5:$A$254),""))</f>
        <v/>
      </c>
      <c r="BH25" s="387" t="str">
        <f>IF($BF25="","",IFERROR(_xlfn.XLOOKUP($BF25,'Feeder Schedule'!$B$5:$B$254,'Feeder Schedule'!$O$5:$O$254),""))</f>
        <v/>
      </c>
      <c r="BI25" s="387" t="str">
        <f>IF($BF25="","",IFERROR(_xlfn.XLOOKUP($BF25,'Feeder Schedule'!$B$5:$B$254,'Feeder Schedule'!$P$5:$P$254),""))</f>
        <v/>
      </c>
      <c r="BJ25" s="387" t="str">
        <f>IF($BF25="","",IFERROR(_xlfn.XLOOKUP($BF25,'Feeder Schedule'!$B$5:$B$254,'Feeder Schedule'!$Q$5:$Q$254),""))</f>
        <v/>
      </c>
      <c r="BK25" s="387" t="str">
        <f>IF($BF25="","",IFERROR(_xlfn.XLOOKUP($BF25,'Feeder Schedule'!$B$5:$B$254,'Feeder Schedule'!$S$5:$S$254),""))</f>
        <v/>
      </c>
      <c r="BL25" s="387" t="str">
        <f>IF($BF25="","",IFERROR(_xlfn.XLOOKUP($BF25,'Feeder Schedule'!$B$5:$B$254,'Feeder Schedule'!$H$5:$H$254),""))</f>
        <v/>
      </c>
      <c r="BM25" s="534" t="str">
        <f>IF($BA25="","",'Short Circuit'!$J25)</f>
        <v/>
      </c>
      <c r="BN25" s="534" t="str">
        <f>IF($BA25="","",'Short Circuit'!$Q25)</f>
        <v/>
      </c>
      <c r="BO25" s="387" t="str">
        <f>IF($BA25="","",'Short Circuit'!$R25)</f>
        <v/>
      </c>
      <c r="BP25" s="535" t="str">
        <f>IF($BA25="","",'Short Circuit'!$S25)</f>
        <v/>
      </c>
      <c r="BQ25" s="387" t="str">
        <f>IF($BA25="","",'Short Circuit'!$T25)</f>
        <v/>
      </c>
      <c r="BR25" s="536" t="str">
        <f>IF($BA25="","",'Voltage Drop'!$G25)</f>
        <v/>
      </c>
      <c r="BS25" s="536" t="str">
        <f>IF($BA25="","",'Voltage Drop'!$H25)</f>
        <v/>
      </c>
      <c r="BT25" s="387" t="str">
        <f>IF($BA25="","",'Voltage Drop'!$K25)</f>
        <v/>
      </c>
      <c r="BU25" s="387" t="str">
        <f t="shared" si="0"/>
        <v/>
      </c>
      <c r="BV25" s="387"/>
      <c r="BW25" s="387" t="b">
        <f t="shared" si="1"/>
        <v>0</v>
      </c>
    </row>
    <row r="26" spans="1:78" ht="15" customHeight="1" x14ac:dyDescent="0.45">
      <c r="A26" s="161"/>
      <c r="B26" s="389"/>
      <c r="C26" s="207"/>
      <c r="D26" s="208"/>
      <c r="E26" s="161"/>
      <c r="F26" s="389"/>
      <c r="G26" s="389"/>
      <c r="H26" s="389"/>
      <c r="I26" s="389"/>
      <c r="J26" s="389"/>
      <c r="K26" s="389"/>
      <c r="L26" s="209"/>
      <c r="M26" s="209"/>
      <c r="N26" s="209"/>
      <c r="O26" s="209"/>
      <c r="P26" s="209"/>
      <c r="Q26" s="161"/>
      <c r="R26" s="390"/>
      <c r="S26" s="390"/>
      <c r="T26" s="161"/>
      <c r="U26" s="389"/>
      <c r="BA26" s="387" t="str">
        <f>IF('Short Circuit'!$A26="","",'Short Circuit'!$A26)</f>
        <v/>
      </c>
      <c r="BB26" s="387" t="str">
        <f>IF($BA26="","",'Short Circuit'!$B26)</f>
        <v/>
      </c>
      <c r="BC26" s="387" t="str">
        <f>IF($BA26="","",'Short Circuit'!$C26)</f>
        <v/>
      </c>
      <c r="BD26" s="387" t="str">
        <f>IF($BA26="","",'Short Circuit'!$D26)</f>
        <v/>
      </c>
      <c r="BE26" s="387" t="str">
        <f>IF($BA26="","",'Short Circuit'!$E26)</f>
        <v/>
      </c>
      <c r="BF26" s="387" t="str">
        <f>IF($BA26="","",IFERROR(_xlfn.XLOOKUP("F-"&amp;$BA26,'Feeder Schedule'!$B$5:$B$254,'Feeder Schedule'!$B$5:$B$254),IFERROR(_xlfn.XLOOKUP($BA26,'Feeder Schedule'!$B$5:$B$254,'Feeder Schedule'!$B$5:$B$254),"")))</f>
        <v/>
      </c>
      <c r="BG26" s="387" t="str">
        <f>IF($BF26="","",IFERROR(_xlfn.XLOOKUP($BF26,'Feeder Schedule'!$B$5:$B$254,'Feeder Schedule'!$A$5:$A$254),""))</f>
        <v/>
      </c>
      <c r="BH26" s="387" t="str">
        <f>IF($BF26="","",IFERROR(_xlfn.XLOOKUP($BF26,'Feeder Schedule'!$B$5:$B$254,'Feeder Schedule'!$O$5:$O$254),""))</f>
        <v/>
      </c>
      <c r="BI26" s="387" t="str">
        <f>IF($BF26="","",IFERROR(_xlfn.XLOOKUP($BF26,'Feeder Schedule'!$B$5:$B$254,'Feeder Schedule'!$P$5:$P$254),""))</f>
        <v/>
      </c>
      <c r="BJ26" s="387" t="str">
        <f>IF($BF26="","",IFERROR(_xlfn.XLOOKUP($BF26,'Feeder Schedule'!$B$5:$B$254,'Feeder Schedule'!$Q$5:$Q$254),""))</f>
        <v/>
      </c>
      <c r="BK26" s="387" t="str">
        <f>IF($BF26="","",IFERROR(_xlfn.XLOOKUP($BF26,'Feeder Schedule'!$B$5:$B$254,'Feeder Schedule'!$S$5:$S$254),""))</f>
        <v/>
      </c>
      <c r="BL26" s="387" t="str">
        <f>IF($BF26="","",IFERROR(_xlfn.XLOOKUP($BF26,'Feeder Schedule'!$B$5:$B$254,'Feeder Schedule'!$H$5:$H$254),""))</f>
        <v/>
      </c>
      <c r="BM26" s="534" t="str">
        <f>IF($BA26="","",'Short Circuit'!$J26)</f>
        <v/>
      </c>
      <c r="BN26" s="534" t="str">
        <f>IF($BA26="","",'Short Circuit'!$Q26)</f>
        <v/>
      </c>
      <c r="BO26" s="387" t="str">
        <f>IF($BA26="","",'Short Circuit'!$R26)</f>
        <v/>
      </c>
      <c r="BP26" s="535" t="str">
        <f>IF($BA26="","",'Short Circuit'!$S26)</f>
        <v/>
      </c>
      <c r="BQ26" s="387" t="str">
        <f>IF($BA26="","",'Short Circuit'!$T26)</f>
        <v/>
      </c>
      <c r="BR26" s="536" t="str">
        <f>IF($BA26="","",'Voltage Drop'!$G26)</f>
        <v/>
      </c>
      <c r="BS26" s="536" t="str">
        <f>IF($BA26="","",'Voltage Drop'!$H26)</f>
        <v/>
      </c>
      <c r="BT26" s="387" t="str">
        <f>IF($BA26="","",'Voltage Drop'!$K26)</f>
        <v/>
      </c>
      <c r="BU26" s="387" t="str">
        <f t="shared" si="0"/>
        <v/>
      </c>
      <c r="BV26" s="387"/>
      <c r="BW26" s="387" t="b">
        <f t="shared" si="1"/>
        <v>0</v>
      </c>
    </row>
    <row r="27" spans="1:78" ht="15" customHeight="1" x14ac:dyDescent="0.45">
      <c r="A27" s="161"/>
      <c r="B27" s="389"/>
      <c r="C27" s="207"/>
      <c r="D27" s="208"/>
      <c r="E27" s="161"/>
      <c r="F27" s="389"/>
      <c r="G27" s="389"/>
      <c r="H27" s="389"/>
      <c r="I27" s="389"/>
      <c r="J27" s="389"/>
      <c r="K27" s="389"/>
      <c r="L27" s="209"/>
      <c r="M27" s="209"/>
      <c r="N27" s="209"/>
      <c r="O27" s="209"/>
      <c r="P27" s="209"/>
      <c r="Q27" s="161"/>
      <c r="R27" s="390"/>
      <c r="S27" s="390"/>
      <c r="T27" s="161"/>
      <c r="U27" s="389"/>
      <c r="BA27" s="387" t="str">
        <f>IF('Short Circuit'!$A27="","",'Short Circuit'!$A27)</f>
        <v/>
      </c>
      <c r="BB27" s="387" t="str">
        <f>IF($BA27="","",'Short Circuit'!$B27)</f>
        <v/>
      </c>
      <c r="BC27" s="387" t="str">
        <f>IF($BA27="","",'Short Circuit'!$C27)</f>
        <v/>
      </c>
      <c r="BD27" s="387" t="str">
        <f>IF($BA27="","",'Short Circuit'!$D27)</f>
        <v/>
      </c>
      <c r="BE27" s="387" t="str">
        <f>IF($BA27="","",'Short Circuit'!$E27)</f>
        <v/>
      </c>
      <c r="BF27" s="387" t="str">
        <f>IF($BA27="","",IFERROR(_xlfn.XLOOKUP("F-"&amp;$BA27,'Feeder Schedule'!$B$5:$B$254,'Feeder Schedule'!$B$5:$B$254),IFERROR(_xlfn.XLOOKUP($BA27,'Feeder Schedule'!$B$5:$B$254,'Feeder Schedule'!$B$5:$B$254),"")))</f>
        <v/>
      </c>
      <c r="BG27" s="387" t="str">
        <f>IF($BF27="","",IFERROR(_xlfn.XLOOKUP($BF27,'Feeder Schedule'!$B$5:$B$254,'Feeder Schedule'!$A$5:$A$254),""))</f>
        <v/>
      </c>
      <c r="BH27" s="387" t="str">
        <f>IF($BF27="","",IFERROR(_xlfn.XLOOKUP($BF27,'Feeder Schedule'!$B$5:$B$254,'Feeder Schedule'!$O$5:$O$254),""))</f>
        <v/>
      </c>
      <c r="BI27" s="387" t="str">
        <f>IF($BF27="","",IFERROR(_xlfn.XLOOKUP($BF27,'Feeder Schedule'!$B$5:$B$254,'Feeder Schedule'!$P$5:$P$254),""))</f>
        <v/>
      </c>
      <c r="BJ27" s="387" t="str">
        <f>IF($BF27="","",IFERROR(_xlfn.XLOOKUP($BF27,'Feeder Schedule'!$B$5:$B$254,'Feeder Schedule'!$Q$5:$Q$254),""))</f>
        <v/>
      </c>
      <c r="BK27" s="387" t="str">
        <f>IF($BF27="","",IFERROR(_xlfn.XLOOKUP($BF27,'Feeder Schedule'!$B$5:$B$254,'Feeder Schedule'!$S$5:$S$254),""))</f>
        <v/>
      </c>
      <c r="BL27" s="387" t="str">
        <f>IF($BF27="","",IFERROR(_xlfn.XLOOKUP($BF27,'Feeder Schedule'!$B$5:$B$254,'Feeder Schedule'!$H$5:$H$254),""))</f>
        <v/>
      </c>
      <c r="BM27" s="534" t="str">
        <f>IF($BA27="","",'Short Circuit'!$J27)</f>
        <v/>
      </c>
      <c r="BN27" s="534" t="str">
        <f>IF($BA27="","",'Short Circuit'!$Q27)</f>
        <v/>
      </c>
      <c r="BO27" s="387" t="str">
        <f>IF($BA27="","",'Short Circuit'!$R27)</f>
        <v/>
      </c>
      <c r="BP27" s="535" t="str">
        <f>IF($BA27="","",'Short Circuit'!$S27)</f>
        <v/>
      </c>
      <c r="BQ27" s="387" t="str">
        <f>IF($BA27="","",'Short Circuit'!$T27)</f>
        <v/>
      </c>
      <c r="BR27" s="536" t="str">
        <f>IF($BA27="","",'Voltage Drop'!$G27)</f>
        <v/>
      </c>
      <c r="BS27" s="536" t="str">
        <f>IF($BA27="","",'Voltage Drop'!$H27)</f>
        <v/>
      </c>
      <c r="BT27" s="387" t="str">
        <f>IF($BA27="","",'Voltage Drop'!$K27)</f>
        <v/>
      </c>
      <c r="BU27" s="387" t="str">
        <f t="shared" si="0"/>
        <v/>
      </c>
      <c r="BV27" s="387"/>
      <c r="BW27" s="387" t="b">
        <f t="shared" si="1"/>
        <v>0</v>
      </c>
    </row>
    <row r="28" spans="1:78" ht="15" customHeight="1" x14ac:dyDescent="0.45">
      <c r="A28" s="161"/>
      <c r="B28" s="389"/>
      <c r="C28" s="207"/>
      <c r="D28" s="208"/>
      <c r="E28" s="161"/>
      <c r="F28" s="389"/>
      <c r="G28" s="389"/>
      <c r="H28" s="389"/>
      <c r="I28" s="389"/>
      <c r="J28" s="389"/>
      <c r="K28" s="389"/>
      <c r="L28" s="209"/>
      <c r="M28" s="209"/>
      <c r="N28" s="209"/>
      <c r="O28" s="209"/>
      <c r="P28" s="209"/>
      <c r="Q28" s="161"/>
      <c r="R28" s="390"/>
      <c r="S28" s="390"/>
      <c r="T28" s="161"/>
      <c r="U28" s="389"/>
      <c r="BA28" s="387" t="str">
        <f>IF('Short Circuit'!$A28="","",'Short Circuit'!$A28)</f>
        <v/>
      </c>
      <c r="BB28" s="387" t="str">
        <f>IF($BA28="","",'Short Circuit'!$B28)</f>
        <v/>
      </c>
      <c r="BC28" s="387" t="str">
        <f>IF($BA28="","",'Short Circuit'!$C28)</f>
        <v/>
      </c>
      <c r="BD28" s="387" t="str">
        <f>IF($BA28="","",'Short Circuit'!$D28)</f>
        <v/>
      </c>
      <c r="BE28" s="387" t="str">
        <f>IF($BA28="","",'Short Circuit'!$E28)</f>
        <v/>
      </c>
      <c r="BF28" s="387" t="str">
        <f>IF($BA28="","",IFERROR(_xlfn.XLOOKUP("F-"&amp;$BA28,'Feeder Schedule'!$B$5:$B$254,'Feeder Schedule'!$B$5:$B$254),IFERROR(_xlfn.XLOOKUP($BA28,'Feeder Schedule'!$B$5:$B$254,'Feeder Schedule'!$B$5:$B$254),"")))</f>
        <v/>
      </c>
      <c r="BG28" s="387" t="str">
        <f>IF($BF28="","",IFERROR(_xlfn.XLOOKUP($BF28,'Feeder Schedule'!$B$5:$B$254,'Feeder Schedule'!$A$5:$A$254),""))</f>
        <v/>
      </c>
      <c r="BH28" s="387" t="str">
        <f>IF($BF28="","",IFERROR(_xlfn.XLOOKUP($BF28,'Feeder Schedule'!$B$5:$B$254,'Feeder Schedule'!$O$5:$O$254),""))</f>
        <v/>
      </c>
      <c r="BI28" s="387" t="str">
        <f>IF($BF28="","",IFERROR(_xlfn.XLOOKUP($BF28,'Feeder Schedule'!$B$5:$B$254,'Feeder Schedule'!$P$5:$P$254),""))</f>
        <v/>
      </c>
      <c r="BJ28" s="387" t="str">
        <f>IF($BF28="","",IFERROR(_xlfn.XLOOKUP($BF28,'Feeder Schedule'!$B$5:$B$254,'Feeder Schedule'!$Q$5:$Q$254),""))</f>
        <v/>
      </c>
      <c r="BK28" s="387" t="str">
        <f>IF($BF28="","",IFERROR(_xlfn.XLOOKUP($BF28,'Feeder Schedule'!$B$5:$B$254,'Feeder Schedule'!$S$5:$S$254),""))</f>
        <v/>
      </c>
      <c r="BL28" s="387" t="str">
        <f>IF($BF28="","",IFERROR(_xlfn.XLOOKUP($BF28,'Feeder Schedule'!$B$5:$B$254,'Feeder Schedule'!$H$5:$H$254),""))</f>
        <v/>
      </c>
      <c r="BM28" s="534" t="str">
        <f>IF($BA28="","",'Short Circuit'!$J28)</f>
        <v/>
      </c>
      <c r="BN28" s="534" t="str">
        <f>IF($BA28="","",'Short Circuit'!$Q28)</f>
        <v/>
      </c>
      <c r="BO28" s="387" t="str">
        <f>IF($BA28="","",'Short Circuit'!$R28)</f>
        <v/>
      </c>
      <c r="BP28" s="535" t="str">
        <f>IF($BA28="","",'Short Circuit'!$S28)</f>
        <v/>
      </c>
      <c r="BQ28" s="387" t="str">
        <f>IF($BA28="","",'Short Circuit'!$T28)</f>
        <v/>
      </c>
      <c r="BR28" s="536" t="str">
        <f>IF($BA28="","",'Voltage Drop'!$G28)</f>
        <v/>
      </c>
      <c r="BS28" s="536" t="str">
        <f>IF($BA28="","",'Voltage Drop'!$H28)</f>
        <v/>
      </c>
      <c r="BT28" s="387" t="str">
        <f>IF($BA28="","",'Voltage Drop'!$K28)</f>
        <v/>
      </c>
      <c r="BU28" s="387" t="str">
        <f t="shared" si="0"/>
        <v/>
      </c>
      <c r="BV28" s="387"/>
      <c r="BW28" s="387" t="b">
        <f t="shared" si="1"/>
        <v>0</v>
      </c>
    </row>
    <row r="29" spans="1:78" ht="15" customHeight="1" x14ac:dyDescent="0.45">
      <c r="A29" s="161"/>
      <c r="B29" s="389"/>
      <c r="C29" s="207"/>
      <c r="D29" s="208"/>
      <c r="E29" s="161"/>
      <c r="F29" s="389"/>
      <c r="G29" s="389"/>
      <c r="H29" s="389"/>
      <c r="I29" s="389"/>
      <c r="J29" s="389"/>
      <c r="K29" s="389"/>
      <c r="L29" s="209"/>
      <c r="M29" s="209"/>
      <c r="N29" s="209"/>
      <c r="O29" s="209"/>
      <c r="P29" s="209"/>
      <c r="Q29" s="161"/>
      <c r="R29" s="390"/>
      <c r="S29" s="390"/>
      <c r="T29" s="161"/>
      <c r="U29" s="389"/>
      <c r="BA29" s="387" t="str">
        <f>IF('Short Circuit'!$A29="","",'Short Circuit'!$A29)</f>
        <v/>
      </c>
      <c r="BB29" s="387" t="str">
        <f>IF($BA29="","",'Short Circuit'!$B29)</f>
        <v/>
      </c>
      <c r="BC29" s="387" t="str">
        <f>IF($BA29="","",'Short Circuit'!$C29)</f>
        <v/>
      </c>
      <c r="BD29" s="387" t="str">
        <f>IF($BA29="","",'Short Circuit'!$D29)</f>
        <v/>
      </c>
      <c r="BE29" s="387" t="str">
        <f>IF($BA29="","",'Short Circuit'!$E29)</f>
        <v/>
      </c>
      <c r="BF29" s="387" t="str">
        <f>IF($BA29="","",IFERROR(_xlfn.XLOOKUP("F-"&amp;$BA29,'Feeder Schedule'!$B$5:$B$254,'Feeder Schedule'!$B$5:$B$254),IFERROR(_xlfn.XLOOKUP($BA29,'Feeder Schedule'!$B$5:$B$254,'Feeder Schedule'!$B$5:$B$254),"")))</f>
        <v/>
      </c>
      <c r="BG29" s="387" t="str">
        <f>IF($BF29="","",IFERROR(_xlfn.XLOOKUP($BF29,'Feeder Schedule'!$B$5:$B$254,'Feeder Schedule'!$A$5:$A$254),""))</f>
        <v/>
      </c>
      <c r="BH29" s="387" t="str">
        <f>IF($BF29="","",IFERROR(_xlfn.XLOOKUP($BF29,'Feeder Schedule'!$B$5:$B$254,'Feeder Schedule'!$O$5:$O$254),""))</f>
        <v/>
      </c>
      <c r="BI29" s="387" t="str">
        <f>IF($BF29="","",IFERROR(_xlfn.XLOOKUP($BF29,'Feeder Schedule'!$B$5:$B$254,'Feeder Schedule'!$P$5:$P$254),""))</f>
        <v/>
      </c>
      <c r="BJ29" s="387" t="str">
        <f>IF($BF29="","",IFERROR(_xlfn.XLOOKUP($BF29,'Feeder Schedule'!$B$5:$B$254,'Feeder Schedule'!$Q$5:$Q$254),""))</f>
        <v/>
      </c>
      <c r="BK29" s="387" t="str">
        <f>IF($BF29="","",IFERROR(_xlfn.XLOOKUP($BF29,'Feeder Schedule'!$B$5:$B$254,'Feeder Schedule'!$S$5:$S$254),""))</f>
        <v/>
      </c>
      <c r="BL29" s="387" t="str">
        <f>IF($BF29="","",IFERROR(_xlfn.XLOOKUP($BF29,'Feeder Schedule'!$B$5:$B$254,'Feeder Schedule'!$H$5:$H$254),""))</f>
        <v/>
      </c>
      <c r="BM29" s="534" t="str">
        <f>IF($BA29="","",'Short Circuit'!$J29)</f>
        <v/>
      </c>
      <c r="BN29" s="534" t="str">
        <f>IF($BA29="","",'Short Circuit'!$Q29)</f>
        <v/>
      </c>
      <c r="BO29" s="387" t="str">
        <f>IF($BA29="","",'Short Circuit'!$R29)</f>
        <v/>
      </c>
      <c r="BP29" s="535" t="str">
        <f>IF($BA29="","",'Short Circuit'!$S29)</f>
        <v/>
      </c>
      <c r="BQ29" s="387" t="str">
        <f>IF($BA29="","",'Short Circuit'!$T29)</f>
        <v/>
      </c>
      <c r="BR29" s="536" t="str">
        <f>IF($BA29="","",'Voltage Drop'!$G29)</f>
        <v/>
      </c>
      <c r="BS29" s="536" t="str">
        <f>IF($BA29="","",'Voltage Drop'!$H29)</f>
        <v/>
      </c>
      <c r="BT29" s="387" t="str">
        <f>IF($BA29="","",'Voltage Drop'!$K29)</f>
        <v/>
      </c>
      <c r="BU29" s="387" t="str">
        <f t="shared" si="0"/>
        <v/>
      </c>
      <c r="BV29" s="387"/>
      <c r="BW29" s="387" t="b">
        <f t="shared" si="1"/>
        <v>0</v>
      </c>
    </row>
    <row r="30" spans="1:78" ht="15" customHeight="1" x14ac:dyDescent="0.45">
      <c r="A30" s="161"/>
      <c r="B30" s="389"/>
      <c r="C30" s="207"/>
      <c r="D30" s="208"/>
      <c r="E30" s="161"/>
      <c r="F30" s="389"/>
      <c r="G30" s="389"/>
      <c r="H30" s="389"/>
      <c r="I30" s="389"/>
      <c r="J30" s="389"/>
      <c r="K30" s="389"/>
      <c r="L30" s="209"/>
      <c r="M30" s="209"/>
      <c r="N30" s="209"/>
      <c r="O30" s="209"/>
      <c r="P30" s="209"/>
      <c r="Q30" s="161"/>
      <c r="R30" s="390"/>
      <c r="S30" s="390"/>
      <c r="T30" s="161"/>
      <c r="U30" s="389"/>
      <c r="BA30" s="387" t="str">
        <f>IF('Short Circuit'!$A30="","",'Short Circuit'!$A30)</f>
        <v/>
      </c>
      <c r="BB30" s="387" t="str">
        <f>IF($BA30="","",'Short Circuit'!$B30)</f>
        <v/>
      </c>
      <c r="BC30" s="387" t="str">
        <f>IF($BA30="","",'Short Circuit'!$C30)</f>
        <v/>
      </c>
      <c r="BD30" s="387" t="str">
        <f>IF($BA30="","",'Short Circuit'!$D30)</f>
        <v/>
      </c>
      <c r="BE30" s="387" t="str">
        <f>IF($BA30="","",'Short Circuit'!$E30)</f>
        <v/>
      </c>
      <c r="BF30" s="387" t="str">
        <f>IF($BA30="","",IFERROR(_xlfn.XLOOKUP("F-"&amp;$BA30,'Feeder Schedule'!$B$5:$B$254,'Feeder Schedule'!$B$5:$B$254),IFERROR(_xlfn.XLOOKUP($BA30,'Feeder Schedule'!$B$5:$B$254,'Feeder Schedule'!$B$5:$B$254),"")))</f>
        <v/>
      </c>
      <c r="BG30" s="387" t="str">
        <f>IF($BF30="","",IFERROR(_xlfn.XLOOKUP($BF30,'Feeder Schedule'!$B$5:$B$254,'Feeder Schedule'!$A$5:$A$254),""))</f>
        <v/>
      </c>
      <c r="BH30" s="387" t="str">
        <f>IF($BF30="","",IFERROR(_xlfn.XLOOKUP($BF30,'Feeder Schedule'!$B$5:$B$254,'Feeder Schedule'!$O$5:$O$254),""))</f>
        <v/>
      </c>
      <c r="BI30" s="387" t="str">
        <f>IF($BF30="","",IFERROR(_xlfn.XLOOKUP($BF30,'Feeder Schedule'!$B$5:$B$254,'Feeder Schedule'!$P$5:$P$254),""))</f>
        <v/>
      </c>
      <c r="BJ30" s="387" t="str">
        <f>IF($BF30="","",IFERROR(_xlfn.XLOOKUP($BF30,'Feeder Schedule'!$B$5:$B$254,'Feeder Schedule'!$Q$5:$Q$254),""))</f>
        <v/>
      </c>
      <c r="BK30" s="387" t="str">
        <f>IF($BF30="","",IFERROR(_xlfn.XLOOKUP($BF30,'Feeder Schedule'!$B$5:$B$254,'Feeder Schedule'!$S$5:$S$254),""))</f>
        <v/>
      </c>
      <c r="BL30" s="387" t="str">
        <f>IF($BF30="","",IFERROR(_xlfn.XLOOKUP($BF30,'Feeder Schedule'!$B$5:$B$254,'Feeder Schedule'!$H$5:$H$254),""))</f>
        <v/>
      </c>
      <c r="BM30" s="534" t="str">
        <f>IF($BA30="","",'Short Circuit'!$J30)</f>
        <v/>
      </c>
      <c r="BN30" s="534" t="str">
        <f>IF($BA30="","",'Short Circuit'!$Q30)</f>
        <v/>
      </c>
      <c r="BO30" s="387" t="str">
        <f>IF($BA30="","",'Short Circuit'!$R30)</f>
        <v/>
      </c>
      <c r="BP30" s="535" t="str">
        <f>IF($BA30="","",'Short Circuit'!$S30)</f>
        <v/>
      </c>
      <c r="BQ30" s="387" t="str">
        <f>IF($BA30="","",'Short Circuit'!$T30)</f>
        <v/>
      </c>
      <c r="BR30" s="536" t="str">
        <f>IF($BA30="","",'Voltage Drop'!$G30)</f>
        <v/>
      </c>
      <c r="BS30" s="536" t="str">
        <f>IF($BA30="","",'Voltage Drop'!$H30)</f>
        <v/>
      </c>
      <c r="BT30" s="387" t="str">
        <f>IF($BA30="","",'Voltage Drop'!$K30)</f>
        <v/>
      </c>
      <c r="BU30" s="387" t="str">
        <f t="shared" si="0"/>
        <v/>
      </c>
      <c r="BV30" s="387"/>
      <c r="BW30" s="387" t="b">
        <f t="shared" si="1"/>
        <v>0</v>
      </c>
    </row>
    <row r="31" spans="1:78" ht="15" customHeight="1" x14ac:dyDescent="0.45">
      <c r="A31" s="161"/>
      <c r="B31" s="389"/>
      <c r="C31" s="207"/>
      <c r="D31" s="208"/>
      <c r="E31" s="161"/>
      <c r="F31" s="389"/>
      <c r="G31" s="389"/>
      <c r="H31" s="389"/>
      <c r="I31" s="389"/>
      <c r="J31" s="389"/>
      <c r="K31" s="389"/>
      <c r="L31" s="209"/>
      <c r="M31" s="209"/>
      <c r="N31" s="209"/>
      <c r="O31" s="209"/>
      <c r="P31" s="209"/>
      <c r="Q31" s="161"/>
      <c r="R31" s="390"/>
      <c r="S31" s="390"/>
      <c r="T31" s="161"/>
      <c r="U31" s="389"/>
      <c r="BA31" s="387" t="str">
        <f>IF('Short Circuit'!$A31="","",'Short Circuit'!$A31)</f>
        <v/>
      </c>
      <c r="BB31" s="387" t="str">
        <f>IF($BA31="","",'Short Circuit'!$B31)</f>
        <v/>
      </c>
      <c r="BC31" s="387" t="str">
        <f>IF($BA31="","",'Short Circuit'!$C31)</f>
        <v/>
      </c>
      <c r="BD31" s="387" t="str">
        <f>IF($BA31="","",'Short Circuit'!$D31)</f>
        <v/>
      </c>
      <c r="BE31" s="387" t="str">
        <f>IF($BA31="","",'Short Circuit'!$E31)</f>
        <v/>
      </c>
      <c r="BF31" s="387" t="str">
        <f>IF($BA31="","",IFERROR(_xlfn.XLOOKUP("F-"&amp;$BA31,'Feeder Schedule'!$B$5:$B$254,'Feeder Schedule'!$B$5:$B$254),IFERROR(_xlfn.XLOOKUP($BA31,'Feeder Schedule'!$B$5:$B$254,'Feeder Schedule'!$B$5:$B$254),"")))</f>
        <v/>
      </c>
      <c r="BG31" s="387" t="str">
        <f>IF($BF31="","",IFERROR(_xlfn.XLOOKUP($BF31,'Feeder Schedule'!$B$5:$B$254,'Feeder Schedule'!$A$5:$A$254),""))</f>
        <v/>
      </c>
      <c r="BH31" s="387" t="str">
        <f>IF($BF31="","",IFERROR(_xlfn.XLOOKUP($BF31,'Feeder Schedule'!$B$5:$B$254,'Feeder Schedule'!$O$5:$O$254),""))</f>
        <v/>
      </c>
      <c r="BI31" s="387" t="str">
        <f>IF($BF31="","",IFERROR(_xlfn.XLOOKUP($BF31,'Feeder Schedule'!$B$5:$B$254,'Feeder Schedule'!$P$5:$P$254),""))</f>
        <v/>
      </c>
      <c r="BJ31" s="387" t="str">
        <f>IF($BF31="","",IFERROR(_xlfn.XLOOKUP($BF31,'Feeder Schedule'!$B$5:$B$254,'Feeder Schedule'!$Q$5:$Q$254),""))</f>
        <v/>
      </c>
      <c r="BK31" s="387" t="str">
        <f>IF($BF31="","",IFERROR(_xlfn.XLOOKUP($BF31,'Feeder Schedule'!$B$5:$B$254,'Feeder Schedule'!$S$5:$S$254),""))</f>
        <v/>
      </c>
      <c r="BL31" s="387" t="str">
        <f>IF($BF31="","",IFERROR(_xlfn.XLOOKUP($BF31,'Feeder Schedule'!$B$5:$B$254,'Feeder Schedule'!$H$5:$H$254),""))</f>
        <v/>
      </c>
      <c r="BM31" s="534" t="str">
        <f>IF($BA31="","",'Short Circuit'!$J31)</f>
        <v/>
      </c>
      <c r="BN31" s="534" t="str">
        <f>IF($BA31="","",'Short Circuit'!$Q31)</f>
        <v/>
      </c>
      <c r="BO31" s="387" t="str">
        <f>IF($BA31="","",'Short Circuit'!$R31)</f>
        <v/>
      </c>
      <c r="BP31" s="535" t="str">
        <f>IF($BA31="","",'Short Circuit'!$S31)</f>
        <v/>
      </c>
      <c r="BQ31" s="387" t="str">
        <f>IF($BA31="","",'Short Circuit'!$T31)</f>
        <v/>
      </c>
      <c r="BR31" s="536" t="str">
        <f>IF($BA31="","",'Voltage Drop'!$G31)</f>
        <v/>
      </c>
      <c r="BS31" s="536" t="str">
        <f>IF($BA31="","",'Voltage Drop'!$H31)</f>
        <v/>
      </c>
      <c r="BT31" s="387" t="str">
        <f>IF($BA31="","",'Voltage Drop'!$K31)</f>
        <v/>
      </c>
      <c r="BU31" s="387" t="str">
        <f t="shared" si="0"/>
        <v/>
      </c>
      <c r="BV31" s="387"/>
      <c r="BW31" s="387" t="b">
        <f t="shared" si="1"/>
        <v>0</v>
      </c>
    </row>
    <row r="32" spans="1:78" ht="15" customHeight="1" x14ac:dyDescent="0.45">
      <c r="A32" s="161"/>
      <c r="B32" s="389"/>
      <c r="C32" s="207"/>
      <c r="D32" s="208"/>
      <c r="E32" s="161"/>
      <c r="F32" s="389"/>
      <c r="G32" s="389"/>
      <c r="H32" s="389"/>
      <c r="I32" s="389"/>
      <c r="J32" s="389"/>
      <c r="K32" s="389"/>
      <c r="L32" s="209"/>
      <c r="M32" s="209"/>
      <c r="N32" s="209"/>
      <c r="O32" s="209"/>
      <c r="P32" s="209"/>
      <c r="Q32" s="161"/>
      <c r="R32" s="390"/>
      <c r="S32" s="390"/>
      <c r="T32" s="161"/>
      <c r="U32" s="389"/>
      <c r="BA32" s="387" t="str">
        <f>IF('Short Circuit'!$A32="","",'Short Circuit'!$A32)</f>
        <v/>
      </c>
      <c r="BB32" s="387" t="str">
        <f>IF($BA32="","",'Short Circuit'!$B32)</f>
        <v/>
      </c>
      <c r="BC32" s="387" t="str">
        <f>IF($BA32="","",'Short Circuit'!$C32)</f>
        <v/>
      </c>
      <c r="BD32" s="387" t="str">
        <f>IF($BA32="","",'Short Circuit'!$D32)</f>
        <v/>
      </c>
      <c r="BE32" s="387" t="str">
        <f>IF($BA32="","",'Short Circuit'!$E32)</f>
        <v/>
      </c>
      <c r="BF32" s="387" t="str">
        <f>IF($BA32="","",IFERROR(_xlfn.XLOOKUP("F-"&amp;$BA32,'Feeder Schedule'!$B$5:$B$254,'Feeder Schedule'!$B$5:$B$254),IFERROR(_xlfn.XLOOKUP($BA32,'Feeder Schedule'!$B$5:$B$254,'Feeder Schedule'!$B$5:$B$254),"")))</f>
        <v/>
      </c>
      <c r="BG32" s="387" t="str">
        <f>IF($BF32="","",IFERROR(_xlfn.XLOOKUP($BF32,'Feeder Schedule'!$B$5:$B$254,'Feeder Schedule'!$A$5:$A$254),""))</f>
        <v/>
      </c>
      <c r="BH32" s="387" t="str">
        <f>IF($BF32="","",IFERROR(_xlfn.XLOOKUP($BF32,'Feeder Schedule'!$B$5:$B$254,'Feeder Schedule'!$O$5:$O$254),""))</f>
        <v/>
      </c>
      <c r="BI32" s="387" t="str">
        <f>IF($BF32="","",IFERROR(_xlfn.XLOOKUP($BF32,'Feeder Schedule'!$B$5:$B$254,'Feeder Schedule'!$P$5:$P$254),""))</f>
        <v/>
      </c>
      <c r="BJ32" s="387" t="str">
        <f>IF($BF32="","",IFERROR(_xlfn.XLOOKUP($BF32,'Feeder Schedule'!$B$5:$B$254,'Feeder Schedule'!$Q$5:$Q$254),""))</f>
        <v/>
      </c>
      <c r="BK32" s="387" t="str">
        <f>IF($BF32="","",IFERROR(_xlfn.XLOOKUP($BF32,'Feeder Schedule'!$B$5:$B$254,'Feeder Schedule'!$S$5:$S$254),""))</f>
        <v/>
      </c>
      <c r="BL32" s="387" t="str">
        <f>IF($BF32="","",IFERROR(_xlfn.XLOOKUP($BF32,'Feeder Schedule'!$B$5:$B$254,'Feeder Schedule'!$H$5:$H$254),""))</f>
        <v/>
      </c>
      <c r="BM32" s="534" t="str">
        <f>IF($BA32="","",'Short Circuit'!$J32)</f>
        <v/>
      </c>
      <c r="BN32" s="534" t="str">
        <f>IF($BA32="","",'Short Circuit'!$Q32)</f>
        <v/>
      </c>
      <c r="BO32" s="387" t="str">
        <f>IF($BA32="","",'Short Circuit'!$R32)</f>
        <v/>
      </c>
      <c r="BP32" s="535" t="str">
        <f>IF($BA32="","",'Short Circuit'!$S32)</f>
        <v/>
      </c>
      <c r="BQ32" s="387" t="str">
        <f>IF($BA32="","",'Short Circuit'!$T32)</f>
        <v/>
      </c>
      <c r="BR32" s="536" t="str">
        <f>IF($BA32="","",'Voltage Drop'!$G32)</f>
        <v/>
      </c>
      <c r="BS32" s="536" t="str">
        <f>IF($BA32="","",'Voltage Drop'!$H32)</f>
        <v/>
      </c>
      <c r="BT32" s="387" t="str">
        <f>IF($BA32="","",'Voltage Drop'!$K32)</f>
        <v/>
      </c>
      <c r="BU32" s="387" t="str">
        <f t="shared" si="0"/>
        <v/>
      </c>
      <c r="BV32" s="387"/>
      <c r="BW32" s="387" t="b">
        <f t="shared" si="1"/>
        <v>0</v>
      </c>
    </row>
    <row r="33" spans="1:75" ht="15" customHeight="1" x14ac:dyDescent="0.45">
      <c r="A33" s="161"/>
      <c r="B33" s="389"/>
      <c r="C33" s="207"/>
      <c r="D33" s="208"/>
      <c r="E33" s="161"/>
      <c r="F33" s="389"/>
      <c r="G33" s="389"/>
      <c r="H33" s="389"/>
      <c r="I33" s="389"/>
      <c r="J33" s="389"/>
      <c r="K33" s="389"/>
      <c r="L33" s="209"/>
      <c r="M33" s="209"/>
      <c r="N33" s="209"/>
      <c r="O33" s="209"/>
      <c r="P33" s="209"/>
      <c r="Q33" s="161"/>
      <c r="R33" s="390"/>
      <c r="S33" s="390"/>
      <c r="T33" s="161"/>
      <c r="U33" s="389"/>
      <c r="BA33" s="387" t="str">
        <f>IF('Short Circuit'!$A33="","",'Short Circuit'!$A33)</f>
        <v/>
      </c>
      <c r="BB33" s="387" t="str">
        <f>IF($BA33="","",'Short Circuit'!$B33)</f>
        <v/>
      </c>
      <c r="BC33" s="387" t="str">
        <f>IF($BA33="","",'Short Circuit'!$C33)</f>
        <v/>
      </c>
      <c r="BD33" s="387" t="str">
        <f>IF($BA33="","",'Short Circuit'!$D33)</f>
        <v/>
      </c>
      <c r="BE33" s="387" t="str">
        <f>IF($BA33="","",'Short Circuit'!$E33)</f>
        <v/>
      </c>
      <c r="BF33" s="387" t="str">
        <f>IF($BA33="","",IFERROR(_xlfn.XLOOKUP("F-"&amp;$BA33,'Feeder Schedule'!$B$5:$B$254,'Feeder Schedule'!$B$5:$B$254),IFERROR(_xlfn.XLOOKUP($BA33,'Feeder Schedule'!$B$5:$B$254,'Feeder Schedule'!$B$5:$B$254),"")))</f>
        <v/>
      </c>
      <c r="BG33" s="387" t="str">
        <f>IF($BF33="","",IFERROR(_xlfn.XLOOKUP($BF33,'Feeder Schedule'!$B$5:$B$254,'Feeder Schedule'!$A$5:$A$254),""))</f>
        <v/>
      </c>
      <c r="BH33" s="387" t="str">
        <f>IF($BF33="","",IFERROR(_xlfn.XLOOKUP($BF33,'Feeder Schedule'!$B$5:$B$254,'Feeder Schedule'!$O$5:$O$254),""))</f>
        <v/>
      </c>
      <c r="BI33" s="387" t="str">
        <f>IF($BF33="","",IFERROR(_xlfn.XLOOKUP($BF33,'Feeder Schedule'!$B$5:$B$254,'Feeder Schedule'!$P$5:$P$254),""))</f>
        <v/>
      </c>
      <c r="BJ33" s="387" t="str">
        <f>IF($BF33="","",IFERROR(_xlfn.XLOOKUP($BF33,'Feeder Schedule'!$B$5:$B$254,'Feeder Schedule'!$Q$5:$Q$254),""))</f>
        <v/>
      </c>
      <c r="BK33" s="387" t="str">
        <f>IF($BF33="","",IFERROR(_xlfn.XLOOKUP($BF33,'Feeder Schedule'!$B$5:$B$254,'Feeder Schedule'!$S$5:$S$254),""))</f>
        <v/>
      </c>
      <c r="BL33" s="387" t="str">
        <f>IF($BF33="","",IFERROR(_xlfn.XLOOKUP($BF33,'Feeder Schedule'!$B$5:$B$254,'Feeder Schedule'!$H$5:$H$254),""))</f>
        <v/>
      </c>
      <c r="BM33" s="534" t="str">
        <f>IF($BA33="","",'Short Circuit'!$J33)</f>
        <v/>
      </c>
      <c r="BN33" s="534" t="str">
        <f>IF($BA33="","",'Short Circuit'!$Q33)</f>
        <v/>
      </c>
      <c r="BO33" s="387" t="str">
        <f>IF($BA33="","",'Short Circuit'!$R33)</f>
        <v/>
      </c>
      <c r="BP33" s="535" t="str">
        <f>IF($BA33="","",'Short Circuit'!$S33)</f>
        <v/>
      </c>
      <c r="BQ33" s="387" t="str">
        <f>IF($BA33="","",'Short Circuit'!$T33)</f>
        <v/>
      </c>
      <c r="BR33" s="536" t="str">
        <f>IF($BA33="","",'Voltage Drop'!$G33)</f>
        <v/>
      </c>
      <c r="BS33" s="536" t="str">
        <f>IF($BA33="","",'Voltage Drop'!$H33)</f>
        <v/>
      </c>
      <c r="BT33" s="387" t="str">
        <f>IF($BA33="","",'Voltage Drop'!$K33)</f>
        <v/>
      </c>
      <c r="BU33" s="387" t="str">
        <f t="shared" si="0"/>
        <v/>
      </c>
      <c r="BV33" s="387"/>
      <c r="BW33" s="387" t="b">
        <f t="shared" si="1"/>
        <v>0</v>
      </c>
    </row>
    <row r="34" spans="1:75" ht="15" customHeight="1" x14ac:dyDescent="0.45">
      <c r="A34" s="161"/>
      <c r="B34" s="389"/>
      <c r="C34" s="207"/>
      <c r="D34" s="208"/>
      <c r="E34" s="161"/>
      <c r="F34" s="389"/>
      <c r="G34" s="389"/>
      <c r="H34" s="389"/>
      <c r="I34" s="389"/>
      <c r="J34" s="389"/>
      <c r="K34" s="389"/>
      <c r="L34" s="209"/>
      <c r="M34" s="209"/>
      <c r="N34" s="209"/>
      <c r="O34" s="209"/>
      <c r="P34" s="209"/>
      <c r="Q34" s="161"/>
      <c r="R34" s="390"/>
      <c r="S34" s="390"/>
      <c r="T34" s="161"/>
      <c r="U34" s="389"/>
      <c r="BA34" s="387" t="str">
        <f>IF('Short Circuit'!$A34="","",'Short Circuit'!$A34)</f>
        <v/>
      </c>
      <c r="BB34" s="387" t="str">
        <f>IF($BA34="","",'Short Circuit'!$B34)</f>
        <v/>
      </c>
      <c r="BC34" s="387" t="str">
        <f>IF($BA34="","",'Short Circuit'!$C34)</f>
        <v/>
      </c>
      <c r="BD34" s="387" t="str">
        <f>IF($BA34="","",'Short Circuit'!$D34)</f>
        <v/>
      </c>
      <c r="BE34" s="387" t="str">
        <f>IF($BA34="","",'Short Circuit'!$E34)</f>
        <v/>
      </c>
      <c r="BF34" s="387" t="str">
        <f>IF($BA34="","",IFERROR(_xlfn.XLOOKUP("F-"&amp;$BA34,'Feeder Schedule'!$B$5:$B$254,'Feeder Schedule'!$B$5:$B$254),IFERROR(_xlfn.XLOOKUP($BA34,'Feeder Schedule'!$B$5:$B$254,'Feeder Schedule'!$B$5:$B$254),"")))</f>
        <v/>
      </c>
      <c r="BG34" s="387" t="str">
        <f>IF($BF34="","",IFERROR(_xlfn.XLOOKUP($BF34,'Feeder Schedule'!$B$5:$B$254,'Feeder Schedule'!$A$5:$A$254),""))</f>
        <v/>
      </c>
      <c r="BH34" s="387" t="str">
        <f>IF($BF34="","",IFERROR(_xlfn.XLOOKUP($BF34,'Feeder Schedule'!$B$5:$B$254,'Feeder Schedule'!$O$5:$O$254),""))</f>
        <v/>
      </c>
      <c r="BI34" s="387" t="str">
        <f>IF($BF34="","",IFERROR(_xlfn.XLOOKUP($BF34,'Feeder Schedule'!$B$5:$B$254,'Feeder Schedule'!$P$5:$P$254),""))</f>
        <v/>
      </c>
      <c r="BJ34" s="387" t="str">
        <f>IF($BF34="","",IFERROR(_xlfn.XLOOKUP($BF34,'Feeder Schedule'!$B$5:$B$254,'Feeder Schedule'!$Q$5:$Q$254),""))</f>
        <v/>
      </c>
      <c r="BK34" s="387" t="str">
        <f>IF($BF34="","",IFERROR(_xlfn.XLOOKUP($BF34,'Feeder Schedule'!$B$5:$B$254,'Feeder Schedule'!$S$5:$S$254),""))</f>
        <v/>
      </c>
      <c r="BL34" s="387" t="str">
        <f>IF($BF34="","",IFERROR(_xlfn.XLOOKUP($BF34,'Feeder Schedule'!$B$5:$B$254,'Feeder Schedule'!$H$5:$H$254),""))</f>
        <v/>
      </c>
      <c r="BM34" s="534" t="str">
        <f>IF($BA34="","",'Short Circuit'!$J34)</f>
        <v/>
      </c>
      <c r="BN34" s="534" t="str">
        <f>IF($BA34="","",'Short Circuit'!$Q34)</f>
        <v/>
      </c>
      <c r="BO34" s="387" t="str">
        <f>IF($BA34="","",'Short Circuit'!$R34)</f>
        <v/>
      </c>
      <c r="BP34" s="535" t="str">
        <f>IF($BA34="","",'Short Circuit'!$S34)</f>
        <v/>
      </c>
      <c r="BQ34" s="387" t="str">
        <f>IF($BA34="","",'Short Circuit'!$T34)</f>
        <v/>
      </c>
      <c r="BR34" s="536" t="str">
        <f>IF($BA34="","",'Voltage Drop'!$G34)</f>
        <v/>
      </c>
      <c r="BS34" s="536" t="str">
        <f>IF($BA34="","",'Voltage Drop'!$H34)</f>
        <v/>
      </c>
      <c r="BT34" s="387" t="str">
        <f>IF($BA34="","",'Voltage Drop'!$K34)</f>
        <v/>
      </c>
      <c r="BU34" s="387" t="str">
        <f t="shared" si="0"/>
        <v/>
      </c>
      <c r="BV34" s="387"/>
      <c r="BW34" s="387" t="b">
        <f t="shared" si="1"/>
        <v>0</v>
      </c>
    </row>
    <row r="35" spans="1:75" ht="15" customHeight="1" x14ac:dyDescent="0.45">
      <c r="A35" s="161"/>
      <c r="B35" s="389"/>
      <c r="C35" s="207"/>
      <c r="D35" s="208"/>
      <c r="E35" s="161"/>
      <c r="F35" s="389"/>
      <c r="G35" s="389"/>
      <c r="H35" s="389"/>
      <c r="I35" s="389"/>
      <c r="J35" s="389"/>
      <c r="K35" s="389"/>
      <c r="L35" s="209"/>
      <c r="M35" s="209"/>
      <c r="N35" s="209"/>
      <c r="O35" s="209"/>
      <c r="P35" s="209"/>
      <c r="Q35" s="161"/>
      <c r="R35" s="390"/>
      <c r="S35" s="390"/>
      <c r="T35" s="161"/>
      <c r="U35" s="389"/>
      <c r="BA35" s="387" t="str">
        <f>IF('Short Circuit'!$A35="","",'Short Circuit'!$A35)</f>
        <v/>
      </c>
      <c r="BB35" s="387" t="str">
        <f>IF($BA35="","",'Short Circuit'!$B35)</f>
        <v/>
      </c>
      <c r="BC35" s="387" t="str">
        <f>IF($BA35="","",'Short Circuit'!$C35)</f>
        <v/>
      </c>
      <c r="BD35" s="387" t="str">
        <f>IF($BA35="","",'Short Circuit'!$D35)</f>
        <v/>
      </c>
      <c r="BE35" s="387" t="str">
        <f>IF($BA35="","",'Short Circuit'!$E35)</f>
        <v/>
      </c>
      <c r="BF35" s="387" t="str">
        <f>IF($BA35="","",IFERROR(_xlfn.XLOOKUP("F-"&amp;$BA35,'Feeder Schedule'!$B$5:$B$254,'Feeder Schedule'!$B$5:$B$254),IFERROR(_xlfn.XLOOKUP($BA35,'Feeder Schedule'!$B$5:$B$254,'Feeder Schedule'!$B$5:$B$254),"")))</f>
        <v/>
      </c>
      <c r="BG35" s="387" t="str">
        <f>IF($BF35="","",IFERROR(_xlfn.XLOOKUP($BF35,'Feeder Schedule'!$B$5:$B$254,'Feeder Schedule'!$A$5:$A$254),""))</f>
        <v/>
      </c>
      <c r="BH35" s="387" t="str">
        <f>IF($BF35="","",IFERROR(_xlfn.XLOOKUP($BF35,'Feeder Schedule'!$B$5:$B$254,'Feeder Schedule'!$O$5:$O$254),""))</f>
        <v/>
      </c>
      <c r="BI35" s="387" t="str">
        <f>IF($BF35="","",IFERROR(_xlfn.XLOOKUP($BF35,'Feeder Schedule'!$B$5:$B$254,'Feeder Schedule'!$P$5:$P$254),""))</f>
        <v/>
      </c>
      <c r="BJ35" s="387" t="str">
        <f>IF($BF35="","",IFERROR(_xlfn.XLOOKUP($BF35,'Feeder Schedule'!$B$5:$B$254,'Feeder Schedule'!$Q$5:$Q$254),""))</f>
        <v/>
      </c>
      <c r="BK35" s="387" t="str">
        <f>IF($BF35="","",IFERROR(_xlfn.XLOOKUP($BF35,'Feeder Schedule'!$B$5:$B$254,'Feeder Schedule'!$S$5:$S$254),""))</f>
        <v/>
      </c>
      <c r="BL35" s="387" t="str">
        <f>IF($BF35="","",IFERROR(_xlfn.XLOOKUP($BF35,'Feeder Schedule'!$B$5:$B$254,'Feeder Schedule'!$H$5:$H$254),""))</f>
        <v/>
      </c>
      <c r="BM35" s="534" t="str">
        <f>IF($BA35="","",'Short Circuit'!$J35)</f>
        <v/>
      </c>
      <c r="BN35" s="534" t="str">
        <f>IF($BA35="","",'Short Circuit'!$Q35)</f>
        <v/>
      </c>
      <c r="BO35" s="387" t="str">
        <f>IF($BA35="","",'Short Circuit'!$R35)</f>
        <v/>
      </c>
      <c r="BP35" s="535" t="str">
        <f>IF($BA35="","",'Short Circuit'!$S35)</f>
        <v/>
      </c>
      <c r="BQ35" s="387" t="str">
        <f>IF($BA35="","",'Short Circuit'!$T35)</f>
        <v/>
      </c>
      <c r="BR35" s="536" t="str">
        <f>IF($BA35="","",'Voltage Drop'!$G35)</f>
        <v/>
      </c>
      <c r="BS35" s="536" t="str">
        <f>IF($BA35="","",'Voltage Drop'!$H35)</f>
        <v/>
      </c>
      <c r="BT35" s="387" t="str">
        <f>IF($BA35="","",'Voltage Drop'!$K35)</f>
        <v/>
      </c>
      <c r="BU35" s="387" t="str">
        <f t="shared" si="0"/>
        <v/>
      </c>
      <c r="BV35" s="387"/>
      <c r="BW35" s="387" t="b">
        <f t="shared" si="1"/>
        <v>0</v>
      </c>
    </row>
    <row r="36" spans="1:75" ht="15" customHeight="1" x14ac:dyDescent="0.45">
      <c r="A36" s="161"/>
      <c r="B36" s="389"/>
      <c r="C36" s="207"/>
      <c r="D36" s="208"/>
      <c r="E36" s="161"/>
      <c r="F36" s="389"/>
      <c r="G36" s="389"/>
      <c r="H36" s="389"/>
      <c r="I36" s="389"/>
      <c r="J36" s="389"/>
      <c r="K36" s="389"/>
      <c r="L36" s="209"/>
      <c r="M36" s="209"/>
      <c r="N36" s="209"/>
      <c r="O36" s="209"/>
      <c r="P36" s="209"/>
      <c r="Q36" s="161"/>
      <c r="R36" s="390"/>
      <c r="S36" s="390"/>
      <c r="T36" s="161"/>
      <c r="U36" s="389"/>
      <c r="BA36" s="387" t="str">
        <f>IF('Short Circuit'!$A36="","",'Short Circuit'!$A36)</f>
        <v/>
      </c>
      <c r="BB36" s="387" t="str">
        <f>IF($BA36="","",'Short Circuit'!$B36)</f>
        <v/>
      </c>
      <c r="BC36" s="387" t="str">
        <f>IF($BA36="","",'Short Circuit'!$C36)</f>
        <v/>
      </c>
      <c r="BD36" s="387" t="str">
        <f>IF($BA36="","",'Short Circuit'!$D36)</f>
        <v/>
      </c>
      <c r="BE36" s="387" t="str">
        <f>IF($BA36="","",'Short Circuit'!$E36)</f>
        <v/>
      </c>
      <c r="BF36" s="387" t="str">
        <f>IF($BA36="","",IFERROR(_xlfn.XLOOKUP("F-"&amp;$BA36,'Feeder Schedule'!$B$5:$B$254,'Feeder Schedule'!$B$5:$B$254),IFERROR(_xlfn.XLOOKUP($BA36,'Feeder Schedule'!$B$5:$B$254,'Feeder Schedule'!$B$5:$B$254),"")))</f>
        <v/>
      </c>
      <c r="BG36" s="387" t="str">
        <f>IF($BF36="","",IFERROR(_xlfn.XLOOKUP($BF36,'Feeder Schedule'!$B$5:$B$254,'Feeder Schedule'!$A$5:$A$254),""))</f>
        <v/>
      </c>
      <c r="BH36" s="387" t="str">
        <f>IF($BF36="","",IFERROR(_xlfn.XLOOKUP($BF36,'Feeder Schedule'!$B$5:$B$254,'Feeder Schedule'!$O$5:$O$254),""))</f>
        <v/>
      </c>
      <c r="BI36" s="387" t="str">
        <f>IF($BF36="","",IFERROR(_xlfn.XLOOKUP($BF36,'Feeder Schedule'!$B$5:$B$254,'Feeder Schedule'!$P$5:$P$254),""))</f>
        <v/>
      </c>
      <c r="BJ36" s="387" t="str">
        <f>IF($BF36="","",IFERROR(_xlfn.XLOOKUP($BF36,'Feeder Schedule'!$B$5:$B$254,'Feeder Schedule'!$Q$5:$Q$254),""))</f>
        <v/>
      </c>
      <c r="BK36" s="387" t="str">
        <f>IF($BF36="","",IFERROR(_xlfn.XLOOKUP($BF36,'Feeder Schedule'!$B$5:$B$254,'Feeder Schedule'!$S$5:$S$254),""))</f>
        <v/>
      </c>
      <c r="BL36" s="387" t="str">
        <f>IF($BF36="","",IFERROR(_xlfn.XLOOKUP($BF36,'Feeder Schedule'!$B$5:$B$254,'Feeder Schedule'!$H$5:$H$254),""))</f>
        <v/>
      </c>
      <c r="BM36" s="534" t="str">
        <f>IF($BA36="","",'Short Circuit'!$J36)</f>
        <v/>
      </c>
      <c r="BN36" s="534" t="str">
        <f>IF($BA36="","",'Short Circuit'!$Q36)</f>
        <v/>
      </c>
      <c r="BO36" s="387" t="str">
        <f>IF($BA36="","",'Short Circuit'!$R36)</f>
        <v/>
      </c>
      <c r="BP36" s="535" t="str">
        <f>IF($BA36="","",'Short Circuit'!$S36)</f>
        <v/>
      </c>
      <c r="BQ36" s="387" t="str">
        <f>IF($BA36="","",'Short Circuit'!$T36)</f>
        <v/>
      </c>
      <c r="BR36" s="536" t="str">
        <f>IF($BA36="","",'Voltage Drop'!$G36)</f>
        <v/>
      </c>
      <c r="BS36" s="536" t="str">
        <f>IF($BA36="","",'Voltage Drop'!$H36)</f>
        <v/>
      </c>
      <c r="BT36" s="387" t="str">
        <f>IF($BA36="","",'Voltage Drop'!$K36)</f>
        <v/>
      </c>
      <c r="BU36" s="387" t="str">
        <f t="shared" si="0"/>
        <v/>
      </c>
      <c r="BV36" s="387"/>
      <c r="BW36" s="387" t="b">
        <f t="shared" si="1"/>
        <v>0</v>
      </c>
    </row>
    <row r="37" spans="1:75" ht="15" customHeight="1" x14ac:dyDescent="0.45">
      <c r="A37" s="161"/>
      <c r="B37" s="389"/>
      <c r="C37" s="207"/>
      <c r="D37" s="208"/>
      <c r="E37" s="161"/>
      <c r="F37" s="389"/>
      <c r="G37" s="389"/>
      <c r="H37" s="389"/>
      <c r="I37" s="389"/>
      <c r="J37" s="389"/>
      <c r="K37" s="389"/>
      <c r="L37" s="209"/>
      <c r="M37" s="209"/>
      <c r="N37" s="209"/>
      <c r="O37" s="209"/>
      <c r="P37" s="209"/>
      <c r="Q37" s="161"/>
      <c r="R37" s="390"/>
      <c r="S37" s="390"/>
      <c r="T37" s="161"/>
      <c r="U37" s="389"/>
      <c r="BA37" s="387" t="str">
        <f>IF('Short Circuit'!$A37="","",'Short Circuit'!$A37)</f>
        <v/>
      </c>
      <c r="BB37" s="387" t="str">
        <f>IF($BA37="","",'Short Circuit'!$B37)</f>
        <v/>
      </c>
      <c r="BC37" s="387" t="str">
        <f>IF($BA37="","",'Short Circuit'!$C37)</f>
        <v/>
      </c>
      <c r="BD37" s="387" t="str">
        <f>IF($BA37="","",'Short Circuit'!$D37)</f>
        <v/>
      </c>
      <c r="BE37" s="387" t="str">
        <f>IF($BA37="","",'Short Circuit'!$E37)</f>
        <v/>
      </c>
      <c r="BF37" s="387" t="str">
        <f>IF($BA37="","",IFERROR(_xlfn.XLOOKUP("F-"&amp;$BA37,'Feeder Schedule'!$B$5:$B$254,'Feeder Schedule'!$B$5:$B$254),IFERROR(_xlfn.XLOOKUP($BA37,'Feeder Schedule'!$B$5:$B$254,'Feeder Schedule'!$B$5:$B$254),"")))</f>
        <v/>
      </c>
      <c r="BG37" s="387" t="str">
        <f>IF($BF37="","",IFERROR(_xlfn.XLOOKUP($BF37,'Feeder Schedule'!$B$5:$B$254,'Feeder Schedule'!$A$5:$A$254),""))</f>
        <v/>
      </c>
      <c r="BH37" s="387" t="str">
        <f>IF($BF37="","",IFERROR(_xlfn.XLOOKUP($BF37,'Feeder Schedule'!$B$5:$B$254,'Feeder Schedule'!$O$5:$O$254),""))</f>
        <v/>
      </c>
      <c r="BI37" s="387" t="str">
        <f>IF($BF37="","",IFERROR(_xlfn.XLOOKUP($BF37,'Feeder Schedule'!$B$5:$B$254,'Feeder Schedule'!$P$5:$P$254),""))</f>
        <v/>
      </c>
      <c r="BJ37" s="387" t="str">
        <f>IF($BF37="","",IFERROR(_xlfn.XLOOKUP($BF37,'Feeder Schedule'!$B$5:$B$254,'Feeder Schedule'!$Q$5:$Q$254),""))</f>
        <v/>
      </c>
      <c r="BK37" s="387" t="str">
        <f>IF($BF37="","",IFERROR(_xlfn.XLOOKUP($BF37,'Feeder Schedule'!$B$5:$B$254,'Feeder Schedule'!$S$5:$S$254),""))</f>
        <v/>
      </c>
      <c r="BL37" s="387" t="str">
        <f>IF($BF37="","",IFERROR(_xlfn.XLOOKUP($BF37,'Feeder Schedule'!$B$5:$B$254,'Feeder Schedule'!$H$5:$H$254),""))</f>
        <v/>
      </c>
      <c r="BM37" s="534" t="str">
        <f>IF($BA37="","",'Short Circuit'!$J37)</f>
        <v/>
      </c>
      <c r="BN37" s="534" t="str">
        <f>IF($BA37="","",'Short Circuit'!$Q37)</f>
        <v/>
      </c>
      <c r="BO37" s="387" t="str">
        <f>IF($BA37="","",'Short Circuit'!$R37)</f>
        <v/>
      </c>
      <c r="BP37" s="535" t="str">
        <f>IF($BA37="","",'Short Circuit'!$S37)</f>
        <v/>
      </c>
      <c r="BQ37" s="387" t="str">
        <f>IF($BA37="","",'Short Circuit'!$T37)</f>
        <v/>
      </c>
      <c r="BR37" s="536" t="str">
        <f>IF($BA37="","",'Voltage Drop'!$G37)</f>
        <v/>
      </c>
      <c r="BS37" s="536" t="str">
        <f>IF($BA37="","",'Voltage Drop'!$H37)</f>
        <v/>
      </c>
      <c r="BT37" s="387" t="str">
        <f>IF($BA37="","",'Voltage Drop'!$K37)</f>
        <v/>
      </c>
      <c r="BU37" s="387" t="str">
        <f t="shared" si="0"/>
        <v/>
      </c>
      <c r="BV37" s="387"/>
      <c r="BW37" s="387" t="b">
        <f t="shared" si="1"/>
        <v>0</v>
      </c>
    </row>
    <row r="38" spans="1:75" ht="15" customHeight="1" x14ac:dyDescent="0.45">
      <c r="A38" s="161"/>
      <c r="B38" s="389"/>
      <c r="C38" s="207"/>
      <c r="D38" s="208"/>
      <c r="E38" s="161"/>
      <c r="F38" s="389"/>
      <c r="G38" s="389"/>
      <c r="H38" s="389"/>
      <c r="I38" s="389"/>
      <c r="J38" s="389"/>
      <c r="K38" s="389"/>
      <c r="L38" s="209"/>
      <c r="M38" s="209"/>
      <c r="N38" s="209"/>
      <c r="O38" s="209"/>
      <c r="P38" s="209"/>
      <c r="Q38" s="161"/>
      <c r="R38" s="390"/>
      <c r="S38" s="390"/>
      <c r="T38" s="161"/>
      <c r="U38" s="389"/>
      <c r="BA38" s="387" t="str">
        <f>IF('Short Circuit'!$A38="","",'Short Circuit'!$A38)</f>
        <v/>
      </c>
      <c r="BB38" s="387" t="str">
        <f>IF($BA38="","",'Short Circuit'!$B38)</f>
        <v/>
      </c>
      <c r="BC38" s="387" t="str">
        <f>IF($BA38="","",'Short Circuit'!$C38)</f>
        <v/>
      </c>
      <c r="BD38" s="387" t="str">
        <f>IF($BA38="","",'Short Circuit'!$D38)</f>
        <v/>
      </c>
      <c r="BE38" s="387" t="str">
        <f>IF($BA38="","",'Short Circuit'!$E38)</f>
        <v/>
      </c>
      <c r="BF38" s="387" t="str">
        <f>IF($BA38="","",IFERROR(_xlfn.XLOOKUP("F-"&amp;$BA38,'Feeder Schedule'!$B$5:$B$254,'Feeder Schedule'!$B$5:$B$254),IFERROR(_xlfn.XLOOKUP($BA38,'Feeder Schedule'!$B$5:$B$254,'Feeder Schedule'!$B$5:$B$254),"")))</f>
        <v/>
      </c>
      <c r="BG38" s="387" t="str">
        <f>IF($BF38="","",IFERROR(_xlfn.XLOOKUP($BF38,'Feeder Schedule'!$B$5:$B$254,'Feeder Schedule'!$A$5:$A$254),""))</f>
        <v/>
      </c>
      <c r="BH38" s="387" t="str">
        <f>IF($BF38="","",IFERROR(_xlfn.XLOOKUP($BF38,'Feeder Schedule'!$B$5:$B$254,'Feeder Schedule'!$O$5:$O$254),""))</f>
        <v/>
      </c>
      <c r="BI38" s="387" t="str">
        <f>IF($BF38="","",IFERROR(_xlfn.XLOOKUP($BF38,'Feeder Schedule'!$B$5:$B$254,'Feeder Schedule'!$P$5:$P$254),""))</f>
        <v/>
      </c>
      <c r="BJ38" s="387" t="str">
        <f>IF($BF38="","",IFERROR(_xlfn.XLOOKUP($BF38,'Feeder Schedule'!$B$5:$B$254,'Feeder Schedule'!$Q$5:$Q$254),""))</f>
        <v/>
      </c>
      <c r="BK38" s="387" t="str">
        <f>IF($BF38="","",IFERROR(_xlfn.XLOOKUP($BF38,'Feeder Schedule'!$B$5:$B$254,'Feeder Schedule'!$S$5:$S$254),""))</f>
        <v/>
      </c>
      <c r="BL38" s="387" t="str">
        <f>IF($BF38="","",IFERROR(_xlfn.XLOOKUP($BF38,'Feeder Schedule'!$B$5:$B$254,'Feeder Schedule'!$H$5:$H$254),""))</f>
        <v/>
      </c>
      <c r="BM38" s="534" t="str">
        <f>IF($BA38="","",'Short Circuit'!$J38)</f>
        <v/>
      </c>
      <c r="BN38" s="534" t="str">
        <f>IF($BA38="","",'Short Circuit'!$Q38)</f>
        <v/>
      </c>
      <c r="BO38" s="387" t="str">
        <f>IF($BA38="","",'Short Circuit'!$R38)</f>
        <v/>
      </c>
      <c r="BP38" s="535" t="str">
        <f>IF($BA38="","",'Short Circuit'!$S38)</f>
        <v/>
      </c>
      <c r="BQ38" s="387" t="str">
        <f>IF($BA38="","",'Short Circuit'!$T38)</f>
        <v/>
      </c>
      <c r="BR38" s="536" t="str">
        <f>IF($BA38="","",'Voltage Drop'!$G38)</f>
        <v/>
      </c>
      <c r="BS38" s="536" t="str">
        <f>IF($BA38="","",'Voltage Drop'!$H38)</f>
        <v/>
      </c>
      <c r="BT38" s="387" t="str">
        <f>IF($BA38="","",'Voltage Drop'!$K38)</f>
        <v/>
      </c>
      <c r="BU38" s="387" t="str">
        <f t="shared" si="0"/>
        <v/>
      </c>
      <c r="BV38" s="387"/>
      <c r="BW38" s="387" t="b">
        <f t="shared" si="1"/>
        <v>0</v>
      </c>
    </row>
    <row r="39" spans="1:75" ht="15" customHeight="1" x14ac:dyDescent="0.45">
      <c r="A39" s="161"/>
      <c r="B39" s="389"/>
      <c r="C39" s="207"/>
      <c r="D39" s="208"/>
      <c r="E39" s="161"/>
      <c r="F39" s="389"/>
      <c r="G39" s="389"/>
      <c r="H39" s="389"/>
      <c r="I39" s="389"/>
      <c r="J39" s="389"/>
      <c r="K39" s="389"/>
      <c r="L39" s="209"/>
      <c r="M39" s="209"/>
      <c r="N39" s="209"/>
      <c r="O39" s="209"/>
      <c r="P39" s="209"/>
      <c r="Q39" s="161"/>
      <c r="R39" s="390"/>
      <c r="S39" s="390"/>
      <c r="T39" s="161"/>
      <c r="U39" s="389"/>
      <c r="BA39" s="387" t="str">
        <f>IF('Short Circuit'!$A39="","",'Short Circuit'!$A39)</f>
        <v/>
      </c>
      <c r="BB39" s="387" t="str">
        <f>IF($BA39="","",'Short Circuit'!$B39)</f>
        <v/>
      </c>
      <c r="BC39" s="387" t="str">
        <f>IF($BA39="","",'Short Circuit'!$C39)</f>
        <v/>
      </c>
      <c r="BD39" s="387" t="str">
        <f>IF($BA39="","",'Short Circuit'!$D39)</f>
        <v/>
      </c>
      <c r="BE39" s="387" t="str">
        <f>IF($BA39="","",'Short Circuit'!$E39)</f>
        <v/>
      </c>
      <c r="BF39" s="387" t="str">
        <f>IF($BA39="","",IFERROR(_xlfn.XLOOKUP("F-"&amp;$BA39,'Feeder Schedule'!$B$5:$B$254,'Feeder Schedule'!$B$5:$B$254),IFERROR(_xlfn.XLOOKUP($BA39,'Feeder Schedule'!$B$5:$B$254,'Feeder Schedule'!$B$5:$B$254),"")))</f>
        <v/>
      </c>
      <c r="BG39" s="387" t="str">
        <f>IF($BF39="","",IFERROR(_xlfn.XLOOKUP($BF39,'Feeder Schedule'!$B$5:$B$254,'Feeder Schedule'!$A$5:$A$254),""))</f>
        <v/>
      </c>
      <c r="BH39" s="387" t="str">
        <f>IF($BF39="","",IFERROR(_xlfn.XLOOKUP($BF39,'Feeder Schedule'!$B$5:$B$254,'Feeder Schedule'!$O$5:$O$254),""))</f>
        <v/>
      </c>
      <c r="BI39" s="387" t="str">
        <f>IF($BF39="","",IFERROR(_xlfn.XLOOKUP($BF39,'Feeder Schedule'!$B$5:$B$254,'Feeder Schedule'!$P$5:$P$254),""))</f>
        <v/>
      </c>
      <c r="BJ39" s="387" t="str">
        <f>IF($BF39="","",IFERROR(_xlfn.XLOOKUP($BF39,'Feeder Schedule'!$B$5:$B$254,'Feeder Schedule'!$Q$5:$Q$254),""))</f>
        <v/>
      </c>
      <c r="BK39" s="387" t="str">
        <f>IF($BF39="","",IFERROR(_xlfn.XLOOKUP($BF39,'Feeder Schedule'!$B$5:$B$254,'Feeder Schedule'!$S$5:$S$254),""))</f>
        <v/>
      </c>
      <c r="BL39" s="387" t="str">
        <f>IF($BF39="","",IFERROR(_xlfn.XLOOKUP($BF39,'Feeder Schedule'!$B$5:$B$254,'Feeder Schedule'!$H$5:$H$254),""))</f>
        <v/>
      </c>
      <c r="BM39" s="534" t="str">
        <f>IF($BA39="","",'Short Circuit'!$J39)</f>
        <v/>
      </c>
      <c r="BN39" s="534" t="str">
        <f>IF($BA39="","",'Short Circuit'!$Q39)</f>
        <v/>
      </c>
      <c r="BO39" s="387" t="str">
        <f>IF($BA39="","",'Short Circuit'!$R39)</f>
        <v/>
      </c>
      <c r="BP39" s="535" t="str">
        <f>IF($BA39="","",'Short Circuit'!$S39)</f>
        <v/>
      </c>
      <c r="BQ39" s="387" t="str">
        <f>IF($BA39="","",'Short Circuit'!$T39)</f>
        <v/>
      </c>
      <c r="BR39" s="536" t="str">
        <f>IF($BA39="","",'Voltage Drop'!$G39)</f>
        <v/>
      </c>
      <c r="BS39" s="536" t="str">
        <f>IF($BA39="","",'Voltage Drop'!$H39)</f>
        <v/>
      </c>
      <c r="BT39" s="387" t="str">
        <f>IF($BA39="","",'Voltage Drop'!$K39)</f>
        <v/>
      </c>
      <c r="BU39" s="387" t="str">
        <f t="shared" si="0"/>
        <v/>
      </c>
      <c r="BV39" s="387"/>
      <c r="BW39" s="387" t="b">
        <f t="shared" si="1"/>
        <v>0</v>
      </c>
    </row>
    <row r="40" spans="1:75" ht="15" customHeight="1" x14ac:dyDescent="0.45">
      <c r="A40" s="161"/>
      <c r="B40" s="389"/>
      <c r="C40" s="207"/>
      <c r="D40" s="208"/>
      <c r="E40" s="161"/>
      <c r="F40" s="389"/>
      <c r="G40" s="389"/>
      <c r="H40" s="389"/>
      <c r="I40" s="389"/>
      <c r="J40" s="389"/>
      <c r="K40" s="389"/>
      <c r="L40" s="209"/>
      <c r="M40" s="209"/>
      <c r="N40" s="209"/>
      <c r="O40" s="209"/>
      <c r="P40" s="209"/>
      <c r="Q40" s="161"/>
      <c r="R40" s="390"/>
      <c r="S40" s="390"/>
      <c r="T40" s="161"/>
      <c r="U40" s="389"/>
      <c r="BA40" s="387" t="str">
        <f>IF('Short Circuit'!$A40="","",'Short Circuit'!$A40)</f>
        <v/>
      </c>
      <c r="BB40" s="387" t="str">
        <f>IF($BA40="","",'Short Circuit'!$B40)</f>
        <v/>
      </c>
      <c r="BC40" s="387" t="str">
        <f>IF($BA40="","",'Short Circuit'!$C40)</f>
        <v/>
      </c>
      <c r="BD40" s="387" t="str">
        <f>IF($BA40="","",'Short Circuit'!$D40)</f>
        <v/>
      </c>
      <c r="BE40" s="387" t="str">
        <f>IF($BA40="","",'Short Circuit'!$E40)</f>
        <v/>
      </c>
      <c r="BF40" s="387" t="str">
        <f>IF($BA40="","",IFERROR(_xlfn.XLOOKUP("F-"&amp;$BA40,'Feeder Schedule'!$B$5:$B$254,'Feeder Schedule'!$B$5:$B$254),IFERROR(_xlfn.XLOOKUP($BA40,'Feeder Schedule'!$B$5:$B$254,'Feeder Schedule'!$B$5:$B$254),"")))</f>
        <v/>
      </c>
      <c r="BG40" s="387" t="str">
        <f>IF($BF40="","",IFERROR(_xlfn.XLOOKUP($BF40,'Feeder Schedule'!$B$5:$B$254,'Feeder Schedule'!$A$5:$A$254),""))</f>
        <v/>
      </c>
      <c r="BH40" s="387" t="str">
        <f>IF($BF40="","",IFERROR(_xlfn.XLOOKUP($BF40,'Feeder Schedule'!$B$5:$B$254,'Feeder Schedule'!$O$5:$O$254),""))</f>
        <v/>
      </c>
      <c r="BI40" s="387" t="str">
        <f>IF($BF40="","",IFERROR(_xlfn.XLOOKUP($BF40,'Feeder Schedule'!$B$5:$B$254,'Feeder Schedule'!$P$5:$P$254),""))</f>
        <v/>
      </c>
      <c r="BJ40" s="387" t="str">
        <f>IF($BF40="","",IFERROR(_xlfn.XLOOKUP($BF40,'Feeder Schedule'!$B$5:$B$254,'Feeder Schedule'!$Q$5:$Q$254),""))</f>
        <v/>
      </c>
      <c r="BK40" s="387" t="str">
        <f>IF($BF40="","",IFERROR(_xlfn.XLOOKUP($BF40,'Feeder Schedule'!$B$5:$B$254,'Feeder Schedule'!$S$5:$S$254),""))</f>
        <v/>
      </c>
      <c r="BL40" s="387" t="str">
        <f>IF($BF40="","",IFERROR(_xlfn.XLOOKUP($BF40,'Feeder Schedule'!$B$5:$B$254,'Feeder Schedule'!$H$5:$H$254),""))</f>
        <v/>
      </c>
      <c r="BM40" s="534" t="str">
        <f>IF($BA40="","",'Short Circuit'!$J40)</f>
        <v/>
      </c>
      <c r="BN40" s="534" t="str">
        <f>IF($BA40="","",'Short Circuit'!$Q40)</f>
        <v/>
      </c>
      <c r="BO40" s="387" t="str">
        <f>IF($BA40="","",'Short Circuit'!$R40)</f>
        <v/>
      </c>
      <c r="BP40" s="535" t="str">
        <f>IF($BA40="","",'Short Circuit'!$S40)</f>
        <v/>
      </c>
      <c r="BQ40" s="387" t="str">
        <f>IF($BA40="","",'Short Circuit'!$T40)</f>
        <v/>
      </c>
      <c r="BR40" s="536" t="str">
        <f>IF($BA40="","",'Voltage Drop'!$G40)</f>
        <v/>
      </c>
      <c r="BS40" s="536" t="str">
        <f>IF($BA40="","",'Voltage Drop'!$H40)</f>
        <v/>
      </c>
      <c r="BT40" s="387" t="str">
        <f>IF($BA40="","",'Voltage Drop'!$K40)</f>
        <v/>
      </c>
      <c r="BU40" s="387" t="str">
        <f t="shared" si="0"/>
        <v/>
      </c>
      <c r="BV40" s="387"/>
      <c r="BW40" s="387" t="b">
        <f t="shared" si="1"/>
        <v>0</v>
      </c>
    </row>
    <row r="41" spans="1:75" ht="15" customHeight="1" x14ac:dyDescent="0.45">
      <c r="A41" s="161"/>
      <c r="B41" s="389"/>
      <c r="C41" s="207"/>
      <c r="D41" s="208"/>
      <c r="E41" s="161"/>
      <c r="F41" s="389"/>
      <c r="G41" s="389"/>
      <c r="H41" s="389"/>
      <c r="I41" s="389"/>
      <c r="J41" s="389"/>
      <c r="K41" s="389"/>
      <c r="L41" s="209"/>
      <c r="M41" s="209"/>
      <c r="N41" s="209"/>
      <c r="O41" s="209"/>
      <c r="P41" s="209"/>
      <c r="Q41" s="161"/>
      <c r="R41" s="390"/>
      <c r="S41" s="390"/>
      <c r="T41" s="161"/>
      <c r="U41" s="389"/>
      <c r="BA41" s="387" t="str">
        <f>IF('Short Circuit'!$A41="","",'Short Circuit'!$A41)</f>
        <v/>
      </c>
      <c r="BB41" s="387" t="str">
        <f>IF($BA41="","",'Short Circuit'!$B41)</f>
        <v/>
      </c>
      <c r="BC41" s="387" t="str">
        <f>IF($BA41="","",'Short Circuit'!$C41)</f>
        <v/>
      </c>
      <c r="BD41" s="387" t="str">
        <f>IF($BA41="","",'Short Circuit'!$D41)</f>
        <v/>
      </c>
      <c r="BE41" s="387" t="str">
        <f>IF($BA41="","",'Short Circuit'!$E41)</f>
        <v/>
      </c>
      <c r="BF41" s="387" t="str">
        <f>IF($BA41="","",IFERROR(_xlfn.XLOOKUP("F-"&amp;$BA41,'Feeder Schedule'!$B$5:$B$254,'Feeder Schedule'!$B$5:$B$254),IFERROR(_xlfn.XLOOKUP($BA41,'Feeder Schedule'!$B$5:$B$254,'Feeder Schedule'!$B$5:$B$254),"")))</f>
        <v/>
      </c>
      <c r="BG41" s="387" t="str">
        <f>IF($BF41="","",IFERROR(_xlfn.XLOOKUP($BF41,'Feeder Schedule'!$B$5:$B$254,'Feeder Schedule'!$A$5:$A$254),""))</f>
        <v/>
      </c>
      <c r="BH41" s="387" t="str">
        <f>IF($BF41="","",IFERROR(_xlfn.XLOOKUP($BF41,'Feeder Schedule'!$B$5:$B$254,'Feeder Schedule'!$O$5:$O$254),""))</f>
        <v/>
      </c>
      <c r="BI41" s="387" t="str">
        <f>IF($BF41="","",IFERROR(_xlfn.XLOOKUP($BF41,'Feeder Schedule'!$B$5:$B$254,'Feeder Schedule'!$P$5:$P$254),""))</f>
        <v/>
      </c>
      <c r="BJ41" s="387" t="str">
        <f>IF($BF41="","",IFERROR(_xlfn.XLOOKUP($BF41,'Feeder Schedule'!$B$5:$B$254,'Feeder Schedule'!$Q$5:$Q$254),""))</f>
        <v/>
      </c>
      <c r="BK41" s="387" t="str">
        <f>IF($BF41="","",IFERROR(_xlfn.XLOOKUP($BF41,'Feeder Schedule'!$B$5:$B$254,'Feeder Schedule'!$S$5:$S$254),""))</f>
        <v/>
      </c>
      <c r="BL41" s="387" t="str">
        <f>IF($BF41="","",IFERROR(_xlfn.XLOOKUP($BF41,'Feeder Schedule'!$B$5:$B$254,'Feeder Schedule'!$H$5:$H$254),""))</f>
        <v/>
      </c>
      <c r="BM41" s="534" t="str">
        <f>IF($BA41="","",'Short Circuit'!$J41)</f>
        <v/>
      </c>
      <c r="BN41" s="534" t="str">
        <f>IF($BA41="","",'Short Circuit'!$Q41)</f>
        <v/>
      </c>
      <c r="BO41" s="387" t="str">
        <f>IF($BA41="","",'Short Circuit'!$R41)</f>
        <v/>
      </c>
      <c r="BP41" s="535" t="str">
        <f>IF($BA41="","",'Short Circuit'!$S41)</f>
        <v/>
      </c>
      <c r="BQ41" s="387" t="str">
        <f>IF($BA41="","",'Short Circuit'!$T41)</f>
        <v/>
      </c>
      <c r="BR41" s="536" t="str">
        <f>IF($BA41="","",'Voltage Drop'!$G41)</f>
        <v/>
      </c>
      <c r="BS41" s="536" t="str">
        <f>IF($BA41="","",'Voltage Drop'!$H41)</f>
        <v/>
      </c>
      <c r="BT41" s="387" t="str">
        <f>IF($BA41="","",'Voltage Drop'!$K41)</f>
        <v/>
      </c>
      <c r="BU41" s="387" t="str">
        <f t="shared" si="0"/>
        <v/>
      </c>
      <c r="BV41" s="387"/>
      <c r="BW41" s="387" t="b">
        <f t="shared" si="1"/>
        <v>0</v>
      </c>
    </row>
    <row r="42" spans="1:75" ht="15" customHeight="1" x14ac:dyDescent="0.45">
      <c r="A42" s="161"/>
      <c r="B42" s="389"/>
      <c r="C42" s="207"/>
      <c r="D42" s="208"/>
      <c r="E42" s="161"/>
      <c r="F42" s="389"/>
      <c r="G42" s="389"/>
      <c r="H42" s="389"/>
      <c r="I42" s="389"/>
      <c r="J42" s="389"/>
      <c r="K42" s="389"/>
      <c r="L42" s="209"/>
      <c r="M42" s="209"/>
      <c r="N42" s="209"/>
      <c r="O42" s="209"/>
      <c r="P42" s="209"/>
      <c r="Q42" s="161"/>
      <c r="R42" s="390"/>
      <c r="S42" s="390"/>
      <c r="T42" s="161"/>
      <c r="U42" s="389"/>
      <c r="BA42" s="387" t="str">
        <f>IF('Short Circuit'!$A42="","",'Short Circuit'!$A42)</f>
        <v/>
      </c>
      <c r="BB42" s="387" t="str">
        <f>IF($BA42="","",'Short Circuit'!$B42)</f>
        <v/>
      </c>
      <c r="BC42" s="387" t="str">
        <f>IF($BA42="","",'Short Circuit'!$C42)</f>
        <v/>
      </c>
      <c r="BD42" s="387" t="str">
        <f>IF($BA42="","",'Short Circuit'!$D42)</f>
        <v/>
      </c>
      <c r="BE42" s="387" t="str">
        <f>IF($BA42="","",'Short Circuit'!$E42)</f>
        <v/>
      </c>
      <c r="BF42" s="387" t="str">
        <f>IF($BA42="","",IFERROR(_xlfn.XLOOKUP("F-"&amp;$BA42,'Feeder Schedule'!$B$5:$B$254,'Feeder Schedule'!$B$5:$B$254),IFERROR(_xlfn.XLOOKUP($BA42,'Feeder Schedule'!$B$5:$B$254,'Feeder Schedule'!$B$5:$B$254),"")))</f>
        <v/>
      </c>
      <c r="BG42" s="387" t="str">
        <f>IF($BF42="","",IFERROR(_xlfn.XLOOKUP($BF42,'Feeder Schedule'!$B$5:$B$254,'Feeder Schedule'!$A$5:$A$254),""))</f>
        <v/>
      </c>
      <c r="BH42" s="387" t="str">
        <f>IF($BF42="","",IFERROR(_xlfn.XLOOKUP($BF42,'Feeder Schedule'!$B$5:$B$254,'Feeder Schedule'!$O$5:$O$254),""))</f>
        <v/>
      </c>
      <c r="BI42" s="387" t="str">
        <f>IF($BF42="","",IFERROR(_xlfn.XLOOKUP($BF42,'Feeder Schedule'!$B$5:$B$254,'Feeder Schedule'!$P$5:$P$254),""))</f>
        <v/>
      </c>
      <c r="BJ42" s="387" t="str">
        <f>IF($BF42="","",IFERROR(_xlfn.XLOOKUP($BF42,'Feeder Schedule'!$B$5:$B$254,'Feeder Schedule'!$Q$5:$Q$254),""))</f>
        <v/>
      </c>
      <c r="BK42" s="387" t="str">
        <f>IF($BF42="","",IFERROR(_xlfn.XLOOKUP($BF42,'Feeder Schedule'!$B$5:$B$254,'Feeder Schedule'!$S$5:$S$254),""))</f>
        <v/>
      </c>
      <c r="BL42" s="387" t="str">
        <f>IF($BF42="","",IFERROR(_xlfn.XLOOKUP($BF42,'Feeder Schedule'!$B$5:$B$254,'Feeder Schedule'!$H$5:$H$254),""))</f>
        <v/>
      </c>
      <c r="BM42" s="534" t="str">
        <f>IF($BA42="","",'Short Circuit'!$J42)</f>
        <v/>
      </c>
      <c r="BN42" s="534" t="str">
        <f>IF($BA42="","",'Short Circuit'!$Q42)</f>
        <v/>
      </c>
      <c r="BO42" s="387" t="str">
        <f>IF($BA42="","",'Short Circuit'!$R42)</f>
        <v/>
      </c>
      <c r="BP42" s="535" t="str">
        <f>IF($BA42="","",'Short Circuit'!$S42)</f>
        <v/>
      </c>
      <c r="BQ42" s="387" t="str">
        <f>IF($BA42="","",'Short Circuit'!$T42)</f>
        <v/>
      </c>
      <c r="BR42" s="536" t="str">
        <f>IF($BA42="","",'Voltage Drop'!$G42)</f>
        <v/>
      </c>
      <c r="BS42" s="536" t="str">
        <f>IF($BA42="","",'Voltage Drop'!$H42)</f>
        <v/>
      </c>
      <c r="BT42" s="387" t="str">
        <f>IF($BA42="","",'Voltage Drop'!$K42)</f>
        <v/>
      </c>
      <c r="BU42" s="387" t="str">
        <f t="shared" si="0"/>
        <v/>
      </c>
      <c r="BV42" s="387"/>
      <c r="BW42" s="387" t="b">
        <f t="shared" si="1"/>
        <v>0</v>
      </c>
    </row>
    <row r="43" spans="1:75" ht="15" customHeight="1" x14ac:dyDescent="0.45">
      <c r="A43" s="161"/>
      <c r="B43" s="389"/>
      <c r="C43" s="207"/>
      <c r="D43" s="208"/>
      <c r="E43" s="161"/>
      <c r="F43" s="389"/>
      <c r="G43" s="389"/>
      <c r="H43" s="389"/>
      <c r="I43" s="389"/>
      <c r="J43" s="389"/>
      <c r="K43" s="389"/>
      <c r="L43" s="209"/>
      <c r="M43" s="209"/>
      <c r="N43" s="209"/>
      <c r="O43" s="209"/>
      <c r="P43" s="209"/>
      <c r="Q43" s="161"/>
      <c r="R43" s="390"/>
      <c r="S43" s="390"/>
      <c r="T43" s="161"/>
      <c r="U43" s="389"/>
      <c r="BA43" s="387" t="str">
        <f>IF('Short Circuit'!$A43="","",'Short Circuit'!$A43)</f>
        <v/>
      </c>
      <c r="BB43" s="387" t="str">
        <f>IF($BA43="","",'Short Circuit'!$B43)</f>
        <v/>
      </c>
      <c r="BC43" s="387" t="str">
        <f>IF($BA43="","",'Short Circuit'!$C43)</f>
        <v/>
      </c>
      <c r="BD43" s="387" t="str">
        <f>IF($BA43="","",'Short Circuit'!$D43)</f>
        <v/>
      </c>
      <c r="BE43" s="387" t="str">
        <f>IF($BA43="","",'Short Circuit'!$E43)</f>
        <v/>
      </c>
      <c r="BF43" s="387" t="str">
        <f>IF($BA43="","",IFERROR(_xlfn.XLOOKUP("F-"&amp;$BA43,'Feeder Schedule'!$B$5:$B$254,'Feeder Schedule'!$B$5:$B$254),IFERROR(_xlfn.XLOOKUP($BA43,'Feeder Schedule'!$B$5:$B$254,'Feeder Schedule'!$B$5:$B$254),"")))</f>
        <v/>
      </c>
      <c r="BG43" s="387" t="str">
        <f>IF($BF43="","",IFERROR(_xlfn.XLOOKUP($BF43,'Feeder Schedule'!$B$5:$B$254,'Feeder Schedule'!$A$5:$A$254),""))</f>
        <v/>
      </c>
      <c r="BH43" s="387" t="str">
        <f>IF($BF43="","",IFERROR(_xlfn.XLOOKUP($BF43,'Feeder Schedule'!$B$5:$B$254,'Feeder Schedule'!$O$5:$O$254),""))</f>
        <v/>
      </c>
      <c r="BI43" s="387" t="str">
        <f>IF($BF43="","",IFERROR(_xlfn.XLOOKUP($BF43,'Feeder Schedule'!$B$5:$B$254,'Feeder Schedule'!$P$5:$P$254),""))</f>
        <v/>
      </c>
      <c r="BJ43" s="387" t="str">
        <f>IF($BF43="","",IFERROR(_xlfn.XLOOKUP($BF43,'Feeder Schedule'!$B$5:$B$254,'Feeder Schedule'!$Q$5:$Q$254),""))</f>
        <v/>
      </c>
      <c r="BK43" s="387" t="str">
        <f>IF($BF43="","",IFERROR(_xlfn.XLOOKUP($BF43,'Feeder Schedule'!$B$5:$B$254,'Feeder Schedule'!$S$5:$S$254),""))</f>
        <v/>
      </c>
      <c r="BL43" s="387" t="str">
        <f>IF($BF43="","",IFERROR(_xlfn.XLOOKUP($BF43,'Feeder Schedule'!$B$5:$B$254,'Feeder Schedule'!$H$5:$H$254),""))</f>
        <v/>
      </c>
      <c r="BM43" s="534" t="str">
        <f>IF($BA43="","",'Short Circuit'!$J43)</f>
        <v/>
      </c>
      <c r="BN43" s="534" t="str">
        <f>IF($BA43="","",'Short Circuit'!$Q43)</f>
        <v/>
      </c>
      <c r="BO43" s="387" t="str">
        <f>IF($BA43="","",'Short Circuit'!$R43)</f>
        <v/>
      </c>
      <c r="BP43" s="535" t="str">
        <f>IF($BA43="","",'Short Circuit'!$S43)</f>
        <v/>
      </c>
      <c r="BQ43" s="387" t="str">
        <f>IF($BA43="","",'Short Circuit'!$T43)</f>
        <v/>
      </c>
      <c r="BR43" s="536" t="str">
        <f>IF($BA43="","",'Voltage Drop'!$G43)</f>
        <v/>
      </c>
      <c r="BS43" s="536" t="str">
        <f>IF($BA43="","",'Voltage Drop'!$H43)</f>
        <v/>
      </c>
      <c r="BT43" s="387" t="str">
        <f>IF($BA43="","",'Voltage Drop'!$K43)</f>
        <v/>
      </c>
      <c r="BU43" s="387" t="str">
        <f t="shared" si="0"/>
        <v/>
      </c>
      <c r="BV43" s="387"/>
      <c r="BW43" s="387" t="b">
        <f t="shared" si="1"/>
        <v>0</v>
      </c>
    </row>
    <row r="44" spans="1:75" ht="15" customHeight="1" x14ac:dyDescent="0.45">
      <c r="A44" s="161"/>
      <c r="B44" s="389"/>
      <c r="C44" s="207"/>
      <c r="D44" s="208"/>
      <c r="E44" s="161"/>
      <c r="F44" s="389"/>
      <c r="G44" s="389"/>
      <c r="H44" s="389"/>
      <c r="I44" s="389"/>
      <c r="J44" s="389"/>
      <c r="K44" s="389"/>
      <c r="L44" s="209"/>
      <c r="M44" s="209"/>
      <c r="N44" s="209"/>
      <c r="O44" s="209"/>
      <c r="P44" s="209"/>
      <c r="Q44" s="161"/>
      <c r="R44" s="390"/>
      <c r="S44" s="390"/>
      <c r="T44" s="161"/>
      <c r="U44" s="389"/>
      <c r="BA44" s="387" t="str">
        <f>IF('Short Circuit'!$A44="","",'Short Circuit'!$A44)</f>
        <v/>
      </c>
      <c r="BB44" s="387" t="str">
        <f>IF($BA44="","",'Short Circuit'!$B44)</f>
        <v/>
      </c>
      <c r="BC44" s="387" t="str">
        <f>IF($BA44="","",'Short Circuit'!$C44)</f>
        <v/>
      </c>
      <c r="BD44" s="387" t="str">
        <f>IF($BA44="","",'Short Circuit'!$D44)</f>
        <v/>
      </c>
      <c r="BE44" s="387" t="str">
        <f>IF($BA44="","",'Short Circuit'!$E44)</f>
        <v/>
      </c>
      <c r="BF44" s="387" t="str">
        <f>IF($BA44="","",IFERROR(_xlfn.XLOOKUP("F-"&amp;$BA44,'Feeder Schedule'!$B$5:$B$254,'Feeder Schedule'!$B$5:$B$254),IFERROR(_xlfn.XLOOKUP($BA44,'Feeder Schedule'!$B$5:$B$254,'Feeder Schedule'!$B$5:$B$254),"")))</f>
        <v/>
      </c>
      <c r="BG44" s="387" t="str">
        <f>IF($BF44="","",IFERROR(_xlfn.XLOOKUP($BF44,'Feeder Schedule'!$B$5:$B$254,'Feeder Schedule'!$A$5:$A$254),""))</f>
        <v/>
      </c>
      <c r="BH44" s="387" t="str">
        <f>IF($BF44="","",IFERROR(_xlfn.XLOOKUP($BF44,'Feeder Schedule'!$B$5:$B$254,'Feeder Schedule'!$O$5:$O$254),""))</f>
        <v/>
      </c>
      <c r="BI44" s="387" t="str">
        <f>IF($BF44="","",IFERROR(_xlfn.XLOOKUP($BF44,'Feeder Schedule'!$B$5:$B$254,'Feeder Schedule'!$P$5:$P$254),""))</f>
        <v/>
      </c>
      <c r="BJ44" s="387" t="str">
        <f>IF($BF44="","",IFERROR(_xlfn.XLOOKUP($BF44,'Feeder Schedule'!$B$5:$B$254,'Feeder Schedule'!$Q$5:$Q$254),""))</f>
        <v/>
      </c>
      <c r="BK44" s="387" t="str">
        <f>IF($BF44="","",IFERROR(_xlfn.XLOOKUP($BF44,'Feeder Schedule'!$B$5:$B$254,'Feeder Schedule'!$S$5:$S$254),""))</f>
        <v/>
      </c>
      <c r="BL44" s="387" t="str">
        <f>IF($BF44="","",IFERROR(_xlfn.XLOOKUP($BF44,'Feeder Schedule'!$B$5:$B$254,'Feeder Schedule'!$H$5:$H$254),""))</f>
        <v/>
      </c>
      <c r="BM44" s="534" t="str">
        <f>IF($BA44="","",'Short Circuit'!$J44)</f>
        <v/>
      </c>
      <c r="BN44" s="534" t="str">
        <f>IF($BA44="","",'Short Circuit'!$Q44)</f>
        <v/>
      </c>
      <c r="BO44" s="387" t="str">
        <f>IF($BA44="","",'Short Circuit'!$R44)</f>
        <v/>
      </c>
      <c r="BP44" s="535" t="str">
        <f>IF($BA44="","",'Short Circuit'!$S44)</f>
        <v/>
      </c>
      <c r="BQ44" s="387" t="str">
        <f>IF($BA44="","",'Short Circuit'!$T44)</f>
        <v/>
      </c>
      <c r="BR44" s="536" t="str">
        <f>IF($BA44="","",'Voltage Drop'!$G44)</f>
        <v/>
      </c>
      <c r="BS44" s="536" t="str">
        <f>IF($BA44="","",'Voltage Drop'!$H44)</f>
        <v/>
      </c>
      <c r="BT44" s="387" t="str">
        <f>IF($BA44="","",'Voltage Drop'!$K44)</f>
        <v/>
      </c>
      <c r="BU44" s="387" t="str">
        <f t="shared" si="0"/>
        <v/>
      </c>
      <c r="BV44" s="387"/>
      <c r="BW44" s="387" t="b">
        <f t="shared" si="1"/>
        <v>0</v>
      </c>
    </row>
    <row r="45" spans="1:75" ht="15" customHeight="1" x14ac:dyDescent="0.45">
      <c r="A45" s="161"/>
      <c r="B45" s="389"/>
      <c r="C45" s="207"/>
      <c r="D45" s="208"/>
      <c r="E45" s="161"/>
      <c r="F45" s="389"/>
      <c r="G45" s="389"/>
      <c r="H45" s="389"/>
      <c r="I45" s="389"/>
      <c r="J45" s="389"/>
      <c r="K45" s="389"/>
      <c r="L45" s="209"/>
      <c r="M45" s="209"/>
      <c r="N45" s="209"/>
      <c r="O45" s="209"/>
      <c r="P45" s="209"/>
      <c r="Q45" s="161"/>
      <c r="R45" s="390"/>
      <c r="S45" s="390"/>
      <c r="T45" s="161"/>
      <c r="U45" s="389"/>
      <c r="BA45" s="387" t="str">
        <f>IF('Short Circuit'!$A45="","",'Short Circuit'!$A45)</f>
        <v/>
      </c>
      <c r="BB45" s="387" t="str">
        <f>IF($BA45="","",'Short Circuit'!$B45)</f>
        <v/>
      </c>
      <c r="BC45" s="387" t="str">
        <f>IF($BA45="","",'Short Circuit'!$C45)</f>
        <v/>
      </c>
      <c r="BD45" s="387" t="str">
        <f>IF($BA45="","",'Short Circuit'!$D45)</f>
        <v/>
      </c>
      <c r="BE45" s="387" t="str">
        <f>IF($BA45="","",'Short Circuit'!$E45)</f>
        <v/>
      </c>
      <c r="BF45" s="387" t="str">
        <f>IF($BA45="","",IFERROR(_xlfn.XLOOKUP("F-"&amp;$BA45,'Feeder Schedule'!$B$5:$B$254,'Feeder Schedule'!$B$5:$B$254),IFERROR(_xlfn.XLOOKUP($BA45,'Feeder Schedule'!$B$5:$B$254,'Feeder Schedule'!$B$5:$B$254),"")))</f>
        <v/>
      </c>
      <c r="BG45" s="387" t="str">
        <f>IF($BF45="","",IFERROR(_xlfn.XLOOKUP($BF45,'Feeder Schedule'!$B$5:$B$254,'Feeder Schedule'!$A$5:$A$254),""))</f>
        <v/>
      </c>
      <c r="BH45" s="387" t="str">
        <f>IF($BF45="","",IFERROR(_xlfn.XLOOKUP($BF45,'Feeder Schedule'!$B$5:$B$254,'Feeder Schedule'!$O$5:$O$254),""))</f>
        <v/>
      </c>
      <c r="BI45" s="387" t="str">
        <f>IF($BF45="","",IFERROR(_xlfn.XLOOKUP($BF45,'Feeder Schedule'!$B$5:$B$254,'Feeder Schedule'!$P$5:$P$254),""))</f>
        <v/>
      </c>
      <c r="BJ45" s="387" t="str">
        <f>IF($BF45="","",IFERROR(_xlfn.XLOOKUP($BF45,'Feeder Schedule'!$B$5:$B$254,'Feeder Schedule'!$Q$5:$Q$254),""))</f>
        <v/>
      </c>
      <c r="BK45" s="387" t="str">
        <f>IF($BF45="","",IFERROR(_xlfn.XLOOKUP($BF45,'Feeder Schedule'!$B$5:$B$254,'Feeder Schedule'!$S$5:$S$254),""))</f>
        <v/>
      </c>
      <c r="BL45" s="387" t="str">
        <f>IF($BF45="","",IFERROR(_xlfn.XLOOKUP($BF45,'Feeder Schedule'!$B$5:$B$254,'Feeder Schedule'!$H$5:$H$254),""))</f>
        <v/>
      </c>
      <c r="BM45" s="534" t="str">
        <f>IF($BA45="","",'Short Circuit'!$J45)</f>
        <v/>
      </c>
      <c r="BN45" s="534" t="str">
        <f>IF($BA45="","",'Short Circuit'!$Q45)</f>
        <v/>
      </c>
      <c r="BO45" s="387" t="str">
        <f>IF($BA45="","",'Short Circuit'!$R45)</f>
        <v/>
      </c>
      <c r="BP45" s="535" t="str">
        <f>IF($BA45="","",'Short Circuit'!$S45)</f>
        <v/>
      </c>
      <c r="BQ45" s="387" t="str">
        <f>IF($BA45="","",'Short Circuit'!$T45)</f>
        <v/>
      </c>
      <c r="BR45" s="536" t="str">
        <f>IF($BA45="","",'Voltage Drop'!$G45)</f>
        <v/>
      </c>
      <c r="BS45" s="536" t="str">
        <f>IF($BA45="","",'Voltage Drop'!$H45)</f>
        <v/>
      </c>
      <c r="BT45" s="387" t="str">
        <f>IF($BA45="","",'Voltage Drop'!$K45)</f>
        <v/>
      </c>
      <c r="BU45" s="387" t="str">
        <f t="shared" si="0"/>
        <v/>
      </c>
      <c r="BV45" s="387"/>
      <c r="BW45" s="387" t="b">
        <f t="shared" si="1"/>
        <v>0</v>
      </c>
    </row>
    <row r="46" spans="1:75" ht="15" customHeight="1" x14ac:dyDescent="0.45">
      <c r="A46" s="161"/>
      <c r="B46" s="389"/>
      <c r="C46" s="207"/>
      <c r="D46" s="208"/>
      <c r="E46" s="161"/>
      <c r="F46" s="389"/>
      <c r="G46" s="389"/>
      <c r="H46" s="389"/>
      <c r="I46" s="389"/>
      <c r="J46" s="389"/>
      <c r="K46" s="389"/>
      <c r="L46" s="209"/>
      <c r="M46" s="209"/>
      <c r="N46" s="209"/>
      <c r="O46" s="209"/>
      <c r="P46" s="209"/>
      <c r="Q46" s="161"/>
      <c r="R46" s="390"/>
      <c r="S46" s="390"/>
      <c r="T46" s="161"/>
      <c r="U46" s="389"/>
      <c r="BA46" s="387" t="str">
        <f>IF('Short Circuit'!$A46="","",'Short Circuit'!$A46)</f>
        <v/>
      </c>
      <c r="BB46" s="387" t="str">
        <f>IF($BA46="","",'Short Circuit'!$B46)</f>
        <v/>
      </c>
      <c r="BC46" s="387" t="str">
        <f>IF($BA46="","",'Short Circuit'!$C46)</f>
        <v/>
      </c>
      <c r="BD46" s="387" t="str">
        <f>IF($BA46="","",'Short Circuit'!$D46)</f>
        <v/>
      </c>
      <c r="BE46" s="387" t="str">
        <f>IF($BA46="","",'Short Circuit'!$E46)</f>
        <v/>
      </c>
      <c r="BF46" s="387" t="str">
        <f>IF($BA46="","",IFERROR(_xlfn.XLOOKUP("F-"&amp;$BA46,'Feeder Schedule'!$B$5:$B$254,'Feeder Schedule'!$B$5:$B$254),IFERROR(_xlfn.XLOOKUP($BA46,'Feeder Schedule'!$B$5:$B$254,'Feeder Schedule'!$B$5:$B$254),"")))</f>
        <v/>
      </c>
      <c r="BG46" s="387" t="str">
        <f>IF($BF46="","",IFERROR(_xlfn.XLOOKUP($BF46,'Feeder Schedule'!$B$5:$B$254,'Feeder Schedule'!$A$5:$A$254),""))</f>
        <v/>
      </c>
      <c r="BH46" s="387" t="str">
        <f>IF($BF46="","",IFERROR(_xlfn.XLOOKUP($BF46,'Feeder Schedule'!$B$5:$B$254,'Feeder Schedule'!$O$5:$O$254),""))</f>
        <v/>
      </c>
      <c r="BI46" s="387" t="str">
        <f>IF($BF46="","",IFERROR(_xlfn.XLOOKUP($BF46,'Feeder Schedule'!$B$5:$B$254,'Feeder Schedule'!$P$5:$P$254),""))</f>
        <v/>
      </c>
      <c r="BJ46" s="387" t="str">
        <f>IF($BF46="","",IFERROR(_xlfn.XLOOKUP($BF46,'Feeder Schedule'!$B$5:$B$254,'Feeder Schedule'!$Q$5:$Q$254),""))</f>
        <v/>
      </c>
      <c r="BK46" s="387" t="str">
        <f>IF($BF46="","",IFERROR(_xlfn.XLOOKUP($BF46,'Feeder Schedule'!$B$5:$B$254,'Feeder Schedule'!$S$5:$S$254),""))</f>
        <v/>
      </c>
      <c r="BL46" s="387" t="str">
        <f>IF($BF46="","",IFERROR(_xlfn.XLOOKUP($BF46,'Feeder Schedule'!$B$5:$B$254,'Feeder Schedule'!$H$5:$H$254),""))</f>
        <v/>
      </c>
      <c r="BM46" s="534" t="str">
        <f>IF($BA46="","",'Short Circuit'!$J46)</f>
        <v/>
      </c>
      <c r="BN46" s="534" t="str">
        <f>IF($BA46="","",'Short Circuit'!$Q46)</f>
        <v/>
      </c>
      <c r="BO46" s="387" t="str">
        <f>IF($BA46="","",'Short Circuit'!$R46)</f>
        <v/>
      </c>
      <c r="BP46" s="535" t="str">
        <f>IF($BA46="","",'Short Circuit'!$S46)</f>
        <v/>
      </c>
      <c r="BQ46" s="387" t="str">
        <f>IF($BA46="","",'Short Circuit'!$T46)</f>
        <v/>
      </c>
      <c r="BR46" s="536" t="str">
        <f>IF($BA46="","",'Voltage Drop'!$G46)</f>
        <v/>
      </c>
      <c r="BS46" s="536" t="str">
        <f>IF($BA46="","",'Voltage Drop'!$H46)</f>
        <v/>
      </c>
      <c r="BT46" s="387" t="str">
        <f>IF($BA46="","",'Voltage Drop'!$K46)</f>
        <v/>
      </c>
      <c r="BU46" s="387" t="str">
        <f t="shared" si="0"/>
        <v/>
      </c>
      <c r="BV46" s="387"/>
      <c r="BW46" s="387" t="b">
        <f t="shared" si="1"/>
        <v>0</v>
      </c>
    </row>
    <row r="47" spans="1:75" ht="15" customHeight="1" x14ac:dyDescent="0.45">
      <c r="A47" s="161"/>
      <c r="B47" s="389"/>
      <c r="C47" s="207"/>
      <c r="D47" s="208"/>
      <c r="E47" s="161"/>
      <c r="F47" s="389"/>
      <c r="G47" s="389"/>
      <c r="H47" s="389"/>
      <c r="I47" s="389"/>
      <c r="J47" s="389"/>
      <c r="K47" s="389"/>
      <c r="L47" s="209"/>
      <c r="M47" s="209"/>
      <c r="N47" s="209"/>
      <c r="O47" s="209"/>
      <c r="P47" s="209"/>
      <c r="Q47" s="161"/>
      <c r="R47" s="390"/>
      <c r="S47" s="390"/>
      <c r="T47" s="161"/>
      <c r="U47" s="389"/>
      <c r="BA47" s="387" t="str">
        <f>IF('Short Circuit'!$A47="","",'Short Circuit'!$A47)</f>
        <v/>
      </c>
      <c r="BB47" s="387" t="str">
        <f>IF($BA47="","",'Short Circuit'!$B47)</f>
        <v/>
      </c>
      <c r="BC47" s="387" t="str">
        <f>IF($BA47="","",'Short Circuit'!$C47)</f>
        <v/>
      </c>
      <c r="BD47" s="387" t="str">
        <f>IF($BA47="","",'Short Circuit'!$D47)</f>
        <v/>
      </c>
      <c r="BE47" s="387" t="str">
        <f>IF($BA47="","",'Short Circuit'!$E47)</f>
        <v/>
      </c>
      <c r="BF47" s="387" t="str">
        <f>IF($BA47="","",IFERROR(_xlfn.XLOOKUP("F-"&amp;$BA47,'Feeder Schedule'!$B$5:$B$254,'Feeder Schedule'!$B$5:$B$254),IFERROR(_xlfn.XLOOKUP($BA47,'Feeder Schedule'!$B$5:$B$254,'Feeder Schedule'!$B$5:$B$254),"")))</f>
        <v/>
      </c>
      <c r="BG47" s="387" t="str">
        <f>IF($BF47="","",IFERROR(_xlfn.XLOOKUP($BF47,'Feeder Schedule'!$B$5:$B$254,'Feeder Schedule'!$A$5:$A$254),""))</f>
        <v/>
      </c>
      <c r="BH47" s="387" t="str">
        <f>IF($BF47="","",IFERROR(_xlfn.XLOOKUP($BF47,'Feeder Schedule'!$B$5:$B$254,'Feeder Schedule'!$O$5:$O$254),""))</f>
        <v/>
      </c>
      <c r="BI47" s="387" t="str">
        <f>IF($BF47="","",IFERROR(_xlfn.XLOOKUP($BF47,'Feeder Schedule'!$B$5:$B$254,'Feeder Schedule'!$P$5:$P$254),""))</f>
        <v/>
      </c>
      <c r="BJ47" s="387" t="str">
        <f>IF($BF47="","",IFERROR(_xlfn.XLOOKUP($BF47,'Feeder Schedule'!$B$5:$B$254,'Feeder Schedule'!$Q$5:$Q$254),""))</f>
        <v/>
      </c>
      <c r="BK47" s="387" t="str">
        <f>IF($BF47="","",IFERROR(_xlfn.XLOOKUP($BF47,'Feeder Schedule'!$B$5:$B$254,'Feeder Schedule'!$S$5:$S$254),""))</f>
        <v/>
      </c>
      <c r="BL47" s="387" t="str">
        <f>IF($BF47="","",IFERROR(_xlfn.XLOOKUP($BF47,'Feeder Schedule'!$B$5:$B$254,'Feeder Schedule'!$H$5:$H$254),""))</f>
        <v/>
      </c>
      <c r="BM47" s="534" t="str">
        <f>IF($BA47="","",'Short Circuit'!$J47)</f>
        <v/>
      </c>
      <c r="BN47" s="534" t="str">
        <f>IF($BA47="","",'Short Circuit'!$Q47)</f>
        <v/>
      </c>
      <c r="BO47" s="387" t="str">
        <f>IF($BA47="","",'Short Circuit'!$R47)</f>
        <v/>
      </c>
      <c r="BP47" s="535" t="str">
        <f>IF($BA47="","",'Short Circuit'!$S47)</f>
        <v/>
      </c>
      <c r="BQ47" s="387" t="str">
        <f>IF($BA47="","",'Short Circuit'!$T47)</f>
        <v/>
      </c>
      <c r="BR47" s="536" t="str">
        <f>IF($BA47="","",'Voltage Drop'!$G47)</f>
        <v/>
      </c>
      <c r="BS47" s="536" t="str">
        <f>IF($BA47="","",'Voltage Drop'!$H47)</f>
        <v/>
      </c>
      <c r="BT47" s="387" t="str">
        <f>IF($BA47="","",'Voltage Drop'!$K47)</f>
        <v/>
      </c>
      <c r="BU47" s="387" t="str">
        <f t="shared" si="0"/>
        <v/>
      </c>
      <c r="BV47" s="387"/>
      <c r="BW47" s="387" t="b">
        <f t="shared" si="1"/>
        <v>0</v>
      </c>
    </row>
    <row r="48" spans="1:75" ht="15" customHeight="1" x14ac:dyDescent="0.45">
      <c r="A48" s="161"/>
      <c r="B48" s="389"/>
      <c r="C48" s="207"/>
      <c r="D48" s="208"/>
      <c r="E48" s="161"/>
      <c r="F48" s="389"/>
      <c r="G48" s="389"/>
      <c r="H48" s="389"/>
      <c r="I48" s="389"/>
      <c r="J48" s="389"/>
      <c r="K48" s="389"/>
      <c r="L48" s="209"/>
      <c r="M48" s="209"/>
      <c r="N48" s="209"/>
      <c r="O48" s="209"/>
      <c r="P48" s="209"/>
      <c r="Q48" s="161"/>
      <c r="R48" s="390"/>
      <c r="S48" s="390"/>
      <c r="T48" s="161"/>
      <c r="U48" s="389"/>
      <c r="BA48" s="387" t="str">
        <f>IF('Short Circuit'!$A48="","",'Short Circuit'!$A48)</f>
        <v/>
      </c>
      <c r="BB48" s="387" t="str">
        <f>IF($BA48="","",'Short Circuit'!$B48)</f>
        <v/>
      </c>
      <c r="BC48" s="387" t="str">
        <f>IF($BA48="","",'Short Circuit'!$C48)</f>
        <v/>
      </c>
      <c r="BD48" s="387" t="str">
        <f>IF($BA48="","",'Short Circuit'!$D48)</f>
        <v/>
      </c>
      <c r="BE48" s="387" t="str">
        <f>IF($BA48="","",'Short Circuit'!$E48)</f>
        <v/>
      </c>
      <c r="BF48" s="387" t="str">
        <f>IF($BA48="","",IFERROR(_xlfn.XLOOKUP("F-"&amp;$BA48,'Feeder Schedule'!$B$5:$B$254,'Feeder Schedule'!$B$5:$B$254),IFERROR(_xlfn.XLOOKUP($BA48,'Feeder Schedule'!$B$5:$B$254,'Feeder Schedule'!$B$5:$B$254),"")))</f>
        <v/>
      </c>
      <c r="BG48" s="387" t="str">
        <f>IF($BF48="","",IFERROR(_xlfn.XLOOKUP($BF48,'Feeder Schedule'!$B$5:$B$254,'Feeder Schedule'!$A$5:$A$254),""))</f>
        <v/>
      </c>
      <c r="BH48" s="387" t="str">
        <f>IF($BF48="","",IFERROR(_xlfn.XLOOKUP($BF48,'Feeder Schedule'!$B$5:$B$254,'Feeder Schedule'!$O$5:$O$254),""))</f>
        <v/>
      </c>
      <c r="BI48" s="387" t="str">
        <f>IF($BF48="","",IFERROR(_xlfn.XLOOKUP($BF48,'Feeder Schedule'!$B$5:$B$254,'Feeder Schedule'!$P$5:$P$254),""))</f>
        <v/>
      </c>
      <c r="BJ48" s="387" t="str">
        <f>IF($BF48="","",IFERROR(_xlfn.XLOOKUP($BF48,'Feeder Schedule'!$B$5:$B$254,'Feeder Schedule'!$Q$5:$Q$254),""))</f>
        <v/>
      </c>
      <c r="BK48" s="387" t="str">
        <f>IF($BF48="","",IFERROR(_xlfn.XLOOKUP($BF48,'Feeder Schedule'!$B$5:$B$254,'Feeder Schedule'!$S$5:$S$254),""))</f>
        <v/>
      </c>
      <c r="BL48" s="387" t="str">
        <f>IF($BF48="","",IFERROR(_xlfn.XLOOKUP($BF48,'Feeder Schedule'!$B$5:$B$254,'Feeder Schedule'!$H$5:$H$254),""))</f>
        <v/>
      </c>
      <c r="BM48" s="534" t="str">
        <f>IF($BA48="","",'Short Circuit'!$J48)</f>
        <v/>
      </c>
      <c r="BN48" s="534" t="str">
        <f>IF($BA48="","",'Short Circuit'!$Q48)</f>
        <v/>
      </c>
      <c r="BO48" s="387" t="str">
        <f>IF($BA48="","",'Short Circuit'!$R48)</f>
        <v/>
      </c>
      <c r="BP48" s="535" t="str">
        <f>IF($BA48="","",'Short Circuit'!$S48)</f>
        <v/>
      </c>
      <c r="BQ48" s="387" t="str">
        <f>IF($BA48="","",'Short Circuit'!$T48)</f>
        <v/>
      </c>
      <c r="BR48" s="536" t="str">
        <f>IF($BA48="","",'Voltage Drop'!$G48)</f>
        <v/>
      </c>
      <c r="BS48" s="536" t="str">
        <f>IF($BA48="","",'Voltage Drop'!$H48)</f>
        <v/>
      </c>
      <c r="BT48" s="387" t="str">
        <f>IF($BA48="","",'Voltage Drop'!$K48)</f>
        <v/>
      </c>
      <c r="BU48" s="387" t="str">
        <f t="shared" si="0"/>
        <v/>
      </c>
      <c r="BV48" s="387"/>
      <c r="BW48" s="387" t="b">
        <f t="shared" si="1"/>
        <v>0</v>
      </c>
    </row>
    <row r="49" spans="1:75" ht="15" customHeight="1" x14ac:dyDescent="0.45">
      <c r="A49" s="161"/>
      <c r="B49" s="389"/>
      <c r="C49" s="207"/>
      <c r="D49" s="208"/>
      <c r="E49" s="161"/>
      <c r="F49" s="389"/>
      <c r="G49" s="389"/>
      <c r="H49" s="389"/>
      <c r="I49" s="389"/>
      <c r="J49" s="389"/>
      <c r="K49" s="389"/>
      <c r="L49" s="209"/>
      <c r="M49" s="209"/>
      <c r="N49" s="209"/>
      <c r="O49" s="209"/>
      <c r="P49" s="209"/>
      <c r="Q49" s="161"/>
      <c r="R49" s="390"/>
      <c r="S49" s="390"/>
      <c r="T49" s="161"/>
      <c r="U49" s="389"/>
      <c r="BA49" s="387" t="str">
        <f>IF('Short Circuit'!$A49="","",'Short Circuit'!$A49)</f>
        <v/>
      </c>
      <c r="BB49" s="387" t="str">
        <f>IF($BA49="","",'Short Circuit'!$B49)</f>
        <v/>
      </c>
      <c r="BC49" s="387" t="str">
        <f>IF($BA49="","",'Short Circuit'!$C49)</f>
        <v/>
      </c>
      <c r="BD49" s="387" t="str">
        <f>IF($BA49="","",'Short Circuit'!$D49)</f>
        <v/>
      </c>
      <c r="BE49" s="387" t="str">
        <f>IF($BA49="","",'Short Circuit'!$E49)</f>
        <v/>
      </c>
      <c r="BF49" s="387" t="str">
        <f>IF($BA49="","",IFERROR(_xlfn.XLOOKUP("F-"&amp;$BA49,'Feeder Schedule'!$B$5:$B$254,'Feeder Schedule'!$B$5:$B$254),IFERROR(_xlfn.XLOOKUP($BA49,'Feeder Schedule'!$B$5:$B$254,'Feeder Schedule'!$B$5:$B$254),"")))</f>
        <v/>
      </c>
      <c r="BG49" s="387" t="str">
        <f>IF($BF49="","",IFERROR(_xlfn.XLOOKUP($BF49,'Feeder Schedule'!$B$5:$B$254,'Feeder Schedule'!$A$5:$A$254),""))</f>
        <v/>
      </c>
      <c r="BH49" s="387" t="str">
        <f>IF($BF49="","",IFERROR(_xlfn.XLOOKUP($BF49,'Feeder Schedule'!$B$5:$B$254,'Feeder Schedule'!$O$5:$O$254),""))</f>
        <v/>
      </c>
      <c r="BI49" s="387" t="str">
        <f>IF($BF49="","",IFERROR(_xlfn.XLOOKUP($BF49,'Feeder Schedule'!$B$5:$B$254,'Feeder Schedule'!$P$5:$P$254),""))</f>
        <v/>
      </c>
      <c r="BJ49" s="387" t="str">
        <f>IF($BF49="","",IFERROR(_xlfn.XLOOKUP($BF49,'Feeder Schedule'!$B$5:$B$254,'Feeder Schedule'!$Q$5:$Q$254),""))</f>
        <v/>
      </c>
      <c r="BK49" s="387" t="str">
        <f>IF($BF49="","",IFERROR(_xlfn.XLOOKUP($BF49,'Feeder Schedule'!$B$5:$B$254,'Feeder Schedule'!$S$5:$S$254),""))</f>
        <v/>
      </c>
      <c r="BL49" s="387" t="str">
        <f>IF($BF49="","",IFERROR(_xlfn.XLOOKUP($BF49,'Feeder Schedule'!$B$5:$B$254,'Feeder Schedule'!$H$5:$H$254),""))</f>
        <v/>
      </c>
      <c r="BM49" s="534" t="str">
        <f>IF($BA49="","",'Short Circuit'!$J49)</f>
        <v/>
      </c>
      <c r="BN49" s="534" t="str">
        <f>IF($BA49="","",'Short Circuit'!$Q49)</f>
        <v/>
      </c>
      <c r="BO49" s="387" t="str">
        <f>IF($BA49="","",'Short Circuit'!$R49)</f>
        <v/>
      </c>
      <c r="BP49" s="535" t="str">
        <f>IF($BA49="","",'Short Circuit'!$S49)</f>
        <v/>
      </c>
      <c r="BQ49" s="387" t="str">
        <f>IF($BA49="","",'Short Circuit'!$T49)</f>
        <v/>
      </c>
      <c r="BR49" s="536" t="str">
        <f>IF($BA49="","",'Voltage Drop'!$G49)</f>
        <v/>
      </c>
      <c r="BS49" s="536" t="str">
        <f>IF($BA49="","",'Voltage Drop'!$H49)</f>
        <v/>
      </c>
      <c r="BT49" s="387" t="str">
        <f>IF($BA49="","",'Voltage Drop'!$K49)</f>
        <v/>
      </c>
      <c r="BU49" s="387" t="str">
        <f t="shared" si="0"/>
        <v/>
      </c>
      <c r="BV49" s="387"/>
      <c r="BW49" s="387" t="b">
        <f t="shared" si="1"/>
        <v>0</v>
      </c>
    </row>
    <row r="50" spans="1:75" ht="15" customHeight="1" x14ac:dyDescent="0.45">
      <c r="A50" s="161"/>
      <c r="B50" s="389"/>
      <c r="C50" s="207"/>
      <c r="D50" s="208"/>
      <c r="E50" s="161"/>
      <c r="F50" s="389"/>
      <c r="G50" s="389"/>
      <c r="H50" s="389"/>
      <c r="I50" s="389"/>
      <c r="J50" s="389"/>
      <c r="K50" s="389"/>
      <c r="L50" s="209"/>
      <c r="M50" s="209"/>
      <c r="N50" s="209"/>
      <c r="O50" s="209"/>
      <c r="P50" s="209"/>
      <c r="Q50" s="161"/>
      <c r="R50" s="390"/>
      <c r="S50" s="390"/>
      <c r="T50" s="161"/>
      <c r="U50" s="389"/>
      <c r="BA50" s="387" t="str">
        <f>IF('Short Circuit'!$A50="","",'Short Circuit'!$A50)</f>
        <v/>
      </c>
      <c r="BB50" s="387" t="str">
        <f>IF($BA50="","",'Short Circuit'!$B50)</f>
        <v/>
      </c>
      <c r="BC50" s="387" t="str">
        <f>IF($BA50="","",'Short Circuit'!$C50)</f>
        <v/>
      </c>
      <c r="BD50" s="387" t="str">
        <f>IF($BA50="","",'Short Circuit'!$D50)</f>
        <v/>
      </c>
      <c r="BE50" s="387" t="str">
        <f>IF($BA50="","",'Short Circuit'!$E50)</f>
        <v/>
      </c>
      <c r="BF50" s="387" t="str">
        <f>IF($BA50="","",IFERROR(_xlfn.XLOOKUP("F-"&amp;$BA50,'Feeder Schedule'!$B$5:$B$254,'Feeder Schedule'!$B$5:$B$254),IFERROR(_xlfn.XLOOKUP($BA50,'Feeder Schedule'!$B$5:$B$254,'Feeder Schedule'!$B$5:$B$254),"")))</f>
        <v/>
      </c>
      <c r="BG50" s="387" t="str">
        <f>IF($BF50="","",IFERROR(_xlfn.XLOOKUP($BF50,'Feeder Schedule'!$B$5:$B$254,'Feeder Schedule'!$A$5:$A$254),""))</f>
        <v/>
      </c>
      <c r="BH50" s="387" t="str">
        <f>IF($BF50="","",IFERROR(_xlfn.XLOOKUP($BF50,'Feeder Schedule'!$B$5:$B$254,'Feeder Schedule'!$O$5:$O$254),""))</f>
        <v/>
      </c>
      <c r="BI50" s="387" t="str">
        <f>IF($BF50="","",IFERROR(_xlfn.XLOOKUP($BF50,'Feeder Schedule'!$B$5:$B$254,'Feeder Schedule'!$P$5:$P$254),""))</f>
        <v/>
      </c>
      <c r="BJ50" s="387" t="str">
        <f>IF($BF50="","",IFERROR(_xlfn.XLOOKUP($BF50,'Feeder Schedule'!$B$5:$B$254,'Feeder Schedule'!$Q$5:$Q$254),""))</f>
        <v/>
      </c>
      <c r="BK50" s="387" t="str">
        <f>IF($BF50="","",IFERROR(_xlfn.XLOOKUP($BF50,'Feeder Schedule'!$B$5:$B$254,'Feeder Schedule'!$S$5:$S$254),""))</f>
        <v/>
      </c>
      <c r="BL50" s="387" t="str">
        <f>IF($BF50="","",IFERROR(_xlfn.XLOOKUP($BF50,'Feeder Schedule'!$B$5:$B$254,'Feeder Schedule'!$H$5:$H$254),""))</f>
        <v/>
      </c>
      <c r="BM50" s="534" t="str">
        <f>IF($BA50="","",'Short Circuit'!$J50)</f>
        <v/>
      </c>
      <c r="BN50" s="534" t="str">
        <f>IF($BA50="","",'Short Circuit'!$Q50)</f>
        <v/>
      </c>
      <c r="BO50" s="387" t="str">
        <f>IF($BA50="","",'Short Circuit'!$R50)</f>
        <v/>
      </c>
      <c r="BP50" s="535" t="str">
        <f>IF($BA50="","",'Short Circuit'!$S50)</f>
        <v/>
      </c>
      <c r="BQ50" s="387" t="str">
        <f>IF($BA50="","",'Short Circuit'!$T50)</f>
        <v/>
      </c>
      <c r="BR50" s="536" t="str">
        <f>IF($BA50="","",'Voltage Drop'!$G50)</f>
        <v/>
      </c>
      <c r="BS50" s="536" t="str">
        <f>IF($BA50="","",'Voltage Drop'!$H50)</f>
        <v/>
      </c>
      <c r="BT50" s="387" t="str">
        <f>IF($BA50="","",'Voltage Drop'!$K50)</f>
        <v/>
      </c>
      <c r="BU50" s="387" t="str">
        <f t="shared" si="0"/>
        <v/>
      </c>
      <c r="BV50" s="387"/>
      <c r="BW50" s="387" t="b">
        <f t="shared" si="1"/>
        <v>0</v>
      </c>
    </row>
    <row r="51" spans="1:75" ht="15" customHeight="1" x14ac:dyDescent="0.45">
      <c r="A51" s="161"/>
      <c r="B51" s="389"/>
      <c r="C51" s="207"/>
      <c r="D51" s="208"/>
      <c r="E51" s="161"/>
      <c r="F51" s="389"/>
      <c r="G51" s="389"/>
      <c r="H51" s="389"/>
      <c r="I51" s="389"/>
      <c r="J51" s="389"/>
      <c r="K51" s="389"/>
      <c r="L51" s="209"/>
      <c r="M51" s="209"/>
      <c r="N51" s="209"/>
      <c r="O51" s="209"/>
      <c r="P51" s="209"/>
      <c r="Q51" s="161"/>
      <c r="R51" s="390"/>
      <c r="S51" s="390"/>
      <c r="T51" s="161"/>
      <c r="U51" s="389"/>
      <c r="BA51" s="387" t="str">
        <f>IF('Short Circuit'!$A51="","",'Short Circuit'!$A51)</f>
        <v/>
      </c>
      <c r="BB51" s="387" t="str">
        <f>IF($BA51="","",'Short Circuit'!$B51)</f>
        <v/>
      </c>
      <c r="BC51" s="387" t="str">
        <f>IF($BA51="","",'Short Circuit'!$C51)</f>
        <v/>
      </c>
      <c r="BD51" s="387" t="str">
        <f>IF($BA51="","",'Short Circuit'!$D51)</f>
        <v/>
      </c>
      <c r="BE51" s="387" t="str">
        <f>IF($BA51="","",'Short Circuit'!$E51)</f>
        <v/>
      </c>
      <c r="BF51" s="387" t="str">
        <f>IF($BA51="","",IFERROR(_xlfn.XLOOKUP("F-"&amp;$BA51,'Feeder Schedule'!$B$5:$B$254,'Feeder Schedule'!$B$5:$B$254),IFERROR(_xlfn.XLOOKUP($BA51,'Feeder Schedule'!$B$5:$B$254,'Feeder Schedule'!$B$5:$B$254),"")))</f>
        <v/>
      </c>
      <c r="BG51" s="387" t="str">
        <f>IF($BF51="","",IFERROR(_xlfn.XLOOKUP($BF51,'Feeder Schedule'!$B$5:$B$254,'Feeder Schedule'!$A$5:$A$254),""))</f>
        <v/>
      </c>
      <c r="BH51" s="387" t="str">
        <f>IF($BF51="","",IFERROR(_xlfn.XLOOKUP($BF51,'Feeder Schedule'!$B$5:$B$254,'Feeder Schedule'!$O$5:$O$254),""))</f>
        <v/>
      </c>
      <c r="BI51" s="387" t="str">
        <f>IF($BF51="","",IFERROR(_xlfn.XLOOKUP($BF51,'Feeder Schedule'!$B$5:$B$254,'Feeder Schedule'!$P$5:$P$254),""))</f>
        <v/>
      </c>
      <c r="BJ51" s="387" t="str">
        <f>IF($BF51="","",IFERROR(_xlfn.XLOOKUP($BF51,'Feeder Schedule'!$B$5:$B$254,'Feeder Schedule'!$Q$5:$Q$254),""))</f>
        <v/>
      </c>
      <c r="BK51" s="387" t="str">
        <f>IF($BF51="","",IFERROR(_xlfn.XLOOKUP($BF51,'Feeder Schedule'!$B$5:$B$254,'Feeder Schedule'!$S$5:$S$254),""))</f>
        <v/>
      </c>
      <c r="BL51" s="387" t="str">
        <f>IF($BF51="","",IFERROR(_xlfn.XLOOKUP($BF51,'Feeder Schedule'!$B$5:$B$254,'Feeder Schedule'!$H$5:$H$254),""))</f>
        <v/>
      </c>
      <c r="BM51" s="534" t="str">
        <f>IF($BA51="","",'Short Circuit'!$J51)</f>
        <v/>
      </c>
      <c r="BN51" s="534" t="str">
        <f>IF($BA51="","",'Short Circuit'!$Q51)</f>
        <v/>
      </c>
      <c r="BO51" s="387" t="str">
        <f>IF($BA51="","",'Short Circuit'!$R51)</f>
        <v/>
      </c>
      <c r="BP51" s="535" t="str">
        <f>IF($BA51="","",'Short Circuit'!$S51)</f>
        <v/>
      </c>
      <c r="BQ51" s="387" t="str">
        <f>IF($BA51="","",'Short Circuit'!$T51)</f>
        <v/>
      </c>
      <c r="BR51" s="536" t="str">
        <f>IF($BA51="","",'Voltage Drop'!$G51)</f>
        <v/>
      </c>
      <c r="BS51" s="536" t="str">
        <f>IF($BA51="","",'Voltage Drop'!$H51)</f>
        <v/>
      </c>
      <c r="BT51" s="387" t="str">
        <f>IF($BA51="","",'Voltage Drop'!$K51)</f>
        <v/>
      </c>
      <c r="BU51" s="387" t="str">
        <f t="shared" si="0"/>
        <v/>
      </c>
      <c r="BV51" s="387"/>
      <c r="BW51" s="387" t="b">
        <f t="shared" si="1"/>
        <v>0</v>
      </c>
    </row>
    <row r="52" spans="1:75" ht="15" customHeight="1" x14ac:dyDescent="0.45">
      <c r="A52" s="161"/>
      <c r="B52" s="389"/>
      <c r="C52" s="207"/>
      <c r="D52" s="208"/>
      <c r="E52" s="161"/>
      <c r="F52" s="389"/>
      <c r="G52" s="389"/>
      <c r="H52" s="389"/>
      <c r="I52" s="389"/>
      <c r="J52" s="389"/>
      <c r="K52" s="389"/>
      <c r="L52" s="209"/>
      <c r="M52" s="209"/>
      <c r="N52" s="209"/>
      <c r="O52" s="209"/>
      <c r="P52" s="209"/>
      <c r="Q52" s="161"/>
      <c r="R52" s="390"/>
      <c r="S52" s="390"/>
      <c r="T52" s="161"/>
      <c r="U52" s="389"/>
      <c r="BA52" s="387" t="str">
        <f>IF('Short Circuit'!$A52="","",'Short Circuit'!$A52)</f>
        <v/>
      </c>
      <c r="BB52" s="387" t="str">
        <f>IF($BA52="","",'Short Circuit'!$B52)</f>
        <v/>
      </c>
      <c r="BC52" s="387" t="str">
        <f>IF($BA52="","",'Short Circuit'!$C52)</f>
        <v/>
      </c>
      <c r="BD52" s="387" t="str">
        <f>IF($BA52="","",'Short Circuit'!$D52)</f>
        <v/>
      </c>
      <c r="BE52" s="387" t="str">
        <f>IF($BA52="","",'Short Circuit'!$E52)</f>
        <v/>
      </c>
      <c r="BF52" s="387" t="str">
        <f>IF($BA52="","",IFERROR(_xlfn.XLOOKUP("F-"&amp;$BA52,'Feeder Schedule'!$B$5:$B$254,'Feeder Schedule'!$B$5:$B$254),IFERROR(_xlfn.XLOOKUP($BA52,'Feeder Schedule'!$B$5:$B$254,'Feeder Schedule'!$B$5:$B$254),"")))</f>
        <v/>
      </c>
      <c r="BG52" s="387" t="str">
        <f>IF($BF52="","",IFERROR(_xlfn.XLOOKUP($BF52,'Feeder Schedule'!$B$5:$B$254,'Feeder Schedule'!$A$5:$A$254),""))</f>
        <v/>
      </c>
      <c r="BH52" s="387" t="str">
        <f>IF($BF52="","",IFERROR(_xlfn.XLOOKUP($BF52,'Feeder Schedule'!$B$5:$B$254,'Feeder Schedule'!$O$5:$O$254),""))</f>
        <v/>
      </c>
      <c r="BI52" s="387" t="str">
        <f>IF($BF52="","",IFERROR(_xlfn.XLOOKUP($BF52,'Feeder Schedule'!$B$5:$B$254,'Feeder Schedule'!$P$5:$P$254),""))</f>
        <v/>
      </c>
      <c r="BJ52" s="387" t="str">
        <f>IF($BF52="","",IFERROR(_xlfn.XLOOKUP($BF52,'Feeder Schedule'!$B$5:$B$254,'Feeder Schedule'!$Q$5:$Q$254),""))</f>
        <v/>
      </c>
      <c r="BK52" s="387" t="str">
        <f>IF($BF52="","",IFERROR(_xlfn.XLOOKUP($BF52,'Feeder Schedule'!$B$5:$B$254,'Feeder Schedule'!$S$5:$S$254),""))</f>
        <v/>
      </c>
      <c r="BL52" s="387" t="str">
        <f>IF($BF52="","",IFERROR(_xlfn.XLOOKUP($BF52,'Feeder Schedule'!$B$5:$B$254,'Feeder Schedule'!$H$5:$H$254),""))</f>
        <v/>
      </c>
      <c r="BM52" s="534" t="str">
        <f>IF($BA52="","",'Short Circuit'!$J52)</f>
        <v/>
      </c>
      <c r="BN52" s="534" t="str">
        <f>IF($BA52="","",'Short Circuit'!$Q52)</f>
        <v/>
      </c>
      <c r="BO52" s="387" t="str">
        <f>IF($BA52="","",'Short Circuit'!$R52)</f>
        <v/>
      </c>
      <c r="BP52" s="535" t="str">
        <f>IF($BA52="","",'Short Circuit'!$S52)</f>
        <v/>
      </c>
      <c r="BQ52" s="387" t="str">
        <f>IF($BA52="","",'Short Circuit'!$T52)</f>
        <v/>
      </c>
      <c r="BR52" s="536" t="str">
        <f>IF($BA52="","",'Voltage Drop'!$G52)</f>
        <v/>
      </c>
      <c r="BS52" s="536" t="str">
        <f>IF($BA52="","",'Voltage Drop'!$H52)</f>
        <v/>
      </c>
      <c r="BT52" s="387" t="str">
        <f>IF($BA52="","",'Voltage Drop'!$K52)</f>
        <v/>
      </c>
      <c r="BU52" s="387" t="str">
        <f t="shared" si="0"/>
        <v/>
      </c>
      <c r="BV52" s="387"/>
      <c r="BW52" s="387" t="b">
        <f t="shared" si="1"/>
        <v>0</v>
      </c>
    </row>
    <row r="53" spans="1:75" ht="15" customHeight="1" x14ac:dyDescent="0.45">
      <c r="A53" s="161"/>
      <c r="B53" s="389"/>
      <c r="C53" s="207"/>
      <c r="D53" s="208"/>
      <c r="E53" s="161"/>
      <c r="F53" s="389"/>
      <c r="G53" s="389"/>
      <c r="H53" s="389"/>
      <c r="I53" s="389"/>
      <c r="J53" s="389"/>
      <c r="K53" s="389"/>
      <c r="L53" s="209"/>
      <c r="M53" s="209"/>
      <c r="N53" s="209"/>
      <c r="O53" s="209"/>
      <c r="P53" s="209"/>
      <c r="Q53" s="161"/>
      <c r="R53" s="390"/>
      <c r="S53" s="390"/>
      <c r="T53" s="161"/>
      <c r="U53" s="389"/>
      <c r="BA53" s="387" t="str">
        <f>IF('Short Circuit'!$A53="","",'Short Circuit'!$A53)</f>
        <v/>
      </c>
      <c r="BB53" s="387" t="str">
        <f>IF($BA53="","",'Short Circuit'!$B53)</f>
        <v/>
      </c>
      <c r="BC53" s="387" t="str">
        <f>IF($BA53="","",'Short Circuit'!$C53)</f>
        <v/>
      </c>
      <c r="BD53" s="387" t="str">
        <f>IF($BA53="","",'Short Circuit'!$D53)</f>
        <v/>
      </c>
      <c r="BE53" s="387" t="str">
        <f>IF($BA53="","",'Short Circuit'!$E53)</f>
        <v/>
      </c>
      <c r="BF53" s="387" t="str">
        <f>IF($BA53="","",IFERROR(_xlfn.XLOOKUP("F-"&amp;$BA53,'Feeder Schedule'!$B$5:$B$254,'Feeder Schedule'!$B$5:$B$254),IFERROR(_xlfn.XLOOKUP($BA53,'Feeder Schedule'!$B$5:$B$254,'Feeder Schedule'!$B$5:$B$254),"")))</f>
        <v/>
      </c>
      <c r="BG53" s="387" t="str">
        <f>IF($BF53="","",IFERROR(_xlfn.XLOOKUP($BF53,'Feeder Schedule'!$B$5:$B$254,'Feeder Schedule'!$A$5:$A$254),""))</f>
        <v/>
      </c>
      <c r="BH53" s="387" t="str">
        <f>IF($BF53="","",IFERROR(_xlfn.XLOOKUP($BF53,'Feeder Schedule'!$B$5:$B$254,'Feeder Schedule'!$O$5:$O$254),""))</f>
        <v/>
      </c>
      <c r="BI53" s="387" t="str">
        <f>IF($BF53="","",IFERROR(_xlfn.XLOOKUP($BF53,'Feeder Schedule'!$B$5:$B$254,'Feeder Schedule'!$P$5:$P$254),""))</f>
        <v/>
      </c>
      <c r="BJ53" s="387" t="str">
        <f>IF($BF53="","",IFERROR(_xlfn.XLOOKUP($BF53,'Feeder Schedule'!$B$5:$B$254,'Feeder Schedule'!$Q$5:$Q$254),""))</f>
        <v/>
      </c>
      <c r="BK53" s="387" t="str">
        <f>IF($BF53="","",IFERROR(_xlfn.XLOOKUP($BF53,'Feeder Schedule'!$B$5:$B$254,'Feeder Schedule'!$S$5:$S$254),""))</f>
        <v/>
      </c>
      <c r="BL53" s="387" t="str">
        <f>IF($BF53="","",IFERROR(_xlfn.XLOOKUP($BF53,'Feeder Schedule'!$B$5:$B$254,'Feeder Schedule'!$H$5:$H$254),""))</f>
        <v/>
      </c>
      <c r="BM53" s="534" t="str">
        <f>IF($BA53="","",'Short Circuit'!$J53)</f>
        <v/>
      </c>
      <c r="BN53" s="534" t="str">
        <f>IF($BA53="","",'Short Circuit'!$Q53)</f>
        <v/>
      </c>
      <c r="BO53" s="387" t="str">
        <f>IF($BA53="","",'Short Circuit'!$R53)</f>
        <v/>
      </c>
      <c r="BP53" s="535" t="str">
        <f>IF($BA53="","",'Short Circuit'!$S53)</f>
        <v/>
      </c>
      <c r="BQ53" s="387" t="str">
        <f>IF($BA53="","",'Short Circuit'!$T53)</f>
        <v/>
      </c>
      <c r="BR53" s="536" t="str">
        <f>IF($BA53="","",'Voltage Drop'!$G53)</f>
        <v/>
      </c>
      <c r="BS53" s="536" t="str">
        <f>IF($BA53="","",'Voltage Drop'!$H53)</f>
        <v/>
      </c>
      <c r="BT53" s="387" t="str">
        <f>IF($BA53="","",'Voltage Drop'!$K53)</f>
        <v/>
      </c>
      <c r="BU53" s="387" t="str">
        <f t="shared" si="0"/>
        <v/>
      </c>
      <c r="BV53" s="387"/>
      <c r="BW53" s="387" t="b">
        <f t="shared" si="1"/>
        <v>0</v>
      </c>
    </row>
    <row r="54" spans="1:75" ht="15" customHeight="1" x14ac:dyDescent="0.45">
      <c r="A54" s="161"/>
      <c r="B54" s="389"/>
      <c r="C54" s="207"/>
      <c r="D54" s="208"/>
      <c r="E54" s="161"/>
      <c r="F54" s="389"/>
      <c r="G54" s="389"/>
      <c r="H54" s="389"/>
      <c r="I54" s="389"/>
      <c r="J54" s="389"/>
      <c r="K54" s="389"/>
      <c r="L54" s="209"/>
      <c r="M54" s="209"/>
      <c r="N54" s="209"/>
      <c r="O54" s="209"/>
      <c r="P54" s="209"/>
      <c r="Q54" s="161"/>
      <c r="R54" s="390"/>
      <c r="S54" s="390"/>
      <c r="T54" s="161"/>
      <c r="U54" s="389"/>
      <c r="BA54" s="387" t="str">
        <f>IF('Short Circuit'!$A54="","",'Short Circuit'!$A54)</f>
        <v/>
      </c>
      <c r="BB54" s="387" t="str">
        <f>IF($BA54="","",'Short Circuit'!$B54)</f>
        <v/>
      </c>
      <c r="BC54" s="387" t="str">
        <f>IF($BA54="","",'Short Circuit'!$C54)</f>
        <v/>
      </c>
      <c r="BD54" s="387" t="str">
        <f>IF($BA54="","",'Short Circuit'!$D54)</f>
        <v/>
      </c>
      <c r="BE54" s="387" t="str">
        <f>IF($BA54="","",'Short Circuit'!$E54)</f>
        <v/>
      </c>
      <c r="BF54" s="387" t="str">
        <f>IF($BA54="","",IFERROR(_xlfn.XLOOKUP("F-"&amp;$BA54,'Feeder Schedule'!$B$5:$B$254,'Feeder Schedule'!$B$5:$B$254),IFERROR(_xlfn.XLOOKUP($BA54,'Feeder Schedule'!$B$5:$B$254,'Feeder Schedule'!$B$5:$B$254),"")))</f>
        <v/>
      </c>
      <c r="BG54" s="387" t="str">
        <f>IF($BF54="","",IFERROR(_xlfn.XLOOKUP($BF54,'Feeder Schedule'!$B$5:$B$254,'Feeder Schedule'!$A$5:$A$254),""))</f>
        <v/>
      </c>
      <c r="BH54" s="387" t="str">
        <f>IF($BF54="","",IFERROR(_xlfn.XLOOKUP($BF54,'Feeder Schedule'!$B$5:$B$254,'Feeder Schedule'!$O$5:$O$254),""))</f>
        <v/>
      </c>
      <c r="BI54" s="387" t="str">
        <f>IF($BF54="","",IFERROR(_xlfn.XLOOKUP($BF54,'Feeder Schedule'!$B$5:$B$254,'Feeder Schedule'!$P$5:$P$254),""))</f>
        <v/>
      </c>
      <c r="BJ54" s="387" t="str">
        <f>IF($BF54="","",IFERROR(_xlfn.XLOOKUP($BF54,'Feeder Schedule'!$B$5:$B$254,'Feeder Schedule'!$Q$5:$Q$254),""))</f>
        <v/>
      </c>
      <c r="BK54" s="387" t="str">
        <f>IF($BF54="","",IFERROR(_xlfn.XLOOKUP($BF54,'Feeder Schedule'!$B$5:$B$254,'Feeder Schedule'!$S$5:$S$254),""))</f>
        <v/>
      </c>
      <c r="BL54" s="387" t="str">
        <f>IF($BF54="","",IFERROR(_xlfn.XLOOKUP($BF54,'Feeder Schedule'!$B$5:$B$254,'Feeder Schedule'!$H$5:$H$254),""))</f>
        <v/>
      </c>
      <c r="BM54" s="534" t="str">
        <f>IF($BA54="","",'Short Circuit'!$J54)</f>
        <v/>
      </c>
      <c r="BN54" s="534" t="str">
        <f>IF($BA54="","",'Short Circuit'!$Q54)</f>
        <v/>
      </c>
      <c r="BO54" s="387" t="str">
        <f>IF($BA54="","",'Short Circuit'!$R54)</f>
        <v/>
      </c>
      <c r="BP54" s="535" t="str">
        <f>IF($BA54="","",'Short Circuit'!$S54)</f>
        <v/>
      </c>
      <c r="BQ54" s="387" t="str">
        <f>IF($BA54="","",'Short Circuit'!$T54)</f>
        <v/>
      </c>
      <c r="BR54" s="536" t="str">
        <f>IF($BA54="","",'Voltage Drop'!$G54)</f>
        <v/>
      </c>
      <c r="BS54" s="536" t="str">
        <f>IF($BA54="","",'Voltage Drop'!$H54)</f>
        <v/>
      </c>
      <c r="BT54" s="387" t="str">
        <f>IF($BA54="","",'Voltage Drop'!$K54)</f>
        <v/>
      </c>
      <c r="BU54" s="387" t="str">
        <f t="shared" si="0"/>
        <v/>
      </c>
      <c r="BV54" s="387"/>
      <c r="BW54" s="387" t="b">
        <f t="shared" si="1"/>
        <v>0</v>
      </c>
    </row>
    <row r="55" spans="1:75" ht="15" customHeight="1" x14ac:dyDescent="0.45">
      <c r="A55" s="161"/>
      <c r="B55" s="389"/>
      <c r="C55" s="207"/>
      <c r="D55" s="208"/>
      <c r="E55" s="161"/>
      <c r="F55" s="389"/>
      <c r="G55" s="389"/>
      <c r="H55" s="389"/>
      <c r="I55" s="389"/>
      <c r="J55" s="389"/>
      <c r="K55" s="389"/>
      <c r="L55" s="209"/>
      <c r="M55" s="209"/>
      <c r="N55" s="209"/>
      <c r="O55" s="209"/>
      <c r="P55" s="209"/>
      <c r="Q55" s="161"/>
      <c r="R55" s="390"/>
      <c r="S55" s="390"/>
      <c r="T55" s="161"/>
      <c r="U55" s="389"/>
      <c r="BA55" s="387" t="str">
        <f>IF('Short Circuit'!$A55="","",'Short Circuit'!$A55)</f>
        <v/>
      </c>
      <c r="BB55" s="387" t="str">
        <f>IF($BA55="","",'Short Circuit'!$B55)</f>
        <v/>
      </c>
      <c r="BC55" s="387" t="str">
        <f>IF($BA55="","",'Short Circuit'!$C55)</f>
        <v/>
      </c>
      <c r="BD55" s="387" t="str">
        <f>IF($BA55="","",'Short Circuit'!$D55)</f>
        <v/>
      </c>
      <c r="BE55" s="387" t="str">
        <f>IF($BA55="","",'Short Circuit'!$E55)</f>
        <v/>
      </c>
      <c r="BF55" s="387" t="str">
        <f>IF($BA55="","",IFERROR(_xlfn.XLOOKUP("F-"&amp;$BA55,'Feeder Schedule'!$B$5:$B$254,'Feeder Schedule'!$B$5:$B$254),IFERROR(_xlfn.XLOOKUP($BA55,'Feeder Schedule'!$B$5:$B$254,'Feeder Schedule'!$B$5:$B$254),"")))</f>
        <v/>
      </c>
      <c r="BG55" s="387" t="str">
        <f>IF($BF55="","",IFERROR(_xlfn.XLOOKUP($BF55,'Feeder Schedule'!$B$5:$B$254,'Feeder Schedule'!$A$5:$A$254),""))</f>
        <v/>
      </c>
      <c r="BH55" s="387" t="str">
        <f>IF($BF55="","",IFERROR(_xlfn.XLOOKUP($BF55,'Feeder Schedule'!$B$5:$B$254,'Feeder Schedule'!$O$5:$O$254),""))</f>
        <v/>
      </c>
      <c r="BI55" s="387" t="str">
        <f>IF($BF55="","",IFERROR(_xlfn.XLOOKUP($BF55,'Feeder Schedule'!$B$5:$B$254,'Feeder Schedule'!$P$5:$P$254),""))</f>
        <v/>
      </c>
      <c r="BJ55" s="387" t="str">
        <f>IF($BF55="","",IFERROR(_xlfn.XLOOKUP($BF55,'Feeder Schedule'!$B$5:$B$254,'Feeder Schedule'!$Q$5:$Q$254),""))</f>
        <v/>
      </c>
      <c r="BK55" s="387" t="str">
        <f>IF($BF55="","",IFERROR(_xlfn.XLOOKUP($BF55,'Feeder Schedule'!$B$5:$B$254,'Feeder Schedule'!$S$5:$S$254),""))</f>
        <v/>
      </c>
      <c r="BL55" s="387" t="str">
        <f>IF($BF55="","",IFERROR(_xlfn.XLOOKUP($BF55,'Feeder Schedule'!$B$5:$B$254,'Feeder Schedule'!$H$5:$H$254),""))</f>
        <v/>
      </c>
      <c r="BM55" s="534" t="str">
        <f>IF($BA55="","",'Short Circuit'!$J55)</f>
        <v/>
      </c>
      <c r="BN55" s="534" t="str">
        <f>IF($BA55="","",'Short Circuit'!$Q55)</f>
        <v/>
      </c>
      <c r="BO55" s="387" t="str">
        <f>IF($BA55="","",'Short Circuit'!$R55)</f>
        <v/>
      </c>
      <c r="BP55" s="535" t="str">
        <f>IF($BA55="","",'Short Circuit'!$S55)</f>
        <v/>
      </c>
      <c r="BQ55" s="387" t="str">
        <f>IF($BA55="","",'Short Circuit'!$T55)</f>
        <v/>
      </c>
      <c r="BR55" s="536" t="str">
        <f>IF($BA55="","",'Voltage Drop'!$G55)</f>
        <v/>
      </c>
      <c r="BS55" s="536" t="str">
        <f>IF($BA55="","",'Voltage Drop'!$H55)</f>
        <v/>
      </c>
      <c r="BT55" s="387" t="str">
        <f>IF($BA55="","",'Voltage Drop'!$K55)</f>
        <v/>
      </c>
      <c r="BU55" s="387" t="str">
        <f t="shared" si="0"/>
        <v/>
      </c>
      <c r="BV55" s="387"/>
      <c r="BW55" s="387" t="b">
        <f t="shared" si="1"/>
        <v>0</v>
      </c>
    </row>
    <row r="56" spans="1:75" ht="15" customHeight="1" x14ac:dyDescent="0.45">
      <c r="A56" s="161"/>
      <c r="B56" s="389"/>
      <c r="C56" s="207"/>
      <c r="D56" s="208"/>
      <c r="E56" s="161"/>
      <c r="F56" s="389"/>
      <c r="G56" s="389"/>
      <c r="H56" s="389"/>
      <c r="I56" s="389"/>
      <c r="J56" s="389"/>
      <c r="K56" s="389"/>
      <c r="L56" s="209"/>
      <c r="M56" s="209"/>
      <c r="N56" s="209"/>
      <c r="O56" s="209"/>
      <c r="P56" s="209"/>
      <c r="Q56" s="161"/>
      <c r="R56" s="390"/>
      <c r="S56" s="390"/>
      <c r="T56" s="161"/>
      <c r="U56" s="389"/>
      <c r="BA56" s="387" t="str">
        <f>IF('Short Circuit'!$A56="","",'Short Circuit'!$A56)</f>
        <v/>
      </c>
      <c r="BB56" s="387" t="str">
        <f>IF($BA56="","",'Short Circuit'!$B56)</f>
        <v/>
      </c>
      <c r="BC56" s="387" t="str">
        <f>IF($BA56="","",'Short Circuit'!$C56)</f>
        <v/>
      </c>
      <c r="BD56" s="387" t="str">
        <f>IF($BA56="","",'Short Circuit'!$D56)</f>
        <v/>
      </c>
      <c r="BE56" s="387" t="str">
        <f>IF($BA56="","",'Short Circuit'!$E56)</f>
        <v/>
      </c>
      <c r="BF56" s="387" t="str">
        <f>IF($BA56="","",IFERROR(_xlfn.XLOOKUP("F-"&amp;$BA56,'Feeder Schedule'!$B$5:$B$254,'Feeder Schedule'!$B$5:$B$254),IFERROR(_xlfn.XLOOKUP($BA56,'Feeder Schedule'!$B$5:$B$254,'Feeder Schedule'!$B$5:$B$254),"")))</f>
        <v/>
      </c>
      <c r="BG56" s="387" t="str">
        <f>IF($BF56="","",IFERROR(_xlfn.XLOOKUP($BF56,'Feeder Schedule'!$B$5:$B$254,'Feeder Schedule'!$A$5:$A$254),""))</f>
        <v/>
      </c>
      <c r="BH56" s="387" t="str">
        <f>IF($BF56="","",IFERROR(_xlfn.XLOOKUP($BF56,'Feeder Schedule'!$B$5:$B$254,'Feeder Schedule'!$O$5:$O$254),""))</f>
        <v/>
      </c>
      <c r="BI56" s="387" t="str">
        <f>IF($BF56="","",IFERROR(_xlfn.XLOOKUP($BF56,'Feeder Schedule'!$B$5:$B$254,'Feeder Schedule'!$P$5:$P$254),""))</f>
        <v/>
      </c>
      <c r="BJ56" s="387" t="str">
        <f>IF($BF56="","",IFERROR(_xlfn.XLOOKUP($BF56,'Feeder Schedule'!$B$5:$B$254,'Feeder Schedule'!$Q$5:$Q$254),""))</f>
        <v/>
      </c>
      <c r="BK56" s="387" t="str">
        <f>IF($BF56="","",IFERROR(_xlfn.XLOOKUP($BF56,'Feeder Schedule'!$B$5:$B$254,'Feeder Schedule'!$S$5:$S$254),""))</f>
        <v/>
      </c>
      <c r="BL56" s="387" t="str">
        <f>IF($BF56="","",IFERROR(_xlfn.XLOOKUP($BF56,'Feeder Schedule'!$B$5:$B$254,'Feeder Schedule'!$H$5:$H$254),""))</f>
        <v/>
      </c>
      <c r="BM56" s="534" t="str">
        <f>IF($BA56="","",'Short Circuit'!$J56)</f>
        <v/>
      </c>
      <c r="BN56" s="534" t="str">
        <f>IF($BA56="","",'Short Circuit'!$Q56)</f>
        <v/>
      </c>
      <c r="BO56" s="387" t="str">
        <f>IF($BA56="","",'Short Circuit'!$R56)</f>
        <v/>
      </c>
      <c r="BP56" s="535" t="str">
        <f>IF($BA56="","",'Short Circuit'!$S56)</f>
        <v/>
      </c>
      <c r="BQ56" s="387" t="str">
        <f>IF($BA56="","",'Short Circuit'!$T56)</f>
        <v/>
      </c>
      <c r="BR56" s="536" t="str">
        <f>IF($BA56="","",'Voltage Drop'!$G56)</f>
        <v/>
      </c>
      <c r="BS56" s="536" t="str">
        <f>IF($BA56="","",'Voltage Drop'!$H56)</f>
        <v/>
      </c>
      <c r="BT56" s="387" t="str">
        <f>IF($BA56="","",'Voltage Drop'!$K56)</f>
        <v/>
      </c>
      <c r="BU56" s="387" t="str">
        <f t="shared" si="0"/>
        <v/>
      </c>
      <c r="BV56" s="387"/>
      <c r="BW56" s="387" t="b">
        <f t="shared" si="1"/>
        <v>0</v>
      </c>
    </row>
    <row r="57" spans="1:75" ht="15" customHeight="1" x14ac:dyDescent="0.45">
      <c r="A57" s="161"/>
      <c r="B57" s="389"/>
      <c r="C57" s="207"/>
      <c r="D57" s="208"/>
      <c r="E57" s="161"/>
      <c r="F57" s="389"/>
      <c r="G57" s="389"/>
      <c r="H57" s="389"/>
      <c r="I57" s="389"/>
      <c r="J57" s="389"/>
      <c r="K57" s="389"/>
      <c r="L57" s="209"/>
      <c r="M57" s="209"/>
      <c r="N57" s="209"/>
      <c r="O57" s="209"/>
      <c r="P57" s="209"/>
      <c r="Q57" s="161"/>
      <c r="R57" s="390"/>
      <c r="S57" s="390"/>
      <c r="T57" s="161"/>
      <c r="U57" s="389"/>
      <c r="BA57" s="387" t="str">
        <f>IF('Short Circuit'!$A57="","",'Short Circuit'!$A57)</f>
        <v/>
      </c>
      <c r="BB57" s="387" t="str">
        <f>IF($BA57="","",'Short Circuit'!$B57)</f>
        <v/>
      </c>
      <c r="BC57" s="387" t="str">
        <f>IF($BA57="","",'Short Circuit'!$C57)</f>
        <v/>
      </c>
      <c r="BD57" s="387" t="str">
        <f>IF($BA57="","",'Short Circuit'!$D57)</f>
        <v/>
      </c>
      <c r="BE57" s="387" t="str">
        <f>IF($BA57="","",'Short Circuit'!$E57)</f>
        <v/>
      </c>
      <c r="BF57" s="387" t="str">
        <f>IF($BA57="","",IFERROR(_xlfn.XLOOKUP("F-"&amp;$BA57,'Feeder Schedule'!$B$5:$B$254,'Feeder Schedule'!$B$5:$B$254),IFERROR(_xlfn.XLOOKUP($BA57,'Feeder Schedule'!$B$5:$B$254,'Feeder Schedule'!$B$5:$B$254),"")))</f>
        <v/>
      </c>
      <c r="BG57" s="387" t="str">
        <f>IF($BF57="","",IFERROR(_xlfn.XLOOKUP($BF57,'Feeder Schedule'!$B$5:$B$254,'Feeder Schedule'!$A$5:$A$254),""))</f>
        <v/>
      </c>
      <c r="BH57" s="387" t="str">
        <f>IF($BF57="","",IFERROR(_xlfn.XLOOKUP($BF57,'Feeder Schedule'!$B$5:$B$254,'Feeder Schedule'!$O$5:$O$254),""))</f>
        <v/>
      </c>
      <c r="BI57" s="387" t="str">
        <f>IF($BF57="","",IFERROR(_xlfn.XLOOKUP($BF57,'Feeder Schedule'!$B$5:$B$254,'Feeder Schedule'!$P$5:$P$254),""))</f>
        <v/>
      </c>
      <c r="BJ57" s="387" t="str">
        <f>IF($BF57="","",IFERROR(_xlfn.XLOOKUP($BF57,'Feeder Schedule'!$B$5:$B$254,'Feeder Schedule'!$Q$5:$Q$254),""))</f>
        <v/>
      </c>
      <c r="BK57" s="387" t="str">
        <f>IF($BF57="","",IFERROR(_xlfn.XLOOKUP($BF57,'Feeder Schedule'!$B$5:$B$254,'Feeder Schedule'!$S$5:$S$254),""))</f>
        <v/>
      </c>
      <c r="BL57" s="387" t="str">
        <f>IF($BF57="","",IFERROR(_xlfn.XLOOKUP($BF57,'Feeder Schedule'!$B$5:$B$254,'Feeder Schedule'!$H$5:$H$254),""))</f>
        <v/>
      </c>
      <c r="BM57" s="534" t="str">
        <f>IF($BA57="","",'Short Circuit'!$J57)</f>
        <v/>
      </c>
      <c r="BN57" s="534" t="str">
        <f>IF($BA57="","",'Short Circuit'!$Q57)</f>
        <v/>
      </c>
      <c r="BO57" s="387" t="str">
        <f>IF($BA57="","",'Short Circuit'!$R57)</f>
        <v/>
      </c>
      <c r="BP57" s="535" t="str">
        <f>IF($BA57="","",'Short Circuit'!$S57)</f>
        <v/>
      </c>
      <c r="BQ57" s="387" t="str">
        <f>IF($BA57="","",'Short Circuit'!$T57)</f>
        <v/>
      </c>
      <c r="BR57" s="536" t="str">
        <f>IF($BA57="","",'Voltage Drop'!$G57)</f>
        <v/>
      </c>
      <c r="BS57" s="536" t="str">
        <f>IF($BA57="","",'Voltage Drop'!$H57)</f>
        <v/>
      </c>
      <c r="BT57" s="387" t="str">
        <f>IF($BA57="","",'Voltage Drop'!$K57)</f>
        <v/>
      </c>
      <c r="BU57" s="387" t="str">
        <f t="shared" si="0"/>
        <v/>
      </c>
      <c r="BV57" s="387"/>
      <c r="BW57" s="387" t="b">
        <f t="shared" si="1"/>
        <v>0</v>
      </c>
    </row>
    <row r="58" spans="1:75" ht="15" customHeight="1" x14ac:dyDescent="0.45">
      <c r="A58" s="161"/>
      <c r="B58" s="389"/>
      <c r="C58" s="207"/>
      <c r="D58" s="208"/>
      <c r="E58" s="161"/>
      <c r="F58" s="389"/>
      <c r="G58" s="389"/>
      <c r="H58" s="389"/>
      <c r="I58" s="389"/>
      <c r="J58" s="389"/>
      <c r="K58" s="389"/>
      <c r="L58" s="209"/>
      <c r="M58" s="209"/>
      <c r="N58" s="209"/>
      <c r="O58" s="209"/>
      <c r="P58" s="209"/>
      <c r="Q58" s="161"/>
      <c r="R58" s="390"/>
      <c r="S58" s="390"/>
      <c r="T58" s="161"/>
      <c r="U58" s="389"/>
      <c r="BA58" s="387" t="str">
        <f>IF('Short Circuit'!$A58="","",'Short Circuit'!$A58)</f>
        <v/>
      </c>
      <c r="BB58" s="387" t="str">
        <f>IF($BA58="","",'Short Circuit'!$B58)</f>
        <v/>
      </c>
      <c r="BC58" s="387" t="str">
        <f>IF($BA58="","",'Short Circuit'!$C58)</f>
        <v/>
      </c>
      <c r="BD58" s="387" t="str">
        <f>IF($BA58="","",'Short Circuit'!$D58)</f>
        <v/>
      </c>
      <c r="BE58" s="387" t="str">
        <f>IF($BA58="","",'Short Circuit'!$E58)</f>
        <v/>
      </c>
      <c r="BF58" s="387" t="str">
        <f>IF($BA58="","",IFERROR(_xlfn.XLOOKUP("F-"&amp;$BA58,'Feeder Schedule'!$B$5:$B$254,'Feeder Schedule'!$B$5:$B$254),IFERROR(_xlfn.XLOOKUP($BA58,'Feeder Schedule'!$B$5:$B$254,'Feeder Schedule'!$B$5:$B$254),"")))</f>
        <v/>
      </c>
      <c r="BG58" s="387" t="str">
        <f>IF($BF58="","",IFERROR(_xlfn.XLOOKUP($BF58,'Feeder Schedule'!$B$5:$B$254,'Feeder Schedule'!$A$5:$A$254),""))</f>
        <v/>
      </c>
      <c r="BH58" s="387" t="str">
        <f>IF($BF58="","",IFERROR(_xlfn.XLOOKUP($BF58,'Feeder Schedule'!$B$5:$B$254,'Feeder Schedule'!$O$5:$O$254),""))</f>
        <v/>
      </c>
      <c r="BI58" s="387" t="str">
        <f>IF($BF58="","",IFERROR(_xlfn.XLOOKUP($BF58,'Feeder Schedule'!$B$5:$B$254,'Feeder Schedule'!$P$5:$P$254),""))</f>
        <v/>
      </c>
      <c r="BJ58" s="387" t="str">
        <f>IF($BF58="","",IFERROR(_xlfn.XLOOKUP($BF58,'Feeder Schedule'!$B$5:$B$254,'Feeder Schedule'!$Q$5:$Q$254),""))</f>
        <v/>
      </c>
      <c r="BK58" s="387" t="str">
        <f>IF($BF58="","",IFERROR(_xlfn.XLOOKUP($BF58,'Feeder Schedule'!$B$5:$B$254,'Feeder Schedule'!$S$5:$S$254),""))</f>
        <v/>
      </c>
      <c r="BL58" s="387" t="str">
        <f>IF($BF58="","",IFERROR(_xlfn.XLOOKUP($BF58,'Feeder Schedule'!$B$5:$B$254,'Feeder Schedule'!$H$5:$H$254),""))</f>
        <v/>
      </c>
      <c r="BM58" s="534" t="str">
        <f>IF($BA58="","",'Short Circuit'!$J58)</f>
        <v/>
      </c>
      <c r="BN58" s="534" t="str">
        <f>IF($BA58="","",'Short Circuit'!$Q58)</f>
        <v/>
      </c>
      <c r="BO58" s="387" t="str">
        <f>IF($BA58="","",'Short Circuit'!$R58)</f>
        <v/>
      </c>
      <c r="BP58" s="535" t="str">
        <f>IF($BA58="","",'Short Circuit'!$S58)</f>
        <v/>
      </c>
      <c r="BQ58" s="387" t="str">
        <f>IF($BA58="","",'Short Circuit'!$T58)</f>
        <v/>
      </c>
      <c r="BR58" s="536" t="str">
        <f>IF($BA58="","",'Voltage Drop'!$G58)</f>
        <v/>
      </c>
      <c r="BS58" s="536" t="str">
        <f>IF($BA58="","",'Voltage Drop'!$H58)</f>
        <v/>
      </c>
      <c r="BT58" s="387" t="str">
        <f>IF($BA58="","",'Voltage Drop'!$K58)</f>
        <v/>
      </c>
      <c r="BU58" s="387" t="str">
        <f t="shared" si="0"/>
        <v/>
      </c>
      <c r="BV58" s="387"/>
      <c r="BW58" s="387" t="b">
        <f t="shared" si="1"/>
        <v>0</v>
      </c>
    </row>
    <row r="59" spans="1:75" ht="15" customHeight="1" x14ac:dyDescent="0.45">
      <c r="A59" s="161"/>
      <c r="B59" s="389"/>
      <c r="C59" s="207"/>
      <c r="D59" s="208"/>
      <c r="E59" s="161"/>
      <c r="F59" s="389"/>
      <c r="G59" s="389"/>
      <c r="H59" s="389"/>
      <c r="I59" s="389"/>
      <c r="J59" s="389"/>
      <c r="K59" s="389"/>
      <c r="L59" s="209"/>
      <c r="M59" s="209"/>
      <c r="N59" s="209"/>
      <c r="O59" s="209"/>
      <c r="P59" s="209"/>
      <c r="Q59" s="161"/>
      <c r="R59" s="390"/>
      <c r="S59" s="390"/>
      <c r="T59" s="161"/>
      <c r="U59" s="389"/>
      <c r="BA59" s="387" t="str">
        <f>IF('Short Circuit'!$A59="","",'Short Circuit'!$A59)</f>
        <v/>
      </c>
      <c r="BB59" s="387" t="str">
        <f>IF($BA59="","",'Short Circuit'!$B59)</f>
        <v/>
      </c>
      <c r="BC59" s="387" t="str">
        <f>IF($BA59="","",'Short Circuit'!$C59)</f>
        <v/>
      </c>
      <c r="BD59" s="387" t="str">
        <f>IF($BA59="","",'Short Circuit'!$D59)</f>
        <v/>
      </c>
      <c r="BE59" s="387" t="str">
        <f>IF($BA59="","",'Short Circuit'!$E59)</f>
        <v/>
      </c>
      <c r="BF59" s="387" t="str">
        <f>IF($BA59="","",IFERROR(_xlfn.XLOOKUP("F-"&amp;$BA59,'Feeder Schedule'!$B$5:$B$254,'Feeder Schedule'!$B$5:$B$254),IFERROR(_xlfn.XLOOKUP($BA59,'Feeder Schedule'!$B$5:$B$254,'Feeder Schedule'!$B$5:$B$254),"")))</f>
        <v/>
      </c>
      <c r="BG59" s="387" t="str">
        <f>IF($BF59="","",IFERROR(_xlfn.XLOOKUP($BF59,'Feeder Schedule'!$B$5:$B$254,'Feeder Schedule'!$A$5:$A$254),""))</f>
        <v/>
      </c>
      <c r="BH59" s="387" t="str">
        <f>IF($BF59="","",IFERROR(_xlfn.XLOOKUP($BF59,'Feeder Schedule'!$B$5:$B$254,'Feeder Schedule'!$O$5:$O$254),""))</f>
        <v/>
      </c>
      <c r="BI59" s="387" t="str">
        <f>IF($BF59="","",IFERROR(_xlfn.XLOOKUP($BF59,'Feeder Schedule'!$B$5:$B$254,'Feeder Schedule'!$P$5:$P$254),""))</f>
        <v/>
      </c>
      <c r="BJ59" s="387" t="str">
        <f>IF($BF59="","",IFERROR(_xlfn.XLOOKUP($BF59,'Feeder Schedule'!$B$5:$B$254,'Feeder Schedule'!$Q$5:$Q$254),""))</f>
        <v/>
      </c>
      <c r="BK59" s="387" t="str">
        <f>IF($BF59="","",IFERROR(_xlfn.XLOOKUP($BF59,'Feeder Schedule'!$B$5:$B$254,'Feeder Schedule'!$S$5:$S$254),""))</f>
        <v/>
      </c>
      <c r="BL59" s="387" t="str">
        <f>IF($BF59="","",IFERROR(_xlfn.XLOOKUP($BF59,'Feeder Schedule'!$B$5:$B$254,'Feeder Schedule'!$H$5:$H$254),""))</f>
        <v/>
      </c>
      <c r="BM59" s="534" t="str">
        <f>IF($BA59="","",'Short Circuit'!$J59)</f>
        <v/>
      </c>
      <c r="BN59" s="534" t="str">
        <f>IF($BA59="","",'Short Circuit'!$Q59)</f>
        <v/>
      </c>
      <c r="BO59" s="387" t="str">
        <f>IF($BA59="","",'Short Circuit'!$R59)</f>
        <v/>
      </c>
      <c r="BP59" s="535" t="str">
        <f>IF($BA59="","",'Short Circuit'!$S59)</f>
        <v/>
      </c>
      <c r="BQ59" s="387" t="str">
        <f>IF($BA59="","",'Short Circuit'!$T59)</f>
        <v/>
      </c>
      <c r="BR59" s="536" t="str">
        <f>IF($BA59="","",'Voltage Drop'!$G59)</f>
        <v/>
      </c>
      <c r="BS59" s="536" t="str">
        <f>IF($BA59="","",'Voltage Drop'!$H59)</f>
        <v/>
      </c>
      <c r="BT59" s="387" t="str">
        <f>IF($BA59="","",'Voltage Drop'!$K59)</f>
        <v/>
      </c>
      <c r="BU59" s="387" t="str">
        <f t="shared" si="0"/>
        <v/>
      </c>
      <c r="BV59" s="387"/>
      <c r="BW59" s="387" t="b">
        <f t="shared" si="1"/>
        <v>0</v>
      </c>
    </row>
    <row r="60" spans="1:75" ht="15" customHeight="1" x14ac:dyDescent="0.45">
      <c r="A60" s="161"/>
      <c r="B60" s="389"/>
      <c r="C60" s="207"/>
      <c r="D60" s="208"/>
      <c r="E60" s="161"/>
      <c r="F60" s="389"/>
      <c r="G60" s="389"/>
      <c r="H60" s="389"/>
      <c r="I60" s="389"/>
      <c r="J60" s="389"/>
      <c r="K60" s="389"/>
      <c r="L60" s="209"/>
      <c r="M60" s="209"/>
      <c r="N60" s="209"/>
      <c r="O60" s="209"/>
      <c r="P60" s="209"/>
      <c r="Q60" s="161"/>
      <c r="R60" s="390"/>
      <c r="S60" s="390"/>
      <c r="T60" s="161"/>
      <c r="U60" s="389"/>
      <c r="BA60" s="387" t="str">
        <f>IF('Short Circuit'!$A60="","",'Short Circuit'!$A60)</f>
        <v/>
      </c>
      <c r="BB60" s="387" t="str">
        <f>IF($BA60="","",'Short Circuit'!$B60)</f>
        <v/>
      </c>
      <c r="BC60" s="387" t="str">
        <f>IF($BA60="","",'Short Circuit'!$C60)</f>
        <v/>
      </c>
      <c r="BD60" s="387" t="str">
        <f>IF($BA60="","",'Short Circuit'!$D60)</f>
        <v/>
      </c>
      <c r="BE60" s="387" t="str">
        <f>IF($BA60="","",'Short Circuit'!$E60)</f>
        <v/>
      </c>
      <c r="BF60" s="387" t="str">
        <f>IF($BA60="","",IFERROR(_xlfn.XLOOKUP("F-"&amp;$BA60,'Feeder Schedule'!$B$5:$B$254,'Feeder Schedule'!$B$5:$B$254),IFERROR(_xlfn.XLOOKUP($BA60,'Feeder Schedule'!$B$5:$B$254,'Feeder Schedule'!$B$5:$B$254),"")))</f>
        <v/>
      </c>
      <c r="BG60" s="387" t="str">
        <f>IF($BF60="","",IFERROR(_xlfn.XLOOKUP($BF60,'Feeder Schedule'!$B$5:$B$254,'Feeder Schedule'!$A$5:$A$254),""))</f>
        <v/>
      </c>
      <c r="BH60" s="387" t="str">
        <f>IF($BF60="","",IFERROR(_xlfn.XLOOKUP($BF60,'Feeder Schedule'!$B$5:$B$254,'Feeder Schedule'!$O$5:$O$254),""))</f>
        <v/>
      </c>
      <c r="BI60" s="387" t="str">
        <f>IF($BF60="","",IFERROR(_xlfn.XLOOKUP($BF60,'Feeder Schedule'!$B$5:$B$254,'Feeder Schedule'!$P$5:$P$254),""))</f>
        <v/>
      </c>
      <c r="BJ60" s="387" t="str">
        <f>IF($BF60="","",IFERROR(_xlfn.XLOOKUP($BF60,'Feeder Schedule'!$B$5:$B$254,'Feeder Schedule'!$Q$5:$Q$254),""))</f>
        <v/>
      </c>
      <c r="BK60" s="387" t="str">
        <f>IF($BF60="","",IFERROR(_xlfn.XLOOKUP($BF60,'Feeder Schedule'!$B$5:$B$254,'Feeder Schedule'!$S$5:$S$254),""))</f>
        <v/>
      </c>
      <c r="BL60" s="387" t="str">
        <f>IF($BF60="","",IFERROR(_xlfn.XLOOKUP($BF60,'Feeder Schedule'!$B$5:$B$254,'Feeder Schedule'!$H$5:$H$254),""))</f>
        <v/>
      </c>
      <c r="BM60" s="534" t="str">
        <f>IF($BA60="","",'Short Circuit'!$J60)</f>
        <v/>
      </c>
      <c r="BN60" s="534" t="str">
        <f>IF($BA60="","",'Short Circuit'!$Q60)</f>
        <v/>
      </c>
      <c r="BO60" s="387" t="str">
        <f>IF($BA60="","",'Short Circuit'!$R60)</f>
        <v/>
      </c>
      <c r="BP60" s="535" t="str">
        <f>IF($BA60="","",'Short Circuit'!$S60)</f>
        <v/>
      </c>
      <c r="BQ60" s="387" t="str">
        <f>IF($BA60="","",'Short Circuit'!$T60)</f>
        <v/>
      </c>
      <c r="BR60" s="536" t="str">
        <f>IF($BA60="","",'Voltage Drop'!$G60)</f>
        <v/>
      </c>
      <c r="BS60" s="536" t="str">
        <f>IF($BA60="","",'Voltage Drop'!$H60)</f>
        <v/>
      </c>
      <c r="BT60" s="387" t="str">
        <f>IF($BA60="","",'Voltage Drop'!$K60)</f>
        <v/>
      </c>
      <c r="BU60" s="387" t="str">
        <f t="shared" si="0"/>
        <v/>
      </c>
      <c r="BV60" s="387"/>
      <c r="BW60" s="387" t="b">
        <f t="shared" si="1"/>
        <v>0</v>
      </c>
    </row>
    <row r="61" spans="1:75" ht="15" customHeight="1" x14ac:dyDescent="0.45">
      <c r="A61" s="161"/>
      <c r="B61" s="389"/>
      <c r="C61" s="207"/>
      <c r="D61" s="208"/>
      <c r="E61" s="161"/>
      <c r="F61" s="389"/>
      <c r="G61" s="389"/>
      <c r="H61" s="389"/>
      <c r="I61" s="389"/>
      <c r="J61" s="389"/>
      <c r="K61" s="389"/>
      <c r="L61" s="209"/>
      <c r="M61" s="209"/>
      <c r="N61" s="209"/>
      <c r="O61" s="209"/>
      <c r="P61" s="209"/>
      <c r="Q61" s="161"/>
      <c r="R61" s="390"/>
      <c r="S61" s="390"/>
      <c r="T61" s="161"/>
      <c r="U61" s="389"/>
      <c r="BA61" s="387" t="str">
        <f>IF('Short Circuit'!$A61="","",'Short Circuit'!$A61)</f>
        <v/>
      </c>
      <c r="BB61" s="387" t="str">
        <f>IF($BA61="","",'Short Circuit'!$B61)</f>
        <v/>
      </c>
      <c r="BC61" s="387" t="str">
        <f>IF($BA61="","",'Short Circuit'!$C61)</f>
        <v/>
      </c>
      <c r="BD61" s="387" t="str">
        <f>IF($BA61="","",'Short Circuit'!$D61)</f>
        <v/>
      </c>
      <c r="BE61" s="387" t="str">
        <f>IF($BA61="","",'Short Circuit'!$E61)</f>
        <v/>
      </c>
      <c r="BF61" s="387" t="str">
        <f>IF($BA61="","",IFERROR(_xlfn.XLOOKUP("F-"&amp;$BA61,'Feeder Schedule'!$B$5:$B$254,'Feeder Schedule'!$B$5:$B$254),IFERROR(_xlfn.XLOOKUP($BA61,'Feeder Schedule'!$B$5:$B$254,'Feeder Schedule'!$B$5:$B$254),"")))</f>
        <v/>
      </c>
      <c r="BG61" s="387" t="str">
        <f>IF($BF61="","",IFERROR(_xlfn.XLOOKUP($BF61,'Feeder Schedule'!$B$5:$B$254,'Feeder Schedule'!$A$5:$A$254),""))</f>
        <v/>
      </c>
      <c r="BH61" s="387" t="str">
        <f>IF($BF61="","",IFERROR(_xlfn.XLOOKUP($BF61,'Feeder Schedule'!$B$5:$B$254,'Feeder Schedule'!$O$5:$O$254),""))</f>
        <v/>
      </c>
      <c r="BI61" s="387" t="str">
        <f>IF($BF61="","",IFERROR(_xlfn.XLOOKUP($BF61,'Feeder Schedule'!$B$5:$B$254,'Feeder Schedule'!$P$5:$P$254),""))</f>
        <v/>
      </c>
      <c r="BJ61" s="387" t="str">
        <f>IF($BF61="","",IFERROR(_xlfn.XLOOKUP($BF61,'Feeder Schedule'!$B$5:$B$254,'Feeder Schedule'!$Q$5:$Q$254),""))</f>
        <v/>
      </c>
      <c r="BK61" s="387" t="str">
        <f>IF($BF61="","",IFERROR(_xlfn.XLOOKUP($BF61,'Feeder Schedule'!$B$5:$B$254,'Feeder Schedule'!$S$5:$S$254),""))</f>
        <v/>
      </c>
      <c r="BL61" s="387" t="str">
        <f>IF($BF61="","",IFERROR(_xlfn.XLOOKUP($BF61,'Feeder Schedule'!$B$5:$B$254,'Feeder Schedule'!$H$5:$H$254),""))</f>
        <v/>
      </c>
      <c r="BM61" s="534" t="str">
        <f>IF($BA61="","",'Short Circuit'!$J61)</f>
        <v/>
      </c>
      <c r="BN61" s="534" t="str">
        <f>IF($BA61="","",'Short Circuit'!$Q61)</f>
        <v/>
      </c>
      <c r="BO61" s="387" t="str">
        <f>IF($BA61="","",'Short Circuit'!$R61)</f>
        <v/>
      </c>
      <c r="BP61" s="535" t="str">
        <f>IF($BA61="","",'Short Circuit'!$S61)</f>
        <v/>
      </c>
      <c r="BQ61" s="387" t="str">
        <f>IF($BA61="","",'Short Circuit'!$T61)</f>
        <v/>
      </c>
      <c r="BR61" s="536" t="str">
        <f>IF($BA61="","",'Voltage Drop'!$G61)</f>
        <v/>
      </c>
      <c r="BS61" s="536" t="str">
        <f>IF($BA61="","",'Voltage Drop'!$H61)</f>
        <v/>
      </c>
      <c r="BT61" s="387" t="str">
        <f>IF($BA61="","",'Voltage Drop'!$K61)</f>
        <v/>
      </c>
      <c r="BU61" s="387" t="str">
        <f t="shared" si="0"/>
        <v/>
      </c>
      <c r="BV61" s="387"/>
      <c r="BW61" s="387" t="b">
        <f t="shared" si="1"/>
        <v>0</v>
      </c>
    </row>
    <row r="62" spans="1:75" ht="15" customHeight="1" x14ac:dyDescent="0.45">
      <c r="A62" s="161"/>
      <c r="B62" s="389"/>
      <c r="C62" s="207"/>
      <c r="D62" s="208"/>
      <c r="E62" s="161"/>
      <c r="F62" s="389"/>
      <c r="G62" s="389"/>
      <c r="H62" s="389"/>
      <c r="I62" s="389"/>
      <c r="J62" s="389"/>
      <c r="K62" s="389"/>
      <c r="L62" s="209"/>
      <c r="M62" s="209"/>
      <c r="N62" s="209"/>
      <c r="O62" s="209"/>
      <c r="P62" s="209"/>
      <c r="Q62" s="161"/>
      <c r="R62" s="390"/>
      <c r="S62" s="390"/>
      <c r="T62" s="161"/>
      <c r="U62" s="389"/>
      <c r="BA62" s="387" t="str">
        <f>IF('Short Circuit'!$A62="","",'Short Circuit'!$A62)</f>
        <v/>
      </c>
      <c r="BB62" s="387" t="str">
        <f>IF($BA62="","",'Short Circuit'!$B62)</f>
        <v/>
      </c>
      <c r="BC62" s="387" t="str">
        <f>IF($BA62="","",'Short Circuit'!$C62)</f>
        <v/>
      </c>
      <c r="BD62" s="387" t="str">
        <f>IF($BA62="","",'Short Circuit'!$D62)</f>
        <v/>
      </c>
      <c r="BE62" s="387" t="str">
        <f>IF($BA62="","",'Short Circuit'!$E62)</f>
        <v/>
      </c>
      <c r="BF62" s="387" t="str">
        <f>IF($BA62="","",IFERROR(_xlfn.XLOOKUP("F-"&amp;$BA62,'Feeder Schedule'!$B$5:$B$254,'Feeder Schedule'!$B$5:$B$254),IFERROR(_xlfn.XLOOKUP($BA62,'Feeder Schedule'!$B$5:$B$254,'Feeder Schedule'!$B$5:$B$254),"")))</f>
        <v/>
      </c>
      <c r="BG62" s="387" t="str">
        <f>IF($BF62="","",IFERROR(_xlfn.XLOOKUP($BF62,'Feeder Schedule'!$B$5:$B$254,'Feeder Schedule'!$A$5:$A$254),""))</f>
        <v/>
      </c>
      <c r="BH62" s="387" t="str">
        <f>IF($BF62="","",IFERROR(_xlfn.XLOOKUP($BF62,'Feeder Schedule'!$B$5:$B$254,'Feeder Schedule'!$O$5:$O$254),""))</f>
        <v/>
      </c>
      <c r="BI62" s="387" t="str">
        <f>IF($BF62="","",IFERROR(_xlfn.XLOOKUP($BF62,'Feeder Schedule'!$B$5:$B$254,'Feeder Schedule'!$P$5:$P$254),""))</f>
        <v/>
      </c>
      <c r="BJ62" s="387" t="str">
        <f>IF($BF62="","",IFERROR(_xlfn.XLOOKUP($BF62,'Feeder Schedule'!$B$5:$B$254,'Feeder Schedule'!$Q$5:$Q$254),""))</f>
        <v/>
      </c>
      <c r="BK62" s="387" t="str">
        <f>IF($BF62="","",IFERROR(_xlfn.XLOOKUP($BF62,'Feeder Schedule'!$B$5:$B$254,'Feeder Schedule'!$S$5:$S$254),""))</f>
        <v/>
      </c>
      <c r="BL62" s="387" t="str">
        <f>IF($BF62="","",IFERROR(_xlfn.XLOOKUP($BF62,'Feeder Schedule'!$B$5:$B$254,'Feeder Schedule'!$H$5:$H$254),""))</f>
        <v/>
      </c>
      <c r="BM62" s="534" t="str">
        <f>IF($BA62="","",'Short Circuit'!$J62)</f>
        <v/>
      </c>
      <c r="BN62" s="534" t="str">
        <f>IF($BA62="","",'Short Circuit'!$Q62)</f>
        <v/>
      </c>
      <c r="BO62" s="387" t="str">
        <f>IF($BA62="","",'Short Circuit'!$R62)</f>
        <v/>
      </c>
      <c r="BP62" s="535" t="str">
        <f>IF($BA62="","",'Short Circuit'!$S62)</f>
        <v/>
      </c>
      <c r="BQ62" s="387" t="str">
        <f>IF($BA62="","",'Short Circuit'!$T62)</f>
        <v/>
      </c>
      <c r="BR62" s="536" t="str">
        <f>IF($BA62="","",'Voltage Drop'!$G62)</f>
        <v/>
      </c>
      <c r="BS62" s="536" t="str">
        <f>IF($BA62="","",'Voltage Drop'!$H62)</f>
        <v/>
      </c>
      <c r="BT62" s="387" t="str">
        <f>IF($BA62="","",'Voltage Drop'!$K62)</f>
        <v/>
      </c>
      <c r="BU62" s="387" t="str">
        <f t="shared" si="0"/>
        <v/>
      </c>
      <c r="BV62" s="387"/>
      <c r="BW62" s="387" t="b">
        <f t="shared" si="1"/>
        <v>0</v>
      </c>
    </row>
    <row r="63" spans="1:75" ht="15" customHeight="1" x14ac:dyDescent="0.45">
      <c r="A63" s="161"/>
      <c r="B63" s="389"/>
      <c r="C63" s="207"/>
      <c r="D63" s="208"/>
      <c r="E63" s="161"/>
      <c r="F63" s="389"/>
      <c r="G63" s="389"/>
      <c r="H63" s="389"/>
      <c r="I63" s="389"/>
      <c r="J63" s="389"/>
      <c r="K63" s="389"/>
      <c r="L63" s="209"/>
      <c r="M63" s="209"/>
      <c r="N63" s="209"/>
      <c r="O63" s="209"/>
      <c r="P63" s="209"/>
      <c r="Q63" s="161"/>
      <c r="R63" s="390"/>
      <c r="S63" s="390"/>
      <c r="T63" s="161"/>
      <c r="U63" s="389"/>
      <c r="BA63" s="387" t="str">
        <f>IF('Short Circuit'!$A63="","",'Short Circuit'!$A63)</f>
        <v/>
      </c>
      <c r="BB63" s="387" t="str">
        <f>IF($BA63="","",'Short Circuit'!$B63)</f>
        <v/>
      </c>
      <c r="BC63" s="387" t="str">
        <f>IF($BA63="","",'Short Circuit'!$C63)</f>
        <v/>
      </c>
      <c r="BD63" s="387" t="str">
        <f>IF($BA63="","",'Short Circuit'!$D63)</f>
        <v/>
      </c>
      <c r="BE63" s="387" t="str">
        <f>IF($BA63="","",'Short Circuit'!$E63)</f>
        <v/>
      </c>
      <c r="BF63" s="387" t="str">
        <f>IF($BA63="","",IFERROR(_xlfn.XLOOKUP("F-"&amp;$BA63,'Feeder Schedule'!$B$5:$B$254,'Feeder Schedule'!$B$5:$B$254),IFERROR(_xlfn.XLOOKUP($BA63,'Feeder Schedule'!$B$5:$B$254,'Feeder Schedule'!$B$5:$B$254),"")))</f>
        <v/>
      </c>
      <c r="BG63" s="387" t="str">
        <f>IF($BF63="","",IFERROR(_xlfn.XLOOKUP($BF63,'Feeder Schedule'!$B$5:$B$254,'Feeder Schedule'!$A$5:$A$254),""))</f>
        <v/>
      </c>
      <c r="BH63" s="387" t="str">
        <f>IF($BF63="","",IFERROR(_xlfn.XLOOKUP($BF63,'Feeder Schedule'!$B$5:$B$254,'Feeder Schedule'!$O$5:$O$254),""))</f>
        <v/>
      </c>
      <c r="BI63" s="387" t="str">
        <f>IF($BF63="","",IFERROR(_xlfn.XLOOKUP($BF63,'Feeder Schedule'!$B$5:$B$254,'Feeder Schedule'!$P$5:$P$254),""))</f>
        <v/>
      </c>
      <c r="BJ63" s="387" t="str">
        <f>IF($BF63="","",IFERROR(_xlfn.XLOOKUP($BF63,'Feeder Schedule'!$B$5:$B$254,'Feeder Schedule'!$Q$5:$Q$254),""))</f>
        <v/>
      </c>
      <c r="BK63" s="387" t="str">
        <f>IF($BF63="","",IFERROR(_xlfn.XLOOKUP($BF63,'Feeder Schedule'!$B$5:$B$254,'Feeder Schedule'!$S$5:$S$254),""))</f>
        <v/>
      </c>
      <c r="BL63" s="387" t="str">
        <f>IF($BF63="","",IFERROR(_xlfn.XLOOKUP($BF63,'Feeder Schedule'!$B$5:$B$254,'Feeder Schedule'!$H$5:$H$254),""))</f>
        <v/>
      </c>
      <c r="BM63" s="534" t="str">
        <f>IF($BA63="","",'Short Circuit'!$J63)</f>
        <v/>
      </c>
      <c r="BN63" s="534" t="str">
        <f>IF($BA63="","",'Short Circuit'!$Q63)</f>
        <v/>
      </c>
      <c r="BO63" s="387" t="str">
        <f>IF($BA63="","",'Short Circuit'!$R63)</f>
        <v/>
      </c>
      <c r="BP63" s="535" t="str">
        <f>IF($BA63="","",'Short Circuit'!$S63)</f>
        <v/>
      </c>
      <c r="BQ63" s="387" t="str">
        <f>IF($BA63="","",'Short Circuit'!$T63)</f>
        <v/>
      </c>
      <c r="BR63" s="536" t="str">
        <f>IF($BA63="","",'Voltage Drop'!$G63)</f>
        <v/>
      </c>
      <c r="BS63" s="536" t="str">
        <f>IF($BA63="","",'Voltage Drop'!$H63)</f>
        <v/>
      </c>
      <c r="BT63" s="387" t="str">
        <f>IF($BA63="","",'Voltage Drop'!$K63)</f>
        <v/>
      </c>
      <c r="BU63" s="387" t="str">
        <f t="shared" si="0"/>
        <v/>
      </c>
      <c r="BV63" s="387"/>
      <c r="BW63" s="387" t="b">
        <f t="shared" si="1"/>
        <v>0</v>
      </c>
    </row>
    <row r="64" spans="1:75" ht="15" customHeight="1" x14ac:dyDescent="0.45">
      <c r="A64" s="161"/>
      <c r="B64" s="389"/>
      <c r="C64" s="207"/>
      <c r="D64" s="208"/>
      <c r="E64" s="161"/>
      <c r="F64" s="389"/>
      <c r="G64" s="389"/>
      <c r="H64" s="389"/>
      <c r="I64" s="389"/>
      <c r="J64" s="389"/>
      <c r="K64" s="389"/>
      <c r="L64" s="209"/>
      <c r="M64" s="209"/>
      <c r="N64" s="209"/>
      <c r="O64" s="209"/>
      <c r="P64" s="209"/>
      <c r="Q64" s="161"/>
      <c r="R64" s="390"/>
      <c r="S64" s="390"/>
      <c r="T64" s="161"/>
      <c r="U64" s="389"/>
      <c r="BA64" s="387" t="str">
        <f>IF('Short Circuit'!$A64="","",'Short Circuit'!$A64)</f>
        <v/>
      </c>
      <c r="BB64" s="387" t="str">
        <f>IF($BA64="","",'Short Circuit'!$B64)</f>
        <v/>
      </c>
      <c r="BC64" s="387" t="str">
        <f>IF($BA64="","",'Short Circuit'!$C64)</f>
        <v/>
      </c>
      <c r="BD64" s="387" t="str">
        <f>IF($BA64="","",'Short Circuit'!$D64)</f>
        <v/>
      </c>
      <c r="BE64" s="387" t="str">
        <f>IF($BA64="","",'Short Circuit'!$E64)</f>
        <v/>
      </c>
      <c r="BF64" s="387" t="str">
        <f>IF($BA64="","",IFERROR(_xlfn.XLOOKUP("F-"&amp;$BA64,'Feeder Schedule'!$B$5:$B$254,'Feeder Schedule'!$B$5:$B$254),IFERROR(_xlfn.XLOOKUP($BA64,'Feeder Schedule'!$B$5:$B$254,'Feeder Schedule'!$B$5:$B$254),"")))</f>
        <v/>
      </c>
      <c r="BG64" s="387" t="str">
        <f>IF($BF64="","",IFERROR(_xlfn.XLOOKUP($BF64,'Feeder Schedule'!$B$5:$B$254,'Feeder Schedule'!$A$5:$A$254),""))</f>
        <v/>
      </c>
      <c r="BH64" s="387" t="str">
        <f>IF($BF64="","",IFERROR(_xlfn.XLOOKUP($BF64,'Feeder Schedule'!$B$5:$B$254,'Feeder Schedule'!$O$5:$O$254),""))</f>
        <v/>
      </c>
      <c r="BI64" s="387" t="str">
        <f>IF($BF64="","",IFERROR(_xlfn.XLOOKUP($BF64,'Feeder Schedule'!$B$5:$B$254,'Feeder Schedule'!$P$5:$P$254),""))</f>
        <v/>
      </c>
      <c r="BJ64" s="387" t="str">
        <f>IF($BF64="","",IFERROR(_xlfn.XLOOKUP($BF64,'Feeder Schedule'!$B$5:$B$254,'Feeder Schedule'!$Q$5:$Q$254),""))</f>
        <v/>
      </c>
      <c r="BK64" s="387" t="str">
        <f>IF($BF64="","",IFERROR(_xlfn.XLOOKUP($BF64,'Feeder Schedule'!$B$5:$B$254,'Feeder Schedule'!$S$5:$S$254),""))</f>
        <v/>
      </c>
      <c r="BL64" s="387" t="str">
        <f>IF($BF64="","",IFERROR(_xlfn.XLOOKUP($BF64,'Feeder Schedule'!$B$5:$B$254,'Feeder Schedule'!$H$5:$H$254),""))</f>
        <v/>
      </c>
      <c r="BM64" s="534" t="str">
        <f>IF($BA64="","",'Short Circuit'!$J64)</f>
        <v/>
      </c>
      <c r="BN64" s="534" t="str">
        <f>IF($BA64="","",'Short Circuit'!$Q64)</f>
        <v/>
      </c>
      <c r="BO64" s="387" t="str">
        <f>IF($BA64="","",'Short Circuit'!$R64)</f>
        <v/>
      </c>
      <c r="BP64" s="535" t="str">
        <f>IF($BA64="","",'Short Circuit'!$S64)</f>
        <v/>
      </c>
      <c r="BQ64" s="387" t="str">
        <f>IF($BA64="","",'Short Circuit'!$T64)</f>
        <v/>
      </c>
      <c r="BR64" s="536" t="str">
        <f>IF($BA64="","",'Voltage Drop'!$G64)</f>
        <v/>
      </c>
      <c r="BS64" s="536" t="str">
        <f>IF($BA64="","",'Voltage Drop'!$H64)</f>
        <v/>
      </c>
      <c r="BT64" s="387" t="str">
        <f>IF($BA64="","",'Voltage Drop'!$K64)</f>
        <v/>
      </c>
      <c r="BU64" s="387" t="str">
        <f t="shared" si="0"/>
        <v/>
      </c>
      <c r="BV64" s="387"/>
      <c r="BW64" s="387" t="b">
        <f t="shared" si="1"/>
        <v>0</v>
      </c>
    </row>
    <row r="65" spans="1:75" ht="15" customHeight="1" x14ac:dyDescent="0.45">
      <c r="A65" s="161"/>
      <c r="B65" s="389"/>
      <c r="C65" s="207"/>
      <c r="D65" s="208"/>
      <c r="E65" s="161"/>
      <c r="F65" s="389"/>
      <c r="G65" s="389"/>
      <c r="H65" s="389"/>
      <c r="I65" s="389"/>
      <c r="J65" s="389"/>
      <c r="K65" s="389"/>
      <c r="L65" s="209"/>
      <c r="M65" s="209"/>
      <c r="N65" s="209"/>
      <c r="O65" s="209"/>
      <c r="P65" s="209"/>
      <c r="Q65" s="161"/>
      <c r="R65" s="390"/>
      <c r="S65" s="390"/>
      <c r="T65" s="161"/>
      <c r="U65" s="389"/>
      <c r="BA65" s="387" t="str">
        <f>IF('Short Circuit'!$A65="","",'Short Circuit'!$A65)</f>
        <v/>
      </c>
      <c r="BB65" s="387" t="str">
        <f>IF($BA65="","",'Short Circuit'!$B65)</f>
        <v/>
      </c>
      <c r="BC65" s="387" t="str">
        <f>IF($BA65="","",'Short Circuit'!$C65)</f>
        <v/>
      </c>
      <c r="BD65" s="387" t="str">
        <f>IF($BA65="","",'Short Circuit'!$D65)</f>
        <v/>
      </c>
      <c r="BE65" s="387" t="str">
        <f>IF($BA65="","",'Short Circuit'!$E65)</f>
        <v/>
      </c>
      <c r="BF65" s="387" t="str">
        <f>IF($BA65="","",IFERROR(_xlfn.XLOOKUP("F-"&amp;$BA65,'Feeder Schedule'!$B$5:$B$254,'Feeder Schedule'!$B$5:$B$254),IFERROR(_xlfn.XLOOKUP($BA65,'Feeder Schedule'!$B$5:$B$254,'Feeder Schedule'!$B$5:$B$254),"")))</f>
        <v/>
      </c>
      <c r="BG65" s="387" t="str">
        <f>IF($BF65="","",IFERROR(_xlfn.XLOOKUP($BF65,'Feeder Schedule'!$B$5:$B$254,'Feeder Schedule'!$A$5:$A$254),""))</f>
        <v/>
      </c>
      <c r="BH65" s="387" t="str">
        <f>IF($BF65="","",IFERROR(_xlfn.XLOOKUP($BF65,'Feeder Schedule'!$B$5:$B$254,'Feeder Schedule'!$O$5:$O$254),""))</f>
        <v/>
      </c>
      <c r="BI65" s="387" t="str">
        <f>IF($BF65="","",IFERROR(_xlfn.XLOOKUP($BF65,'Feeder Schedule'!$B$5:$B$254,'Feeder Schedule'!$P$5:$P$254),""))</f>
        <v/>
      </c>
      <c r="BJ65" s="387" t="str">
        <f>IF($BF65="","",IFERROR(_xlfn.XLOOKUP($BF65,'Feeder Schedule'!$B$5:$B$254,'Feeder Schedule'!$Q$5:$Q$254),""))</f>
        <v/>
      </c>
      <c r="BK65" s="387" t="str">
        <f>IF($BF65="","",IFERROR(_xlfn.XLOOKUP($BF65,'Feeder Schedule'!$B$5:$B$254,'Feeder Schedule'!$S$5:$S$254),""))</f>
        <v/>
      </c>
      <c r="BL65" s="387" t="str">
        <f>IF($BF65="","",IFERROR(_xlfn.XLOOKUP($BF65,'Feeder Schedule'!$B$5:$B$254,'Feeder Schedule'!$H$5:$H$254),""))</f>
        <v/>
      </c>
      <c r="BM65" s="534" t="str">
        <f>IF($BA65="","",'Short Circuit'!$J65)</f>
        <v/>
      </c>
      <c r="BN65" s="534" t="str">
        <f>IF($BA65="","",'Short Circuit'!$Q65)</f>
        <v/>
      </c>
      <c r="BO65" s="387" t="str">
        <f>IF($BA65="","",'Short Circuit'!$R65)</f>
        <v/>
      </c>
      <c r="BP65" s="535" t="str">
        <f>IF($BA65="","",'Short Circuit'!$S65)</f>
        <v/>
      </c>
      <c r="BQ65" s="387" t="str">
        <f>IF($BA65="","",'Short Circuit'!$T65)</f>
        <v/>
      </c>
      <c r="BR65" s="536" t="str">
        <f>IF($BA65="","",'Voltage Drop'!$G65)</f>
        <v/>
      </c>
      <c r="BS65" s="536" t="str">
        <f>IF($BA65="","",'Voltage Drop'!$H65)</f>
        <v/>
      </c>
      <c r="BT65" s="387" t="str">
        <f>IF($BA65="","",'Voltage Drop'!$K65)</f>
        <v/>
      </c>
      <c r="BU65" s="387" t="str">
        <f t="shared" si="0"/>
        <v/>
      </c>
      <c r="BV65" s="387"/>
      <c r="BW65" s="387" t="b">
        <f t="shared" si="1"/>
        <v>0</v>
      </c>
    </row>
    <row r="66" spans="1:75" ht="15" customHeight="1" x14ac:dyDescent="0.45">
      <c r="A66" s="161"/>
      <c r="B66" s="389"/>
      <c r="C66" s="207"/>
      <c r="D66" s="208"/>
      <c r="E66" s="161"/>
      <c r="F66" s="389"/>
      <c r="G66" s="389"/>
      <c r="H66" s="389"/>
      <c r="I66" s="389"/>
      <c r="J66" s="389"/>
      <c r="K66" s="389"/>
      <c r="L66" s="209"/>
      <c r="M66" s="209"/>
      <c r="N66" s="209"/>
      <c r="O66" s="209"/>
      <c r="P66" s="209"/>
      <c r="Q66" s="161"/>
      <c r="R66" s="390"/>
      <c r="S66" s="390"/>
      <c r="T66" s="161"/>
      <c r="U66" s="389"/>
      <c r="BA66" s="387" t="str">
        <f>IF('Short Circuit'!$A66="","",'Short Circuit'!$A66)</f>
        <v/>
      </c>
      <c r="BB66" s="387" t="str">
        <f>IF($BA66="","",'Short Circuit'!$B66)</f>
        <v/>
      </c>
      <c r="BC66" s="387" t="str">
        <f>IF($BA66="","",'Short Circuit'!$C66)</f>
        <v/>
      </c>
      <c r="BD66" s="387" t="str">
        <f>IF($BA66="","",'Short Circuit'!$D66)</f>
        <v/>
      </c>
      <c r="BE66" s="387" t="str">
        <f>IF($BA66="","",'Short Circuit'!$E66)</f>
        <v/>
      </c>
      <c r="BF66" s="387" t="str">
        <f>IF($BA66="","",IFERROR(_xlfn.XLOOKUP("F-"&amp;$BA66,'Feeder Schedule'!$B$5:$B$254,'Feeder Schedule'!$B$5:$B$254),IFERROR(_xlfn.XLOOKUP($BA66,'Feeder Schedule'!$B$5:$B$254,'Feeder Schedule'!$B$5:$B$254),"")))</f>
        <v/>
      </c>
      <c r="BG66" s="387" t="str">
        <f>IF($BF66="","",IFERROR(_xlfn.XLOOKUP($BF66,'Feeder Schedule'!$B$5:$B$254,'Feeder Schedule'!$A$5:$A$254),""))</f>
        <v/>
      </c>
      <c r="BH66" s="387" t="str">
        <f>IF($BF66="","",IFERROR(_xlfn.XLOOKUP($BF66,'Feeder Schedule'!$B$5:$B$254,'Feeder Schedule'!$O$5:$O$254),""))</f>
        <v/>
      </c>
      <c r="BI66" s="387" t="str">
        <f>IF($BF66="","",IFERROR(_xlfn.XLOOKUP($BF66,'Feeder Schedule'!$B$5:$B$254,'Feeder Schedule'!$P$5:$P$254),""))</f>
        <v/>
      </c>
      <c r="BJ66" s="387" t="str">
        <f>IF($BF66="","",IFERROR(_xlfn.XLOOKUP($BF66,'Feeder Schedule'!$B$5:$B$254,'Feeder Schedule'!$Q$5:$Q$254),""))</f>
        <v/>
      </c>
      <c r="BK66" s="387" t="str">
        <f>IF($BF66="","",IFERROR(_xlfn.XLOOKUP($BF66,'Feeder Schedule'!$B$5:$B$254,'Feeder Schedule'!$S$5:$S$254),""))</f>
        <v/>
      </c>
      <c r="BL66" s="387" t="str">
        <f>IF($BF66="","",IFERROR(_xlfn.XLOOKUP($BF66,'Feeder Schedule'!$B$5:$B$254,'Feeder Schedule'!$H$5:$H$254),""))</f>
        <v/>
      </c>
      <c r="BM66" s="534" t="str">
        <f>IF($BA66="","",'Short Circuit'!$J66)</f>
        <v/>
      </c>
      <c r="BN66" s="534" t="str">
        <f>IF($BA66="","",'Short Circuit'!$Q66)</f>
        <v/>
      </c>
      <c r="BO66" s="387" t="str">
        <f>IF($BA66="","",'Short Circuit'!$R66)</f>
        <v/>
      </c>
      <c r="BP66" s="535" t="str">
        <f>IF($BA66="","",'Short Circuit'!$S66)</f>
        <v/>
      </c>
      <c r="BQ66" s="387" t="str">
        <f>IF($BA66="","",'Short Circuit'!$T66)</f>
        <v/>
      </c>
      <c r="BR66" s="536" t="str">
        <f>IF($BA66="","",'Voltage Drop'!$G66)</f>
        <v/>
      </c>
      <c r="BS66" s="536" t="str">
        <f>IF($BA66="","",'Voltage Drop'!$H66)</f>
        <v/>
      </c>
      <c r="BT66" s="387" t="str">
        <f>IF($BA66="","",'Voltage Drop'!$K66)</f>
        <v/>
      </c>
      <c r="BU66" s="387" t="str">
        <f t="shared" si="0"/>
        <v/>
      </c>
      <c r="BV66" s="387"/>
      <c r="BW66" s="387" t="b">
        <f t="shared" si="1"/>
        <v>0</v>
      </c>
    </row>
    <row r="67" spans="1:75" ht="15" customHeight="1" x14ac:dyDescent="0.45">
      <c r="A67" s="161"/>
      <c r="B67" s="389"/>
      <c r="C67" s="207"/>
      <c r="D67" s="208"/>
      <c r="E67" s="161"/>
      <c r="F67" s="389"/>
      <c r="G67" s="389"/>
      <c r="H67" s="389"/>
      <c r="I67" s="389"/>
      <c r="J67" s="389"/>
      <c r="K67" s="389"/>
      <c r="L67" s="209"/>
      <c r="M67" s="209"/>
      <c r="N67" s="209"/>
      <c r="O67" s="209"/>
      <c r="P67" s="209"/>
      <c r="Q67" s="161"/>
      <c r="R67" s="390"/>
      <c r="S67" s="390"/>
      <c r="T67" s="161"/>
      <c r="U67" s="389"/>
      <c r="BA67" s="387" t="str">
        <f>IF('Short Circuit'!$A67="","",'Short Circuit'!$A67)</f>
        <v/>
      </c>
      <c r="BB67" s="387" t="str">
        <f>IF($BA67="","",'Short Circuit'!$B67)</f>
        <v/>
      </c>
      <c r="BC67" s="387" t="str">
        <f>IF($BA67="","",'Short Circuit'!$C67)</f>
        <v/>
      </c>
      <c r="BD67" s="387" t="str">
        <f>IF($BA67="","",'Short Circuit'!$D67)</f>
        <v/>
      </c>
      <c r="BE67" s="387" t="str">
        <f>IF($BA67="","",'Short Circuit'!$E67)</f>
        <v/>
      </c>
      <c r="BF67" s="387" t="str">
        <f>IF($BA67="","",IFERROR(_xlfn.XLOOKUP("F-"&amp;$BA67,'Feeder Schedule'!$B$5:$B$254,'Feeder Schedule'!$B$5:$B$254),IFERROR(_xlfn.XLOOKUP($BA67,'Feeder Schedule'!$B$5:$B$254,'Feeder Schedule'!$B$5:$B$254),"")))</f>
        <v/>
      </c>
      <c r="BG67" s="387" t="str">
        <f>IF($BF67="","",IFERROR(_xlfn.XLOOKUP($BF67,'Feeder Schedule'!$B$5:$B$254,'Feeder Schedule'!$A$5:$A$254),""))</f>
        <v/>
      </c>
      <c r="BH67" s="387" t="str">
        <f>IF($BF67="","",IFERROR(_xlfn.XLOOKUP($BF67,'Feeder Schedule'!$B$5:$B$254,'Feeder Schedule'!$O$5:$O$254),""))</f>
        <v/>
      </c>
      <c r="BI67" s="387" t="str">
        <f>IF($BF67="","",IFERROR(_xlfn.XLOOKUP($BF67,'Feeder Schedule'!$B$5:$B$254,'Feeder Schedule'!$P$5:$P$254),""))</f>
        <v/>
      </c>
      <c r="BJ67" s="387" t="str">
        <f>IF($BF67="","",IFERROR(_xlfn.XLOOKUP($BF67,'Feeder Schedule'!$B$5:$B$254,'Feeder Schedule'!$Q$5:$Q$254),""))</f>
        <v/>
      </c>
      <c r="BK67" s="387" t="str">
        <f>IF($BF67="","",IFERROR(_xlfn.XLOOKUP($BF67,'Feeder Schedule'!$B$5:$B$254,'Feeder Schedule'!$S$5:$S$254),""))</f>
        <v/>
      </c>
      <c r="BL67" s="387" t="str">
        <f>IF($BF67="","",IFERROR(_xlfn.XLOOKUP($BF67,'Feeder Schedule'!$B$5:$B$254,'Feeder Schedule'!$H$5:$H$254),""))</f>
        <v/>
      </c>
      <c r="BM67" s="534" t="str">
        <f>IF($BA67="","",'Short Circuit'!$J67)</f>
        <v/>
      </c>
      <c r="BN67" s="534" t="str">
        <f>IF($BA67="","",'Short Circuit'!$Q67)</f>
        <v/>
      </c>
      <c r="BO67" s="387" t="str">
        <f>IF($BA67="","",'Short Circuit'!$R67)</f>
        <v/>
      </c>
      <c r="BP67" s="535" t="str">
        <f>IF($BA67="","",'Short Circuit'!$S67)</f>
        <v/>
      </c>
      <c r="BQ67" s="387" t="str">
        <f>IF($BA67="","",'Short Circuit'!$T67)</f>
        <v/>
      </c>
      <c r="BR67" s="536" t="str">
        <f>IF($BA67="","",'Voltage Drop'!$G67)</f>
        <v/>
      </c>
      <c r="BS67" s="536" t="str">
        <f>IF($BA67="","",'Voltage Drop'!$H67)</f>
        <v/>
      </c>
      <c r="BT67" s="387" t="str">
        <f>IF($BA67="","",'Voltage Drop'!$K67)</f>
        <v/>
      </c>
      <c r="BU67" s="387" t="str">
        <f t="shared" si="0"/>
        <v/>
      </c>
      <c r="BV67" s="387"/>
      <c r="BW67" s="387" t="b">
        <f t="shared" si="1"/>
        <v>0</v>
      </c>
    </row>
    <row r="68" spans="1:75" ht="15" customHeight="1" x14ac:dyDescent="0.45">
      <c r="A68" s="161"/>
      <c r="B68" s="389"/>
      <c r="C68" s="207"/>
      <c r="D68" s="208"/>
      <c r="E68" s="161"/>
      <c r="F68" s="389"/>
      <c r="G68" s="389"/>
      <c r="H68" s="389"/>
      <c r="I68" s="389"/>
      <c r="J68" s="389"/>
      <c r="K68" s="389"/>
      <c r="L68" s="209"/>
      <c r="M68" s="209"/>
      <c r="N68" s="209"/>
      <c r="O68" s="209"/>
      <c r="P68" s="209"/>
      <c r="Q68" s="161"/>
      <c r="R68" s="390"/>
      <c r="S68" s="390"/>
      <c r="T68" s="161"/>
      <c r="U68" s="389"/>
      <c r="BA68" s="387" t="str">
        <f>IF('Short Circuit'!$A68="","",'Short Circuit'!$A68)</f>
        <v/>
      </c>
      <c r="BB68" s="387" t="str">
        <f>IF($BA68="","",'Short Circuit'!$B68)</f>
        <v/>
      </c>
      <c r="BC68" s="387" t="str">
        <f>IF($BA68="","",'Short Circuit'!$C68)</f>
        <v/>
      </c>
      <c r="BD68" s="387" t="str">
        <f>IF($BA68="","",'Short Circuit'!$D68)</f>
        <v/>
      </c>
      <c r="BE68" s="387" t="str">
        <f>IF($BA68="","",'Short Circuit'!$E68)</f>
        <v/>
      </c>
      <c r="BF68" s="387" t="str">
        <f>IF($BA68="","",IFERROR(_xlfn.XLOOKUP("F-"&amp;$BA68,'Feeder Schedule'!$B$5:$B$254,'Feeder Schedule'!$B$5:$B$254),IFERROR(_xlfn.XLOOKUP($BA68,'Feeder Schedule'!$B$5:$B$254,'Feeder Schedule'!$B$5:$B$254),"")))</f>
        <v/>
      </c>
      <c r="BG68" s="387" t="str">
        <f>IF($BF68="","",IFERROR(_xlfn.XLOOKUP($BF68,'Feeder Schedule'!$B$5:$B$254,'Feeder Schedule'!$A$5:$A$254),""))</f>
        <v/>
      </c>
      <c r="BH68" s="387" t="str">
        <f>IF($BF68="","",IFERROR(_xlfn.XLOOKUP($BF68,'Feeder Schedule'!$B$5:$B$254,'Feeder Schedule'!$O$5:$O$254),""))</f>
        <v/>
      </c>
      <c r="BI68" s="387" t="str">
        <f>IF($BF68="","",IFERROR(_xlfn.XLOOKUP($BF68,'Feeder Schedule'!$B$5:$B$254,'Feeder Schedule'!$P$5:$P$254),""))</f>
        <v/>
      </c>
      <c r="BJ68" s="387" t="str">
        <f>IF($BF68="","",IFERROR(_xlfn.XLOOKUP($BF68,'Feeder Schedule'!$B$5:$B$254,'Feeder Schedule'!$Q$5:$Q$254),""))</f>
        <v/>
      </c>
      <c r="BK68" s="387" t="str">
        <f>IF($BF68="","",IFERROR(_xlfn.XLOOKUP($BF68,'Feeder Schedule'!$B$5:$B$254,'Feeder Schedule'!$S$5:$S$254),""))</f>
        <v/>
      </c>
      <c r="BL68" s="387" t="str">
        <f>IF($BF68="","",IFERROR(_xlfn.XLOOKUP($BF68,'Feeder Schedule'!$B$5:$B$254,'Feeder Schedule'!$H$5:$H$254),""))</f>
        <v/>
      </c>
      <c r="BM68" s="534" t="str">
        <f>IF($BA68="","",'Short Circuit'!$J68)</f>
        <v/>
      </c>
      <c r="BN68" s="534" t="str">
        <f>IF($BA68="","",'Short Circuit'!$Q68)</f>
        <v/>
      </c>
      <c r="BO68" s="387" t="str">
        <f>IF($BA68="","",'Short Circuit'!$R68)</f>
        <v/>
      </c>
      <c r="BP68" s="535" t="str">
        <f>IF($BA68="","",'Short Circuit'!$S68)</f>
        <v/>
      </c>
      <c r="BQ68" s="387" t="str">
        <f>IF($BA68="","",'Short Circuit'!$T68)</f>
        <v/>
      </c>
      <c r="BR68" s="536" t="str">
        <f>IF($BA68="","",'Voltage Drop'!$G68)</f>
        <v/>
      </c>
      <c r="BS68" s="536" t="str">
        <f>IF($BA68="","",'Voltage Drop'!$H68)</f>
        <v/>
      </c>
      <c r="BT68" s="387" t="str">
        <f>IF($BA68="","",'Voltage Drop'!$K68)</f>
        <v/>
      </c>
      <c r="BU68" s="387" t="str">
        <f t="shared" si="0"/>
        <v/>
      </c>
      <c r="BV68" s="387"/>
      <c r="BW68" s="387" t="b">
        <f t="shared" si="1"/>
        <v>0</v>
      </c>
    </row>
    <row r="69" spans="1:75" ht="15" customHeight="1" x14ac:dyDescent="0.45">
      <c r="A69" s="161"/>
      <c r="B69" s="389"/>
      <c r="C69" s="207"/>
      <c r="D69" s="208"/>
      <c r="E69" s="161"/>
      <c r="F69" s="389"/>
      <c r="G69" s="389"/>
      <c r="H69" s="389"/>
      <c r="I69" s="389"/>
      <c r="J69" s="389"/>
      <c r="K69" s="389"/>
      <c r="L69" s="209"/>
      <c r="M69" s="209"/>
      <c r="N69" s="209"/>
      <c r="O69" s="209"/>
      <c r="P69" s="209"/>
      <c r="Q69" s="161"/>
      <c r="R69" s="390"/>
      <c r="S69" s="390"/>
      <c r="T69" s="161"/>
      <c r="U69" s="389"/>
      <c r="BA69" s="387" t="str">
        <f>IF('Short Circuit'!$A69="","",'Short Circuit'!$A69)</f>
        <v/>
      </c>
      <c r="BB69" s="387" t="str">
        <f>IF($BA69="","",'Short Circuit'!$B69)</f>
        <v/>
      </c>
      <c r="BC69" s="387" t="str">
        <f>IF($BA69="","",'Short Circuit'!$C69)</f>
        <v/>
      </c>
      <c r="BD69" s="387" t="str">
        <f>IF($BA69="","",'Short Circuit'!$D69)</f>
        <v/>
      </c>
      <c r="BE69" s="387" t="str">
        <f>IF($BA69="","",'Short Circuit'!$E69)</f>
        <v/>
      </c>
      <c r="BF69" s="387" t="str">
        <f>IF($BA69="","",IFERROR(_xlfn.XLOOKUP("F-"&amp;$BA69,'Feeder Schedule'!$B$5:$B$254,'Feeder Schedule'!$B$5:$B$254),IFERROR(_xlfn.XLOOKUP($BA69,'Feeder Schedule'!$B$5:$B$254,'Feeder Schedule'!$B$5:$B$254),"")))</f>
        <v/>
      </c>
      <c r="BG69" s="387" t="str">
        <f>IF($BF69="","",IFERROR(_xlfn.XLOOKUP($BF69,'Feeder Schedule'!$B$5:$B$254,'Feeder Schedule'!$A$5:$A$254),""))</f>
        <v/>
      </c>
      <c r="BH69" s="387" t="str">
        <f>IF($BF69="","",IFERROR(_xlfn.XLOOKUP($BF69,'Feeder Schedule'!$B$5:$B$254,'Feeder Schedule'!$O$5:$O$254),""))</f>
        <v/>
      </c>
      <c r="BI69" s="387" t="str">
        <f>IF($BF69="","",IFERROR(_xlfn.XLOOKUP($BF69,'Feeder Schedule'!$B$5:$B$254,'Feeder Schedule'!$P$5:$P$254),""))</f>
        <v/>
      </c>
      <c r="BJ69" s="387" t="str">
        <f>IF($BF69="","",IFERROR(_xlfn.XLOOKUP($BF69,'Feeder Schedule'!$B$5:$B$254,'Feeder Schedule'!$Q$5:$Q$254),""))</f>
        <v/>
      </c>
      <c r="BK69" s="387" t="str">
        <f>IF($BF69="","",IFERROR(_xlfn.XLOOKUP($BF69,'Feeder Schedule'!$B$5:$B$254,'Feeder Schedule'!$S$5:$S$254),""))</f>
        <v/>
      </c>
      <c r="BL69" s="387" t="str">
        <f>IF($BF69="","",IFERROR(_xlfn.XLOOKUP($BF69,'Feeder Schedule'!$B$5:$B$254,'Feeder Schedule'!$H$5:$H$254),""))</f>
        <v/>
      </c>
      <c r="BM69" s="534" t="str">
        <f>IF($BA69="","",'Short Circuit'!$J69)</f>
        <v/>
      </c>
      <c r="BN69" s="534" t="str">
        <f>IF($BA69="","",'Short Circuit'!$Q69)</f>
        <v/>
      </c>
      <c r="BO69" s="387" t="str">
        <f>IF($BA69="","",'Short Circuit'!$R69)</f>
        <v/>
      </c>
      <c r="BP69" s="535" t="str">
        <f>IF($BA69="","",'Short Circuit'!$S69)</f>
        <v/>
      </c>
      <c r="BQ69" s="387" t="str">
        <f>IF($BA69="","",'Short Circuit'!$T69)</f>
        <v/>
      </c>
      <c r="BR69" s="536" t="str">
        <f>IF($BA69="","",'Voltage Drop'!$G69)</f>
        <v/>
      </c>
      <c r="BS69" s="536" t="str">
        <f>IF($BA69="","",'Voltage Drop'!$H69)</f>
        <v/>
      </c>
      <c r="BT69" s="387" t="str">
        <f>IF($BA69="","",'Voltage Drop'!$K69)</f>
        <v/>
      </c>
      <c r="BU69" s="387" t="str">
        <f t="shared" si="0"/>
        <v/>
      </c>
      <c r="BV69" s="387"/>
      <c r="BW69" s="387" t="b">
        <f t="shared" si="1"/>
        <v>0</v>
      </c>
    </row>
    <row r="70" spans="1:75" ht="15" customHeight="1" x14ac:dyDescent="0.45">
      <c r="A70" s="161"/>
      <c r="B70" s="389"/>
      <c r="C70" s="207"/>
      <c r="D70" s="208"/>
      <c r="E70" s="161"/>
      <c r="F70" s="389"/>
      <c r="G70" s="389"/>
      <c r="H70" s="389"/>
      <c r="I70" s="389"/>
      <c r="J70" s="389"/>
      <c r="K70" s="389"/>
      <c r="L70" s="209"/>
      <c r="M70" s="209"/>
      <c r="N70" s="209"/>
      <c r="O70" s="209"/>
      <c r="P70" s="209"/>
      <c r="Q70" s="161"/>
      <c r="R70" s="390"/>
      <c r="S70" s="390"/>
      <c r="T70" s="161"/>
      <c r="U70" s="389"/>
      <c r="BA70" s="387" t="str">
        <f>IF('Short Circuit'!$A70="","",'Short Circuit'!$A70)</f>
        <v/>
      </c>
      <c r="BB70" s="387" t="str">
        <f>IF($BA70="","",'Short Circuit'!$B70)</f>
        <v/>
      </c>
      <c r="BC70" s="387" t="str">
        <f>IF($BA70="","",'Short Circuit'!$C70)</f>
        <v/>
      </c>
      <c r="BD70" s="387" t="str">
        <f>IF($BA70="","",'Short Circuit'!$D70)</f>
        <v/>
      </c>
      <c r="BE70" s="387" t="str">
        <f>IF($BA70="","",'Short Circuit'!$E70)</f>
        <v/>
      </c>
      <c r="BF70" s="387" t="str">
        <f>IF($BA70="","",IFERROR(_xlfn.XLOOKUP("F-"&amp;$BA70,'Feeder Schedule'!$B$5:$B$254,'Feeder Schedule'!$B$5:$B$254),IFERROR(_xlfn.XLOOKUP($BA70,'Feeder Schedule'!$B$5:$B$254,'Feeder Schedule'!$B$5:$B$254),"")))</f>
        <v/>
      </c>
      <c r="BG70" s="387" t="str">
        <f>IF($BF70="","",IFERROR(_xlfn.XLOOKUP($BF70,'Feeder Schedule'!$B$5:$B$254,'Feeder Schedule'!$A$5:$A$254),""))</f>
        <v/>
      </c>
      <c r="BH70" s="387" t="str">
        <f>IF($BF70="","",IFERROR(_xlfn.XLOOKUP($BF70,'Feeder Schedule'!$B$5:$B$254,'Feeder Schedule'!$O$5:$O$254),""))</f>
        <v/>
      </c>
      <c r="BI70" s="387" t="str">
        <f>IF($BF70="","",IFERROR(_xlfn.XLOOKUP($BF70,'Feeder Schedule'!$B$5:$B$254,'Feeder Schedule'!$P$5:$P$254),""))</f>
        <v/>
      </c>
      <c r="BJ70" s="387" t="str">
        <f>IF($BF70="","",IFERROR(_xlfn.XLOOKUP($BF70,'Feeder Schedule'!$B$5:$B$254,'Feeder Schedule'!$Q$5:$Q$254),""))</f>
        <v/>
      </c>
      <c r="BK70" s="387" t="str">
        <f>IF($BF70="","",IFERROR(_xlfn.XLOOKUP($BF70,'Feeder Schedule'!$B$5:$B$254,'Feeder Schedule'!$S$5:$S$254),""))</f>
        <v/>
      </c>
      <c r="BL70" s="387" t="str">
        <f>IF($BF70="","",IFERROR(_xlfn.XLOOKUP($BF70,'Feeder Schedule'!$B$5:$B$254,'Feeder Schedule'!$H$5:$H$254),""))</f>
        <v/>
      </c>
      <c r="BM70" s="534" t="str">
        <f>IF($BA70="","",'Short Circuit'!$J70)</f>
        <v/>
      </c>
      <c r="BN70" s="534" t="str">
        <f>IF($BA70="","",'Short Circuit'!$Q70)</f>
        <v/>
      </c>
      <c r="BO70" s="387" t="str">
        <f>IF($BA70="","",'Short Circuit'!$R70)</f>
        <v/>
      </c>
      <c r="BP70" s="535" t="str">
        <f>IF($BA70="","",'Short Circuit'!$S70)</f>
        <v/>
      </c>
      <c r="BQ70" s="387" t="str">
        <f>IF($BA70="","",'Short Circuit'!$T70)</f>
        <v/>
      </c>
      <c r="BR70" s="536" t="str">
        <f>IF($BA70="","",'Voltage Drop'!$G70)</f>
        <v/>
      </c>
      <c r="BS70" s="536" t="str">
        <f>IF($BA70="","",'Voltage Drop'!$H70)</f>
        <v/>
      </c>
      <c r="BT70" s="387" t="str">
        <f>IF($BA70="","",'Voltage Drop'!$K70)</f>
        <v/>
      </c>
      <c r="BU70" s="387" t="str">
        <f t="shared" si="0"/>
        <v/>
      </c>
      <c r="BV70" s="387"/>
      <c r="BW70" s="387" t="b">
        <f t="shared" si="1"/>
        <v>0</v>
      </c>
    </row>
    <row r="71" spans="1:75" ht="15" customHeight="1" x14ac:dyDescent="0.45">
      <c r="A71" s="161"/>
      <c r="B71" s="389"/>
      <c r="C71" s="207"/>
      <c r="D71" s="208"/>
      <c r="E71" s="161"/>
      <c r="F71" s="389"/>
      <c r="G71" s="389"/>
      <c r="H71" s="389"/>
      <c r="I71" s="389"/>
      <c r="J71" s="389"/>
      <c r="K71" s="389"/>
      <c r="L71" s="209"/>
      <c r="M71" s="209"/>
      <c r="N71" s="209"/>
      <c r="O71" s="209"/>
      <c r="P71" s="209"/>
      <c r="Q71" s="161"/>
      <c r="R71" s="390"/>
      <c r="S71" s="390"/>
      <c r="T71" s="161"/>
      <c r="U71" s="389"/>
      <c r="BA71" s="387" t="str">
        <f>IF('Short Circuit'!$A71="","",'Short Circuit'!$A71)</f>
        <v/>
      </c>
      <c r="BB71" s="387" t="str">
        <f>IF($BA71="","",'Short Circuit'!$B71)</f>
        <v/>
      </c>
      <c r="BC71" s="387" t="str">
        <f>IF($BA71="","",'Short Circuit'!$C71)</f>
        <v/>
      </c>
      <c r="BD71" s="387" t="str">
        <f>IF($BA71="","",'Short Circuit'!$D71)</f>
        <v/>
      </c>
      <c r="BE71" s="387" t="str">
        <f>IF($BA71="","",'Short Circuit'!$E71)</f>
        <v/>
      </c>
      <c r="BF71" s="387" t="str">
        <f>IF($BA71="","",IFERROR(_xlfn.XLOOKUP("F-"&amp;$BA71,'Feeder Schedule'!$B$5:$B$254,'Feeder Schedule'!$B$5:$B$254),IFERROR(_xlfn.XLOOKUP($BA71,'Feeder Schedule'!$B$5:$B$254,'Feeder Schedule'!$B$5:$B$254),"")))</f>
        <v/>
      </c>
      <c r="BG71" s="387" t="str">
        <f>IF($BF71="","",IFERROR(_xlfn.XLOOKUP($BF71,'Feeder Schedule'!$B$5:$B$254,'Feeder Schedule'!$A$5:$A$254),""))</f>
        <v/>
      </c>
      <c r="BH71" s="387" t="str">
        <f>IF($BF71="","",IFERROR(_xlfn.XLOOKUP($BF71,'Feeder Schedule'!$B$5:$B$254,'Feeder Schedule'!$O$5:$O$254),""))</f>
        <v/>
      </c>
      <c r="BI71" s="387" t="str">
        <f>IF($BF71="","",IFERROR(_xlfn.XLOOKUP($BF71,'Feeder Schedule'!$B$5:$B$254,'Feeder Schedule'!$P$5:$P$254),""))</f>
        <v/>
      </c>
      <c r="BJ71" s="387" t="str">
        <f>IF($BF71="","",IFERROR(_xlfn.XLOOKUP($BF71,'Feeder Schedule'!$B$5:$B$254,'Feeder Schedule'!$Q$5:$Q$254),""))</f>
        <v/>
      </c>
      <c r="BK71" s="387" t="str">
        <f>IF($BF71="","",IFERROR(_xlfn.XLOOKUP($BF71,'Feeder Schedule'!$B$5:$B$254,'Feeder Schedule'!$S$5:$S$254),""))</f>
        <v/>
      </c>
      <c r="BL71" s="387" t="str">
        <f>IF($BF71="","",IFERROR(_xlfn.XLOOKUP($BF71,'Feeder Schedule'!$B$5:$B$254,'Feeder Schedule'!$H$5:$H$254),""))</f>
        <v/>
      </c>
      <c r="BM71" s="534" t="str">
        <f>IF($BA71="","",'Short Circuit'!$J71)</f>
        <v/>
      </c>
      <c r="BN71" s="534" t="str">
        <f>IF($BA71="","",'Short Circuit'!$Q71)</f>
        <v/>
      </c>
      <c r="BO71" s="387" t="str">
        <f>IF($BA71="","",'Short Circuit'!$R71)</f>
        <v/>
      </c>
      <c r="BP71" s="535" t="str">
        <f>IF($BA71="","",'Short Circuit'!$S71)</f>
        <v/>
      </c>
      <c r="BQ71" s="387" t="str">
        <f>IF($BA71="","",'Short Circuit'!$T71)</f>
        <v/>
      </c>
      <c r="BR71" s="536" t="str">
        <f>IF($BA71="","",'Voltage Drop'!$G71)</f>
        <v/>
      </c>
      <c r="BS71" s="536" t="str">
        <f>IF($BA71="","",'Voltage Drop'!$H71)</f>
        <v/>
      </c>
      <c r="BT71" s="387" t="str">
        <f>IF($BA71="","",'Voltage Drop'!$K71)</f>
        <v/>
      </c>
      <c r="BU71" s="387" t="str">
        <f t="shared" ref="BU71:BU134" si="2">IF($BA71="","",IF($BC71=0,"— utility source —",IF(OR(ISNUMBER(SEARCH("FAIL",$BQ71&amp;$BT71))),"FAIL",IF(ISNUMBER(SEARCH("⚠",$BQ71&amp;$BT71)),"REVIEW","PASS"))))</f>
        <v/>
      </c>
      <c r="BV71" s="387"/>
      <c r="BW71" s="387" t="b">
        <f t="shared" ref="BW71:BW134" si="3">IF($BA71="",FALSE,AND(OR($B$3="All",$B$3="",$BC71=$B$3),OR($D$3="All",$D$3="",$BB71=$D$3),IF($F$3="Failures only",ISNUMBER(SEARCH("FAIL",$BQ71&amp;$BT71)),IF($F$3="Warnings &amp; failures only",OR(ISNUMBER(SEARCH("FAIL",$BQ71&amp;$BT71)),ISNUMBER(SEARCH("⚠",$BQ71&amp;$BT71))),TRUE))))</f>
        <v>0</v>
      </c>
    </row>
    <row r="72" spans="1:75" ht="15" customHeight="1" x14ac:dyDescent="0.45">
      <c r="A72" s="161"/>
      <c r="B72" s="389"/>
      <c r="C72" s="207"/>
      <c r="D72" s="208"/>
      <c r="E72" s="161"/>
      <c r="F72" s="389"/>
      <c r="G72" s="389"/>
      <c r="H72" s="389"/>
      <c r="I72" s="389"/>
      <c r="J72" s="389"/>
      <c r="K72" s="389"/>
      <c r="L72" s="209"/>
      <c r="M72" s="209"/>
      <c r="N72" s="209"/>
      <c r="O72" s="209"/>
      <c r="P72" s="209"/>
      <c r="Q72" s="161"/>
      <c r="R72" s="390"/>
      <c r="S72" s="390"/>
      <c r="T72" s="161"/>
      <c r="U72" s="389"/>
      <c r="BA72" s="387" t="str">
        <f>IF('Short Circuit'!$A72="","",'Short Circuit'!$A72)</f>
        <v/>
      </c>
      <c r="BB72" s="387" t="str">
        <f>IF($BA72="","",'Short Circuit'!$B72)</f>
        <v/>
      </c>
      <c r="BC72" s="387" t="str">
        <f>IF($BA72="","",'Short Circuit'!$C72)</f>
        <v/>
      </c>
      <c r="BD72" s="387" t="str">
        <f>IF($BA72="","",'Short Circuit'!$D72)</f>
        <v/>
      </c>
      <c r="BE72" s="387" t="str">
        <f>IF($BA72="","",'Short Circuit'!$E72)</f>
        <v/>
      </c>
      <c r="BF72" s="387" t="str">
        <f>IF($BA72="","",IFERROR(_xlfn.XLOOKUP("F-"&amp;$BA72,'Feeder Schedule'!$B$5:$B$254,'Feeder Schedule'!$B$5:$B$254),IFERROR(_xlfn.XLOOKUP($BA72,'Feeder Schedule'!$B$5:$B$254,'Feeder Schedule'!$B$5:$B$254),"")))</f>
        <v/>
      </c>
      <c r="BG72" s="387" t="str">
        <f>IF($BF72="","",IFERROR(_xlfn.XLOOKUP($BF72,'Feeder Schedule'!$B$5:$B$254,'Feeder Schedule'!$A$5:$A$254),""))</f>
        <v/>
      </c>
      <c r="BH72" s="387" t="str">
        <f>IF($BF72="","",IFERROR(_xlfn.XLOOKUP($BF72,'Feeder Schedule'!$B$5:$B$254,'Feeder Schedule'!$O$5:$O$254),""))</f>
        <v/>
      </c>
      <c r="BI72" s="387" t="str">
        <f>IF($BF72="","",IFERROR(_xlfn.XLOOKUP($BF72,'Feeder Schedule'!$B$5:$B$254,'Feeder Schedule'!$P$5:$P$254),""))</f>
        <v/>
      </c>
      <c r="BJ72" s="387" t="str">
        <f>IF($BF72="","",IFERROR(_xlfn.XLOOKUP($BF72,'Feeder Schedule'!$B$5:$B$254,'Feeder Schedule'!$Q$5:$Q$254),""))</f>
        <v/>
      </c>
      <c r="BK72" s="387" t="str">
        <f>IF($BF72="","",IFERROR(_xlfn.XLOOKUP($BF72,'Feeder Schedule'!$B$5:$B$254,'Feeder Schedule'!$S$5:$S$254),""))</f>
        <v/>
      </c>
      <c r="BL72" s="387" t="str">
        <f>IF($BF72="","",IFERROR(_xlfn.XLOOKUP($BF72,'Feeder Schedule'!$B$5:$B$254,'Feeder Schedule'!$H$5:$H$254),""))</f>
        <v/>
      </c>
      <c r="BM72" s="534" t="str">
        <f>IF($BA72="","",'Short Circuit'!$J72)</f>
        <v/>
      </c>
      <c r="BN72" s="534" t="str">
        <f>IF($BA72="","",'Short Circuit'!$Q72)</f>
        <v/>
      </c>
      <c r="BO72" s="387" t="str">
        <f>IF($BA72="","",'Short Circuit'!$R72)</f>
        <v/>
      </c>
      <c r="BP72" s="535" t="str">
        <f>IF($BA72="","",'Short Circuit'!$S72)</f>
        <v/>
      </c>
      <c r="BQ72" s="387" t="str">
        <f>IF($BA72="","",'Short Circuit'!$T72)</f>
        <v/>
      </c>
      <c r="BR72" s="536" t="str">
        <f>IF($BA72="","",'Voltage Drop'!$G72)</f>
        <v/>
      </c>
      <c r="BS72" s="536" t="str">
        <f>IF($BA72="","",'Voltage Drop'!$H72)</f>
        <v/>
      </c>
      <c r="BT72" s="387" t="str">
        <f>IF($BA72="","",'Voltage Drop'!$K72)</f>
        <v/>
      </c>
      <c r="BU72" s="387" t="str">
        <f t="shared" si="2"/>
        <v/>
      </c>
      <c r="BV72" s="387"/>
      <c r="BW72" s="387" t="b">
        <f t="shared" si="3"/>
        <v>0</v>
      </c>
    </row>
    <row r="73" spans="1:75" ht="15" customHeight="1" x14ac:dyDescent="0.45">
      <c r="A73" s="161"/>
      <c r="B73" s="389"/>
      <c r="C73" s="207"/>
      <c r="D73" s="208"/>
      <c r="E73" s="161"/>
      <c r="F73" s="389"/>
      <c r="G73" s="389"/>
      <c r="H73" s="389"/>
      <c r="I73" s="389"/>
      <c r="J73" s="389"/>
      <c r="K73" s="389"/>
      <c r="L73" s="209"/>
      <c r="M73" s="209"/>
      <c r="N73" s="209"/>
      <c r="O73" s="209"/>
      <c r="P73" s="209"/>
      <c r="Q73" s="161"/>
      <c r="R73" s="390"/>
      <c r="S73" s="390"/>
      <c r="T73" s="161"/>
      <c r="U73" s="389"/>
      <c r="BA73" s="387" t="str">
        <f>IF('Short Circuit'!$A73="","",'Short Circuit'!$A73)</f>
        <v/>
      </c>
      <c r="BB73" s="387" t="str">
        <f>IF($BA73="","",'Short Circuit'!$B73)</f>
        <v/>
      </c>
      <c r="BC73" s="387" t="str">
        <f>IF($BA73="","",'Short Circuit'!$C73)</f>
        <v/>
      </c>
      <c r="BD73" s="387" t="str">
        <f>IF($BA73="","",'Short Circuit'!$D73)</f>
        <v/>
      </c>
      <c r="BE73" s="387" t="str">
        <f>IF($BA73="","",'Short Circuit'!$E73)</f>
        <v/>
      </c>
      <c r="BF73" s="387" t="str">
        <f>IF($BA73="","",IFERROR(_xlfn.XLOOKUP("F-"&amp;$BA73,'Feeder Schedule'!$B$5:$B$254,'Feeder Schedule'!$B$5:$B$254),IFERROR(_xlfn.XLOOKUP($BA73,'Feeder Schedule'!$B$5:$B$254,'Feeder Schedule'!$B$5:$B$254),"")))</f>
        <v/>
      </c>
      <c r="BG73" s="387" t="str">
        <f>IF($BF73="","",IFERROR(_xlfn.XLOOKUP($BF73,'Feeder Schedule'!$B$5:$B$254,'Feeder Schedule'!$A$5:$A$254),""))</f>
        <v/>
      </c>
      <c r="BH73" s="387" t="str">
        <f>IF($BF73="","",IFERROR(_xlfn.XLOOKUP($BF73,'Feeder Schedule'!$B$5:$B$254,'Feeder Schedule'!$O$5:$O$254),""))</f>
        <v/>
      </c>
      <c r="BI73" s="387" t="str">
        <f>IF($BF73="","",IFERROR(_xlfn.XLOOKUP($BF73,'Feeder Schedule'!$B$5:$B$254,'Feeder Schedule'!$P$5:$P$254),""))</f>
        <v/>
      </c>
      <c r="BJ73" s="387" t="str">
        <f>IF($BF73="","",IFERROR(_xlfn.XLOOKUP($BF73,'Feeder Schedule'!$B$5:$B$254,'Feeder Schedule'!$Q$5:$Q$254),""))</f>
        <v/>
      </c>
      <c r="BK73" s="387" t="str">
        <f>IF($BF73="","",IFERROR(_xlfn.XLOOKUP($BF73,'Feeder Schedule'!$B$5:$B$254,'Feeder Schedule'!$S$5:$S$254),""))</f>
        <v/>
      </c>
      <c r="BL73" s="387" t="str">
        <f>IF($BF73="","",IFERROR(_xlfn.XLOOKUP($BF73,'Feeder Schedule'!$B$5:$B$254,'Feeder Schedule'!$H$5:$H$254),""))</f>
        <v/>
      </c>
      <c r="BM73" s="534" t="str">
        <f>IF($BA73="","",'Short Circuit'!$J73)</f>
        <v/>
      </c>
      <c r="BN73" s="534" t="str">
        <f>IF($BA73="","",'Short Circuit'!$Q73)</f>
        <v/>
      </c>
      <c r="BO73" s="387" t="str">
        <f>IF($BA73="","",'Short Circuit'!$R73)</f>
        <v/>
      </c>
      <c r="BP73" s="535" t="str">
        <f>IF($BA73="","",'Short Circuit'!$S73)</f>
        <v/>
      </c>
      <c r="BQ73" s="387" t="str">
        <f>IF($BA73="","",'Short Circuit'!$T73)</f>
        <v/>
      </c>
      <c r="BR73" s="536" t="str">
        <f>IF($BA73="","",'Voltage Drop'!$G73)</f>
        <v/>
      </c>
      <c r="BS73" s="536" t="str">
        <f>IF($BA73="","",'Voltage Drop'!$H73)</f>
        <v/>
      </c>
      <c r="BT73" s="387" t="str">
        <f>IF($BA73="","",'Voltage Drop'!$K73)</f>
        <v/>
      </c>
      <c r="BU73" s="387" t="str">
        <f t="shared" si="2"/>
        <v/>
      </c>
      <c r="BV73" s="387"/>
      <c r="BW73" s="387" t="b">
        <f t="shared" si="3"/>
        <v>0</v>
      </c>
    </row>
    <row r="74" spans="1:75" ht="15" customHeight="1" x14ac:dyDescent="0.45">
      <c r="A74" s="161"/>
      <c r="B74" s="389"/>
      <c r="C74" s="207"/>
      <c r="D74" s="208"/>
      <c r="E74" s="161"/>
      <c r="F74" s="389"/>
      <c r="G74" s="389"/>
      <c r="H74" s="389"/>
      <c r="I74" s="389"/>
      <c r="J74" s="389"/>
      <c r="K74" s="389"/>
      <c r="L74" s="209"/>
      <c r="M74" s="209"/>
      <c r="N74" s="209"/>
      <c r="O74" s="209"/>
      <c r="P74" s="209"/>
      <c r="Q74" s="161"/>
      <c r="R74" s="390"/>
      <c r="S74" s="390"/>
      <c r="T74" s="161"/>
      <c r="U74" s="389"/>
      <c r="BA74" s="387" t="str">
        <f>IF('Short Circuit'!$A74="","",'Short Circuit'!$A74)</f>
        <v/>
      </c>
      <c r="BB74" s="387" t="str">
        <f>IF($BA74="","",'Short Circuit'!$B74)</f>
        <v/>
      </c>
      <c r="BC74" s="387" t="str">
        <f>IF($BA74="","",'Short Circuit'!$C74)</f>
        <v/>
      </c>
      <c r="BD74" s="387" t="str">
        <f>IF($BA74="","",'Short Circuit'!$D74)</f>
        <v/>
      </c>
      <c r="BE74" s="387" t="str">
        <f>IF($BA74="","",'Short Circuit'!$E74)</f>
        <v/>
      </c>
      <c r="BF74" s="387" t="str">
        <f>IF($BA74="","",IFERROR(_xlfn.XLOOKUP("F-"&amp;$BA74,'Feeder Schedule'!$B$5:$B$254,'Feeder Schedule'!$B$5:$B$254),IFERROR(_xlfn.XLOOKUP($BA74,'Feeder Schedule'!$B$5:$B$254,'Feeder Schedule'!$B$5:$B$254),"")))</f>
        <v/>
      </c>
      <c r="BG74" s="387" t="str">
        <f>IF($BF74="","",IFERROR(_xlfn.XLOOKUP($BF74,'Feeder Schedule'!$B$5:$B$254,'Feeder Schedule'!$A$5:$A$254),""))</f>
        <v/>
      </c>
      <c r="BH74" s="387" t="str">
        <f>IF($BF74="","",IFERROR(_xlfn.XLOOKUP($BF74,'Feeder Schedule'!$B$5:$B$254,'Feeder Schedule'!$O$5:$O$254),""))</f>
        <v/>
      </c>
      <c r="BI74" s="387" t="str">
        <f>IF($BF74="","",IFERROR(_xlfn.XLOOKUP($BF74,'Feeder Schedule'!$B$5:$B$254,'Feeder Schedule'!$P$5:$P$254),""))</f>
        <v/>
      </c>
      <c r="BJ74" s="387" t="str">
        <f>IF($BF74="","",IFERROR(_xlfn.XLOOKUP($BF74,'Feeder Schedule'!$B$5:$B$254,'Feeder Schedule'!$Q$5:$Q$254),""))</f>
        <v/>
      </c>
      <c r="BK74" s="387" t="str">
        <f>IF($BF74="","",IFERROR(_xlfn.XLOOKUP($BF74,'Feeder Schedule'!$B$5:$B$254,'Feeder Schedule'!$S$5:$S$254),""))</f>
        <v/>
      </c>
      <c r="BL74" s="387" t="str">
        <f>IF($BF74="","",IFERROR(_xlfn.XLOOKUP($BF74,'Feeder Schedule'!$B$5:$B$254,'Feeder Schedule'!$H$5:$H$254),""))</f>
        <v/>
      </c>
      <c r="BM74" s="534" t="str">
        <f>IF($BA74="","",'Short Circuit'!$J74)</f>
        <v/>
      </c>
      <c r="BN74" s="534" t="str">
        <f>IF($BA74="","",'Short Circuit'!$Q74)</f>
        <v/>
      </c>
      <c r="BO74" s="387" t="str">
        <f>IF($BA74="","",'Short Circuit'!$R74)</f>
        <v/>
      </c>
      <c r="BP74" s="535" t="str">
        <f>IF($BA74="","",'Short Circuit'!$S74)</f>
        <v/>
      </c>
      <c r="BQ74" s="387" t="str">
        <f>IF($BA74="","",'Short Circuit'!$T74)</f>
        <v/>
      </c>
      <c r="BR74" s="536" t="str">
        <f>IF($BA74="","",'Voltage Drop'!$G74)</f>
        <v/>
      </c>
      <c r="BS74" s="536" t="str">
        <f>IF($BA74="","",'Voltage Drop'!$H74)</f>
        <v/>
      </c>
      <c r="BT74" s="387" t="str">
        <f>IF($BA74="","",'Voltage Drop'!$K74)</f>
        <v/>
      </c>
      <c r="BU74" s="387" t="str">
        <f t="shared" si="2"/>
        <v/>
      </c>
      <c r="BV74" s="387"/>
      <c r="BW74" s="387" t="b">
        <f t="shared" si="3"/>
        <v>0</v>
      </c>
    </row>
    <row r="75" spans="1:75" ht="15" customHeight="1" x14ac:dyDescent="0.45">
      <c r="A75" s="161"/>
      <c r="B75" s="389"/>
      <c r="C75" s="207"/>
      <c r="D75" s="208"/>
      <c r="E75" s="161"/>
      <c r="F75" s="389"/>
      <c r="G75" s="389"/>
      <c r="H75" s="389"/>
      <c r="I75" s="389"/>
      <c r="J75" s="389"/>
      <c r="K75" s="389"/>
      <c r="L75" s="209"/>
      <c r="M75" s="209"/>
      <c r="N75" s="209"/>
      <c r="O75" s="209"/>
      <c r="P75" s="209"/>
      <c r="Q75" s="161"/>
      <c r="R75" s="390"/>
      <c r="S75" s="390"/>
      <c r="T75" s="161"/>
      <c r="U75" s="389"/>
      <c r="BA75" s="387" t="str">
        <f>IF('Short Circuit'!$A75="","",'Short Circuit'!$A75)</f>
        <v/>
      </c>
      <c r="BB75" s="387" t="str">
        <f>IF($BA75="","",'Short Circuit'!$B75)</f>
        <v/>
      </c>
      <c r="BC75" s="387" t="str">
        <f>IF($BA75="","",'Short Circuit'!$C75)</f>
        <v/>
      </c>
      <c r="BD75" s="387" t="str">
        <f>IF($BA75="","",'Short Circuit'!$D75)</f>
        <v/>
      </c>
      <c r="BE75" s="387" t="str">
        <f>IF($BA75="","",'Short Circuit'!$E75)</f>
        <v/>
      </c>
      <c r="BF75" s="387" t="str">
        <f>IF($BA75="","",IFERROR(_xlfn.XLOOKUP("F-"&amp;$BA75,'Feeder Schedule'!$B$5:$B$254,'Feeder Schedule'!$B$5:$B$254),IFERROR(_xlfn.XLOOKUP($BA75,'Feeder Schedule'!$B$5:$B$254,'Feeder Schedule'!$B$5:$B$254),"")))</f>
        <v/>
      </c>
      <c r="BG75" s="387" t="str">
        <f>IF($BF75="","",IFERROR(_xlfn.XLOOKUP($BF75,'Feeder Schedule'!$B$5:$B$254,'Feeder Schedule'!$A$5:$A$254),""))</f>
        <v/>
      </c>
      <c r="BH75" s="387" t="str">
        <f>IF($BF75="","",IFERROR(_xlfn.XLOOKUP($BF75,'Feeder Schedule'!$B$5:$B$254,'Feeder Schedule'!$O$5:$O$254),""))</f>
        <v/>
      </c>
      <c r="BI75" s="387" t="str">
        <f>IF($BF75="","",IFERROR(_xlfn.XLOOKUP($BF75,'Feeder Schedule'!$B$5:$B$254,'Feeder Schedule'!$P$5:$P$254),""))</f>
        <v/>
      </c>
      <c r="BJ75" s="387" t="str">
        <f>IF($BF75="","",IFERROR(_xlfn.XLOOKUP($BF75,'Feeder Schedule'!$B$5:$B$254,'Feeder Schedule'!$Q$5:$Q$254),""))</f>
        <v/>
      </c>
      <c r="BK75" s="387" t="str">
        <f>IF($BF75="","",IFERROR(_xlfn.XLOOKUP($BF75,'Feeder Schedule'!$B$5:$B$254,'Feeder Schedule'!$S$5:$S$254),""))</f>
        <v/>
      </c>
      <c r="BL75" s="387" t="str">
        <f>IF($BF75="","",IFERROR(_xlfn.XLOOKUP($BF75,'Feeder Schedule'!$B$5:$B$254,'Feeder Schedule'!$H$5:$H$254),""))</f>
        <v/>
      </c>
      <c r="BM75" s="534" t="str">
        <f>IF($BA75="","",'Short Circuit'!$J75)</f>
        <v/>
      </c>
      <c r="BN75" s="534" t="str">
        <f>IF($BA75="","",'Short Circuit'!$Q75)</f>
        <v/>
      </c>
      <c r="BO75" s="387" t="str">
        <f>IF($BA75="","",'Short Circuit'!$R75)</f>
        <v/>
      </c>
      <c r="BP75" s="535" t="str">
        <f>IF($BA75="","",'Short Circuit'!$S75)</f>
        <v/>
      </c>
      <c r="BQ75" s="387" t="str">
        <f>IF($BA75="","",'Short Circuit'!$T75)</f>
        <v/>
      </c>
      <c r="BR75" s="536" t="str">
        <f>IF($BA75="","",'Voltage Drop'!$G75)</f>
        <v/>
      </c>
      <c r="BS75" s="536" t="str">
        <f>IF($BA75="","",'Voltage Drop'!$H75)</f>
        <v/>
      </c>
      <c r="BT75" s="387" t="str">
        <f>IF($BA75="","",'Voltage Drop'!$K75)</f>
        <v/>
      </c>
      <c r="BU75" s="387" t="str">
        <f t="shared" si="2"/>
        <v/>
      </c>
      <c r="BV75" s="387"/>
      <c r="BW75" s="387" t="b">
        <f t="shared" si="3"/>
        <v>0</v>
      </c>
    </row>
    <row r="76" spans="1:75" ht="15" customHeight="1" x14ac:dyDescent="0.45">
      <c r="A76" s="161"/>
      <c r="B76" s="389"/>
      <c r="C76" s="207"/>
      <c r="D76" s="208"/>
      <c r="E76" s="161"/>
      <c r="F76" s="389"/>
      <c r="G76" s="389"/>
      <c r="H76" s="389"/>
      <c r="I76" s="389"/>
      <c r="J76" s="389"/>
      <c r="K76" s="389"/>
      <c r="L76" s="209"/>
      <c r="M76" s="209"/>
      <c r="N76" s="209"/>
      <c r="O76" s="209"/>
      <c r="P76" s="209"/>
      <c r="Q76" s="161"/>
      <c r="R76" s="390"/>
      <c r="S76" s="390"/>
      <c r="T76" s="161"/>
      <c r="U76" s="389"/>
      <c r="BA76" s="387" t="str">
        <f>IF('Short Circuit'!$A76="","",'Short Circuit'!$A76)</f>
        <v/>
      </c>
      <c r="BB76" s="387" t="str">
        <f>IF($BA76="","",'Short Circuit'!$B76)</f>
        <v/>
      </c>
      <c r="BC76" s="387" t="str">
        <f>IF($BA76="","",'Short Circuit'!$C76)</f>
        <v/>
      </c>
      <c r="BD76" s="387" t="str">
        <f>IF($BA76="","",'Short Circuit'!$D76)</f>
        <v/>
      </c>
      <c r="BE76" s="387" t="str">
        <f>IF($BA76="","",'Short Circuit'!$E76)</f>
        <v/>
      </c>
      <c r="BF76" s="387" t="str">
        <f>IF($BA76="","",IFERROR(_xlfn.XLOOKUP("F-"&amp;$BA76,'Feeder Schedule'!$B$5:$B$254,'Feeder Schedule'!$B$5:$B$254),IFERROR(_xlfn.XLOOKUP($BA76,'Feeder Schedule'!$B$5:$B$254,'Feeder Schedule'!$B$5:$B$254),"")))</f>
        <v/>
      </c>
      <c r="BG76" s="387" t="str">
        <f>IF($BF76="","",IFERROR(_xlfn.XLOOKUP($BF76,'Feeder Schedule'!$B$5:$B$254,'Feeder Schedule'!$A$5:$A$254),""))</f>
        <v/>
      </c>
      <c r="BH76" s="387" t="str">
        <f>IF($BF76="","",IFERROR(_xlfn.XLOOKUP($BF76,'Feeder Schedule'!$B$5:$B$254,'Feeder Schedule'!$O$5:$O$254),""))</f>
        <v/>
      </c>
      <c r="BI76" s="387" t="str">
        <f>IF($BF76="","",IFERROR(_xlfn.XLOOKUP($BF76,'Feeder Schedule'!$B$5:$B$254,'Feeder Schedule'!$P$5:$P$254),""))</f>
        <v/>
      </c>
      <c r="BJ76" s="387" t="str">
        <f>IF($BF76="","",IFERROR(_xlfn.XLOOKUP($BF76,'Feeder Schedule'!$B$5:$B$254,'Feeder Schedule'!$Q$5:$Q$254),""))</f>
        <v/>
      </c>
      <c r="BK76" s="387" t="str">
        <f>IF($BF76="","",IFERROR(_xlfn.XLOOKUP($BF76,'Feeder Schedule'!$B$5:$B$254,'Feeder Schedule'!$S$5:$S$254),""))</f>
        <v/>
      </c>
      <c r="BL76" s="387" t="str">
        <f>IF($BF76="","",IFERROR(_xlfn.XLOOKUP($BF76,'Feeder Schedule'!$B$5:$B$254,'Feeder Schedule'!$H$5:$H$254),""))</f>
        <v/>
      </c>
      <c r="BM76" s="534" t="str">
        <f>IF($BA76="","",'Short Circuit'!$J76)</f>
        <v/>
      </c>
      <c r="BN76" s="534" t="str">
        <f>IF($BA76="","",'Short Circuit'!$Q76)</f>
        <v/>
      </c>
      <c r="BO76" s="387" t="str">
        <f>IF($BA76="","",'Short Circuit'!$R76)</f>
        <v/>
      </c>
      <c r="BP76" s="535" t="str">
        <f>IF($BA76="","",'Short Circuit'!$S76)</f>
        <v/>
      </c>
      <c r="BQ76" s="387" t="str">
        <f>IF($BA76="","",'Short Circuit'!$T76)</f>
        <v/>
      </c>
      <c r="BR76" s="536" t="str">
        <f>IF($BA76="","",'Voltage Drop'!$G76)</f>
        <v/>
      </c>
      <c r="BS76" s="536" t="str">
        <f>IF($BA76="","",'Voltage Drop'!$H76)</f>
        <v/>
      </c>
      <c r="BT76" s="387" t="str">
        <f>IF($BA76="","",'Voltage Drop'!$K76)</f>
        <v/>
      </c>
      <c r="BU76" s="387" t="str">
        <f t="shared" si="2"/>
        <v/>
      </c>
      <c r="BV76" s="387"/>
      <c r="BW76" s="387" t="b">
        <f t="shared" si="3"/>
        <v>0</v>
      </c>
    </row>
    <row r="77" spans="1:75" ht="15" customHeight="1" x14ac:dyDescent="0.45">
      <c r="A77" s="161"/>
      <c r="B77" s="389"/>
      <c r="C77" s="207"/>
      <c r="D77" s="208"/>
      <c r="E77" s="161"/>
      <c r="F77" s="389"/>
      <c r="G77" s="389"/>
      <c r="H77" s="389"/>
      <c r="I77" s="389"/>
      <c r="J77" s="389"/>
      <c r="K77" s="389"/>
      <c r="L77" s="209"/>
      <c r="M77" s="209"/>
      <c r="N77" s="209"/>
      <c r="O77" s="209"/>
      <c r="P77" s="209"/>
      <c r="Q77" s="161"/>
      <c r="R77" s="390"/>
      <c r="S77" s="390"/>
      <c r="T77" s="161"/>
      <c r="U77" s="389"/>
      <c r="BA77" s="387" t="str">
        <f>IF('Short Circuit'!$A77="","",'Short Circuit'!$A77)</f>
        <v/>
      </c>
      <c r="BB77" s="387" t="str">
        <f>IF($BA77="","",'Short Circuit'!$B77)</f>
        <v/>
      </c>
      <c r="BC77" s="387" t="str">
        <f>IF($BA77="","",'Short Circuit'!$C77)</f>
        <v/>
      </c>
      <c r="BD77" s="387" t="str">
        <f>IF($BA77="","",'Short Circuit'!$D77)</f>
        <v/>
      </c>
      <c r="BE77" s="387" t="str">
        <f>IF($BA77="","",'Short Circuit'!$E77)</f>
        <v/>
      </c>
      <c r="BF77" s="387" t="str">
        <f>IF($BA77="","",IFERROR(_xlfn.XLOOKUP("F-"&amp;$BA77,'Feeder Schedule'!$B$5:$B$254,'Feeder Schedule'!$B$5:$B$254),IFERROR(_xlfn.XLOOKUP($BA77,'Feeder Schedule'!$B$5:$B$254,'Feeder Schedule'!$B$5:$B$254),"")))</f>
        <v/>
      </c>
      <c r="BG77" s="387" t="str">
        <f>IF($BF77="","",IFERROR(_xlfn.XLOOKUP($BF77,'Feeder Schedule'!$B$5:$B$254,'Feeder Schedule'!$A$5:$A$254),""))</f>
        <v/>
      </c>
      <c r="BH77" s="387" t="str">
        <f>IF($BF77="","",IFERROR(_xlfn.XLOOKUP($BF77,'Feeder Schedule'!$B$5:$B$254,'Feeder Schedule'!$O$5:$O$254),""))</f>
        <v/>
      </c>
      <c r="BI77" s="387" t="str">
        <f>IF($BF77="","",IFERROR(_xlfn.XLOOKUP($BF77,'Feeder Schedule'!$B$5:$B$254,'Feeder Schedule'!$P$5:$P$254),""))</f>
        <v/>
      </c>
      <c r="BJ77" s="387" t="str">
        <f>IF($BF77="","",IFERROR(_xlfn.XLOOKUP($BF77,'Feeder Schedule'!$B$5:$B$254,'Feeder Schedule'!$Q$5:$Q$254),""))</f>
        <v/>
      </c>
      <c r="BK77" s="387" t="str">
        <f>IF($BF77="","",IFERROR(_xlfn.XLOOKUP($BF77,'Feeder Schedule'!$B$5:$B$254,'Feeder Schedule'!$S$5:$S$254),""))</f>
        <v/>
      </c>
      <c r="BL77" s="387" t="str">
        <f>IF($BF77="","",IFERROR(_xlfn.XLOOKUP($BF77,'Feeder Schedule'!$B$5:$B$254,'Feeder Schedule'!$H$5:$H$254),""))</f>
        <v/>
      </c>
      <c r="BM77" s="534" t="str">
        <f>IF($BA77="","",'Short Circuit'!$J77)</f>
        <v/>
      </c>
      <c r="BN77" s="534" t="str">
        <f>IF($BA77="","",'Short Circuit'!$Q77)</f>
        <v/>
      </c>
      <c r="BO77" s="387" t="str">
        <f>IF($BA77="","",'Short Circuit'!$R77)</f>
        <v/>
      </c>
      <c r="BP77" s="535" t="str">
        <f>IF($BA77="","",'Short Circuit'!$S77)</f>
        <v/>
      </c>
      <c r="BQ77" s="387" t="str">
        <f>IF($BA77="","",'Short Circuit'!$T77)</f>
        <v/>
      </c>
      <c r="BR77" s="536" t="str">
        <f>IF($BA77="","",'Voltage Drop'!$G77)</f>
        <v/>
      </c>
      <c r="BS77" s="536" t="str">
        <f>IF($BA77="","",'Voltage Drop'!$H77)</f>
        <v/>
      </c>
      <c r="BT77" s="387" t="str">
        <f>IF($BA77="","",'Voltage Drop'!$K77)</f>
        <v/>
      </c>
      <c r="BU77" s="387" t="str">
        <f t="shared" si="2"/>
        <v/>
      </c>
      <c r="BV77" s="387"/>
      <c r="BW77" s="387" t="b">
        <f t="shared" si="3"/>
        <v>0</v>
      </c>
    </row>
    <row r="78" spans="1:75" ht="15" customHeight="1" x14ac:dyDescent="0.45">
      <c r="A78" s="161"/>
      <c r="B78" s="389"/>
      <c r="C78" s="207"/>
      <c r="D78" s="208"/>
      <c r="E78" s="161"/>
      <c r="F78" s="389"/>
      <c r="G78" s="389"/>
      <c r="H78" s="389"/>
      <c r="I78" s="389"/>
      <c r="J78" s="389"/>
      <c r="K78" s="389"/>
      <c r="L78" s="209"/>
      <c r="M78" s="209"/>
      <c r="N78" s="209"/>
      <c r="O78" s="209"/>
      <c r="P78" s="209"/>
      <c r="Q78" s="161"/>
      <c r="R78" s="390"/>
      <c r="S78" s="390"/>
      <c r="T78" s="161"/>
      <c r="U78" s="389"/>
      <c r="BA78" s="387" t="str">
        <f>IF('Short Circuit'!$A78="","",'Short Circuit'!$A78)</f>
        <v/>
      </c>
      <c r="BB78" s="387" t="str">
        <f>IF($BA78="","",'Short Circuit'!$B78)</f>
        <v/>
      </c>
      <c r="BC78" s="387" t="str">
        <f>IF($BA78="","",'Short Circuit'!$C78)</f>
        <v/>
      </c>
      <c r="BD78" s="387" t="str">
        <f>IF($BA78="","",'Short Circuit'!$D78)</f>
        <v/>
      </c>
      <c r="BE78" s="387" t="str">
        <f>IF($BA78="","",'Short Circuit'!$E78)</f>
        <v/>
      </c>
      <c r="BF78" s="387" t="str">
        <f>IF($BA78="","",IFERROR(_xlfn.XLOOKUP("F-"&amp;$BA78,'Feeder Schedule'!$B$5:$B$254,'Feeder Schedule'!$B$5:$B$254),IFERROR(_xlfn.XLOOKUP($BA78,'Feeder Schedule'!$B$5:$B$254,'Feeder Schedule'!$B$5:$B$254),"")))</f>
        <v/>
      </c>
      <c r="BG78" s="387" t="str">
        <f>IF($BF78="","",IFERROR(_xlfn.XLOOKUP($BF78,'Feeder Schedule'!$B$5:$B$254,'Feeder Schedule'!$A$5:$A$254),""))</f>
        <v/>
      </c>
      <c r="BH78" s="387" t="str">
        <f>IF($BF78="","",IFERROR(_xlfn.XLOOKUP($BF78,'Feeder Schedule'!$B$5:$B$254,'Feeder Schedule'!$O$5:$O$254),""))</f>
        <v/>
      </c>
      <c r="BI78" s="387" t="str">
        <f>IF($BF78="","",IFERROR(_xlfn.XLOOKUP($BF78,'Feeder Schedule'!$B$5:$B$254,'Feeder Schedule'!$P$5:$P$254),""))</f>
        <v/>
      </c>
      <c r="BJ78" s="387" t="str">
        <f>IF($BF78="","",IFERROR(_xlfn.XLOOKUP($BF78,'Feeder Schedule'!$B$5:$B$254,'Feeder Schedule'!$Q$5:$Q$254),""))</f>
        <v/>
      </c>
      <c r="BK78" s="387" t="str">
        <f>IF($BF78="","",IFERROR(_xlfn.XLOOKUP($BF78,'Feeder Schedule'!$B$5:$B$254,'Feeder Schedule'!$S$5:$S$254),""))</f>
        <v/>
      </c>
      <c r="BL78" s="387" t="str">
        <f>IF($BF78="","",IFERROR(_xlfn.XLOOKUP($BF78,'Feeder Schedule'!$B$5:$B$254,'Feeder Schedule'!$H$5:$H$254),""))</f>
        <v/>
      </c>
      <c r="BM78" s="534" t="str">
        <f>IF($BA78="","",'Short Circuit'!$J78)</f>
        <v/>
      </c>
      <c r="BN78" s="534" t="str">
        <f>IF($BA78="","",'Short Circuit'!$Q78)</f>
        <v/>
      </c>
      <c r="BO78" s="387" t="str">
        <f>IF($BA78="","",'Short Circuit'!$R78)</f>
        <v/>
      </c>
      <c r="BP78" s="535" t="str">
        <f>IF($BA78="","",'Short Circuit'!$S78)</f>
        <v/>
      </c>
      <c r="BQ78" s="387" t="str">
        <f>IF($BA78="","",'Short Circuit'!$T78)</f>
        <v/>
      </c>
      <c r="BR78" s="536" t="str">
        <f>IF($BA78="","",'Voltage Drop'!$G78)</f>
        <v/>
      </c>
      <c r="BS78" s="536" t="str">
        <f>IF($BA78="","",'Voltage Drop'!$H78)</f>
        <v/>
      </c>
      <c r="BT78" s="387" t="str">
        <f>IF($BA78="","",'Voltage Drop'!$K78)</f>
        <v/>
      </c>
      <c r="BU78" s="387" t="str">
        <f t="shared" si="2"/>
        <v/>
      </c>
      <c r="BV78" s="387"/>
      <c r="BW78" s="387" t="b">
        <f t="shared" si="3"/>
        <v>0</v>
      </c>
    </row>
    <row r="79" spans="1:75" ht="15" customHeight="1" x14ac:dyDescent="0.45">
      <c r="A79" s="161"/>
      <c r="B79" s="389"/>
      <c r="C79" s="207"/>
      <c r="D79" s="208"/>
      <c r="E79" s="161"/>
      <c r="F79" s="389"/>
      <c r="G79" s="389"/>
      <c r="H79" s="389"/>
      <c r="I79" s="389"/>
      <c r="J79" s="389"/>
      <c r="K79" s="389"/>
      <c r="L79" s="209"/>
      <c r="M79" s="209"/>
      <c r="N79" s="209"/>
      <c r="O79" s="209"/>
      <c r="P79" s="209"/>
      <c r="Q79" s="161"/>
      <c r="R79" s="390"/>
      <c r="S79" s="390"/>
      <c r="T79" s="161"/>
      <c r="U79" s="389"/>
      <c r="BA79" s="387" t="str">
        <f>IF('Short Circuit'!$A79="","",'Short Circuit'!$A79)</f>
        <v/>
      </c>
      <c r="BB79" s="387" t="str">
        <f>IF($BA79="","",'Short Circuit'!$B79)</f>
        <v/>
      </c>
      <c r="BC79" s="387" t="str">
        <f>IF($BA79="","",'Short Circuit'!$C79)</f>
        <v/>
      </c>
      <c r="BD79" s="387" t="str">
        <f>IF($BA79="","",'Short Circuit'!$D79)</f>
        <v/>
      </c>
      <c r="BE79" s="387" t="str">
        <f>IF($BA79="","",'Short Circuit'!$E79)</f>
        <v/>
      </c>
      <c r="BF79" s="387" t="str">
        <f>IF($BA79="","",IFERROR(_xlfn.XLOOKUP("F-"&amp;$BA79,'Feeder Schedule'!$B$5:$B$254,'Feeder Schedule'!$B$5:$B$254),IFERROR(_xlfn.XLOOKUP($BA79,'Feeder Schedule'!$B$5:$B$254,'Feeder Schedule'!$B$5:$B$254),"")))</f>
        <v/>
      </c>
      <c r="BG79" s="387" t="str">
        <f>IF($BF79="","",IFERROR(_xlfn.XLOOKUP($BF79,'Feeder Schedule'!$B$5:$B$254,'Feeder Schedule'!$A$5:$A$254),""))</f>
        <v/>
      </c>
      <c r="BH79" s="387" t="str">
        <f>IF($BF79="","",IFERROR(_xlfn.XLOOKUP($BF79,'Feeder Schedule'!$B$5:$B$254,'Feeder Schedule'!$O$5:$O$254),""))</f>
        <v/>
      </c>
      <c r="BI79" s="387" t="str">
        <f>IF($BF79="","",IFERROR(_xlfn.XLOOKUP($BF79,'Feeder Schedule'!$B$5:$B$254,'Feeder Schedule'!$P$5:$P$254),""))</f>
        <v/>
      </c>
      <c r="BJ79" s="387" t="str">
        <f>IF($BF79="","",IFERROR(_xlfn.XLOOKUP($BF79,'Feeder Schedule'!$B$5:$B$254,'Feeder Schedule'!$Q$5:$Q$254),""))</f>
        <v/>
      </c>
      <c r="BK79" s="387" t="str">
        <f>IF($BF79="","",IFERROR(_xlfn.XLOOKUP($BF79,'Feeder Schedule'!$B$5:$B$254,'Feeder Schedule'!$S$5:$S$254),""))</f>
        <v/>
      </c>
      <c r="BL79" s="387" t="str">
        <f>IF($BF79="","",IFERROR(_xlfn.XLOOKUP($BF79,'Feeder Schedule'!$B$5:$B$254,'Feeder Schedule'!$H$5:$H$254),""))</f>
        <v/>
      </c>
      <c r="BM79" s="534" t="str">
        <f>IF($BA79="","",'Short Circuit'!$J79)</f>
        <v/>
      </c>
      <c r="BN79" s="534" t="str">
        <f>IF($BA79="","",'Short Circuit'!$Q79)</f>
        <v/>
      </c>
      <c r="BO79" s="387" t="str">
        <f>IF($BA79="","",'Short Circuit'!$R79)</f>
        <v/>
      </c>
      <c r="BP79" s="535" t="str">
        <f>IF($BA79="","",'Short Circuit'!$S79)</f>
        <v/>
      </c>
      <c r="BQ79" s="387" t="str">
        <f>IF($BA79="","",'Short Circuit'!$T79)</f>
        <v/>
      </c>
      <c r="BR79" s="536" t="str">
        <f>IF($BA79="","",'Voltage Drop'!$G79)</f>
        <v/>
      </c>
      <c r="BS79" s="536" t="str">
        <f>IF($BA79="","",'Voltage Drop'!$H79)</f>
        <v/>
      </c>
      <c r="BT79" s="387" t="str">
        <f>IF($BA79="","",'Voltage Drop'!$K79)</f>
        <v/>
      </c>
      <c r="BU79" s="387" t="str">
        <f t="shared" si="2"/>
        <v/>
      </c>
      <c r="BV79" s="387"/>
      <c r="BW79" s="387" t="b">
        <f t="shared" si="3"/>
        <v>0</v>
      </c>
    </row>
    <row r="80" spans="1:75" ht="15" customHeight="1" x14ac:dyDescent="0.45">
      <c r="A80" s="161"/>
      <c r="B80" s="389"/>
      <c r="C80" s="207"/>
      <c r="D80" s="208"/>
      <c r="E80" s="161"/>
      <c r="F80" s="389"/>
      <c r="G80" s="389"/>
      <c r="H80" s="389"/>
      <c r="I80" s="389"/>
      <c r="J80" s="389"/>
      <c r="K80" s="389"/>
      <c r="L80" s="209"/>
      <c r="M80" s="209"/>
      <c r="N80" s="209"/>
      <c r="O80" s="209"/>
      <c r="P80" s="209"/>
      <c r="Q80" s="161"/>
      <c r="R80" s="390"/>
      <c r="S80" s="390"/>
      <c r="T80" s="161"/>
      <c r="U80" s="389"/>
      <c r="BA80" s="387" t="str">
        <f>IF('Short Circuit'!$A80="","",'Short Circuit'!$A80)</f>
        <v/>
      </c>
      <c r="BB80" s="387" t="str">
        <f>IF($BA80="","",'Short Circuit'!$B80)</f>
        <v/>
      </c>
      <c r="BC80" s="387" t="str">
        <f>IF($BA80="","",'Short Circuit'!$C80)</f>
        <v/>
      </c>
      <c r="BD80" s="387" t="str">
        <f>IF($BA80="","",'Short Circuit'!$D80)</f>
        <v/>
      </c>
      <c r="BE80" s="387" t="str">
        <f>IF($BA80="","",'Short Circuit'!$E80)</f>
        <v/>
      </c>
      <c r="BF80" s="387" t="str">
        <f>IF($BA80="","",IFERROR(_xlfn.XLOOKUP("F-"&amp;$BA80,'Feeder Schedule'!$B$5:$B$254,'Feeder Schedule'!$B$5:$B$254),IFERROR(_xlfn.XLOOKUP($BA80,'Feeder Schedule'!$B$5:$B$254,'Feeder Schedule'!$B$5:$B$254),"")))</f>
        <v/>
      </c>
      <c r="BG80" s="387" t="str">
        <f>IF($BF80="","",IFERROR(_xlfn.XLOOKUP($BF80,'Feeder Schedule'!$B$5:$B$254,'Feeder Schedule'!$A$5:$A$254),""))</f>
        <v/>
      </c>
      <c r="BH80" s="387" t="str">
        <f>IF($BF80="","",IFERROR(_xlfn.XLOOKUP($BF80,'Feeder Schedule'!$B$5:$B$254,'Feeder Schedule'!$O$5:$O$254),""))</f>
        <v/>
      </c>
      <c r="BI80" s="387" t="str">
        <f>IF($BF80="","",IFERROR(_xlfn.XLOOKUP($BF80,'Feeder Schedule'!$B$5:$B$254,'Feeder Schedule'!$P$5:$P$254),""))</f>
        <v/>
      </c>
      <c r="BJ80" s="387" t="str">
        <f>IF($BF80="","",IFERROR(_xlfn.XLOOKUP($BF80,'Feeder Schedule'!$B$5:$B$254,'Feeder Schedule'!$Q$5:$Q$254),""))</f>
        <v/>
      </c>
      <c r="BK80" s="387" t="str">
        <f>IF($BF80="","",IFERROR(_xlfn.XLOOKUP($BF80,'Feeder Schedule'!$B$5:$B$254,'Feeder Schedule'!$S$5:$S$254),""))</f>
        <v/>
      </c>
      <c r="BL80" s="387" t="str">
        <f>IF($BF80="","",IFERROR(_xlfn.XLOOKUP($BF80,'Feeder Schedule'!$B$5:$B$254,'Feeder Schedule'!$H$5:$H$254),""))</f>
        <v/>
      </c>
      <c r="BM80" s="534" t="str">
        <f>IF($BA80="","",'Short Circuit'!$J80)</f>
        <v/>
      </c>
      <c r="BN80" s="534" t="str">
        <f>IF($BA80="","",'Short Circuit'!$Q80)</f>
        <v/>
      </c>
      <c r="BO80" s="387" t="str">
        <f>IF($BA80="","",'Short Circuit'!$R80)</f>
        <v/>
      </c>
      <c r="BP80" s="535" t="str">
        <f>IF($BA80="","",'Short Circuit'!$S80)</f>
        <v/>
      </c>
      <c r="BQ80" s="387" t="str">
        <f>IF($BA80="","",'Short Circuit'!$T80)</f>
        <v/>
      </c>
      <c r="BR80" s="536" t="str">
        <f>IF($BA80="","",'Voltage Drop'!$G80)</f>
        <v/>
      </c>
      <c r="BS80" s="536" t="str">
        <f>IF($BA80="","",'Voltage Drop'!$H80)</f>
        <v/>
      </c>
      <c r="BT80" s="387" t="str">
        <f>IF($BA80="","",'Voltage Drop'!$K80)</f>
        <v/>
      </c>
      <c r="BU80" s="387" t="str">
        <f t="shared" si="2"/>
        <v/>
      </c>
      <c r="BV80" s="387"/>
      <c r="BW80" s="387" t="b">
        <f t="shared" si="3"/>
        <v>0</v>
      </c>
    </row>
    <row r="81" spans="1:75" ht="15" customHeight="1" x14ac:dyDescent="0.45">
      <c r="A81" s="161"/>
      <c r="B81" s="389"/>
      <c r="C81" s="207"/>
      <c r="D81" s="208"/>
      <c r="E81" s="161"/>
      <c r="F81" s="389"/>
      <c r="G81" s="389"/>
      <c r="H81" s="389"/>
      <c r="I81" s="389"/>
      <c r="J81" s="389"/>
      <c r="K81" s="389"/>
      <c r="L81" s="209"/>
      <c r="M81" s="209"/>
      <c r="N81" s="209"/>
      <c r="O81" s="209"/>
      <c r="P81" s="209"/>
      <c r="Q81" s="161"/>
      <c r="R81" s="390"/>
      <c r="S81" s="390"/>
      <c r="T81" s="161"/>
      <c r="U81" s="389"/>
      <c r="BA81" s="387" t="str">
        <f>IF('Short Circuit'!$A81="","",'Short Circuit'!$A81)</f>
        <v/>
      </c>
      <c r="BB81" s="387" t="str">
        <f>IF($BA81="","",'Short Circuit'!$B81)</f>
        <v/>
      </c>
      <c r="BC81" s="387" t="str">
        <f>IF($BA81="","",'Short Circuit'!$C81)</f>
        <v/>
      </c>
      <c r="BD81" s="387" t="str">
        <f>IF($BA81="","",'Short Circuit'!$D81)</f>
        <v/>
      </c>
      <c r="BE81" s="387" t="str">
        <f>IF($BA81="","",'Short Circuit'!$E81)</f>
        <v/>
      </c>
      <c r="BF81" s="387" t="str">
        <f>IF($BA81="","",IFERROR(_xlfn.XLOOKUP("F-"&amp;$BA81,'Feeder Schedule'!$B$5:$B$254,'Feeder Schedule'!$B$5:$B$254),IFERROR(_xlfn.XLOOKUP($BA81,'Feeder Schedule'!$B$5:$B$254,'Feeder Schedule'!$B$5:$B$254),"")))</f>
        <v/>
      </c>
      <c r="BG81" s="387" t="str">
        <f>IF($BF81="","",IFERROR(_xlfn.XLOOKUP($BF81,'Feeder Schedule'!$B$5:$B$254,'Feeder Schedule'!$A$5:$A$254),""))</f>
        <v/>
      </c>
      <c r="BH81" s="387" t="str">
        <f>IF($BF81="","",IFERROR(_xlfn.XLOOKUP($BF81,'Feeder Schedule'!$B$5:$B$254,'Feeder Schedule'!$O$5:$O$254),""))</f>
        <v/>
      </c>
      <c r="BI81" s="387" t="str">
        <f>IF($BF81="","",IFERROR(_xlfn.XLOOKUP($BF81,'Feeder Schedule'!$B$5:$B$254,'Feeder Schedule'!$P$5:$P$254),""))</f>
        <v/>
      </c>
      <c r="BJ81" s="387" t="str">
        <f>IF($BF81="","",IFERROR(_xlfn.XLOOKUP($BF81,'Feeder Schedule'!$B$5:$B$254,'Feeder Schedule'!$Q$5:$Q$254),""))</f>
        <v/>
      </c>
      <c r="BK81" s="387" t="str">
        <f>IF($BF81="","",IFERROR(_xlfn.XLOOKUP($BF81,'Feeder Schedule'!$B$5:$B$254,'Feeder Schedule'!$S$5:$S$254),""))</f>
        <v/>
      </c>
      <c r="BL81" s="387" t="str">
        <f>IF($BF81="","",IFERROR(_xlfn.XLOOKUP($BF81,'Feeder Schedule'!$B$5:$B$254,'Feeder Schedule'!$H$5:$H$254),""))</f>
        <v/>
      </c>
      <c r="BM81" s="534" t="str">
        <f>IF($BA81="","",'Short Circuit'!$J81)</f>
        <v/>
      </c>
      <c r="BN81" s="534" t="str">
        <f>IF($BA81="","",'Short Circuit'!$Q81)</f>
        <v/>
      </c>
      <c r="BO81" s="387" t="str">
        <f>IF($BA81="","",'Short Circuit'!$R81)</f>
        <v/>
      </c>
      <c r="BP81" s="535" t="str">
        <f>IF($BA81="","",'Short Circuit'!$S81)</f>
        <v/>
      </c>
      <c r="BQ81" s="387" t="str">
        <f>IF($BA81="","",'Short Circuit'!$T81)</f>
        <v/>
      </c>
      <c r="BR81" s="536" t="str">
        <f>IF($BA81="","",'Voltage Drop'!$G81)</f>
        <v/>
      </c>
      <c r="BS81" s="536" t="str">
        <f>IF($BA81="","",'Voltage Drop'!$H81)</f>
        <v/>
      </c>
      <c r="BT81" s="387" t="str">
        <f>IF($BA81="","",'Voltage Drop'!$K81)</f>
        <v/>
      </c>
      <c r="BU81" s="387" t="str">
        <f t="shared" si="2"/>
        <v/>
      </c>
      <c r="BV81" s="387"/>
      <c r="BW81" s="387" t="b">
        <f t="shared" si="3"/>
        <v>0</v>
      </c>
    </row>
    <row r="82" spans="1:75" ht="15" customHeight="1" x14ac:dyDescent="0.45">
      <c r="A82" s="161"/>
      <c r="B82" s="389"/>
      <c r="C82" s="207"/>
      <c r="D82" s="208"/>
      <c r="E82" s="161"/>
      <c r="F82" s="389"/>
      <c r="G82" s="389"/>
      <c r="H82" s="389"/>
      <c r="I82" s="389"/>
      <c r="J82" s="389"/>
      <c r="K82" s="389"/>
      <c r="L82" s="209"/>
      <c r="M82" s="209"/>
      <c r="N82" s="209"/>
      <c r="O82" s="209"/>
      <c r="P82" s="209"/>
      <c r="Q82" s="161"/>
      <c r="R82" s="390"/>
      <c r="S82" s="390"/>
      <c r="T82" s="161"/>
      <c r="U82" s="389"/>
      <c r="BA82" s="387" t="str">
        <f>IF('Short Circuit'!$A82="","",'Short Circuit'!$A82)</f>
        <v/>
      </c>
      <c r="BB82" s="387" t="str">
        <f>IF($BA82="","",'Short Circuit'!$B82)</f>
        <v/>
      </c>
      <c r="BC82" s="387" t="str">
        <f>IF($BA82="","",'Short Circuit'!$C82)</f>
        <v/>
      </c>
      <c r="BD82" s="387" t="str">
        <f>IF($BA82="","",'Short Circuit'!$D82)</f>
        <v/>
      </c>
      <c r="BE82" s="387" t="str">
        <f>IF($BA82="","",'Short Circuit'!$E82)</f>
        <v/>
      </c>
      <c r="BF82" s="387" t="str">
        <f>IF($BA82="","",IFERROR(_xlfn.XLOOKUP("F-"&amp;$BA82,'Feeder Schedule'!$B$5:$B$254,'Feeder Schedule'!$B$5:$B$254),IFERROR(_xlfn.XLOOKUP($BA82,'Feeder Schedule'!$B$5:$B$254,'Feeder Schedule'!$B$5:$B$254),"")))</f>
        <v/>
      </c>
      <c r="BG82" s="387" t="str">
        <f>IF($BF82="","",IFERROR(_xlfn.XLOOKUP($BF82,'Feeder Schedule'!$B$5:$B$254,'Feeder Schedule'!$A$5:$A$254),""))</f>
        <v/>
      </c>
      <c r="BH82" s="387" t="str">
        <f>IF($BF82="","",IFERROR(_xlfn.XLOOKUP($BF82,'Feeder Schedule'!$B$5:$B$254,'Feeder Schedule'!$O$5:$O$254),""))</f>
        <v/>
      </c>
      <c r="BI82" s="387" t="str">
        <f>IF($BF82="","",IFERROR(_xlfn.XLOOKUP($BF82,'Feeder Schedule'!$B$5:$B$254,'Feeder Schedule'!$P$5:$P$254),""))</f>
        <v/>
      </c>
      <c r="BJ82" s="387" t="str">
        <f>IF($BF82="","",IFERROR(_xlfn.XLOOKUP($BF82,'Feeder Schedule'!$B$5:$B$254,'Feeder Schedule'!$Q$5:$Q$254),""))</f>
        <v/>
      </c>
      <c r="BK82" s="387" t="str">
        <f>IF($BF82="","",IFERROR(_xlfn.XLOOKUP($BF82,'Feeder Schedule'!$B$5:$B$254,'Feeder Schedule'!$S$5:$S$254),""))</f>
        <v/>
      </c>
      <c r="BL82" s="387" t="str">
        <f>IF($BF82="","",IFERROR(_xlfn.XLOOKUP($BF82,'Feeder Schedule'!$B$5:$B$254,'Feeder Schedule'!$H$5:$H$254),""))</f>
        <v/>
      </c>
      <c r="BM82" s="534" t="str">
        <f>IF($BA82="","",'Short Circuit'!$J82)</f>
        <v/>
      </c>
      <c r="BN82" s="534" t="str">
        <f>IF($BA82="","",'Short Circuit'!$Q82)</f>
        <v/>
      </c>
      <c r="BO82" s="387" t="str">
        <f>IF($BA82="","",'Short Circuit'!$R82)</f>
        <v/>
      </c>
      <c r="BP82" s="535" t="str">
        <f>IF($BA82="","",'Short Circuit'!$S82)</f>
        <v/>
      </c>
      <c r="BQ82" s="387" t="str">
        <f>IF($BA82="","",'Short Circuit'!$T82)</f>
        <v/>
      </c>
      <c r="BR82" s="536" t="str">
        <f>IF($BA82="","",'Voltage Drop'!$G82)</f>
        <v/>
      </c>
      <c r="BS82" s="536" t="str">
        <f>IF($BA82="","",'Voltage Drop'!$H82)</f>
        <v/>
      </c>
      <c r="BT82" s="387" t="str">
        <f>IF($BA82="","",'Voltage Drop'!$K82)</f>
        <v/>
      </c>
      <c r="BU82" s="387" t="str">
        <f t="shared" si="2"/>
        <v/>
      </c>
      <c r="BV82" s="387"/>
      <c r="BW82" s="387" t="b">
        <f t="shared" si="3"/>
        <v>0</v>
      </c>
    </row>
    <row r="83" spans="1:75" ht="15" customHeight="1" x14ac:dyDescent="0.45">
      <c r="A83" s="161"/>
      <c r="B83" s="389"/>
      <c r="C83" s="207"/>
      <c r="D83" s="208"/>
      <c r="E83" s="161"/>
      <c r="F83" s="389"/>
      <c r="G83" s="389"/>
      <c r="H83" s="389"/>
      <c r="I83" s="389"/>
      <c r="J83" s="389"/>
      <c r="K83" s="389"/>
      <c r="L83" s="209"/>
      <c r="M83" s="209"/>
      <c r="N83" s="209"/>
      <c r="O83" s="209"/>
      <c r="P83" s="209"/>
      <c r="Q83" s="161"/>
      <c r="R83" s="390"/>
      <c r="S83" s="390"/>
      <c r="T83" s="161"/>
      <c r="U83" s="389"/>
      <c r="BA83" s="387" t="str">
        <f>IF('Short Circuit'!$A83="","",'Short Circuit'!$A83)</f>
        <v/>
      </c>
      <c r="BB83" s="387" t="str">
        <f>IF($BA83="","",'Short Circuit'!$B83)</f>
        <v/>
      </c>
      <c r="BC83" s="387" t="str">
        <f>IF($BA83="","",'Short Circuit'!$C83)</f>
        <v/>
      </c>
      <c r="BD83" s="387" t="str">
        <f>IF($BA83="","",'Short Circuit'!$D83)</f>
        <v/>
      </c>
      <c r="BE83" s="387" t="str">
        <f>IF($BA83="","",'Short Circuit'!$E83)</f>
        <v/>
      </c>
      <c r="BF83" s="387" t="str">
        <f>IF($BA83="","",IFERROR(_xlfn.XLOOKUP("F-"&amp;$BA83,'Feeder Schedule'!$B$5:$B$254,'Feeder Schedule'!$B$5:$B$254),IFERROR(_xlfn.XLOOKUP($BA83,'Feeder Schedule'!$B$5:$B$254,'Feeder Schedule'!$B$5:$B$254),"")))</f>
        <v/>
      </c>
      <c r="BG83" s="387" t="str">
        <f>IF($BF83="","",IFERROR(_xlfn.XLOOKUP($BF83,'Feeder Schedule'!$B$5:$B$254,'Feeder Schedule'!$A$5:$A$254),""))</f>
        <v/>
      </c>
      <c r="BH83" s="387" t="str">
        <f>IF($BF83="","",IFERROR(_xlfn.XLOOKUP($BF83,'Feeder Schedule'!$B$5:$B$254,'Feeder Schedule'!$O$5:$O$254),""))</f>
        <v/>
      </c>
      <c r="BI83" s="387" t="str">
        <f>IF($BF83="","",IFERROR(_xlfn.XLOOKUP($BF83,'Feeder Schedule'!$B$5:$B$254,'Feeder Schedule'!$P$5:$P$254),""))</f>
        <v/>
      </c>
      <c r="BJ83" s="387" t="str">
        <f>IF($BF83="","",IFERROR(_xlfn.XLOOKUP($BF83,'Feeder Schedule'!$B$5:$B$254,'Feeder Schedule'!$Q$5:$Q$254),""))</f>
        <v/>
      </c>
      <c r="BK83" s="387" t="str">
        <f>IF($BF83="","",IFERROR(_xlfn.XLOOKUP($BF83,'Feeder Schedule'!$B$5:$B$254,'Feeder Schedule'!$S$5:$S$254),""))</f>
        <v/>
      </c>
      <c r="BL83" s="387" t="str">
        <f>IF($BF83="","",IFERROR(_xlfn.XLOOKUP($BF83,'Feeder Schedule'!$B$5:$B$254,'Feeder Schedule'!$H$5:$H$254),""))</f>
        <v/>
      </c>
      <c r="BM83" s="534" t="str">
        <f>IF($BA83="","",'Short Circuit'!$J83)</f>
        <v/>
      </c>
      <c r="BN83" s="534" t="str">
        <f>IF($BA83="","",'Short Circuit'!$Q83)</f>
        <v/>
      </c>
      <c r="BO83" s="387" t="str">
        <f>IF($BA83="","",'Short Circuit'!$R83)</f>
        <v/>
      </c>
      <c r="BP83" s="535" t="str">
        <f>IF($BA83="","",'Short Circuit'!$S83)</f>
        <v/>
      </c>
      <c r="BQ83" s="387" t="str">
        <f>IF($BA83="","",'Short Circuit'!$T83)</f>
        <v/>
      </c>
      <c r="BR83" s="536" t="str">
        <f>IF($BA83="","",'Voltage Drop'!$G83)</f>
        <v/>
      </c>
      <c r="BS83" s="536" t="str">
        <f>IF($BA83="","",'Voltage Drop'!$H83)</f>
        <v/>
      </c>
      <c r="BT83" s="387" t="str">
        <f>IF($BA83="","",'Voltage Drop'!$K83)</f>
        <v/>
      </c>
      <c r="BU83" s="387" t="str">
        <f t="shared" si="2"/>
        <v/>
      </c>
      <c r="BV83" s="387"/>
      <c r="BW83" s="387" t="b">
        <f t="shared" si="3"/>
        <v>0</v>
      </c>
    </row>
    <row r="84" spans="1:75" ht="15" customHeight="1" x14ac:dyDescent="0.45">
      <c r="A84" s="161"/>
      <c r="B84" s="389"/>
      <c r="C84" s="207"/>
      <c r="D84" s="208"/>
      <c r="E84" s="161"/>
      <c r="F84" s="389"/>
      <c r="G84" s="389"/>
      <c r="H84" s="389"/>
      <c r="I84" s="389"/>
      <c r="J84" s="389"/>
      <c r="K84" s="389"/>
      <c r="L84" s="209"/>
      <c r="M84" s="209"/>
      <c r="N84" s="209"/>
      <c r="O84" s="209"/>
      <c r="P84" s="209"/>
      <c r="Q84" s="161"/>
      <c r="R84" s="390"/>
      <c r="S84" s="390"/>
      <c r="T84" s="161"/>
      <c r="U84" s="389"/>
      <c r="BA84" s="387" t="str">
        <f>IF('Short Circuit'!$A84="","",'Short Circuit'!$A84)</f>
        <v/>
      </c>
      <c r="BB84" s="387" t="str">
        <f>IF($BA84="","",'Short Circuit'!$B84)</f>
        <v/>
      </c>
      <c r="BC84" s="387" t="str">
        <f>IF($BA84="","",'Short Circuit'!$C84)</f>
        <v/>
      </c>
      <c r="BD84" s="387" t="str">
        <f>IF($BA84="","",'Short Circuit'!$D84)</f>
        <v/>
      </c>
      <c r="BE84" s="387" t="str">
        <f>IF($BA84="","",'Short Circuit'!$E84)</f>
        <v/>
      </c>
      <c r="BF84" s="387" t="str">
        <f>IF($BA84="","",IFERROR(_xlfn.XLOOKUP("F-"&amp;$BA84,'Feeder Schedule'!$B$5:$B$254,'Feeder Schedule'!$B$5:$B$254),IFERROR(_xlfn.XLOOKUP($BA84,'Feeder Schedule'!$B$5:$B$254,'Feeder Schedule'!$B$5:$B$254),"")))</f>
        <v/>
      </c>
      <c r="BG84" s="387" t="str">
        <f>IF($BF84="","",IFERROR(_xlfn.XLOOKUP($BF84,'Feeder Schedule'!$B$5:$B$254,'Feeder Schedule'!$A$5:$A$254),""))</f>
        <v/>
      </c>
      <c r="BH84" s="387" t="str">
        <f>IF($BF84="","",IFERROR(_xlfn.XLOOKUP($BF84,'Feeder Schedule'!$B$5:$B$254,'Feeder Schedule'!$O$5:$O$254),""))</f>
        <v/>
      </c>
      <c r="BI84" s="387" t="str">
        <f>IF($BF84="","",IFERROR(_xlfn.XLOOKUP($BF84,'Feeder Schedule'!$B$5:$B$254,'Feeder Schedule'!$P$5:$P$254),""))</f>
        <v/>
      </c>
      <c r="BJ84" s="387" t="str">
        <f>IF($BF84="","",IFERROR(_xlfn.XLOOKUP($BF84,'Feeder Schedule'!$B$5:$B$254,'Feeder Schedule'!$Q$5:$Q$254),""))</f>
        <v/>
      </c>
      <c r="BK84" s="387" t="str">
        <f>IF($BF84="","",IFERROR(_xlfn.XLOOKUP($BF84,'Feeder Schedule'!$B$5:$B$254,'Feeder Schedule'!$S$5:$S$254),""))</f>
        <v/>
      </c>
      <c r="BL84" s="387" t="str">
        <f>IF($BF84="","",IFERROR(_xlfn.XLOOKUP($BF84,'Feeder Schedule'!$B$5:$B$254,'Feeder Schedule'!$H$5:$H$254),""))</f>
        <v/>
      </c>
      <c r="BM84" s="534" t="str">
        <f>IF($BA84="","",'Short Circuit'!$J84)</f>
        <v/>
      </c>
      <c r="BN84" s="534" t="str">
        <f>IF($BA84="","",'Short Circuit'!$Q84)</f>
        <v/>
      </c>
      <c r="BO84" s="387" t="str">
        <f>IF($BA84="","",'Short Circuit'!$R84)</f>
        <v/>
      </c>
      <c r="BP84" s="535" t="str">
        <f>IF($BA84="","",'Short Circuit'!$S84)</f>
        <v/>
      </c>
      <c r="BQ84" s="387" t="str">
        <f>IF($BA84="","",'Short Circuit'!$T84)</f>
        <v/>
      </c>
      <c r="BR84" s="536" t="str">
        <f>IF($BA84="","",'Voltage Drop'!$G84)</f>
        <v/>
      </c>
      <c r="BS84" s="536" t="str">
        <f>IF($BA84="","",'Voltage Drop'!$H84)</f>
        <v/>
      </c>
      <c r="BT84" s="387" t="str">
        <f>IF($BA84="","",'Voltage Drop'!$K84)</f>
        <v/>
      </c>
      <c r="BU84" s="387" t="str">
        <f t="shared" si="2"/>
        <v/>
      </c>
      <c r="BV84" s="387"/>
      <c r="BW84" s="387" t="b">
        <f t="shared" si="3"/>
        <v>0</v>
      </c>
    </row>
    <row r="85" spans="1:75" ht="15" customHeight="1" x14ac:dyDescent="0.45">
      <c r="A85" s="161"/>
      <c r="B85" s="389"/>
      <c r="C85" s="207"/>
      <c r="D85" s="208"/>
      <c r="E85" s="161"/>
      <c r="F85" s="389"/>
      <c r="G85" s="389"/>
      <c r="H85" s="389"/>
      <c r="I85" s="389"/>
      <c r="J85" s="389"/>
      <c r="K85" s="389"/>
      <c r="L85" s="209"/>
      <c r="M85" s="209"/>
      <c r="N85" s="209"/>
      <c r="O85" s="209"/>
      <c r="P85" s="209"/>
      <c r="Q85" s="161"/>
      <c r="R85" s="390"/>
      <c r="S85" s="390"/>
      <c r="T85" s="161"/>
      <c r="U85" s="389"/>
      <c r="BA85" s="387" t="str">
        <f>IF('Short Circuit'!$A85="","",'Short Circuit'!$A85)</f>
        <v/>
      </c>
      <c r="BB85" s="387" t="str">
        <f>IF($BA85="","",'Short Circuit'!$B85)</f>
        <v/>
      </c>
      <c r="BC85" s="387" t="str">
        <f>IF($BA85="","",'Short Circuit'!$C85)</f>
        <v/>
      </c>
      <c r="BD85" s="387" t="str">
        <f>IF($BA85="","",'Short Circuit'!$D85)</f>
        <v/>
      </c>
      <c r="BE85" s="387" t="str">
        <f>IF($BA85="","",'Short Circuit'!$E85)</f>
        <v/>
      </c>
      <c r="BF85" s="387" t="str">
        <f>IF($BA85="","",IFERROR(_xlfn.XLOOKUP("F-"&amp;$BA85,'Feeder Schedule'!$B$5:$B$254,'Feeder Schedule'!$B$5:$B$254),IFERROR(_xlfn.XLOOKUP($BA85,'Feeder Schedule'!$B$5:$B$254,'Feeder Schedule'!$B$5:$B$254),"")))</f>
        <v/>
      </c>
      <c r="BG85" s="387" t="str">
        <f>IF($BF85="","",IFERROR(_xlfn.XLOOKUP($BF85,'Feeder Schedule'!$B$5:$B$254,'Feeder Schedule'!$A$5:$A$254),""))</f>
        <v/>
      </c>
      <c r="BH85" s="387" t="str">
        <f>IF($BF85="","",IFERROR(_xlfn.XLOOKUP($BF85,'Feeder Schedule'!$B$5:$B$254,'Feeder Schedule'!$O$5:$O$254),""))</f>
        <v/>
      </c>
      <c r="BI85" s="387" t="str">
        <f>IF($BF85="","",IFERROR(_xlfn.XLOOKUP($BF85,'Feeder Schedule'!$B$5:$B$254,'Feeder Schedule'!$P$5:$P$254),""))</f>
        <v/>
      </c>
      <c r="BJ85" s="387" t="str">
        <f>IF($BF85="","",IFERROR(_xlfn.XLOOKUP($BF85,'Feeder Schedule'!$B$5:$B$254,'Feeder Schedule'!$Q$5:$Q$254),""))</f>
        <v/>
      </c>
      <c r="BK85" s="387" t="str">
        <f>IF($BF85="","",IFERROR(_xlfn.XLOOKUP($BF85,'Feeder Schedule'!$B$5:$B$254,'Feeder Schedule'!$S$5:$S$254),""))</f>
        <v/>
      </c>
      <c r="BL85" s="387" t="str">
        <f>IF($BF85="","",IFERROR(_xlfn.XLOOKUP($BF85,'Feeder Schedule'!$B$5:$B$254,'Feeder Schedule'!$H$5:$H$254),""))</f>
        <v/>
      </c>
      <c r="BM85" s="534" t="str">
        <f>IF($BA85="","",'Short Circuit'!$J85)</f>
        <v/>
      </c>
      <c r="BN85" s="534" t="str">
        <f>IF($BA85="","",'Short Circuit'!$Q85)</f>
        <v/>
      </c>
      <c r="BO85" s="387" t="str">
        <f>IF($BA85="","",'Short Circuit'!$R85)</f>
        <v/>
      </c>
      <c r="BP85" s="535" t="str">
        <f>IF($BA85="","",'Short Circuit'!$S85)</f>
        <v/>
      </c>
      <c r="BQ85" s="387" t="str">
        <f>IF($BA85="","",'Short Circuit'!$T85)</f>
        <v/>
      </c>
      <c r="BR85" s="536" t="str">
        <f>IF($BA85="","",'Voltage Drop'!$G85)</f>
        <v/>
      </c>
      <c r="BS85" s="536" t="str">
        <f>IF($BA85="","",'Voltage Drop'!$H85)</f>
        <v/>
      </c>
      <c r="BT85" s="387" t="str">
        <f>IF($BA85="","",'Voltage Drop'!$K85)</f>
        <v/>
      </c>
      <c r="BU85" s="387" t="str">
        <f t="shared" si="2"/>
        <v/>
      </c>
      <c r="BV85" s="387"/>
      <c r="BW85" s="387" t="b">
        <f t="shared" si="3"/>
        <v>0</v>
      </c>
    </row>
    <row r="86" spans="1:75" ht="15" customHeight="1" x14ac:dyDescent="0.45">
      <c r="A86" s="161"/>
      <c r="B86" s="389"/>
      <c r="C86" s="207"/>
      <c r="D86" s="208"/>
      <c r="E86" s="161"/>
      <c r="F86" s="389"/>
      <c r="G86" s="389"/>
      <c r="H86" s="389"/>
      <c r="I86" s="389"/>
      <c r="J86" s="389"/>
      <c r="K86" s="389"/>
      <c r="L86" s="209"/>
      <c r="M86" s="209"/>
      <c r="N86" s="209"/>
      <c r="O86" s="209"/>
      <c r="P86" s="209"/>
      <c r="Q86" s="161"/>
      <c r="R86" s="390"/>
      <c r="S86" s="390"/>
      <c r="T86" s="161"/>
      <c r="U86" s="389"/>
      <c r="BA86" s="387" t="str">
        <f>IF('Short Circuit'!$A86="","",'Short Circuit'!$A86)</f>
        <v/>
      </c>
      <c r="BB86" s="387" t="str">
        <f>IF($BA86="","",'Short Circuit'!$B86)</f>
        <v/>
      </c>
      <c r="BC86" s="387" t="str">
        <f>IF($BA86="","",'Short Circuit'!$C86)</f>
        <v/>
      </c>
      <c r="BD86" s="387" t="str">
        <f>IF($BA86="","",'Short Circuit'!$D86)</f>
        <v/>
      </c>
      <c r="BE86" s="387" t="str">
        <f>IF($BA86="","",'Short Circuit'!$E86)</f>
        <v/>
      </c>
      <c r="BF86" s="387" t="str">
        <f>IF($BA86="","",IFERROR(_xlfn.XLOOKUP("F-"&amp;$BA86,'Feeder Schedule'!$B$5:$B$254,'Feeder Schedule'!$B$5:$B$254),IFERROR(_xlfn.XLOOKUP($BA86,'Feeder Schedule'!$B$5:$B$254,'Feeder Schedule'!$B$5:$B$254),"")))</f>
        <v/>
      </c>
      <c r="BG86" s="387" t="str">
        <f>IF($BF86="","",IFERROR(_xlfn.XLOOKUP($BF86,'Feeder Schedule'!$B$5:$B$254,'Feeder Schedule'!$A$5:$A$254),""))</f>
        <v/>
      </c>
      <c r="BH86" s="387" t="str">
        <f>IF($BF86="","",IFERROR(_xlfn.XLOOKUP($BF86,'Feeder Schedule'!$B$5:$B$254,'Feeder Schedule'!$O$5:$O$254),""))</f>
        <v/>
      </c>
      <c r="BI86" s="387" t="str">
        <f>IF($BF86="","",IFERROR(_xlfn.XLOOKUP($BF86,'Feeder Schedule'!$B$5:$B$254,'Feeder Schedule'!$P$5:$P$254),""))</f>
        <v/>
      </c>
      <c r="BJ86" s="387" t="str">
        <f>IF($BF86="","",IFERROR(_xlfn.XLOOKUP($BF86,'Feeder Schedule'!$B$5:$B$254,'Feeder Schedule'!$Q$5:$Q$254),""))</f>
        <v/>
      </c>
      <c r="BK86" s="387" t="str">
        <f>IF($BF86="","",IFERROR(_xlfn.XLOOKUP($BF86,'Feeder Schedule'!$B$5:$B$254,'Feeder Schedule'!$S$5:$S$254),""))</f>
        <v/>
      </c>
      <c r="BL86" s="387" t="str">
        <f>IF($BF86="","",IFERROR(_xlfn.XLOOKUP($BF86,'Feeder Schedule'!$B$5:$B$254,'Feeder Schedule'!$H$5:$H$254),""))</f>
        <v/>
      </c>
      <c r="BM86" s="534" t="str">
        <f>IF($BA86="","",'Short Circuit'!$J86)</f>
        <v/>
      </c>
      <c r="BN86" s="534" t="str">
        <f>IF($BA86="","",'Short Circuit'!$Q86)</f>
        <v/>
      </c>
      <c r="BO86" s="387" t="str">
        <f>IF($BA86="","",'Short Circuit'!$R86)</f>
        <v/>
      </c>
      <c r="BP86" s="535" t="str">
        <f>IF($BA86="","",'Short Circuit'!$S86)</f>
        <v/>
      </c>
      <c r="BQ86" s="387" t="str">
        <f>IF($BA86="","",'Short Circuit'!$T86)</f>
        <v/>
      </c>
      <c r="BR86" s="536" t="str">
        <f>IF($BA86="","",'Voltage Drop'!$G86)</f>
        <v/>
      </c>
      <c r="BS86" s="536" t="str">
        <f>IF($BA86="","",'Voltage Drop'!$H86)</f>
        <v/>
      </c>
      <c r="BT86" s="387" t="str">
        <f>IF($BA86="","",'Voltage Drop'!$K86)</f>
        <v/>
      </c>
      <c r="BU86" s="387" t="str">
        <f t="shared" si="2"/>
        <v/>
      </c>
      <c r="BV86" s="387"/>
      <c r="BW86" s="387" t="b">
        <f t="shared" si="3"/>
        <v>0</v>
      </c>
    </row>
    <row r="87" spans="1:75" ht="15" customHeight="1" x14ac:dyDescent="0.45">
      <c r="A87" s="161"/>
      <c r="B87" s="389"/>
      <c r="C87" s="207"/>
      <c r="D87" s="208"/>
      <c r="E87" s="161"/>
      <c r="F87" s="389"/>
      <c r="G87" s="389"/>
      <c r="H87" s="389"/>
      <c r="I87" s="389"/>
      <c r="J87" s="389"/>
      <c r="K87" s="389"/>
      <c r="L87" s="209"/>
      <c r="M87" s="209"/>
      <c r="N87" s="209"/>
      <c r="O87" s="209"/>
      <c r="P87" s="209"/>
      <c r="Q87" s="161"/>
      <c r="R87" s="390"/>
      <c r="S87" s="390"/>
      <c r="T87" s="161"/>
      <c r="U87" s="389"/>
      <c r="BA87" s="387" t="str">
        <f>IF('Short Circuit'!$A87="","",'Short Circuit'!$A87)</f>
        <v/>
      </c>
      <c r="BB87" s="387" t="str">
        <f>IF($BA87="","",'Short Circuit'!$B87)</f>
        <v/>
      </c>
      <c r="BC87" s="387" t="str">
        <f>IF($BA87="","",'Short Circuit'!$C87)</f>
        <v/>
      </c>
      <c r="BD87" s="387" t="str">
        <f>IF($BA87="","",'Short Circuit'!$D87)</f>
        <v/>
      </c>
      <c r="BE87" s="387" t="str">
        <f>IF($BA87="","",'Short Circuit'!$E87)</f>
        <v/>
      </c>
      <c r="BF87" s="387" t="str">
        <f>IF($BA87="","",IFERROR(_xlfn.XLOOKUP("F-"&amp;$BA87,'Feeder Schedule'!$B$5:$B$254,'Feeder Schedule'!$B$5:$B$254),IFERROR(_xlfn.XLOOKUP($BA87,'Feeder Schedule'!$B$5:$B$254,'Feeder Schedule'!$B$5:$B$254),"")))</f>
        <v/>
      </c>
      <c r="BG87" s="387" t="str">
        <f>IF($BF87="","",IFERROR(_xlfn.XLOOKUP($BF87,'Feeder Schedule'!$B$5:$B$254,'Feeder Schedule'!$A$5:$A$254),""))</f>
        <v/>
      </c>
      <c r="BH87" s="387" t="str">
        <f>IF($BF87="","",IFERROR(_xlfn.XLOOKUP($BF87,'Feeder Schedule'!$B$5:$B$254,'Feeder Schedule'!$O$5:$O$254),""))</f>
        <v/>
      </c>
      <c r="BI87" s="387" t="str">
        <f>IF($BF87="","",IFERROR(_xlfn.XLOOKUP($BF87,'Feeder Schedule'!$B$5:$B$254,'Feeder Schedule'!$P$5:$P$254),""))</f>
        <v/>
      </c>
      <c r="BJ87" s="387" t="str">
        <f>IF($BF87="","",IFERROR(_xlfn.XLOOKUP($BF87,'Feeder Schedule'!$B$5:$B$254,'Feeder Schedule'!$Q$5:$Q$254),""))</f>
        <v/>
      </c>
      <c r="BK87" s="387" t="str">
        <f>IF($BF87="","",IFERROR(_xlfn.XLOOKUP($BF87,'Feeder Schedule'!$B$5:$B$254,'Feeder Schedule'!$S$5:$S$254),""))</f>
        <v/>
      </c>
      <c r="BL87" s="387" t="str">
        <f>IF($BF87="","",IFERROR(_xlfn.XLOOKUP($BF87,'Feeder Schedule'!$B$5:$B$254,'Feeder Schedule'!$H$5:$H$254),""))</f>
        <v/>
      </c>
      <c r="BM87" s="534" t="str">
        <f>IF($BA87="","",'Short Circuit'!$J87)</f>
        <v/>
      </c>
      <c r="BN87" s="534" t="str">
        <f>IF($BA87="","",'Short Circuit'!$Q87)</f>
        <v/>
      </c>
      <c r="BO87" s="387" t="str">
        <f>IF($BA87="","",'Short Circuit'!$R87)</f>
        <v/>
      </c>
      <c r="BP87" s="535" t="str">
        <f>IF($BA87="","",'Short Circuit'!$S87)</f>
        <v/>
      </c>
      <c r="BQ87" s="387" t="str">
        <f>IF($BA87="","",'Short Circuit'!$T87)</f>
        <v/>
      </c>
      <c r="BR87" s="536" t="str">
        <f>IF($BA87="","",'Voltage Drop'!$G87)</f>
        <v/>
      </c>
      <c r="BS87" s="536" t="str">
        <f>IF($BA87="","",'Voltage Drop'!$H87)</f>
        <v/>
      </c>
      <c r="BT87" s="387" t="str">
        <f>IF($BA87="","",'Voltage Drop'!$K87)</f>
        <v/>
      </c>
      <c r="BU87" s="387" t="str">
        <f t="shared" si="2"/>
        <v/>
      </c>
      <c r="BV87" s="387"/>
      <c r="BW87" s="387" t="b">
        <f t="shared" si="3"/>
        <v>0</v>
      </c>
    </row>
    <row r="88" spans="1:75" ht="15" customHeight="1" x14ac:dyDescent="0.45">
      <c r="A88" s="161"/>
      <c r="B88" s="389"/>
      <c r="C88" s="207"/>
      <c r="D88" s="208"/>
      <c r="E88" s="161"/>
      <c r="F88" s="389"/>
      <c r="G88" s="389"/>
      <c r="H88" s="389"/>
      <c r="I88" s="389"/>
      <c r="J88" s="389"/>
      <c r="K88" s="389"/>
      <c r="L88" s="209"/>
      <c r="M88" s="209"/>
      <c r="N88" s="209"/>
      <c r="O88" s="209"/>
      <c r="P88" s="209"/>
      <c r="Q88" s="161"/>
      <c r="R88" s="390"/>
      <c r="S88" s="390"/>
      <c r="T88" s="161"/>
      <c r="U88" s="389"/>
      <c r="BA88" s="387" t="str">
        <f>IF('Short Circuit'!$A88="","",'Short Circuit'!$A88)</f>
        <v/>
      </c>
      <c r="BB88" s="387" t="str">
        <f>IF($BA88="","",'Short Circuit'!$B88)</f>
        <v/>
      </c>
      <c r="BC88" s="387" t="str">
        <f>IF($BA88="","",'Short Circuit'!$C88)</f>
        <v/>
      </c>
      <c r="BD88" s="387" t="str">
        <f>IF($BA88="","",'Short Circuit'!$D88)</f>
        <v/>
      </c>
      <c r="BE88" s="387" t="str">
        <f>IF($BA88="","",'Short Circuit'!$E88)</f>
        <v/>
      </c>
      <c r="BF88" s="387" t="str">
        <f>IF($BA88="","",IFERROR(_xlfn.XLOOKUP("F-"&amp;$BA88,'Feeder Schedule'!$B$5:$B$254,'Feeder Schedule'!$B$5:$B$254),IFERROR(_xlfn.XLOOKUP($BA88,'Feeder Schedule'!$B$5:$B$254,'Feeder Schedule'!$B$5:$B$254),"")))</f>
        <v/>
      </c>
      <c r="BG88" s="387" t="str">
        <f>IF($BF88="","",IFERROR(_xlfn.XLOOKUP($BF88,'Feeder Schedule'!$B$5:$B$254,'Feeder Schedule'!$A$5:$A$254),""))</f>
        <v/>
      </c>
      <c r="BH88" s="387" t="str">
        <f>IF($BF88="","",IFERROR(_xlfn.XLOOKUP($BF88,'Feeder Schedule'!$B$5:$B$254,'Feeder Schedule'!$O$5:$O$254),""))</f>
        <v/>
      </c>
      <c r="BI88" s="387" t="str">
        <f>IF($BF88="","",IFERROR(_xlfn.XLOOKUP($BF88,'Feeder Schedule'!$B$5:$B$254,'Feeder Schedule'!$P$5:$P$254),""))</f>
        <v/>
      </c>
      <c r="BJ88" s="387" t="str">
        <f>IF($BF88="","",IFERROR(_xlfn.XLOOKUP($BF88,'Feeder Schedule'!$B$5:$B$254,'Feeder Schedule'!$Q$5:$Q$254),""))</f>
        <v/>
      </c>
      <c r="BK88" s="387" t="str">
        <f>IF($BF88="","",IFERROR(_xlfn.XLOOKUP($BF88,'Feeder Schedule'!$B$5:$B$254,'Feeder Schedule'!$S$5:$S$254),""))</f>
        <v/>
      </c>
      <c r="BL88" s="387" t="str">
        <f>IF($BF88="","",IFERROR(_xlfn.XLOOKUP($BF88,'Feeder Schedule'!$B$5:$B$254,'Feeder Schedule'!$H$5:$H$254),""))</f>
        <v/>
      </c>
      <c r="BM88" s="534" t="str">
        <f>IF($BA88="","",'Short Circuit'!$J88)</f>
        <v/>
      </c>
      <c r="BN88" s="534" t="str">
        <f>IF($BA88="","",'Short Circuit'!$Q88)</f>
        <v/>
      </c>
      <c r="BO88" s="387" t="str">
        <f>IF($BA88="","",'Short Circuit'!$R88)</f>
        <v/>
      </c>
      <c r="BP88" s="535" t="str">
        <f>IF($BA88="","",'Short Circuit'!$S88)</f>
        <v/>
      </c>
      <c r="BQ88" s="387" t="str">
        <f>IF($BA88="","",'Short Circuit'!$T88)</f>
        <v/>
      </c>
      <c r="BR88" s="536" t="str">
        <f>IF($BA88="","",'Voltage Drop'!$G88)</f>
        <v/>
      </c>
      <c r="BS88" s="536" t="str">
        <f>IF($BA88="","",'Voltage Drop'!$H88)</f>
        <v/>
      </c>
      <c r="BT88" s="387" t="str">
        <f>IF($BA88="","",'Voltage Drop'!$K88)</f>
        <v/>
      </c>
      <c r="BU88" s="387" t="str">
        <f t="shared" si="2"/>
        <v/>
      </c>
      <c r="BV88" s="387"/>
      <c r="BW88" s="387" t="b">
        <f t="shared" si="3"/>
        <v>0</v>
      </c>
    </row>
    <row r="89" spans="1:75" ht="15" customHeight="1" x14ac:dyDescent="0.45">
      <c r="A89" s="161"/>
      <c r="B89" s="389"/>
      <c r="C89" s="207"/>
      <c r="D89" s="208"/>
      <c r="E89" s="161"/>
      <c r="F89" s="389"/>
      <c r="G89" s="389"/>
      <c r="H89" s="389"/>
      <c r="I89" s="389"/>
      <c r="J89" s="389"/>
      <c r="K89" s="389"/>
      <c r="L89" s="209"/>
      <c r="M89" s="209"/>
      <c r="N89" s="209"/>
      <c r="O89" s="209"/>
      <c r="P89" s="209"/>
      <c r="Q89" s="161"/>
      <c r="R89" s="390"/>
      <c r="S89" s="390"/>
      <c r="T89" s="161"/>
      <c r="U89" s="389"/>
      <c r="BA89" s="387" t="str">
        <f>IF('Short Circuit'!$A89="","",'Short Circuit'!$A89)</f>
        <v/>
      </c>
      <c r="BB89" s="387" t="str">
        <f>IF($BA89="","",'Short Circuit'!$B89)</f>
        <v/>
      </c>
      <c r="BC89" s="387" t="str">
        <f>IF($BA89="","",'Short Circuit'!$C89)</f>
        <v/>
      </c>
      <c r="BD89" s="387" t="str">
        <f>IF($BA89="","",'Short Circuit'!$D89)</f>
        <v/>
      </c>
      <c r="BE89" s="387" t="str">
        <f>IF($BA89="","",'Short Circuit'!$E89)</f>
        <v/>
      </c>
      <c r="BF89" s="387" t="str">
        <f>IF($BA89="","",IFERROR(_xlfn.XLOOKUP("F-"&amp;$BA89,'Feeder Schedule'!$B$5:$B$254,'Feeder Schedule'!$B$5:$B$254),IFERROR(_xlfn.XLOOKUP($BA89,'Feeder Schedule'!$B$5:$B$254,'Feeder Schedule'!$B$5:$B$254),"")))</f>
        <v/>
      </c>
      <c r="BG89" s="387" t="str">
        <f>IF($BF89="","",IFERROR(_xlfn.XLOOKUP($BF89,'Feeder Schedule'!$B$5:$B$254,'Feeder Schedule'!$A$5:$A$254),""))</f>
        <v/>
      </c>
      <c r="BH89" s="387" t="str">
        <f>IF($BF89="","",IFERROR(_xlfn.XLOOKUP($BF89,'Feeder Schedule'!$B$5:$B$254,'Feeder Schedule'!$O$5:$O$254),""))</f>
        <v/>
      </c>
      <c r="BI89" s="387" t="str">
        <f>IF($BF89="","",IFERROR(_xlfn.XLOOKUP($BF89,'Feeder Schedule'!$B$5:$B$254,'Feeder Schedule'!$P$5:$P$254),""))</f>
        <v/>
      </c>
      <c r="BJ89" s="387" t="str">
        <f>IF($BF89="","",IFERROR(_xlfn.XLOOKUP($BF89,'Feeder Schedule'!$B$5:$B$254,'Feeder Schedule'!$Q$5:$Q$254),""))</f>
        <v/>
      </c>
      <c r="BK89" s="387" t="str">
        <f>IF($BF89="","",IFERROR(_xlfn.XLOOKUP($BF89,'Feeder Schedule'!$B$5:$B$254,'Feeder Schedule'!$S$5:$S$254),""))</f>
        <v/>
      </c>
      <c r="BL89" s="387" t="str">
        <f>IF($BF89="","",IFERROR(_xlfn.XLOOKUP($BF89,'Feeder Schedule'!$B$5:$B$254,'Feeder Schedule'!$H$5:$H$254),""))</f>
        <v/>
      </c>
      <c r="BM89" s="534" t="str">
        <f>IF($BA89="","",'Short Circuit'!$J89)</f>
        <v/>
      </c>
      <c r="BN89" s="534" t="str">
        <f>IF($BA89="","",'Short Circuit'!$Q89)</f>
        <v/>
      </c>
      <c r="BO89" s="387" t="str">
        <f>IF($BA89="","",'Short Circuit'!$R89)</f>
        <v/>
      </c>
      <c r="BP89" s="535" t="str">
        <f>IF($BA89="","",'Short Circuit'!$S89)</f>
        <v/>
      </c>
      <c r="BQ89" s="387" t="str">
        <f>IF($BA89="","",'Short Circuit'!$T89)</f>
        <v/>
      </c>
      <c r="BR89" s="536" t="str">
        <f>IF($BA89="","",'Voltage Drop'!$G89)</f>
        <v/>
      </c>
      <c r="BS89" s="536" t="str">
        <f>IF($BA89="","",'Voltage Drop'!$H89)</f>
        <v/>
      </c>
      <c r="BT89" s="387" t="str">
        <f>IF($BA89="","",'Voltage Drop'!$K89)</f>
        <v/>
      </c>
      <c r="BU89" s="387" t="str">
        <f t="shared" si="2"/>
        <v/>
      </c>
      <c r="BV89" s="387"/>
      <c r="BW89" s="387" t="b">
        <f t="shared" si="3"/>
        <v>0</v>
      </c>
    </row>
    <row r="90" spans="1:75" ht="15" customHeight="1" x14ac:dyDescent="0.45">
      <c r="A90" s="161"/>
      <c r="B90" s="389"/>
      <c r="C90" s="207"/>
      <c r="D90" s="208"/>
      <c r="E90" s="161"/>
      <c r="F90" s="389"/>
      <c r="G90" s="389"/>
      <c r="H90" s="389"/>
      <c r="I90" s="389"/>
      <c r="J90" s="389"/>
      <c r="K90" s="389"/>
      <c r="L90" s="209"/>
      <c r="M90" s="209"/>
      <c r="N90" s="209"/>
      <c r="O90" s="209"/>
      <c r="P90" s="209"/>
      <c r="Q90" s="161"/>
      <c r="R90" s="390"/>
      <c r="S90" s="390"/>
      <c r="T90" s="161"/>
      <c r="U90" s="389"/>
      <c r="BA90" s="387" t="str">
        <f>IF('Short Circuit'!$A90="","",'Short Circuit'!$A90)</f>
        <v/>
      </c>
      <c r="BB90" s="387" t="str">
        <f>IF($BA90="","",'Short Circuit'!$B90)</f>
        <v/>
      </c>
      <c r="BC90" s="387" t="str">
        <f>IF($BA90="","",'Short Circuit'!$C90)</f>
        <v/>
      </c>
      <c r="BD90" s="387" t="str">
        <f>IF($BA90="","",'Short Circuit'!$D90)</f>
        <v/>
      </c>
      <c r="BE90" s="387" t="str">
        <f>IF($BA90="","",'Short Circuit'!$E90)</f>
        <v/>
      </c>
      <c r="BF90" s="387" t="str">
        <f>IF($BA90="","",IFERROR(_xlfn.XLOOKUP("F-"&amp;$BA90,'Feeder Schedule'!$B$5:$B$254,'Feeder Schedule'!$B$5:$B$254),IFERROR(_xlfn.XLOOKUP($BA90,'Feeder Schedule'!$B$5:$B$254,'Feeder Schedule'!$B$5:$B$254),"")))</f>
        <v/>
      </c>
      <c r="BG90" s="387" t="str">
        <f>IF($BF90="","",IFERROR(_xlfn.XLOOKUP($BF90,'Feeder Schedule'!$B$5:$B$254,'Feeder Schedule'!$A$5:$A$254),""))</f>
        <v/>
      </c>
      <c r="BH90" s="387" t="str">
        <f>IF($BF90="","",IFERROR(_xlfn.XLOOKUP($BF90,'Feeder Schedule'!$B$5:$B$254,'Feeder Schedule'!$O$5:$O$254),""))</f>
        <v/>
      </c>
      <c r="BI90" s="387" t="str">
        <f>IF($BF90="","",IFERROR(_xlfn.XLOOKUP($BF90,'Feeder Schedule'!$B$5:$B$254,'Feeder Schedule'!$P$5:$P$254),""))</f>
        <v/>
      </c>
      <c r="BJ90" s="387" t="str">
        <f>IF($BF90="","",IFERROR(_xlfn.XLOOKUP($BF90,'Feeder Schedule'!$B$5:$B$254,'Feeder Schedule'!$Q$5:$Q$254),""))</f>
        <v/>
      </c>
      <c r="BK90" s="387" t="str">
        <f>IF($BF90="","",IFERROR(_xlfn.XLOOKUP($BF90,'Feeder Schedule'!$B$5:$B$254,'Feeder Schedule'!$S$5:$S$254),""))</f>
        <v/>
      </c>
      <c r="BL90" s="387" t="str">
        <f>IF($BF90="","",IFERROR(_xlfn.XLOOKUP($BF90,'Feeder Schedule'!$B$5:$B$254,'Feeder Schedule'!$H$5:$H$254),""))</f>
        <v/>
      </c>
      <c r="BM90" s="534" t="str">
        <f>IF($BA90="","",'Short Circuit'!$J90)</f>
        <v/>
      </c>
      <c r="BN90" s="534" t="str">
        <f>IF($BA90="","",'Short Circuit'!$Q90)</f>
        <v/>
      </c>
      <c r="BO90" s="387" t="str">
        <f>IF($BA90="","",'Short Circuit'!$R90)</f>
        <v/>
      </c>
      <c r="BP90" s="535" t="str">
        <f>IF($BA90="","",'Short Circuit'!$S90)</f>
        <v/>
      </c>
      <c r="BQ90" s="387" t="str">
        <f>IF($BA90="","",'Short Circuit'!$T90)</f>
        <v/>
      </c>
      <c r="BR90" s="536" t="str">
        <f>IF($BA90="","",'Voltage Drop'!$G90)</f>
        <v/>
      </c>
      <c r="BS90" s="536" t="str">
        <f>IF($BA90="","",'Voltage Drop'!$H90)</f>
        <v/>
      </c>
      <c r="BT90" s="387" t="str">
        <f>IF($BA90="","",'Voltage Drop'!$K90)</f>
        <v/>
      </c>
      <c r="BU90" s="387" t="str">
        <f t="shared" si="2"/>
        <v/>
      </c>
      <c r="BV90" s="387"/>
      <c r="BW90" s="387" t="b">
        <f t="shared" si="3"/>
        <v>0</v>
      </c>
    </row>
    <row r="91" spans="1:75" ht="15" customHeight="1" x14ac:dyDescent="0.45">
      <c r="A91" s="161"/>
      <c r="B91" s="389"/>
      <c r="C91" s="207"/>
      <c r="D91" s="208"/>
      <c r="E91" s="161"/>
      <c r="F91" s="389"/>
      <c r="G91" s="389"/>
      <c r="H91" s="389"/>
      <c r="I91" s="389"/>
      <c r="J91" s="389"/>
      <c r="K91" s="389"/>
      <c r="L91" s="209"/>
      <c r="M91" s="209"/>
      <c r="N91" s="209"/>
      <c r="O91" s="209"/>
      <c r="P91" s="209"/>
      <c r="Q91" s="161"/>
      <c r="R91" s="390"/>
      <c r="S91" s="390"/>
      <c r="T91" s="161"/>
      <c r="U91" s="389"/>
      <c r="BA91" s="387" t="str">
        <f>IF('Short Circuit'!$A91="","",'Short Circuit'!$A91)</f>
        <v/>
      </c>
      <c r="BB91" s="387" t="str">
        <f>IF($BA91="","",'Short Circuit'!$B91)</f>
        <v/>
      </c>
      <c r="BC91" s="387" t="str">
        <f>IF($BA91="","",'Short Circuit'!$C91)</f>
        <v/>
      </c>
      <c r="BD91" s="387" t="str">
        <f>IF($BA91="","",'Short Circuit'!$D91)</f>
        <v/>
      </c>
      <c r="BE91" s="387" t="str">
        <f>IF($BA91="","",'Short Circuit'!$E91)</f>
        <v/>
      </c>
      <c r="BF91" s="387" t="str">
        <f>IF($BA91="","",IFERROR(_xlfn.XLOOKUP("F-"&amp;$BA91,'Feeder Schedule'!$B$5:$B$254,'Feeder Schedule'!$B$5:$B$254),IFERROR(_xlfn.XLOOKUP($BA91,'Feeder Schedule'!$B$5:$B$254,'Feeder Schedule'!$B$5:$B$254),"")))</f>
        <v/>
      </c>
      <c r="BG91" s="387" t="str">
        <f>IF($BF91="","",IFERROR(_xlfn.XLOOKUP($BF91,'Feeder Schedule'!$B$5:$B$254,'Feeder Schedule'!$A$5:$A$254),""))</f>
        <v/>
      </c>
      <c r="BH91" s="387" t="str">
        <f>IF($BF91="","",IFERROR(_xlfn.XLOOKUP($BF91,'Feeder Schedule'!$B$5:$B$254,'Feeder Schedule'!$O$5:$O$254),""))</f>
        <v/>
      </c>
      <c r="BI91" s="387" t="str">
        <f>IF($BF91="","",IFERROR(_xlfn.XLOOKUP($BF91,'Feeder Schedule'!$B$5:$B$254,'Feeder Schedule'!$P$5:$P$254),""))</f>
        <v/>
      </c>
      <c r="BJ91" s="387" t="str">
        <f>IF($BF91="","",IFERROR(_xlfn.XLOOKUP($BF91,'Feeder Schedule'!$B$5:$B$254,'Feeder Schedule'!$Q$5:$Q$254),""))</f>
        <v/>
      </c>
      <c r="BK91" s="387" t="str">
        <f>IF($BF91="","",IFERROR(_xlfn.XLOOKUP($BF91,'Feeder Schedule'!$B$5:$B$254,'Feeder Schedule'!$S$5:$S$254),""))</f>
        <v/>
      </c>
      <c r="BL91" s="387" t="str">
        <f>IF($BF91="","",IFERROR(_xlfn.XLOOKUP($BF91,'Feeder Schedule'!$B$5:$B$254,'Feeder Schedule'!$H$5:$H$254),""))</f>
        <v/>
      </c>
      <c r="BM91" s="534" t="str">
        <f>IF($BA91="","",'Short Circuit'!$J91)</f>
        <v/>
      </c>
      <c r="BN91" s="534" t="str">
        <f>IF($BA91="","",'Short Circuit'!$Q91)</f>
        <v/>
      </c>
      <c r="BO91" s="387" t="str">
        <f>IF($BA91="","",'Short Circuit'!$R91)</f>
        <v/>
      </c>
      <c r="BP91" s="535" t="str">
        <f>IF($BA91="","",'Short Circuit'!$S91)</f>
        <v/>
      </c>
      <c r="BQ91" s="387" t="str">
        <f>IF($BA91="","",'Short Circuit'!$T91)</f>
        <v/>
      </c>
      <c r="BR91" s="536" t="str">
        <f>IF($BA91="","",'Voltage Drop'!$G91)</f>
        <v/>
      </c>
      <c r="BS91" s="536" t="str">
        <f>IF($BA91="","",'Voltage Drop'!$H91)</f>
        <v/>
      </c>
      <c r="BT91" s="387" t="str">
        <f>IF($BA91="","",'Voltage Drop'!$K91)</f>
        <v/>
      </c>
      <c r="BU91" s="387" t="str">
        <f t="shared" si="2"/>
        <v/>
      </c>
      <c r="BV91" s="387"/>
      <c r="BW91" s="387" t="b">
        <f t="shared" si="3"/>
        <v>0</v>
      </c>
    </row>
    <row r="92" spans="1:75" ht="15" customHeight="1" x14ac:dyDescent="0.45">
      <c r="A92" s="161"/>
      <c r="B92" s="389"/>
      <c r="C92" s="207"/>
      <c r="D92" s="208"/>
      <c r="E92" s="161"/>
      <c r="F92" s="389"/>
      <c r="G92" s="389"/>
      <c r="H92" s="389"/>
      <c r="I92" s="389"/>
      <c r="J92" s="389"/>
      <c r="K92" s="389"/>
      <c r="L92" s="209"/>
      <c r="M92" s="209"/>
      <c r="N92" s="209"/>
      <c r="O92" s="209"/>
      <c r="P92" s="209"/>
      <c r="Q92" s="161"/>
      <c r="R92" s="390"/>
      <c r="S92" s="390"/>
      <c r="T92" s="161"/>
      <c r="U92" s="389"/>
      <c r="BA92" s="387" t="str">
        <f>IF('Short Circuit'!$A92="","",'Short Circuit'!$A92)</f>
        <v/>
      </c>
      <c r="BB92" s="387" t="str">
        <f>IF($BA92="","",'Short Circuit'!$B92)</f>
        <v/>
      </c>
      <c r="BC92" s="387" t="str">
        <f>IF($BA92="","",'Short Circuit'!$C92)</f>
        <v/>
      </c>
      <c r="BD92" s="387" t="str">
        <f>IF($BA92="","",'Short Circuit'!$D92)</f>
        <v/>
      </c>
      <c r="BE92" s="387" t="str">
        <f>IF($BA92="","",'Short Circuit'!$E92)</f>
        <v/>
      </c>
      <c r="BF92" s="387" t="str">
        <f>IF($BA92="","",IFERROR(_xlfn.XLOOKUP("F-"&amp;$BA92,'Feeder Schedule'!$B$5:$B$254,'Feeder Schedule'!$B$5:$B$254),IFERROR(_xlfn.XLOOKUP($BA92,'Feeder Schedule'!$B$5:$B$254,'Feeder Schedule'!$B$5:$B$254),"")))</f>
        <v/>
      </c>
      <c r="BG92" s="387" t="str">
        <f>IF($BF92="","",IFERROR(_xlfn.XLOOKUP($BF92,'Feeder Schedule'!$B$5:$B$254,'Feeder Schedule'!$A$5:$A$254),""))</f>
        <v/>
      </c>
      <c r="BH92" s="387" t="str">
        <f>IF($BF92="","",IFERROR(_xlfn.XLOOKUP($BF92,'Feeder Schedule'!$B$5:$B$254,'Feeder Schedule'!$O$5:$O$254),""))</f>
        <v/>
      </c>
      <c r="BI92" s="387" t="str">
        <f>IF($BF92="","",IFERROR(_xlfn.XLOOKUP($BF92,'Feeder Schedule'!$B$5:$B$254,'Feeder Schedule'!$P$5:$P$254),""))</f>
        <v/>
      </c>
      <c r="BJ92" s="387" t="str">
        <f>IF($BF92="","",IFERROR(_xlfn.XLOOKUP($BF92,'Feeder Schedule'!$B$5:$B$254,'Feeder Schedule'!$Q$5:$Q$254),""))</f>
        <v/>
      </c>
      <c r="BK92" s="387" t="str">
        <f>IF($BF92="","",IFERROR(_xlfn.XLOOKUP($BF92,'Feeder Schedule'!$B$5:$B$254,'Feeder Schedule'!$S$5:$S$254),""))</f>
        <v/>
      </c>
      <c r="BL92" s="387" t="str">
        <f>IF($BF92="","",IFERROR(_xlfn.XLOOKUP($BF92,'Feeder Schedule'!$B$5:$B$254,'Feeder Schedule'!$H$5:$H$254),""))</f>
        <v/>
      </c>
      <c r="BM92" s="534" t="str">
        <f>IF($BA92="","",'Short Circuit'!$J92)</f>
        <v/>
      </c>
      <c r="BN92" s="534" t="str">
        <f>IF($BA92="","",'Short Circuit'!$Q92)</f>
        <v/>
      </c>
      <c r="BO92" s="387" t="str">
        <f>IF($BA92="","",'Short Circuit'!$R92)</f>
        <v/>
      </c>
      <c r="BP92" s="535" t="str">
        <f>IF($BA92="","",'Short Circuit'!$S92)</f>
        <v/>
      </c>
      <c r="BQ92" s="387" t="str">
        <f>IF($BA92="","",'Short Circuit'!$T92)</f>
        <v/>
      </c>
      <c r="BR92" s="536" t="str">
        <f>IF($BA92="","",'Voltage Drop'!$G92)</f>
        <v/>
      </c>
      <c r="BS92" s="536" t="str">
        <f>IF($BA92="","",'Voltage Drop'!$H92)</f>
        <v/>
      </c>
      <c r="BT92" s="387" t="str">
        <f>IF($BA92="","",'Voltage Drop'!$K92)</f>
        <v/>
      </c>
      <c r="BU92" s="387" t="str">
        <f t="shared" si="2"/>
        <v/>
      </c>
      <c r="BV92" s="387"/>
      <c r="BW92" s="387" t="b">
        <f t="shared" si="3"/>
        <v>0</v>
      </c>
    </row>
    <row r="93" spans="1:75" ht="15" customHeight="1" x14ac:dyDescent="0.45">
      <c r="A93" s="161"/>
      <c r="B93" s="389"/>
      <c r="C93" s="207"/>
      <c r="D93" s="208"/>
      <c r="E93" s="161"/>
      <c r="F93" s="389"/>
      <c r="G93" s="389"/>
      <c r="H93" s="389"/>
      <c r="I93" s="389"/>
      <c r="J93" s="389"/>
      <c r="K93" s="389"/>
      <c r="L93" s="209"/>
      <c r="M93" s="209"/>
      <c r="N93" s="209"/>
      <c r="O93" s="209"/>
      <c r="P93" s="209"/>
      <c r="Q93" s="161"/>
      <c r="R93" s="390"/>
      <c r="S93" s="390"/>
      <c r="T93" s="161"/>
      <c r="U93" s="389"/>
      <c r="BA93" s="387" t="str">
        <f>IF('Short Circuit'!$A93="","",'Short Circuit'!$A93)</f>
        <v/>
      </c>
      <c r="BB93" s="387" t="str">
        <f>IF($BA93="","",'Short Circuit'!$B93)</f>
        <v/>
      </c>
      <c r="BC93" s="387" t="str">
        <f>IF($BA93="","",'Short Circuit'!$C93)</f>
        <v/>
      </c>
      <c r="BD93" s="387" t="str">
        <f>IF($BA93="","",'Short Circuit'!$D93)</f>
        <v/>
      </c>
      <c r="BE93" s="387" t="str">
        <f>IF($BA93="","",'Short Circuit'!$E93)</f>
        <v/>
      </c>
      <c r="BF93" s="387" t="str">
        <f>IF($BA93="","",IFERROR(_xlfn.XLOOKUP("F-"&amp;$BA93,'Feeder Schedule'!$B$5:$B$254,'Feeder Schedule'!$B$5:$B$254),IFERROR(_xlfn.XLOOKUP($BA93,'Feeder Schedule'!$B$5:$B$254,'Feeder Schedule'!$B$5:$B$254),"")))</f>
        <v/>
      </c>
      <c r="BG93" s="387" t="str">
        <f>IF($BF93="","",IFERROR(_xlfn.XLOOKUP($BF93,'Feeder Schedule'!$B$5:$B$254,'Feeder Schedule'!$A$5:$A$254),""))</f>
        <v/>
      </c>
      <c r="BH93" s="387" t="str">
        <f>IF($BF93="","",IFERROR(_xlfn.XLOOKUP($BF93,'Feeder Schedule'!$B$5:$B$254,'Feeder Schedule'!$O$5:$O$254),""))</f>
        <v/>
      </c>
      <c r="BI93" s="387" t="str">
        <f>IF($BF93="","",IFERROR(_xlfn.XLOOKUP($BF93,'Feeder Schedule'!$B$5:$B$254,'Feeder Schedule'!$P$5:$P$254),""))</f>
        <v/>
      </c>
      <c r="BJ93" s="387" t="str">
        <f>IF($BF93="","",IFERROR(_xlfn.XLOOKUP($BF93,'Feeder Schedule'!$B$5:$B$254,'Feeder Schedule'!$Q$5:$Q$254),""))</f>
        <v/>
      </c>
      <c r="BK93" s="387" t="str">
        <f>IF($BF93="","",IFERROR(_xlfn.XLOOKUP($BF93,'Feeder Schedule'!$B$5:$B$254,'Feeder Schedule'!$S$5:$S$254),""))</f>
        <v/>
      </c>
      <c r="BL93" s="387" t="str">
        <f>IF($BF93="","",IFERROR(_xlfn.XLOOKUP($BF93,'Feeder Schedule'!$B$5:$B$254,'Feeder Schedule'!$H$5:$H$254),""))</f>
        <v/>
      </c>
      <c r="BM93" s="534" t="str">
        <f>IF($BA93="","",'Short Circuit'!$J93)</f>
        <v/>
      </c>
      <c r="BN93" s="534" t="str">
        <f>IF($BA93="","",'Short Circuit'!$Q93)</f>
        <v/>
      </c>
      <c r="BO93" s="387" t="str">
        <f>IF($BA93="","",'Short Circuit'!$R93)</f>
        <v/>
      </c>
      <c r="BP93" s="535" t="str">
        <f>IF($BA93="","",'Short Circuit'!$S93)</f>
        <v/>
      </c>
      <c r="BQ93" s="387" t="str">
        <f>IF($BA93="","",'Short Circuit'!$T93)</f>
        <v/>
      </c>
      <c r="BR93" s="536" t="str">
        <f>IF($BA93="","",'Voltage Drop'!$G93)</f>
        <v/>
      </c>
      <c r="BS93" s="536" t="str">
        <f>IF($BA93="","",'Voltage Drop'!$H93)</f>
        <v/>
      </c>
      <c r="BT93" s="387" t="str">
        <f>IF($BA93="","",'Voltage Drop'!$K93)</f>
        <v/>
      </c>
      <c r="BU93" s="387" t="str">
        <f t="shared" si="2"/>
        <v/>
      </c>
      <c r="BV93" s="387"/>
      <c r="BW93" s="387" t="b">
        <f t="shared" si="3"/>
        <v>0</v>
      </c>
    </row>
    <row r="94" spans="1:75" ht="15" customHeight="1" x14ac:dyDescent="0.45">
      <c r="A94" s="161"/>
      <c r="B94" s="389"/>
      <c r="C94" s="207"/>
      <c r="D94" s="208"/>
      <c r="E94" s="161"/>
      <c r="F94" s="389"/>
      <c r="G94" s="389"/>
      <c r="H94" s="389"/>
      <c r="I94" s="389"/>
      <c r="J94" s="389"/>
      <c r="K94" s="389"/>
      <c r="L94" s="209"/>
      <c r="M94" s="209"/>
      <c r="N94" s="209"/>
      <c r="O94" s="209"/>
      <c r="P94" s="209"/>
      <c r="Q94" s="161"/>
      <c r="R94" s="390"/>
      <c r="S94" s="390"/>
      <c r="T94" s="161"/>
      <c r="U94" s="389"/>
      <c r="BA94" s="387" t="str">
        <f>IF('Short Circuit'!$A94="","",'Short Circuit'!$A94)</f>
        <v/>
      </c>
      <c r="BB94" s="387" t="str">
        <f>IF($BA94="","",'Short Circuit'!$B94)</f>
        <v/>
      </c>
      <c r="BC94" s="387" t="str">
        <f>IF($BA94="","",'Short Circuit'!$C94)</f>
        <v/>
      </c>
      <c r="BD94" s="387" t="str">
        <f>IF($BA94="","",'Short Circuit'!$D94)</f>
        <v/>
      </c>
      <c r="BE94" s="387" t="str">
        <f>IF($BA94="","",'Short Circuit'!$E94)</f>
        <v/>
      </c>
      <c r="BF94" s="387" t="str">
        <f>IF($BA94="","",IFERROR(_xlfn.XLOOKUP("F-"&amp;$BA94,'Feeder Schedule'!$B$5:$B$254,'Feeder Schedule'!$B$5:$B$254),IFERROR(_xlfn.XLOOKUP($BA94,'Feeder Schedule'!$B$5:$B$254,'Feeder Schedule'!$B$5:$B$254),"")))</f>
        <v/>
      </c>
      <c r="BG94" s="387" t="str">
        <f>IF($BF94="","",IFERROR(_xlfn.XLOOKUP($BF94,'Feeder Schedule'!$B$5:$B$254,'Feeder Schedule'!$A$5:$A$254),""))</f>
        <v/>
      </c>
      <c r="BH94" s="387" t="str">
        <f>IF($BF94="","",IFERROR(_xlfn.XLOOKUP($BF94,'Feeder Schedule'!$B$5:$B$254,'Feeder Schedule'!$O$5:$O$254),""))</f>
        <v/>
      </c>
      <c r="BI94" s="387" t="str">
        <f>IF($BF94="","",IFERROR(_xlfn.XLOOKUP($BF94,'Feeder Schedule'!$B$5:$B$254,'Feeder Schedule'!$P$5:$P$254),""))</f>
        <v/>
      </c>
      <c r="BJ94" s="387" t="str">
        <f>IF($BF94="","",IFERROR(_xlfn.XLOOKUP($BF94,'Feeder Schedule'!$B$5:$B$254,'Feeder Schedule'!$Q$5:$Q$254),""))</f>
        <v/>
      </c>
      <c r="BK94" s="387" t="str">
        <f>IF($BF94="","",IFERROR(_xlfn.XLOOKUP($BF94,'Feeder Schedule'!$B$5:$B$254,'Feeder Schedule'!$S$5:$S$254),""))</f>
        <v/>
      </c>
      <c r="BL94" s="387" t="str">
        <f>IF($BF94="","",IFERROR(_xlfn.XLOOKUP($BF94,'Feeder Schedule'!$B$5:$B$254,'Feeder Schedule'!$H$5:$H$254),""))</f>
        <v/>
      </c>
      <c r="BM94" s="534" t="str">
        <f>IF($BA94="","",'Short Circuit'!$J94)</f>
        <v/>
      </c>
      <c r="BN94" s="534" t="str">
        <f>IF($BA94="","",'Short Circuit'!$Q94)</f>
        <v/>
      </c>
      <c r="BO94" s="387" t="str">
        <f>IF($BA94="","",'Short Circuit'!$R94)</f>
        <v/>
      </c>
      <c r="BP94" s="535" t="str">
        <f>IF($BA94="","",'Short Circuit'!$S94)</f>
        <v/>
      </c>
      <c r="BQ94" s="387" t="str">
        <f>IF($BA94="","",'Short Circuit'!$T94)</f>
        <v/>
      </c>
      <c r="BR94" s="536" t="str">
        <f>IF($BA94="","",'Voltage Drop'!$G94)</f>
        <v/>
      </c>
      <c r="BS94" s="536" t="str">
        <f>IF($BA94="","",'Voltage Drop'!$H94)</f>
        <v/>
      </c>
      <c r="BT94" s="387" t="str">
        <f>IF($BA94="","",'Voltage Drop'!$K94)</f>
        <v/>
      </c>
      <c r="BU94" s="387" t="str">
        <f t="shared" si="2"/>
        <v/>
      </c>
      <c r="BV94" s="387"/>
      <c r="BW94" s="387" t="b">
        <f t="shared" si="3"/>
        <v>0</v>
      </c>
    </row>
    <row r="95" spans="1:75" ht="15" customHeight="1" x14ac:dyDescent="0.45">
      <c r="A95" s="161"/>
      <c r="B95" s="389"/>
      <c r="C95" s="207"/>
      <c r="D95" s="208"/>
      <c r="E95" s="161"/>
      <c r="F95" s="389"/>
      <c r="G95" s="389"/>
      <c r="H95" s="389"/>
      <c r="I95" s="389"/>
      <c r="J95" s="389"/>
      <c r="K95" s="389"/>
      <c r="L95" s="209"/>
      <c r="M95" s="209"/>
      <c r="N95" s="209"/>
      <c r="O95" s="209"/>
      <c r="P95" s="209"/>
      <c r="Q95" s="161"/>
      <c r="R95" s="390"/>
      <c r="S95" s="390"/>
      <c r="T95" s="161"/>
      <c r="U95" s="389"/>
      <c r="BA95" s="387" t="str">
        <f>IF('Short Circuit'!$A95="","",'Short Circuit'!$A95)</f>
        <v/>
      </c>
      <c r="BB95" s="387" t="str">
        <f>IF($BA95="","",'Short Circuit'!$B95)</f>
        <v/>
      </c>
      <c r="BC95" s="387" t="str">
        <f>IF($BA95="","",'Short Circuit'!$C95)</f>
        <v/>
      </c>
      <c r="BD95" s="387" t="str">
        <f>IF($BA95="","",'Short Circuit'!$D95)</f>
        <v/>
      </c>
      <c r="BE95" s="387" t="str">
        <f>IF($BA95="","",'Short Circuit'!$E95)</f>
        <v/>
      </c>
      <c r="BF95" s="387" t="str">
        <f>IF($BA95="","",IFERROR(_xlfn.XLOOKUP("F-"&amp;$BA95,'Feeder Schedule'!$B$5:$B$254,'Feeder Schedule'!$B$5:$B$254),IFERROR(_xlfn.XLOOKUP($BA95,'Feeder Schedule'!$B$5:$B$254,'Feeder Schedule'!$B$5:$B$254),"")))</f>
        <v/>
      </c>
      <c r="BG95" s="387" t="str">
        <f>IF($BF95="","",IFERROR(_xlfn.XLOOKUP($BF95,'Feeder Schedule'!$B$5:$B$254,'Feeder Schedule'!$A$5:$A$254),""))</f>
        <v/>
      </c>
      <c r="BH95" s="387" t="str">
        <f>IF($BF95="","",IFERROR(_xlfn.XLOOKUP($BF95,'Feeder Schedule'!$B$5:$B$254,'Feeder Schedule'!$O$5:$O$254),""))</f>
        <v/>
      </c>
      <c r="BI95" s="387" t="str">
        <f>IF($BF95="","",IFERROR(_xlfn.XLOOKUP($BF95,'Feeder Schedule'!$B$5:$B$254,'Feeder Schedule'!$P$5:$P$254),""))</f>
        <v/>
      </c>
      <c r="BJ95" s="387" t="str">
        <f>IF($BF95="","",IFERROR(_xlfn.XLOOKUP($BF95,'Feeder Schedule'!$B$5:$B$254,'Feeder Schedule'!$Q$5:$Q$254),""))</f>
        <v/>
      </c>
      <c r="BK95" s="387" t="str">
        <f>IF($BF95="","",IFERROR(_xlfn.XLOOKUP($BF95,'Feeder Schedule'!$B$5:$B$254,'Feeder Schedule'!$S$5:$S$254),""))</f>
        <v/>
      </c>
      <c r="BL95" s="387" t="str">
        <f>IF($BF95="","",IFERROR(_xlfn.XLOOKUP($BF95,'Feeder Schedule'!$B$5:$B$254,'Feeder Schedule'!$H$5:$H$254),""))</f>
        <v/>
      </c>
      <c r="BM95" s="534" t="str">
        <f>IF($BA95="","",'Short Circuit'!$J95)</f>
        <v/>
      </c>
      <c r="BN95" s="534" t="str">
        <f>IF($BA95="","",'Short Circuit'!$Q95)</f>
        <v/>
      </c>
      <c r="BO95" s="387" t="str">
        <f>IF($BA95="","",'Short Circuit'!$R95)</f>
        <v/>
      </c>
      <c r="BP95" s="535" t="str">
        <f>IF($BA95="","",'Short Circuit'!$S95)</f>
        <v/>
      </c>
      <c r="BQ95" s="387" t="str">
        <f>IF($BA95="","",'Short Circuit'!$T95)</f>
        <v/>
      </c>
      <c r="BR95" s="536" t="str">
        <f>IF($BA95="","",'Voltage Drop'!$G95)</f>
        <v/>
      </c>
      <c r="BS95" s="536" t="str">
        <f>IF($BA95="","",'Voltage Drop'!$H95)</f>
        <v/>
      </c>
      <c r="BT95" s="387" t="str">
        <f>IF($BA95="","",'Voltage Drop'!$K95)</f>
        <v/>
      </c>
      <c r="BU95" s="387" t="str">
        <f t="shared" si="2"/>
        <v/>
      </c>
      <c r="BV95" s="387"/>
      <c r="BW95" s="387" t="b">
        <f t="shared" si="3"/>
        <v>0</v>
      </c>
    </row>
    <row r="96" spans="1:75" ht="15" customHeight="1" x14ac:dyDescent="0.45">
      <c r="A96" s="161"/>
      <c r="B96" s="389"/>
      <c r="C96" s="207"/>
      <c r="D96" s="208"/>
      <c r="E96" s="161"/>
      <c r="F96" s="389"/>
      <c r="G96" s="389"/>
      <c r="H96" s="389"/>
      <c r="I96" s="389"/>
      <c r="J96" s="389"/>
      <c r="K96" s="389"/>
      <c r="L96" s="209"/>
      <c r="M96" s="209"/>
      <c r="N96" s="209"/>
      <c r="O96" s="209"/>
      <c r="P96" s="209"/>
      <c r="Q96" s="161"/>
      <c r="R96" s="390"/>
      <c r="S96" s="390"/>
      <c r="T96" s="161"/>
      <c r="U96" s="389"/>
      <c r="BA96" s="387" t="str">
        <f>IF('Short Circuit'!$A96="","",'Short Circuit'!$A96)</f>
        <v/>
      </c>
      <c r="BB96" s="387" t="str">
        <f>IF($BA96="","",'Short Circuit'!$B96)</f>
        <v/>
      </c>
      <c r="BC96" s="387" t="str">
        <f>IF($BA96="","",'Short Circuit'!$C96)</f>
        <v/>
      </c>
      <c r="BD96" s="387" t="str">
        <f>IF($BA96="","",'Short Circuit'!$D96)</f>
        <v/>
      </c>
      <c r="BE96" s="387" t="str">
        <f>IF($BA96="","",'Short Circuit'!$E96)</f>
        <v/>
      </c>
      <c r="BF96" s="387" t="str">
        <f>IF($BA96="","",IFERROR(_xlfn.XLOOKUP("F-"&amp;$BA96,'Feeder Schedule'!$B$5:$B$254,'Feeder Schedule'!$B$5:$B$254),IFERROR(_xlfn.XLOOKUP($BA96,'Feeder Schedule'!$B$5:$B$254,'Feeder Schedule'!$B$5:$B$254),"")))</f>
        <v/>
      </c>
      <c r="BG96" s="387" t="str">
        <f>IF($BF96="","",IFERROR(_xlfn.XLOOKUP($BF96,'Feeder Schedule'!$B$5:$B$254,'Feeder Schedule'!$A$5:$A$254),""))</f>
        <v/>
      </c>
      <c r="BH96" s="387" t="str">
        <f>IF($BF96="","",IFERROR(_xlfn.XLOOKUP($BF96,'Feeder Schedule'!$B$5:$B$254,'Feeder Schedule'!$O$5:$O$254),""))</f>
        <v/>
      </c>
      <c r="BI96" s="387" t="str">
        <f>IF($BF96="","",IFERROR(_xlfn.XLOOKUP($BF96,'Feeder Schedule'!$B$5:$B$254,'Feeder Schedule'!$P$5:$P$254),""))</f>
        <v/>
      </c>
      <c r="BJ96" s="387" t="str">
        <f>IF($BF96="","",IFERROR(_xlfn.XLOOKUP($BF96,'Feeder Schedule'!$B$5:$B$254,'Feeder Schedule'!$Q$5:$Q$254),""))</f>
        <v/>
      </c>
      <c r="BK96" s="387" t="str">
        <f>IF($BF96="","",IFERROR(_xlfn.XLOOKUP($BF96,'Feeder Schedule'!$B$5:$B$254,'Feeder Schedule'!$S$5:$S$254),""))</f>
        <v/>
      </c>
      <c r="BL96" s="387" t="str">
        <f>IF($BF96="","",IFERROR(_xlfn.XLOOKUP($BF96,'Feeder Schedule'!$B$5:$B$254,'Feeder Schedule'!$H$5:$H$254),""))</f>
        <v/>
      </c>
      <c r="BM96" s="534" t="str">
        <f>IF($BA96="","",'Short Circuit'!$J96)</f>
        <v/>
      </c>
      <c r="BN96" s="534" t="str">
        <f>IF($BA96="","",'Short Circuit'!$Q96)</f>
        <v/>
      </c>
      <c r="BO96" s="387" t="str">
        <f>IF($BA96="","",'Short Circuit'!$R96)</f>
        <v/>
      </c>
      <c r="BP96" s="535" t="str">
        <f>IF($BA96="","",'Short Circuit'!$S96)</f>
        <v/>
      </c>
      <c r="BQ96" s="387" t="str">
        <f>IF($BA96="","",'Short Circuit'!$T96)</f>
        <v/>
      </c>
      <c r="BR96" s="536" t="str">
        <f>IF($BA96="","",'Voltage Drop'!$G96)</f>
        <v/>
      </c>
      <c r="BS96" s="536" t="str">
        <f>IF($BA96="","",'Voltage Drop'!$H96)</f>
        <v/>
      </c>
      <c r="BT96" s="387" t="str">
        <f>IF($BA96="","",'Voltage Drop'!$K96)</f>
        <v/>
      </c>
      <c r="BU96" s="387" t="str">
        <f t="shared" si="2"/>
        <v/>
      </c>
      <c r="BV96" s="387"/>
      <c r="BW96" s="387" t="b">
        <f t="shared" si="3"/>
        <v>0</v>
      </c>
    </row>
    <row r="97" spans="1:75" ht="15" customHeight="1" x14ac:dyDescent="0.45">
      <c r="A97" s="161"/>
      <c r="B97" s="389"/>
      <c r="C97" s="207"/>
      <c r="D97" s="208"/>
      <c r="E97" s="161"/>
      <c r="F97" s="389"/>
      <c r="G97" s="389"/>
      <c r="H97" s="389"/>
      <c r="I97" s="389"/>
      <c r="J97" s="389"/>
      <c r="K97" s="389"/>
      <c r="L97" s="209"/>
      <c r="M97" s="209"/>
      <c r="N97" s="209"/>
      <c r="O97" s="209"/>
      <c r="P97" s="209"/>
      <c r="Q97" s="161"/>
      <c r="R97" s="390"/>
      <c r="S97" s="390"/>
      <c r="T97" s="161"/>
      <c r="U97" s="389"/>
      <c r="BA97" s="387" t="str">
        <f>IF('Short Circuit'!$A97="","",'Short Circuit'!$A97)</f>
        <v/>
      </c>
      <c r="BB97" s="387" t="str">
        <f>IF($BA97="","",'Short Circuit'!$B97)</f>
        <v/>
      </c>
      <c r="BC97" s="387" t="str">
        <f>IF($BA97="","",'Short Circuit'!$C97)</f>
        <v/>
      </c>
      <c r="BD97" s="387" t="str">
        <f>IF($BA97="","",'Short Circuit'!$D97)</f>
        <v/>
      </c>
      <c r="BE97" s="387" t="str">
        <f>IF($BA97="","",'Short Circuit'!$E97)</f>
        <v/>
      </c>
      <c r="BF97" s="387" t="str">
        <f>IF($BA97="","",IFERROR(_xlfn.XLOOKUP("F-"&amp;$BA97,'Feeder Schedule'!$B$5:$B$254,'Feeder Schedule'!$B$5:$B$254),IFERROR(_xlfn.XLOOKUP($BA97,'Feeder Schedule'!$B$5:$B$254,'Feeder Schedule'!$B$5:$B$254),"")))</f>
        <v/>
      </c>
      <c r="BG97" s="387" t="str">
        <f>IF($BF97="","",IFERROR(_xlfn.XLOOKUP($BF97,'Feeder Schedule'!$B$5:$B$254,'Feeder Schedule'!$A$5:$A$254),""))</f>
        <v/>
      </c>
      <c r="BH97" s="387" t="str">
        <f>IF($BF97="","",IFERROR(_xlfn.XLOOKUP($BF97,'Feeder Schedule'!$B$5:$B$254,'Feeder Schedule'!$O$5:$O$254),""))</f>
        <v/>
      </c>
      <c r="BI97" s="387" t="str">
        <f>IF($BF97="","",IFERROR(_xlfn.XLOOKUP($BF97,'Feeder Schedule'!$B$5:$B$254,'Feeder Schedule'!$P$5:$P$254),""))</f>
        <v/>
      </c>
      <c r="BJ97" s="387" t="str">
        <f>IF($BF97="","",IFERROR(_xlfn.XLOOKUP($BF97,'Feeder Schedule'!$B$5:$B$254,'Feeder Schedule'!$Q$5:$Q$254),""))</f>
        <v/>
      </c>
      <c r="BK97" s="387" t="str">
        <f>IF($BF97="","",IFERROR(_xlfn.XLOOKUP($BF97,'Feeder Schedule'!$B$5:$B$254,'Feeder Schedule'!$S$5:$S$254),""))</f>
        <v/>
      </c>
      <c r="BL97" s="387" t="str">
        <f>IF($BF97="","",IFERROR(_xlfn.XLOOKUP($BF97,'Feeder Schedule'!$B$5:$B$254,'Feeder Schedule'!$H$5:$H$254),""))</f>
        <v/>
      </c>
      <c r="BM97" s="534" t="str">
        <f>IF($BA97="","",'Short Circuit'!$J97)</f>
        <v/>
      </c>
      <c r="BN97" s="534" t="str">
        <f>IF($BA97="","",'Short Circuit'!$Q97)</f>
        <v/>
      </c>
      <c r="BO97" s="387" t="str">
        <f>IF($BA97="","",'Short Circuit'!$R97)</f>
        <v/>
      </c>
      <c r="BP97" s="535" t="str">
        <f>IF($BA97="","",'Short Circuit'!$S97)</f>
        <v/>
      </c>
      <c r="BQ97" s="387" t="str">
        <f>IF($BA97="","",'Short Circuit'!$T97)</f>
        <v/>
      </c>
      <c r="BR97" s="536" t="str">
        <f>IF($BA97="","",'Voltage Drop'!$G97)</f>
        <v/>
      </c>
      <c r="BS97" s="536" t="str">
        <f>IF($BA97="","",'Voltage Drop'!$H97)</f>
        <v/>
      </c>
      <c r="BT97" s="387" t="str">
        <f>IF($BA97="","",'Voltage Drop'!$K97)</f>
        <v/>
      </c>
      <c r="BU97" s="387" t="str">
        <f t="shared" si="2"/>
        <v/>
      </c>
      <c r="BV97" s="387"/>
      <c r="BW97" s="387" t="b">
        <f t="shared" si="3"/>
        <v>0</v>
      </c>
    </row>
    <row r="98" spans="1:75" ht="15" customHeight="1" x14ac:dyDescent="0.45">
      <c r="A98" s="161"/>
      <c r="B98" s="389"/>
      <c r="C98" s="207"/>
      <c r="D98" s="208"/>
      <c r="E98" s="161"/>
      <c r="F98" s="389"/>
      <c r="G98" s="389"/>
      <c r="H98" s="389"/>
      <c r="I98" s="389"/>
      <c r="J98" s="389"/>
      <c r="K98" s="389"/>
      <c r="L98" s="209"/>
      <c r="M98" s="209"/>
      <c r="N98" s="209"/>
      <c r="O98" s="209"/>
      <c r="P98" s="209"/>
      <c r="Q98" s="161"/>
      <c r="R98" s="390"/>
      <c r="S98" s="390"/>
      <c r="T98" s="161"/>
      <c r="U98" s="389"/>
      <c r="BA98" s="387" t="str">
        <f>IF('Short Circuit'!$A98="","",'Short Circuit'!$A98)</f>
        <v/>
      </c>
      <c r="BB98" s="387" t="str">
        <f>IF($BA98="","",'Short Circuit'!$B98)</f>
        <v/>
      </c>
      <c r="BC98" s="387" t="str">
        <f>IF($BA98="","",'Short Circuit'!$C98)</f>
        <v/>
      </c>
      <c r="BD98" s="387" t="str">
        <f>IF($BA98="","",'Short Circuit'!$D98)</f>
        <v/>
      </c>
      <c r="BE98" s="387" t="str">
        <f>IF($BA98="","",'Short Circuit'!$E98)</f>
        <v/>
      </c>
      <c r="BF98" s="387" t="str">
        <f>IF($BA98="","",IFERROR(_xlfn.XLOOKUP("F-"&amp;$BA98,'Feeder Schedule'!$B$5:$B$254,'Feeder Schedule'!$B$5:$B$254),IFERROR(_xlfn.XLOOKUP($BA98,'Feeder Schedule'!$B$5:$B$254,'Feeder Schedule'!$B$5:$B$254),"")))</f>
        <v/>
      </c>
      <c r="BG98" s="387" t="str">
        <f>IF($BF98="","",IFERROR(_xlfn.XLOOKUP($BF98,'Feeder Schedule'!$B$5:$B$254,'Feeder Schedule'!$A$5:$A$254),""))</f>
        <v/>
      </c>
      <c r="BH98" s="387" t="str">
        <f>IF($BF98="","",IFERROR(_xlfn.XLOOKUP($BF98,'Feeder Schedule'!$B$5:$B$254,'Feeder Schedule'!$O$5:$O$254),""))</f>
        <v/>
      </c>
      <c r="BI98" s="387" t="str">
        <f>IF($BF98="","",IFERROR(_xlfn.XLOOKUP($BF98,'Feeder Schedule'!$B$5:$B$254,'Feeder Schedule'!$P$5:$P$254),""))</f>
        <v/>
      </c>
      <c r="BJ98" s="387" t="str">
        <f>IF($BF98="","",IFERROR(_xlfn.XLOOKUP($BF98,'Feeder Schedule'!$B$5:$B$254,'Feeder Schedule'!$Q$5:$Q$254),""))</f>
        <v/>
      </c>
      <c r="BK98" s="387" t="str">
        <f>IF($BF98="","",IFERROR(_xlfn.XLOOKUP($BF98,'Feeder Schedule'!$B$5:$B$254,'Feeder Schedule'!$S$5:$S$254),""))</f>
        <v/>
      </c>
      <c r="BL98" s="387" t="str">
        <f>IF($BF98="","",IFERROR(_xlfn.XLOOKUP($BF98,'Feeder Schedule'!$B$5:$B$254,'Feeder Schedule'!$H$5:$H$254),""))</f>
        <v/>
      </c>
      <c r="BM98" s="534" t="str">
        <f>IF($BA98="","",'Short Circuit'!$J98)</f>
        <v/>
      </c>
      <c r="BN98" s="534" t="str">
        <f>IF($BA98="","",'Short Circuit'!$Q98)</f>
        <v/>
      </c>
      <c r="BO98" s="387" t="str">
        <f>IF($BA98="","",'Short Circuit'!$R98)</f>
        <v/>
      </c>
      <c r="BP98" s="535" t="str">
        <f>IF($BA98="","",'Short Circuit'!$S98)</f>
        <v/>
      </c>
      <c r="BQ98" s="387" t="str">
        <f>IF($BA98="","",'Short Circuit'!$T98)</f>
        <v/>
      </c>
      <c r="BR98" s="536" t="str">
        <f>IF($BA98="","",'Voltage Drop'!$G98)</f>
        <v/>
      </c>
      <c r="BS98" s="536" t="str">
        <f>IF($BA98="","",'Voltage Drop'!$H98)</f>
        <v/>
      </c>
      <c r="BT98" s="387" t="str">
        <f>IF($BA98="","",'Voltage Drop'!$K98)</f>
        <v/>
      </c>
      <c r="BU98" s="387" t="str">
        <f t="shared" si="2"/>
        <v/>
      </c>
      <c r="BV98" s="387"/>
      <c r="BW98" s="387" t="b">
        <f t="shared" si="3"/>
        <v>0</v>
      </c>
    </row>
    <row r="99" spans="1:75" ht="15" customHeight="1" x14ac:dyDescent="0.45">
      <c r="A99" s="161"/>
      <c r="B99" s="389"/>
      <c r="C99" s="207"/>
      <c r="D99" s="208"/>
      <c r="E99" s="161"/>
      <c r="F99" s="389"/>
      <c r="G99" s="389"/>
      <c r="H99" s="389"/>
      <c r="I99" s="389"/>
      <c r="J99" s="389"/>
      <c r="K99" s="389"/>
      <c r="L99" s="209"/>
      <c r="M99" s="209"/>
      <c r="N99" s="209"/>
      <c r="O99" s="209"/>
      <c r="P99" s="209"/>
      <c r="Q99" s="161"/>
      <c r="R99" s="390"/>
      <c r="S99" s="390"/>
      <c r="T99" s="161"/>
      <c r="U99" s="389"/>
      <c r="BA99" s="387" t="str">
        <f>IF('Short Circuit'!$A99="","",'Short Circuit'!$A99)</f>
        <v/>
      </c>
      <c r="BB99" s="387" t="str">
        <f>IF($BA99="","",'Short Circuit'!$B99)</f>
        <v/>
      </c>
      <c r="BC99" s="387" t="str">
        <f>IF($BA99="","",'Short Circuit'!$C99)</f>
        <v/>
      </c>
      <c r="BD99" s="387" t="str">
        <f>IF($BA99="","",'Short Circuit'!$D99)</f>
        <v/>
      </c>
      <c r="BE99" s="387" t="str">
        <f>IF($BA99="","",'Short Circuit'!$E99)</f>
        <v/>
      </c>
      <c r="BF99" s="387" t="str">
        <f>IF($BA99="","",IFERROR(_xlfn.XLOOKUP("F-"&amp;$BA99,'Feeder Schedule'!$B$5:$B$254,'Feeder Schedule'!$B$5:$B$254),IFERROR(_xlfn.XLOOKUP($BA99,'Feeder Schedule'!$B$5:$B$254,'Feeder Schedule'!$B$5:$B$254),"")))</f>
        <v/>
      </c>
      <c r="BG99" s="387" t="str">
        <f>IF($BF99="","",IFERROR(_xlfn.XLOOKUP($BF99,'Feeder Schedule'!$B$5:$B$254,'Feeder Schedule'!$A$5:$A$254),""))</f>
        <v/>
      </c>
      <c r="BH99" s="387" t="str">
        <f>IF($BF99="","",IFERROR(_xlfn.XLOOKUP($BF99,'Feeder Schedule'!$B$5:$B$254,'Feeder Schedule'!$O$5:$O$254),""))</f>
        <v/>
      </c>
      <c r="BI99" s="387" t="str">
        <f>IF($BF99="","",IFERROR(_xlfn.XLOOKUP($BF99,'Feeder Schedule'!$B$5:$B$254,'Feeder Schedule'!$P$5:$P$254),""))</f>
        <v/>
      </c>
      <c r="BJ99" s="387" t="str">
        <f>IF($BF99="","",IFERROR(_xlfn.XLOOKUP($BF99,'Feeder Schedule'!$B$5:$B$254,'Feeder Schedule'!$Q$5:$Q$254),""))</f>
        <v/>
      </c>
      <c r="BK99" s="387" t="str">
        <f>IF($BF99="","",IFERROR(_xlfn.XLOOKUP($BF99,'Feeder Schedule'!$B$5:$B$254,'Feeder Schedule'!$S$5:$S$254),""))</f>
        <v/>
      </c>
      <c r="BL99" s="387" t="str">
        <f>IF($BF99="","",IFERROR(_xlfn.XLOOKUP($BF99,'Feeder Schedule'!$B$5:$B$254,'Feeder Schedule'!$H$5:$H$254),""))</f>
        <v/>
      </c>
      <c r="BM99" s="534" t="str">
        <f>IF($BA99="","",'Short Circuit'!$J99)</f>
        <v/>
      </c>
      <c r="BN99" s="534" t="str">
        <f>IF($BA99="","",'Short Circuit'!$Q99)</f>
        <v/>
      </c>
      <c r="BO99" s="387" t="str">
        <f>IF($BA99="","",'Short Circuit'!$R99)</f>
        <v/>
      </c>
      <c r="BP99" s="535" t="str">
        <f>IF($BA99="","",'Short Circuit'!$S99)</f>
        <v/>
      </c>
      <c r="BQ99" s="387" t="str">
        <f>IF($BA99="","",'Short Circuit'!$T99)</f>
        <v/>
      </c>
      <c r="BR99" s="536" t="str">
        <f>IF($BA99="","",'Voltage Drop'!$G99)</f>
        <v/>
      </c>
      <c r="BS99" s="536" t="str">
        <f>IF($BA99="","",'Voltage Drop'!$H99)</f>
        <v/>
      </c>
      <c r="BT99" s="387" t="str">
        <f>IF($BA99="","",'Voltage Drop'!$K99)</f>
        <v/>
      </c>
      <c r="BU99" s="387" t="str">
        <f t="shared" si="2"/>
        <v/>
      </c>
      <c r="BV99" s="387"/>
      <c r="BW99" s="387" t="b">
        <f t="shared" si="3"/>
        <v>0</v>
      </c>
    </row>
    <row r="100" spans="1:75" ht="15" customHeight="1" x14ac:dyDescent="0.45">
      <c r="A100" s="161"/>
      <c r="B100" s="389"/>
      <c r="C100" s="207"/>
      <c r="D100" s="208"/>
      <c r="E100" s="161"/>
      <c r="F100" s="389"/>
      <c r="G100" s="389"/>
      <c r="H100" s="389"/>
      <c r="I100" s="389"/>
      <c r="J100" s="389"/>
      <c r="K100" s="389"/>
      <c r="L100" s="209"/>
      <c r="M100" s="209"/>
      <c r="N100" s="209"/>
      <c r="O100" s="209"/>
      <c r="P100" s="209"/>
      <c r="Q100" s="161"/>
      <c r="R100" s="390"/>
      <c r="S100" s="390"/>
      <c r="T100" s="161"/>
      <c r="U100" s="389"/>
      <c r="BA100" s="387" t="str">
        <f>IF('Short Circuit'!$A100="","",'Short Circuit'!$A100)</f>
        <v/>
      </c>
      <c r="BB100" s="387" t="str">
        <f>IF($BA100="","",'Short Circuit'!$B100)</f>
        <v/>
      </c>
      <c r="BC100" s="387" t="str">
        <f>IF($BA100="","",'Short Circuit'!$C100)</f>
        <v/>
      </c>
      <c r="BD100" s="387" t="str">
        <f>IF($BA100="","",'Short Circuit'!$D100)</f>
        <v/>
      </c>
      <c r="BE100" s="387" t="str">
        <f>IF($BA100="","",'Short Circuit'!$E100)</f>
        <v/>
      </c>
      <c r="BF100" s="387" t="str">
        <f>IF($BA100="","",IFERROR(_xlfn.XLOOKUP("F-"&amp;$BA100,'Feeder Schedule'!$B$5:$B$254,'Feeder Schedule'!$B$5:$B$254),IFERROR(_xlfn.XLOOKUP($BA100,'Feeder Schedule'!$B$5:$B$254,'Feeder Schedule'!$B$5:$B$254),"")))</f>
        <v/>
      </c>
      <c r="BG100" s="387" t="str">
        <f>IF($BF100="","",IFERROR(_xlfn.XLOOKUP($BF100,'Feeder Schedule'!$B$5:$B$254,'Feeder Schedule'!$A$5:$A$254),""))</f>
        <v/>
      </c>
      <c r="BH100" s="387" t="str">
        <f>IF($BF100="","",IFERROR(_xlfn.XLOOKUP($BF100,'Feeder Schedule'!$B$5:$B$254,'Feeder Schedule'!$O$5:$O$254),""))</f>
        <v/>
      </c>
      <c r="BI100" s="387" t="str">
        <f>IF($BF100="","",IFERROR(_xlfn.XLOOKUP($BF100,'Feeder Schedule'!$B$5:$B$254,'Feeder Schedule'!$P$5:$P$254),""))</f>
        <v/>
      </c>
      <c r="BJ100" s="387" t="str">
        <f>IF($BF100="","",IFERROR(_xlfn.XLOOKUP($BF100,'Feeder Schedule'!$B$5:$B$254,'Feeder Schedule'!$Q$5:$Q$254),""))</f>
        <v/>
      </c>
      <c r="BK100" s="387" t="str">
        <f>IF($BF100="","",IFERROR(_xlfn.XLOOKUP($BF100,'Feeder Schedule'!$B$5:$B$254,'Feeder Schedule'!$S$5:$S$254),""))</f>
        <v/>
      </c>
      <c r="BL100" s="387" t="str">
        <f>IF($BF100="","",IFERROR(_xlfn.XLOOKUP($BF100,'Feeder Schedule'!$B$5:$B$254,'Feeder Schedule'!$H$5:$H$254),""))</f>
        <v/>
      </c>
      <c r="BM100" s="534" t="str">
        <f>IF($BA100="","",'Short Circuit'!$J100)</f>
        <v/>
      </c>
      <c r="BN100" s="534" t="str">
        <f>IF($BA100="","",'Short Circuit'!$Q100)</f>
        <v/>
      </c>
      <c r="BO100" s="387" t="str">
        <f>IF($BA100="","",'Short Circuit'!$R100)</f>
        <v/>
      </c>
      <c r="BP100" s="535" t="str">
        <f>IF($BA100="","",'Short Circuit'!$S100)</f>
        <v/>
      </c>
      <c r="BQ100" s="387" t="str">
        <f>IF($BA100="","",'Short Circuit'!$T100)</f>
        <v/>
      </c>
      <c r="BR100" s="536" t="str">
        <f>IF($BA100="","",'Voltage Drop'!$G100)</f>
        <v/>
      </c>
      <c r="BS100" s="536" t="str">
        <f>IF($BA100="","",'Voltage Drop'!$H100)</f>
        <v/>
      </c>
      <c r="BT100" s="387" t="str">
        <f>IF($BA100="","",'Voltage Drop'!$K100)</f>
        <v/>
      </c>
      <c r="BU100" s="387" t="str">
        <f t="shared" si="2"/>
        <v/>
      </c>
      <c r="BV100" s="387"/>
      <c r="BW100" s="387" t="b">
        <f t="shared" si="3"/>
        <v>0</v>
      </c>
    </row>
    <row r="101" spans="1:75" ht="15" customHeight="1" x14ac:dyDescent="0.45">
      <c r="A101" s="161"/>
      <c r="B101" s="389"/>
      <c r="C101" s="207"/>
      <c r="D101" s="208"/>
      <c r="E101" s="161"/>
      <c r="F101" s="389"/>
      <c r="G101" s="389"/>
      <c r="H101" s="389"/>
      <c r="I101" s="389"/>
      <c r="J101" s="389"/>
      <c r="K101" s="389"/>
      <c r="L101" s="209"/>
      <c r="M101" s="209"/>
      <c r="N101" s="209"/>
      <c r="O101" s="209"/>
      <c r="P101" s="209"/>
      <c r="Q101" s="161"/>
      <c r="R101" s="390"/>
      <c r="S101" s="390"/>
      <c r="T101" s="161"/>
      <c r="U101" s="389"/>
      <c r="BA101" s="387" t="str">
        <f>IF('Short Circuit'!$A101="","",'Short Circuit'!$A101)</f>
        <v/>
      </c>
      <c r="BB101" s="387" t="str">
        <f>IF($BA101="","",'Short Circuit'!$B101)</f>
        <v/>
      </c>
      <c r="BC101" s="387" t="str">
        <f>IF($BA101="","",'Short Circuit'!$C101)</f>
        <v/>
      </c>
      <c r="BD101" s="387" t="str">
        <f>IF($BA101="","",'Short Circuit'!$D101)</f>
        <v/>
      </c>
      <c r="BE101" s="387" t="str">
        <f>IF($BA101="","",'Short Circuit'!$E101)</f>
        <v/>
      </c>
      <c r="BF101" s="387" t="str">
        <f>IF($BA101="","",IFERROR(_xlfn.XLOOKUP("F-"&amp;$BA101,'Feeder Schedule'!$B$5:$B$254,'Feeder Schedule'!$B$5:$B$254),IFERROR(_xlfn.XLOOKUP($BA101,'Feeder Schedule'!$B$5:$B$254,'Feeder Schedule'!$B$5:$B$254),"")))</f>
        <v/>
      </c>
      <c r="BG101" s="387" t="str">
        <f>IF($BF101="","",IFERROR(_xlfn.XLOOKUP($BF101,'Feeder Schedule'!$B$5:$B$254,'Feeder Schedule'!$A$5:$A$254),""))</f>
        <v/>
      </c>
      <c r="BH101" s="387" t="str">
        <f>IF($BF101="","",IFERROR(_xlfn.XLOOKUP($BF101,'Feeder Schedule'!$B$5:$B$254,'Feeder Schedule'!$O$5:$O$254),""))</f>
        <v/>
      </c>
      <c r="BI101" s="387" t="str">
        <f>IF($BF101="","",IFERROR(_xlfn.XLOOKUP($BF101,'Feeder Schedule'!$B$5:$B$254,'Feeder Schedule'!$P$5:$P$254),""))</f>
        <v/>
      </c>
      <c r="BJ101" s="387" t="str">
        <f>IF($BF101="","",IFERROR(_xlfn.XLOOKUP($BF101,'Feeder Schedule'!$B$5:$B$254,'Feeder Schedule'!$Q$5:$Q$254),""))</f>
        <v/>
      </c>
      <c r="BK101" s="387" t="str">
        <f>IF($BF101="","",IFERROR(_xlfn.XLOOKUP($BF101,'Feeder Schedule'!$B$5:$B$254,'Feeder Schedule'!$S$5:$S$254),""))</f>
        <v/>
      </c>
      <c r="BL101" s="387" t="str">
        <f>IF($BF101="","",IFERROR(_xlfn.XLOOKUP($BF101,'Feeder Schedule'!$B$5:$B$254,'Feeder Schedule'!$H$5:$H$254),""))</f>
        <v/>
      </c>
      <c r="BM101" s="534" t="str">
        <f>IF($BA101="","",'Short Circuit'!$J101)</f>
        <v/>
      </c>
      <c r="BN101" s="534" t="str">
        <f>IF($BA101="","",'Short Circuit'!$Q101)</f>
        <v/>
      </c>
      <c r="BO101" s="387" t="str">
        <f>IF($BA101="","",'Short Circuit'!$R101)</f>
        <v/>
      </c>
      <c r="BP101" s="535" t="str">
        <f>IF($BA101="","",'Short Circuit'!$S101)</f>
        <v/>
      </c>
      <c r="BQ101" s="387" t="str">
        <f>IF($BA101="","",'Short Circuit'!$T101)</f>
        <v/>
      </c>
      <c r="BR101" s="536" t="str">
        <f>IF($BA101="","",'Voltage Drop'!$G101)</f>
        <v/>
      </c>
      <c r="BS101" s="536" t="str">
        <f>IF($BA101="","",'Voltage Drop'!$H101)</f>
        <v/>
      </c>
      <c r="BT101" s="387" t="str">
        <f>IF($BA101="","",'Voltage Drop'!$K101)</f>
        <v/>
      </c>
      <c r="BU101" s="387" t="str">
        <f t="shared" si="2"/>
        <v/>
      </c>
      <c r="BV101" s="387"/>
      <c r="BW101" s="387" t="b">
        <f t="shared" si="3"/>
        <v>0</v>
      </c>
    </row>
    <row r="102" spans="1:75" ht="15" customHeight="1" x14ac:dyDescent="0.45">
      <c r="A102" s="161"/>
      <c r="B102" s="389"/>
      <c r="C102" s="207"/>
      <c r="D102" s="208"/>
      <c r="E102" s="161"/>
      <c r="F102" s="389"/>
      <c r="G102" s="389"/>
      <c r="H102" s="389"/>
      <c r="I102" s="389"/>
      <c r="J102" s="389"/>
      <c r="K102" s="389"/>
      <c r="L102" s="209"/>
      <c r="M102" s="209"/>
      <c r="N102" s="209"/>
      <c r="O102" s="209"/>
      <c r="P102" s="209"/>
      <c r="Q102" s="161"/>
      <c r="R102" s="390"/>
      <c r="S102" s="390"/>
      <c r="T102" s="161"/>
      <c r="U102" s="389"/>
      <c r="BA102" s="387" t="str">
        <f>IF('Short Circuit'!$A102="","",'Short Circuit'!$A102)</f>
        <v/>
      </c>
      <c r="BB102" s="387" t="str">
        <f>IF($BA102="","",'Short Circuit'!$B102)</f>
        <v/>
      </c>
      <c r="BC102" s="387" t="str">
        <f>IF($BA102="","",'Short Circuit'!$C102)</f>
        <v/>
      </c>
      <c r="BD102" s="387" t="str">
        <f>IF($BA102="","",'Short Circuit'!$D102)</f>
        <v/>
      </c>
      <c r="BE102" s="387" t="str">
        <f>IF($BA102="","",'Short Circuit'!$E102)</f>
        <v/>
      </c>
      <c r="BF102" s="387" t="str">
        <f>IF($BA102="","",IFERROR(_xlfn.XLOOKUP("F-"&amp;$BA102,'Feeder Schedule'!$B$5:$B$254,'Feeder Schedule'!$B$5:$B$254),IFERROR(_xlfn.XLOOKUP($BA102,'Feeder Schedule'!$B$5:$B$254,'Feeder Schedule'!$B$5:$B$254),"")))</f>
        <v/>
      </c>
      <c r="BG102" s="387" t="str">
        <f>IF($BF102="","",IFERROR(_xlfn.XLOOKUP($BF102,'Feeder Schedule'!$B$5:$B$254,'Feeder Schedule'!$A$5:$A$254),""))</f>
        <v/>
      </c>
      <c r="BH102" s="387" t="str">
        <f>IF($BF102="","",IFERROR(_xlfn.XLOOKUP($BF102,'Feeder Schedule'!$B$5:$B$254,'Feeder Schedule'!$O$5:$O$254),""))</f>
        <v/>
      </c>
      <c r="BI102" s="387" t="str">
        <f>IF($BF102="","",IFERROR(_xlfn.XLOOKUP($BF102,'Feeder Schedule'!$B$5:$B$254,'Feeder Schedule'!$P$5:$P$254),""))</f>
        <v/>
      </c>
      <c r="BJ102" s="387" t="str">
        <f>IF($BF102="","",IFERROR(_xlfn.XLOOKUP($BF102,'Feeder Schedule'!$B$5:$B$254,'Feeder Schedule'!$Q$5:$Q$254),""))</f>
        <v/>
      </c>
      <c r="BK102" s="387" t="str">
        <f>IF($BF102="","",IFERROR(_xlfn.XLOOKUP($BF102,'Feeder Schedule'!$B$5:$B$254,'Feeder Schedule'!$S$5:$S$254),""))</f>
        <v/>
      </c>
      <c r="BL102" s="387" t="str">
        <f>IF($BF102="","",IFERROR(_xlfn.XLOOKUP($BF102,'Feeder Schedule'!$B$5:$B$254,'Feeder Schedule'!$H$5:$H$254),""))</f>
        <v/>
      </c>
      <c r="BM102" s="534" t="str">
        <f>IF($BA102="","",'Short Circuit'!$J102)</f>
        <v/>
      </c>
      <c r="BN102" s="534" t="str">
        <f>IF($BA102="","",'Short Circuit'!$Q102)</f>
        <v/>
      </c>
      <c r="BO102" s="387" t="str">
        <f>IF($BA102="","",'Short Circuit'!$R102)</f>
        <v/>
      </c>
      <c r="BP102" s="535" t="str">
        <f>IF($BA102="","",'Short Circuit'!$S102)</f>
        <v/>
      </c>
      <c r="BQ102" s="387" t="str">
        <f>IF($BA102="","",'Short Circuit'!$T102)</f>
        <v/>
      </c>
      <c r="BR102" s="536" t="str">
        <f>IF($BA102="","",'Voltage Drop'!$G102)</f>
        <v/>
      </c>
      <c r="BS102" s="536" t="str">
        <f>IF($BA102="","",'Voltage Drop'!$H102)</f>
        <v/>
      </c>
      <c r="BT102" s="387" t="str">
        <f>IF($BA102="","",'Voltage Drop'!$K102)</f>
        <v/>
      </c>
      <c r="BU102" s="387" t="str">
        <f t="shared" si="2"/>
        <v/>
      </c>
      <c r="BV102" s="387"/>
      <c r="BW102" s="387" t="b">
        <f t="shared" si="3"/>
        <v>0</v>
      </c>
    </row>
    <row r="103" spans="1:75" ht="15" customHeight="1" x14ac:dyDescent="0.45">
      <c r="A103" s="161"/>
      <c r="B103" s="389"/>
      <c r="C103" s="207"/>
      <c r="D103" s="208"/>
      <c r="E103" s="161"/>
      <c r="F103" s="389"/>
      <c r="G103" s="389"/>
      <c r="H103" s="389"/>
      <c r="I103" s="389"/>
      <c r="J103" s="389"/>
      <c r="K103" s="389"/>
      <c r="L103" s="209"/>
      <c r="M103" s="209"/>
      <c r="N103" s="209"/>
      <c r="O103" s="209"/>
      <c r="P103" s="209"/>
      <c r="Q103" s="161"/>
      <c r="R103" s="390"/>
      <c r="S103" s="390"/>
      <c r="T103" s="161"/>
      <c r="U103" s="389"/>
      <c r="BA103" s="387" t="str">
        <f>IF('Short Circuit'!$A103="","",'Short Circuit'!$A103)</f>
        <v/>
      </c>
      <c r="BB103" s="387" t="str">
        <f>IF($BA103="","",'Short Circuit'!$B103)</f>
        <v/>
      </c>
      <c r="BC103" s="387" t="str">
        <f>IF($BA103="","",'Short Circuit'!$C103)</f>
        <v/>
      </c>
      <c r="BD103" s="387" t="str">
        <f>IF($BA103="","",'Short Circuit'!$D103)</f>
        <v/>
      </c>
      <c r="BE103" s="387" t="str">
        <f>IF($BA103="","",'Short Circuit'!$E103)</f>
        <v/>
      </c>
      <c r="BF103" s="387" t="str">
        <f>IF($BA103="","",IFERROR(_xlfn.XLOOKUP("F-"&amp;$BA103,'Feeder Schedule'!$B$5:$B$254,'Feeder Schedule'!$B$5:$B$254),IFERROR(_xlfn.XLOOKUP($BA103,'Feeder Schedule'!$B$5:$B$254,'Feeder Schedule'!$B$5:$B$254),"")))</f>
        <v/>
      </c>
      <c r="BG103" s="387" t="str">
        <f>IF($BF103="","",IFERROR(_xlfn.XLOOKUP($BF103,'Feeder Schedule'!$B$5:$B$254,'Feeder Schedule'!$A$5:$A$254),""))</f>
        <v/>
      </c>
      <c r="BH103" s="387" t="str">
        <f>IF($BF103="","",IFERROR(_xlfn.XLOOKUP($BF103,'Feeder Schedule'!$B$5:$B$254,'Feeder Schedule'!$O$5:$O$254),""))</f>
        <v/>
      </c>
      <c r="BI103" s="387" t="str">
        <f>IF($BF103="","",IFERROR(_xlfn.XLOOKUP($BF103,'Feeder Schedule'!$B$5:$B$254,'Feeder Schedule'!$P$5:$P$254),""))</f>
        <v/>
      </c>
      <c r="BJ103" s="387" t="str">
        <f>IF($BF103="","",IFERROR(_xlfn.XLOOKUP($BF103,'Feeder Schedule'!$B$5:$B$254,'Feeder Schedule'!$Q$5:$Q$254),""))</f>
        <v/>
      </c>
      <c r="BK103" s="387" t="str">
        <f>IF($BF103="","",IFERROR(_xlfn.XLOOKUP($BF103,'Feeder Schedule'!$B$5:$B$254,'Feeder Schedule'!$S$5:$S$254),""))</f>
        <v/>
      </c>
      <c r="BL103" s="387" t="str">
        <f>IF($BF103="","",IFERROR(_xlfn.XLOOKUP($BF103,'Feeder Schedule'!$B$5:$B$254,'Feeder Schedule'!$H$5:$H$254),""))</f>
        <v/>
      </c>
      <c r="BM103" s="534" t="str">
        <f>IF($BA103="","",'Short Circuit'!$J103)</f>
        <v/>
      </c>
      <c r="BN103" s="534" t="str">
        <f>IF($BA103="","",'Short Circuit'!$Q103)</f>
        <v/>
      </c>
      <c r="BO103" s="387" t="str">
        <f>IF($BA103="","",'Short Circuit'!$R103)</f>
        <v/>
      </c>
      <c r="BP103" s="535" t="str">
        <f>IF($BA103="","",'Short Circuit'!$S103)</f>
        <v/>
      </c>
      <c r="BQ103" s="387" t="str">
        <f>IF($BA103="","",'Short Circuit'!$T103)</f>
        <v/>
      </c>
      <c r="BR103" s="536" t="str">
        <f>IF($BA103="","",'Voltage Drop'!$G103)</f>
        <v/>
      </c>
      <c r="BS103" s="536" t="str">
        <f>IF($BA103="","",'Voltage Drop'!$H103)</f>
        <v/>
      </c>
      <c r="BT103" s="387" t="str">
        <f>IF($BA103="","",'Voltage Drop'!$K103)</f>
        <v/>
      </c>
      <c r="BU103" s="387" t="str">
        <f t="shared" si="2"/>
        <v/>
      </c>
      <c r="BV103" s="387"/>
      <c r="BW103" s="387" t="b">
        <f t="shared" si="3"/>
        <v>0</v>
      </c>
    </row>
    <row r="104" spans="1:75" ht="15" customHeight="1" x14ac:dyDescent="0.45">
      <c r="A104" s="161"/>
      <c r="B104" s="389"/>
      <c r="C104" s="207"/>
      <c r="D104" s="208"/>
      <c r="E104" s="161"/>
      <c r="F104" s="389"/>
      <c r="G104" s="389"/>
      <c r="H104" s="389"/>
      <c r="I104" s="389"/>
      <c r="J104" s="389"/>
      <c r="K104" s="389"/>
      <c r="L104" s="209"/>
      <c r="M104" s="209"/>
      <c r="N104" s="209"/>
      <c r="O104" s="209"/>
      <c r="P104" s="209"/>
      <c r="Q104" s="161"/>
      <c r="R104" s="390"/>
      <c r="S104" s="390"/>
      <c r="T104" s="161"/>
      <c r="U104" s="389"/>
      <c r="BA104" s="387" t="str">
        <f>IF('Short Circuit'!$A104="","",'Short Circuit'!$A104)</f>
        <v/>
      </c>
      <c r="BB104" s="387" t="str">
        <f>IF($BA104="","",'Short Circuit'!$B104)</f>
        <v/>
      </c>
      <c r="BC104" s="387" t="str">
        <f>IF($BA104="","",'Short Circuit'!$C104)</f>
        <v/>
      </c>
      <c r="BD104" s="387" t="str">
        <f>IF($BA104="","",'Short Circuit'!$D104)</f>
        <v/>
      </c>
      <c r="BE104" s="387" t="str">
        <f>IF($BA104="","",'Short Circuit'!$E104)</f>
        <v/>
      </c>
      <c r="BF104" s="387" t="str">
        <f>IF($BA104="","",IFERROR(_xlfn.XLOOKUP("F-"&amp;$BA104,'Feeder Schedule'!$B$5:$B$254,'Feeder Schedule'!$B$5:$B$254),IFERROR(_xlfn.XLOOKUP($BA104,'Feeder Schedule'!$B$5:$B$254,'Feeder Schedule'!$B$5:$B$254),"")))</f>
        <v/>
      </c>
      <c r="BG104" s="387" t="str">
        <f>IF($BF104="","",IFERROR(_xlfn.XLOOKUP($BF104,'Feeder Schedule'!$B$5:$B$254,'Feeder Schedule'!$A$5:$A$254),""))</f>
        <v/>
      </c>
      <c r="BH104" s="387" t="str">
        <f>IF($BF104="","",IFERROR(_xlfn.XLOOKUP($BF104,'Feeder Schedule'!$B$5:$B$254,'Feeder Schedule'!$O$5:$O$254),""))</f>
        <v/>
      </c>
      <c r="BI104" s="387" t="str">
        <f>IF($BF104="","",IFERROR(_xlfn.XLOOKUP($BF104,'Feeder Schedule'!$B$5:$B$254,'Feeder Schedule'!$P$5:$P$254),""))</f>
        <v/>
      </c>
      <c r="BJ104" s="387" t="str">
        <f>IF($BF104="","",IFERROR(_xlfn.XLOOKUP($BF104,'Feeder Schedule'!$B$5:$B$254,'Feeder Schedule'!$Q$5:$Q$254),""))</f>
        <v/>
      </c>
      <c r="BK104" s="387" t="str">
        <f>IF($BF104="","",IFERROR(_xlfn.XLOOKUP($BF104,'Feeder Schedule'!$B$5:$B$254,'Feeder Schedule'!$S$5:$S$254),""))</f>
        <v/>
      </c>
      <c r="BL104" s="387" t="str">
        <f>IF($BF104="","",IFERROR(_xlfn.XLOOKUP($BF104,'Feeder Schedule'!$B$5:$B$254,'Feeder Schedule'!$H$5:$H$254),""))</f>
        <v/>
      </c>
      <c r="BM104" s="534" t="str">
        <f>IF($BA104="","",'Short Circuit'!$J104)</f>
        <v/>
      </c>
      <c r="BN104" s="534" t="str">
        <f>IF($BA104="","",'Short Circuit'!$Q104)</f>
        <v/>
      </c>
      <c r="BO104" s="387" t="str">
        <f>IF($BA104="","",'Short Circuit'!$R104)</f>
        <v/>
      </c>
      <c r="BP104" s="535" t="str">
        <f>IF($BA104="","",'Short Circuit'!$S104)</f>
        <v/>
      </c>
      <c r="BQ104" s="387" t="str">
        <f>IF($BA104="","",'Short Circuit'!$T104)</f>
        <v/>
      </c>
      <c r="BR104" s="536" t="str">
        <f>IF($BA104="","",'Voltage Drop'!$G104)</f>
        <v/>
      </c>
      <c r="BS104" s="536" t="str">
        <f>IF($BA104="","",'Voltage Drop'!$H104)</f>
        <v/>
      </c>
      <c r="BT104" s="387" t="str">
        <f>IF($BA104="","",'Voltage Drop'!$K104)</f>
        <v/>
      </c>
      <c r="BU104" s="387" t="str">
        <f t="shared" si="2"/>
        <v/>
      </c>
      <c r="BV104" s="387"/>
      <c r="BW104" s="387" t="b">
        <f t="shared" si="3"/>
        <v>0</v>
      </c>
    </row>
    <row r="105" spans="1:75" ht="15" customHeight="1" x14ac:dyDescent="0.45">
      <c r="A105" s="161"/>
      <c r="B105" s="389"/>
      <c r="C105" s="207"/>
      <c r="D105" s="208"/>
      <c r="E105" s="161"/>
      <c r="F105" s="389"/>
      <c r="G105" s="389"/>
      <c r="H105" s="389"/>
      <c r="I105" s="389"/>
      <c r="J105" s="389"/>
      <c r="K105" s="389"/>
      <c r="L105" s="209"/>
      <c r="M105" s="209"/>
      <c r="N105" s="209"/>
      <c r="O105" s="209"/>
      <c r="P105" s="209"/>
      <c r="Q105" s="161"/>
      <c r="R105" s="390"/>
      <c r="S105" s="390"/>
      <c r="T105" s="161"/>
      <c r="U105" s="389"/>
      <c r="BA105" s="387" t="str">
        <f>IF('Short Circuit'!$A105="","",'Short Circuit'!$A105)</f>
        <v/>
      </c>
      <c r="BB105" s="387" t="str">
        <f>IF($BA105="","",'Short Circuit'!$B105)</f>
        <v/>
      </c>
      <c r="BC105" s="387" t="str">
        <f>IF($BA105="","",'Short Circuit'!$C105)</f>
        <v/>
      </c>
      <c r="BD105" s="387" t="str">
        <f>IF($BA105="","",'Short Circuit'!$D105)</f>
        <v/>
      </c>
      <c r="BE105" s="387" t="str">
        <f>IF($BA105="","",'Short Circuit'!$E105)</f>
        <v/>
      </c>
      <c r="BF105" s="387" t="str">
        <f>IF($BA105="","",IFERROR(_xlfn.XLOOKUP("F-"&amp;$BA105,'Feeder Schedule'!$B$5:$B$254,'Feeder Schedule'!$B$5:$B$254),IFERROR(_xlfn.XLOOKUP($BA105,'Feeder Schedule'!$B$5:$B$254,'Feeder Schedule'!$B$5:$B$254),"")))</f>
        <v/>
      </c>
      <c r="BG105" s="387" t="str">
        <f>IF($BF105="","",IFERROR(_xlfn.XLOOKUP($BF105,'Feeder Schedule'!$B$5:$B$254,'Feeder Schedule'!$A$5:$A$254),""))</f>
        <v/>
      </c>
      <c r="BH105" s="387" t="str">
        <f>IF($BF105="","",IFERROR(_xlfn.XLOOKUP($BF105,'Feeder Schedule'!$B$5:$B$254,'Feeder Schedule'!$O$5:$O$254),""))</f>
        <v/>
      </c>
      <c r="BI105" s="387" t="str">
        <f>IF($BF105="","",IFERROR(_xlfn.XLOOKUP($BF105,'Feeder Schedule'!$B$5:$B$254,'Feeder Schedule'!$P$5:$P$254),""))</f>
        <v/>
      </c>
      <c r="BJ105" s="387" t="str">
        <f>IF($BF105="","",IFERROR(_xlfn.XLOOKUP($BF105,'Feeder Schedule'!$B$5:$B$254,'Feeder Schedule'!$Q$5:$Q$254),""))</f>
        <v/>
      </c>
      <c r="BK105" s="387" t="str">
        <f>IF($BF105="","",IFERROR(_xlfn.XLOOKUP($BF105,'Feeder Schedule'!$B$5:$B$254,'Feeder Schedule'!$S$5:$S$254),""))</f>
        <v/>
      </c>
      <c r="BL105" s="387" t="str">
        <f>IF($BF105="","",IFERROR(_xlfn.XLOOKUP($BF105,'Feeder Schedule'!$B$5:$B$254,'Feeder Schedule'!$H$5:$H$254),""))</f>
        <v/>
      </c>
      <c r="BM105" s="534" t="str">
        <f>IF($BA105="","",'Short Circuit'!$J105)</f>
        <v/>
      </c>
      <c r="BN105" s="534" t="str">
        <f>IF($BA105="","",'Short Circuit'!$Q105)</f>
        <v/>
      </c>
      <c r="BO105" s="387" t="str">
        <f>IF($BA105="","",'Short Circuit'!$R105)</f>
        <v/>
      </c>
      <c r="BP105" s="535" t="str">
        <f>IF($BA105="","",'Short Circuit'!$S105)</f>
        <v/>
      </c>
      <c r="BQ105" s="387" t="str">
        <f>IF($BA105="","",'Short Circuit'!$T105)</f>
        <v/>
      </c>
      <c r="BR105" s="536" t="str">
        <f>IF($BA105="","",'Voltage Drop'!$G105)</f>
        <v/>
      </c>
      <c r="BS105" s="536" t="str">
        <f>IF($BA105="","",'Voltage Drop'!$H105)</f>
        <v/>
      </c>
      <c r="BT105" s="387" t="str">
        <f>IF($BA105="","",'Voltage Drop'!$K105)</f>
        <v/>
      </c>
      <c r="BU105" s="387" t="str">
        <f t="shared" si="2"/>
        <v/>
      </c>
      <c r="BV105" s="387"/>
      <c r="BW105" s="387" t="b">
        <f t="shared" si="3"/>
        <v>0</v>
      </c>
    </row>
    <row r="106" spans="1:75" ht="15" customHeight="1" x14ac:dyDescent="0.45">
      <c r="A106" s="161"/>
      <c r="B106" s="389"/>
      <c r="C106" s="207"/>
      <c r="D106" s="208"/>
      <c r="E106" s="161"/>
      <c r="F106" s="389"/>
      <c r="G106" s="389"/>
      <c r="H106" s="389"/>
      <c r="I106" s="389"/>
      <c r="J106" s="389"/>
      <c r="K106" s="389"/>
      <c r="L106" s="209"/>
      <c r="M106" s="209"/>
      <c r="N106" s="209"/>
      <c r="O106" s="209"/>
      <c r="P106" s="209"/>
      <c r="Q106" s="161"/>
      <c r="R106" s="390"/>
      <c r="S106" s="390"/>
      <c r="T106" s="161"/>
      <c r="U106" s="389"/>
      <c r="BA106" s="387" t="str">
        <f>IF('Short Circuit'!$A106="","",'Short Circuit'!$A106)</f>
        <v/>
      </c>
      <c r="BB106" s="387" t="str">
        <f>IF($BA106="","",'Short Circuit'!$B106)</f>
        <v/>
      </c>
      <c r="BC106" s="387" t="str">
        <f>IF($BA106="","",'Short Circuit'!$C106)</f>
        <v/>
      </c>
      <c r="BD106" s="387" t="str">
        <f>IF($BA106="","",'Short Circuit'!$D106)</f>
        <v/>
      </c>
      <c r="BE106" s="387" t="str">
        <f>IF($BA106="","",'Short Circuit'!$E106)</f>
        <v/>
      </c>
      <c r="BF106" s="387" t="str">
        <f>IF($BA106="","",IFERROR(_xlfn.XLOOKUP("F-"&amp;$BA106,'Feeder Schedule'!$B$5:$B$254,'Feeder Schedule'!$B$5:$B$254),IFERROR(_xlfn.XLOOKUP($BA106,'Feeder Schedule'!$B$5:$B$254,'Feeder Schedule'!$B$5:$B$254),"")))</f>
        <v/>
      </c>
      <c r="BG106" s="387" t="str">
        <f>IF($BF106="","",IFERROR(_xlfn.XLOOKUP($BF106,'Feeder Schedule'!$B$5:$B$254,'Feeder Schedule'!$A$5:$A$254),""))</f>
        <v/>
      </c>
      <c r="BH106" s="387" t="str">
        <f>IF($BF106="","",IFERROR(_xlfn.XLOOKUP($BF106,'Feeder Schedule'!$B$5:$B$254,'Feeder Schedule'!$O$5:$O$254),""))</f>
        <v/>
      </c>
      <c r="BI106" s="387" t="str">
        <f>IF($BF106="","",IFERROR(_xlfn.XLOOKUP($BF106,'Feeder Schedule'!$B$5:$B$254,'Feeder Schedule'!$P$5:$P$254),""))</f>
        <v/>
      </c>
      <c r="BJ106" s="387" t="str">
        <f>IF($BF106="","",IFERROR(_xlfn.XLOOKUP($BF106,'Feeder Schedule'!$B$5:$B$254,'Feeder Schedule'!$Q$5:$Q$254),""))</f>
        <v/>
      </c>
      <c r="BK106" s="387" t="str">
        <f>IF($BF106="","",IFERROR(_xlfn.XLOOKUP($BF106,'Feeder Schedule'!$B$5:$B$254,'Feeder Schedule'!$S$5:$S$254),""))</f>
        <v/>
      </c>
      <c r="BL106" s="387" t="str">
        <f>IF($BF106="","",IFERROR(_xlfn.XLOOKUP($BF106,'Feeder Schedule'!$B$5:$B$254,'Feeder Schedule'!$H$5:$H$254),""))</f>
        <v/>
      </c>
      <c r="BM106" s="534" t="str">
        <f>IF($BA106="","",'Short Circuit'!$J106)</f>
        <v/>
      </c>
      <c r="BN106" s="534" t="str">
        <f>IF($BA106="","",'Short Circuit'!$Q106)</f>
        <v/>
      </c>
      <c r="BO106" s="387" t="str">
        <f>IF($BA106="","",'Short Circuit'!$R106)</f>
        <v/>
      </c>
      <c r="BP106" s="535" t="str">
        <f>IF($BA106="","",'Short Circuit'!$S106)</f>
        <v/>
      </c>
      <c r="BQ106" s="387" t="str">
        <f>IF($BA106="","",'Short Circuit'!$T106)</f>
        <v/>
      </c>
      <c r="BR106" s="536" t="str">
        <f>IF($BA106="","",'Voltage Drop'!$G106)</f>
        <v/>
      </c>
      <c r="BS106" s="536" t="str">
        <f>IF($BA106="","",'Voltage Drop'!$H106)</f>
        <v/>
      </c>
      <c r="BT106" s="387" t="str">
        <f>IF($BA106="","",'Voltage Drop'!$K106)</f>
        <v/>
      </c>
      <c r="BU106" s="387" t="str">
        <f t="shared" si="2"/>
        <v/>
      </c>
      <c r="BV106" s="387"/>
      <c r="BW106" s="387" t="b">
        <f t="shared" si="3"/>
        <v>0</v>
      </c>
    </row>
    <row r="107" spans="1:75" ht="15" customHeight="1" x14ac:dyDescent="0.45">
      <c r="A107" s="161"/>
      <c r="B107" s="389"/>
      <c r="C107" s="207"/>
      <c r="D107" s="208"/>
      <c r="E107" s="161"/>
      <c r="F107" s="389"/>
      <c r="G107" s="389"/>
      <c r="H107" s="389"/>
      <c r="I107" s="389"/>
      <c r="J107" s="389"/>
      <c r="K107" s="389"/>
      <c r="L107" s="209"/>
      <c r="M107" s="209"/>
      <c r="N107" s="209"/>
      <c r="O107" s="209"/>
      <c r="P107" s="209"/>
      <c r="Q107" s="161"/>
      <c r="R107" s="390"/>
      <c r="S107" s="390"/>
      <c r="T107" s="161"/>
      <c r="U107" s="389"/>
      <c r="BA107" s="387" t="str">
        <f>IF('Short Circuit'!$A107="","",'Short Circuit'!$A107)</f>
        <v/>
      </c>
      <c r="BB107" s="387" t="str">
        <f>IF($BA107="","",'Short Circuit'!$B107)</f>
        <v/>
      </c>
      <c r="BC107" s="387" t="str">
        <f>IF($BA107="","",'Short Circuit'!$C107)</f>
        <v/>
      </c>
      <c r="BD107" s="387" t="str">
        <f>IF($BA107="","",'Short Circuit'!$D107)</f>
        <v/>
      </c>
      <c r="BE107" s="387" t="str">
        <f>IF($BA107="","",'Short Circuit'!$E107)</f>
        <v/>
      </c>
      <c r="BF107" s="387" t="str">
        <f>IF($BA107="","",IFERROR(_xlfn.XLOOKUP("F-"&amp;$BA107,'Feeder Schedule'!$B$5:$B$254,'Feeder Schedule'!$B$5:$B$254),IFERROR(_xlfn.XLOOKUP($BA107,'Feeder Schedule'!$B$5:$B$254,'Feeder Schedule'!$B$5:$B$254),"")))</f>
        <v/>
      </c>
      <c r="BG107" s="387" t="str">
        <f>IF($BF107="","",IFERROR(_xlfn.XLOOKUP($BF107,'Feeder Schedule'!$B$5:$B$254,'Feeder Schedule'!$A$5:$A$254),""))</f>
        <v/>
      </c>
      <c r="BH107" s="387" t="str">
        <f>IF($BF107="","",IFERROR(_xlfn.XLOOKUP($BF107,'Feeder Schedule'!$B$5:$B$254,'Feeder Schedule'!$O$5:$O$254),""))</f>
        <v/>
      </c>
      <c r="BI107" s="387" t="str">
        <f>IF($BF107="","",IFERROR(_xlfn.XLOOKUP($BF107,'Feeder Schedule'!$B$5:$B$254,'Feeder Schedule'!$P$5:$P$254),""))</f>
        <v/>
      </c>
      <c r="BJ107" s="387" t="str">
        <f>IF($BF107="","",IFERROR(_xlfn.XLOOKUP($BF107,'Feeder Schedule'!$B$5:$B$254,'Feeder Schedule'!$Q$5:$Q$254),""))</f>
        <v/>
      </c>
      <c r="BK107" s="387" t="str">
        <f>IF($BF107="","",IFERROR(_xlfn.XLOOKUP($BF107,'Feeder Schedule'!$B$5:$B$254,'Feeder Schedule'!$S$5:$S$254),""))</f>
        <v/>
      </c>
      <c r="BL107" s="387" t="str">
        <f>IF($BF107="","",IFERROR(_xlfn.XLOOKUP($BF107,'Feeder Schedule'!$B$5:$B$254,'Feeder Schedule'!$H$5:$H$254),""))</f>
        <v/>
      </c>
      <c r="BM107" s="534" t="str">
        <f>IF($BA107="","",'Short Circuit'!$J107)</f>
        <v/>
      </c>
      <c r="BN107" s="534" t="str">
        <f>IF($BA107="","",'Short Circuit'!$Q107)</f>
        <v/>
      </c>
      <c r="BO107" s="387" t="str">
        <f>IF($BA107="","",'Short Circuit'!$R107)</f>
        <v/>
      </c>
      <c r="BP107" s="535" t="str">
        <f>IF($BA107="","",'Short Circuit'!$S107)</f>
        <v/>
      </c>
      <c r="BQ107" s="387" t="str">
        <f>IF($BA107="","",'Short Circuit'!$T107)</f>
        <v/>
      </c>
      <c r="BR107" s="536" t="str">
        <f>IF($BA107="","",'Voltage Drop'!$G107)</f>
        <v/>
      </c>
      <c r="BS107" s="536" t="str">
        <f>IF($BA107="","",'Voltage Drop'!$H107)</f>
        <v/>
      </c>
      <c r="BT107" s="387" t="str">
        <f>IF($BA107="","",'Voltage Drop'!$K107)</f>
        <v/>
      </c>
      <c r="BU107" s="387" t="str">
        <f t="shared" si="2"/>
        <v/>
      </c>
      <c r="BV107" s="387"/>
      <c r="BW107" s="387" t="b">
        <f t="shared" si="3"/>
        <v>0</v>
      </c>
    </row>
    <row r="108" spans="1:75" ht="15" customHeight="1" x14ac:dyDescent="0.45">
      <c r="A108" s="161"/>
      <c r="B108" s="389"/>
      <c r="C108" s="207"/>
      <c r="D108" s="208"/>
      <c r="E108" s="161"/>
      <c r="F108" s="389"/>
      <c r="G108" s="389"/>
      <c r="H108" s="389"/>
      <c r="I108" s="389"/>
      <c r="J108" s="389"/>
      <c r="K108" s="389"/>
      <c r="L108" s="209"/>
      <c r="M108" s="209"/>
      <c r="N108" s="209"/>
      <c r="O108" s="209"/>
      <c r="P108" s="209"/>
      <c r="Q108" s="161"/>
      <c r="R108" s="390"/>
      <c r="S108" s="390"/>
      <c r="T108" s="161"/>
      <c r="U108" s="389"/>
      <c r="BA108" s="387" t="str">
        <f>IF('Short Circuit'!$A108="","",'Short Circuit'!$A108)</f>
        <v/>
      </c>
      <c r="BB108" s="387" t="str">
        <f>IF($BA108="","",'Short Circuit'!$B108)</f>
        <v/>
      </c>
      <c r="BC108" s="387" t="str">
        <f>IF($BA108="","",'Short Circuit'!$C108)</f>
        <v/>
      </c>
      <c r="BD108" s="387" t="str">
        <f>IF($BA108="","",'Short Circuit'!$D108)</f>
        <v/>
      </c>
      <c r="BE108" s="387" t="str">
        <f>IF($BA108="","",'Short Circuit'!$E108)</f>
        <v/>
      </c>
      <c r="BF108" s="387" t="str">
        <f>IF($BA108="","",IFERROR(_xlfn.XLOOKUP("F-"&amp;$BA108,'Feeder Schedule'!$B$5:$B$254,'Feeder Schedule'!$B$5:$B$254),IFERROR(_xlfn.XLOOKUP($BA108,'Feeder Schedule'!$B$5:$B$254,'Feeder Schedule'!$B$5:$B$254),"")))</f>
        <v/>
      </c>
      <c r="BG108" s="387" t="str">
        <f>IF($BF108="","",IFERROR(_xlfn.XLOOKUP($BF108,'Feeder Schedule'!$B$5:$B$254,'Feeder Schedule'!$A$5:$A$254),""))</f>
        <v/>
      </c>
      <c r="BH108" s="387" t="str">
        <f>IF($BF108="","",IFERROR(_xlfn.XLOOKUP($BF108,'Feeder Schedule'!$B$5:$B$254,'Feeder Schedule'!$O$5:$O$254),""))</f>
        <v/>
      </c>
      <c r="BI108" s="387" t="str">
        <f>IF($BF108="","",IFERROR(_xlfn.XLOOKUP($BF108,'Feeder Schedule'!$B$5:$B$254,'Feeder Schedule'!$P$5:$P$254),""))</f>
        <v/>
      </c>
      <c r="BJ108" s="387" t="str">
        <f>IF($BF108="","",IFERROR(_xlfn.XLOOKUP($BF108,'Feeder Schedule'!$B$5:$B$254,'Feeder Schedule'!$Q$5:$Q$254),""))</f>
        <v/>
      </c>
      <c r="BK108" s="387" t="str">
        <f>IF($BF108="","",IFERROR(_xlfn.XLOOKUP($BF108,'Feeder Schedule'!$B$5:$B$254,'Feeder Schedule'!$S$5:$S$254),""))</f>
        <v/>
      </c>
      <c r="BL108" s="387" t="str">
        <f>IF($BF108="","",IFERROR(_xlfn.XLOOKUP($BF108,'Feeder Schedule'!$B$5:$B$254,'Feeder Schedule'!$H$5:$H$254),""))</f>
        <v/>
      </c>
      <c r="BM108" s="534" t="str">
        <f>IF($BA108="","",'Short Circuit'!$J108)</f>
        <v/>
      </c>
      <c r="BN108" s="534" t="str">
        <f>IF($BA108="","",'Short Circuit'!$Q108)</f>
        <v/>
      </c>
      <c r="BO108" s="387" t="str">
        <f>IF($BA108="","",'Short Circuit'!$R108)</f>
        <v/>
      </c>
      <c r="BP108" s="535" t="str">
        <f>IF($BA108="","",'Short Circuit'!$S108)</f>
        <v/>
      </c>
      <c r="BQ108" s="387" t="str">
        <f>IF($BA108="","",'Short Circuit'!$T108)</f>
        <v/>
      </c>
      <c r="BR108" s="536" t="str">
        <f>IF($BA108="","",'Voltage Drop'!$G108)</f>
        <v/>
      </c>
      <c r="BS108" s="536" t="str">
        <f>IF($BA108="","",'Voltage Drop'!$H108)</f>
        <v/>
      </c>
      <c r="BT108" s="387" t="str">
        <f>IF($BA108="","",'Voltage Drop'!$K108)</f>
        <v/>
      </c>
      <c r="BU108" s="387" t="str">
        <f t="shared" si="2"/>
        <v/>
      </c>
      <c r="BV108" s="387"/>
      <c r="BW108" s="387" t="b">
        <f t="shared" si="3"/>
        <v>0</v>
      </c>
    </row>
    <row r="109" spans="1:75" ht="15" customHeight="1" x14ac:dyDescent="0.45">
      <c r="A109" s="161"/>
      <c r="B109" s="389"/>
      <c r="C109" s="207"/>
      <c r="D109" s="208"/>
      <c r="E109" s="161"/>
      <c r="F109" s="389"/>
      <c r="G109" s="389"/>
      <c r="H109" s="389"/>
      <c r="I109" s="389"/>
      <c r="J109" s="389"/>
      <c r="K109" s="389"/>
      <c r="L109" s="209"/>
      <c r="M109" s="209"/>
      <c r="N109" s="209"/>
      <c r="O109" s="209"/>
      <c r="P109" s="209"/>
      <c r="Q109" s="161"/>
      <c r="R109" s="390"/>
      <c r="S109" s="390"/>
      <c r="T109" s="161"/>
      <c r="U109" s="389"/>
      <c r="BA109" s="387" t="str">
        <f>IF('Short Circuit'!$A109="","",'Short Circuit'!$A109)</f>
        <v/>
      </c>
      <c r="BB109" s="387" t="str">
        <f>IF($BA109="","",'Short Circuit'!$B109)</f>
        <v/>
      </c>
      <c r="BC109" s="387" t="str">
        <f>IF($BA109="","",'Short Circuit'!$C109)</f>
        <v/>
      </c>
      <c r="BD109" s="387" t="str">
        <f>IF($BA109="","",'Short Circuit'!$D109)</f>
        <v/>
      </c>
      <c r="BE109" s="387" t="str">
        <f>IF($BA109="","",'Short Circuit'!$E109)</f>
        <v/>
      </c>
      <c r="BF109" s="387" t="str">
        <f>IF($BA109="","",IFERROR(_xlfn.XLOOKUP("F-"&amp;$BA109,'Feeder Schedule'!$B$5:$B$254,'Feeder Schedule'!$B$5:$B$254),IFERROR(_xlfn.XLOOKUP($BA109,'Feeder Schedule'!$B$5:$B$254,'Feeder Schedule'!$B$5:$B$254),"")))</f>
        <v/>
      </c>
      <c r="BG109" s="387" t="str">
        <f>IF($BF109="","",IFERROR(_xlfn.XLOOKUP($BF109,'Feeder Schedule'!$B$5:$B$254,'Feeder Schedule'!$A$5:$A$254),""))</f>
        <v/>
      </c>
      <c r="BH109" s="387" t="str">
        <f>IF($BF109="","",IFERROR(_xlfn.XLOOKUP($BF109,'Feeder Schedule'!$B$5:$B$254,'Feeder Schedule'!$O$5:$O$254),""))</f>
        <v/>
      </c>
      <c r="BI109" s="387" t="str">
        <f>IF($BF109="","",IFERROR(_xlfn.XLOOKUP($BF109,'Feeder Schedule'!$B$5:$B$254,'Feeder Schedule'!$P$5:$P$254),""))</f>
        <v/>
      </c>
      <c r="BJ109" s="387" t="str">
        <f>IF($BF109="","",IFERROR(_xlfn.XLOOKUP($BF109,'Feeder Schedule'!$B$5:$B$254,'Feeder Schedule'!$Q$5:$Q$254),""))</f>
        <v/>
      </c>
      <c r="BK109" s="387" t="str">
        <f>IF($BF109="","",IFERROR(_xlfn.XLOOKUP($BF109,'Feeder Schedule'!$B$5:$B$254,'Feeder Schedule'!$S$5:$S$254),""))</f>
        <v/>
      </c>
      <c r="BL109" s="387" t="str">
        <f>IF($BF109="","",IFERROR(_xlfn.XLOOKUP($BF109,'Feeder Schedule'!$B$5:$B$254,'Feeder Schedule'!$H$5:$H$254),""))</f>
        <v/>
      </c>
      <c r="BM109" s="534" t="str">
        <f>IF($BA109="","",'Short Circuit'!$J109)</f>
        <v/>
      </c>
      <c r="BN109" s="534" t="str">
        <f>IF($BA109="","",'Short Circuit'!$Q109)</f>
        <v/>
      </c>
      <c r="BO109" s="387" t="str">
        <f>IF($BA109="","",'Short Circuit'!$R109)</f>
        <v/>
      </c>
      <c r="BP109" s="535" t="str">
        <f>IF($BA109="","",'Short Circuit'!$S109)</f>
        <v/>
      </c>
      <c r="BQ109" s="387" t="str">
        <f>IF($BA109="","",'Short Circuit'!$T109)</f>
        <v/>
      </c>
      <c r="BR109" s="536" t="str">
        <f>IF($BA109="","",'Voltage Drop'!$G109)</f>
        <v/>
      </c>
      <c r="BS109" s="536" t="str">
        <f>IF($BA109="","",'Voltage Drop'!$H109)</f>
        <v/>
      </c>
      <c r="BT109" s="387" t="str">
        <f>IF($BA109="","",'Voltage Drop'!$K109)</f>
        <v/>
      </c>
      <c r="BU109" s="387" t="str">
        <f t="shared" si="2"/>
        <v/>
      </c>
      <c r="BV109" s="387"/>
      <c r="BW109" s="387" t="b">
        <f t="shared" si="3"/>
        <v>0</v>
      </c>
    </row>
    <row r="110" spans="1:75" ht="15" customHeight="1" x14ac:dyDescent="0.45">
      <c r="A110" s="161"/>
      <c r="B110" s="389"/>
      <c r="C110" s="207"/>
      <c r="D110" s="208"/>
      <c r="E110" s="161"/>
      <c r="F110" s="389"/>
      <c r="G110" s="389"/>
      <c r="H110" s="389"/>
      <c r="I110" s="389"/>
      <c r="J110" s="389"/>
      <c r="K110" s="389"/>
      <c r="L110" s="209"/>
      <c r="M110" s="209"/>
      <c r="N110" s="209"/>
      <c r="O110" s="209"/>
      <c r="P110" s="209"/>
      <c r="Q110" s="161"/>
      <c r="R110" s="390"/>
      <c r="S110" s="390"/>
      <c r="T110" s="161"/>
      <c r="U110" s="389"/>
      <c r="BA110" s="387" t="str">
        <f>IF('Short Circuit'!$A110="","",'Short Circuit'!$A110)</f>
        <v/>
      </c>
      <c r="BB110" s="387" t="str">
        <f>IF($BA110="","",'Short Circuit'!$B110)</f>
        <v/>
      </c>
      <c r="BC110" s="387" t="str">
        <f>IF($BA110="","",'Short Circuit'!$C110)</f>
        <v/>
      </c>
      <c r="BD110" s="387" t="str">
        <f>IF($BA110="","",'Short Circuit'!$D110)</f>
        <v/>
      </c>
      <c r="BE110" s="387" t="str">
        <f>IF($BA110="","",'Short Circuit'!$E110)</f>
        <v/>
      </c>
      <c r="BF110" s="387" t="str">
        <f>IF($BA110="","",IFERROR(_xlfn.XLOOKUP("F-"&amp;$BA110,'Feeder Schedule'!$B$5:$B$254,'Feeder Schedule'!$B$5:$B$254),IFERROR(_xlfn.XLOOKUP($BA110,'Feeder Schedule'!$B$5:$B$254,'Feeder Schedule'!$B$5:$B$254),"")))</f>
        <v/>
      </c>
      <c r="BG110" s="387" t="str">
        <f>IF($BF110="","",IFERROR(_xlfn.XLOOKUP($BF110,'Feeder Schedule'!$B$5:$B$254,'Feeder Schedule'!$A$5:$A$254),""))</f>
        <v/>
      </c>
      <c r="BH110" s="387" t="str">
        <f>IF($BF110="","",IFERROR(_xlfn.XLOOKUP($BF110,'Feeder Schedule'!$B$5:$B$254,'Feeder Schedule'!$O$5:$O$254),""))</f>
        <v/>
      </c>
      <c r="BI110" s="387" t="str">
        <f>IF($BF110="","",IFERROR(_xlfn.XLOOKUP($BF110,'Feeder Schedule'!$B$5:$B$254,'Feeder Schedule'!$P$5:$P$254),""))</f>
        <v/>
      </c>
      <c r="BJ110" s="387" t="str">
        <f>IF($BF110="","",IFERROR(_xlfn.XLOOKUP($BF110,'Feeder Schedule'!$B$5:$B$254,'Feeder Schedule'!$Q$5:$Q$254),""))</f>
        <v/>
      </c>
      <c r="BK110" s="387" t="str">
        <f>IF($BF110="","",IFERROR(_xlfn.XLOOKUP($BF110,'Feeder Schedule'!$B$5:$B$254,'Feeder Schedule'!$S$5:$S$254),""))</f>
        <v/>
      </c>
      <c r="BL110" s="387" t="str">
        <f>IF($BF110="","",IFERROR(_xlfn.XLOOKUP($BF110,'Feeder Schedule'!$B$5:$B$254,'Feeder Schedule'!$H$5:$H$254),""))</f>
        <v/>
      </c>
      <c r="BM110" s="534" t="str">
        <f>IF($BA110="","",'Short Circuit'!$J110)</f>
        <v/>
      </c>
      <c r="BN110" s="534" t="str">
        <f>IF($BA110="","",'Short Circuit'!$Q110)</f>
        <v/>
      </c>
      <c r="BO110" s="387" t="str">
        <f>IF($BA110="","",'Short Circuit'!$R110)</f>
        <v/>
      </c>
      <c r="BP110" s="535" t="str">
        <f>IF($BA110="","",'Short Circuit'!$S110)</f>
        <v/>
      </c>
      <c r="BQ110" s="387" t="str">
        <f>IF($BA110="","",'Short Circuit'!$T110)</f>
        <v/>
      </c>
      <c r="BR110" s="536" t="str">
        <f>IF($BA110="","",'Voltage Drop'!$G110)</f>
        <v/>
      </c>
      <c r="BS110" s="536" t="str">
        <f>IF($BA110="","",'Voltage Drop'!$H110)</f>
        <v/>
      </c>
      <c r="BT110" s="387" t="str">
        <f>IF($BA110="","",'Voltage Drop'!$K110)</f>
        <v/>
      </c>
      <c r="BU110" s="387" t="str">
        <f t="shared" si="2"/>
        <v/>
      </c>
      <c r="BV110" s="387"/>
      <c r="BW110" s="387" t="b">
        <f t="shared" si="3"/>
        <v>0</v>
      </c>
    </row>
    <row r="111" spans="1:75" ht="15" customHeight="1" x14ac:dyDescent="0.45">
      <c r="A111" s="161"/>
      <c r="B111" s="389"/>
      <c r="C111" s="207"/>
      <c r="D111" s="208"/>
      <c r="E111" s="161"/>
      <c r="F111" s="389"/>
      <c r="G111" s="389"/>
      <c r="H111" s="389"/>
      <c r="I111" s="389"/>
      <c r="J111" s="389"/>
      <c r="K111" s="389"/>
      <c r="L111" s="209"/>
      <c r="M111" s="209"/>
      <c r="N111" s="209"/>
      <c r="O111" s="209"/>
      <c r="P111" s="209"/>
      <c r="Q111" s="161"/>
      <c r="R111" s="390"/>
      <c r="S111" s="390"/>
      <c r="T111" s="161"/>
      <c r="U111" s="389"/>
      <c r="BA111" s="387" t="str">
        <f>IF('Short Circuit'!$A111="","",'Short Circuit'!$A111)</f>
        <v/>
      </c>
      <c r="BB111" s="387" t="str">
        <f>IF($BA111="","",'Short Circuit'!$B111)</f>
        <v/>
      </c>
      <c r="BC111" s="387" t="str">
        <f>IF($BA111="","",'Short Circuit'!$C111)</f>
        <v/>
      </c>
      <c r="BD111" s="387" t="str">
        <f>IF($BA111="","",'Short Circuit'!$D111)</f>
        <v/>
      </c>
      <c r="BE111" s="387" t="str">
        <f>IF($BA111="","",'Short Circuit'!$E111)</f>
        <v/>
      </c>
      <c r="BF111" s="387" t="str">
        <f>IF($BA111="","",IFERROR(_xlfn.XLOOKUP("F-"&amp;$BA111,'Feeder Schedule'!$B$5:$B$254,'Feeder Schedule'!$B$5:$B$254),IFERROR(_xlfn.XLOOKUP($BA111,'Feeder Schedule'!$B$5:$B$254,'Feeder Schedule'!$B$5:$B$254),"")))</f>
        <v/>
      </c>
      <c r="BG111" s="387" t="str">
        <f>IF($BF111="","",IFERROR(_xlfn.XLOOKUP($BF111,'Feeder Schedule'!$B$5:$B$254,'Feeder Schedule'!$A$5:$A$254),""))</f>
        <v/>
      </c>
      <c r="BH111" s="387" t="str">
        <f>IF($BF111="","",IFERROR(_xlfn.XLOOKUP($BF111,'Feeder Schedule'!$B$5:$B$254,'Feeder Schedule'!$O$5:$O$254),""))</f>
        <v/>
      </c>
      <c r="BI111" s="387" t="str">
        <f>IF($BF111="","",IFERROR(_xlfn.XLOOKUP($BF111,'Feeder Schedule'!$B$5:$B$254,'Feeder Schedule'!$P$5:$P$254),""))</f>
        <v/>
      </c>
      <c r="BJ111" s="387" t="str">
        <f>IF($BF111="","",IFERROR(_xlfn.XLOOKUP($BF111,'Feeder Schedule'!$B$5:$B$254,'Feeder Schedule'!$Q$5:$Q$254),""))</f>
        <v/>
      </c>
      <c r="BK111" s="387" t="str">
        <f>IF($BF111="","",IFERROR(_xlfn.XLOOKUP($BF111,'Feeder Schedule'!$B$5:$B$254,'Feeder Schedule'!$S$5:$S$254),""))</f>
        <v/>
      </c>
      <c r="BL111" s="387" t="str">
        <f>IF($BF111="","",IFERROR(_xlfn.XLOOKUP($BF111,'Feeder Schedule'!$B$5:$B$254,'Feeder Schedule'!$H$5:$H$254),""))</f>
        <v/>
      </c>
      <c r="BM111" s="534" t="str">
        <f>IF($BA111="","",'Short Circuit'!$J111)</f>
        <v/>
      </c>
      <c r="BN111" s="534" t="str">
        <f>IF($BA111="","",'Short Circuit'!$Q111)</f>
        <v/>
      </c>
      <c r="BO111" s="387" t="str">
        <f>IF($BA111="","",'Short Circuit'!$R111)</f>
        <v/>
      </c>
      <c r="BP111" s="535" t="str">
        <f>IF($BA111="","",'Short Circuit'!$S111)</f>
        <v/>
      </c>
      <c r="BQ111" s="387" t="str">
        <f>IF($BA111="","",'Short Circuit'!$T111)</f>
        <v/>
      </c>
      <c r="BR111" s="536" t="str">
        <f>IF($BA111="","",'Voltage Drop'!$G111)</f>
        <v/>
      </c>
      <c r="BS111" s="536" t="str">
        <f>IF($BA111="","",'Voltage Drop'!$H111)</f>
        <v/>
      </c>
      <c r="BT111" s="387" t="str">
        <f>IF($BA111="","",'Voltage Drop'!$K111)</f>
        <v/>
      </c>
      <c r="BU111" s="387" t="str">
        <f t="shared" si="2"/>
        <v/>
      </c>
      <c r="BV111" s="387"/>
      <c r="BW111" s="387" t="b">
        <f t="shared" si="3"/>
        <v>0</v>
      </c>
    </row>
    <row r="112" spans="1:75" ht="15" customHeight="1" x14ac:dyDescent="0.45">
      <c r="A112" s="161"/>
      <c r="B112" s="389"/>
      <c r="C112" s="207"/>
      <c r="D112" s="208"/>
      <c r="E112" s="161"/>
      <c r="F112" s="389"/>
      <c r="G112" s="389"/>
      <c r="H112" s="389"/>
      <c r="I112" s="389"/>
      <c r="J112" s="389"/>
      <c r="K112" s="389"/>
      <c r="L112" s="209"/>
      <c r="M112" s="209"/>
      <c r="N112" s="209"/>
      <c r="O112" s="209"/>
      <c r="P112" s="209"/>
      <c r="Q112" s="161"/>
      <c r="R112" s="390"/>
      <c r="S112" s="390"/>
      <c r="T112" s="161"/>
      <c r="U112" s="389"/>
      <c r="BA112" s="387" t="str">
        <f>IF('Short Circuit'!$A112="","",'Short Circuit'!$A112)</f>
        <v/>
      </c>
      <c r="BB112" s="387" t="str">
        <f>IF($BA112="","",'Short Circuit'!$B112)</f>
        <v/>
      </c>
      <c r="BC112" s="387" t="str">
        <f>IF($BA112="","",'Short Circuit'!$C112)</f>
        <v/>
      </c>
      <c r="BD112" s="387" t="str">
        <f>IF($BA112="","",'Short Circuit'!$D112)</f>
        <v/>
      </c>
      <c r="BE112" s="387" t="str">
        <f>IF($BA112="","",'Short Circuit'!$E112)</f>
        <v/>
      </c>
      <c r="BF112" s="387" t="str">
        <f>IF($BA112="","",IFERROR(_xlfn.XLOOKUP("F-"&amp;$BA112,'Feeder Schedule'!$B$5:$B$254,'Feeder Schedule'!$B$5:$B$254),IFERROR(_xlfn.XLOOKUP($BA112,'Feeder Schedule'!$B$5:$B$254,'Feeder Schedule'!$B$5:$B$254),"")))</f>
        <v/>
      </c>
      <c r="BG112" s="387" t="str">
        <f>IF($BF112="","",IFERROR(_xlfn.XLOOKUP($BF112,'Feeder Schedule'!$B$5:$B$254,'Feeder Schedule'!$A$5:$A$254),""))</f>
        <v/>
      </c>
      <c r="BH112" s="387" t="str">
        <f>IF($BF112="","",IFERROR(_xlfn.XLOOKUP($BF112,'Feeder Schedule'!$B$5:$B$254,'Feeder Schedule'!$O$5:$O$254),""))</f>
        <v/>
      </c>
      <c r="BI112" s="387" t="str">
        <f>IF($BF112="","",IFERROR(_xlfn.XLOOKUP($BF112,'Feeder Schedule'!$B$5:$B$254,'Feeder Schedule'!$P$5:$P$254),""))</f>
        <v/>
      </c>
      <c r="BJ112" s="387" t="str">
        <f>IF($BF112="","",IFERROR(_xlfn.XLOOKUP($BF112,'Feeder Schedule'!$B$5:$B$254,'Feeder Schedule'!$Q$5:$Q$254),""))</f>
        <v/>
      </c>
      <c r="BK112" s="387" t="str">
        <f>IF($BF112="","",IFERROR(_xlfn.XLOOKUP($BF112,'Feeder Schedule'!$B$5:$B$254,'Feeder Schedule'!$S$5:$S$254),""))</f>
        <v/>
      </c>
      <c r="BL112" s="387" t="str">
        <f>IF($BF112="","",IFERROR(_xlfn.XLOOKUP($BF112,'Feeder Schedule'!$B$5:$B$254,'Feeder Schedule'!$H$5:$H$254),""))</f>
        <v/>
      </c>
      <c r="BM112" s="534" t="str">
        <f>IF($BA112="","",'Short Circuit'!$J112)</f>
        <v/>
      </c>
      <c r="BN112" s="534" t="str">
        <f>IF($BA112="","",'Short Circuit'!$Q112)</f>
        <v/>
      </c>
      <c r="BO112" s="387" t="str">
        <f>IF($BA112="","",'Short Circuit'!$R112)</f>
        <v/>
      </c>
      <c r="BP112" s="535" t="str">
        <f>IF($BA112="","",'Short Circuit'!$S112)</f>
        <v/>
      </c>
      <c r="BQ112" s="387" t="str">
        <f>IF($BA112="","",'Short Circuit'!$T112)</f>
        <v/>
      </c>
      <c r="BR112" s="536" t="str">
        <f>IF($BA112="","",'Voltage Drop'!$G112)</f>
        <v/>
      </c>
      <c r="BS112" s="536" t="str">
        <f>IF($BA112="","",'Voltage Drop'!$H112)</f>
        <v/>
      </c>
      <c r="BT112" s="387" t="str">
        <f>IF($BA112="","",'Voltage Drop'!$K112)</f>
        <v/>
      </c>
      <c r="BU112" s="387" t="str">
        <f t="shared" si="2"/>
        <v/>
      </c>
      <c r="BV112" s="387"/>
      <c r="BW112" s="387" t="b">
        <f t="shared" si="3"/>
        <v>0</v>
      </c>
    </row>
    <row r="113" spans="1:75" ht="15" customHeight="1" x14ac:dyDescent="0.45">
      <c r="A113" s="161"/>
      <c r="B113" s="389"/>
      <c r="C113" s="207"/>
      <c r="D113" s="208"/>
      <c r="E113" s="161"/>
      <c r="F113" s="389"/>
      <c r="G113" s="389"/>
      <c r="H113" s="389"/>
      <c r="I113" s="389"/>
      <c r="J113" s="389"/>
      <c r="K113" s="389"/>
      <c r="L113" s="209"/>
      <c r="M113" s="209"/>
      <c r="N113" s="209"/>
      <c r="O113" s="209"/>
      <c r="P113" s="209"/>
      <c r="Q113" s="161"/>
      <c r="R113" s="390"/>
      <c r="S113" s="390"/>
      <c r="T113" s="161"/>
      <c r="U113" s="389"/>
      <c r="BA113" s="387" t="str">
        <f>IF('Short Circuit'!$A113="","",'Short Circuit'!$A113)</f>
        <v/>
      </c>
      <c r="BB113" s="387" t="str">
        <f>IF($BA113="","",'Short Circuit'!$B113)</f>
        <v/>
      </c>
      <c r="BC113" s="387" t="str">
        <f>IF($BA113="","",'Short Circuit'!$C113)</f>
        <v/>
      </c>
      <c r="BD113" s="387" t="str">
        <f>IF($BA113="","",'Short Circuit'!$D113)</f>
        <v/>
      </c>
      <c r="BE113" s="387" t="str">
        <f>IF($BA113="","",'Short Circuit'!$E113)</f>
        <v/>
      </c>
      <c r="BF113" s="387" t="str">
        <f>IF($BA113="","",IFERROR(_xlfn.XLOOKUP("F-"&amp;$BA113,'Feeder Schedule'!$B$5:$B$254,'Feeder Schedule'!$B$5:$B$254),IFERROR(_xlfn.XLOOKUP($BA113,'Feeder Schedule'!$B$5:$B$254,'Feeder Schedule'!$B$5:$B$254),"")))</f>
        <v/>
      </c>
      <c r="BG113" s="387" t="str">
        <f>IF($BF113="","",IFERROR(_xlfn.XLOOKUP($BF113,'Feeder Schedule'!$B$5:$B$254,'Feeder Schedule'!$A$5:$A$254),""))</f>
        <v/>
      </c>
      <c r="BH113" s="387" t="str">
        <f>IF($BF113="","",IFERROR(_xlfn.XLOOKUP($BF113,'Feeder Schedule'!$B$5:$B$254,'Feeder Schedule'!$O$5:$O$254),""))</f>
        <v/>
      </c>
      <c r="BI113" s="387" t="str">
        <f>IF($BF113="","",IFERROR(_xlfn.XLOOKUP($BF113,'Feeder Schedule'!$B$5:$B$254,'Feeder Schedule'!$P$5:$P$254),""))</f>
        <v/>
      </c>
      <c r="BJ113" s="387" t="str">
        <f>IF($BF113="","",IFERROR(_xlfn.XLOOKUP($BF113,'Feeder Schedule'!$B$5:$B$254,'Feeder Schedule'!$Q$5:$Q$254),""))</f>
        <v/>
      </c>
      <c r="BK113" s="387" t="str">
        <f>IF($BF113="","",IFERROR(_xlfn.XLOOKUP($BF113,'Feeder Schedule'!$B$5:$B$254,'Feeder Schedule'!$S$5:$S$254),""))</f>
        <v/>
      </c>
      <c r="BL113" s="387" t="str">
        <f>IF($BF113="","",IFERROR(_xlfn.XLOOKUP($BF113,'Feeder Schedule'!$B$5:$B$254,'Feeder Schedule'!$H$5:$H$254),""))</f>
        <v/>
      </c>
      <c r="BM113" s="534" t="str">
        <f>IF($BA113="","",'Short Circuit'!$J113)</f>
        <v/>
      </c>
      <c r="BN113" s="534" t="str">
        <f>IF($BA113="","",'Short Circuit'!$Q113)</f>
        <v/>
      </c>
      <c r="BO113" s="387" t="str">
        <f>IF($BA113="","",'Short Circuit'!$R113)</f>
        <v/>
      </c>
      <c r="BP113" s="535" t="str">
        <f>IF($BA113="","",'Short Circuit'!$S113)</f>
        <v/>
      </c>
      <c r="BQ113" s="387" t="str">
        <f>IF($BA113="","",'Short Circuit'!$T113)</f>
        <v/>
      </c>
      <c r="BR113" s="536" t="str">
        <f>IF($BA113="","",'Voltage Drop'!$G113)</f>
        <v/>
      </c>
      <c r="BS113" s="536" t="str">
        <f>IF($BA113="","",'Voltage Drop'!$H113)</f>
        <v/>
      </c>
      <c r="BT113" s="387" t="str">
        <f>IF($BA113="","",'Voltage Drop'!$K113)</f>
        <v/>
      </c>
      <c r="BU113" s="387" t="str">
        <f t="shared" si="2"/>
        <v/>
      </c>
      <c r="BV113" s="387"/>
      <c r="BW113" s="387" t="b">
        <f t="shared" si="3"/>
        <v>0</v>
      </c>
    </row>
    <row r="114" spans="1:75" ht="15" customHeight="1" x14ac:dyDescent="0.45">
      <c r="A114" s="161"/>
      <c r="B114" s="389"/>
      <c r="C114" s="207"/>
      <c r="D114" s="208"/>
      <c r="E114" s="161"/>
      <c r="F114" s="389"/>
      <c r="G114" s="389"/>
      <c r="H114" s="389"/>
      <c r="I114" s="389"/>
      <c r="J114" s="389"/>
      <c r="K114" s="389"/>
      <c r="L114" s="209"/>
      <c r="M114" s="209"/>
      <c r="N114" s="209"/>
      <c r="O114" s="209"/>
      <c r="P114" s="209"/>
      <c r="Q114" s="161"/>
      <c r="R114" s="390"/>
      <c r="S114" s="390"/>
      <c r="T114" s="161"/>
      <c r="U114" s="389"/>
      <c r="BA114" s="387" t="str">
        <f>IF('Short Circuit'!$A114="","",'Short Circuit'!$A114)</f>
        <v/>
      </c>
      <c r="BB114" s="387" t="str">
        <f>IF($BA114="","",'Short Circuit'!$B114)</f>
        <v/>
      </c>
      <c r="BC114" s="387" t="str">
        <f>IF($BA114="","",'Short Circuit'!$C114)</f>
        <v/>
      </c>
      <c r="BD114" s="387" t="str">
        <f>IF($BA114="","",'Short Circuit'!$D114)</f>
        <v/>
      </c>
      <c r="BE114" s="387" t="str">
        <f>IF($BA114="","",'Short Circuit'!$E114)</f>
        <v/>
      </c>
      <c r="BF114" s="387" t="str">
        <f>IF($BA114="","",IFERROR(_xlfn.XLOOKUP("F-"&amp;$BA114,'Feeder Schedule'!$B$5:$B$254,'Feeder Schedule'!$B$5:$B$254),IFERROR(_xlfn.XLOOKUP($BA114,'Feeder Schedule'!$B$5:$B$254,'Feeder Schedule'!$B$5:$B$254),"")))</f>
        <v/>
      </c>
      <c r="BG114" s="387" t="str">
        <f>IF($BF114="","",IFERROR(_xlfn.XLOOKUP($BF114,'Feeder Schedule'!$B$5:$B$254,'Feeder Schedule'!$A$5:$A$254),""))</f>
        <v/>
      </c>
      <c r="BH114" s="387" t="str">
        <f>IF($BF114="","",IFERROR(_xlfn.XLOOKUP($BF114,'Feeder Schedule'!$B$5:$B$254,'Feeder Schedule'!$O$5:$O$254),""))</f>
        <v/>
      </c>
      <c r="BI114" s="387" t="str">
        <f>IF($BF114="","",IFERROR(_xlfn.XLOOKUP($BF114,'Feeder Schedule'!$B$5:$B$254,'Feeder Schedule'!$P$5:$P$254),""))</f>
        <v/>
      </c>
      <c r="BJ114" s="387" t="str">
        <f>IF($BF114="","",IFERROR(_xlfn.XLOOKUP($BF114,'Feeder Schedule'!$B$5:$B$254,'Feeder Schedule'!$Q$5:$Q$254),""))</f>
        <v/>
      </c>
      <c r="BK114" s="387" t="str">
        <f>IF($BF114="","",IFERROR(_xlfn.XLOOKUP($BF114,'Feeder Schedule'!$B$5:$B$254,'Feeder Schedule'!$S$5:$S$254),""))</f>
        <v/>
      </c>
      <c r="BL114" s="387" t="str">
        <f>IF($BF114="","",IFERROR(_xlfn.XLOOKUP($BF114,'Feeder Schedule'!$B$5:$B$254,'Feeder Schedule'!$H$5:$H$254),""))</f>
        <v/>
      </c>
      <c r="BM114" s="534" t="str">
        <f>IF($BA114="","",'Short Circuit'!$J114)</f>
        <v/>
      </c>
      <c r="BN114" s="534" t="str">
        <f>IF($BA114="","",'Short Circuit'!$Q114)</f>
        <v/>
      </c>
      <c r="BO114" s="387" t="str">
        <f>IF($BA114="","",'Short Circuit'!$R114)</f>
        <v/>
      </c>
      <c r="BP114" s="535" t="str">
        <f>IF($BA114="","",'Short Circuit'!$S114)</f>
        <v/>
      </c>
      <c r="BQ114" s="387" t="str">
        <f>IF($BA114="","",'Short Circuit'!$T114)</f>
        <v/>
      </c>
      <c r="BR114" s="536" t="str">
        <f>IF($BA114="","",'Voltage Drop'!$G114)</f>
        <v/>
      </c>
      <c r="BS114" s="536" t="str">
        <f>IF($BA114="","",'Voltage Drop'!$H114)</f>
        <v/>
      </c>
      <c r="BT114" s="387" t="str">
        <f>IF($BA114="","",'Voltage Drop'!$K114)</f>
        <v/>
      </c>
      <c r="BU114" s="387" t="str">
        <f t="shared" si="2"/>
        <v/>
      </c>
      <c r="BV114" s="387"/>
      <c r="BW114" s="387" t="b">
        <f t="shared" si="3"/>
        <v>0</v>
      </c>
    </row>
    <row r="115" spans="1:75" ht="15" customHeight="1" x14ac:dyDescent="0.45">
      <c r="A115" s="161"/>
      <c r="B115" s="389"/>
      <c r="C115" s="207"/>
      <c r="D115" s="208"/>
      <c r="E115" s="161"/>
      <c r="F115" s="389"/>
      <c r="G115" s="389"/>
      <c r="H115" s="389"/>
      <c r="I115" s="389"/>
      <c r="J115" s="389"/>
      <c r="K115" s="389"/>
      <c r="L115" s="209"/>
      <c r="M115" s="209"/>
      <c r="N115" s="209"/>
      <c r="O115" s="209"/>
      <c r="P115" s="209"/>
      <c r="Q115" s="161"/>
      <c r="R115" s="390"/>
      <c r="S115" s="390"/>
      <c r="T115" s="161"/>
      <c r="U115" s="389"/>
      <c r="BA115" s="387" t="str">
        <f>IF('Short Circuit'!$A115="","",'Short Circuit'!$A115)</f>
        <v/>
      </c>
      <c r="BB115" s="387" t="str">
        <f>IF($BA115="","",'Short Circuit'!$B115)</f>
        <v/>
      </c>
      <c r="BC115" s="387" t="str">
        <f>IF($BA115="","",'Short Circuit'!$C115)</f>
        <v/>
      </c>
      <c r="BD115" s="387" t="str">
        <f>IF($BA115="","",'Short Circuit'!$D115)</f>
        <v/>
      </c>
      <c r="BE115" s="387" t="str">
        <f>IF($BA115="","",'Short Circuit'!$E115)</f>
        <v/>
      </c>
      <c r="BF115" s="387" t="str">
        <f>IF($BA115="","",IFERROR(_xlfn.XLOOKUP("F-"&amp;$BA115,'Feeder Schedule'!$B$5:$B$254,'Feeder Schedule'!$B$5:$B$254),IFERROR(_xlfn.XLOOKUP($BA115,'Feeder Schedule'!$B$5:$B$254,'Feeder Schedule'!$B$5:$B$254),"")))</f>
        <v/>
      </c>
      <c r="BG115" s="387" t="str">
        <f>IF($BF115="","",IFERROR(_xlfn.XLOOKUP($BF115,'Feeder Schedule'!$B$5:$B$254,'Feeder Schedule'!$A$5:$A$254),""))</f>
        <v/>
      </c>
      <c r="BH115" s="387" t="str">
        <f>IF($BF115="","",IFERROR(_xlfn.XLOOKUP($BF115,'Feeder Schedule'!$B$5:$B$254,'Feeder Schedule'!$O$5:$O$254),""))</f>
        <v/>
      </c>
      <c r="BI115" s="387" t="str">
        <f>IF($BF115="","",IFERROR(_xlfn.XLOOKUP($BF115,'Feeder Schedule'!$B$5:$B$254,'Feeder Schedule'!$P$5:$P$254),""))</f>
        <v/>
      </c>
      <c r="BJ115" s="387" t="str">
        <f>IF($BF115="","",IFERROR(_xlfn.XLOOKUP($BF115,'Feeder Schedule'!$B$5:$B$254,'Feeder Schedule'!$Q$5:$Q$254),""))</f>
        <v/>
      </c>
      <c r="BK115" s="387" t="str">
        <f>IF($BF115="","",IFERROR(_xlfn.XLOOKUP($BF115,'Feeder Schedule'!$B$5:$B$254,'Feeder Schedule'!$S$5:$S$254),""))</f>
        <v/>
      </c>
      <c r="BL115" s="387" t="str">
        <f>IF($BF115="","",IFERROR(_xlfn.XLOOKUP($BF115,'Feeder Schedule'!$B$5:$B$254,'Feeder Schedule'!$H$5:$H$254),""))</f>
        <v/>
      </c>
      <c r="BM115" s="534" t="str">
        <f>IF($BA115="","",'Short Circuit'!$J115)</f>
        <v/>
      </c>
      <c r="BN115" s="534" t="str">
        <f>IF($BA115="","",'Short Circuit'!$Q115)</f>
        <v/>
      </c>
      <c r="BO115" s="387" t="str">
        <f>IF($BA115="","",'Short Circuit'!$R115)</f>
        <v/>
      </c>
      <c r="BP115" s="535" t="str">
        <f>IF($BA115="","",'Short Circuit'!$S115)</f>
        <v/>
      </c>
      <c r="BQ115" s="387" t="str">
        <f>IF($BA115="","",'Short Circuit'!$T115)</f>
        <v/>
      </c>
      <c r="BR115" s="536" t="str">
        <f>IF($BA115="","",'Voltage Drop'!$G115)</f>
        <v/>
      </c>
      <c r="BS115" s="536" t="str">
        <f>IF($BA115="","",'Voltage Drop'!$H115)</f>
        <v/>
      </c>
      <c r="BT115" s="387" t="str">
        <f>IF($BA115="","",'Voltage Drop'!$K115)</f>
        <v/>
      </c>
      <c r="BU115" s="387" t="str">
        <f t="shared" si="2"/>
        <v/>
      </c>
      <c r="BV115" s="387"/>
      <c r="BW115" s="387" t="b">
        <f t="shared" si="3"/>
        <v>0</v>
      </c>
    </row>
    <row r="116" spans="1:75" ht="15" customHeight="1" x14ac:dyDescent="0.45">
      <c r="A116" s="161"/>
      <c r="B116" s="389"/>
      <c r="C116" s="207"/>
      <c r="D116" s="208"/>
      <c r="E116" s="161"/>
      <c r="F116" s="389"/>
      <c r="G116" s="389"/>
      <c r="H116" s="389"/>
      <c r="I116" s="389"/>
      <c r="J116" s="389"/>
      <c r="K116" s="389"/>
      <c r="L116" s="209"/>
      <c r="M116" s="209"/>
      <c r="N116" s="209"/>
      <c r="O116" s="209"/>
      <c r="P116" s="209"/>
      <c r="Q116" s="161"/>
      <c r="R116" s="390"/>
      <c r="S116" s="390"/>
      <c r="T116" s="161"/>
      <c r="U116" s="389"/>
      <c r="BA116" s="387" t="str">
        <f>IF('Short Circuit'!$A116="","",'Short Circuit'!$A116)</f>
        <v/>
      </c>
      <c r="BB116" s="387" t="str">
        <f>IF($BA116="","",'Short Circuit'!$B116)</f>
        <v/>
      </c>
      <c r="BC116" s="387" t="str">
        <f>IF($BA116="","",'Short Circuit'!$C116)</f>
        <v/>
      </c>
      <c r="BD116" s="387" t="str">
        <f>IF($BA116="","",'Short Circuit'!$D116)</f>
        <v/>
      </c>
      <c r="BE116" s="387" t="str">
        <f>IF($BA116="","",'Short Circuit'!$E116)</f>
        <v/>
      </c>
      <c r="BF116" s="387" t="str">
        <f>IF($BA116="","",IFERROR(_xlfn.XLOOKUP("F-"&amp;$BA116,'Feeder Schedule'!$B$5:$B$254,'Feeder Schedule'!$B$5:$B$254),IFERROR(_xlfn.XLOOKUP($BA116,'Feeder Schedule'!$B$5:$B$254,'Feeder Schedule'!$B$5:$B$254),"")))</f>
        <v/>
      </c>
      <c r="BG116" s="387" t="str">
        <f>IF($BF116="","",IFERROR(_xlfn.XLOOKUP($BF116,'Feeder Schedule'!$B$5:$B$254,'Feeder Schedule'!$A$5:$A$254),""))</f>
        <v/>
      </c>
      <c r="BH116" s="387" t="str">
        <f>IF($BF116="","",IFERROR(_xlfn.XLOOKUP($BF116,'Feeder Schedule'!$B$5:$B$254,'Feeder Schedule'!$O$5:$O$254),""))</f>
        <v/>
      </c>
      <c r="BI116" s="387" t="str">
        <f>IF($BF116="","",IFERROR(_xlfn.XLOOKUP($BF116,'Feeder Schedule'!$B$5:$B$254,'Feeder Schedule'!$P$5:$P$254),""))</f>
        <v/>
      </c>
      <c r="BJ116" s="387" t="str">
        <f>IF($BF116="","",IFERROR(_xlfn.XLOOKUP($BF116,'Feeder Schedule'!$B$5:$B$254,'Feeder Schedule'!$Q$5:$Q$254),""))</f>
        <v/>
      </c>
      <c r="BK116" s="387" t="str">
        <f>IF($BF116="","",IFERROR(_xlfn.XLOOKUP($BF116,'Feeder Schedule'!$B$5:$B$254,'Feeder Schedule'!$S$5:$S$254),""))</f>
        <v/>
      </c>
      <c r="BL116" s="387" t="str">
        <f>IF($BF116="","",IFERROR(_xlfn.XLOOKUP($BF116,'Feeder Schedule'!$B$5:$B$254,'Feeder Schedule'!$H$5:$H$254),""))</f>
        <v/>
      </c>
      <c r="BM116" s="534" t="str">
        <f>IF($BA116="","",'Short Circuit'!$J116)</f>
        <v/>
      </c>
      <c r="BN116" s="534" t="str">
        <f>IF($BA116="","",'Short Circuit'!$Q116)</f>
        <v/>
      </c>
      <c r="BO116" s="387" t="str">
        <f>IF($BA116="","",'Short Circuit'!$R116)</f>
        <v/>
      </c>
      <c r="BP116" s="535" t="str">
        <f>IF($BA116="","",'Short Circuit'!$S116)</f>
        <v/>
      </c>
      <c r="BQ116" s="387" t="str">
        <f>IF($BA116="","",'Short Circuit'!$T116)</f>
        <v/>
      </c>
      <c r="BR116" s="536" t="str">
        <f>IF($BA116="","",'Voltage Drop'!$G116)</f>
        <v/>
      </c>
      <c r="BS116" s="536" t="str">
        <f>IF($BA116="","",'Voltage Drop'!$H116)</f>
        <v/>
      </c>
      <c r="BT116" s="387" t="str">
        <f>IF($BA116="","",'Voltage Drop'!$K116)</f>
        <v/>
      </c>
      <c r="BU116" s="387" t="str">
        <f t="shared" si="2"/>
        <v/>
      </c>
      <c r="BV116" s="387"/>
      <c r="BW116" s="387" t="b">
        <f t="shared" si="3"/>
        <v>0</v>
      </c>
    </row>
    <row r="117" spans="1:75" ht="15" customHeight="1" x14ac:dyDescent="0.45">
      <c r="A117" s="161"/>
      <c r="B117" s="389"/>
      <c r="C117" s="207"/>
      <c r="D117" s="208"/>
      <c r="E117" s="161"/>
      <c r="F117" s="389"/>
      <c r="G117" s="389"/>
      <c r="H117" s="389"/>
      <c r="I117" s="389"/>
      <c r="J117" s="389"/>
      <c r="K117" s="389"/>
      <c r="L117" s="209"/>
      <c r="M117" s="209"/>
      <c r="N117" s="209"/>
      <c r="O117" s="209"/>
      <c r="P117" s="209"/>
      <c r="Q117" s="161"/>
      <c r="R117" s="390"/>
      <c r="S117" s="390"/>
      <c r="T117" s="161"/>
      <c r="U117" s="389"/>
      <c r="BA117" s="387" t="str">
        <f>IF('Short Circuit'!$A117="","",'Short Circuit'!$A117)</f>
        <v/>
      </c>
      <c r="BB117" s="387" t="str">
        <f>IF($BA117="","",'Short Circuit'!$B117)</f>
        <v/>
      </c>
      <c r="BC117" s="387" t="str">
        <f>IF($BA117="","",'Short Circuit'!$C117)</f>
        <v/>
      </c>
      <c r="BD117" s="387" t="str">
        <f>IF($BA117="","",'Short Circuit'!$D117)</f>
        <v/>
      </c>
      <c r="BE117" s="387" t="str">
        <f>IF($BA117="","",'Short Circuit'!$E117)</f>
        <v/>
      </c>
      <c r="BF117" s="387" t="str">
        <f>IF($BA117="","",IFERROR(_xlfn.XLOOKUP("F-"&amp;$BA117,'Feeder Schedule'!$B$5:$B$254,'Feeder Schedule'!$B$5:$B$254),IFERROR(_xlfn.XLOOKUP($BA117,'Feeder Schedule'!$B$5:$B$254,'Feeder Schedule'!$B$5:$B$254),"")))</f>
        <v/>
      </c>
      <c r="BG117" s="387" t="str">
        <f>IF($BF117="","",IFERROR(_xlfn.XLOOKUP($BF117,'Feeder Schedule'!$B$5:$B$254,'Feeder Schedule'!$A$5:$A$254),""))</f>
        <v/>
      </c>
      <c r="BH117" s="387" t="str">
        <f>IF($BF117="","",IFERROR(_xlfn.XLOOKUP($BF117,'Feeder Schedule'!$B$5:$B$254,'Feeder Schedule'!$O$5:$O$254),""))</f>
        <v/>
      </c>
      <c r="BI117" s="387" t="str">
        <f>IF($BF117="","",IFERROR(_xlfn.XLOOKUP($BF117,'Feeder Schedule'!$B$5:$B$254,'Feeder Schedule'!$P$5:$P$254),""))</f>
        <v/>
      </c>
      <c r="BJ117" s="387" t="str">
        <f>IF($BF117="","",IFERROR(_xlfn.XLOOKUP($BF117,'Feeder Schedule'!$B$5:$B$254,'Feeder Schedule'!$Q$5:$Q$254),""))</f>
        <v/>
      </c>
      <c r="BK117" s="387" t="str">
        <f>IF($BF117="","",IFERROR(_xlfn.XLOOKUP($BF117,'Feeder Schedule'!$B$5:$B$254,'Feeder Schedule'!$S$5:$S$254),""))</f>
        <v/>
      </c>
      <c r="BL117" s="387" t="str">
        <f>IF($BF117="","",IFERROR(_xlfn.XLOOKUP($BF117,'Feeder Schedule'!$B$5:$B$254,'Feeder Schedule'!$H$5:$H$254),""))</f>
        <v/>
      </c>
      <c r="BM117" s="534" t="str">
        <f>IF($BA117="","",'Short Circuit'!$J117)</f>
        <v/>
      </c>
      <c r="BN117" s="534" t="str">
        <f>IF($BA117="","",'Short Circuit'!$Q117)</f>
        <v/>
      </c>
      <c r="BO117" s="387" t="str">
        <f>IF($BA117="","",'Short Circuit'!$R117)</f>
        <v/>
      </c>
      <c r="BP117" s="535" t="str">
        <f>IF($BA117="","",'Short Circuit'!$S117)</f>
        <v/>
      </c>
      <c r="BQ117" s="387" t="str">
        <f>IF($BA117="","",'Short Circuit'!$T117)</f>
        <v/>
      </c>
      <c r="BR117" s="536" t="str">
        <f>IF($BA117="","",'Voltage Drop'!$G117)</f>
        <v/>
      </c>
      <c r="BS117" s="536" t="str">
        <f>IF($BA117="","",'Voltage Drop'!$H117)</f>
        <v/>
      </c>
      <c r="BT117" s="387" t="str">
        <f>IF($BA117="","",'Voltage Drop'!$K117)</f>
        <v/>
      </c>
      <c r="BU117" s="387" t="str">
        <f t="shared" si="2"/>
        <v/>
      </c>
      <c r="BV117" s="387"/>
      <c r="BW117" s="387" t="b">
        <f t="shared" si="3"/>
        <v>0</v>
      </c>
    </row>
    <row r="118" spans="1:75" ht="15" customHeight="1" x14ac:dyDescent="0.45">
      <c r="A118" s="161"/>
      <c r="B118" s="389"/>
      <c r="C118" s="207"/>
      <c r="D118" s="208"/>
      <c r="E118" s="161"/>
      <c r="F118" s="389"/>
      <c r="G118" s="389"/>
      <c r="H118" s="389"/>
      <c r="I118" s="389"/>
      <c r="J118" s="389"/>
      <c r="K118" s="389"/>
      <c r="L118" s="209"/>
      <c r="M118" s="209"/>
      <c r="N118" s="209"/>
      <c r="O118" s="209"/>
      <c r="P118" s="209"/>
      <c r="Q118" s="161"/>
      <c r="R118" s="390"/>
      <c r="S118" s="390"/>
      <c r="T118" s="161"/>
      <c r="U118" s="389"/>
      <c r="BA118" s="387" t="str">
        <f>IF('Short Circuit'!$A118="","",'Short Circuit'!$A118)</f>
        <v/>
      </c>
      <c r="BB118" s="387" t="str">
        <f>IF($BA118="","",'Short Circuit'!$B118)</f>
        <v/>
      </c>
      <c r="BC118" s="387" t="str">
        <f>IF($BA118="","",'Short Circuit'!$C118)</f>
        <v/>
      </c>
      <c r="BD118" s="387" t="str">
        <f>IF($BA118="","",'Short Circuit'!$D118)</f>
        <v/>
      </c>
      <c r="BE118" s="387" t="str">
        <f>IF($BA118="","",'Short Circuit'!$E118)</f>
        <v/>
      </c>
      <c r="BF118" s="387" t="str">
        <f>IF($BA118="","",IFERROR(_xlfn.XLOOKUP("F-"&amp;$BA118,'Feeder Schedule'!$B$5:$B$254,'Feeder Schedule'!$B$5:$B$254),IFERROR(_xlfn.XLOOKUP($BA118,'Feeder Schedule'!$B$5:$B$254,'Feeder Schedule'!$B$5:$B$254),"")))</f>
        <v/>
      </c>
      <c r="BG118" s="387" t="str">
        <f>IF($BF118="","",IFERROR(_xlfn.XLOOKUP($BF118,'Feeder Schedule'!$B$5:$B$254,'Feeder Schedule'!$A$5:$A$254),""))</f>
        <v/>
      </c>
      <c r="BH118" s="387" t="str">
        <f>IF($BF118="","",IFERROR(_xlfn.XLOOKUP($BF118,'Feeder Schedule'!$B$5:$B$254,'Feeder Schedule'!$O$5:$O$254),""))</f>
        <v/>
      </c>
      <c r="BI118" s="387" t="str">
        <f>IF($BF118="","",IFERROR(_xlfn.XLOOKUP($BF118,'Feeder Schedule'!$B$5:$B$254,'Feeder Schedule'!$P$5:$P$254),""))</f>
        <v/>
      </c>
      <c r="BJ118" s="387" t="str">
        <f>IF($BF118="","",IFERROR(_xlfn.XLOOKUP($BF118,'Feeder Schedule'!$B$5:$B$254,'Feeder Schedule'!$Q$5:$Q$254),""))</f>
        <v/>
      </c>
      <c r="BK118" s="387" t="str">
        <f>IF($BF118="","",IFERROR(_xlfn.XLOOKUP($BF118,'Feeder Schedule'!$B$5:$B$254,'Feeder Schedule'!$S$5:$S$254),""))</f>
        <v/>
      </c>
      <c r="BL118" s="387" t="str">
        <f>IF($BF118="","",IFERROR(_xlfn.XLOOKUP($BF118,'Feeder Schedule'!$B$5:$B$254,'Feeder Schedule'!$H$5:$H$254),""))</f>
        <v/>
      </c>
      <c r="BM118" s="534" t="str">
        <f>IF($BA118="","",'Short Circuit'!$J118)</f>
        <v/>
      </c>
      <c r="BN118" s="534" t="str">
        <f>IF($BA118="","",'Short Circuit'!$Q118)</f>
        <v/>
      </c>
      <c r="BO118" s="387" t="str">
        <f>IF($BA118="","",'Short Circuit'!$R118)</f>
        <v/>
      </c>
      <c r="BP118" s="535" t="str">
        <f>IF($BA118="","",'Short Circuit'!$S118)</f>
        <v/>
      </c>
      <c r="BQ118" s="387" t="str">
        <f>IF($BA118="","",'Short Circuit'!$T118)</f>
        <v/>
      </c>
      <c r="BR118" s="536" t="str">
        <f>IF($BA118="","",'Voltage Drop'!$G118)</f>
        <v/>
      </c>
      <c r="BS118" s="536" t="str">
        <f>IF($BA118="","",'Voltage Drop'!$H118)</f>
        <v/>
      </c>
      <c r="BT118" s="387" t="str">
        <f>IF($BA118="","",'Voltage Drop'!$K118)</f>
        <v/>
      </c>
      <c r="BU118" s="387" t="str">
        <f t="shared" si="2"/>
        <v/>
      </c>
      <c r="BV118" s="387"/>
      <c r="BW118" s="387" t="b">
        <f t="shared" si="3"/>
        <v>0</v>
      </c>
    </row>
    <row r="119" spans="1:75" ht="15" customHeight="1" x14ac:dyDescent="0.45">
      <c r="A119" s="161"/>
      <c r="B119" s="389"/>
      <c r="C119" s="207"/>
      <c r="D119" s="208"/>
      <c r="E119" s="161"/>
      <c r="F119" s="389"/>
      <c r="G119" s="389"/>
      <c r="H119" s="389"/>
      <c r="I119" s="389"/>
      <c r="J119" s="389"/>
      <c r="K119" s="389"/>
      <c r="L119" s="209"/>
      <c r="M119" s="209"/>
      <c r="N119" s="209"/>
      <c r="O119" s="209"/>
      <c r="P119" s="209"/>
      <c r="Q119" s="161"/>
      <c r="R119" s="390"/>
      <c r="S119" s="390"/>
      <c r="T119" s="161"/>
      <c r="U119" s="389"/>
      <c r="BA119" s="387" t="str">
        <f>IF('Short Circuit'!$A119="","",'Short Circuit'!$A119)</f>
        <v/>
      </c>
      <c r="BB119" s="387" t="str">
        <f>IF($BA119="","",'Short Circuit'!$B119)</f>
        <v/>
      </c>
      <c r="BC119" s="387" t="str">
        <f>IF($BA119="","",'Short Circuit'!$C119)</f>
        <v/>
      </c>
      <c r="BD119" s="387" t="str">
        <f>IF($BA119="","",'Short Circuit'!$D119)</f>
        <v/>
      </c>
      <c r="BE119" s="387" t="str">
        <f>IF($BA119="","",'Short Circuit'!$E119)</f>
        <v/>
      </c>
      <c r="BF119" s="387" t="str">
        <f>IF($BA119="","",IFERROR(_xlfn.XLOOKUP("F-"&amp;$BA119,'Feeder Schedule'!$B$5:$B$254,'Feeder Schedule'!$B$5:$B$254),IFERROR(_xlfn.XLOOKUP($BA119,'Feeder Schedule'!$B$5:$B$254,'Feeder Schedule'!$B$5:$B$254),"")))</f>
        <v/>
      </c>
      <c r="BG119" s="387" t="str">
        <f>IF($BF119="","",IFERROR(_xlfn.XLOOKUP($BF119,'Feeder Schedule'!$B$5:$B$254,'Feeder Schedule'!$A$5:$A$254),""))</f>
        <v/>
      </c>
      <c r="BH119" s="387" t="str">
        <f>IF($BF119="","",IFERROR(_xlfn.XLOOKUP($BF119,'Feeder Schedule'!$B$5:$B$254,'Feeder Schedule'!$O$5:$O$254),""))</f>
        <v/>
      </c>
      <c r="BI119" s="387" t="str">
        <f>IF($BF119="","",IFERROR(_xlfn.XLOOKUP($BF119,'Feeder Schedule'!$B$5:$B$254,'Feeder Schedule'!$P$5:$P$254),""))</f>
        <v/>
      </c>
      <c r="BJ119" s="387" t="str">
        <f>IF($BF119="","",IFERROR(_xlfn.XLOOKUP($BF119,'Feeder Schedule'!$B$5:$B$254,'Feeder Schedule'!$Q$5:$Q$254),""))</f>
        <v/>
      </c>
      <c r="BK119" s="387" t="str">
        <f>IF($BF119="","",IFERROR(_xlfn.XLOOKUP($BF119,'Feeder Schedule'!$B$5:$B$254,'Feeder Schedule'!$S$5:$S$254),""))</f>
        <v/>
      </c>
      <c r="BL119" s="387" t="str">
        <f>IF($BF119="","",IFERROR(_xlfn.XLOOKUP($BF119,'Feeder Schedule'!$B$5:$B$254,'Feeder Schedule'!$H$5:$H$254),""))</f>
        <v/>
      </c>
      <c r="BM119" s="534" t="str">
        <f>IF($BA119="","",'Short Circuit'!$J119)</f>
        <v/>
      </c>
      <c r="BN119" s="534" t="str">
        <f>IF($BA119="","",'Short Circuit'!$Q119)</f>
        <v/>
      </c>
      <c r="BO119" s="387" t="str">
        <f>IF($BA119="","",'Short Circuit'!$R119)</f>
        <v/>
      </c>
      <c r="BP119" s="535" t="str">
        <f>IF($BA119="","",'Short Circuit'!$S119)</f>
        <v/>
      </c>
      <c r="BQ119" s="387" t="str">
        <f>IF($BA119="","",'Short Circuit'!$T119)</f>
        <v/>
      </c>
      <c r="BR119" s="536" t="str">
        <f>IF($BA119="","",'Voltage Drop'!$G119)</f>
        <v/>
      </c>
      <c r="BS119" s="536" t="str">
        <f>IF($BA119="","",'Voltage Drop'!$H119)</f>
        <v/>
      </c>
      <c r="BT119" s="387" t="str">
        <f>IF($BA119="","",'Voltage Drop'!$K119)</f>
        <v/>
      </c>
      <c r="BU119" s="387" t="str">
        <f t="shared" si="2"/>
        <v/>
      </c>
      <c r="BV119" s="387"/>
      <c r="BW119" s="387" t="b">
        <f t="shared" si="3"/>
        <v>0</v>
      </c>
    </row>
    <row r="120" spans="1:75" ht="15" customHeight="1" x14ac:dyDescent="0.45">
      <c r="A120" s="161"/>
      <c r="B120" s="389"/>
      <c r="C120" s="207"/>
      <c r="D120" s="208"/>
      <c r="E120" s="161"/>
      <c r="F120" s="389"/>
      <c r="G120" s="389"/>
      <c r="H120" s="389"/>
      <c r="I120" s="389"/>
      <c r="J120" s="389"/>
      <c r="K120" s="389"/>
      <c r="L120" s="209"/>
      <c r="M120" s="209"/>
      <c r="N120" s="209"/>
      <c r="O120" s="209"/>
      <c r="P120" s="209"/>
      <c r="Q120" s="161"/>
      <c r="R120" s="390"/>
      <c r="S120" s="390"/>
      <c r="T120" s="161"/>
      <c r="U120" s="389"/>
      <c r="BA120" s="387" t="str">
        <f>IF('Short Circuit'!$A120="","",'Short Circuit'!$A120)</f>
        <v/>
      </c>
      <c r="BB120" s="387" t="str">
        <f>IF($BA120="","",'Short Circuit'!$B120)</f>
        <v/>
      </c>
      <c r="BC120" s="387" t="str">
        <f>IF($BA120="","",'Short Circuit'!$C120)</f>
        <v/>
      </c>
      <c r="BD120" s="387" t="str">
        <f>IF($BA120="","",'Short Circuit'!$D120)</f>
        <v/>
      </c>
      <c r="BE120" s="387" t="str">
        <f>IF($BA120="","",'Short Circuit'!$E120)</f>
        <v/>
      </c>
      <c r="BF120" s="387" t="str">
        <f>IF($BA120="","",IFERROR(_xlfn.XLOOKUP("F-"&amp;$BA120,'Feeder Schedule'!$B$5:$B$254,'Feeder Schedule'!$B$5:$B$254),IFERROR(_xlfn.XLOOKUP($BA120,'Feeder Schedule'!$B$5:$B$254,'Feeder Schedule'!$B$5:$B$254),"")))</f>
        <v/>
      </c>
      <c r="BG120" s="387" t="str">
        <f>IF($BF120="","",IFERROR(_xlfn.XLOOKUP($BF120,'Feeder Schedule'!$B$5:$B$254,'Feeder Schedule'!$A$5:$A$254),""))</f>
        <v/>
      </c>
      <c r="BH120" s="387" t="str">
        <f>IF($BF120="","",IFERROR(_xlfn.XLOOKUP($BF120,'Feeder Schedule'!$B$5:$B$254,'Feeder Schedule'!$O$5:$O$254),""))</f>
        <v/>
      </c>
      <c r="BI120" s="387" t="str">
        <f>IF($BF120="","",IFERROR(_xlfn.XLOOKUP($BF120,'Feeder Schedule'!$B$5:$B$254,'Feeder Schedule'!$P$5:$P$254),""))</f>
        <v/>
      </c>
      <c r="BJ120" s="387" t="str">
        <f>IF($BF120="","",IFERROR(_xlfn.XLOOKUP($BF120,'Feeder Schedule'!$B$5:$B$254,'Feeder Schedule'!$Q$5:$Q$254),""))</f>
        <v/>
      </c>
      <c r="BK120" s="387" t="str">
        <f>IF($BF120="","",IFERROR(_xlfn.XLOOKUP($BF120,'Feeder Schedule'!$B$5:$B$254,'Feeder Schedule'!$S$5:$S$254),""))</f>
        <v/>
      </c>
      <c r="BL120" s="387" t="str">
        <f>IF($BF120="","",IFERROR(_xlfn.XLOOKUP($BF120,'Feeder Schedule'!$B$5:$B$254,'Feeder Schedule'!$H$5:$H$254),""))</f>
        <v/>
      </c>
      <c r="BM120" s="534" t="str">
        <f>IF($BA120="","",'Short Circuit'!$J120)</f>
        <v/>
      </c>
      <c r="BN120" s="534" t="str">
        <f>IF($BA120="","",'Short Circuit'!$Q120)</f>
        <v/>
      </c>
      <c r="BO120" s="387" t="str">
        <f>IF($BA120="","",'Short Circuit'!$R120)</f>
        <v/>
      </c>
      <c r="BP120" s="535" t="str">
        <f>IF($BA120="","",'Short Circuit'!$S120)</f>
        <v/>
      </c>
      <c r="BQ120" s="387" t="str">
        <f>IF($BA120="","",'Short Circuit'!$T120)</f>
        <v/>
      </c>
      <c r="BR120" s="536" t="str">
        <f>IF($BA120="","",'Voltage Drop'!$G120)</f>
        <v/>
      </c>
      <c r="BS120" s="536" t="str">
        <f>IF($BA120="","",'Voltage Drop'!$H120)</f>
        <v/>
      </c>
      <c r="BT120" s="387" t="str">
        <f>IF($BA120="","",'Voltage Drop'!$K120)</f>
        <v/>
      </c>
      <c r="BU120" s="387" t="str">
        <f t="shared" si="2"/>
        <v/>
      </c>
      <c r="BV120" s="387"/>
      <c r="BW120" s="387" t="b">
        <f t="shared" si="3"/>
        <v>0</v>
      </c>
    </row>
    <row r="121" spans="1:75" ht="15" customHeight="1" x14ac:dyDescent="0.45">
      <c r="A121" s="161"/>
      <c r="B121" s="389"/>
      <c r="C121" s="207"/>
      <c r="D121" s="208"/>
      <c r="E121" s="161"/>
      <c r="F121" s="389"/>
      <c r="G121" s="389"/>
      <c r="H121" s="389"/>
      <c r="I121" s="389"/>
      <c r="J121" s="389"/>
      <c r="K121" s="389"/>
      <c r="L121" s="209"/>
      <c r="M121" s="209"/>
      <c r="N121" s="209"/>
      <c r="O121" s="209"/>
      <c r="P121" s="209"/>
      <c r="Q121" s="161"/>
      <c r="R121" s="390"/>
      <c r="S121" s="390"/>
      <c r="T121" s="161"/>
      <c r="U121" s="389"/>
      <c r="BA121" s="387" t="str">
        <f>IF('Short Circuit'!$A121="","",'Short Circuit'!$A121)</f>
        <v/>
      </c>
      <c r="BB121" s="387" t="str">
        <f>IF($BA121="","",'Short Circuit'!$B121)</f>
        <v/>
      </c>
      <c r="BC121" s="387" t="str">
        <f>IF($BA121="","",'Short Circuit'!$C121)</f>
        <v/>
      </c>
      <c r="BD121" s="387" t="str">
        <f>IF($BA121="","",'Short Circuit'!$D121)</f>
        <v/>
      </c>
      <c r="BE121" s="387" t="str">
        <f>IF($BA121="","",'Short Circuit'!$E121)</f>
        <v/>
      </c>
      <c r="BF121" s="387" t="str">
        <f>IF($BA121="","",IFERROR(_xlfn.XLOOKUP("F-"&amp;$BA121,'Feeder Schedule'!$B$5:$B$254,'Feeder Schedule'!$B$5:$B$254),IFERROR(_xlfn.XLOOKUP($BA121,'Feeder Schedule'!$B$5:$B$254,'Feeder Schedule'!$B$5:$B$254),"")))</f>
        <v/>
      </c>
      <c r="BG121" s="387" t="str">
        <f>IF($BF121="","",IFERROR(_xlfn.XLOOKUP($BF121,'Feeder Schedule'!$B$5:$B$254,'Feeder Schedule'!$A$5:$A$254),""))</f>
        <v/>
      </c>
      <c r="BH121" s="387" t="str">
        <f>IF($BF121="","",IFERROR(_xlfn.XLOOKUP($BF121,'Feeder Schedule'!$B$5:$B$254,'Feeder Schedule'!$O$5:$O$254),""))</f>
        <v/>
      </c>
      <c r="BI121" s="387" t="str">
        <f>IF($BF121="","",IFERROR(_xlfn.XLOOKUP($BF121,'Feeder Schedule'!$B$5:$B$254,'Feeder Schedule'!$P$5:$P$254),""))</f>
        <v/>
      </c>
      <c r="BJ121" s="387" t="str">
        <f>IF($BF121="","",IFERROR(_xlfn.XLOOKUP($BF121,'Feeder Schedule'!$B$5:$B$254,'Feeder Schedule'!$Q$5:$Q$254),""))</f>
        <v/>
      </c>
      <c r="BK121" s="387" t="str">
        <f>IF($BF121="","",IFERROR(_xlfn.XLOOKUP($BF121,'Feeder Schedule'!$B$5:$B$254,'Feeder Schedule'!$S$5:$S$254),""))</f>
        <v/>
      </c>
      <c r="BL121" s="387" t="str">
        <f>IF($BF121="","",IFERROR(_xlfn.XLOOKUP($BF121,'Feeder Schedule'!$B$5:$B$254,'Feeder Schedule'!$H$5:$H$254),""))</f>
        <v/>
      </c>
      <c r="BM121" s="534" t="str">
        <f>IF($BA121="","",'Short Circuit'!$J121)</f>
        <v/>
      </c>
      <c r="BN121" s="534" t="str">
        <f>IF($BA121="","",'Short Circuit'!$Q121)</f>
        <v/>
      </c>
      <c r="BO121" s="387" t="str">
        <f>IF($BA121="","",'Short Circuit'!$R121)</f>
        <v/>
      </c>
      <c r="BP121" s="535" t="str">
        <f>IF($BA121="","",'Short Circuit'!$S121)</f>
        <v/>
      </c>
      <c r="BQ121" s="387" t="str">
        <f>IF($BA121="","",'Short Circuit'!$T121)</f>
        <v/>
      </c>
      <c r="BR121" s="536" t="str">
        <f>IF($BA121="","",'Voltage Drop'!$G121)</f>
        <v/>
      </c>
      <c r="BS121" s="536" t="str">
        <f>IF($BA121="","",'Voltage Drop'!$H121)</f>
        <v/>
      </c>
      <c r="BT121" s="387" t="str">
        <f>IF($BA121="","",'Voltage Drop'!$K121)</f>
        <v/>
      </c>
      <c r="BU121" s="387" t="str">
        <f t="shared" si="2"/>
        <v/>
      </c>
      <c r="BV121" s="387"/>
      <c r="BW121" s="387" t="b">
        <f t="shared" si="3"/>
        <v>0</v>
      </c>
    </row>
    <row r="122" spans="1:75" ht="15" customHeight="1" x14ac:dyDescent="0.45">
      <c r="A122" s="161"/>
      <c r="B122" s="389"/>
      <c r="C122" s="207"/>
      <c r="D122" s="208"/>
      <c r="E122" s="161"/>
      <c r="F122" s="389"/>
      <c r="G122" s="389"/>
      <c r="H122" s="389"/>
      <c r="I122" s="389"/>
      <c r="J122" s="389"/>
      <c r="K122" s="389"/>
      <c r="L122" s="209"/>
      <c r="M122" s="209"/>
      <c r="N122" s="209"/>
      <c r="O122" s="209"/>
      <c r="P122" s="209"/>
      <c r="Q122" s="161"/>
      <c r="R122" s="390"/>
      <c r="S122" s="390"/>
      <c r="T122" s="161"/>
      <c r="U122" s="389"/>
      <c r="BA122" s="387" t="str">
        <f>IF('Short Circuit'!$A122="","",'Short Circuit'!$A122)</f>
        <v/>
      </c>
      <c r="BB122" s="387" t="str">
        <f>IF($BA122="","",'Short Circuit'!$B122)</f>
        <v/>
      </c>
      <c r="BC122" s="387" t="str">
        <f>IF($BA122="","",'Short Circuit'!$C122)</f>
        <v/>
      </c>
      <c r="BD122" s="387" t="str">
        <f>IF($BA122="","",'Short Circuit'!$D122)</f>
        <v/>
      </c>
      <c r="BE122" s="387" t="str">
        <f>IF($BA122="","",'Short Circuit'!$E122)</f>
        <v/>
      </c>
      <c r="BF122" s="387" t="str">
        <f>IF($BA122="","",IFERROR(_xlfn.XLOOKUP("F-"&amp;$BA122,'Feeder Schedule'!$B$5:$B$254,'Feeder Schedule'!$B$5:$B$254),IFERROR(_xlfn.XLOOKUP($BA122,'Feeder Schedule'!$B$5:$B$254,'Feeder Schedule'!$B$5:$B$254),"")))</f>
        <v/>
      </c>
      <c r="BG122" s="387" t="str">
        <f>IF($BF122="","",IFERROR(_xlfn.XLOOKUP($BF122,'Feeder Schedule'!$B$5:$B$254,'Feeder Schedule'!$A$5:$A$254),""))</f>
        <v/>
      </c>
      <c r="BH122" s="387" t="str">
        <f>IF($BF122="","",IFERROR(_xlfn.XLOOKUP($BF122,'Feeder Schedule'!$B$5:$B$254,'Feeder Schedule'!$O$5:$O$254),""))</f>
        <v/>
      </c>
      <c r="BI122" s="387" t="str">
        <f>IF($BF122="","",IFERROR(_xlfn.XLOOKUP($BF122,'Feeder Schedule'!$B$5:$B$254,'Feeder Schedule'!$P$5:$P$254),""))</f>
        <v/>
      </c>
      <c r="BJ122" s="387" t="str">
        <f>IF($BF122="","",IFERROR(_xlfn.XLOOKUP($BF122,'Feeder Schedule'!$B$5:$B$254,'Feeder Schedule'!$Q$5:$Q$254),""))</f>
        <v/>
      </c>
      <c r="BK122" s="387" t="str">
        <f>IF($BF122="","",IFERROR(_xlfn.XLOOKUP($BF122,'Feeder Schedule'!$B$5:$B$254,'Feeder Schedule'!$S$5:$S$254),""))</f>
        <v/>
      </c>
      <c r="BL122" s="387" t="str">
        <f>IF($BF122="","",IFERROR(_xlfn.XLOOKUP($BF122,'Feeder Schedule'!$B$5:$B$254,'Feeder Schedule'!$H$5:$H$254),""))</f>
        <v/>
      </c>
      <c r="BM122" s="534" t="str">
        <f>IF($BA122="","",'Short Circuit'!$J122)</f>
        <v/>
      </c>
      <c r="BN122" s="534" t="str">
        <f>IF($BA122="","",'Short Circuit'!$Q122)</f>
        <v/>
      </c>
      <c r="BO122" s="387" t="str">
        <f>IF($BA122="","",'Short Circuit'!$R122)</f>
        <v/>
      </c>
      <c r="BP122" s="535" t="str">
        <f>IF($BA122="","",'Short Circuit'!$S122)</f>
        <v/>
      </c>
      <c r="BQ122" s="387" t="str">
        <f>IF($BA122="","",'Short Circuit'!$T122)</f>
        <v/>
      </c>
      <c r="BR122" s="536" t="str">
        <f>IF($BA122="","",'Voltage Drop'!$G122)</f>
        <v/>
      </c>
      <c r="BS122" s="536" t="str">
        <f>IF($BA122="","",'Voltage Drop'!$H122)</f>
        <v/>
      </c>
      <c r="BT122" s="387" t="str">
        <f>IF($BA122="","",'Voltage Drop'!$K122)</f>
        <v/>
      </c>
      <c r="BU122" s="387" t="str">
        <f t="shared" si="2"/>
        <v/>
      </c>
      <c r="BV122" s="387"/>
      <c r="BW122" s="387" t="b">
        <f t="shared" si="3"/>
        <v>0</v>
      </c>
    </row>
    <row r="123" spans="1:75" ht="15" customHeight="1" x14ac:dyDescent="0.45">
      <c r="A123" s="161"/>
      <c r="B123" s="389"/>
      <c r="C123" s="207"/>
      <c r="D123" s="208"/>
      <c r="E123" s="161"/>
      <c r="F123" s="389"/>
      <c r="G123" s="389"/>
      <c r="H123" s="389"/>
      <c r="I123" s="389"/>
      <c r="J123" s="389"/>
      <c r="K123" s="389"/>
      <c r="L123" s="209"/>
      <c r="M123" s="209"/>
      <c r="N123" s="209"/>
      <c r="O123" s="209"/>
      <c r="P123" s="209"/>
      <c r="Q123" s="161"/>
      <c r="R123" s="390"/>
      <c r="S123" s="390"/>
      <c r="T123" s="161"/>
      <c r="U123" s="389"/>
      <c r="BA123" s="387" t="str">
        <f>IF('Short Circuit'!$A123="","",'Short Circuit'!$A123)</f>
        <v/>
      </c>
      <c r="BB123" s="387" t="str">
        <f>IF($BA123="","",'Short Circuit'!$B123)</f>
        <v/>
      </c>
      <c r="BC123" s="387" t="str">
        <f>IF($BA123="","",'Short Circuit'!$C123)</f>
        <v/>
      </c>
      <c r="BD123" s="387" t="str">
        <f>IF($BA123="","",'Short Circuit'!$D123)</f>
        <v/>
      </c>
      <c r="BE123" s="387" t="str">
        <f>IF($BA123="","",'Short Circuit'!$E123)</f>
        <v/>
      </c>
      <c r="BF123" s="387" t="str">
        <f>IF($BA123="","",IFERROR(_xlfn.XLOOKUP("F-"&amp;$BA123,'Feeder Schedule'!$B$5:$B$254,'Feeder Schedule'!$B$5:$B$254),IFERROR(_xlfn.XLOOKUP($BA123,'Feeder Schedule'!$B$5:$B$254,'Feeder Schedule'!$B$5:$B$254),"")))</f>
        <v/>
      </c>
      <c r="BG123" s="387" t="str">
        <f>IF($BF123="","",IFERROR(_xlfn.XLOOKUP($BF123,'Feeder Schedule'!$B$5:$B$254,'Feeder Schedule'!$A$5:$A$254),""))</f>
        <v/>
      </c>
      <c r="BH123" s="387" t="str">
        <f>IF($BF123="","",IFERROR(_xlfn.XLOOKUP($BF123,'Feeder Schedule'!$B$5:$B$254,'Feeder Schedule'!$O$5:$O$254),""))</f>
        <v/>
      </c>
      <c r="BI123" s="387" t="str">
        <f>IF($BF123="","",IFERROR(_xlfn.XLOOKUP($BF123,'Feeder Schedule'!$B$5:$B$254,'Feeder Schedule'!$P$5:$P$254),""))</f>
        <v/>
      </c>
      <c r="BJ123" s="387" t="str">
        <f>IF($BF123="","",IFERROR(_xlfn.XLOOKUP($BF123,'Feeder Schedule'!$B$5:$B$254,'Feeder Schedule'!$Q$5:$Q$254),""))</f>
        <v/>
      </c>
      <c r="BK123" s="387" t="str">
        <f>IF($BF123="","",IFERROR(_xlfn.XLOOKUP($BF123,'Feeder Schedule'!$B$5:$B$254,'Feeder Schedule'!$S$5:$S$254),""))</f>
        <v/>
      </c>
      <c r="BL123" s="387" t="str">
        <f>IF($BF123="","",IFERROR(_xlfn.XLOOKUP($BF123,'Feeder Schedule'!$B$5:$B$254,'Feeder Schedule'!$H$5:$H$254),""))</f>
        <v/>
      </c>
      <c r="BM123" s="534" t="str">
        <f>IF($BA123="","",'Short Circuit'!$J123)</f>
        <v/>
      </c>
      <c r="BN123" s="534" t="str">
        <f>IF($BA123="","",'Short Circuit'!$Q123)</f>
        <v/>
      </c>
      <c r="BO123" s="387" t="str">
        <f>IF($BA123="","",'Short Circuit'!$R123)</f>
        <v/>
      </c>
      <c r="BP123" s="535" t="str">
        <f>IF($BA123="","",'Short Circuit'!$S123)</f>
        <v/>
      </c>
      <c r="BQ123" s="387" t="str">
        <f>IF($BA123="","",'Short Circuit'!$T123)</f>
        <v/>
      </c>
      <c r="BR123" s="536" t="str">
        <f>IF($BA123="","",'Voltage Drop'!$G123)</f>
        <v/>
      </c>
      <c r="BS123" s="536" t="str">
        <f>IF($BA123="","",'Voltage Drop'!$H123)</f>
        <v/>
      </c>
      <c r="BT123" s="387" t="str">
        <f>IF($BA123="","",'Voltage Drop'!$K123)</f>
        <v/>
      </c>
      <c r="BU123" s="387" t="str">
        <f t="shared" si="2"/>
        <v/>
      </c>
      <c r="BV123" s="387"/>
      <c r="BW123" s="387" t="b">
        <f t="shared" si="3"/>
        <v>0</v>
      </c>
    </row>
    <row r="124" spans="1:75" ht="15" customHeight="1" x14ac:dyDescent="0.45">
      <c r="A124" s="161"/>
      <c r="B124" s="389"/>
      <c r="C124" s="207"/>
      <c r="D124" s="208"/>
      <c r="E124" s="161"/>
      <c r="F124" s="389"/>
      <c r="G124" s="389"/>
      <c r="H124" s="389"/>
      <c r="I124" s="389"/>
      <c r="J124" s="389"/>
      <c r="K124" s="389"/>
      <c r="L124" s="209"/>
      <c r="M124" s="209"/>
      <c r="N124" s="209"/>
      <c r="O124" s="209"/>
      <c r="P124" s="209"/>
      <c r="Q124" s="161"/>
      <c r="R124" s="390"/>
      <c r="S124" s="390"/>
      <c r="T124" s="161"/>
      <c r="U124" s="389"/>
      <c r="BA124" s="387" t="str">
        <f>IF('Short Circuit'!$A124="","",'Short Circuit'!$A124)</f>
        <v/>
      </c>
      <c r="BB124" s="387" t="str">
        <f>IF($BA124="","",'Short Circuit'!$B124)</f>
        <v/>
      </c>
      <c r="BC124" s="387" t="str">
        <f>IF($BA124="","",'Short Circuit'!$C124)</f>
        <v/>
      </c>
      <c r="BD124" s="387" t="str">
        <f>IF($BA124="","",'Short Circuit'!$D124)</f>
        <v/>
      </c>
      <c r="BE124" s="387" t="str">
        <f>IF($BA124="","",'Short Circuit'!$E124)</f>
        <v/>
      </c>
      <c r="BF124" s="387" t="str">
        <f>IF($BA124="","",IFERROR(_xlfn.XLOOKUP("F-"&amp;$BA124,'Feeder Schedule'!$B$5:$B$254,'Feeder Schedule'!$B$5:$B$254),IFERROR(_xlfn.XLOOKUP($BA124,'Feeder Schedule'!$B$5:$B$254,'Feeder Schedule'!$B$5:$B$254),"")))</f>
        <v/>
      </c>
      <c r="BG124" s="387" t="str">
        <f>IF($BF124="","",IFERROR(_xlfn.XLOOKUP($BF124,'Feeder Schedule'!$B$5:$B$254,'Feeder Schedule'!$A$5:$A$254),""))</f>
        <v/>
      </c>
      <c r="BH124" s="387" t="str">
        <f>IF($BF124="","",IFERROR(_xlfn.XLOOKUP($BF124,'Feeder Schedule'!$B$5:$B$254,'Feeder Schedule'!$O$5:$O$254),""))</f>
        <v/>
      </c>
      <c r="BI124" s="387" t="str">
        <f>IF($BF124="","",IFERROR(_xlfn.XLOOKUP($BF124,'Feeder Schedule'!$B$5:$B$254,'Feeder Schedule'!$P$5:$P$254),""))</f>
        <v/>
      </c>
      <c r="BJ124" s="387" t="str">
        <f>IF($BF124="","",IFERROR(_xlfn.XLOOKUP($BF124,'Feeder Schedule'!$B$5:$B$254,'Feeder Schedule'!$Q$5:$Q$254),""))</f>
        <v/>
      </c>
      <c r="BK124" s="387" t="str">
        <f>IF($BF124="","",IFERROR(_xlfn.XLOOKUP($BF124,'Feeder Schedule'!$B$5:$B$254,'Feeder Schedule'!$S$5:$S$254),""))</f>
        <v/>
      </c>
      <c r="BL124" s="387" t="str">
        <f>IF($BF124="","",IFERROR(_xlfn.XLOOKUP($BF124,'Feeder Schedule'!$B$5:$B$254,'Feeder Schedule'!$H$5:$H$254),""))</f>
        <v/>
      </c>
      <c r="BM124" s="534" t="str">
        <f>IF($BA124="","",'Short Circuit'!$J124)</f>
        <v/>
      </c>
      <c r="BN124" s="534" t="str">
        <f>IF($BA124="","",'Short Circuit'!$Q124)</f>
        <v/>
      </c>
      <c r="BO124" s="387" t="str">
        <f>IF($BA124="","",'Short Circuit'!$R124)</f>
        <v/>
      </c>
      <c r="BP124" s="535" t="str">
        <f>IF($BA124="","",'Short Circuit'!$S124)</f>
        <v/>
      </c>
      <c r="BQ124" s="387" t="str">
        <f>IF($BA124="","",'Short Circuit'!$T124)</f>
        <v/>
      </c>
      <c r="BR124" s="536" t="str">
        <f>IF($BA124="","",'Voltage Drop'!$G124)</f>
        <v/>
      </c>
      <c r="BS124" s="536" t="str">
        <f>IF($BA124="","",'Voltage Drop'!$H124)</f>
        <v/>
      </c>
      <c r="BT124" s="387" t="str">
        <f>IF($BA124="","",'Voltage Drop'!$K124)</f>
        <v/>
      </c>
      <c r="BU124" s="387" t="str">
        <f t="shared" si="2"/>
        <v/>
      </c>
      <c r="BV124" s="387"/>
      <c r="BW124" s="387" t="b">
        <f t="shared" si="3"/>
        <v>0</v>
      </c>
    </row>
    <row r="125" spans="1:75" ht="15" customHeight="1" x14ac:dyDescent="0.45">
      <c r="A125" s="161"/>
      <c r="B125" s="389"/>
      <c r="C125" s="207"/>
      <c r="D125" s="208"/>
      <c r="E125" s="161"/>
      <c r="F125" s="389"/>
      <c r="G125" s="389"/>
      <c r="H125" s="389"/>
      <c r="I125" s="389"/>
      <c r="J125" s="389"/>
      <c r="K125" s="389"/>
      <c r="L125" s="209"/>
      <c r="M125" s="209"/>
      <c r="N125" s="209"/>
      <c r="O125" s="209"/>
      <c r="P125" s="209"/>
      <c r="Q125" s="161"/>
      <c r="R125" s="390"/>
      <c r="S125" s="390"/>
      <c r="T125" s="161"/>
      <c r="U125" s="389"/>
      <c r="BA125" s="387" t="str">
        <f>IF('Short Circuit'!$A125="","",'Short Circuit'!$A125)</f>
        <v/>
      </c>
      <c r="BB125" s="387" t="str">
        <f>IF($BA125="","",'Short Circuit'!$B125)</f>
        <v/>
      </c>
      <c r="BC125" s="387" t="str">
        <f>IF($BA125="","",'Short Circuit'!$C125)</f>
        <v/>
      </c>
      <c r="BD125" s="387" t="str">
        <f>IF($BA125="","",'Short Circuit'!$D125)</f>
        <v/>
      </c>
      <c r="BE125" s="387" t="str">
        <f>IF($BA125="","",'Short Circuit'!$E125)</f>
        <v/>
      </c>
      <c r="BF125" s="387" t="str">
        <f>IF($BA125="","",IFERROR(_xlfn.XLOOKUP("F-"&amp;$BA125,'Feeder Schedule'!$B$5:$B$254,'Feeder Schedule'!$B$5:$B$254),IFERROR(_xlfn.XLOOKUP($BA125,'Feeder Schedule'!$B$5:$B$254,'Feeder Schedule'!$B$5:$B$254),"")))</f>
        <v/>
      </c>
      <c r="BG125" s="387" t="str">
        <f>IF($BF125="","",IFERROR(_xlfn.XLOOKUP($BF125,'Feeder Schedule'!$B$5:$B$254,'Feeder Schedule'!$A$5:$A$254),""))</f>
        <v/>
      </c>
      <c r="BH125" s="387" t="str">
        <f>IF($BF125="","",IFERROR(_xlfn.XLOOKUP($BF125,'Feeder Schedule'!$B$5:$B$254,'Feeder Schedule'!$O$5:$O$254),""))</f>
        <v/>
      </c>
      <c r="BI125" s="387" t="str">
        <f>IF($BF125="","",IFERROR(_xlfn.XLOOKUP($BF125,'Feeder Schedule'!$B$5:$B$254,'Feeder Schedule'!$P$5:$P$254),""))</f>
        <v/>
      </c>
      <c r="BJ125" s="387" t="str">
        <f>IF($BF125="","",IFERROR(_xlfn.XLOOKUP($BF125,'Feeder Schedule'!$B$5:$B$254,'Feeder Schedule'!$Q$5:$Q$254),""))</f>
        <v/>
      </c>
      <c r="BK125" s="387" t="str">
        <f>IF($BF125="","",IFERROR(_xlfn.XLOOKUP($BF125,'Feeder Schedule'!$B$5:$B$254,'Feeder Schedule'!$S$5:$S$254),""))</f>
        <v/>
      </c>
      <c r="BL125" s="387" t="str">
        <f>IF($BF125="","",IFERROR(_xlfn.XLOOKUP($BF125,'Feeder Schedule'!$B$5:$B$254,'Feeder Schedule'!$H$5:$H$254),""))</f>
        <v/>
      </c>
      <c r="BM125" s="534" t="str">
        <f>IF($BA125="","",'Short Circuit'!$J125)</f>
        <v/>
      </c>
      <c r="BN125" s="534" t="str">
        <f>IF($BA125="","",'Short Circuit'!$Q125)</f>
        <v/>
      </c>
      <c r="BO125" s="387" t="str">
        <f>IF($BA125="","",'Short Circuit'!$R125)</f>
        <v/>
      </c>
      <c r="BP125" s="535" t="str">
        <f>IF($BA125="","",'Short Circuit'!$S125)</f>
        <v/>
      </c>
      <c r="BQ125" s="387" t="str">
        <f>IF($BA125="","",'Short Circuit'!$T125)</f>
        <v/>
      </c>
      <c r="BR125" s="536" t="str">
        <f>IF($BA125="","",'Voltage Drop'!$G125)</f>
        <v/>
      </c>
      <c r="BS125" s="536" t="str">
        <f>IF($BA125="","",'Voltage Drop'!$H125)</f>
        <v/>
      </c>
      <c r="BT125" s="387" t="str">
        <f>IF($BA125="","",'Voltage Drop'!$K125)</f>
        <v/>
      </c>
      <c r="BU125" s="387" t="str">
        <f t="shared" si="2"/>
        <v/>
      </c>
      <c r="BV125" s="387"/>
      <c r="BW125" s="387" t="b">
        <f t="shared" si="3"/>
        <v>0</v>
      </c>
    </row>
    <row r="126" spans="1:75" ht="15" customHeight="1" x14ac:dyDescent="0.45">
      <c r="A126" s="161"/>
      <c r="B126" s="389"/>
      <c r="C126" s="207"/>
      <c r="D126" s="208"/>
      <c r="E126" s="161"/>
      <c r="F126" s="389"/>
      <c r="G126" s="389"/>
      <c r="H126" s="389"/>
      <c r="I126" s="389"/>
      <c r="J126" s="389"/>
      <c r="K126" s="389"/>
      <c r="L126" s="209"/>
      <c r="M126" s="209"/>
      <c r="N126" s="209"/>
      <c r="O126" s="209"/>
      <c r="P126" s="209"/>
      <c r="Q126" s="161"/>
      <c r="R126" s="390"/>
      <c r="S126" s="390"/>
      <c r="T126" s="161"/>
      <c r="U126" s="389"/>
      <c r="BA126" s="387" t="str">
        <f>IF('Short Circuit'!$A126="","",'Short Circuit'!$A126)</f>
        <v/>
      </c>
      <c r="BB126" s="387" t="str">
        <f>IF($BA126="","",'Short Circuit'!$B126)</f>
        <v/>
      </c>
      <c r="BC126" s="387" t="str">
        <f>IF($BA126="","",'Short Circuit'!$C126)</f>
        <v/>
      </c>
      <c r="BD126" s="387" t="str">
        <f>IF($BA126="","",'Short Circuit'!$D126)</f>
        <v/>
      </c>
      <c r="BE126" s="387" t="str">
        <f>IF($BA126="","",'Short Circuit'!$E126)</f>
        <v/>
      </c>
      <c r="BF126" s="387" t="str">
        <f>IF($BA126="","",IFERROR(_xlfn.XLOOKUP("F-"&amp;$BA126,'Feeder Schedule'!$B$5:$B$254,'Feeder Schedule'!$B$5:$B$254),IFERROR(_xlfn.XLOOKUP($BA126,'Feeder Schedule'!$B$5:$B$254,'Feeder Schedule'!$B$5:$B$254),"")))</f>
        <v/>
      </c>
      <c r="BG126" s="387" t="str">
        <f>IF($BF126="","",IFERROR(_xlfn.XLOOKUP($BF126,'Feeder Schedule'!$B$5:$B$254,'Feeder Schedule'!$A$5:$A$254),""))</f>
        <v/>
      </c>
      <c r="BH126" s="387" t="str">
        <f>IF($BF126="","",IFERROR(_xlfn.XLOOKUP($BF126,'Feeder Schedule'!$B$5:$B$254,'Feeder Schedule'!$O$5:$O$254),""))</f>
        <v/>
      </c>
      <c r="BI126" s="387" t="str">
        <f>IF($BF126="","",IFERROR(_xlfn.XLOOKUP($BF126,'Feeder Schedule'!$B$5:$B$254,'Feeder Schedule'!$P$5:$P$254),""))</f>
        <v/>
      </c>
      <c r="BJ126" s="387" t="str">
        <f>IF($BF126="","",IFERROR(_xlfn.XLOOKUP($BF126,'Feeder Schedule'!$B$5:$B$254,'Feeder Schedule'!$Q$5:$Q$254),""))</f>
        <v/>
      </c>
      <c r="BK126" s="387" t="str">
        <f>IF($BF126="","",IFERROR(_xlfn.XLOOKUP($BF126,'Feeder Schedule'!$B$5:$B$254,'Feeder Schedule'!$S$5:$S$254),""))</f>
        <v/>
      </c>
      <c r="BL126" s="387" t="str">
        <f>IF($BF126="","",IFERROR(_xlfn.XLOOKUP($BF126,'Feeder Schedule'!$B$5:$B$254,'Feeder Schedule'!$H$5:$H$254),""))</f>
        <v/>
      </c>
      <c r="BM126" s="534" t="str">
        <f>IF($BA126="","",'Short Circuit'!$J126)</f>
        <v/>
      </c>
      <c r="BN126" s="534" t="str">
        <f>IF($BA126="","",'Short Circuit'!$Q126)</f>
        <v/>
      </c>
      <c r="BO126" s="387" t="str">
        <f>IF($BA126="","",'Short Circuit'!$R126)</f>
        <v/>
      </c>
      <c r="BP126" s="535" t="str">
        <f>IF($BA126="","",'Short Circuit'!$S126)</f>
        <v/>
      </c>
      <c r="BQ126" s="387" t="str">
        <f>IF($BA126="","",'Short Circuit'!$T126)</f>
        <v/>
      </c>
      <c r="BR126" s="536" t="str">
        <f>IF($BA126="","",'Voltage Drop'!$G126)</f>
        <v/>
      </c>
      <c r="BS126" s="536" t="str">
        <f>IF($BA126="","",'Voltage Drop'!$H126)</f>
        <v/>
      </c>
      <c r="BT126" s="387" t="str">
        <f>IF($BA126="","",'Voltage Drop'!$K126)</f>
        <v/>
      </c>
      <c r="BU126" s="387" t="str">
        <f t="shared" si="2"/>
        <v/>
      </c>
      <c r="BV126" s="387"/>
      <c r="BW126" s="387" t="b">
        <f t="shared" si="3"/>
        <v>0</v>
      </c>
    </row>
    <row r="127" spans="1:75" ht="15" customHeight="1" x14ac:dyDescent="0.45">
      <c r="A127" s="161"/>
      <c r="B127" s="389"/>
      <c r="C127" s="207"/>
      <c r="D127" s="208"/>
      <c r="E127" s="161"/>
      <c r="F127" s="389"/>
      <c r="G127" s="389"/>
      <c r="H127" s="389"/>
      <c r="I127" s="389"/>
      <c r="J127" s="389"/>
      <c r="K127" s="389"/>
      <c r="L127" s="209"/>
      <c r="M127" s="209"/>
      <c r="N127" s="209"/>
      <c r="O127" s="209"/>
      <c r="P127" s="209"/>
      <c r="Q127" s="161"/>
      <c r="R127" s="390"/>
      <c r="S127" s="390"/>
      <c r="T127" s="161"/>
      <c r="U127" s="389"/>
      <c r="BA127" s="387" t="str">
        <f>IF('Short Circuit'!$A127="","",'Short Circuit'!$A127)</f>
        <v/>
      </c>
      <c r="BB127" s="387" t="str">
        <f>IF($BA127="","",'Short Circuit'!$B127)</f>
        <v/>
      </c>
      <c r="BC127" s="387" t="str">
        <f>IF($BA127="","",'Short Circuit'!$C127)</f>
        <v/>
      </c>
      <c r="BD127" s="387" t="str">
        <f>IF($BA127="","",'Short Circuit'!$D127)</f>
        <v/>
      </c>
      <c r="BE127" s="387" t="str">
        <f>IF($BA127="","",'Short Circuit'!$E127)</f>
        <v/>
      </c>
      <c r="BF127" s="387" t="str">
        <f>IF($BA127="","",IFERROR(_xlfn.XLOOKUP("F-"&amp;$BA127,'Feeder Schedule'!$B$5:$B$254,'Feeder Schedule'!$B$5:$B$254),IFERROR(_xlfn.XLOOKUP($BA127,'Feeder Schedule'!$B$5:$B$254,'Feeder Schedule'!$B$5:$B$254),"")))</f>
        <v/>
      </c>
      <c r="BG127" s="387" t="str">
        <f>IF($BF127="","",IFERROR(_xlfn.XLOOKUP($BF127,'Feeder Schedule'!$B$5:$B$254,'Feeder Schedule'!$A$5:$A$254),""))</f>
        <v/>
      </c>
      <c r="BH127" s="387" t="str">
        <f>IF($BF127="","",IFERROR(_xlfn.XLOOKUP($BF127,'Feeder Schedule'!$B$5:$B$254,'Feeder Schedule'!$O$5:$O$254),""))</f>
        <v/>
      </c>
      <c r="BI127" s="387" t="str">
        <f>IF($BF127="","",IFERROR(_xlfn.XLOOKUP($BF127,'Feeder Schedule'!$B$5:$B$254,'Feeder Schedule'!$P$5:$P$254),""))</f>
        <v/>
      </c>
      <c r="BJ127" s="387" t="str">
        <f>IF($BF127="","",IFERROR(_xlfn.XLOOKUP($BF127,'Feeder Schedule'!$B$5:$B$254,'Feeder Schedule'!$Q$5:$Q$254),""))</f>
        <v/>
      </c>
      <c r="BK127" s="387" t="str">
        <f>IF($BF127="","",IFERROR(_xlfn.XLOOKUP($BF127,'Feeder Schedule'!$B$5:$B$254,'Feeder Schedule'!$S$5:$S$254),""))</f>
        <v/>
      </c>
      <c r="BL127" s="387" t="str">
        <f>IF($BF127="","",IFERROR(_xlfn.XLOOKUP($BF127,'Feeder Schedule'!$B$5:$B$254,'Feeder Schedule'!$H$5:$H$254),""))</f>
        <v/>
      </c>
      <c r="BM127" s="534" t="str">
        <f>IF($BA127="","",'Short Circuit'!$J127)</f>
        <v/>
      </c>
      <c r="BN127" s="534" t="str">
        <f>IF($BA127="","",'Short Circuit'!$Q127)</f>
        <v/>
      </c>
      <c r="BO127" s="387" t="str">
        <f>IF($BA127="","",'Short Circuit'!$R127)</f>
        <v/>
      </c>
      <c r="BP127" s="535" t="str">
        <f>IF($BA127="","",'Short Circuit'!$S127)</f>
        <v/>
      </c>
      <c r="BQ127" s="387" t="str">
        <f>IF($BA127="","",'Short Circuit'!$T127)</f>
        <v/>
      </c>
      <c r="BR127" s="536" t="str">
        <f>IF($BA127="","",'Voltage Drop'!$G127)</f>
        <v/>
      </c>
      <c r="BS127" s="536" t="str">
        <f>IF($BA127="","",'Voltage Drop'!$H127)</f>
        <v/>
      </c>
      <c r="BT127" s="387" t="str">
        <f>IF($BA127="","",'Voltage Drop'!$K127)</f>
        <v/>
      </c>
      <c r="BU127" s="387" t="str">
        <f t="shared" si="2"/>
        <v/>
      </c>
      <c r="BV127" s="387"/>
      <c r="BW127" s="387" t="b">
        <f t="shared" si="3"/>
        <v>0</v>
      </c>
    </row>
    <row r="128" spans="1:75" ht="15" customHeight="1" x14ac:dyDescent="0.45">
      <c r="A128" s="161"/>
      <c r="B128" s="389"/>
      <c r="C128" s="207"/>
      <c r="D128" s="208"/>
      <c r="E128" s="161"/>
      <c r="F128" s="389"/>
      <c r="G128" s="389"/>
      <c r="H128" s="389"/>
      <c r="I128" s="389"/>
      <c r="J128" s="389"/>
      <c r="K128" s="389"/>
      <c r="L128" s="209"/>
      <c r="M128" s="209"/>
      <c r="N128" s="209"/>
      <c r="O128" s="209"/>
      <c r="P128" s="209"/>
      <c r="Q128" s="161"/>
      <c r="R128" s="390"/>
      <c r="S128" s="390"/>
      <c r="T128" s="161"/>
      <c r="U128" s="389"/>
      <c r="BA128" s="387" t="str">
        <f>IF('Short Circuit'!$A128="","",'Short Circuit'!$A128)</f>
        <v/>
      </c>
      <c r="BB128" s="387" t="str">
        <f>IF($BA128="","",'Short Circuit'!$B128)</f>
        <v/>
      </c>
      <c r="BC128" s="387" t="str">
        <f>IF($BA128="","",'Short Circuit'!$C128)</f>
        <v/>
      </c>
      <c r="BD128" s="387" t="str">
        <f>IF($BA128="","",'Short Circuit'!$D128)</f>
        <v/>
      </c>
      <c r="BE128" s="387" t="str">
        <f>IF($BA128="","",'Short Circuit'!$E128)</f>
        <v/>
      </c>
      <c r="BF128" s="387" t="str">
        <f>IF($BA128="","",IFERROR(_xlfn.XLOOKUP("F-"&amp;$BA128,'Feeder Schedule'!$B$5:$B$254,'Feeder Schedule'!$B$5:$B$254),IFERROR(_xlfn.XLOOKUP($BA128,'Feeder Schedule'!$B$5:$B$254,'Feeder Schedule'!$B$5:$B$254),"")))</f>
        <v/>
      </c>
      <c r="BG128" s="387" t="str">
        <f>IF($BF128="","",IFERROR(_xlfn.XLOOKUP($BF128,'Feeder Schedule'!$B$5:$B$254,'Feeder Schedule'!$A$5:$A$254),""))</f>
        <v/>
      </c>
      <c r="BH128" s="387" t="str">
        <f>IF($BF128="","",IFERROR(_xlfn.XLOOKUP($BF128,'Feeder Schedule'!$B$5:$B$254,'Feeder Schedule'!$O$5:$O$254),""))</f>
        <v/>
      </c>
      <c r="BI128" s="387" t="str">
        <f>IF($BF128="","",IFERROR(_xlfn.XLOOKUP($BF128,'Feeder Schedule'!$B$5:$B$254,'Feeder Schedule'!$P$5:$P$254),""))</f>
        <v/>
      </c>
      <c r="BJ128" s="387" t="str">
        <f>IF($BF128="","",IFERROR(_xlfn.XLOOKUP($BF128,'Feeder Schedule'!$B$5:$B$254,'Feeder Schedule'!$Q$5:$Q$254),""))</f>
        <v/>
      </c>
      <c r="BK128" s="387" t="str">
        <f>IF($BF128="","",IFERROR(_xlfn.XLOOKUP($BF128,'Feeder Schedule'!$B$5:$B$254,'Feeder Schedule'!$S$5:$S$254),""))</f>
        <v/>
      </c>
      <c r="BL128" s="387" t="str">
        <f>IF($BF128="","",IFERROR(_xlfn.XLOOKUP($BF128,'Feeder Schedule'!$B$5:$B$254,'Feeder Schedule'!$H$5:$H$254),""))</f>
        <v/>
      </c>
      <c r="BM128" s="534" t="str">
        <f>IF($BA128="","",'Short Circuit'!$J128)</f>
        <v/>
      </c>
      <c r="BN128" s="534" t="str">
        <f>IF($BA128="","",'Short Circuit'!$Q128)</f>
        <v/>
      </c>
      <c r="BO128" s="387" t="str">
        <f>IF($BA128="","",'Short Circuit'!$R128)</f>
        <v/>
      </c>
      <c r="BP128" s="535" t="str">
        <f>IF($BA128="","",'Short Circuit'!$S128)</f>
        <v/>
      </c>
      <c r="BQ128" s="387" t="str">
        <f>IF($BA128="","",'Short Circuit'!$T128)</f>
        <v/>
      </c>
      <c r="BR128" s="536" t="str">
        <f>IF($BA128="","",'Voltage Drop'!$G128)</f>
        <v/>
      </c>
      <c r="BS128" s="536" t="str">
        <f>IF($BA128="","",'Voltage Drop'!$H128)</f>
        <v/>
      </c>
      <c r="BT128" s="387" t="str">
        <f>IF($BA128="","",'Voltage Drop'!$K128)</f>
        <v/>
      </c>
      <c r="BU128" s="387" t="str">
        <f t="shared" si="2"/>
        <v/>
      </c>
      <c r="BV128" s="387"/>
      <c r="BW128" s="387" t="b">
        <f t="shared" si="3"/>
        <v>0</v>
      </c>
    </row>
    <row r="129" spans="1:75" ht="15" customHeight="1" x14ac:dyDescent="0.45">
      <c r="A129" s="161"/>
      <c r="B129" s="389"/>
      <c r="C129" s="207"/>
      <c r="D129" s="208"/>
      <c r="E129" s="161"/>
      <c r="F129" s="389"/>
      <c r="G129" s="389"/>
      <c r="H129" s="389"/>
      <c r="I129" s="389"/>
      <c r="J129" s="389"/>
      <c r="K129" s="389"/>
      <c r="L129" s="209"/>
      <c r="M129" s="209"/>
      <c r="N129" s="209"/>
      <c r="O129" s="209"/>
      <c r="P129" s="209"/>
      <c r="Q129" s="161"/>
      <c r="R129" s="390"/>
      <c r="S129" s="390"/>
      <c r="T129" s="161"/>
      <c r="U129" s="389"/>
      <c r="BA129" s="387" t="str">
        <f>IF('Short Circuit'!$A129="","",'Short Circuit'!$A129)</f>
        <v/>
      </c>
      <c r="BB129" s="387" t="str">
        <f>IF($BA129="","",'Short Circuit'!$B129)</f>
        <v/>
      </c>
      <c r="BC129" s="387" t="str">
        <f>IF($BA129="","",'Short Circuit'!$C129)</f>
        <v/>
      </c>
      <c r="BD129" s="387" t="str">
        <f>IF($BA129="","",'Short Circuit'!$D129)</f>
        <v/>
      </c>
      <c r="BE129" s="387" t="str">
        <f>IF($BA129="","",'Short Circuit'!$E129)</f>
        <v/>
      </c>
      <c r="BF129" s="387" t="str">
        <f>IF($BA129="","",IFERROR(_xlfn.XLOOKUP("F-"&amp;$BA129,'Feeder Schedule'!$B$5:$B$254,'Feeder Schedule'!$B$5:$B$254),IFERROR(_xlfn.XLOOKUP($BA129,'Feeder Schedule'!$B$5:$B$254,'Feeder Schedule'!$B$5:$B$254),"")))</f>
        <v/>
      </c>
      <c r="BG129" s="387" t="str">
        <f>IF($BF129="","",IFERROR(_xlfn.XLOOKUP($BF129,'Feeder Schedule'!$B$5:$B$254,'Feeder Schedule'!$A$5:$A$254),""))</f>
        <v/>
      </c>
      <c r="BH129" s="387" t="str">
        <f>IF($BF129="","",IFERROR(_xlfn.XLOOKUP($BF129,'Feeder Schedule'!$B$5:$B$254,'Feeder Schedule'!$O$5:$O$254),""))</f>
        <v/>
      </c>
      <c r="BI129" s="387" t="str">
        <f>IF($BF129="","",IFERROR(_xlfn.XLOOKUP($BF129,'Feeder Schedule'!$B$5:$B$254,'Feeder Schedule'!$P$5:$P$254),""))</f>
        <v/>
      </c>
      <c r="BJ129" s="387" t="str">
        <f>IF($BF129="","",IFERROR(_xlfn.XLOOKUP($BF129,'Feeder Schedule'!$B$5:$B$254,'Feeder Schedule'!$Q$5:$Q$254),""))</f>
        <v/>
      </c>
      <c r="BK129" s="387" t="str">
        <f>IF($BF129="","",IFERROR(_xlfn.XLOOKUP($BF129,'Feeder Schedule'!$B$5:$B$254,'Feeder Schedule'!$S$5:$S$254),""))</f>
        <v/>
      </c>
      <c r="BL129" s="387" t="str">
        <f>IF($BF129="","",IFERROR(_xlfn.XLOOKUP($BF129,'Feeder Schedule'!$B$5:$B$254,'Feeder Schedule'!$H$5:$H$254),""))</f>
        <v/>
      </c>
      <c r="BM129" s="534" t="str">
        <f>IF($BA129="","",'Short Circuit'!$J129)</f>
        <v/>
      </c>
      <c r="BN129" s="534" t="str">
        <f>IF($BA129="","",'Short Circuit'!$Q129)</f>
        <v/>
      </c>
      <c r="BO129" s="387" t="str">
        <f>IF($BA129="","",'Short Circuit'!$R129)</f>
        <v/>
      </c>
      <c r="BP129" s="535" t="str">
        <f>IF($BA129="","",'Short Circuit'!$S129)</f>
        <v/>
      </c>
      <c r="BQ129" s="387" t="str">
        <f>IF($BA129="","",'Short Circuit'!$T129)</f>
        <v/>
      </c>
      <c r="BR129" s="536" t="str">
        <f>IF($BA129="","",'Voltage Drop'!$G129)</f>
        <v/>
      </c>
      <c r="BS129" s="536" t="str">
        <f>IF($BA129="","",'Voltage Drop'!$H129)</f>
        <v/>
      </c>
      <c r="BT129" s="387" t="str">
        <f>IF($BA129="","",'Voltage Drop'!$K129)</f>
        <v/>
      </c>
      <c r="BU129" s="387" t="str">
        <f t="shared" si="2"/>
        <v/>
      </c>
      <c r="BV129" s="387"/>
      <c r="BW129" s="387" t="b">
        <f t="shared" si="3"/>
        <v>0</v>
      </c>
    </row>
    <row r="130" spans="1:75" ht="15" customHeight="1" x14ac:dyDescent="0.45">
      <c r="A130" s="161"/>
      <c r="B130" s="389"/>
      <c r="C130" s="207"/>
      <c r="D130" s="208"/>
      <c r="E130" s="161"/>
      <c r="F130" s="389"/>
      <c r="G130" s="389"/>
      <c r="H130" s="389"/>
      <c r="I130" s="389"/>
      <c r="J130" s="389"/>
      <c r="K130" s="389"/>
      <c r="L130" s="209"/>
      <c r="M130" s="209"/>
      <c r="N130" s="209"/>
      <c r="O130" s="209"/>
      <c r="P130" s="209"/>
      <c r="Q130" s="161"/>
      <c r="R130" s="390"/>
      <c r="S130" s="390"/>
      <c r="T130" s="161"/>
      <c r="U130" s="389"/>
      <c r="BA130" s="387" t="str">
        <f>IF('Short Circuit'!$A130="","",'Short Circuit'!$A130)</f>
        <v/>
      </c>
      <c r="BB130" s="387" t="str">
        <f>IF($BA130="","",'Short Circuit'!$B130)</f>
        <v/>
      </c>
      <c r="BC130" s="387" t="str">
        <f>IF($BA130="","",'Short Circuit'!$C130)</f>
        <v/>
      </c>
      <c r="BD130" s="387" t="str">
        <f>IF($BA130="","",'Short Circuit'!$D130)</f>
        <v/>
      </c>
      <c r="BE130" s="387" t="str">
        <f>IF($BA130="","",'Short Circuit'!$E130)</f>
        <v/>
      </c>
      <c r="BF130" s="387" t="str">
        <f>IF($BA130="","",IFERROR(_xlfn.XLOOKUP("F-"&amp;$BA130,'Feeder Schedule'!$B$5:$B$254,'Feeder Schedule'!$B$5:$B$254),IFERROR(_xlfn.XLOOKUP($BA130,'Feeder Schedule'!$B$5:$B$254,'Feeder Schedule'!$B$5:$B$254),"")))</f>
        <v/>
      </c>
      <c r="BG130" s="387" t="str">
        <f>IF($BF130="","",IFERROR(_xlfn.XLOOKUP($BF130,'Feeder Schedule'!$B$5:$B$254,'Feeder Schedule'!$A$5:$A$254),""))</f>
        <v/>
      </c>
      <c r="BH130" s="387" t="str">
        <f>IF($BF130="","",IFERROR(_xlfn.XLOOKUP($BF130,'Feeder Schedule'!$B$5:$B$254,'Feeder Schedule'!$O$5:$O$254),""))</f>
        <v/>
      </c>
      <c r="BI130" s="387" t="str">
        <f>IF($BF130="","",IFERROR(_xlfn.XLOOKUP($BF130,'Feeder Schedule'!$B$5:$B$254,'Feeder Schedule'!$P$5:$P$254),""))</f>
        <v/>
      </c>
      <c r="BJ130" s="387" t="str">
        <f>IF($BF130="","",IFERROR(_xlfn.XLOOKUP($BF130,'Feeder Schedule'!$B$5:$B$254,'Feeder Schedule'!$Q$5:$Q$254),""))</f>
        <v/>
      </c>
      <c r="BK130" s="387" t="str">
        <f>IF($BF130="","",IFERROR(_xlfn.XLOOKUP($BF130,'Feeder Schedule'!$B$5:$B$254,'Feeder Schedule'!$S$5:$S$254),""))</f>
        <v/>
      </c>
      <c r="BL130" s="387" t="str">
        <f>IF($BF130="","",IFERROR(_xlfn.XLOOKUP($BF130,'Feeder Schedule'!$B$5:$B$254,'Feeder Schedule'!$H$5:$H$254),""))</f>
        <v/>
      </c>
      <c r="BM130" s="534" t="str">
        <f>IF($BA130="","",'Short Circuit'!$J130)</f>
        <v/>
      </c>
      <c r="BN130" s="534" t="str">
        <f>IF($BA130="","",'Short Circuit'!$Q130)</f>
        <v/>
      </c>
      <c r="BO130" s="387" t="str">
        <f>IF($BA130="","",'Short Circuit'!$R130)</f>
        <v/>
      </c>
      <c r="BP130" s="535" t="str">
        <f>IF($BA130="","",'Short Circuit'!$S130)</f>
        <v/>
      </c>
      <c r="BQ130" s="387" t="str">
        <f>IF($BA130="","",'Short Circuit'!$T130)</f>
        <v/>
      </c>
      <c r="BR130" s="536" t="str">
        <f>IF($BA130="","",'Voltage Drop'!$G130)</f>
        <v/>
      </c>
      <c r="BS130" s="536" t="str">
        <f>IF($BA130="","",'Voltage Drop'!$H130)</f>
        <v/>
      </c>
      <c r="BT130" s="387" t="str">
        <f>IF($BA130="","",'Voltage Drop'!$K130)</f>
        <v/>
      </c>
      <c r="BU130" s="387" t="str">
        <f t="shared" si="2"/>
        <v/>
      </c>
      <c r="BV130" s="387"/>
      <c r="BW130" s="387" t="b">
        <f t="shared" si="3"/>
        <v>0</v>
      </c>
    </row>
    <row r="131" spans="1:75" ht="15" customHeight="1" x14ac:dyDescent="0.45">
      <c r="A131" s="161"/>
      <c r="B131" s="389"/>
      <c r="C131" s="207"/>
      <c r="D131" s="208"/>
      <c r="E131" s="161"/>
      <c r="F131" s="389"/>
      <c r="G131" s="389"/>
      <c r="H131" s="389"/>
      <c r="I131" s="389"/>
      <c r="J131" s="389"/>
      <c r="K131" s="389"/>
      <c r="L131" s="209"/>
      <c r="M131" s="209"/>
      <c r="N131" s="209"/>
      <c r="O131" s="209"/>
      <c r="P131" s="209"/>
      <c r="Q131" s="161"/>
      <c r="R131" s="390"/>
      <c r="S131" s="390"/>
      <c r="T131" s="161"/>
      <c r="U131" s="389"/>
      <c r="BA131" s="387" t="str">
        <f>IF('Short Circuit'!$A131="","",'Short Circuit'!$A131)</f>
        <v/>
      </c>
      <c r="BB131" s="387" t="str">
        <f>IF($BA131="","",'Short Circuit'!$B131)</f>
        <v/>
      </c>
      <c r="BC131" s="387" t="str">
        <f>IF($BA131="","",'Short Circuit'!$C131)</f>
        <v/>
      </c>
      <c r="BD131" s="387" t="str">
        <f>IF($BA131="","",'Short Circuit'!$D131)</f>
        <v/>
      </c>
      <c r="BE131" s="387" t="str">
        <f>IF($BA131="","",'Short Circuit'!$E131)</f>
        <v/>
      </c>
      <c r="BF131" s="387" t="str">
        <f>IF($BA131="","",IFERROR(_xlfn.XLOOKUP("F-"&amp;$BA131,'Feeder Schedule'!$B$5:$B$254,'Feeder Schedule'!$B$5:$B$254),IFERROR(_xlfn.XLOOKUP($BA131,'Feeder Schedule'!$B$5:$B$254,'Feeder Schedule'!$B$5:$B$254),"")))</f>
        <v/>
      </c>
      <c r="BG131" s="387" t="str">
        <f>IF($BF131="","",IFERROR(_xlfn.XLOOKUP($BF131,'Feeder Schedule'!$B$5:$B$254,'Feeder Schedule'!$A$5:$A$254),""))</f>
        <v/>
      </c>
      <c r="BH131" s="387" t="str">
        <f>IF($BF131="","",IFERROR(_xlfn.XLOOKUP($BF131,'Feeder Schedule'!$B$5:$B$254,'Feeder Schedule'!$O$5:$O$254),""))</f>
        <v/>
      </c>
      <c r="BI131" s="387" t="str">
        <f>IF($BF131="","",IFERROR(_xlfn.XLOOKUP($BF131,'Feeder Schedule'!$B$5:$B$254,'Feeder Schedule'!$P$5:$P$254),""))</f>
        <v/>
      </c>
      <c r="BJ131" s="387" t="str">
        <f>IF($BF131="","",IFERROR(_xlfn.XLOOKUP($BF131,'Feeder Schedule'!$B$5:$B$254,'Feeder Schedule'!$Q$5:$Q$254),""))</f>
        <v/>
      </c>
      <c r="BK131" s="387" t="str">
        <f>IF($BF131="","",IFERROR(_xlfn.XLOOKUP($BF131,'Feeder Schedule'!$B$5:$B$254,'Feeder Schedule'!$S$5:$S$254),""))</f>
        <v/>
      </c>
      <c r="BL131" s="387" t="str">
        <f>IF($BF131="","",IFERROR(_xlfn.XLOOKUP($BF131,'Feeder Schedule'!$B$5:$B$254,'Feeder Schedule'!$H$5:$H$254),""))</f>
        <v/>
      </c>
      <c r="BM131" s="534" t="str">
        <f>IF($BA131="","",'Short Circuit'!$J131)</f>
        <v/>
      </c>
      <c r="BN131" s="534" t="str">
        <f>IF($BA131="","",'Short Circuit'!$Q131)</f>
        <v/>
      </c>
      <c r="BO131" s="387" t="str">
        <f>IF($BA131="","",'Short Circuit'!$R131)</f>
        <v/>
      </c>
      <c r="BP131" s="535" t="str">
        <f>IF($BA131="","",'Short Circuit'!$S131)</f>
        <v/>
      </c>
      <c r="BQ131" s="387" t="str">
        <f>IF($BA131="","",'Short Circuit'!$T131)</f>
        <v/>
      </c>
      <c r="BR131" s="536" t="str">
        <f>IF($BA131="","",'Voltage Drop'!$G131)</f>
        <v/>
      </c>
      <c r="BS131" s="536" t="str">
        <f>IF($BA131="","",'Voltage Drop'!$H131)</f>
        <v/>
      </c>
      <c r="BT131" s="387" t="str">
        <f>IF($BA131="","",'Voltage Drop'!$K131)</f>
        <v/>
      </c>
      <c r="BU131" s="387" t="str">
        <f t="shared" si="2"/>
        <v/>
      </c>
      <c r="BV131" s="387"/>
      <c r="BW131" s="387" t="b">
        <f t="shared" si="3"/>
        <v>0</v>
      </c>
    </row>
    <row r="132" spans="1:75" ht="15" customHeight="1" x14ac:dyDescent="0.45">
      <c r="A132" s="161"/>
      <c r="B132" s="389"/>
      <c r="C132" s="207"/>
      <c r="D132" s="208"/>
      <c r="E132" s="161"/>
      <c r="F132" s="389"/>
      <c r="G132" s="389"/>
      <c r="H132" s="389"/>
      <c r="I132" s="389"/>
      <c r="J132" s="389"/>
      <c r="K132" s="389"/>
      <c r="L132" s="209"/>
      <c r="M132" s="209"/>
      <c r="N132" s="209"/>
      <c r="O132" s="209"/>
      <c r="P132" s="209"/>
      <c r="Q132" s="161"/>
      <c r="R132" s="390"/>
      <c r="S132" s="390"/>
      <c r="T132" s="161"/>
      <c r="U132" s="389"/>
      <c r="BA132" s="387" t="str">
        <f>IF('Short Circuit'!$A132="","",'Short Circuit'!$A132)</f>
        <v/>
      </c>
      <c r="BB132" s="387" t="str">
        <f>IF($BA132="","",'Short Circuit'!$B132)</f>
        <v/>
      </c>
      <c r="BC132" s="387" t="str">
        <f>IF($BA132="","",'Short Circuit'!$C132)</f>
        <v/>
      </c>
      <c r="BD132" s="387" t="str">
        <f>IF($BA132="","",'Short Circuit'!$D132)</f>
        <v/>
      </c>
      <c r="BE132" s="387" t="str">
        <f>IF($BA132="","",'Short Circuit'!$E132)</f>
        <v/>
      </c>
      <c r="BF132" s="387" t="str">
        <f>IF($BA132="","",IFERROR(_xlfn.XLOOKUP("F-"&amp;$BA132,'Feeder Schedule'!$B$5:$B$254,'Feeder Schedule'!$B$5:$B$254),IFERROR(_xlfn.XLOOKUP($BA132,'Feeder Schedule'!$B$5:$B$254,'Feeder Schedule'!$B$5:$B$254),"")))</f>
        <v/>
      </c>
      <c r="BG132" s="387" t="str">
        <f>IF($BF132="","",IFERROR(_xlfn.XLOOKUP($BF132,'Feeder Schedule'!$B$5:$B$254,'Feeder Schedule'!$A$5:$A$254),""))</f>
        <v/>
      </c>
      <c r="BH132" s="387" t="str">
        <f>IF($BF132="","",IFERROR(_xlfn.XLOOKUP($BF132,'Feeder Schedule'!$B$5:$B$254,'Feeder Schedule'!$O$5:$O$254),""))</f>
        <v/>
      </c>
      <c r="BI132" s="387" t="str">
        <f>IF($BF132="","",IFERROR(_xlfn.XLOOKUP($BF132,'Feeder Schedule'!$B$5:$B$254,'Feeder Schedule'!$P$5:$P$254),""))</f>
        <v/>
      </c>
      <c r="BJ132" s="387" t="str">
        <f>IF($BF132="","",IFERROR(_xlfn.XLOOKUP($BF132,'Feeder Schedule'!$B$5:$B$254,'Feeder Schedule'!$Q$5:$Q$254),""))</f>
        <v/>
      </c>
      <c r="BK132" s="387" t="str">
        <f>IF($BF132="","",IFERROR(_xlfn.XLOOKUP($BF132,'Feeder Schedule'!$B$5:$B$254,'Feeder Schedule'!$S$5:$S$254),""))</f>
        <v/>
      </c>
      <c r="BL132" s="387" t="str">
        <f>IF($BF132="","",IFERROR(_xlfn.XLOOKUP($BF132,'Feeder Schedule'!$B$5:$B$254,'Feeder Schedule'!$H$5:$H$254),""))</f>
        <v/>
      </c>
      <c r="BM132" s="534" t="str">
        <f>IF($BA132="","",'Short Circuit'!$J132)</f>
        <v/>
      </c>
      <c r="BN132" s="534" t="str">
        <f>IF($BA132="","",'Short Circuit'!$Q132)</f>
        <v/>
      </c>
      <c r="BO132" s="387" t="str">
        <f>IF($BA132="","",'Short Circuit'!$R132)</f>
        <v/>
      </c>
      <c r="BP132" s="535" t="str">
        <f>IF($BA132="","",'Short Circuit'!$S132)</f>
        <v/>
      </c>
      <c r="BQ132" s="387" t="str">
        <f>IF($BA132="","",'Short Circuit'!$T132)</f>
        <v/>
      </c>
      <c r="BR132" s="536" t="str">
        <f>IF($BA132="","",'Voltage Drop'!$G132)</f>
        <v/>
      </c>
      <c r="BS132" s="536" t="str">
        <f>IF($BA132="","",'Voltage Drop'!$H132)</f>
        <v/>
      </c>
      <c r="BT132" s="387" t="str">
        <f>IF($BA132="","",'Voltage Drop'!$K132)</f>
        <v/>
      </c>
      <c r="BU132" s="387" t="str">
        <f t="shared" si="2"/>
        <v/>
      </c>
      <c r="BV132" s="387"/>
      <c r="BW132" s="387" t="b">
        <f t="shared" si="3"/>
        <v>0</v>
      </c>
    </row>
    <row r="133" spans="1:75" ht="15" customHeight="1" x14ac:dyDescent="0.45">
      <c r="A133" s="161"/>
      <c r="B133" s="389"/>
      <c r="C133" s="207"/>
      <c r="D133" s="208"/>
      <c r="E133" s="161"/>
      <c r="F133" s="389"/>
      <c r="G133" s="389"/>
      <c r="H133" s="389"/>
      <c r="I133" s="389"/>
      <c r="J133" s="389"/>
      <c r="K133" s="389"/>
      <c r="L133" s="209"/>
      <c r="M133" s="209"/>
      <c r="N133" s="209"/>
      <c r="O133" s="209"/>
      <c r="P133" s="209"/>
      <c r="Q133" s="161"/>
      <c r="R133" s="390"/>
      <c r="S133" s="390"/>
      <c r="T133" s="161"/>
      <c r="U133" s="389"/>
      <c r="BA133" s="387" t="str">
        <f>IF('Short Circuit'!$A133="","",'Short Circuit'!$A133)</f>
        <v/>
      </c>
      <c r="BB133" s="387" t="str">
        <f>IF($BA133="","",'Short Circuit'!$B133)</f>
        <v/>
      </c>
      <c r="BC133" s="387" t="str">
        <f>IF($BA133="","",'Short Circuit'!$C133)</f>
        <v/>
      </c>
      <c r="BD133" s="387" t="str">
        <f>IF($BA133="","",'Short Circuit'!$D133)</f>
        <v/>
      </c>
      <c r="BE133" s="387" t="str">
        <f>IF($BA133="","",'Short Circuit'!$E133)</f>
        <v/>
      </c>
      <c r="BF133" s="387" t="str">
        <f>IF($BA133="","",IFERROR(_xlfn.XLOOKUP("F-"&amp;$BA133,'Feeder Schedule'!$B$5:$B$254,'Feeder Schedule'!$B$5:$B$254),IFERROR(_xlfn.XLOOKUP($BA133,'Feeder Schedule'!$B$5:$B$254,'Feeder Schedule'!$B$5:$B$254),"")))</f>
        <v/>
      </c>
      <c r="BG133" s="387" t="str">
        <f>IF($BF133="","",IFERROR(_xlfn.XLOOKUP($BF133,'Feeder Schedule'!$B$5:$B$254,'Feeder Schedule'!$A$5:$A$254),""))</f>
        <v/>
      </c>
      <c r="BH133" s="387" t="str">
        <f>IF($BF133="","",IFERROR(_xlfn.XLOOKUP($BF133,'Feeder Schedule'!$B$5:$B$254,'Feeder Schedule'!$O$5:$O$254),""))</f>
        <v/>
      </c>
      <c r="BI133" s="387" t="str">
        <f>IF($BF133="","",IFERROR(_xlfn.XLOOKUP($BF133,'Feeder Schedule'!$B$5:$B$254,'Feeder Schedule'!$P$5:$P$254),""))</f>
        <v/>
      </c>
      <c r="BJ133" s="387" t="str">
        <f>IF($BF133="","",IFERROR(_xlfn.XLOOKUP($BF133,'Feeder Schedule'!$B$5:$B$254,'Feeder Schedule'!$Q$5:$Q$254),""))</f>
        <v/>
      </c>
      <c r="BK133" s="387" t="str">
        <f>IF($BF133="","",IFERROR(_xlfn.XLOOKUP($BF133,'Feeder Schedule'!$B$5:$B$254,'Feeder Schedule'!$S$5:$S$254),""))</f>
        <v/>
      </c>
      <c r="BL133" s="387" t="str">
        <f>IF($BF133="","",IFERROR(_xlfn.XLOOKUP($BF133,'Feeder Schedule'!$B$5:$B$254,'Feeder Schedule'!$H$5:$H$254),""))</f>
        <v/>
      </c>
      <c r="BM133" s="534" t="str">
        <f>IF($BA133="","",'Short Circuit'!$J133)</f>
        <v/>
      </c>
      <c r="BN133" s="534" t="str">
        <f>IF($BA133="","",'Short Circuit'!$Q133)</f>
        <v/>
      </c>
      <c r="BO133" s="387" t="str">
        <f>IF($BA133="","",'Short Circuit'!$R133)</f>
        <v/>
      </c>
      <c r="BP133" s="535" t="str">
        <f>IF($BA133="","",'Short Circuit'!$S133)</f>
        <v/>
      </c>
      <c r="BQ133" s="387" t="str">
        <f>IF($BA133="","",'Short Circuit'!$T133)</f>
        <v/>
      </c>
      <c r="BR133" s="536" t="str">
        <f>IF($BA133="","",'Voltage Drop'!$G133)</f>
        <v/>
      </c>
      <c r="BS133" s="536" t="str">
        <f>IF($BA133="","",'Voltage Drop'!$H133)</f>
        <v/>
      </c>
      <c r="BT133" s="387" t="str">
        <f>IF($BA133="","",'Voltage Drop'!$K133)</f>
        <v/>
      </c>
      <c r="BU133" s="387" t="str">
        <f t="shared" si="2"/>
        <v/>
      </c>
      <c r="BV133" s="387"/>
      <c r="BW133" s="387" t="b">
        <f t="shared" si="3"/>
        <v>0</v>
      </c>
    </row>
    <row r="134" spans="1:75" ht="15" customHeight="1" x14ac:dyDescent="0.45">
      <c r="A134" s="161"/>
      <c r="B134" s="389"/>
      <c r="C134" s="207"/>
      <c r="D134" s="208"/>
      <c r="E134" s="161"/>
      <c r="F134" s="389"/>
      <c r="G134" s="389"/>
      <c r="H134" s="389"/>
      <c r="I134" s="389"/>
      <c r="J134" s="389"/>
      <c r="K134" s="389"/>
      <c r="L134" s="209"/>
      <c r="M134" s="209"/>
      <c r="N134" s="209"/>
      <c r="O134" s="209"/>
      <c r="P134" s="209"/>
      <c r="Q134" s="161"/>
      <c r="R134" s="390"/>
      <c r="S134" s="390"/>
      <c r="T134" s="161"/>
      <c r="U134" s="389"/>
      <c r="BA134" s="387" t="str">
        <f>IF('Short Circuit'!$A134="","",'Short Circuit'!$A134)</f>
        <v/>
      </c>
      <c r="BB134" s="387" t="str">
        <f>IF($BA134="","",'Short Circuit'!$B134)</f>
        <v/>
      </c>
      <c r="BC134" s="387" t="str">
        <f>IF($BA134="","",'Short Circuit'!$C134)</f>
        <v/>
      </c>
      <c r="BD134" s="387" t="str">
        <f>IF($BA134="","",'Short Circuit'!$D134)</f>
        <v/>
      </c>
      <c r="BE134" s="387" t="str">
        <f>IF($BA134="","",'Short Circuit'!$E134)</f>
        <v/>
      </c>
      <c r="BF134" s="387" t="str">
        <f>IF($BA134="","",IFERROR(_xlfn.XLOOKUP("F-"&amp;$BA134,'Feeder Schedule'!$B$5:$B$254,'Feeder Schedule'!$B$5:$B$254),IFERROR(_xlfn.XLOOKUP($BA134,'Feeder Schedule'!$B$5:$B$254,'Feeder Schedule'!$B$5:$B$254),"")))</f>
        <v/>
      </c>
      <c r="BG134" s="387" t="str">
        <f>IF($BF134="","",IFERROR(_xlfn.XLOOKUP($BF134,'Feeder Schedule'!$B$5:$B$254,'Feeder Schedule'!$A$5:$A$254),""))</f>
        <v/>
      </c>
      <c r="BH134" s="387" t="str">
        <f>IF($BF134="","",IFERROR(_xlfn.XLOOKUP($BF134,'Feeder Schedule'!$B$5:$B$254,'Feeder Schedule'!$O$5:$O$254),""))</f>
        <v/>
      </c>
      <c r="BI134" s="387" t="str">
        <f>IF($BF134="","",IFERROR(_xlfn.XLOOKUP($BF134,'Feeder Schedule'!$B$5:$B$254,'Feeder Schedule'!$P$5:$P$254),""))</f>
        <v/>
      </c>
      <c r="BJ134" s="387" t="str">
        <f>IF($BF134="","",IFERROR(_xlfn.XLOOKUP($BF134,'Feeder Schedule'!$B$5:$B$254,'Feeder Schedule'!$Q$5:$Q$254),""))</f>
        <v/>
      </c>
      <c r="BK134" s="387" t="str">
        <f>IF($BF134="","",IFERROR(_xlfn.XLOOKUP($BF134,'Feeder Schedule'!$B$5:$B$254,'Feeder Schedule'!$S$5:$S$254),""))</f>
        <v/>
      </c>
      <c r="BL134" s="387" t="str">
        <f>IF($BF134="","",IFERROR(_xlfn.XLOOKUP($BF134,'Feeder Schedule'!$B$5:$B$254,'Feeder Schedule'!$H$5:$H$254),""))</f>
        <v/>
      </c>
      <c r="BM134" s="534" t="str">
        <f>IF($BA134="","",'Short Circuit'!$J134)</f>
        <v/>
      </c>
      <c r="BN134" s="534" t="str">
        <f>IF($BA134="","",'Short Circuit'!$Q134)</f>
        <v/>
      </c>
      <c r="BO134" s="387" t="str">
        <f>IF($BA134="","",'Short Circuit'!$R134)</f>
        <v/>
      </c>
      <c r="BP134" s="535" t="str">
        <f>IF($BA134="","",'Short Circuit'!$S134)</f>
        <v/>
      </c>
      <c r="BQ134" s="387" t="str">
        <f>IF($BA134="","",'Short Circuit'!$T134)</f>
        <v/>
      </c>
      <c r="BR134" s="536" t="str">
        <f>IF($BA134="","",'Voltage Drop'!$G134)</f>
        <v/>
      </c>
      <c r="BS134" s="536" t="str">
        <f>IF($BA134="","",'Voltage Drop'!$H134)</f>
        <v/>
      </c>
      <c r="BT134" s="387" t="str">
        <f>IF($BA134="","",'Voltage Drop'!$K134)</f>
        <v/>
      </c>
      <c r="BU134" s="387" t="str">
        <f t="shared" si="2"/>
        <v/>
      </c>
      <c r="BV134" s="387"/>
      <c r="BW134" s="387" t="b">
        <f t="shared" si="3"/>
        <v>0</v>
      </c>
    </row>
    <row r="135" spans="1:75" ht="15" customHeight="1" x14ac:dyDescent="0.45">
      <c r="A135" s="161"/>
      <c r="B135" s="389"/>
      <c r="C135" s="207"/>
      <c r="D135" s="208"/>
      <c r="E135" s="161"/>
      <c r="F135" s="389"/>
      <c r="G135" s="389"/>
      <c r="H135" s="389"/>
      <c r="I135" s="389"/>
      <c r="J135" s="389"/>
      <c r="K135" s="389"/>
      <c r="L135" s="209"/>
      <c r="M135" s="209"/>
      <c r="N135" s="209"/>
      <c r="O135" s="209"/>
      <c r="P135" s="209"/>
      <c r="Q135" s="161"/>
      <c r="R135" s="390"/>
      <c r="S135" s="390"/>
      <c r="T135" s="161"/>
      <c r="U135" s="389"/>
      <c r="BA135" s="387" t="str">
        <f>IF('Short Circuit'!$A135="","",'Short Circuit'!$A135)</f>
        <v/>
      </c>
      <c r="BB135" s="387" t="str">
        <f>IF($BA135="","",'Short Circuit'!$B135)</f>
        <v/>
      </c>
      <c r="BC135" s="387" t="str">
        <f>IF($BA135="","",'Short Circuit'!$C135)</f>
        <v/>
      </c>
      <c r="BD135" s="387" t="str">
        <f>IF($BA135="","",'Short Circuit'!$D135)</f>
        <v/>
      </c>
      <c r="BE135" s="387" t="str">
        <f>IF($BA135="","",'Short Circuit'!$E135)</f>
        <v/>
      </c>
      <c r="BF135" s="387" t="str">
        <f>IF($BA135="","",IFERROR(_xlfn.XLOOKUP("F-"&amp;$BA135,'Feeder Schedule'!$B$5:$B$254,'Feeder Schedule'!$B$5:$B$254),IFERROR(_xlfn.XLOOKUP($BA135,'Feeder Schedule'!$B$5:$B$254,'Feeder Schedule'!$B$5:$B$254),"")))</f>
        <v/>
      </c>
      <c r="BG135" s="387" t="str">
        <f>IF($BF135="","",IFERROR(_xlfn.XLOOKUP($BF135,'Feeder Schedule'!$B$5:$B$254,'Feeder Schedule'!$A$5:$A$254),""))</f>
        <v/>
      </c>
      <c r="BH135" s="387" t="str">
        <f>IF($BF135="","",IFERROR(_xlfn.XLOOKUP($BF135,'Feeder Schedule'!$B$5:$B$254,'Feeder Schedule'!$O$5:$O$254),""))</f>
        <v/>
      </c>
      <c r="BI135" s="387" t="str">
        <f>IF($BF135="","",IFERROR(_xlfn.XLOOKUP($BF135,'Feeder Schedule'!$B$5:$B$254,'Feeder Schedule'!$P$5:$P$254),""))</f>
        <v/>
      </c>
      <c r="BJ135" s="387" t="str">
        <f>IF($BF135="","",IFERROR(_xlfn.XLOOKUP($BF135,'Feeder Schedule'!$B$5:$B$254,'Feeder Schedule'!$Q$5:$Q$254),""))</f>
        <v/>
      </c>
      <c r="BK135" s="387" t="str">
        <f>IF($BF135="","",IFERROR(_xlfn.XLOOKUP($BF135,'Feeder Schedule'!$B$5:$B$254,'Feeder Schedule'!$S$5:$S$254),""))</f>
        <v/>
      </c>
      <c r="BL135" s="387" t="str">
        <f>IF($BF135="","",IFERROR(_xlfn.XLOOKUP($BF135,'Feeder Schedule'!$B$5:$B$254,'Feeder Schedule'!$H$5:$H$254),""))</f>
        <v/>
      </c>
      <c r="BM135" s="534" t="str">
        <f>IF($BA135="","",'Short Circuit'!$J135)</f>
        <v/>
      </c>
      <c r="BN135" s="534" t="str">
        <f>IF($BA135="","",'Short Circuit'!$Q135)</f>
        <v/>
      </c>
      <c r="BO135" s="387" t="str">
        <f>IF($BA135="","",'Short Circuit'!$R135)</f>
        <v/>
      </c>
      <c r="BP135" s="535" t="str">
        <f>IF($BA135="","",'Short Circuit'!$S135)</f>
        <v/>
      </c>
      <c r="BQ135" s="387" t="str">
        <f>IF($BA135="","",'Short Circuit'!$T135)</f>
        <v/>
      </c>
      <c r="BR135" s="536" t="str">
        <f>IF($BA135="","",'Voltage Drop'!$G135)</f>
        <v/>
      </c>
      <c r="BS135" s="536" t="str">
        <f>IF($BA135="","",'Voltage Drop'!$H135)</f>
        <v/>
      </c>
      <c r="BT135" s="387" t="str">
        <f>IF($BA135="","",'Voltage Drop'!$K135)</f>
        <v/>
      </c>
      <c r="BU135" s="387" t="str">
        <f t="shared" ref="BU135:BU198" si="4">IF($BA135="","",IF($BC135=0,"— utility source —",IF(OR(ISNUMBER(SEARCH("FAIL",$BQ135&amp;$BT135))),"FAIL",IF(ISNUMBER(SEARCH("⚠",$BQ135&amp;$BT135)),"REVIEW","PASS"))))</f>
        <v/>
      </c>
      <c r="BV135" s="387"/>
      <c r="BW135" s="387" t="b">
        <f t="shared" ref="BW135:BW198" si="5">IF($BA135="",FALSE,AND(OR($B$3="All",$B$3="",$BC135=$B$3),OR($D$3="All",$D$3="",$BB135=$D$3),IF($F$3="Failures only",ISNUMBER(SEARCH("FAIL",$BQ135&amp;$BT135)),IF($F$3="Warnings &amp; failures only",OR(ISNUMBER(SEARCH("FAIL",$BQ135&amp;$BT135)),ISNUMBER(SEARCH("⚠",$BQ135&amp;$BT135))),TRUE))))</f>
        <v>0</v>
      </c>
    </row>
    <row r="136" spans="1:75" ht="15" customHeight="1" x14ac:dyDescent="0.45">
      <c r="A136" s="161"/>
      <c r="B136" s="389"/>
      <c r="C136" s="207"/>
      <c r="D136" s="208"/>
      <c r="E136" s="161"/>
      <c r="F136" s="389"/>
      <c r="G136" s="389"/>
      <c r="H136" s="389"/>
      <c r="I136" s="389"/>
      <c r="J136" s="389"/>
      <c r="K136" s="389"/>
      <c r="L136" s="209"/>
      <c r="M136" s="209"/>
      <c r="N136" s="209"/>
      <c r="O136" s="209"/>
      <c r="P136" s="209"/>
      <c r="Q136" s="161"/>
      <c r="R136" s="390"/>
      <c r="S136" s="390"/>
      <c r="T136" s="161"/>
      <c r="U136" s="389"/>
      <c r="BA136" s="387" t="str">
        <f>IF('Short Circuit'!$A136="","",'Short Circuit'!$A136)</f>
        <v/>
      </c>
      <c r="BB136" s="387" t="str">
        <f>IF($BA136="","",'Short Circuit'!$B136)</f>
        <v/>
      </c>
      <c r="BC136" s="387" t="str">
        <f>IF($BA136="","",'Short Circuit'!$C136)</f>
        <v/>
      </c>
      <c r="BD136" s="387" t="str">
        <f>IF($BA136="","",'Short Circuit'!$D136)</f>
        <v/>
      </c>
      <c r="BE136" s="387" t="str">
        <f>IF($BA136="","",'Short Circuit'!$E136)</f>
        <v/>
      </c>
      <c r="BF136" s="387" t="str">
        <f>IF($BA136="","",IFERROR(_xlfn.XLOOKUP("F-"&amp;$BA136,'Feeder Schedule'!$B$5:$B$254,'Feeder Schedule'!$B$5:$B$254),IFERROR(_xlfn.XLOOKUP($BA136,'Feeder Schedule'!$B$5:$B$254,'Feeder Schedule'!$B$5:$B$254),"")))</f>
        <v/>
      </c>
      <c r="BG136" s="387" t="str">
        <f>IF($BF136="","",IFERROR(_xlfn.XLOOKUP($BF136,'Feeder Schedule'!$B$5:$B$254,'Feeder Schedule'!$A$5:$A$254),""))</f>
        <v/>
      </c>
      <c r="BH136" s="387" t="str">
        <f>IF($BF136="","",IFERROR(_xlfn.XLOOKUP($BF136,'Feeder Schedule'!$B$5:$B$254,'Feeder Schedule'!$O$5:$O$254),""))</f>
        <v/>
      </c>
      <c r="BI136" s="387" t="str">
        <f>IF($BF136="","",IFERROR(_xlfn.XLOOKUP($BF136,'Feeder Schedule'!$B$5:$B$254,'Feeder Schedule'!$P$5:$P$254),""))</f>
        <v/>
      </c>
      <c r="BJ136" s="387" t="str">
        <f>IF($BF136="","",IFERROR(_xlfn.XLOOKUP($BF136,'Feeder Schedule'!$B$5:$B$254,'Feeder Schedule'!$Q$5:$Q$254),""))</f>
        <v/>
      </c>
      <c r="BK136" s="387" t="str">
        <f>IF($BF136="","",IFERROR(_xlfn.XLOOKUP($BF136,'Feeder Schedule'!$B$5:$B$254,'Feeder Schedule'!$S$5:$S$254),""))</f>
        <v/>
      </c>
      <c r="BL136" s="387" t="str">
        <f>IF($BF136="","",IFERROR(_xlfn.XLOOKUP($BF136,'Feeder Schedule'!$B$5:$B$254,'Feeder Schedule'!$H$5:$H$254),""))</f>
        <v/>
      </c>
      <c r="BM136" s="534" t="str">
        <f>IF($BA136="","",'Short Circuit'!$J136)</f>
        <v/>
      </c>
      <c r="BN136" s="534" t="str">
        <f>IF($BA136="","",'Short Circuit'!$Q136)</f>
        <v/>
      </c>
      <c r="BO136" s="387" t="str">
        <f>IF($BA136="","",'Short Circuit'!$R136)</f>
        <v/>
      </c>
      <c r="BP136" s="535" t="str">
        <f>IF($BA136="","",'Short Circuit'!$S136)</f>
        <v/>
      </c>
      <c r="BQ136" s="387" t="str">
        <f>IF($BA136="","",'Short Circuit'!$T136)</f>
        <v/>
      </c>
      <c r="BR136" s="536" t="str">
        <f>IF($BA136="","",'Voltage Drop'!$G136)</f>
        <v/>
      </c>
      <c r="BS136" s="536" t="str">
        <f>IF($BA136="","",'Voltage Drop'!$H136)</f>
        <v/>
      </c>
      <c r="BT136" s="387" t="str">
        <f>IF($BA136="","",'Voltage Drop'!$K136)</f>
        <v/>
      </c>
      <c r="BU136" s="387" t="str">
        <f t="shared" si="4"/>
        <v/>
      </c>
      <c r="BV136" s="387"/>
      <c r="BW136" s="387" t="b">
        <f t="shared" si="5"/>
        <v>0</v>
      </c>
    </row>
    <row r="137" spans="1:75" ht="15" customHeight="1" x14ac:dyDescent="0.45">
      <c r="A137" s="161"/>
      <c r="B137" s="389"/>
      <c r="C137" s="207"/>
      <c r="D137" s="208"/>
      <c r="E137" s="161"/>
      <c r="F137" s="389"/>
      <c r="G137" s="389"/>
      <c r="H137" s="389"/>
      <c r="I137" s="389"/>
      <c r="J137" s="389"/>
      <c r="K137" s="389"/>
      <c r="L137" s="209"/>
      <c r="M137" s="209"/>
      <c r="N137" s="209"/>
      <c r="O137" s="209"/>
      <c r="P137" s="209"/>
      <c r="Q137" s="161"/>
      <c r="R137" s="390"/>
      <c r="S137" s="390"/>
      <c r="T137" s="161"/>
      <c r="U137" s="389"/>
      <c r="BA137" s="387" t="str">
        <f>IF('Short Circuit'!$A137="","",'Short Circuit'!$A137)</f>
        <v/>
      </c>
      <c r="BB137" s="387" t="str">
        <f>IF($BA137="","",'Short Circuit'!$B137)</f>
        <v/>
      </c>
      <c r="BC137" s="387" t="str">
        <f>IF($BA137="","",'Short Circuit'!$C137)</f>
        <v/>
      </c>
      <c r="BD137" s="387" t="str">
        <f>IF($BA137="","",'Short Circuit'!$D137)</f>
        <v/>
      </c>
      <c r="BE137" s="387" t="str">
        <f>IF($BA137="","",'Short Circuit'!$E137)</f>
        <v/>
      </c>
      <c r="BF137" s="387" t="str">
        <f>IF($BA137="","",IFERROR(_xlfn.XLOOKUP("F-"&amp;$BA137,'Feeder Schedule'!$B$5:$B$254,'Feeder Schedule'!$B$5:$B$254),IFERROR(_xlfn.XLOOKUP($BA137,'Feeder Schedule'!$B$5:$B$254,'Feeder Schedule'!$B$5:$B$254),"")))</f>
        <v/>
      </c>
      <c r="BG137" s="387" t="str">
        <f>IF($BF137="","",IFERROR(_xlfn.XLOOKUP($BF137,'Feeder Schedule'!$B$5:$B$254,'Feeder Schedule'!$A$5:$A$254),""))</f>
        <v/>
      </c>
      <c r="BH137" s="387" t="str">
        <f>IF($BF137="","",IFERROR(_xlfn.XLOOKUP($BF137,'Feeder Schedule'!$B$5:$B$254,'Feeder Schedule'!$O$5:$O$254),""))</f>
        <v/>
      </c>
      <c r="BI137" s="387" t="str">
        <f>IF($BF137="","",IFERROR(_xlfn.XLOOKUP($BF137,'Feeder Schedule'!$B$5:$B$254,'Feeder Schedule'!$P$5:$P$254),""))</f>
        <v/>
      </c>
      <c r="BJ137" s="387" t="str">
        <f>IF($BF137="","",IFERROR(_xlfn.XLOOKUP($BF137,'Feeder Schedule'!$B$5:$B$254,'Feeder Schedule'!$Q$5:$Q$254),""))</f>
        <v/>
      </c>
      <c r="BK137" s="387" t="str">
        <f>IF($BF137="","",IFERROR(_xlfn.XLOOKUP($BF137,'Feeder Schedule'!$B$5:$B$254,'Feeder Schedule'!$S$5:$S$254),""))</f>
        <v/>
      </c>
      <c r="BL137" s="387" t="str">
        <f>IF($BF137="","",IFERROR(_xlfn.XLOOKUP($BF137,'Feeder Schedule'!$B$5:$B$254,'Feeder Schedule'!$H$5:$H$254),""))</f>
        <v/>
      </c>
      <c r="BM137" s="534" t="str">
        <f>IF($BA137="","",'Short Circuit'!$J137)</f>
        <v/>
      </c>
      <c r="BN137" s="534" t="str">
        <f>IF($BA137="","",'Short Circuit'!$Q137)</f>
        <v/>
      </c>
      <c r="BO137" s="387" t="str">
        <f>IF($BA137="","",'Short Circuit'!$R137)</f>
        <v/>
      </c>
      <c r="BP137" s="535" t="str">
        <f>IF($BA137="","",'Short Circuit'!$S137)</f>
        <v/>
      </c>
      <c r="BQ137" s="387" t="str">
        <f>IF($BA137="","",'Short Circuit'!$T137)</f>
        <v/>
      </c>
      <c r="BR137" s="536" t="str">
        <f>IF($BA137="","",'Voltage Drop'!$G137)</f>
        <v/>
      </c>
      <c r="BS137" s="536" t="str">
        <f>IF($BA137="","",'Voltage Drop'!$H137)</f>
        <v/>
      </c>
      <c r="BT137" s="387" t="str">
        <f>IF($BA137="","",'Voltage Drop'!$K137)</f>
        <v/>
      </c>
      <c r="BU137" s="387" t="str">
        <f t="shared" si="4"/>
        <v/>
      </c>
      <c r="BV137" s="387"/>
      <c r="BW137" s="387" t="b">
        <f t="shared" si="5"/>
        <v>0</v>
      </c>
    </row>
    <row r="138" spans="1:75" ht="15" customHeight="1" x14ac:dyDescent="0.45">
      <c r="A138" s="161"/>
      <c r="B138" s="389"/>
      <c r="C138" s="207"/>
      <c r="D138" s="208"/>
      <c r="E138" s="161"/>
      <c r="F138" s="389"/>
      <c r="G138" s="389"/>
      <c r="H138" s="389"/>
      <c r="I138" s="389"/>
      <c r="J138" s="389"/>
      <c r="K138" s="389"/>
      <c r="L138" s="209"/>
      <c r="M138" s="209"/>
      <c r="N138" s="209"/>
      <c r="O138" s="209"/>
      <c r="P138" s="209"/>
      <c r="Q138" s="161"/>
      <c r="R138" s="390"/>
      <c r="S138" s="390"/>
      <c r="T138" s="161"/>
      <c r="U138" s="389"/>
      <c r="BA138" s="387" t="str">
        <f>IF('Short Circuit'!$A138="","",'Short Circuit'!$A138)</f>
        <v/>
      </c>
      <c r="BB138" s="387" t="str">
        <f>IF($BA138="","",'Short Circuit'!$B138)</f>
        <v/>
      </c>
      <c r="BC138" s="387" t="str">
        <f>IF($BA138="","",'Short Circuit'!$C138)</f>
        <v/>
      </c>
      <c r="BD138" s="387" t="str">
        <f>IF($BA138="","",'Short Circuit'!$D138)</f>
        <v/>
      </c>
      <c r="BE138" s="387" t="str">
        <f>IF($BA138="","",'Short Circuit'!$E138)</f>
        <v/>
      </c>
      <c r="BF138" s="387" t="str">
        <f>IF($BA138="","",IFERROR(_xlfn.XLOOKUP("F-"&amp;$BA138,'Feeder Schedule'!$B$5:$B$254,'Feeder Schedule'!$B$5:$B$254),IFERROR(_xlfn.XLOOKUP($BA138,'Feeder Schedule'!$B$5:$B$254,'Feeder Schedule'!$B$5:$B$254),"")))</f>
        <v/>
      </c>
      <c r="BG138" s="387" t="str">
        <f>IF($BF138="","",IFERROR(_xlfn.XLOOKUP($BF138,'Feeder Schedule'!$B$5:$B$254,'Feeder Schedule'!$A$5:$A$254),""))</f>
        <v/>
      </c>
      <c r="BH138" s="387" t="str">
        <f>IF($BF138="","",IFERROR(_xlfn.XLOOKUP($BF138,'Feeder Schedule'!$B$5:$B$254,'Feeder Schedule'!$O$5:$O$254),""))</f>
        <v/>
      </c>
      <c r="BI138" s="387" t="str">
        <f>IF($BF138="","",IFERROR(_xlfn.XLOOKUP($BF138,'Feeder Schedule'!$B$5:$B$254,'Feeder Schedule'!$P$5:$P$254),""))</f>
        <v/>
      </c>
      <c r="BJ138" s="387" t="str">
        <f>IF($BF138="","",IFERROR(_xlfn.XLOOKUP($BF138,'Feeder Schedule'!$B$5:$B$254,'Feeder Schedule'!$Q$5:$Q$254),""))</f>
        <v/>
      </c>
      <c r="BK138" s="387" t="str">
        <f>IF($BF138="","",IFERROR(_xlfn.XLOOKUP($BF138,'Feeder Schedule'!$B$5:$B$254,'Feeder Schedule'!$S$5:$S$254),""))</f>
        <v/>
      </c>
      <c r="BL138" s="387" t="str">
        <f>IF($BF138="","",IFERROR(_xlfn.XLOOKUP($BF138,'Feeder Schedule'!$B$5:$B$254,'Feeder Schedule'!$H$5:$H$254),""))</f>
        <v/>
      </c>
      <c r="BM138" s="534" t="str">
        <f>IF($BA138="","",'Short Circuit'!$J138)</f>
        <v/>
      </c>
      <c r="BN138" s="534" t="str">
        <f>IF($BA138="","",'Short Circuit'!$Q138)</f>
        <v/>
      </c>
      <c r="BO138" s="387" t="str">
        <f>IF($BA138="","",'Short Circuit'!$R138)</f>
        <v/>
      </c>
      <c r="BP138" s="535" t="str">
        <f>IF($BA138="","",'Short Circuit'!$S138)</f>
        <v/>
      </c>
      <c r="BQ138" s="387" t="str">
        <f>IF($BA138="","",'Short Circuit'!$T138)</f>
        <v/>
      </c>
      <c r="BR138" s="536" t="str">
        <f>IF($BA138="","",'Voltage Drop'!$G138)</f>
        <v/>
      </c>
      <c r="BS138" s="536" t="str">
        <f>IF($BA138="","",'Voltage Drop'!$H138)</f>
        <v/>
      </c>
      <c r="BT138" s="387" t="str">
        <f>IF($BA138="","",'Voltage Drop'!$K138)</f>
        <v/>
      </c>
      <c r="BU138" s="387" t="str">
        <f t="shared" si="4"/>
        <v/>
      </c>
      <c r="BV138" s="387"/>
      <c r="BW138" s="387" t="b">
        <f t="shared" si="5"/>
        <v>0</v>
      </c>
    </row>
    <row r="139" spans="1:75" ht="15" customHeight="1" x14ac:dyDescent="0.45">
      <c r="A139" s="161"/>
      <c r="B139" s="389"/>
      <c r="C139" s="207"/>
      <c r="D139" s="208"/>
      <c r="E139" s="161"/>
      <c r="F139" s="389"/>
      <c r="G139" s="389"/>
      <c r="H139" s="389"/>
      <c r="I139" s="389"/>
      <c r="J139" s="389"/>
      <c r="K139" s="389"/>
      <c r="L139" s="209"/>
      <c r="M139" s="209"/>
      <c r="N139" s="209"/>
      <c r="O139" s="209"/>
      <c r="P139" s="209"/>
      <c r="Q139" s="161"/>
      <c r="R139" s="390"/>
      <c r="S139" s="390"/>
      <c r="T139" s="161"/>
      <c r="U139" s="389"/>
      <c r="BA139" s="387" t="str">
        <f>IF('Short Circuit'!$A139="","",'Short Circuit'!$A139)</f>
        <v/>
      </c>
      <c r="BB139" s="387" t="str">
        <f>IF($BA139="","",'Short Circuit'!$B139)</f>
        <v/>
      </c>
      <c r="BC139" s="387" t="str">
        <f>IF($BA139="","",'Short Circuit'!$C139)</f>
        <v/>
      </c>
      <c r="BD139" s="387" t="str">
        <f>IF($BA139="","",'Short Circuit'!$D139)</f>
        <v/>
      </c>
      <c r="BE139" s="387" t="str">
        <f>IF($BA139="","",'Short Circuit'!$E139)</f>
        <v/>
      </c>
      <c r="BF139" s="387" t="str">
        <f>IF($BA139="","",IFERROR(_xlfn.XLOOKUP("F-"&amp;$BA139,'Feeder Schedule'!$B$5:$B$254,'Feeder Schedule'!$B$5:$B$254),IFERROR(_xlfn.XLOOKUP($BA139,'Feeder Schedule'!$B$5:$B$254,'Feeder Schedule'!$B$5:$B$254),"")))</f>
        <v/>
      </c>
      <c r="BG139" s="387" t="str">
        <f>IF($BF139="","",IFERROR(_xlfn.XLOOKUP($BF139,'Feeder Schedule'!$B$5:$B$254,'Feeder Schedule'!$A$5:$A$254),""))</f>
        <v/>
      </c>
      <c r="BH139" s="387" t="str">
        <f>IF($BF139="","",IFERROR(_xlfn.XLOOKUP($BF139,'Feeder Schedule'!$B$5:$B$254,'Feeder Schedule'!$O$5:$O$254),""))</f>
        <v/>
      </c>
      <c r="BI139" s="387" t="str">
        <f>IF($BF139="","",IFERROR(_xlfn.XLOOKUP($BF139,'Feeder Schedule'!$B$5:$B$254,'Feeder Schedule'!$P$5:$P$254),""))</f>
        <v/>
      </c>
      <c r="BJ139" s="387" t="str">
        <f>IF($BF139="","",IFERROR(_xlfn.XLOOKUP($BF139,'Feeder Schedule'!$B$5:$B$254,'Feeder Schedule'!$Q$5:$Q$254),""))</f>
        <v/>
      </c>
      <c r="BK139" s="387" t="str">
        <f>IF($BF139="","",IFERROR(_xlfn.XLOOKUP($BF139,'Feeder Schedule'!$B$5:$B$254,'Feeder Schedule'!$S$5:$S$254),""))</f>
        <v/>
      </c>
      <c r="BL139" s="387" t="str">
        <f>IF($BF139="","",IFERROR(_xlfn.XLOOKUP($BF139,'Feeder Schedule'!$B$5:$B$254,'Feeder Schedule'!$H$5:$H$254),""))</f>
        <v/>
      </c>
      <c r="BM139" s="534" t="str">
        <f>IF($BA139="","",'Short Circuit'!$J139)</f>
        <v/>
      </c>
      <c r="BN139" s="534" t="str">
        <f>IF($BA139="","",'Short Circuit'!$Q139)</f>
        <v/>
      </c>
      <c r="BO139" s="387" t="str">
        <f>IF($BA139="","",'Short Circuit'!$R139)</f>
        <v/>
      </c>
      <c r="BP139" s="535" t="str">
        <f>IF($BA139="","",'Short Circuit'!$S139)</f>
        <v/>
      </c>
      <c r="BQ139" s="387" t="str">
        <f>IF($BA139="","",'Short Circuit'!$T139)</f>
        <v/>
      </c>
      <c r="BR139" s="536" t="str">
        <f>IF($BA139="","",'Voltage Drop'!$G139)</f>
        <v/>
      </c>
      <c r="BS139" s="536" t="str">
        <f>IF($BA139="","",'Voltage Drop'!$H139)</f>
        <v/>
      </c>
      <c r="BT139" s="387" t="str">
        <f>IF($BA139="","",'Voltage Drop'!$K139)</f>
        <v/>
      </c>
      <c r="BU139" s="387" t="str">
        <f t="shared" si="4"/>
        <v/>
      </c>
      <c r="BV139" s="387"/>
      <c r="BW139" s="387" t="b">
        <f t="shared" si="5"/>
        <v>0</v>
      </c>
    </row>
    <row r="140" spans="1:75" ht="15" customHeight="1" x14ac:dyDescent="0.45">
      <c r="A140" s="161"/>
      <c r="B140" s="389"/>
      <c r="C140" s="207"/>
      <c r="D140" s="208"/>
      <c r="E140" s="161"/>
      <c r="F140" s="389"/>
      <c r="G140" s="389"/>
      <c r="H140" s="389"/>
      <c r="I140" s="389"/>
      <c r="J140" s="389"/>
      <c r="K140" s="389"/>
      <c r="L140" s="209"/>
      <c r="M140" s="209"/>
      <c r="N140" s="209"/>
      <c r="O140" s="209"/>
      <c r="P140" s="209"/>
      <c r="Q140" s="161"/>
      <c r="R140" s="390"/>
      <c r="S140" s="390"/>
      <c r="T140" s="161"/>
      <c r="U140" s="389"/>
      <c r="BA140" s="387" t="str">
        <f>IF('Short Circuit'!$A140="","",'Short Circuit'!$A140)</f>
        <v/>
      </c>
      <c r="BB140" s="387" t="str">
        <f>IF($BA140="","",'Short Circuit'!$B140)</f>
        <v/>
      </c>
      <c r="BC140" s="387" t="str">
        <f>IF($BA140="","",'Short Circuit'!$C140)</f>
        <v/>
      </c>
      <c r="BD140" s="387" t="str">
        <f>IF($BA140="","",'Short Circuit'!$D140)</f>
        <v/>
      </c>
      <c r="BE140" s="387" t="str">
        <f>IF($BA140="","",'Short Circuit'!$E140)</f>
        <v/>
      </c>
      <c r="BF140" s="387" t="str">
        <f>IF($BA140="","",IFERROR(_xlfn.XLOOKUP("F-"&amp;$BA140,'Feeder Schedule'!$B$5:$B$254,'Feeder Schedule'!$B$5:$B$254),IFERROR(_xlfn.XLOOKUP($BA140,'Feeder Schedule'!$B$5:$B$254,'Feeder Schedule'!$B$5:$B$254),"")))</f>
        <v/>
      </c>
      <c r="BG140" s="387" t="str">
        <f>IF($BF140="","",IFERROR(_xlfn.XLOOKUP($BF140,'Feeder Schedule'!$B$5:$B$254,'Feeder Schedule'!$A$5:$A$254),""))</f>
        <v/>
      </c>
      <c r="BH140" s="387" t="str">
        <f>IF($BF140="","",IFERROR(_xlfn.XLOOKUP($BF140,'Feeder Schedule'!$B$5:$B$254,'Feeder Schedule'!$O$5:$O$254),""))</f>
        <v/>
      </c>
      <c r="BI140" s="387" t="str">
        <f>IF($BF140="","",IFERROR(_xlfn.XLOOKUP($BF140,'Feeder Schedule'!$B$5:$B$254,'Feeder Schedule'!$P$5:$P$254),""))</f>
        <v/>
      </c>
      <c r="BJ140" s="387" t="str">
        <f>IF($BF140="","",IFERROR(_xlfn.XLOOKUP($BF140,'Feeder Schedule'!$B$5:$B$254,'Feeder Schedule'!$Q$5:$Q$254),""))</f>
        <v/>
      </c>
      <c r="BK140" s="387" t="str">
        <f>IF($BF140="","",IFERROR(_xlfn.XLOOKUP($BF140,'Feeder Schedule'!$B$5:$B$254,'Feeder Schedule'!$S$5:$S$254),""))</f>
        <v/>
      </c>
      <c r="BL140" s="387" t="str">
        <f>IF($BF140="","",IFERROR(_xlfn.XLOOKUP($BF140,'Feeder Schedule'!$B$5:$B$254,'Feeder Schedule'!$H$5:$H$254),""))</f>
        <v/>
      </c>
      <c r="BM140" s="534" t="str">
        <f>IF($BA140="","",'Short Circuit'!$J140)</f>
        <v/>
      </c>
      <c r="BN140" s="534" t="str">
        <f>IF($BA140="","",'Short Circuit'!$Q140)</f>
        <v/>
      </c>
      <c r="BO140" s="387" t="str">
        <f>IF($BA140="","",'Short Circuit'!$R140)</f>
        <v/>
      </c>
      <c r="BP140" s="535" t="str">
        <f>IF($BA140="","",'Short Circuit'!$S140)</f>
        <v/>
      </c>
      <c r="BQ140" s="387" t="str">
        <f>IF($BA140="","",'Short Circuit'!$T140)</f>
        <v/>
      </c>
      <c r="BR140" s="536" t="str">
        <f>IF($BA140="","",'Voltage Drop'!$G140)</f>
        <v/>
      </c>
      <c r="BS140" s="536" t="str">
        <f>IF($BA140="","",'Voltage Drop'!$H140)</f>
        <v/>
      </c>
      <c r="BT140" s="387" t="str">
        <f>IF($BA140="","",'Voltage Drop'!$K140)</f>
        <v/>
      </c>
      <c r="BU140" s="387" t="str">
        <f t="shared" si="4"/>
        <v/>
      </c>
      <c r="BV140" s="387"/>
      <c r="BW140" s="387" t="b">
        <f t="shared" si="5"/>
        <v>0</v>
      </c>
    </row>
    <row r="141" spans="1:75" ht="15" customHeight="1" x14ac:dyDescent="0.45">
      <c r="A141" s="161"/>
      <c r="B141" s="389"/>
      <c r="C141" s="207"/>
      <c r="D141" s="208"/>
      <c r="E141" s="161"/>
      <c r="F141" s="389"/>
      <c r="G141" s="389"/>
      <c r="H141" s="389"/>
      <c r="I141" s="389"/>
      <c r="J141" s="389"/>
      <c r="K141" s="389"/>
      <c r="L141" s="209"/>
      <c r="M141" s="209"/>
      <c r="N141" s="209"/>
      <c r="O141" s="209"/>
      <c r="P141" s="209"/>
      <c r="Q141" s="161"/>
      <c r="R141" s="390"/>
      <c r="S141" s="390"/>
      <c r="T141" s="161"/>
      <c r="U141" s="389"/>
      <c r="BA141" s="387" t="str">
        <f>IF('Short Circuit'!$A141="","",'Short Circuit'!$A141)</f>
        <v/>
      </c>
      <c r="BB141" s="387" t="str">
        <f>IF($BA141="","",'Short Circuit'!$B141)</f>
        <v/>
      </c>
      <c r="BC141" s="387" t="str">
        <f>IF($BA141="","",'Short Circuit'!$C141)</f>
        <v/>
      </c>
      <c r="BD141" s="387" t="str">
        <f>IF($BA141="","",'Short Circuit'!$D141)</f>
        <v/>
      </c>
      <c r="BE141" s="387" t="str">
        <f>IF($BA141="","",'Short Circuit'!$E141)</f>
        <v/>
      </c>
      <c r="BF141" s="387" t="str">
        <f>IF($BA141="","",IFERROR(_xlfn.XLOOKUP("F-"&amp;$BA141,'Feeder Schedule'!$B$5:$B$254,'Feeder Schedule'!$B$5:$B$254),IFERROR(_xlfn.XLOOKUP($BA141,'Feeder Schedule'!$B$5:$B$254,'Feeder Schedule'!$B$5:$B$254),"")))</f>
        <v/>
      </c>
      <c r="BG141" s="387" t="str">
        <f>IF($BF141="","",IFERROR(_xlfn.XLOOKUP($BF141,'Feeder Schedule'!$B$5:$B$254,'Feeder Schedule'!$A$5:$A$254),""))</f>
        <v/>
      </c>
      <c r="BH141" s="387" t="str">
        <f>IF($BF141="","",IFERROR(_xlfn.XLOOKUP($BF141,'Feeder Schedule'!$B$5:$B$254,'Feeder Schedule'!$O$5:$O$254),""))</f>
        <v/>
      </c>
      <c r="BI141" s="387" t="str">
        <f>IF($BF141="","",IFERROR(_xlfn.XLOOKUP($BF141,'Feeder Schedule'!$B$5:$B$254,'Feeder Schedule'!$P$5:$P$254),""))</f>
        <v/>
      </c>
      <c r="BJ141" s="387" t="str">
        <f>IF($BF141="","",IFERROR(_xlfn.XLOOKUP($BF141,'Feeder Schedule'!$B$5:$B$254,'Feeder Schedule'!$Q$5:$Q$254),""))</f>
        <v/>
      </c>
      <c r="BK141" s="387" t="str">
        <f>IF($BF141="","",IFERROR(_xlfn.XLOOKUP($BF141,'Feeder Schedule'!$B$5:$B$254,'Feeder Schedule'!$S$5:$S$254),""))</f>
        <v/>
      </c>
      <c r="BL141" s="387" t="str">
        <f>IF($BF141="","",IFERROR(_xlfn.XLOOKUP($BF141,'Feeder Schedule'!$B$5:$B$254,'Feeder Schedule'!$H$5:$H$254),""))</f>
        <v/>
      </c>
      <c r="BM141" s="534" t="str">
        <f>IF($BA141="","",'Short Circuit'!$J141)</f>
        <v/>
      </c>
      <c r="BN141" s="534" t="str">
        <f>IF($BA141="","",'Short Circuit'!$Q141)</f>
        <v/>
      </c>
      <c r="BO141" s="387" t="str">
        <f>IF($BA141="","",'Short Circuit'!$R141)</f>
        <v/>
      </c>
      <c r="BP141" s="535" t="str">
        <f>IF($BA141="","",'Short Circuit'!$S141)</f>
        <v/>
      </c>
      <c r="BQ141" s="387" t="str">
        <f>IF($BA141="","",'Short Circuit'!$T141)</f>
        <v/>
      </c>
      <c r="BR141" s="536" t="str">
        <f>IF($BA141="","",'Voltage Drop'!$G141)</f>
        <v/>
      </c>
      <c r="BS141" s="536" t="str">
        <f>IF($BA141="","",'Voltage Drop'!$H141)</f>
        <v/>
      </c>
      <c r="BT141" s="387" t="str">
        <f>IF($BA141="","",'Voltage Drop'!$K141)</f>
        <v/>
      </c>
      <c r="BU141" s="387" t="str">
        <f t="shared" si="4"/>
        <v/>
      </c>
      <c r="BV141" s="387"/>
      <c r="BW141" s="387" t="b">
        <f t="shared" si="5"/>
        <v>0</v>
      </c>
    </row>
    <row r="142" spans="1:75" ht="15" customHeight="1" x14ac:dyDescent="0.45">
      <c r="A142" s="161"/>
      <c r="B142" s="389"/>
      <c r="C142" s="207"/>
      <c r="D142" s="208"/>
      <c r="E142" s="161"/>
      <c r="F142" s="389"/>
      <c r="G142" s="389"/>
      <c r="H142" s="389"/>
      <c r="I142" s="389"/>
      <c r="J142" s="389"/>
      <c r="K142" s="389"/>
      <c r="L142" s="209"/>
      <c r="M142" s="209"/>
      <c r="N142" s="209"/>
      <c r="O142" s="209"/>
      <c r="P142" s="209"/>
      <c r="Q142" s="161"/>
      <c r="R142" s="390"/>
      <c r="S142" s="390"/>
      <c r="T142" s="161"/>
      <c r="U142" s="389"/>
      <c r="BA142" s="387" t="str">
        <f>IF('Short Circuit'!$A142="","",'Short Circuit'!$A142)</f>
        <v/>
      </c>
      <c r="BB142" s="387" t="str">
        <f>IF($BA142="","",'Short Circuit'!$B142)</f>
        <v/>
      </c>
      <c r="BC142" s="387" t="str">
        <f>IF($BA142="","",'Short Circuit'!$C142)</f>
        <v/>
      </c>
      <c r="BD142" s="387" t="str">
        <f>IF($BA142="","",'Short Circuit'!$D142)</f>
        <v/>
      </c>
      <c r="BE142" s="387" t="str">
        <f>IF($BA142="","",'Short Circuit'!$E142)</f>
        <v/>
      </c>
      <c r="BF142" s="387" t="str">
        <f>IF($BA142="","",IFERROR(_xlfn.XLOOKUP("F-"&amp;$BA142,'Feeder Schedule'!$B$5:$B$254,'Feeder Schedule'!$B$5:$B$254),IFERROR(_xlfn.XLOOKUP($BA142,'Feeder Schedule'!$B$5:$B$254,'Feeder Schedule'!$B$5:$B$254),"")))</f>
        <v/>
      </c>
      <c r="BG142" s="387" t="str">
        <f>IF($BF142="","",IFERROR(_xlfn.XLOOKUP($BF142,'Feeder Schedule'!$B$5:$B$254,'Feeder Schedule'!$A$5:$A$254),""))</f>
        <v/>
      </c>
      <c r="BH142" s="387" t="str">
        <f>IF($BF142="","",IFERROR(_xlfn.XLOOKUP($BF142,'Feeder Schedule'!$B$5:$B$254,'Feeder Schedule'!$O$5:$O$254),""))</f>
        <v/>
      </c>
      <c r="BI142" s="387" t="str">
        <f>IF($BF142="","",IFERROR(_xlfn.XLOOKUP($BF142,'Feeder Schedule'!$B$5:$B$254,'Feeder Schedule'!$P$5:$P$254),""))</f>
        <v/>
      </c>
      <c r="BJ142" s="387" t="str">
        <f>IF($BF142="","",IFERROR(_xlfn.XLOOKUP($BF142,'Feeder Schedule'!$B$5:$B$254,'Feeder Schedule'!$Q$5:$Q$254),""))</f>
        <v/>
      </c>
      <c r="BK142" s="387" t="str">
        <f>IF($BF142="","",IFERROR(_xlfn.XLOOKUP($BF142,'Feeder Schedule'!$B$5:$B$254,'Feeder Schedule'!$S$5:$S$254),""))</f>
        <v/>
      </c>
      <c r="BL142" s="387" t="str">
        <f>IF($BF142="","",IFERROR(_xlfn.XLOOKUP($BF142,'Feeder Schedule'!$B$5:$B$254,'Feeder Schedule'!$H$5:$H$254),""))</f>
        <v/>
      </c>
      <c r="BM142" s="534" t="str">
        <f>IF($BA142="","",'Short Circuit'!$J142)</f>
        <v/>
      </c>
      <c r="BN142" s="534" t="str">
        <f>IF($BA142="","",'Short Circuit'!$Q142)</f>
        <v/>
      </c>
      <c r="BO142" s="387" t="str">
        <f>IF($BA142="","",'Short Circuit'!$R142)</f>
        <v/>
      </c>
      <c r="BP142" s="535" t="str">
        <f>IF($BA142="","",'Short Circuit'!$S142)</f>
        <v/>
      </c>
      <c r="BQ142" s="387" t="str">
        <f>IF($BA142="","",'Short Circuit'!$T142)</f>
        <v/>
      </c>
      <c r="BR142" s="536" t="str">
        <f>IF($BA142="","",'Voltage Drop'!$G142)</f>
        <v/>
      </c>
      <c r="BS142" s="536" t="str">
        <f>IF($BA142="","",'Voltage Drop'!$H142)</f>
        <v/>
      </c>
      <c r="BT142" s="387" t="str">
        <f>IF($BA142="","",'Voltage Drop'!$K142)</f>
        <v/>
      </c>
      <c r="BU142" s="387" t="str">
        <f t="shared" si="4"/>
        <v/>
      </c>
      <c r="BV142" s="387"/>
      <c r="BW142" s="387" t="b">
        <f t="shared" si="5"/>
        <v>0</v>
      </c>
    </row>
    <row r="143" spans="1:75" ht="15" customHeight="1" x14ac:dyDescent="0.45">
      <c r="A143" s="161"/>
      <c r="B143" s="389"/>
      <c r="C143" s="207"/>
      <c r="D143" s="208"/>
      <c r="E143" s="161"/>
      <c r="F143" s="389"/>
      <c r="G143" s="389"/>
      <c r="H143" s="389"/>
      <c r="I143" s="389"/>
      <c r="J143" s="389"/>
      <c r="K143" s="389"/>
      <c r="L143" s="209"/>
      <c r="M143" s="209"/>
      <c r="N143" s="209"/>
      <c r="O143" s="209"/>
      <c r="P143" s="209"/>
      <c r="Q143" s="161"/>
      <c r="R143" s="390"/>
      <c r="S143" s="390"/>
      <c r="T143" s="161"/>
      <c r="U143" s="389"/>
      <c r="BA143" s="387" t="str">
        <f>IF('Short Circuit'!$A143="","",'Short Circuit'!$A143)</f>
        <v/>
      </c>
      <c r="BB143" s="387" t="str">
        <f>IF($BA143="","",'Short Circuit'!$B143)</f>
        <v/>
      </c>
      <c r="BC143" s="387" t="str">
        <f>IF($BA143="","",'Short Circuit'!$C143)</f>
        <v/>
      </c>
      <c r="BD143" s="387" t="str">
        <f>IF($BA143="","",'Short Circuit'!$D143)</f>
        <v/>
      </c>
      <c r="BE143" s="387" t="str">
        <f>IF($BA143="","",'Short Circuit'!$E143)</f>
        <v/>
      </c>
      <c r="BF143" s="387" t="str">
        <f>IF($BA143="","",IFERROR(_xlfn.XLOOKUP("F-"&amp;$BA143,'Feeder Schedule'!$B$5:$B$254,'Feeder Schedule'!$B$5:$B$254),IFERROR(_xlfn.XLOOKUP($BA143,'Feeder Schedule'!$B$5:$B$254,'Feeder Schedule'!$B$5:$B$254),"")))</f>
        <v/>
      </c>
      <c r="BG143" s="387" t="str">
        <f>IF($BF143="","",IFERROR(_xlfn.XLOOKUP($BF143,'Feeder Schedule'!$B$5:$B$254,'Feeder Schedule'!$A$5:$A$254),""))</f>
        <v/>
      </c>
      <c r="BH143" s="387" t="str">
        <f>IF($BF143="","",IFERROR(_xlfn.XLOOKUP($BF143,'Feeder Schedule'!$B$5:$B$254,'Feeder Schedule'!$O$5:$O$254),""))</f>
        <v/>
      </c>
      <c r="BI143" s="387" t="str">
        <f>IF($BF143="","",IFERROR(_xlfn.XLOOKUP($BF143,'Feeder Schedule'!$B$5:$B$254,'Feeder Schedule'!$P$5:$P$254),""))</f>
        <v/>
      </c>
      <c r="BJ143" s="387" t="str">
        <f>IF($BF143="","",IFERROR(_xlfn.XLOOKUP($BF143,'Feeder Schedule'!$B$5:$B$254,'Feeder Schedule'!$Q$5:$Q$254),""))</f>
        <v/>
      </c>
      <c r="BK143" s="387" t="str">
        <f>IF($BF143="","",IFERROR(_xlfn.XLOOKUP($BF143,'Feeder Schedule'!$B$5:$B$254,'Feeder Schedule'!$S$5:$S$254),""))</f>
        <v/>
      </c>
      <c r="BL143" s="387" t="str">
        <f>IF($BF143="","",IFERROR(_xlfn.XLOOKUP($BF143,'Feeder Schedule'!$B$5:$B$254,'Feeder Schedule'!$H$5:$H$254),""))</f>
        <v/>
      </c>
      <c r="BM143" s="534" t="str">
        <f>IF($BA143="","",'Short Circuit'!$J143)</f>
        <v/>
      </c>
      <c r="BN143" s="534" t="str">
        <f>IF($BA143="","",'Short Circuit'!$Q143)</f>
        <v/>
      </c>
      <c r="BO143" s="387" t="str">
        <f>IF($BA143="","",'Short Circuit'!$R143)</f>
        <v/>
      </c>
      <c r="BP143" s="535" t="str">
        <f>IF($BA143="","",'Short Circuit'!$S143)</f>
        <v/>
      </c>
      <c r="BQ143" s="387" t="str">
        <f>IF($BA143="","",'Short Circuit'!$T143)</f>
        <v/>
      </c>
      <c r="BR143" s="536" t="str">
        <f>IF($BA143="","",'Voltage Drop'!$G143)</f>
        <v/>
      </c>
      <c r="BS143" s="536" t="str">
        <f>IF($BA143="","",'Voltage Drop'!$H143)</f>
        <v/>
      </c>
      <c r="BT143" s="387" t="str">
        <f>IF($BA143="","",'Voltage Drop'!$K143)</f>
        <v/>
      </c>
      <c r="BU143" s="387" t="str">
        <f t="shared" si="4"/>
        <v/>
      </c>
      <c r="BV143" s="387"/>
      <c r="BW143" s="387" t="b">
        <f t="shared" si="5"/>
        <v>0</v>
      </c>
    </row>
    <row r="144" spans="1:75" ht="15" customHeight="1" x14ac:dyDescent="0.45">
      <c r="A144" s="161"/>
      <c r="B144" s="389"/>
      <c r="C144" s="207"/>
      <c r="D144" s="208"/>
      <c r="E144" s="161"/>
      <c r="F144" s="389"/>
      <c r="G144" s="389"/>
      <c r="H144" s="389"/>
      <c r="I144" s="389"/>
      <c r="J144" s="389"/>
      <c r="K144" s="389"/>
      <c r="L144" s="209"/>
      <c r="M144" s="209"/>
      <c r="N144" s="209"/>
      <c r="O144" s="209"/>
      <c r="P144" s="209"/>
      <c r="Q144" s="161"/>
      <c r="R144" s="390"/>
      <c r="S144" s="390"/>
      <c r="T144" s="161"/>
      <c r="U144" s="389"/>
      <c r="BA144" s="387" t="str">
        <f>IF('Short Circuit'!$A144="","",'Short Circuit'!$A144)</f>
        <v/>
      </c>
      <c r="BB144" s="387" t="str">
        <f>IF($BA144="","",'Short Circuit'!$B144)</f>
        <v/>
      </c>
      <c r="BC144" s="387" t="str">
        <f>IF($BA144="","",'Short Circuit'!$C144)</f>
        <v/>
      </c>
      <c r="BD144" s="387" t="str">
        <f>IF($BA144="","",'Short Circuit'!$D144)</f>
        <v/>
      </c>
      <c r="BE144" s="387" t="str">
        <f>IF($BA144="","",'Short Circuit'!$E144)</f>
        <v/>
      </c>
      <c r="BF144" s="387" t="str">
        <f>IF($BA144="","",IFERROR(_xlfn.XLOOKUP("F-"&amp;$BA144,'Feeder Schedule'!$B$5:$B$254,'Feeder Schedule'!$B$5:$B$254),IFERROR(_xlfn.XLOOKUP($BA144,'Feeder Schedule'!$B$5:$B$254,'Feeder Schedule'!$B$5:$B$254),"")))</f>
        <v/>
      </c>
      <c r="BG144" s="387" t="str">
        <f>IF($BF144="","",IFERROR(_xlfn.XLOOKUP($BF144,'Feeder Schedule'!$B$5:$B$254,'Feeder Schedule'!$A$5:$A$254),""))</f>
        <v/>
      </c>
      <c r="BH144" s="387" t="str">
        <f>IF($BF144="","",IFERROR(_xlfn.XLOOKUP($BF144,'Feeder Schedule'!$B$5:$B$254,'Feeder Schedule'!$O$5:$O$254),""))</f>
        <v/>
      </c>
      <c r="BI144" s="387" t="str">
        <f>IF($BF144="","",IFERROR(_xlfn.XLOOKUP($BF144,'Feeder Schedule'!$B$5:$B$254,'Feeder Schedule'!$P$5:$P$254),""))</f>
        <v/>
      </c>
      <c r="BJ144" s="387" t="str">
        <f>IF($BF144="","",IFERROR(_xlfn.XLOOKUP($BF144,'Feeder Schedule'!$B$5:$B$254,'Feeder Schedule'!$Q$5:$Q$254),""))</f>
        <v/>
      </c>
      <c r="BK144" s="387" t="str">
        <f>IF($BF144="","",IFERROR(_xlfn.XLOOKUP($BF144,'Feeder Schedule'!$B$5:$B$254,'Feeder Schedule'!$S$5:$S$254),""))</f>
        <v/>
      </c>
      <c r="BL144" s="387" t="str">
        <f>IF($BF144="","",IFERROR(_xlfn.XLOOKUP($BF144,'Feeder Schedule'!$B$5:$B$254,'Feeder Schedule'!$H$5:$H$254),""))</f>
        <v/>
      </c>
      <c r="BM144" s="534" t="str">
        <f>IF($BA144="","",'Short Circuit'!$J144)</f>
        <v/>
      </c>
      <c r="BN144" s="534" t="str">
        <f>IF($BA144="","",'Short Circuit'!$Q144)</f>
        <v/>
      </c>
      <c r="BO144" s="387" t="str">
        <f>IF($BA144="","",'Short Circuit'!$R144)</f>
        <v/>
      </c>
      <c r="BP144" s="535" t="str">
        <f>IF($BA144="","",'Short Circuit'!$S144)</f>
        <v/>
      </c>
      <c r="BQ144" s="387" t="str">
        <f>IF($BA144="","",'Short Circuit'!$T144)</f>
        <v/>
      </c>
      <c r="BR144" s="536" t="str">
        <f>IF($BA144="","",'Voltage Drop'!$G144)</f>
        <v/>
      </c>
      <c r="BS144" s="536" t="str">
        <f>IF($BA144="","",'Voltage Drop'!$H144)</f>
        <v/>
      </c>
      <c r="BT144" s="387" t="str">
        <f>IF($BA144="","",'Voltage Drop'!$K144)</f>
        <v/>
      </c>
      <c r="BU144" s="387" t="str">
        <f t="shared" si="4"/>
        <v/>
      </c>
      <c r="BV144" s="387"/>
      <c r="BW144" s="387" t="b">
        <f t="shared" si="5"/>
        <v>0</v>
      </c>
    </row>
    <row r="145" spans="1:75" ht="15" customHeight="1" x14ac:dyDescent="0.45">
      <c r="A145" s="161"/>
      <c r="B145" s="389"/>
      <c r="C145" s="207"/>
      <c r="D145" s="208"/>
      <c r="E145" s="161"/>
      <c r="F145" s="389"/>
      <c r="G145" s="389"/>
      <c r="H145" s="389"/>
      <c r="I145" s="389"/>
      <c r="J145" s="389"/>
      <c r="K145" s="389"/>
      <c r="L145" s="209"/>
      <c r="M145" s="209"/>
      <c r="N145" s="209"/>
      <c r="O145" s="209"/>
      <c r="P145" s="209"/>
      <c r="Q145" s="161"/>
      <c r="R145" s="390"/>
      <c r="S145" s="390"/>
      <c r="T145" s="161"/>
      <c r="U145" s="389"/>
      <c r="BA145" s="387" t="str">
        <f>IF('Short Circuit'!$A145="","",'Short Circuit'!$A145)</f>
        <v/>
      </c>
      <c r="BB145" s="387" t="str">
        <f>IF($BA145="","",'Short Circuit'!$B145)</f>
        <v/>
      </c>
      <c r="BC145" s="387" t="str">
        <f>IF($BA145="","",'Short Circuit'!$C145)</f>
        <v/>
      </c>
      <c r="BD145" s="387" t="str">
        <f>IF($BA145="","",'Short Circuit'!$D145)</f>
        <v/>
      </c>
      <c r="BE145" s="387" t="str">
        <f>IF($BA145="","",'Short Circuit'!$E145)</f>
        <v/>
      </c>
      <c r="BF145" s="387" t="str">
        <f>IF($BA145="","",IFERROR(_xlfn.XLOOKUP("F-"&amp;$BA145,'Feeder Schedule'!$B$5:$B$254,'Feeder Schedule'!$B$5:$B$254),IFERROR(_xlfn.XLOOKUP($BA145,'Feeder Schedule'!$B$5:$B$254,'Feeder Schedule'!$B$5:$B$254),"")))</f>
        <v/>
      </c>
      <c r="BG145" s="387" t="str">
        <f>IF($BF145="","",IFERROR(_xlfn.XLOOKUP($BF145,'Feeder Schedule'!$B$5:$B$254,'Feeder Schedule'!$A$5:$A$254),""))</f>
        <v/>
      </c>
      <c r="BH145" s="387" t="str">
        <f>IF($BF145="","",IFERROR(_xlfn.XLOOKUP($BF145,'Feeder Schedule'!$B$5:$B$254,'Feeder Schedule'!$O$5:$O$254),""))</f>
        <v/>
      </c>
      <c r="BI145" s="387" t="str">
        <f>IF($BF145="","",IFERROR(_xlfn.XLOOKUP($BF145,'Feeder Schedule'!$B$5:$B$254,'Feeder Schedule'!$P$5:$P$254),""))</f>
        <v/>
      </c>
      <c r="BJ145" s="387" t="str">
        <f>IF($BF145="","",IFERROR(_xlfn.XLOOKUP($BF145,'Feeder Schedule'!$B$5:$B$254,'Feeder Schedule'!$Q$5:$Q$254),""))</f>
        <v/>
      </c>
      <c r="BK145" s="387" t="str">
        <f>IF($BF145="","",IFERROR(_xlfn.XLOOKUP($BF145,'Feeder Schedule'!$B$5:$B$254,'Feeder Schedule'!$S$5:$S$254),""))</f>
        <v/>
      </c>
      <c r="BL145" s="387" t="str">
        <f>IF($BF145="","",IFERROR(_xlfn.XLOOKUP($BF145,'Feeder Schedule'!$B$5:$B$254,'Feeder Schedule'!$H$5:$H$254),""))</f>
        <v/>
      </c>
      <c r="BM145" s="534" t="str">
        <f>IF($BA145="","",'Short Circuit'!$J145)</f>
        <v/>
      </c>
      <c r="BN145" s="534" t="str">
        <f>IF($BA145="","",'Short Circuit'!$Q145)</f>
        <v/>
      </c>
      <c r="BO145" s="387" t="str">
        <f>IF($BA145="","",'Short Circuit'!$R145)</f>
        <v/>
      </c>
      <c r="BP145" s="535" t="str">
        <f>IF($BA145="","",'Short Circuit'!$S145)</f>
        <v/>
      </c>
      <c r="BQ145" s="387" t="str">
        <f>IF($BA145="","",'Short Circuit'!$T145)</f>
        <v/>
      </c>
      <c r="BR145" s="536" t="str">
        <f>IF($BA145="","",'Voltage Drop'!$G145)</f>
        <v/>
      </c>
      <c r="BS145" s="536" t="str">
        <f>IF($BA145="","",'Voltage Drop'!$H145)</f>
        <v/>
      </c>
      <c r="BT145" s="387" t="str">
        <f>IF($BA145="","",'Voltage Drop'!$K145)</f>
        <v/>
      </c>
      <c r="BU145" s="387" t="str">
        <f t="shared" si="4"/>
        <v/>
      </c>
      <c r="BV145" s="387"/>
      <c r="BW145" s="387" t="b">
        <f t="shared" si="5"/>
        <v>0</v>
      </c>
    </row>
    <row r="146" spans="1:75" ht="15" customHeight="1" x14ac:dyDescent="0.45">
      <c r="A146" s="161"/>
      <c r="B146" s="389"/>
      <c r="C146" s="207"/>
      <c r="D146" s="208"/>
      <c r="E146" s="161"/>
      <c r="F146" s="389"/>
      <c r="G146" s="389"/>
      <c r="H146" s="389"/>
      <c r="I146" s="389"/>
      <c r="J146" s="389"/>
      <c r="K146" s="389"/>
      <c r="L146" s="209"/>
      <c r="M146" s="209"/>
      <c r="N146" s="209"/>
      <c r="O146" s="209"/>
      <c r="P146" s="209"/>
      <c r="Q146" s="161"/>
      <c r="R146" s="390"/>
      <c r="S146" s="390"/>
      <c r="T146" s="161"/>
      <c r="U146" s="389"/>
      <c r="BA146" s="387" t="str">
        <f>IF('Short Circuit'!$A146="","",'Short Circuit'!$A146)</f>
        <v/>
      </c>
      <c r="BB146" s="387" t="str">
        <f>IF($BA146="","",'Short Circuit'!$B146)</f>
        <v/>
      </c>
      <c r="BC146" s="387" t="str">
        <f>IF($BA146="","",'Short Circuit'!$C146)</f>
        <v/>
      </c>
      <c r="BD146" s="387" t="str">
        <f>IF($BA146="","",'Short Circuit'!$D146)</f>
        <v/>
      </c>
      <c r="BE146" s="387" t="str">
        <f>IF($BA146="","",'Short Circuit'!$E146)</f>
        <v/>
      </c>
      <c r="BF146" s="387" t="str">
        <f>IF($BA146="","",IFERROR(_xlfn.XLOOKUP("F-"&amp;$BA146,'Feeder Schedule'!$B$5:$B$254,'Feeder Schedule'!$B$5:$B$254),IFERROR(_xlfn.XLOOKUP($BA146,'Feeder Schedule'!$B$5:$B$254,'Feeder Schedule'!$B$5:$B$254),"")))</f>
        <v/>
      </c>
      <c r="BG146" s="387" t="str">
        <f>IF($BF146="","",IFERROR(_xlfn.XLOOKUP($BF146,'Feeder Schedule'!$B$5:$B$254,'Feeder Schedule'!$A$5:$A$254),""))</f>
        <v/>
      </c>
      <c r="BH146" s="387" t="str">
        <f>IF($BF146="","",IFERROR(_xlfn.XLOOKUP($BF146,'Feeder Schedule'!$B$5:$B$254,'Feeder Schedule'!$O$5:$O$254),""))</f>
        <v/>
      </c>
      <c r="BI146" s="387" t="str">
        <f>IF($BF146="","",IFERROR(_xlfn.XLOOKUP($BF146,'Feeder Schedule'!$B$5:$B$254,'Feeder Schedule'!$P$5:$P$254),""))</f>
        <v/>
      </c>
      <c r="BJ146" s="387" t="str">
        <f>IF($BF146="","",IFERROR(_xlfn.XLOOKUP($BF146,'Feeder Schedule'!$B$5:$B$254,'Feeder Schedule'!$Q$5:$Q$254),""))</f>
        <v/>
      </c>
      <c r="BK146" s="387" t="str">
        <f>IF($BF146="","",IFERROR(_xlfn.XLOOKUP($BF146,'Feeder Schedule'!$B$5:$B$254,'Feeder Schedule'!$S$5:$S$254),""))</f>
        <v/>
      </c>
      <c r="BL146" s="387" t="str">
        <f>IF($BF146="","",IFERROR(_xlfn.XLOOKUP($BF146,'Feeder Schedule'!$B$5:$B$254,'Feeder Schedule'!$H$5:$H$254),""))</f>
        <v/>
      </c>
      <c r="BM146" s="534" t="str">
        <f>IF($BA146="","",'Short Circuit'!$J146)</f>
        <v/>
      </c>
      <c r="BN146" s="534" t="str">
        <f>IF($BA146="","",'Short Circuit'!$Q146)</f>
        <v/>
      </c>
      <c r="BO146" s="387" t="str">
        <f>IF($BA146="","",'Short Circuit'!$R146)</f>
        <v/>
      </c>
      <c r="BP146" s="535" t="str">
        <f>IF($BA146="","",'Short Circuit'!$S146)</f>
        <v/>
      </c>
      <c r="BQ146" s="387" t="str">
        <f>IF($BA146="","",'Short Circuit'!$T146)</f>
        <v/>
      </c>
      <c r="BR146" s="536" t="str">
        <f>IF($BA146="","",'Voltage Drop'!$G146)</f>
        <v/>
      </c>
      <c r="BS146" s="536" t="str">
        <f>IF($BA146="","",'Voltage Drop'!$H146)</f>
        <v/>
      </c>
      <c r="BT146" s="387" t="str">
        <f>IF($BA146="","",'Voltage Drop'!$K146)</f>
        <v/>
      </c>
      <c r="BU146" s="387" t="str">
        <f t="shared" si="4"/>
        <v/>
      </c>
      <c r="BV146" s="387"/>
      <c r="BW146" s="387" t="b">
        <f t="shared" si="5"/>
        <v>0</v>
      </c>
    </row>
    <row r="147" spans="1:75" ht="15" customHeight="1" x14ac:dyDescent="0.45">
      <c r="A147" s="161"/>
      <c r="B147" s="389"/>
      <c r="C147" s="207"/>
      <c r="D147" s="208"/>
      <c r="E147" s="161"/>
      <c r="F147" s="389"/>
      <c r="G147" s="389"/>
      <c r="H147" s="389"/>
      <c r="I147" s="389"/>
      <c r="J147" s="389"/>
      <c r="K147" s="389"/>
      <c r="L147" s="209"/>
      <c r="M147" s="209"/>
      <c r="N147" s="209"/>
      <c r="O147" s="209"/>
      <c r="P147" s="209"/>
      <c r="Q147" s="161"/>
      <c r="R147" s="390"/>
      <c r="S147" s="390"/>
      <c r="T147" s="161"/>
      <c r="U147" s="389"/>
      <c r="BA147" s="387" t="str">
        <f>IF('Short Circuit'!$A147="","",'Short Circuit'!$A147)</f>
        <v/>
      </c>
      <c r="BB147" s="387" t="str">
        <f>IF($BA147="","",'Short Circuit'!$B147)</f>
        <v/>
      </c>
      <c r="BC147" s="387" t="str">
        <f>IF($BA147="","",'Short Circuit'!$C147)</f>
        <v/>
      </c>
      <c r="BD147" s="387" t="str">
        <f>IF($BA147="","",'Short Circuit'!$D147)</f>
        <v/>
      </c>
      <c r="BE147" s="387" t="str">
        <f>IF($BA147="","",'Short Circuit'!$E147)</f>
        <v/>
      </c>
      <c r="BF147" s="387" t="str">
        <f>IF($BA147="","",IFERROR(_xlfn.XLOOKUP("F-"&amp;$BA147,'Feeder Schedule'!$B$5:$B$254,'Feeder Schedule'!$B$5:$B$254),IFERROR(_xlfn.XLOOKUP($BA147,'Feeder Schedule'!$B$5:$B$254,'Feeder Schedule'!$B$5:$B$254),"")))</f>
        <v/>
      </c>
      <c r="BG147" s="387" t="str">
        <f>IF($BF147="","",IFERROR(_xlfn.XLOOKUP($BF147,'Feeder Schedule'!$B$5:$B$254,'Feeder Schedule'!$A$5:$A$254),""))</f>
        <v/>
      </c>
      <c r="BH147" s="387" t="str">
        <f>IF($BF147="","",IFERROR(_xlfn.XLOOKUP($BF147,'Feeder Schedule'!$B$5:$B$254,'Feeder Schedule'!$O$5:$O$254),""))</f>
        <v/>
      </c>
      <c r="BI147" s="387" t="str">
        <f>IF($BF147="","",IFERROR(_xlfn.XLOOKUP($BF147,'Feeder Schedule'!$B$5:$B$254,'Feeder Schedule'!$P$5:$P$254),""))</f>
        <v/>
      </c>
      <c r="BJ147" s="387" t="str">
        <f>IF($BF147="","",IFERROR(_xlfn.XLOOKUP($BF147,'Feeder Schedule'!$B$5:$B$254,'Feeder Schedule'!$Q$5:$Q$254),""))</f>
        <v/>
      </c>
      <c r="BK147" s="387" t="str">
        <f>IF($BF147="","",IFERROR(_xlfn.XLOOKUP($BF147,'Feeder Schedule'!$B$5:$B$254,'Feeder Schedule'!$S$5:$S$254),""))</f>
        <v/>
      </c>
      <c r="BL147" s="387" t="str">
        <f>IF($BF147="","",IFERROR(_xlfn.XLOOKUP($BF147,'Feeder Schedule'!$B$5:$B$254,'Feeder Schedule'!$H$5:$H$254),""))</f>
        <v/>
      </c>
      <c r="BM147" s="534" t="str">
        <f>IF($BA147="","",'Short Circuit'!$J147)</f>
        <v/>
      </c>
      <c r="BN147" s="534" t="str">
        <f>IF($BA147="","",'Short Circuit'!$Q147)</f>
        <v/>
      </c>
      <c r="BO147" s="387" t="str">
        <f>IF($BA147="","",'Short Circuit'!$R147)</f>
        <v/>
      </c>
      <c r="BP147" s="535" t="str">
        <f>IF($BA147="","",'Short Circuit'!$S147)</f>
        <v/>
      </c>
      <c r="BQ147" s="387" t="str">
        <f>IF($BA147="","",'Short Circuit'!$T147)</f>
        <v/>
      </c>
      <c r="BR147" s="536" t="str">
        <f>IF($BA147="","",'Voltage Drop'!$G147)</f>
        <v/>
      </c>
      <c r="BS147" s="536" t="str">
        <f>IF($BA147="","",'Voltage Drop'!$H147)</f>
        <v/>
      </c>
      <c r="BT147" s="387" t="str">
        <f>IF($BA147="","",'Voltage Drop'!$K147)</f>
        <v/>
      </c>
      <c r="BU147" s="387" t="str">
        <f t="shared" si="4"/>
        <v/>
      </c>
      <c r="BV147" s="387"/>
      <c r="BW147" s="387" t="b">
        <f t="shared" si="5"/>
        <v>0</v>
      </c>
    </row>
    <row r="148" spans="1:75" ht="15" customHeight="1" x14ac:dyDescent="0.45">
      <c r="A148" s="161"/>
      <c r="B148" s="389"/>
      <c r="C148" s="207"/>
      <c r="D148" s="208"/>
      <c r="E148" s="161"/>
      <c r="F148" s="389"/>
      <c r="G148" s="389"/>
      <c r="H148" s="389"/>
      <c r="I148" s="389"/>
      <c r="J148" s="389"/>
      <c r="K148" s="389"/>
      <c r="L148" s="209"/>
      <c r="M148" s="209"/>
      <c r="N148" s="209"/>
      <c r="O148" s="209"/>
      <c r="P148" s="209"/>
      <c r="Q148" s="161"/>
      <c r="R148" s="390"/>
      <c r="S148" s="390"/>
      <c r="T148" s="161"/>
      <c r="U148" s="389"/>
      <c r="BA148" s="387" t="str">
        <f>IF('Short Circuit'!$A148="","",'Short Circuit'!$A148)</f>
        <v/>
      </c>
      <c r="BB148" s="387" t="str">
        <f>IF($BA148="","",'Short Circuit'!$B148)</f>
        <v/>
      </c>
      <c r="BC148" s="387" t="str">
        <f>IF($BA148="","",'Short Circuit'!$C148)</f>
        <v/>
      </c>
      <c r="BD148" s="387" t="str">
        <f>IF($BA148="","",'Short Circuit'!$D148)</f>
        <v/>
      </c>
      <c r="BE148" s="387" t="str">
        <f>IF($BA148="","",'Short Circuit'!$E148)</f>
        <v/>
      </c>
      <c r="BF148" s="387" t="str">
        <f>IF($BA148="","",IFERROR(_xlfn.XLOOKUP("F-"&amp;$BA148,'Feeder Schedule'!$B$5:$B$254,'Feeder Schedule'!$B$5:$B$254),IFERROR(_xlfn.XLOOKUP($BA148,'Feeder Schedule'!$B$5:$B$254,'Feeder Schedule'!$B$5:$B$254),"")))</f>
        <v/>
      </c>
      <c r="BG148" s="387" t="str">
        <f>IF($BF148="","",IFERROR(_xlfn.XLOOKUP($BF148,'Feeder Schedule'!$B$5:$B$254,'Feeder Schedule'!$A$5:$A$254),""))</f>
        <v/>
      </c>
      <c r="BH148" s="387" t="str">
        <f>IF($BF148="","",IFERROR(_xlfn.XLOOKUP($BF148,'Feeder Schedule'!$B$5:$B$254,'Feeder Schedule'!$O$5:$O$254),""))</f>
        <v/>
      </c>
      <c r="BI148" s="387" t="str">
        <f>IF($BF148="","",IFERROR(_xlfn.XLOOKUP($BF148,'Feeder Schedule'!$B$5:$B$254,'Feeder Schedule'!$P$5:$P$254),""))</f>
        <v/>
      </c>
      <c r="BJ148" s="387" t="str">
        <f>IF($BF148="","",IFERROR(_xlfn.XLOOKUP($BF148,'Feeder Schedule'!$B$5:$B$254,'Feeder Schedule'!$Q$5:$Q$254),""))</f>
        <v/>
      </c>
      <c r="BK148" s="387" t="str">
        <f>IF($BF148="","",IFERROR(_xlfn.XLOOKUP($BF148,'Feeder Schedule'!$B$5:$B$254,'Feeder Schedule'!$S$5:$S$254),""))</f>
        <v/>
      </c>
      <c r="BL148" s="387" t="str">
        <f>IF($BF148="","",IFERROR(_xlfn.XLOOKUP($BF148,'Feeder Schedule'!$B$5:$B$254,'Feeder Schedule'!$H$5:$H$254),""))</f>
        <v/>
      </c>
      <c r="BM148" s="534" t="str">
        <f>IF($BA148="","",'Short Circuit'!$J148)</f>
        <v/>
      </c>
      <c r="BN148" s="534" t="str">
        <f>IF($BA148="","",'Short Circuit'!$Q148)</f>
        <v/>
      </c>
      <c r="BO148" s="387" t="str">
        <f>IF($BA148="","",'Short Circuit'!$R148)</f>
        <v/>
      </c>
      <c r="BP148" s="535" t="str">
        <f>IF($BA148="","",'Short Circuit'!$S148)</f>
        <v/>
      </c>
      <c r="BQ148" s="387" t="str">
        <f>IF($BA148="","",'Short Circuit'!$T148)</f>
        <v/>
      </c>
      <c r="BR148" s="536" t="str">
        <f>IF($BA148="","",'Voltage Drop'!$G148)</f>
        <v/>
      </c>
      <c r="BS148" s="536" t="str">
        <f>IF($BA148="","",'Voltage Drop'!$H148)</f>
        <v/>
      </c>
      <c r="BT148" s="387" t="str">
        <f>IF($BA148="","",'Voltage Drop'!$K148)</f>
        <v/>
      </c>
      <c r="BU148" s="387" t="str">
        <f t="shared" si="4"/>
        <v/>
      </c>
      <c r="BV148" s="387"/>
      <c r="BW148" s="387" t="b">
        <f t="shared" si="5"/>
        <v>0</v>
      </c>
    </row>
    <row r="149" spans="1:75" ht="15" customHeight="1" x14ac:dyDescent="0.45">
      <c r="A149" s="161"/>
      <c r="B149" s="389"/>
      <c r="C149" s="207"/>
      <c r="D149" s="208"/>
      <c r="E149" s="161"/>
      <c r="F149" s="389"/>
      <c r="G149" s="389"/>
      <c r="H149" s="389"/>
      <c r="I149" s="389"/>
      <c r="J149" s="389"/>
      <c r="K149" s="389"/>
      <c r="L149" s="209"/>
      <c r="M149" s="209"/>
      <c r="N149" s="209"/>
      <c r="O149" s="209"/>
      <c r="P149" s="209"/>
      <c r="Q149" s="161"/>
      <c r="R149" s="390"/>
      <c r="S149" s="390"/>
      <c r="T149" s="161"/>
      <c r="U149" s="389"/>
      <c r="BA149" s="387" t="str">
        <f>IF('Short Circuit'!$A149="","",'Short Circuit'!$A149)</f>
        <v/>
      </c>
      <c r="BB149" s="387" t="str">
        <f>IF($BA149="","",'Short Circuit'!$B149)</f>
        <v/>
      </c>
      <c r="BC149" s="387" t="str">
        <f>IF($BA149="","",'Short Circuit'!$C149)</f>
        <v/>
      </c>
      <c r="BD149" s="387" t="str">
        <f>IF($BA149="","",'Short Circuit'!$D149)</f>
        <v/>
      </c>
      <c r="BE149" s="387" t="str">
        <f>IF($BA149="","",'Short Circuit'!$E149)</f>
        <v/>
      </c>
      <c r="BF149" s="387" t="str">
        <f>IF($BA149="","",IFERROR(_xlfn.XLOOKUP("F-"&amp;$BA149,'Feeder Schedule'!$B$5:$B$254,'Feeder Schedule'!$B$5:$B$254),IFERROR(_xlfn.XLOOKUP($BA149,'Feeder Schedule'!$B$5:$B$254,'Feeder Schedule'!$B$5:$B$254),"")))</f>
        <v/>
      </c>
      <c r="BG149" s="387" t="str">
        <f>IF($BF149="","",IFERROR(_xlfn.XLOOKUP($BF149,'Feeder Schedule'!$B$5:$B$254,'Feeder Schedule'!$A$5:$A$254),""))</f>
        <v/>
      </c>
      <c r="BH149" s="387" t="str">
        <f>IF($BF149="","",IFERROR(_xlfn.XLOOKUP($BF149,'Feeder Schedule'!$B$5:$B$254,'Feeder Schedule'!$O$5:$O$254),""))</f>
        <v/>
      </c>
      <c r="BI149" s="387" t="str">
        <f>IF($BF149="","",IFERROR(_xlfn.XLOOKUP($BF149,'Feeder Schedule'!$B$5:$B$254,'Feeder Schedule'!$P$5:$P$254),""))</f>
        <v/>
      </c>
      <c r="BJ149" s="387" t="str">
        <f>IF($BF149="","",IFERROR(_xlfn.XLOOKUP($BF149,'Feeder Schedule'!$B$5:$B$254,'Feeder Schedule'!$Q$5:$Q$254),""))</f>
        <v/>
      </c>
      <c r="BK149" s="387" t="str">
        <f>IF($BF149="","",IFERROR(_xlfn.XLOOKUP($BF149,'Feeder Schedule'!$B$5:$B$254,'Feeder Schedule'!$S$5:$S$254),""))</f>
        <v/>
      </c>
      <c r="BL149" s="387" t="str">
        <f>IF($BF149="","",IFERROR(_xlfn.XLOOKUP($BF149,'Feeder Schedule'!$B$5:$B$254,'Feeder Schedule'!$H$5:$H$254),""))</f>
        <v/>
      </c>
      <c r="BM149" s="534" t="str">
        <f>IF($BA149="","",'Short Circuit'!$J149)</f>
        <v/>
      </c>
      <c r="BN149" s="534" t="str">
        <f>IF($BA149="","",'Short Circuit'!$Q149)</f>
        <v/>
      </c>
      <c r="BO149" s="387" t="str">
        <f>IF($BA149="","",'Short Circuit'!$R149)</f>
        <v/>
      </c>
      <c r="BP149" s="535" t="str">
        <f>IF($BA149="","",'Short Circuit'!$S149)</f>
        <v/>
      </c>
      <c r="BQ149" s="387" t="str">
        <f>IF($BA149="","",'Short Circuit'!$T149)</f>
        <v/>
      </c>
      <c r="BR149" s="536" t="str">
        <f>IF($BA149="","",'Voltage Drop'!$G149)</f>
        <v/>
      </c>
      <c r="BS149" s="536" t="str">
        <f>IF($BA149="","",'Voltage Drop'!$H149)</f>
        <v/>
      </c>
      <c r="BT149" s="387" t="str">
        <f>IF($BA149="","",'Voltage Drop'!$K149)</f>
        <v/>
      </c>
      <c r="BU149" s="387" t="str">
        <f t="shared" si="4"/>
        <v/>
      </c>
      <c r="BV149" s="387"/>
      <c r="BW149" s="387" t="b">
        <f t="shared" si="5"/>
        <v>0</v>
      </c>
    </row>
    <row r="150" spans="1:75" ht="15" customHeight="1" x14ac:dyDescent="0.45">
      <c r="A150" s="161"/>
      <c r="B150" s="389"/>
      <c r="C150" s="207"/>
      <c r="D150" s="208"/>
      <c r="E150" s="161"/>
      <c r="F150" s="389"/>
      <c r="G150" s="389"/>
      <c r="H150" s="389"/>
      <c r="I150" s="389"/>
      <c r="J150" s="389"/>
      <c r="K150" s="389"/>
      <c r="L150" s="209"/>
      <c r="M150" s="209"/>
      <c r="N150" s="209"/>
      <c r="O150" s="209"/>
      <c r="P150" s="209"/>
      <c r="Q150" s="161"/>
      <c r="R150" s="390"/>
      <c r="S150" s="390"/>
      <c r="T150" s="161"/>
      <c r="U150" s="389"/>
      <c r="BA150" s="387" t="str">
        <f>IF('Short Circuit'!$A150="","",'Short Circuit'!$A150)</f>
        <v/>
      </c>
      <c r="BB150" s="387" t="str">
        <f>IF($BA150="","",'Short Circuit'!$B150)</f>
        <v/>
      </c>
      <c r="BC150" s="387" t="str">
        <f>IF($BA150="","",'Short Circuit'!$C150)</f>
        <v/>
      </c>
      <c r="BD150" s="387" t="str">
        <f>IF($BA150="","",'Short Circuit'!$D150)</f>
        <v/>
      </c>
      <c r="BE150" s="387" t="str">
        <f>IF($BA150="","",'Short Circuit'!$E150)</f>
        <v/>
      </c>
      <c r="BF150" s="387" t="str">
        <f>IF($BA150="","",IFERROR(_xlfn.XLOOKUP("F-"&amp;$BA150,'Feeder Schedule'!$B$5:$B$254,'Feeder Schedule'!$B$5:$B$254),IFERROR(_xlfn.XLOOKUP($BA150,'Feeder Schedule'!$B$5:$B$254,'Feeder Schedule'!$B$5:$B$254),"")))</f>
        <v/>
      </c>
      <c r="BG150" s="387" t="str">
        <f>IF($BF150="","",IFERROR(_xlfn.XLOOKUP($BF150,'Feeder Schedule'!$B$5:$B$254,'Feeder Schedule'!$A$5:$A$254),""))</f>
        <v/>
      </c>
      <c r="BH150" s="387" t="str">
        <f>IF($BF150="","",IFERROR(_xlfn.XLOOKUP($BF150,'Feeder Schedule'!$B$5:$B$254,'Feeder Schedule'!$O$5:$O$254),""))</f>
        <v/>
      </c>
      <c r="BI150" s="387" t="str">
        <f>IF($BF150="","",IFERROR(_xlfn.XLOOKUP($BF150,'Feeder Schedule'!$B$5:$B$254,'Feeder Schedule'!$P$5:$P$254),""))</f>
        <v/>
      </c>
      <c r="BJ150" s="387" t="str">
        <f>IF($BF150="","",IFERROR(_xlfn.XLOOKUP($BF150,'Feeder Schedule'!$B$5:$B$254,'Feeder Schedule'!$Q$5:$Q$254),""))</f>
        <v/>
      </c>
      <c r="BK150" s="387" t="str">
        <f>IF($BF150="","",IFERROR(_xlfn.XLOOKUP($BF150,'Feeder Schedule'!$B$5:$B$254,'Feeder Schedule'!$S$5:$S$254),""))</f>
        <v/>
      </c>
      <c r="BL150" s="387" t="str">
        <f>IF($BF150="","",IFERROR(_xlfn.XLOOKUP($BF150,'Feeder Schedule'!$B$5:$B$254,'Feeder Schedule'!$H$5:$H$254),""))</f>
        <v/>
      </c>
      <c r="BM150" s="534" t="str">
        <f>IF($BA150="","",'Short Circuit'!$J150)</f>
        <v/>
      </c>
      <c r="BN150" s="534" t="str">
        <f>IF($BA150="","",'Short Circuit'!$Q150)</f>
        <v/>
      </c>
      <c r="BO150" s="387" t="str">
        <f>IF($BA150="","",'Short Circuit'!$R150)</f>
        <v/>
      </c>
      <c r="BP150" s="535" t="str">
        <f>IF($BA150="","",'Short Circuit'!$S150)</f>
        <v/>
      </c>
      <c r="BQ150" s="387" t="str">
        <f>IF($BA150="","",'Short Circuit'!$T150)</f>
        <v/>
      </c>
      <c r="BR150" s="536" t="str">
        <f>IF($BA150="","",'Voltage Drop'!$G150)</f>
        <v/>
      </c>
      <c r="BS150" s="536" t="str">
        <f>IF($BA150="","",'Voltage Drop'!$H150)</f>
        <v/>
      </c>
      <c r="BT150" s="387" t="str">
        <f>IF($BA150="","",'Voltage Drop'!$K150)</f>
        <v/>
      </c>
      <c r="BU150" s="387" t="str">
        <f t="shared" si="4"/>
        <v/>
      </c>
      <c r="BV150" s="387"/>
      <c r="BW150" s="387" t="b">
        <f t="shared" si="5"/>
        <v>0</v>
      </c>
    </row>
    <row r="151" spans="1:75" ht="15" customHeight="1" x14ac:dyDescent="0.45">
      <c r="A151" s="161"/>
      <c r="B151" s="389"/>
      <c r="C151" s="207"/>
      <c r="D151" s="208"/>
      <c r="E151" s="161"/>
      <c r="F151" s="389"/>
      <c r="G151" s="389"/>
      <c r="H151" s="389"/>
      <c r="I151" s="389"/>
      <c r="J151" s="389"/>
      <c r="K151" s="389"/>
      <c r="L151" s="209"/>
      <c r="M151" s="209"/>
      <c r="N151" s="209"/>
      <c r="O151" s="209"/>
      <c r="P151" s="209"/>
      <c r="Q151" s="161"/>
      <c r="R151" s="390"/>
      <c r="S151" s="390"/>
      <c r="T151" s="161"/>
      <c r="U151" s="389"/>
      <c r="BA151" s="387" t="str">
        <f>IF('Short Circuit'!$A151="","",'Short Circuit'!$A151)</f>
        <v/>
      </c>
      <c r="BB151" s="387" t="str">
        <f>IF($BA151="","",'Short Circuit'!$B151)</f>
        <v/>
      </c>
      <c r="BC151" s="387" t="str">
        <f>IF($BA151="","",'Short Circuit'!$C151)</f>
        <v/>
      </c>
      <c r="BD151" s="387" t="str">
        <f>IF($BA151="","",'Short Circuit'!$D151)</f>
        <v/>
      </c>
      <c r="BE151" s="387" t="str">
        <f>IF($BA151="","",'Short Circuit'!$E151)</f>
        <v/>
      </c>
      <c r="BF151" s="387" t="str">
        <f>IF($BA151="","",IFERROR(_xlfn.XLOOKUP("F-"&amp;$BA151,'Feeder Schedule'!$B$5:$B$254,'Feeder Schedule'!$B$5:$B$254),IFERROR(_xlfn.XLOOKUP($BA151,'Feeder Schedule'!$B$5:$B$254,'Feeder Schedule'!$B$5:$B$254),"")))</f>
        <v/>
      </c>
      <c r="BG151" s="387" t="str">
        <f>IF($BF151="","",IFERROR(_xlfn.XLOOKUP($BF151,'Feeder Schedule'!$B$5:$B$254,'Feeder Schedule'!$A$5:$A$254),""))</f>
        <v/>
      </c>
      <c r="BH151" s="387" t="str">
        <f>IF($BF151="","",IFERROR(_xlfn.XLOOKUP($BF151,'Feeder Schedule'!$B$5:$B$254,'Feeder Schedule'!$O$5:$O$254),""))</f>
        <v/>
      </c>
      <c r="BI151" s="387" t="str">
        <f>IF($BF151="","",IFERROR(_xlfn.XLOOKUP($BF151,'Feeder Schedule'!$B$5:$B$254,'Feeder Schedule'!$P$5:$P$254),""))</f>
        <v/>
      </c>
      <c r="BJ151" s="387" t="str">
        <f>IF($BF151="","",IFERROR(_xlfn.XLOOKUP($BF151,'Feeder Schedule'!$B$5:$B$254,'Feeder Schedule'!$Q$5:$Q$254),""))</f>
        <v/>
      </c>
      <c r="BK151" s="387" t="str">
        <f>IF($BF151="","",IFERROR(_xlfn.XLOOKUP($BF151,'Feeder Schedule'!$B$5:$B$254,'Feeder Schedule'!$S$5:$S$254),""))</f>
        <v/>
      </c>
      <c r="BL151" s="387" t="str">
        <f>IF($BF151="","",IFERROR(_xlfn.XLOOKUP($BF151,'Feeder Schedule'!$B$5:$B$254,'Feeder Schedule'!$H$5:$H$254),""))</f>
        <v/>
      </c>
      <c r="BM151" s="534" t="str">
        <f>IF($BA151="","",'Short Circuit'!$J151)</f>
        <v/>
      </c>
      <c r="BN151" s="534" t="str">
        <f>IF($BA151="","",'Short Circuit'!$Q151)</f>
        <v/>
      </c>
      <c r="BO151" s="387" t="str">
        <f>IF($BA151="","",'Short Circuit'!$R151)</f>
        <v/>
      </c>
      <c r="BP151" s="535" t="str">
        <f>IF($BA151="","",'Short Circuit'!$S151)</f>
        <v/>
      </c>
      <c r="BQ151" s="387" t="str">
        <f>IF($BA151="","",'Short Circuit'!$T151)</f>
        <v/>
      </c>
      <c r="BR151" s="536" t="str">
        <f>IF($BA151="","",'Voltage Drop'!$G151)</f>
        <v/>
      </c>
      <c r="BS151" s="536" t="str">
        <f>IF($BA151="","",'Voltage Drop'!$H151)</f>
        <v/>
      </c>
      <c r="BT151" s="387" t="str">
        <f>IF($BA151="","",'Voltage Drop'!$K151)</f>
        <v/>
      </c>
      <c r="BU151" s="387" t="str">
        <f t="shared" si="4"/>
        <v/>
      </c>
      <c r="BV151" s="387"/>
      <c r="BW151" s="387" t="b">
        <f t="shared" si="5"/>
        <v>0</v>
      </c>
    </row>
    <row r="152" spans="1:75" ht="15" customHeight="1" x14ac:dyDescent="0.45">
      <c r="A152" s="161"/>
      <c r="B152" s="389"/>
      <c r="C152" s="207"/>
      <c r="D152" s="208"/>
      <c r="E152" s="161"/>
      <c r="F152" s="389"/>
      <c r="G152" s="389"/>
      <c r="H152" s="389"/>
      <c r="I152" s="389"/>
      <c r="J152" s="389"/>
      <c r="K152" s="389"/>
      <c r="L152" s="209"/>
      <c r="M152" s="209"/>
      <c r="N152" s="209"/>
      <c r="O152" s="209"/>
      <c r="P152" s="209"/>
      <c r="Q152" s="161"/>
      <c r="R152" s="390"/>
      <c r="S152" s="390"/>
      <c r="T152" s="161"/>
      <c r="U152" s="389"/>
      <c r="BA152" s="387" t="str">
        <f>IF('Short Circuit'!$A152="","",'Short Circuit'!$A152)</f>
        <v/>
      </c>
      <c r="BB152" s="387" t="str">
        <f>IF($BA152="","",'Short Circuit'!$B152)</f>
        <v/>
      </c>
      <c r="BC152" s="387" t="str">
        <f>IF($BA152="","",'Short Circuit'!$C152)</f>
        <v/>
      </c>
      <c r="BD152" s="387" t="str">
        <f>IF($BA152="","",'Short Circuit'!$D152)</f>
        <v/>
      </c>
      <c r="BE152" s="387" t="str">
        <f>IF($BA152="","",'Short Circuit'!$E152)</f>
        <v/>
      </c>
      <c r="BF152" s="387" t="str">
        <f>IF($BA152="","",IFERROR(_xlfn.XLOOKUP("F-"&amp;$BA152,'Feeder Schedule'!$B$5:$B$254,'Feeder Schedule'!$B$5:$B$254),IFERROR(_xlfn.XLOOKUP($BA152,'Feeder Schedule'!$B$5:$B$254,'Feeder Schedule'!$B$5:$B$254),"")))</f>
        <v/>
      </c>
      <c r="BG152" s="387" t="str">
        <f>IF($BF152="","",IFERROR(_xlfn.XLOOKUP($BF152,'Feeder Schedule'!$B$5:$B$254,'Feeder Schedule'!$A$5:$A$254),""))</f>
        <v/>
      </c>
      <c r="BH152" s="387" t="str">
        <f>IF($BF152="","",IFERROR(_xlfn.XLOOKUP($BF152,'Feeder Schedule'!$B$5:$B$254,'Feeder Schedule'!$O$5:$O$254),""))</f>
        <v/>
      </c>
      <c r="BI152" s="387" t="str">
        <f>IF($BF152="","",IFERROR(_xlfn.XLOOKUP($BF152,'Feeder Schedule'!$B$5:$B$254,'Feeder Schedule'!$P$5:$P$254),""))</f>
        <v/>
      </c>
      <c r="BJ152" s="387" t="str">
        <f>IF($BF152="","",IFERROR(_xlfn.XLOOKUP($BF152,'Feeder Schedule'!$B$5:$B$254,'Feeder Schedule'!$Q$5:$Q$254),""))</f>
        <v/>
      </c>
      <c r="BK152" s="387" t="str">
        <f>IF($BF152="","",IFERROR(_xlfn.XLOOKUP($BF152,'Feeder Schedule'!$B$5:$B$254,'Feeder Schedule'!$S$5:$S$254),""))</f>
        <v/>
      </c>
      <c r="BL152" s="387" t="str">
        <f>IF($BF152="","",IFERROR(_xlfn.XLOOKUP($BF152,'Feeder Schedule'!$B$5:$B$254,'Feeder Schedule'!$H$5:$H$254),""))</f>
        <v/>
      </c>
      <c r="BM152" s="534" t="str">
        <f>IF($BA152="","",'Short Circuit'!$J152)</f>
        <v/>
      </c>
      <c r="BN152" s="534" t="str">
        <f>IF($BA152="","",'Short Circuit'!$Q152)</f>
        <v/>
      </c>
      <c r="BO152" s="387" t="str">
        <f>IF($BA152="","",'Short Circuit'!$R152)</f>
        <v/>
      </c>
      <c r="BP152" s="535" t="str">
        <f>IF($BA152="","",'Short Circuit'!$S152)</f>
        <v/>
      </c>
      <c r="BQ152" s="387" t="str">
        <f>IF($BA152="","",'Short Circuit'!$T152)</f>
        <v/>
      </c>
      <c r="BR152" s="536" t="str">
        <f>IF($BA152="","",'Voltage Drop'!$G152)</f>
        <v/>
      </c>
      <c r="BS152" s="536" t="str">
        <f>IF($BA152="","",'Voltage Drop'!$H152)</f>
        <v/>
      </c>
      <c r="BT152" s="387" t="str">
        <f>IF($BA152="","",'Voltage Drop'!$K152)</f>
        <v/>
      </c>
      <c r="BU152" s="387" t="str">
        <f t="shared" si="4"/>
        <v/>
      </c>
      <c r="BV152" s="387"/>
      <c r="BW152" s="387" t="b">
        <f t="shared" si="5"/>
        <v>0</v>
      </c>
    </row>
    <row r="153" spans="1:75" ht="15" customHeight="1" x14ac:dyDescent="0.45">
      <c r="A153" s="161"/>
      <c r="B153" s="389"/>
      <c r="C153" s="207"/>
      <c r="D153" s="208"/>
      <c r="E153" s="161"/>
      <c r="F153" s="389"/>
      <c r="G153" s="389"/>
      <c r="H153" s="389"/>
      <c r="I153" s="389"/>
      <c r="J153" s="389"/>
      <c r="K153" s="389"/>
      <c r="L153" s="209"/>
      <c r="M153" s="209"/>
      <c r="N153" s="209"/>
      <c r="O153" s="209"/>
      <c r="P153" s="209"/>
      <c r="Q153" s="161"/>
      <c r="R153" s="390"/>
      <c r="S153" s="390"/>
      <c r="T153" s="161"/>
      <c r="U153" s="389"/>
      <c r="BA153" s="387" t="str">
        <f>IF('Short Circuit'!$A153="","",'Short Circuit'!$A153)</f>
        <v/>
      </c>
      <c r="BB153" s="387" t="str">
        <f>IF($BA153="","",'Short Circuit'!$B153)</f>
        <v/>
      </c>
      <c r="BC153" s="387" t="str">
        <f>IF($BA153="","",'Short Circuit'!$C153)</f>
        <v/>
      </c>
      <c r="BD153" s="387" t="str">
        <f>IF($BA153="","",'Short Circuit'!$D153)</f>
        <v/>
      </c>
      <c r="BE153" s="387" t="str">
        <f>IF($BA153="","",'Short Circuit'!$E153)</f>
        <v/>
      </c>
      <c r="BF153" s="387" t="str">
        <f>IF($BA153="","",IFERROR(_xlfn.XLOOKUP("F-"&amp;$BA153,'Feeder Schedule'!$B$5:$B$254,'Feeder Schedule'!$B$5:$B$254),IFERROR(_xlfn.XLOOKUP($BA153,'Feeder Schedule'!$B$5:$B$254,'Feeder Schedule'!$B$5:$B$254),"")))</f>
        <v/>
      </c>
      <c r="BG153" s="387" t="str">
        <f>IF($BF153="","",IFERROR(_xlfn.XLOOKUP($BF153,'Feeder Schedule'!$B$5:$B$254,'Feeder Schedule'!$A$5:$A$254),""))</f>
        <v/>
      </c>
      <c r="BH153" s="387" t="str">
        <f>IF($BF153="","",IFERROR(_xlfn.XLOOKUP($BF153,'Feeder Schedule'!$B$5:$B$254,'Feeder Schedule'!$O$5:$O$254),""))</f>
        <v/>
      </c>
      <c r="BI153" s="387" t="str">
        <f>IF($BF153="","",IFERROR(_xlfn.XLOOKUP($BF153,'Feeder Schedule'!$B$5:$B$254,'Feeder Schedule'!$P$5:$P$254),""))</f>
        <v/>
      </c>
      <c r="BJ153" s="387" t="str">
        <f>IF($BF153="","",IFERROR(_xlfn.XLOOKUP($BF153,'Feeder Schedule'!$B$5:$B$254,'Feeder Schedule'!$Q$5:$Q$254),""))</f>
        <v/>
      </c>
      <c r="BK153" s="387" t="str">
        <f>IF($BF153="","",IFERROR(_xlfn.XLOOKUP($BF153,'Feeder Schedule'!$B$5:$B$254,'Feeder Schedule'!$S$5:$S$254),""))</f>
        <v/>
      </c>
      <c r="BL153" s="387" t="str">
        <f>IF($BF153="","",IFERROR(_xlfn.XLOOKUP($BF153,'Feeder Schedule'!$B$5:$B$254,'Feeder Schedule'!$H$5:$H$254),""))</f>
        <v/>
      </c>
      <c r="BM153" s="534" t="str">
        <f>IF($BA153="","",'Short Circuit'!$J153)</f>
        <v/>
      </c>
      <c r="BN153" s="534" t="str">
        <f>IF($BA153="","",'Short Circuit'!$Q153)</f>
        <v/>
      </c>
      <c r="BO153" s="387" t="str">
        <f>IF($BA153="","",'Short Circuit'!$R153)</f>
        <v/>
      </c>
      <c r="BP153" s="535" t="str">
        <f>IF($BA153="","",'Short Circuit'!$S153)</f>
        <v/>
      </c>
      <c r="BQ153" s="387" t="str">
        <f>IF($BA153="","",'Short Circuit'!$T153)</f>
        <v/>
      </c>
      <c r="BR153" s="536" t="str">
        <f>IF($BA153="","",'Voltage Drop'!$G153)</f>
        <v/>
      </c>
      <c r="BS153" s="536" t="str">
        <f>IF($BA153="","",'Voltage Drop'!$H153)</f>
        <v/>
      </c>
      <c r="BT153" s="387" t="str">
        <f>IF($BA153="","",'Voltage Drop'!$K153)</f>
        <v/>
      </c>
      <c r="BU153" s="387" t="str">
        <f t="shared" si="4"/>
        <v/>
      </c>
      <c r="BV153" s="387"/>
      <c r="BW153" s="387" t="b">
        <f t="shared" si="5"/>
        <v>0</v>
      </c>
    </row>
    <row r="154" spans="1:75" ht="15" customHeight="1" x14ac:dyDescent="0.45">
      <c r="A154" s="161"/>
      <c r="B154" s="389"/>
      <c r="C154" s="207"/>
      <c r="D154" s="208"/>
      <c r="E154" s="161"/>
      <c r="F154" s="389"/>
      <c r="G154" s="389"/>
      <c r="H154" s="389"/>
      <c r="I154" s="389"/>
      <c r="J154" s="389"/>
      <c r="K154" s="389"/>
      <c r="L154" s="209"/>
      <c r="M154" s="209"/>
      <c r="N154" s="209"/>
      <c r="O154" s="209"/>
      <c r="P154" s="209"/>
      <c r="Q154" s="161"/>
      <c r="R154" s="390"/>
      <c r="S154" s="390"/>
      <c r="T154" s="161"/>
      <c r="U154" s="389"/>
      <c r="BA154" s="387" t="str">
        <f>IF('Short Circuit'!$A154="","",'Short Circuit'!$A154)</f>
        <v/>
      </c>
      <c r="BB154" s="387" t="str">
        <f>IF($BA154="","",'Short Circuit'!$B154)</f>
        <v/>
      </c>
      <c r="BC154" s="387" t="str">
        <f>IF($BA154="","",'Short Circuit'!$C154)</f>
        <v/>
      </c>
      <c r="BD154" s="387" t="str">
        <f>IF($BA154="","",'Short Circuit'!$D154)</f>
        <v/>
      </c>
      <c r="BE154" s="387" t="str">
        <f>IF($BA154="","",'Short Circuit'!$E154)</f>
        <v/>
      </c>
      <c r="BF154" s="387" t="str">
        <f>IF($BA154="","",IFERROR(_xlfn.XLOOKUP("F-"&amp;$BA154,'Feeder Schedule'!$B$5:$B$254,'Feeder Schedule'!$B$5:$B$254),IFERROR(_xlfn.XLOOKUP($BA154,'Feeder Schedule'!$B$5:$B$254,'Feeder Schedule'!$B$5:$B$254),"")))</f>
        <v/>
      </c>
      <c r="BG154" s="387" t="str">
        <f>IF($BF154="","",IFERROR(_xlfn.XLOOKUP($BF154,'Feeder Schedule'!$B$5:$B$254,'Feeder Schedule'!$A$5:$A$254),""))</f>
        <v/>
      </c>
      <c r="BH154" s="387" t="str">
        <f>IF($BF154="","",IFERROR(_xlfn.XLOOKUP($BF154,'Feeder Schedule'!$B$5:$B$254,'Feeder Schedule'!$O$5:$O$254),""))</f>
        <v/>
      </c>
      <c r="BI154" s="387" t="str">
        <f>IF($BF154="","",IFERROR(_xlfn.XLOOKUP($BF154,'Feeder Schedule'!$B$5:$B$254,'Feeder Schedule'!$P$5:$P$254),""))</f>
        <v/>
      </c>
      <c r="BJ154" s="387" t="str">
        <f>IF($BF154="","",IFERROR(_xlfn.XLOOKUP($BF154,'Feeder Schedule'!$B$5:$B$254,'Feeder Schedule'!$Q$5:$Q$254),""))</f>
        <v/>
      </c>
      <c r="BK154" s="387" t="str">
        <f>IF($BF154="","",IFERROR(_xlfn.XLOOKUP($BF154,'Feeder Schedule'!$B$5:$B$254,'Feeder Schedule'!$S$5:$S$254),""))</f>
        <v/>
      </c>
      <c r="BL154" s="387" t="str">
        <f>IF($BF154="","",IFERROR(_xlfn.XLOOKUP($BF154,'Feeder Schedule'!$B$5:$B$254,'Feeder Schedule'!$H$5:$H$254),""))</f>
        <v/>
      </c>
      <c r="BM154" s="534" t="str">
        <f>IF($BA154="","",'Short Circuit'!$J154)</f>
        <v/>
      </c>
      <c r="BN154" s="534" t="str">
        <f>IF($BA154="","",'Short Circuit'!$Q154)</f>
        <v/>
      </c>
      <c r="BO154" s="387" t="str">
        <f>IF($BA154="","",'Short Circuit'!$R154)</f>
        <v/>
      </c>
      <c r="BP154" s="535" t="str">
        <f>IF($BA154="","",'Short Circuit'!$S154)</f>
        <v/>
      </c>
      <c r="BQ154" s="387" t="str">
        <f>IF($BA154="","",'Short Circuit'!$T154)</f>
        <v/>
      </c>
      <c r="BR154" s="536" t="str">
        <f>IF($BA154="","",'Voltage Drop'!$G154)</f>
        <v/>
      </c>
      <c r="BS154" s="536" t="str">
        <f>IF($BA154="","",'Voltage Drop'!$H154)</f>
        <v/>
      </c>
      <c r="BT154" s="387" t="str">
        <f>IF($BA154="","",'Voltage Drop'!$K154)</f>
        <v/>
      </c>
      <c r="BU154" s="387" t="str">
        <f t="shared" si="4"/>
        <v/>
      </c>
      <c r="BV154" s="387"/>
      <c r="BW154" s="387" t="b">
        <f t="shared" si="5"/>
        <v>0</v>
      </c>
    </row>
    <row r="155" spans="1:75" ht="15" customHeight="1" x14ac:dyDescent="0.45">
      <c r="A155" s="161"/>
      <c r="B155" s="389"/>
      <c r="C155" s="207"/>
      <c r="D155" s="208"/>
      <c r="E155" s="161"/>
      <c r="F155" s="389"/>
      <c r="G155" s="389"/>
      <c r="H155" s="389"/>
      <c r="I155" s="389"/>
      <c r="J155" s="389"/>
      <c r="K155" s="389"/>
      <c r="L155" s="209"/>
      <c r="M155" s="209"/>
      <c r="N155" s="209"/>
      <c r="O155" s="209"/>
      <c r="P155" s="209"/>
      <c r="Q155" s="161"/>
      <c r="R155" s="390"/>
      <c r="S155" s="390"/>
      <c r="T155" s="161"/>
      <c r="U155" s="389"/>
      <c r="BA155" s="387" t="str">
        <f>IF('Short Circuit'!$A155="","",'Short Circuit'!$A155)</f>
        <v/>
      </c>
      <c r="BB155" s="387" t="str">
        <f>IF($BA155="","",'Short Circuit'!$B155)</f>
        <v/>
      </c>
      <c r="BC155" s="387" t="str">
        <f>IF($BA155="","",'Short Circuit'!$C155)</f>
        <v/>
      </c>
      <c r="BD155" s="387" t="str">
        <f>IF($BA155="","",'Short Circuit'!$D155)</f>
        <v/>
      </c>
      <c r="BE155" s="387" t="str">
        <f>IF($BA155="","",'Short Circuit'!$E155)</f>
        <v/>
      </c>
      <c r="BF155" s="387" t="str">
        <f>IF($BA155="","",IFERROR(_xlfn.XLOOKUP("F-"&amp;$BA155,'Feeder Schedule'!$B$5:$B$254,'Feeder Schedule'!$B$5:$B$254),IFERROR(_xlfn.XLOOKUP($BA155,'Feeder Schedule'!$B$5:$B$254,'Feeder Schedule'!$B$5:$B$254),"")))</f>
        <v/>
      </c>
      <c r="BG155" s="387" t="str">
        <f>IF($BF155="","",IFERROR(_xlfn.XLOOKUP($BF155,'Feeder Schedule'!$B$5:$B$254,'Feeder Schedule'!$A$5:$A$254),""))</f>
        <v/>
      </c>
      <c r="BH155" s="387" t="str">
        <f>IF($BF155="","",IFERROR(_xlfn.XLOOKUP($BF155,'Feeder Schedule'!$B$5:$B$254,'Feeder Schedule'!$O$5:$O$254),""))</f>
        <v/>
      </c>
      <c r="BI155" s="387" t="str">
        <f>IF($BF155="","",IFERROR(_xlfn.XLOOKUP($BF155,'Feeder Schedule'!$B$5:$B$254,'Feeder Schedule'!$P$5:$P$254),""))</f>
        <v/>
      </c>
      <c r="BJ155" s="387" t="str">
        <f>IF($BF155="","",IFERROR(_xlfn.XLOOKUP($BF155,'Feeder Schedule'!$B$5:$B$254,'Feeder Schedule'!$Q$5:$Q$254),""))</f>
        <v/>
      </c>
      <c r="BK155" s="387" t="str">
        <f>IF($BF155="","",IFERROR(_xlfn.XLOOKUP($BF155,'Feeder Schedule'!$B$5:$B$254,'Feeder Schedule'!$S$5:$S$254),""))</f>
        <v/>
      </c>
      <c r="BL155" s="387" t="str">
        <f>IF($BF155="","",IFERROR(_xlfn.XLOOKUP($BF155,'Feeder Schedule'!$B$5:$B$254,'Feeder Schedule'!$H$5:$H$254),""))</f>
        <v/>
      </c>
      <c r="BM155" s="534" t="str">
        <f>IF($BA155="","",'Short Circuit'!$J155)</f>
        <v/>
      </c>
      <c r="BN155" s="534" t="str">
        <f>IF($BA155="","",'Short Circuit'!$Q155)</f>
        <v/>
      </c>
      <c r="BO155" s="387" t="str">
        <f>IF($BA155="","",'Short Circuit'!$R155)</f>
        <v/>
      </c>
      <c r="BP155" s="535" t="str">
        <f>IF($BA155="","",'Short Circuit'!$S155)</f>
        <v/>
      </c>
      <c r="BQ155" s="387" t="str">
        <f>IF($BA155="","",'Short Circuit'!$T155)</f>
        <v/>
      </c>
      <c r="BR155" s="536" t="str">
        <f>IF($BA155="","",'Voltage Drop'!$G155)</f>
        <v/>
      </c>
      <c r="BS155" s="536" t="str">
        <f>IF($BA155="","",'Voltage Drop'!$H155)</f>
        <v/>
      </c>
      <c r="BT155" s="387" t="str">
        <f>IF($BA155="","",'Voltage Drop'!$K155)</f>
        <v/>
      </c>
      <c r="BU155" s="387" t="str">
        <f t="shared" si="4"/>
        <v/>
      </c>
      <c r="BV155" s="387"/>
      <c r="BW155" s="387" t="b">
        <f t="shared" si="5"/>
        <v>0</v>
      </c>
    </row>
    <row r="156" spans="1:75" ht="15" customHeight="1" x14ac:dyDescent="0.45">
      <c r="A156" s="161"/>
      <c r="B156" s="389"/>
      <c r="C156" s="207"/>
      <c r="D156" s="208"/>
      <c r="E156" s="161"/>
      <c r="F156" s="389"/>
      <c r="G156" s="389"/>
      <c r="H156" s="389"/>
      <c r="I156" s="389"/>
      <c r="J156" s="389"/>
      <c r="K156" s="389"/>
      <c r="L156" s="209"/>
      <c r="M156" s="209"/>
      <c r="N156" s="209"/>
      <c r="O156" s="209"/>
      <c r="P156" s="209"/>
      <c r="Q156" s="161"/>
      <c r="R156" s="390"/>
      <c r="S156" s="390"/>
      <c r="T156" s="161"/>
      <c r="U156" s="389"/>
      <c r="BA156" s="387" t="str">
        <f>IF('Short Circuit'!$A156="","",'Short Circuit'!$A156)</f>
        <v/>
      </c>
      <c r="BB156" s="387" t="str">
        <f>IF($BA156="","",'Short Circuit'!$B156)</f>
        <v/>
      </c>
      <c r="BC156" s="387" t="str">
        <f>IF($BA156="","",'Short Circuit'!$C156)</f>
        <v/>
      </c>
      <c r="BD156" s="387" t="str">
        <f>IF($BA156="","",'Short Circuit'!$D156)</f>
        <v/>
      </c>
      <c r="BE156" s="387" t="str">
        <f>IF($BA156="","",'Short Circuit'!$E156)</f>
        <v/>
      </c>
      <c r="BF156" s="387" t="str">
        <f>IF($BA156="","",IFERROR(_xlfn.XLOOKUP("F-"&amp;$BA156,'Feeder Schedule'!$B$5:$B$254,'Feeder Schedule'!$B$5:$B$254),IFERROR(_xlfn.XLOOKUP($BA156,'Feeder Schedule'!$B$5:$B$254,'Feeder Schedule'!$B$5:$B$254),"")))</f>
        <v/>
      </c>
      <c r="BG156" s="387" t="str">
        <f>IF($BF156="","",IFERROR(_xlfn.XLOOKUP($BF156,'Feeder Schedule'!$B$5:$B$254,'Feeder Schedule'!$A$5:$A$254),""))</f>
        <v/>
      </c>
      <c r="BH156" s="387" t="str">
        <f>IF($BF156="","",IFERROR(_xlfn.XLOOKUP($BF156,'Feeder Schedule'!$B$5:$B$254,'Feeder Schedule'!$O$5:$O$254),""))</f>
        <v/>
      </c>
      <c r="BI156" s="387" t="str">
        <f>IF($BF156="","",IFERROR(_xlfn.XLOOKUP($BF156,'Feeder Schedule'!$B$5:$B$254,'Feeder Schedule'!$P$5:$P$254),""))</f>
        <v/>
      </c>
      <c r="BJ156" s="387" t="str">
        <f>IF($BF156="","",IFERROR(_xlfn.XLOOKUP($BF156,'Feeder Schedule'!$B$5:$B$254,'Feeder Schedule'!$Q$5:$Q$254),""))</f>
        <v/>
      </c>
      <c r="BK156" s="387" t="str">
        <f>IF($BF156="","",IFERROR(_xlfn.XLOOKUP($BF156,'Feeder Schedule'!$B$5:$B$254,'Feeder Schedule'!$S$5:$S$254),""))</f>
        <v/>
      </c>
      <c r="BL156" s="387" t="str">
        <f>IF($BF156="","",IFERROR(_xlfn.XLOOKUP($BF156,'Feeder Schedule'!$B$5:$B$254,'Feeder Schedule'!$H$5:$H$254),""))</f>
        <v/>
      </c>
      <c r="BM156" s="534" t="str">
        <f>IF($BA156="","",'Short Circuit'!$J156)</f>
        <v/>
      </c>
      <c r="BN156" s="534" t="str">
        <f>IF($BA156="","",'Short Circuit'!$Q156)</f>
        <v/>
      </c>
      <c r="BO156" s="387" t="str">
        <f>IF($BA156="","",'Short Circuit'!$R156)</f>
        <v/>
      </c>
      <c r="BP156" s="535" t="str">
        <f>IF($BA156="","",'Short Circuit'!$S156)</f>
        <v/>
      </c>
      <c r="BQ156" s="387" t="str">
        <f>IF($BA156="","",'Short Circuit'!$T156)</f>
        <v/>
      </c>
      <c r="BR156" s="536" t="str">
        <f>IF($BA156="","",'Voltage Drop'!$G156)</f>
        <v/>
      </c>
      <c r="BS156" s="536" t="str">
        <f>IF($BA156="","",'Voltage Drop'!$H156)</f>
        <v/>
      </c>
      <c r="BT156" s="387" t="str">
        <f>IF($BA156="","",'Voltage Drop'!$K156)</f>
        <v/>
      </c>
      <c r="BU156" s="387" t="str">
        <f t="shared" si="4"/>
        <v/>
      </c>
      <c r="BV156" s="387"/>
      <c r="BW156" s="387" t="b">
        <f t="shared" si="5"/>
        <v>0</v>
      </c>
    </row>
    <row r="157" spans="1:75" ht="15" customHeight="1" x14ac:dyDescent="0.45">
      <c r="A157" s="161"/>
      <c r="B157" s="389"/>
      <c r="C157" s="207"/>
      <c r="D157" s="208"/>
      <c r="E157" s="161"/>
      <c r="F157" s="389"/>
      <c r="G157" s="389"/>
      <c r="H157" s="389"/>
      <c r="I157" s="389"/>
      <c r="J157" s="389"/>
      <c r="K157" s="389"/>
      <c r="L157" s="209"/>
      <c r="M157" s="209"/>
      <c r="N157" s="209"/>
      <c r="O157" s="209"/>
      <c r="P157" s="209"/>
      <c r="Q157" s="161"/>
      <c r="R157" s="390"/>
      <c r="S157" s="390"/>
      <c r="T157" s="161"/>
      <c r="U157" s="389"/>
      <c r="BA157" s="387" t="str">
        <f>IF('Short Circuit'!$A157="","",'Short Circuit'!$A157)</f>
        <v/>
      </c>
      <c r="BB157" s="387" t="str">
        <f>IF($BA157="","",'Short Circuit'!$B157)</f>
        <v/>
      </c>
      <c r="BC157" s="387" t="str">
        <f>IF($BA157="","",'Short Circuit'!$C157)</f>
        <v/>
      </c>
      <c r="BD157" s="387" t="str">
        <f>IF($BA157="","",'Short Circuit'!$D157)</f>
        <v/>
      </c>
      <c r="BE157" s="387" t="str">
        <f>IF($BA157="","",'Short Circuit'!$E157)</f>
        <v/>
      </c>
      <c r="BF157" s="387" t="str">
        <f>IF($BA157="","",IFERROR(_xlfn.XLOOKUP("F-"&amp;$BA157,'Feeder Schedule'!$B$5:$B$254,'Feeder Schedule'!$B$5:$B$254),IFERROR(_xlfn.XLOOKUP($BA157,'Feeder Schedule'!$B$5:$B$254,'Feeder Schedule'!$B$5:$B$254),"")))</f>
        <v/>
      </c>
      <c r="BG157" s="387" t="str">
        <f>IF($BF157="","",IFERROR(_xlfn.XLOOKUP($BF157,'Feeder Schedule'!$B$5:$B$254,'Feeder Schedule'!$A$5:$A$254),""))</f>
        <v/>
      </c>
      <c r="BH157" s="387" t="str">
        <f>IF($BF157="","",IFERROR(_xlfn.XLOOKUP($BF157,'Feeder Schedule'!$B$5:$B$254,'Feeder Schedule'!$O$5:$O$254),""))</f>
        <v/>
      </c>
      <c r="BI157" s="387" t="str">
        <f>IF($BF157="","",IFERROR(_xlfn.XLOOKUP($BF157,'Feeder Schedule'!$B$5:$B$254,'Feeder Schedule'!$P$5:$P$254),""))</f>
        <v/>
      </c>
      <c r="BJ157" s="387" t="str">
        <f>IF($BF157="","",IFERROR(_xlfn.XLOOKUP($BF157,'Feeder Schedule'!$B$5:$B$254,'Feeder Schedule'!$Q$5:$Q$254),""))</f>
        <v/>
      </c>
      <c r="BK157" s="387" t="str">
        <f>IF($BF157="","",IFERROR(_xlfn.XLOOKUP($BF157,'Feeder Schedule'!$B$5:$B$254,'Feeder Schedule'!$S$5:$S$254),""))</f>
        <v/>
      </c>
      <c r="BL157" s="387" t="str">
        <f>IF($BF157="","",IFERROR(_xlfn.XLOOKUP($BF157,'Feeder Schedule'!$B$5:$B$254,'Feeder Schedule'!$H$5:$H$254),""))</f>
        <v/>
      </c>
      <c r="BM157" s="534" t="str">
        <f>IF($BA157="","",'Short Circuit'!$J157)</f>
        <v/>
      </c>
      <c r="BN157" s="534" t="str">
        <f>IF($BA157="","",'Short Circuit'!$Q157)</f>
        <v/>
      </c>
      <c r="BO157" s="387" t="str">
        <f>IF($BA157="","",'Short Circuit'!$R157)</f>
        <v/>
      </c>
      <c r="BP157" s="535" t="str">
        <f>IF($BA157="","",'Short Circuit'!$S157)</f>
        <v/>
      </c>
      <c r="BQ157" s="387" t="str">
        <f>IF($BA157="","",'Short Circuit'!$T157)</f>
        <v/>
      </c>
      <c r="BR157" s="536" t="str">
        <f>IF($BA157="","",'Voltage Drop'!$G157)</f>
        <v/>
      </c>
      <c r="BS157" s="536" t="str">
        <f>IF($BA157="","",'Voltage Drop'!$H157)</f>
        <v/>
      </c>
      <c r="BT157" s="387" t="str">
        <f>IF($BA157="","",'Voltage Drop'!$K157)</f>
        <v/>
      </c>
      <c r="BU157" s="387" t="str">
        <f t="shared" si="4"/>
        <v/>
      </c>
      <c r="BV157" s="387"/>
      <c r="BW157" s="387" t="b">
        <f t="shared" si="5"/>
        <v>0</v>
      </c>
    </row>
    <row r="158" spans="1:75" ht="15" customHeight="1" x14ac:dyDescent="0.45">
      <c r="A158" s="161"/>
      <c r="B158" s="389"/>
      <c r="C158" s="207"/>
      <c r="D158" s="208"/>
      <c r="E158" s="161"/>
      <c r="F158" s="389"/>
      <c r="G158" s="389"/>
      <c r="H158" s="389"/>
      <c r="I158" s="389"/>
      <c r="J158" s="389"/>
      <c r="K158" s="389"/>
      <c r="L158" s="209"/>
      <c r="M158" s="209"/>
      <c r="N158" s="209"/>
      <c r="O158" s="209"/>
      <c r="P158" s="209"/>
      <c r="Q158" s="161"/>
      <c r="R158" s="390"/>
      <c r="S158" s="390"/>
      <c r="T158" s="161"/>
      <c r="U158" s="389"/>
      <c r="BA158" s="387" t="str">
        <f>IF('Short Circuit'!$A158="","",'Short Circuit'!$A158)</f>
        <v/>
      </c>
      <c r="BB158" s="387" t="str">
        <f>IF($BA158="","",'Short Circuit'!$B158)</f>
        <v/>
      </c>
      <c r="BC158" s="387" t="str">
        <f>IF($BA158="","",'Short Circuit'!$C158)</f>
        <v/>
      </c>
      <c r="BD158" s="387" t="str">
        <f>IF($BA158="","",'Short Circuit'!$D158)</f>
        <v/>
      </c>
      <c r="BE158" s="387" t="str">
        <f>IF($BA158="","",'Short Circuit'!$E158)</f>
        <v/>
      </c>
      <c r="BF158" s="387" t="str">
        <f>IF($BA158="","",IFERROR(_xlfn.XLOOKUP("F-"&amp;$BA158,'Feeder Schedule'!$B$5:$B$254,'Feeder Schedule'!$B$5:$B$254),IFERROR(_xlfn.XLOOKUP($BA158,'Feeder Schedule'!$B$5:$B$254,'Feeder Schedule'!$B$5:$B$254),"")))</f>
        <v/>
      </c>
      <c r="BG158" s="387" t="str">
        <f>IF($BF158="","",IFERROR(_xlfn.XLOOKUP($BF158,'Feeder Schedule'!$B$5:$B$254,'Feeder Schedule'!$A$5:$A$254),""))</f>
        <v/>
      </c>
      <c r="BH158" s="387" t="str">
        <f>IF($BF158="","",IFERROR(_xlfn.XLOOKUP($BF158,'Feeder Schedule'!$B$5:$B$254,'Feeder Schedule'!$O$5:$O$254),""))</f>
        <v/>
      </c>
      <c r="BI158" s="387" t="str">
        <f>IF($BF158="","",IFERROR(_xlfn.XLOOKUP($BF158,'Feeder Schedule'!$B$5:$B$254,'Feeder Schedule'!$P$5:$P$254),""))</f>
        <v/>
      </c>
      <c r="BJ158" s="387" t="str">
        <f>IF($BF158="","",IFERROR(_xlfn.XLOOKUP($BF158,'Feeder Schedule'!$B$5:$B$254,'Feeder Schedule'!$Q$5:$Q$254),""))</f>
        <v/>
      </c>
      <c r="BK158" s="387" t="str">
        <f>IF($BF158="","",IFERROR(_xlfn.XLOOKUP($BF158,'Feeder Schedule'!$B$5:$B$254,'Feeder Schedule'!$S$5:$S$254),""))</f>
        <v/>
      </c>
      <c r="BL158" s="387" t="str">
        <f>IF($BF158="","",IFERROR(_xlfn.XLOOKUP($BF158,'Feeder Schedule'!$B$5:$B$254,'Feeder Schedule'!$H$5:$H$254),""))</f>
        <v/>
      </c>
      <c r="BM158" s="534" t="str">
        <f>IF($BA158="","",'Short Circuit'!$J158)</f>
        <v/>
      </c>
      <c r="BN158" s="534" t="str">
        <f>IF($BA158="","",'Short Circuit'!$Q158)</f>
        <v/>
      </c>
      <c r="BO158" s="387" t="str">
        <f>IF($BA158="","",'Short Circuit'!$R158)</f>
        <v/>
      </c>
      <c r="BP158" s="535" t="str">
        <f>IF($BA158="","",'Short Circuit'!$S158)</f>
        <v/>
      </c>
      <c r="BQ158" s="387" t="str">
        <f>IF($BA158="","",'Short Circuit'!$T158)</f>
        <v/>
      </c>
      <c r="BR158" s="536" t="str">
        <f>IF($BA158="","",'Voltage Drop'!$G158)</f>
        <v/>
      </c>
      <c r="BS158" s="536" t="str">
        <f>IF($BA158="","",'Voltage Drop'!$H158)</f>
        <v/>
      </c>
      <c r="BT158" s="387" t="str">
        <f>IF($BA158="","",'Voltage Drop'!$K158)</f>
        <v/>
      </c>
      <c r="BU158" s="387" t="str">
        <f t="shared" si="4"/>
        <v/>
      </c>
      <c r="BV158" s="387"/>
      <c r="BW158" s="387" t="b">
        <f t="shared" si="5"/>
        <v>0</v>
      </c>
    </row>
    <row r="159" spans="1:75" ht="15" customHeight="1" x14ac:dyDescent="0.45">
      <c r="A159" s="161"/>
      <c r="B159" s="389"/>
      <c r="C159" s="207"/>
      <c r="D159" s="208"/>
      <c r="E159" s="161"/>
      <c r="F159" s="389"/>
      <c r="G159" s="389"/>
      <c r="H159" s="389"/>
      <c r="I159" s="389"/>
      <c r="J159" s="389"/>
      <c r="K159" s="389"/>
      <c r="L159" s="209"/>
      <c r="M159" s="209"/>
      <c r="N159" s="209"/>
      <c r="O159" s="209"/>
      <c r="P159" s="209"/>
      <c r="Q159" s="161"/>
      <c r="R159" s="390"/>
      <c r="S159" s="390"/>
      <c r="T159" s="161"/>
      <c r="U159" s="389"/>
      <c r="BA159" s="387" t="str">
        <f>IF('Short Circuit'!$A159="","",'Short Circuit'!$A159)</f>
        <v/>
      </c>
      <c r="BB159" s="387" t="str">
        <f>IF($BA159="","",'Short Circuit'!$B159)</f>
        <v/>
      </c>
      <c r="BC159" s="387" t="str">
        <f>IF($BA159="","",'Short Circuit'!$C159)</f>
        <v/>
      </c>
      <c r="BD159" s="387" t="str">
        <f>IF($BA159="","",'Short Circuit'!$D159)</f>
        <v/>
      </c>
      <c r="BE159" s="387" t="str">
        <f>IF($BA159="","",'Short Circuit'!$E159)</f>
        <v/>
      </c>
      <c r="BF159" s="387" t="str">
        <f>IF($BA159="","",IFERROR(_xlfn.XLOOKUP("F-"&amp;$BA159,'Feeder Schedule'!$B$5:$B$254,'Feeder Schedule'!$B$5:$B$254),IFERROR(_xlfn.XLOOKUP($BA159,'Feeder Schedule'!$B$5:$B$254,'Feeder Schedule'!$B$5:$B$254),"")))</f>
        <v/>
      </c>
      <c r="BG159" s="387" t="str">
        <f>IF($BF159="","",IFERROR(_xlfn.XLOOKUP($BF159,'Feeder Schedule'!$B$5:$B$254,'Feeder Schedule'!$A$5:$A$254),""))</f>
        <v/>
      </c>
      <c r="BH159" s="387" t="str">
        <f>IF($BF159="","",IFERROR(_xlfn.XLOOKUP($BF159,'Feeder Schedule'!$B$5:$B$254,'Feeder Schedule'!$O$5:$O$254),""))</f>
        <v/>
      </c>
      <c r="BI159" s="387" t="str">
        <f>IF($BF159="","",IFERROR(_xlfn.XLOOKUP($BF159,'Feeder Schedule'!$B$5:$B$254,'Feeder Schedule'!$P$5:$P$254),""))</f>
        <v/>
      </c>
      <c r="BJ159" s="387" t="str">
        <f>IF($BF159="","",IFERROR(_xlfn.XLOOKUP($BF159,'Feeder Schedule'!$B$5:$B$254,'Feeder Schedule'!$Q$5:$Q$254),""))</f>
        <v/>
      </c>
      <c r="BK159" s="387" t="str">
        <f>IF($BF159="","",IFERROR(_xlfn.XLOOKUP($BF159,'Feeder Schedule'!$B$5:$B$254,'Feeder Schedule'!$S$5:$S$254),""))</f>
        <v/>
      </c>
      <c r="BL159" s="387" t="str">
        <f>IF($BF159="","",IFERROR(_xlfn.XLOOKUP($BF159,'Feeder Schedule'!$B$5:$B$254,'Feeder Schedule'!$H$5:$H$254),""))</f>
        <v/>
      </c>
      <c r="BM159" s="534" t="str">
        <f>IF($BA159="","",'Short Circuit'!$J159)</f>
        <v/>
      </c>
      <c r="BN159" s="534" t="str">
        <f>IF($BA159="","",'Short Circuit'!$Q159)</f>
        <v/>
      </c>
      <c r="BO159" s="387" t="str">
        <f>IF($BA159="","",'Short Circuit'!$R159)</f>
        <v/>
      </c>
      <c r="BP159" s="535" t="str">
        <f>IF($BA159="","",'Short Circuit'!$S159)</f>
        <v/>
      </c>
      <c r="BQ159" s="387" t="str">
        <f>IF($BA159="","",'Short Circuit'!$T159)</f>
        <v/>
      </c>
      <c r="BR159" s="536" t="str">
        <f>IF($BA159="","",'Voltage Drop'!$G159)</f>
        <v/>
      </c>
      <c r="BS159" s="536" t="str">
        <f>IF($BA159="","",'Voltage Drop'!$H159)</f>
        <v/>
      </c>
      <c r="BT159" s="387" t="str">
        <f>IF($BA159="","",'Voltage Drop'!$K159)</f>
        <v/>
      </c>
      <c r="BU159" s="387" t="str">
        <f t="shared" si="4"/>
        <v/>
      </c>
      <c r="BV159" s="387"/>
      <c r="BW159" s="387" t="b">
        <f t="shared" si="5"/>
        <v>0</v>
      </c>
    </row>
    <row r="160" spans="1:75" ht="15" customHeight="1" x14ac:dyDescent="0.45">
      <c r="A160" s="161"/>
      <c r="B160" s="389"/>
      <c r="C160" s="207"/>
      <c r="D160" s="208"/>
      <c r="E160" s="161"/>
      <c r="F160" s="389"/>
      <c r="G160" s="389"/>
      <c r="H160" s="389"/>
      <c r="I160" s="389"/>
      <c r="J160" s="389"/>
      <c r="K160" s="389"/>
      <c r="L160" s="209"/>
      <c r="M160" s="209"/>
      <c r="N160" s="209"/>
      <c r="O160" s="209"/>
      <c r="P160" s="209"/>
      <c r="Q160" s="161"/>
      <c r="R160" s="390"/>
      <c r="S160" s="390"/>
      <c r="T160" s="161"/>
      <c r="U160" s="389"/>
      <c r="BA160" s="387" t="str">
        <f>IF('Short Circuit'!$A160="","",'Short Circuit'!$A160)</f>
        <v/>
      </c>
      <c r="BB160" s="387" t="str">
        <f>IF($BA160="","",'Short Circuit'!$B160)</f>
        <v/>
      </c>
      <c r="BC160" s="387" t="str">
        <f>IF($BA160="","",'Short Circuit'!$C160)</f>
        <v/>
      </c>
      <c r="BD160" s="387" t="str">
        <f>IF($BA160="","",'Short Circuit'!$D160)</f>
        <v/>
      </c>
      <c r="BE160" s="387" t="str">
        <f>IF($BA160="","",'Short Circuit'!$E160)</f>
        <v/>
      </c>
      <c r="BF160" s="387" t="str">
        <f>IF($BA160="","",IFERROR(_xlfn.XLOOKUP("F-"&amp;$BA160,'Feeder Schedule'!$B$5:$B$254,'Feeder Schedule'!$B$5:$B$254),IFERROR(_xlfn.XLOOKUP($BA160,'Feeder Schedule'!$B$5:$B$254,'Feeder Schedule'!$B$5:$B$254),"")))</f>
        <v/>
      </c>
      <c r="BG160" s="387" t="str">
        <f>IF($BF160="","",IFERROR(_xlfn.XLOOKUP($BF160,'Feeder Schedule'!$B$5:$B$254,'Feeder Schedule'!$A$5:$A$254),""))</f>
        <v/>
      </c>
      <c r="BH160" s="387" t="str">
        <f>IF($BF160="","",IFERROR(_xlfn.XLOOKUP($BF160,'Feeder Schedule'!$B$5:$B$254,'Feeder Schedule'!$O$5:$O$254),""))</f>
        <v/>
      </c>
      <c r="BI160" s="387" t="str">
        <f>IF($BF160="","",IFERROR(_xlfn.XLOOKUP($BF160,'Feeder Schedule'!$B$5:$B$254,'Feeder Schedule'!$P$5:$P$254),""))</f>
        <v/>
      </c>
      <c r="BJ160" s="387" t="str">
        <f>IF($BF160="","",IFERROR(_xlfn.XLOOKUP($BF160,'Feeder Schedule'!$B$5:$B$254,'Feeder Schedule'!$Q$5:$Q$254),""))</f>
        <v/>
      </c>
      <c r="BK160" s="387" t="str">
        <f>IF($BF160="","",IFERROR(_xlfn.XLOOKUP($BF160,'Feeder Schedule'!$B$5:$B$254,'Feeder Schedule'!$S$5:$S$254),""))</f>
        <v/>
      </c>
      <c r="BL160" s="387" t="str">
        <f>IF($BF160="","",IFERROR(_xlfn.XLOOKUP($BF160,'Feeder Schedule'!$B$5:$B$254,'Feeder Schedule'!$H$5:$H$254),""))</f>
        <v/>
      </c>
      <c r="BM160" s="534" t="str">
        <f>IF($BA160="","",'Short Circuit'!$J160)</f>
        <v/>
      </c>
      <c r="BN160" s="534" t="str">
        <f>IF($BA160="","",'Short Circuit'!$Q160)</f>
        <v/>
      </c>
      <c r="BO160" s="387" t="str">
        <f>IF($BA160="","",'Short Circuit'!$R160)</f>
        <v/>
      </c>
      <c r="BP160" s="535" t="str">
        <f>IF($BA160="","",'Short Circuit'!$S160)</f>
        <v/>
      </c>
      <c r="BQ160" s="387" t="str">
        <f>IF($BA160="","",'Short Circuit'!$T160)</f>
        <v/>
      </c>
      <c r="BR160" s="536" t="str">
        <f>IF($BA160="","",'Voltage Drop'!$G160)</f>
        <v/>
      </c>
      <c r="BS160" s="536" t="str">
        <f>IF($BA160="","",'Voltage Drop'!$H160)</f>
        <v/>
      </c>
      <c r="BT160" s="387" t="str">
        <f>IF($BA160="","",'Voltage Drop'!$K160)</f>
        <v/>
      </c>
      <c r="BU160" s="387" t="str">
        <f t="shared" si="4"/>
        <v/>
      </c>
      <c r="BV160" s="387"/>
      <c r="BW160" s="387" t="b">
        <f t="shared" si="5"/>
        <v>0</v>
      </c>
    </row>
    <row r="161" spans="1:75" ht="15" customHeight="1" x14ac:dyDescent="0.45">
      <c r="A161" s="161"/>
      <c r="B161" s="389"/>
      <c r="C161" s="207"/>
      <c r="D161" s="208"/>
      <c r="E161" s="161"/>
      <c r="F161" s="389"/>
      <c r="G161" s="389"/>
      <c r="H161" s="389"/>
      <c r="I161" s="389"/>
      <c r="J161" s="389"/>
      <c r="K161" s="389"/>
      <c r="L161" s="209"/>
      <c r="M161" s="209"/>
      <c r="N161" s="209"/>
      <c r="O161" s="209"/>
      <c r="P161" s="209"/>
      <c r="Q161" s="161"/>
      <c r="R161" s="390"/>
      <c r="S161" s="390"/>
      <c r="T161" s="161"/>
      <c r="U161" s="389"/>
      <c r="BA161" s="387" t="str">
        <f>IF('Short Circuit'!$A161="","",'Short Circuit'!$A161)</f>
        <v/>
      </c>
      <c r="BB161" s="387" t="str">
        <f>IF($BA161="","",'Short Circuit'!$B161)</f>
        <v/>
      </c>
      <c r="BC161" s="387" t="str">
        <f>IF($BA161="","",'Short Circuit'!$C161)</f>
        <v/>
      </c>
      <c r="BD161" s="387" t="str">
        <f>IF($BA161="","",'Short Circuit'!$D161)</f>
        <v/>
      </c>
      <c r="BE161" s="387" t="str">
        <f>IF($BA161="","",'Short Circuit'!$E161)</f>
        <v/>
      </c>
      <c r="BF161" s="387" t="str">
        <f>IF($BA161="","",IFERROR(_xlfn.XLOOKUP("F-"&amp;$BA161,'Feeder Schedule'!$B$5:$B$254,'Feeder Schedule'!$B$5:$B$254),IFERROR(_xlfn.XLOOKUP($BA161,'Feeder Schedule'!$B$5:$B$254,'Feeder Schedule'!$B$5:$B$254),"")))</f>
        <v/>
      </c>
      <c r="BG161" s="387" t="str">
        <f>IF($BF161="","",IFERROR(_xlfn.XLOOKUP($BF161,'Feeder Schedule'!$B$5:$B$254,'Feeder Schedule'!$A$5:$A$254),""))</f>
        <v/>
      </c>
      <c r="BH161" s="387" t="str">
        <f>IF($BF161="","",IFERROR(_xlfn.XLOOKUP($BF161,'Feeder Schedule'!$B$5:$B$254,'Feeder Schedule'!$O$5:$O$254),""))</f>
        <v/>
      </c>
      <c r="BI161" s="387" t="str">
        <f>IF($BF161="","",IFERROR(_xlfn.XLOOKUP($BF161,'Feeder Schedule'!$B$5:$B$254,'Feeder Schedule'!$P$5:$P$254),""))</f>
        <v/>
      </c>
      <c r="BJ161" s="387" t="str">
        <f>IF($BF161="","",IFERROR(_xlfn.XLOOKUP($BF161,'Feeder Schedule'!$B$5:$B$254,'Feeder Schedule'!$Q$5:$Q$254),""))</f>
        <v/>
      </c>
      <c r="BK161" s="387" t="str">
        <f>IF($BF161="","",IFERROR(_xlfn.XLOOKUP($BF161,'Feeder Schedule'!$B$5:$B$254,'Feeder Schedule'!$S$5:$S$254),""))</f>
        <v/>
      </c>
      <c r="BL161" s="387" t="str">
        <f>IF($BF161="","",IFERROR(_xlfn.XLOOKUP($BF161,'Feeder Schedule'!$B$5:$B$254,'Feeder Schedule'!$H$5:$H$254),""))</f>
        <v/>
      </c>
      <c r="BM161" s="534" t="str">
        <f>IF($BA161="","",'Short Circuit'!$J161)</f>
        <v/>
      </c>
      <c r="BN161" s="534" t="str">
        <f>IF($BA161="","",'Short Circuit'!$Q161)</f>
        <v/>
      </c>
      <c r="BO161" s="387" t="str">
        <f>IF($BA161="","",'Short Circuit'!$R161)</f>
        <v/>
      </c>
      <c r="BP161" s="535" t="str">
        <f>IF($BA161="","",'Short Circuit'!$S161)</f>
        <v/>
      </c>
      <c r="BQ161" s="387" t="str">
        <f>IF($BA161="","",'Short Circuit'!$T161)</f>
        <v/>
      </c>
      <c r="BR161" s="536" t="str">
        <f>IF($BA161="","",'Voltage Drop'!$G161)</f>
        <v/>
      </c>
      <c r="BS161" s="536" t="str">
        <f>IF($BA161="","",'Voltage Drop'!$H161)</f>
        <v/>
      </c>
      <c r="BT161" s="387" t="str">
        <f>IF($BA161="","",'Voltage Drop'!$K161)</f>
        <v/>
      </c>
      <c r="BU161" s="387" t="str">
        <f t="shared" si="4"/>
        <v/>
      </c>
      <c r="BV161" s="387"/>
      <c r="BW161" s="387" t="b">
        <f t="shared" si="5"/>
        <v>0</v>
      </c>
    </row>
    <row r="162" spans="1:75" ht="15" customHeight="1" x14ac:dyDescent="0.45">
      <c r="A162" s="161"/>
      <c r="B162" s="389"/>
      <c r="C162" s="207"/>
      <c r="D162" s="208"/>
      <c r="E162" s="161"/>
      <c r="F162" s="389"/>
      <c r="G162" s="389"/>
      <c r="H162" s="389"/>
      <c r="I162" s="389"/>
      <c r="J162" s="389"/>
      <c r="K162" s="389"/>
      <c r="L162" s="209"/>
      <c r="M162" s="209"/>
      <c r="N162" s="209"/>
      <c r="O162" s="209"/>
      <c r="P162" s="209"/>
      <c r="Q162" s="161"/>
      <c r="R162" s="390"/>
      <c r="S162" s="390"/>
      <c r="T162" s="161"/>
      <c r="U162" s="389"/>
      <c r="BA162" s="387" t="str">
        <f>IF('Short Circuit'!$A162="","",'Short Circuit'!$A162)</f>
        <v/>
      </c>
      <c r="BB162" s="387" t="str">
        <f>IF($BA162="","",'Short Circuit'!$B162)</f>
        <v/>
      </c>
      <c r="BC162" s="387" t="str">
        <f>IF($BA162="","",'Short Circuit'!$C162)</f>
        <v/>
      </c>
      <c r="BD162" s="387" t="str">
        <f>IF($BA162="","",'Short Circuit'!$D162)</f>
        <v/>
      </c>
      <c r="BE162" s="387" t="str">
        <f>IF($BA162="","",'Short Circuit'!$E162)</f>
        <v/>
      </c>
      <c r="BF162" s="387" t="str">
        <f>IF($BA162="","",IFERROR(_xlfn.XLOOKUP("F-"&amp;$BA162,'Feeder Schedule'!$B$5:$B$254,'Feeder Schedule'!$B$5:$B$254),IFERROR(_xlfn.XLOOKUP($BA162,'Feeder Schedule'!$B$5:$B$254,'Feeder Schedule'!$B$5:$B$254),"")))</f>
        <v/>
      </c>
      <c r="BG162" s="387" t="str">
        <f>IF($BF162="","",IFERROR(_xlfn.XLOOKUP($BF162,'Feeder Schedule'!$B$5:$B$254,'Feeder Schedule'!$A$5:$A$254),""))</f>
        <v/>
      </c>
      <c r="BH162" s="387" t="str">
        <f>IF($BF162="","",IFERROR(_xlfn.XLOOKUP($BF162,'Feeder Schedule'!$B$5:$B$254,'Feeder Schedule'!$O$5:$O$254),""))</f>
        <v/>
      </c>
      <c r="BI162" s="387" t="str">
        <f>IF($BF162="","",IFERROR(_xlfn.XLOOKUP($BF162,'Feeder Schedule'!$B$5:$B$254,'Feeder Schedule'!$P$5:$P$254),""))</f>
        <v/>
      </c>
      <c r="BJ162" s="387" t="str">
        <f>IF($BF162="","",IFERROR(_xlfn.XLOOKUP($BF162,'Feeder Schedule'!$B$5:$B$254,'Feeder Schedule'!$Q$5:$Q$254),""))</f>
        <v/>
      </c>
      <c r="BK162" s="387" t="str">
        <f>IF($BF162="","",IFERROR(_xlfn.XLOOKUP($BF162,'Feeder Schedule'!$B$5:$B$254,'Feeder Schedule'!$S$5:$S$254),""))</f>
        <v/>
      </c>
      <c r="BL162" s="387" t="str">
        <f>IF($BF162="","",IFERROR(_xlfn.XLOOKUP($BF162,'Feeder Schedule'!$B$5:$B$254,'Feeder Schedule'!$H$5:$H$254),""))</f>
        <v/>
      </c>
      <c r="BM162" s="534" t="str">
        <f>IF($BA162="","",'Short Circuit'!$J162)</f>
        <v/>
      </c>
      <c r="BN162" s="534" t="str">
        <f>IF($BA162="","",'Short Circuit'!$Q162)</f>
        <v/>
      </c>
      <c r="BO162" s="387" t="str">
        <f>IF($BA162="","",'Short Circuit'!$R162)</f>
        <v/>
      </c>
      <c r="BP162" s="535" t="str">
        <f>IF($BA162="","",'Short Circuit'!$S162)</f>
        <v/>
      </c>
      <c r="BQ162" s="387" t="str">
        <f>IF($BA162="","",'Short Circuit'!$T162)</f>
        <v/>
      </c>
      <c r="BR162" s="536" t="str">
        <f>IF($BA162="","",'Voltage Drop'!$G162)</f>
        <v/>
      </c>
      <c r="BS162" s="536" t="str">
        <f>IF($BA162="","",'Voltage Drop'!$H162)</f>
        <v/>
      </c>
      <c r="BT162" s="387" t="str">
        <f>IF($BA162="","",'Voltage Drop'!$K162)</f>
        <v/>
      </c>
      <c r="BU162" s="387" t="str">
        <f t="shared" si="4"/>
        <v/>
      </c>
      <c r="BV162" s="387"/>
      <c r="BW162" s="387" t="b">
        <f t="shared" si="5"/>
        <v>0</v>
      </c>
    </row>
    <row r="163" spans="1:75" ht="15" customHeight="1" x14ac:dyDescent="0.45">
      <c r="A163" s="161"/>
      <c r="B163" s="389"/>
      <c r="C163" s="207"/>
      <c r="D163" s="208"/>
      <c r="E163" s="161"/>
      <c r="F163" s="389"/>
      <c r="G163" s="389"/>
      <c r="H163" s="389"/>
      <c r="I163" s="389"/>
      <c r="J163" s="389"/>
      <c r="K163" s="389"/>
      <c r="L163" s="209"/>
      <c r="M163" s="209"/>
      <c r="N163" s="209"/>
      <c r="O163" s="209"/>
      <c r="P163" s="209"/>
      <c r="Q163" s="161"/>
      <c r="R163" s="390"/>
      <c r="S163" s="390"/>
      <c r="T163" s="161"/>
      <c r="U163" s="389"/>
      <c r="BA163" s="387" t="str">
        <f>IF('Short Circuit'!$A163="","",'Short Circuit'!$A163)</f>
        <v/>
      </c>
      <c r="BB163" s="387" t="str">
        <f>IF($BA163="","",'Short Circuit'!$B163)</f>
        <v/>
      </c>
      <c r="BC163" s="387" t="str">
        <f>IF($BA163="","",'Short Circuit'!$C163)</f>
        <v/>
      </c>
      <c r="BD163" s="387" t="str">
        <f>IF($BA163="","",'Short Circuit'!$D163)</f>
        <v/>
      </c>
      <c r="BE163" s="387" t="str">
        <f>IF($BA163="","",'Short Circuit'!$E163)</f>
        <v/>
      </c>
      <c r="BF163" s="387" t="str">
        <f>IF($BA163="","",IFERROR(_xlfn.XLOOKUP("F-"&amp;$BA163,'Feeder Schedule'!$B$5:$B$254,'Feeder Schedule'!$B$5:$B$254),IFERROR(_xlfn.XLOOKUP($BA163,'Feeder Schedule'!$B$5:$B$254,'Feeder Schedule'!$B$5:$B$254),"")))</f>
        <v/>
      </c>
      <c r="BG163" s="387" t="str">
        <f>IF($BF163="","",IFERROR(_xlfn.XLOOKUP($BF163,'Feeder Schedule'!$B$5:$B$254,'Feeder Schedule'!$A$5:$A$254),""))</f>
        <v/>
      </c>
      <c r="BH163" s="387" t="str">
        <f>IF($BF163="","",IFERROR(_xlfn.XLOOKUP($BF163,'Feeder Schedule'!$B$5:$B$254,'Feeder Schedule'!$O$5:$O$254),""))</f>
        <v/>
      </c>
      <c r="BI163" s="387" t="str">
        <f>IF($BF163="","",IFERROR(_xlfn.XLOOKUP($BF163,'Feeder Schedule'!$B$5:$B$254,'Feeder Schedule'!$P$5:$P$254),""))</f>
        <v/>
      </c>
      <c r="BJ163" s="387" t="str">
        <f>IF($BF163="","",IFERROR(_xlfn.XLOOKUP($BF163,'Feeder Schedule'!$B$5:$B$254,'Feeder Schedule'!$Q$5:$Q$254),""))</f>
        <v/>
      </c>
      <c r="BK163" s="387" t="str">
        <f>IF($BF163="","",IFERROR(_xlfn.XLOOKUP($BF163,'Feeder Schedule'!$B$5:$B$254,'Feeder Schedule'!$S$5:$S$254),""))</f>
        <v/>
      </c>
      <c r="BL163" s="387" t="str">
        <f>IF($BF163="","",IFERROR(_xlfn.XLOOKUP($BF163,'Feeder Schedule'!$B$5:$B$254,'Feeder Schedule'!$H$5:$H$254),""))</f>
        <v/>
      </c>
      <c r="BM163" s="534" t="str">
        <f>IF($BA163="","",'Short Circuit'!$J163)</f>
        <v/>
      </c>
      <c r="BN163" s="534" t="str">
        <f>IF($BA163="","",'Short Circuit'!$Q163)</f>
        <v/>
      </c>
      <c r="BO163" s="387" t="str">
        <f>IF($BA163="","",'Short Circuit'!$R163)</f>
        <v/>
      </c>
      <c r="BP163" s="535" t="str">
        <f>IF($BA163="","",'Short Circuit'!$S163)</f>
        <v/>
      </c>
      <c r="BQ163" s="387" t="str">
        <f>IF($BA163="","",'Short Circuit'!$T163)</f>
        <v/>
      </c>
      <c r="BR163" s="536" t="str">
        <f>IF($BA163="","",'Voltage Drop'!$G163)</f>
        <v/>
      </c>
      <c r="BS163" s="536" t="str">
        <f>IF($BA163="","",'Voltage Drop'!$H163)</f>
        <v/>
      </c>
      <c r="BT163" s="387" t="str">
        <f>IF($BA163="","",'Voltage Drop'!$K163)</f>
        <v/>
      </c>
      <c r="BU163" s="387" t="str">
        <f t="shared" si="4"/>
        <v/>
      </c>
      <c r="BV163" s="387"/>
      <c r="BW163" s="387" t="b">
        <f t="shared" si="5"/>
        <v>0</v>
      </c>
    </row>
    <row r="164" spans="1:75" ht="15" customHeight="1" x14ac:dyDescent="0.45">
      <c r="A164" s="161"/>
      <c r="B164" s="389"/>
      <c r="C164" s="207"/>
      <c r="D164" s="208"/>
      <c r="E164" s="161"/>
      <c r="F164" s="389"/>
      <c r="G164" s="389"/>
      <c r="H164" s="389"/>
      <c r="I164" s="389"/>
      <c r="J164" s="389"/>
      <c r="K164" s="389"/>
      <c r="L164" s="209"/>
      <c r="M164" s="209"/>
      <c r="N164" s="209"/>
      <c r="O164" s="209"/>
      <c r="P164" s="209"/>
      <c r="Q164" s="161"/>
      <c r="R164" s="390"/>
      <c r="S164" s="390"/>
      <c r="T164" s="161"/>
      <c r="U164" s="389"/>
      <c r="BA164" s="387" t="str">
        <f>IF('Short Circuit'!$A164="","",'Short Circuit'!$A164)</f>
        <v/>
      </c>
      <c r="BB164" s="387" t="str">
        <f>IF($BA164="","",'Short Circuit'!$B164)</f>
        <v/>
      </c>
      <c r="BC164" s="387" t="str">
        <f>IF($BA164="","",'Short Circuit'!$C164)</f>
        <v/>
      </c>
      <c r="BD164" s="387" t="str">
        <f>IF($BA164="","",'Short Circuit'!$D164)</f>
        <v/>
      </c>
      <c r="BE164" s="387" t="str">
        <f>IF($BA164="","",'Short Circuit'!$E164)</f>
        <v/>
      </c>
      <c r="BF164" s="387" t="str">
        <f>IF($BA164="","",IFERROR(_xlfn.XLOOKUP("F-"&amp;$BA164,'Feeder Schedule'!$B$5:$B$254,'Feeder Schedule'!$B$5:$B$254),IFERROR(_xlfn.XLOOKUP($BA164,'Feeder Schedule'!$B$5:$B$254,'Feeder Schedule'!$B$5:$B$254),"")))</f>
        <v/>
      </c>
      <c r="BG164" s="387" t="str">
        <f>IF($BF164="","",IFERROR(_xlfn.XLOOKUP($BF164,'Feeder Schedule'!$B$5:$B$254,'Feeder Schedule'!$A$5:$A$254),""))</f>
        <v/>
      </c>
      <c r="BH164" s="387" t="str">
        <f>IF($BF164="","",IFERROR(_xlfn.XLOOKUP($BF164,'Feeder Schedule'!$B$5:$B$254,'Feeder Schedule'!$O$5:$O$254),""))</f>
        <v/>
      </c>
      <c r="BI164" s="387" t="str">
        <f>IF($BF164="","",IFERROR(_xlfn.XLOOKUP($BF164,'Feeder Schedule'!$B$5:$B$254,'Feeder Schedule'!$P$5:$P$254),""))</f>
        <v/>
      </c>
      <c r="BJ164" s="387" t="str">
        <f>IF($BF164="","",IFERROR(_xlfn.XLOOKUP($BF164,'Feeder Schedule'!$B$5:$B$254,'Feeder Schedule'!$Q$5:$Q$254),""))</f>
        <v/>
      </c>
      <c r="BK164" s="387" t="str">
        <f>IF($BF164="","",IFERROR(_xlfn.XLOOKUP($BF164,'Feeder Schedule'!$B$5:$B$254,'Feeder Schedule'!$S$5:$S$254),""))</f>
        <v/>
      </c>
      <c r="BL164" s="387" t="str">
        <f>IF($BF164="","",IFERROR(_xlfn.XLOOKUP($BF164,'Feeder Schedule'!$B$5:$B$254,'Feeder Schedule'!$H$5:$H$254),""))</f>
        <v/>
      </c>
      <c r="BM164" s="534" t="str">
        <f>IF($BA164="","",'Short Circuit'!$J164)</f>
        <v/>
      </c>
      <c r="BN164" s="534" t="str">
        <f>IF($BA164="","",'Short Circuit'!$Q164)</f>
        <v/>
      </c>
      <c r="BO164" s="387" t="str">
        <f>IF($BA164="","",'Short Circuit'!$R164)</f>
        <v/>
      </c>
      <c r="BP164" s="535" t="str">
        <f>IF($BA164="","",'Short Circuit'!$S164)</f>
        <v/>
      </c>
      <c r="BQ164" s="387" t="str">
        <f>IF($BA164="","",'Short Circuit'!$T164)</f>
        <v/>
      </c>
      <c r="BR164" s="536" t="str">
        <f>IF($BA164="","",'Voltage Drop'!$G164)</f>
        <v/>
      </c>
      <c r="BS164" s="536" t="str">
        <f>IF($BA164="","",'Voltage Drop'!$H164)</f>
        <v/>
      </c>
      <c r="BT164" s="387" t="str">
        <f>IF($BA164="","",'Voltage Drop'!$K164)</f>
        <v/>
      </c>
      <c r="BU164" s="387" t="str">
        <f t="shared" si="4"/>
        <v/>
      </c>
      <c r="BV164" s="387"/>
      <c r="BW164" s="387" t="b">
        <f t="shared" si="5"/>
        <v>0</v>
      </c>
    </row>
    <row r="165" spans="1:75" ht="15" customHeight="1" x14ac:dyDescent="0.45">
      <c r="A165" s="161"/>
      <c r="B165" s="389"/>
      <c r="C165" s="207"/>
      <c r="D165" s="208"/>
      <c r="E165" s="161"/>
      <c r="F165" s="389"/>
      <c r="G165" s="389"/>
      <c r="H165" s="389"/>
      <c r="I165" s="389"/>
      <c r="J165" s="389"/>
      <c r="K165" s="389"/>
      <c r="L165" s="209"/>
      <c r="M165" s="209"/>
      <c r="N165" s="209"/>
      <c r="O165" s="209"/>
      <c r="P165" s="209"/>
      <c r="Q165" s="161"/>
      <c r="R165" s="390"/>
      <c r="S165" s="390"/>
      <c r="T165" s="161"/>
      <c r="U165" s="389"/>
      <c r="BA165" s="387" t="str">
        <f>IF('Short Circuit'!$A165="","",'Short Circuit'!$A165)</f>
        <v/>
      </c>
      <c r="BB165" s="387" t="str">
        <f>IF($BA165="","",'Short Circuit'!$B165)</f>
        <v/>
      </c>
      <c r="BC165" s="387" t="str">
        <f>IF($BA165="","",'Short Circuit'!$C165)</f>
        <v/>
      </c>
      <c r="BD165" s="387" t="str">
        <f>IF($BA165="","",'Short Circuit'!$D165)</f>
        <v/>
      </c>
      <c r="BE165" s="387" t="str">
        <f>IF($BA165="","",'Short Circuit'!$E165)</f>
        <v/>
      </c>
      <c r="BF165" s="387" t="str">
        <f>IF($BA165="","",IFERROR(_xlfn.XLOOKUP("F-"&amp;$BA165,'Feeder Schedule'!$B$5:$B$254,'Feeder Schedule'!$B$5:$B$254),IFERROR(_xlfn.XLOOKUP($BA165,'Feeder Schedule'!$B$5:$B$254,'Feeder Schedule'!$B$5:$B$254),"")))</f>
        <v/>
      </c>
      <c r="BG165" s="387" t="str">
        <f>IF($BF165="","",IFERROR(_xlfn.XLOOKUP($BF165,'Feeder Schedule'!$B$5:$B$254,'Feeder Schedule'!$A$5:$A$254),""))</f>
        <v/>
      </c>
      <c r="BH165" s="387" t="str">
        <f>IF($BF165="","",IFERROR(_xlfn.XLOOKUP($BF165,'Feeder Schedule'!$B$5:$B$254,'Feeder Schedule'!$O$5:$O$254),""))</f>
        <v/>
      </c>
      <c r="BI165" s="387" t="str">
        <f>IF($BF165="","",IFERROR(_xlfn.XLOOKUP($BF165,'Feeder Schedule'!$B$5:$B$254,'Feeder Schedule'!$P$5:$P$254),""))</f>
        <v/>
      </c>
      <c r="BJ165" s="387" t="str">
        <f>IF($BF165="","",IFERROR(_xlfn.XLOOKUP($BF165,'Feeder Schedule'!$B$5:$B$254,'Feeder Schedule'!$Q$5:$Q$254),""))</f>
        <v/>
      </c>
      <c r="BK165" s="387" t="str">
        <f>IF($BF165="","",IFERROR(_xlfn.XLOOKUP($BF165,'Feeder Schedule'!$B$5:$B$254,'Feeder Schedule'!$S$5:$S$254),""))</f>
        <v/>
      </c>
      <c r="BL165" s="387" t="str">
        <f>IF($BF165="","",IFERROR(_xlfn.XLOOKUP($BF165,'Feeder Schedule'!$B$5:$B$254,'Feeder Schedule'!$H$5:$H$254),""))</f>
        <v/>
      </c>
      <c r="BM165" s="534" t="str">
        <f>IF($BA165="","",'Short Circuit'!$J165)</f>
        <v/>
      </c>
      <c r="BN165" s="534" t="str">
        <f>IF($BA165="","",'Short Circuit'!$Q165)</f>
        <v/>
      </c>
      <c r="BO165" s="387" t="str">
        <f>IF($BA165="","",'Short Circuit'!$R165)</f>
        <v/>
      </c>
      <c r="BP165" s="535" t="str">
        <f>IF($BA165="","",'Short Circuit'!$S165)</f>
        <v/>
      </c>
      <c r="BQ165" s="387" t="str">
        <f>IF($BA165="","",'Short Circuit'!$T165)</f>
        <v/>
      </c>
      <c r="BR165" s="536" t="str">
        <f>IF($BA165="","",'Voltage Drop'!$G165)</f>
        <v/>
      </c>
      <c r="BS165" s="536" t="str">
        <f>IF($BA165="","",'Voltage Drop'!$H165)</f>
        <v/>
      </c>
      <c r="BT165" s="387" t="str">
        <f>IF($BA165="","",'Voltage Drop'!$K165)</f>
        <v/>
      </c>
      <c r="BU165" s="387" t="str">
        <f t="shared" si="4"/>
        <v/>
      </c>
      <c r="BV165" s="387"/>
      <c r="BW165" s="387" t="b">
        <f t="shared" si="5"/>
        <v>0</v>
      </c>
    </row>
    <row r="166" spans="1:75" ht="15" customHeight="1" x14ac:dyDescent="0.45">
      <c r="A166" s="161"/>
      <c r="B166" s="389"/>
      <c r="C166" s="207"/>
      <c r="D166" s="208"/>
      <c r="E166" s="161"/>
      <c r="F166" s="389"/>
      <c r="G166" s="389"/>
      <c r="H166" s="389"/>
      <c r="I166" s="389"/>
      <c r="J166" s="389"/>
      <c r="K166" s="389"/>
      <c r="L166" s="209"/>
      <c r="M166" s="209"/>
      <c r="N166" s="209"/>
      <c r="O166" s="209"/>
      <c r="P166" s="209"/>
      <c r="Q166" s="161"/>
      <c r="R166" s="390"/>
      <c r="S166" s="390"/>
      <c r="T166" s="161"/>
      <c r="U166" s="389"/>
      <c r="BA166" s="387" t="str">
        <f>IF('Short Circuit'!$A166="","",'Short Circuit'!$A166)</f>
        <v/>
      </c>
      <c r="BB166" s="387" t="str">
        <f>IF($BA166="","",'Short Circuit'!$B166)</f>
        <v/>
      </c>
      <c r="BC166" s="387" t="str">
        <f>IF($BA166="","",'Short Circuit'!$C166)</f>
        <v/>
      </c>
      <c r="BD166" s="387" t="str">
        <f>IF($BA166="","",'Short Circuit'!$D166)</f>
        <v/>
      </c>
      <c r="BE166" s="387" t="str">
        <f>IF($BA166="","",'Short Circuit'!$E166)</f>
        <v/>
      </c>
      <c r="BF166" s="387" t="str">
        <f>IF($BA166="","",IFERROR(_xlfn.XLOOKUP("F-"&amp;$BA166,'Feeder Schedule'!$B$5:$B$254,'Feeder Schedule'!$B$5:$B$254),IFERROR(_xlfn.XLOOKUP($BA166,'Feeder Schedule'!$B$5:$B$254,'Feeder Schedule'!$B$5:$B$254),"")))</f>
        <v/>
      </c>
      <c r="BG166" s="387" t="str">
        <f>IF($BF166="","",IFERROR(_xlfn.XLOOKUP($BF166,'Feeder Schedule'!$B$5:$B$254,'Feeder Schedule'!$A$5:$A$254),""))</f>
        <v/>
      </c>
      <c r="BH166" s="387" t="str">
        <f>IF($BF166="","",IFERROR(_xlfn.XLOOKUP($BF166,'Feeder Schedule'!$B$5:$B$254,'Feeder Schedule'!$O$5:$O$254),""))</f>
        <v/>
      </c>
      <c r="BI166" s="387" t="str">
        <f>IF($BF166="","",IFERROR(_xlfn.XLOOKUP($BF166,'Feeder Schedule'!$B$5:$B$254,'Feeder Schedule'!$P$5:$P$254),""))</f>
        <v/>
      </c>
      <c r="BJ166" s="387" t="str">
        <f>IF($BF166="","",IFERROR(_xlfn.XLOOKUP($BF166,'Feeder Schedule'!$B$5:$B$254,'Feeder Schedule'!$Q$5:$Q$254),""))</f>
        <v/>
      </c>
      <c r="BK166" s="387" t="str">
        <f>IF($BF166="","",IFERROR(_xlfn.XLOOKUP($BF166,'Feeder Schedule'!$B$5:$B$254,'Feeder Schedule'!$S$5:$S$254),""))</f>
        <v/>
      </c>
      <c r="BL166" s="387" t="str">
        <f>IF($BF166="","",IFERROR(_xlfn.XLOOKUP($BF166,'Feeder Schedule'!$B$5:$B$254,'Feeder Schedule'!$H$5:$H$254),""))</f>
        <v/>
      </c>
      <c r="BM166" s="534" t="str">
        <f>IF($BA166="","",'Short Circuit'!$J166)</f>
        <v/>
      </c>
      <c r="BN166" s="534" t="str">
        <f>IF($BA166="","",'Short Circuit'!$Q166)</f>
        <v/>
      </c>
      <c r="BO166" s="387" t="str">
        <f>IF($BA166="","",'Short Circuit'!$R166)</f>
        <v/>
      </c>
      <c r="BP166" s="535" t="str">
        <f>IF($BA166="","",'Short Circuit'!$S166)</f>
        <v/>
      </c>
      <c r="BQ166" s="387" t="str">
        <f>IF($BA166="","",'Short Circuit'!$T166)</f>
        <v/>
      </c>
      <c r="BR166" s="536" t="str">
        <f>IF($BA166="","",'Voltage Drop'!$G166)</f>
        <v/>
      </c>
      <c r="BS166" s="536" t="str">
        <f>IF($BA166="","",'Voltage Drop'!$H166)</f>
        <v/>
      </c>
      <c r="BT166" s="387" t="str">
        <f>IF($BA166="","",'Voltage Drop'!$K166)</f>
        <v/>
      </c>
      <c r="BU166" s="387" t="str">
        <f t="shared" si="4"/>
        <v/>
      </c>
      <c r="BV166" s="387"/>
      <c r="BW166" s="387" t="b">
        <f t="shared" si="5"/>
        <v>0</v>
      </c>
    </row>
    <row r="167" spans="1:75" ht="15" customHeight="1" x14ac:dyDescent="0.45">
      <c r="A167" s="161"/>
      <c r="B167" s="389"/>
      <c r="C167" s="207"/>
      <c r="D167" s="208"/>
      <c r="E167" s="161"/>
      <c r="F167" s="389"/>
      <c r="G167" s="389"/>
      <c r="H167" s="389"/>
      <c r="I167" s="389"/>
      <c r="J167" s="389"/>
      <c r="K167" s="389"/>
      <c r="L167" s="209"/>
      <c r="M167" s="209"/>
      <c r="N167" s="209"/>
      <c r="O167" s="209"/>
      <c r="P167" s="209"/>
      <c r="Q167" s="161"/>
      <c r="R167" s="390"/>
      <c r="S167" s="390"/>
      <c r="T167" s="161"/>
      <c r="U167" s="389"/>
      <c r="BA167" s="387" t="str">
        <f>IF('Short Circuit'!$A167="","",'Short Circuit'!$A167)</f>
        <v/>
      </c>
      <c r="BB167" s="387" t="str">
        <f>IF($BA167="","",'Short Circuit'!$B167)</f>
        <v/>
      </c>
      <c r="BC167" s="387" t="str">
        <f>IF($BA167="","",'Short Circuit'!$C167)</f>
        <v/>
      </c>
      <c r="BD167" s="387" t="str">
        <f>IF($BA167="","",'Short Circuit'!$D167)</f>
        <v/>
      </c>
      <c r="BE167" s="387" t="str">
        <f>IF($BA167="","",'Short Circuit'!$E167)</f>
        <v/>
      </c>
      <c r="BF167" s="387" t="str">
        <f>IF($BA167="","",IFERROR(_xlfn.XLOOKUP("F-"&amp;$BA167,'Feeder Schedule'!$B$5:$B$254,'Feeder Schedule'!$B$5:$B$254),IFERROR(_xlfn.XLOOKUP($BA167,'Feeder Schedule'!$B$5:$B$254,'Feeder Schedule'!$B$5:$B$254),"")))</f>
        <v/>
      </c>
      <c r="BG167" s="387" t="str">
        <f>IF($BF167="","",IFERROR(_xlfn.XLOOKUP($BF167,'Feeder Schedule'!$B$5:$B$254,'Feeder Schedule'!$A$5:$A$254),""))</f>
        <v/>
      </c>
      <c r="BH167" s="387" t="str">
        <f>IF($BF167="","",IFERROR(_xlfn.XLOOKUP($BF167,'Feeder Schedule'!$B$5:$B$254,'Feeder Schedule'!$O$5:$O$254),""))</f>
        <v/>
      </c>
      <c r="BI167" s="387" t="str">
        <f>IF($BF167="","",IFERROR(_xlfn.XLOOKUP($BF167,'Feeder Schedule'!$B$5:$B$254,'Feeder Schedule'!$P$5:$P$254),""))</f>
        <v/>
      </c>
      <c r="BJ167" s="387" t="str">
        <f>IF($BF167="","",IFERROR(_xlfn.XLOOKUP($BF167,'Feeder Schedule'!$B$5:$B$254,'Feeder Schedule'!$Q$5:$Q$254),""))</f>
        <v/>
      </c>
      <c r="BK167" s="387" t="str">
        <f>IF($BF167="","",IFERROR(_xlfn.XLOOKUP($BF167,'Feeder Schedule'!$B$5:$B$254,'Feeder Schedule'!$S$5:$S$254),""))</f>
        <v/>
      </c>
      <c r="BL167" s="387" t="str">
        <f>IF($BF167="","",IFERROR(_xlfn.XLOOKUP($BF167,'Feeder Schedule'!$B$5:$B$254,'Feeder Schedule'!$H$5:$H$254),""))</f>
        <v/>
      </c>
      <c r="BM167" s="534" t="str">
        <f>IF($BA167="","",'Short Circuit'!$J167)</f>
        <v/>
      </c>
      <c r="BN167" s="534" t="str">
        <f>IF($BA167="","",'Short Circuit'!$Q167)</f>
        <v/>
      </c>
      <c r="BO167" s="387" t="str">
        <f>IF($BA167="","",'Short Circuit'!$R167)</f>
        <v/>
      </c>
      <c r="BP167" s="535" t="str">
        <f>IF($BA167="","",'Short Circuit'!$S167)</f>
        <v/>
      </c>
      <c r="BQ167" s="387" t="str">
        <f>IF($BA167="","",'Short Circuit'!$T167)</f>
        <v/>
      </c>
      <c r="BR167" s="536" t="str">
        <f>IF($BA167="","",'Voltage Drop'!$G167)</f>
        <v/>
      </c>
      <c r="BS167" s="536" t="str">
        <f>IF($BA167="","",'Voltage Drop'!$H167)</f>
        <v/>
      </c>
      <c r="BT167" s="387" t="str">
        <f>IF($BA167="","",'Voltage Drop'!$K167)</f>
        <v/>
      </c>
      <c r="BU167" s="387" t="str">
        <f t="shared" si="4"/>
        <v/>
      </c>
      <c r="BV167" s="387"/>
      <c r="BW167" s="387" t="b">
        <f t="shared" si="5"/>
        <v>0</v>
      </c>
    </row>
    <row r="168" spans="1:75" ht="15" customHeight="1" x14ac:dyDescent="0.45">
      <c r="A168" s="161"/>
      <c r="B168" s="389"/>
      <c r="C168" s="207"/>
      <c r="D168" s="208"/>
      <c r="E168" s="161"/>
      <c r="F168" s="389"/>
      <c r="G168" s="389"/>
      <c r="H168" s="389"/>
      <c r="I168" s="389"/>
      <c r="J168" s="389"/>
      <c r="K168" s="389"/>
      <c r="L168" s="209"/>
      <c r="M168" s="209"/>
      <c r="N168" s="209"/>
      <c r="O168" s="209"/>
      <c r="P168" s="209"/>
      <c r="Q168" s="161"/>
      <c r="R168" s="390"/>
      <c r="S168" s="390"/>
      <c r="T168" s="161"/>
      <c r="U168" s="389"/>
      <c r="BA168" s="387" t="str">
        <f>IF('Short Circuit'!$A168="","",'Short Circuit'!$A168)</f>
        <v/>
      </c>
      <c r="BB168" s="387" t="str">
        <f>IF($BA168="","",'Short Circuit'!$B168)</f>
        <v/>
      </c>
      <c r="BC168" s="387" t="str">
        <f>IF($BA168="","",'Short Circuit'!$C168)</f>
        <v/>
      </c>
      <c r="BD168" s="387" t="str">
        <f>IF($BA168="","",'Short Circuit'!$D168)</f>
        <v/>
      </c>
      <c r="BE168" s="387" t="str">
        <f>IF($BA168="","",'Short Circuit'!$E168)</f>
        <v/>
      </c>
      <c r="BF168" s="387" t="str">
        <f>IF($BA168="","",IFERROR(_xlfn.XLOOKUP("F-"&amp;$BA168,'Feeder Schedule'!$B$5:$B$254,'Feeder Schedule'!$B$5:$B$254),IFERROR(_xlfn.XLOOKUP($BA168,'Feeder Schedule'!$B$5:$B$254,'Feeder Schedule'!$B$5:$B$254),"")))</f>
        <v/>
      </c>
      <c r="BG168" s="387" t="str">
        <f>IF($BF168="","",IFERROR(_xlfn.XLOOKUP($BF168,'Feeder Schedule'!$B$5:$B$254,'Feeder Schedule'!$A$5:$A$254),""))</f>
        <v/>
      </c>
      <c r="BH168" s="387" t="str">
        <f>IF($BF168="","",IFERROR(_xlfn.XLOOKUP($BF168,'Feeder Schedule'!$B$5:$B$254,'Feeder Schedule'!$O$5:$O$254),""))</f>
        <v/>
      </c>
      <c r="BI168" s="387" t="str">
        <f>IF($BF168="","",IFERROR(_xlfn.XLOOKUP($BF168,'Feeder Schedule'!$B$5:$B$254,'Feeder Schedule'!$P$5:$P$254),""))</f>
        <v/>
      </c>
      <c r="BJ168" s="387" t="str">
        <f>IF($BF168="","",IFERROR(_xlfn.XLOOKUP($BF168,'Feeder Schedule'!$B$5:$B$254,'Feeder Schedule'!$Q$5:$Q$254),""))</f>
        <v/>
      </c>
      <c r="BK168" s="387" t="str">
        <f>IF($BF168="","",IFERROR(_xlfn.XLOOKUP($BF168,'Feeder Schedule'!$B$5:$B$254,'Feeder Schedule'!$S$5:$S$254),""))</f>
        <v/>
      </c>
      <c r="BL168" s="387" t="str">
        <f>IF($BF168="","",IFERROR(_xlfn.XLOOKUP($BF168,'Feeder Schedule'!$B$5:$B$254,'Feeder Schedule'!$H$5:$H$254),""))</f>
        <v/>
      </c>
      <c r="BM168" s="534" t="str">
        <f>IF($BA168="","",'Short Circuit'!$J168)</f>
        <v/>
      </c>
      <c r="BN168" s="534" t="str">
        <f>IF($BA168="","",'Short Circuit'!$Q168)</f>
        <v/>
      </c>
      <c r="BO168" s="387" t="str">
        <f>IF($BA168="","",'Short Circuit'!$R168)</f>
        <v/>
      </c>
      <c r="BP168" s="535" t="str">
        <f>IF($BA168="","",'Short Circuit'!$S168)</f>
        <v/>
      </c>
      <c r="BQ168" s="387" t="str">
        <f>IF($BA168="","",'Short Circuit'!$T168)</f>
        <v/>
      </c>
      <c r="BR168" s="536" t="str">
        <f>IF($BA168="","",'Voltage Drop'!$G168)</f>
        <v/>
      </c>
      <c r="BS168" s="536" t="str">
        <f>IF($BA168="","",'Voltage Drop'!$H168)</f>
        <v/>
      </c>
      <c r="BT168" s="387" t="str">
        <f>IF($BA168="","",'Voltage Drop'!$K168)</f>
        <v/>
      </c>
      <c r="BU168" s="387" t="str">
        <f t="shared" si="4"/>
        <v/>
      </c>
      <c r="BV168" s="387"/>
      <c r="BW168" s="387" t="b">
        <f t="shared" si="5"/>
        <v>0</v>
      </c>
    </row>
    <row r="169" spans="1:75" ht="15" customHeight="1" x14ac:dyDescent="0.45">
      <c r="A169" s="161"/>
      <c r="B169" s="389"/>
      <c r="C169" s="207"/>
      <c r="D169" s="208"/>
      <c r="E169" s="161"/>
      <c r="F169" s="389"/>
      <c r="G169" s="389"/>
      <c r="H169" s="389"/>
      <c r="I169" s="389"/>
      <c r="J169" s="389"/>
      <c r="K169" s="389"/>
      <c r="L169" s="209"/>
      <c r="M169" s="209"/>
      <c r="N169" s="209"/>
      <c r="O169" s="209"/>
      <c r="P169" s="209"/>
      <c r="Q169" s="161"/>
      <c r="R169" s="390"/>
      <c r="S169" s="390"/>
      <c r="T169" s="161"/>
      <c r="U169" s="389"/>
      <c r="BA169" s="387" t="str">
        <f>IF('Short Circuit'!$A169="","",'Short Circuit'!$A169)</f>
        <v/>
      </c>
      <c r="BB169" s="387" t="str">
        <f>IF($BA169="","",'Short Circuit'!$B169)</f>
        <v/>
      </c>
      <c r="BC169" s="387" t="str">
        <f>IF($BA169="","",'Short Circuit'!$C169)</f>
        <v/>
      </c>
      <c r="BD169" s="387" t="str">
        <f>IF($BA169="","",'Short Circuit'!$D169)</f>
        <v/>
      </c>
      <c r="BE169" s="387" t="str">
        <f>IF($BA169="","",'Short Circuit'!$E169)</f>
        <v/>
      </c>
      <c r="BF169" s="387" t="str">
        <f>IF($BA169="","",IFERROR(_xlfn.XLOOKUP("F-"&amp;$BA169,'Feeder Schedule'!$B$5:$B$254,'Feeder Schedule'!$B$5:$B$254),IFERROR(_xlfn.XLOOKUP($BA169,'Feeder Schedule'!$B$5:$B$254,'Feeder Schedule'!$B$5:$B$254),"")))</f>
        <v/>
      </c>
      <c r="BG169" s="387" t="str">
        <f>IF($BF169="","",IFERROR(_xlfn.XLOOKUP($BF169,'Feeder Schedule'!$B$5:$B$254,'Feeder Schedule'!$A$5:$A$254),""))</f>
        <v/>
      </c>
      <c r="BH169" s="387" t="str">
        <f>IF($BF169="","",IFERROR(_xlfn.XLOOKUP($BF169,'Feeder Schedule'!$B$5:$B$254,'Feeder Schedule'!$O$5:$O$254),""))</f>
        <v/>
      </c>
      <c r="BI169" s="387" t="str">
        <f>IF($BF169="","",IFERROR(_xlfn.XLOOKUP($BF169,'Feeder Schedule'!$B$5:$B$254,'Feeder Schedule'!$P$5:$P$254),""))</f>
        <v/>
      </c>
      <c r="BJ169" s="387" t="str">
        <f>IF($BF169="","",IFERROR(_xlfn.XLOOKUP($BF169,'Feeder Schedule'!$B$5:$B$254,'Feeder Schedule'!$Q$5:$Q$254),""))</f>
        <v/>
      </c>
      <c r="BK169" s="387" t="str">
        <f>IF($BF169="","",IFERROR(_xlfn.XLOOKUP($BF169,'Feeder Schedule'!$B$5:$B$254,'Feeder Schedule'!$S$5:$S$254),""))</f>
        <v/>
      </c>
      <c r="BL169" s="387" t="str">
        <f>IF($BF169="","",IFERROR(_xlfn.XLOOKUP($BF169,'Feeder Schedule'!$B$5:$B$254,'Feeder Schedule'!$H$5:$H$254),""))</f>
        <v/>
      </c>
      <c r="BM169" s="534" t="str">
        <f>IF($BA169="","",'Short Circuit'!$J169)</f>
        <v/>
      </c>
      <c r="BN169" s="534" t="str">
        <f>IF($BA169="","",'Short Circuit'!$Q169)</f>
        <v/>
      </c>
      <c r="BO169" s="387" t="str">
        <f>IF($BA169="","",'Short Circuit'!$R169)</f>
        <v/>
      </c>
      <c r="BP169" s="535" t="str">
        <f>IF($BA169="","",'Short Circuit'!$S169)</f>
        <v/>
      </c>
      <c r="BQ169" s="387" t="str">
        <f>IF($BA169="","",'Short Circuit'!$T169)</f>
        <v/>
      </c>
      <c r="BR169" s="536" t="str">
        <f>IF($BA169="","",'Voltage Drop'!$G169)</f>
        <v/>
      </c>
      <c r="BS169" s="536" t="str">
        <f>IF($BA169="","",'Voltage Drop'!$H169)</f>
        <v/>
      </c>
      <c r="BT169" s="387" t="str">
        <f>IF($BA169="","",'Voltage Drop'!$K169)</f>
        <v/>
      </c>
      <c r="BU169" s="387" t="str">
        <f t="shared" si="4"/>
        <v/>
      </c>
      <c r="BV169" s="387"/>
      <c r="BW169" s="387" t="b">
        <f t="shared" si="5"/>
        <v>0</v>
      </c>
    </row>
    <row r="170" spans="1:75" ht="15" customHeight="1" x14ac:dyDescent="0.45">
      <c r="A170" s="161"/>
      <c r="B170" s="389"/>
      <c r="C170" s="207"/>
      <c r="D170" s="208"/>
      <c r="E170" s="161"/>
      <c r="F170" s="389"/>
      <c r="G170" s="389"/>
      <c r="H170" s="389"/>
      <c r="I170" s="389"/>
      <c r="J170" s="389"/>
      <c r="K170" s="389"/>
      <c r="L170" s="209"/>
      <c r="M170" s="209"/>
      <c r="N170" s="209"/>
      <c r="O170" s="209"/>
      <c r="P170" s="209"/>
      <c r="Q170" s="161"/>
      <c r="R170" s="390"/>
      <c r="S170" s="390"/>
      <c r="T170" s="161"/>
      <c r="U170" s="389"/>
      <c r="BA170" s="387" t="str">
        <f>IF('Short Circuit'!$A170="","",'Short Circuit'!$A170)</f>
        <v/>
      </c>
      <c r="BB170" s="387" t="str">
        <f>IF($BA170="","",'Short Circuit'!$B170)</f>
        <v/>
      </c>
      <c r="BC170" s="387" t="str">
        <f>IF($BA170="","",'Short Circuit'!$C170)</f>
        <v/>
      </c>
      <c r="BD170" s="387" t="str">
        <f>IF($BA170="","",'Short Circuit'!$D170)</f>
        <v/>
      </c>
      <c r="BE170" s="387" t="str">
        <f>IF($BA170="","",'Short Circuit'!$E170)</f>
        <v/>
      </c>
      <c r="BF170" s="387" t="str">
        <f>IF($BA170="","",IFERROR(_xlfn.XLOOKUP("F-"&amp;$BA170,'Feeder Schedule'!$B$5:$B$254,'Feeder Schedule'!$B$5:$B$254),IFERROR(_xlfn.XLOOKUP($BA170,'Feeder Schedule'!$B$5:$B$254,'Feeder Schedule'!$B$5:$B$254),"")))</f>
        <v/>
      </c>
      <c r="BG170" s="387" t="str">
        <f>IF($BF170="","",IFERROR(_xlfn.XLOOKUP($BF170,'Feeder Schedule'!$B$5:$B$254,'Feeder Schedule'!$A$5:$A$254),""))</f>
        <v/>
      </c>
      <c r="BH170" s="387" t="str">
        <f>IF($BF170="","",IFERROR(_xlfn.XLOOKUP($BF170,'Feeder Schedule'!$B$5:$B$254,'Feeder Schedule'!$O$5:$O$254),""))</f>
        <v/>
      </c>
      <c r="BI170" s="387" t="str">
        <f>IF($BF170="","",IFERROR(_xlfn.XLOOKUP($BF170,'Feeder Schedule'!$B$5:$B$254,'Feeder Schedule'!$P$5:$P$254),""))</f>
        <v/>
      </c>
      <c r="BJ170" s="387" t="str">
        <f>IF($BF170="","",IFERROR(_xlfn.XLOOKUP($BF170,'Feeder Schedule'!$B$5:$B$254,'Feeder Schedule'!$Q$5:$Q$254),""))</f>
        <v/>
      </c>
      <c r="BK170" s="387" t="str">
        <f>IF($BF170="","",IFERROR(_xlfn.XLOOKUP($BF170,'Feeder Schedule'!$B$5:$B$254,'Feeder Schedule'!$S$5:$S$254),""))</f>
        <v/>
      </c>
      <c r="BL170" s="387" t="str">
        <f>IF($BF170="","",IFERROR(_xlfn.XLOOKUP($BF170,'Feeder Schedule'!$B$5:$B$254,'Feeder Schedule'!$H$5:$H$254),""))</f>
        <v/>
      </c>
      <c r="BM170" s="534" t="str">
        <f>IF($BA170="","",'Short Circuit'!$J170)</f>
        <v/>
      </c>
      <c r="BN170" s="534" t="str">
        <f>IF($BA170="","",'Short Circuit'!$Q170)</f>
        <v/>
      </c>
      <c r="BO170" s="387" t="str">
        <f>IF($BA170="","",'Short Circuit'!$R170)</f>
        <v/>
      </c>
      <c r="BP170" s="535" t="str">
        <f>IF($BA170="","",'Short Circuit'!$S170)</f>
        <v/>
      </c>
      <c r="BQ170" s="387" t="str">
        <f>IF($BA170="","",'Short Circuit'!$T170)</f>
        <v/>
      </c>
      <c r="BR170" s="536" t="str">
        <f>IF($BA170="","",'Voltage Drop'!$G170)</f>
        <v/>
      </c>
      <c r="BS170" s="536" t="str">
        <f>IF($BA170="","",'Voltage Drop'!$H170)</f>
        <v/>
      </c>
      <c r="BT170" s="387" t="str">
        <f>IF($BA170="","",'Voltage Drop'!$K170)</f>
        <v/>
      </c>
      <c r="BU170" s="387" t="str">
        <f t="shared" si="4"/>
        <v/>
      </c>
      <c r="BV170" s="387"/>
      <c r="BW170" s="387" t="b">
        <f t="shared" si="5"/>
        <v>0</v>
      </c>
    </row>
    <row r="171" spans="1:75" ht="15" customHeight="1" x14ac:dyDescent="0.45">
      <c r="A171" s="161"/>
      <c r="B171" s="389"/>
      <c r="C171" s="207"/>
      <c r="D171" s="208"/>
      <c r="E171" s="161"/>
      <c r="F171" s="389"/>
      <c r="G171" s="389"/>
      <c r="H171" s="389"/>
      <c r="I171" s="389"/>
      <c r="J171" s="389"/>
      <c r="K171" s="389"/>
      <c r="L171" s="209"/>
      <c r="M171" s="209"/>
      <c r="N171" s="209"/>
      <c r="O171" s="209"/>
      <c r="P171" s="209"/>
      <c r="Q171" s="161"/>
      <c r="R171" s="390"/>
      <c r="S171" s="390"/>
      <c r="T171" s="161"/>
      <c r="U171" s="389"/>
      <c r="BA171" s="387" t="str">
        <f>IF('Short Circuit'!$A171="","",'Short Circuit'!$A171)</f>
        <v/>
      </c>
      <c r="BB171" s="387" t="str">
        <f>IF($BA171="","",'Short Circuit'!$B171)</f>
        <v/>
      </c>
      <c r="BC171" s="387" t="str">
        <f>IF($BA171="","",'Short Circuit'!$C171)</f>
        <v/>
      </c>
      <c r="BD171" s="387" t="str">
        <f>IF($BA171="","",'Short Circuit'!$D171)</f>
        <v/>
      </c>
      <c r="BE171" s="387" t="str">
        <f>IF($BA171="","",'Short Circuit'!$E171)</f>
        <v/>
      </c>
      <c r="BF171" s="387" t="str">
        <f>IF($BA171="","",IFERROR(_xlfn.XLOOKUP("F-"&amp;$BA171,'Feeder Schedule'!$B$5:$B$254,'Feeder Schedule'!$B$5:$B$254),IFERROR(_xlfn.XLOOKUP($BA171,'Feeder Schedule'!$B$5:$B$254,'Feeder Schedule'!$B$5:$B$254),"")))</f>
        <v/>
      </c>
      <c r="BG171" s="387" t="str">
        <f>IF($BF171="","",IFERROR(_xlfn.XLOOKUP($BF171,'Feeder Schedule'!$B$5:$B$254,'Feeder Schedule'!$A$5:$A$254),""))</f>
        <v/>
      </c>
      <c r="BH171" s="387" t="str">
        <f>IF($BF171="","",IFERROR(_xlfn.XLOOKUP($BF171,'Feeder Schedule'!$B$5:$B$254,'Feeder Schedule'!$O$5:$O$254),""))</f>
        <v/>
      </c>
      <c r="BI171" s="387" t="str">
        <f>IF($BF171="","",IFERROR(_xlfn.XLOOKUP($BF171,'Feeder Schedule'!$B$5:$B$254,'Feeder Schedule'!$P$5:$P$254),""))</f>
        <v/>
      </c>
      <c r="BJ171" s="387" t="str">
        <f>IF($BF171="","",IFERROR(_xlfn.XLOOKUP($BF171,'Feeder Schedule'!$B$5:$B$254,'Feeder Schedule'!$Q$5:$Q$254),""))</f>
        <v/>
      </c>
      <c r="BK171" s="387" t="str">
        <f>IF($BF171="","",IFERROR(_xlfn.XLOOKUP($BF171,'Feeder Schedule'!$B$5:$B$254,'Feeder Schedule'!$S$5:$S$254),""))</f>
        <v/>
      </c>
      <c r="BL171" s="387" t="str">
        <f>IF($BF171="","",IFERROR(_xlfn.XLOOKUP($BF171,'Feeder Schedule'!$B$5:$B$254,'Feeder Schedule'!$H$5:$H$254),""))</f>
        <v/>
      </c>
      <c r="BM171" s="534" t="str">
        <f>IF($BA171="","",'Short Circuit'!$J171)</f>
        <v/>
      </c>
      <c r="BN171" s="534" t="str">
        <f>IF($BA171="","",'Short Circuit'!$Q171)</f>
        <v/>
      </c>
      <c r="BO171" s="387" t="str">
        <f>IF($BA171="","",'Short Circuit'!$R171)</f>
        <v/>
      </c>
      <c r="BP171" s="535" t="str">
        <f>IF($BA171="","",'Short Circuit'!$S171)</f>
        <v/>
      </c>
      <c r="BQ171" s="387" t="str">
        <f>IF($BA171="","",'Short Circuit'!$T171)</f>
        <v/>
      </c>
      <c r="BR171" s="536" t="str">
        <f>IF($BA171="","",'Voltage Drop'!$G171)</f>
        <v/>
      </c>
      <c r="BS171" s="536" t="str">
        <f>IF($BA171="","",'Voltage Drop'!$H171)</f>
        <v/>
      </c>
      <c r="BT171" s="387" t="str">
        <f>IF($BA171="","",'Voltage Drop'!$K171)</f>
        <v/>
      </c>
      <c r="BU171" s="387" t="str">
        <f t="shared" si="4"/>
        <v/>
      </c>
      <c r="BV171" s="387"/>
      <c r="BW171" s="387" t="b">
        <f t="shared" si="5"/>
        <v>0</v>
      </c>
    </row>
    <row r="172" spans="1:75" ht="15" customHeight="1" x14ac:dyDescent="0.45">
      <c r="A172" s="161"/>
      <c r="B172" s="389"/>
      <c r="C172" s="207"/>
      <c r="D172" s="208"/>
      <c r="E172" s="161"/>
      <c r="F172" s="389"/>
      <c r="G172" s="389"/>
      <c r="H172" s="389"/>
      <c r="I172" s="389"/>
      <c r="J172" s="389"/>
      <c r="K172" s="389"/>
      <c r="L172" s="209"/>
      <c r="M172" s="209"/>
      <c r="N172" s="209"/>
      <c r="O172" s="209"/>
      <c r="P172" s="209"/>
      <c r="Q172" s="161"/>
      <c r="R172" s="390"/>
      <c r="S172" s="390"/>
      <c r="T172" s="161"/>
      <c r="U172" s="389"/>
      <c r="BA172" s="387" t="str">
        <f>IF('Short Circuit'!$A172="","",'Short Circuit'!$A172)</f>
        <v/>
      </c>
      <c r="BB172" s="387" t="str">
        <f>IF($BA172="","",'Short Circuit'!$B172)</f>
        <v/>
      </c>
      <c r="BC172" s="387" t="str">
        <f>IF($BA172="","",'Short Circuit'!$C172)</f>
        <v/>
      </c>
      <c r="BD172" s="387" t="str">
        <f>IF($BA172="","",'Short Circuit'!$D172)</f>
        <v/>
      </c>
      <c r="BE172" s="387" t="str">
        <f>IF($BA172="","",'Short Circuit'!$E172)</f>
        <v/>
      </c>
      <c r="BF172" s="387" t="str">
        <f>IF($BA172="","",IFERROR(_xlfn.XLOOKUP("F-"&amp;$BA172,'Feeder Schedule'!$B$5:$B$254,'Feeder Schedule'!$B$5:$B$254),IFERROR(_xlfn.XLOOKUP($BA172,'Feeder Schedule'!$B$5:$B$254,'Feeder Schedule'!$B$5:$B$254),"")))</f>
        <v/>
      </c>
      <c r="BG172" s="387" t="str">
        <f>IF($BF172="","",IFERROR(_xlfn.XLOOKUP($BF172,'Feeder Schedule'!$B$5:$B$254,'Feeder Schedule'!$A$5:$A$254),""))</f>
        <v/>
      </c>
      <c r="BH172" s="387" t="str">
        <f>IF($BF172="","",IFERROR(_xlfn.XLOOKUP($BF172,'Feeder Schedule'!$B$5:$B$254,'Feeder Schedule'!$O$5:$O$254),""))</f>
        <v/>
      </c>
      <c r="BI172" s="387" t="str">
        <f>IF($BF172="","",IFERROR(_xlfn.XLOOKUP($BF172,'Feeder Schedule'!$B$5:$B$254,'Feeder Schedule'!$P$5:$P$254),""))</f>
        <v/>
      </c>
      <c r="BJ172" s="387" t="str">
        <f>IF($BF172="","",IFERROR(_xlfn.XLOOKUP($BF172,'Feeder Schedule'!$B$5:$B$254,'Feeder Schedule'!$Q$5:$Q$254),""))</f>
        <v/>
      </c>
      <c r="BK172" s="387" t="str">
        <f>IF($BF172="","",IFERROR(_xlfn.XLOOKUP($BF172,'Feeder Schedule'!$B$5:$B$254,'Feeder Schedule'!$S$5:$S$254),""))</f>
        <v/>
      </c>
      <c r="BL172" s="387" t="str">
        <f>IF($BF172="","",IFERROR(_xlfn.XLOOKUP($BF172,'Feeder Schedule'!$B$5:$B$254,'Feeder Schedule'!$H$5:$H$254),""))</f>
        <v/>
      </c>
      <c r="BM172" s="534" t="str">
        <f>IF($BA172="","",'Short Circuit'!$J172)</f>
        <v/>
      </c>
      <c r="BN172" s="534" t="str">
        <f>IF($BA172="","",'Short Circuit'!$Q172)</f>
        <v/>
      </c>
      <c r="BO172" s="387" t="str">
        <f>IF($BA172="","",'Short Circuit'!$R172)</f>
        <v/>
      </c>
      <c r="BP172" s="535" t="str">
        <f>IF($BA172="","",'Short Circuit'!$S172)</f>
        <v/>
      </c>
      <c r="BQ172" s="387" t="str">
        <f>IF($BA172="","",'Short Circuit'!$T172)</f>
        <v/>
      </c>
      <c r="BR172" s="536" t="str">
        <f>IF($BA172="","",'Voltage Drop'!$G172)</f>
        <v/>
      </c>
      <c r="BS172" s="536" t="str">
        <f>IF($BA172="","",'Voltage Drop'!$H172)</f>
        <v/>
      </c>
      <c r="BT172" s="387" t="str">
        <f>IF($BA172="","",'Voltage Drop'!$K172)</f>
        <v/>
      </c>
      <c r="BU172" s="387" t="str">
        <f t="shared" si="4"/>
        <v/>
      </c>
      <c r="BV172" s="387"/>
      <c r="BW172" s="387" t="b">
        <f t="shared" si="5"/>
        <v>0</v>
      </c>
    </row>
    <row r="173" spans="1:75" ht="15" customHeight="1" x14ac:dyDescent="0.45">
      <c r="A173" s="161"/>
      <c r="B173" s="389"/>
      <c r="C173" s="207"/>
      <c r="D173" s="208"/>
      <c r="E173" s="161"/>
      <c r="F173" s="389"/>
      <c r="G173" s="389"/>
      <c r="H173" s="389"/>
      <c r="I173" s="389"/>
      <c r="J173" s="389"/>
      <c r="K173" s="389"/>
      <c r="L173" s="209"/>
      <c r="M173" s="209"/>
      <c r="N173" s="209"/>
      <c r="O173" s="209"/>
      <c r="P173" s="209"/>
      <c r="Q173" s="161"/>
      <c r="R173" s="390"/>
      <c r="S173" s="390"/>
      <c r="T173" s="161"/>
      <c r="U173" s="389"/>
      <c r="BA173" s="387" t="str">
        <f>IF('Short Circuit'!$A173="","",'Short Circuit'!$A173)</f>
        <v/>
      </c>
      <c r="BB173" s="387" t="str">
        <f>IF($BA173="","",'Short Circuit'!$B173)</f>
        <v/>
      </c>
      <c r="BC173" s="387" t="str">
        <f>IF($BA173="","",'Short Circuit'!$C173)</f>
        <v/>
      </c>
      <c r="BD173" s="387" t="str">
        <f>IF($BA173="","",'Short Circuit'!$D173)</f>
        <v/>
      </c>
      <c r="BE173" s="387" t="str">
        <f>IF($BA173="","",'Short Circuit'!$E173)</f>
        <v/>
      </c>
      <c r="BF173" s="387" t="str">
        <f>IF($BA173="","",IFERROR(_xlfn.XLOOKUP("F-"&amp;$BA173,'Feeder Schedule'!$B$5:$B$254,'Feeder Schedule'!$B$5:$B$254),IFERROR(_xlfn.XLOOKUP($BA173,'Feeder Schedule'!$B$5:$B$254,'Feeder Schedule'!$B$5:$B$254),"")))</f>
        <v/>
      </c>
      <c r="BG173" s="387" t="str">
        <f>IF($BF173="","",IFERROR(_xlfn.XLOOKUP($BF173,'Feeder Schedule'!$B$5:$B$254,'Feeder Schedule'!$A$5:$A$254),""))</f>
        <v/>
      </c>
      <c r="BH173" s="387" t="str">
        <f>IF($BF173="","",IFERROR(_xlfn.XLOOKUP($BF173,'Feeder Schedule'!$B$5:$B$254,'Feeder Schedule'!$O$5:$O$254),""))</f>
        <v/>
      </c>
      <c r="BI173" s="387" t="str">
        <f>IF($BF173="","",IFERROR(_xlfn.XLOOKUP($BF173,'Feeder Schedule'!$B$5:$B$254,'Feeder Schedule'!$P$5:$P$254),""))</f>
        <v/>
      </c>
      <c r="BJ173" s="387" t="str">
        <f>IF($BF173="","",IFERROR(_xlfn.XLOOKUP($BF173,'Feeder Schedule'!$B$5:$B$254,'Feeder Schedule'!$Q$5:$Q$254),""))</f>
        <v/>
      </c>
      <c r="BK173" s="387" t="str">
        <f>IF($BF173="","",IFERROR(_xlfn.XLOOKUP($BF173,'Feeder Schedule'!$B$5:$B$254,'Feeder Schedule'!$S$5:$S$254),""))</f>
        <v/>
      </c>
      <c r="BL173" s="387" t="str">
        <f>IF($BF173="","",IFERROR(_xlfn.XLOOKUP($BF173,'Feeder Schedule'!$B$5:$B$254,'Feeder Schedule'!$H$5:$H$254),""))</f>
        <v/>
      </c>
      <c r="BM173" s="534" t="str">
        <f>IF($BA173="","",'Short Circuit'!$J173)</f>
        <v/>
      </c>
      <c r="BN173" s="534" t="str">
        <f>IF($BA173="","",'Short Circuit'!$Q173)</f>
        <v/>
      </c>
      <c r="BO173" s="387" t="str">
        <f>IF($BA173="","",'Short Circuit'!$R173)</f>
        <v/>
      </c>
      <c r="BP173" s="535" t="str">
        <f>IF($BA173="","",'Short Circuit'!$S173)</f>
        <v/>
      </c>
      <c r="BQ173" s="387" t="str">
        <f>IF($BA173="","",'Short Circuit'!$T173)</f>
        <v/>
      </c>
      <c r="BR173" s="536" t="str">
        <f>IF($BA173="","",'Voltage Drop'!$G173)</f>
        <v/>
      </c>
      <c r="BS173" s="536" t="str">
        <f>IF($BA173="","",'Voltage Drop'!$H173)</f>
        <v/>
      </c>
      <c r="BT173" s="387" t="str">
        <f>IF($BA173="","",'Voltage Drop'!$K173)</f>
        <v/>
      </c>
      <c r="BU173" s="387" t="str">
        <f t="shared" si="4"/>
        <v/>
      </c>
      <c r="BV173" s="387"/>
      <c r="BW173" s="387" t="b">
        <f t="shared" si="5"/>
        <v>0</v>
      </c>
    </row>
    <row r="174" spans="1:75" ht="15" customHeight="1" x14ac:dyDescent="0.45">
      <c r="A174" s="161"/>
      <c r="B174" s="389"/>
      <c r="C174" s="207"/>
      <c r="D174" s="208"/>
      <c r="E174" s="161"/>
      <c r="F174" s="389"/>
      <c r="G174" s="389"/>
      <c r="H174" s="389"/>
      <c r="I174" s="389"/>
      <c r="J174" s="389"/>
      <c r="K174" s="389"/>
      <c r="L174" s="209"/>
      <c r="M174" s="209"/>
      <c r="N174" s="209"/>
      <c r="O174" s="209"/>
      <c r="P174" s="209"/>
      <c r="Q174" s="161"/>
      <c r="R174" s="390"/>
      <c r="S174" s="390"/>
      <c r="T174" s="161"/>
      <c r="U174" s="389"/>
      <c r="BA174" s="387" t="str">
        <f>IF('Short Circuit'!$A174="","",'Short Circuit'!$A174)</f>
        <v/>
      </c>
      <c r="BB174" s="387" t="str">
        <f>IF($BA174="","",'Short Circuit'!$B174)</f>
        <v/>
      </c>
      <c r="BC174" s="387" t="str">
        <f>IF($BA174="","",'Short Circuit'!$C174)</f>
        <v/>
      </c>
      <c r="BD174" s="387" t="str">
        <f>IF($BA174="","",'Short Circuit'!$D174)</f>
        <v/>
      </c>
      <c r="BE174" s="387" t="str">
        <f>IF($BA174="","",'Short Circuit'!$E174)</f>
        <v/>
      </c>
      <c r="BF174" s="387" t="str">
        <f>IF($BA174="","",IFERROR(_xlfn.XLOOKUP("F-"&amp;$BA174,'Feeder Schedule'!$B$5:$B$254,'Feeder Schedule'!$B$5:$B$254),IFERROR(_xlfn.XLOOKUP($BA174,'Feeder Schedule'!$B$5:$B$254,'Feeder Schedule'!$B$5:$B$254),"")))</f>
        <v/>
      </c>
      <c r="BG174" s="387" t="str">
        <f>IF($BF174="","",IFERROR(_xlfn.XLOOKUP($BF174,'Feeder Schedule'!$B$5:$B$254,'Feeder Schedule'!$A$5:$A$254),""))</f>
        <v/>
      </c>
      <c r="BH174" s="387" t="str">
        <f>IF($BF174="","",IFERROR(_xlfn.XLOOKUP($BF174,'Feeder Schedule'!$B$5:$B$254,'Feeder Schedule'!$O$5:$O$254),""))</f>
        <v/>
      </c>
      <c r="BI174" s="387" t="str">
        <f>IF($BF174="","",IFERROR(_xlfn.XLOOKUP($BF174,'Feeder Schedule'!$B$5:$B$254,'Feeder Schedule'!$P$5:$P$254),""))</f>
        <v/>
      </c>
      <c r="BJ174" s="387" t="str">
        <f>IF($BF174="","",IFERROR(_xlfn.XLOOKUP($BF174,'Feeder Schedule'!$B$5:$B$254,'Feeder Schedule'!$Q$5:$Q$254),""))</f>
        <v/>
      </c>
      <c r="BK174" s="387" t="str">
        <f>IF($BF174="","",IFERROR(_xlfn.XLOOKUP($BF174,'Feeder Schedule'!$B$5:$B$254,'Feeder Schedule'!$S$5:$S$254),""))</f>
        <v/>
      </c>
      <c r="BL174" s="387" t="str">
        <f>IF($BF174="","",IFERROR(_xlfn.XLOOKUP($BF174,'Feeder Schedule'!$B$5:$B$254,'Feeder Schedule'!$H$5:$H$254),""))</f>
        <v/>
      </c>
      <c r="BM174" s="534" t="str">
        <f>IF($BA174="","",'Short Circuit'!$J174)</f>
        <v/>
      </c>
      <c r="BN174" s="534" t="str">
        <f>IF($BA174="","",'Short Circuit'!$Q174)</f>
        <v/>
      </c>
      <c r="BO174" s="387" t="str">
        <f>IF($BA174="","",'Short Circuit'!$R174)</f>
        <v/>
      </c>
      <c r="BP174" s="535" t="str">
        <f>IF($BA174="","",'Short Circuit'!$S174)</f>
        <v/>
      </c>
      <c r="BQ174" s="387" t="str">
        <f>IF($BA174="","",'Short Circuit'!$T174)</f>
        <v/>
      </c>
      <c r="BR174" s="536" t="str">
        <f>IF($BA174="","",'Voltage Drop'!$G174)</f>
        <v/>
      </c>
      <c r="BS174" s="536" t="str">
        <f>IF($BA174="","",'Voltage Drop'!$H174)</f>
        <v/>
      </c>
      <c r="BT174" s="387" t="str">
        <f>IF($BA174="","",'Voltage Drop'!$K174)</f>
        <v/>
      </c>
      <c r="BU174" s="387" t="str">
        <f t="shared" si="4"/>
        <v/>
      </c>
      <c r="BV174" s="387"/>
      <c r="BW174" s="387" t="b">
        <f t="shared" si="5"/>
        <v>0</v>
      </c>
    </row>
    <row r="175" spans="1:75" ht="15" customHeight="1" x14ac:dyDescent="0.45">
      <c r="A175" s="161"/>
      <c r="B175" s="389"/>
      <c r="C175" s="207"/>
      <c r="D175" s="208"/>
      <c r="E175" s="161"/>
      <c r="F175" s="389"/>
      <c r="G175" s="389"/>
      <c r="H175" s="389"/>
      <c r="I175" s="389"/>
      <c r="J175" s="389"/>
      <c r="K175" s="389"/>
      <c r="L175" s="209"/>
      <c r="M175" s="209"/>
      <c r="N175" s="209"/>
      <c r="O175" s="209"/>
      <c r="P175" s="209"/>
      <c r="Q175" s="161"/>
      <c r="R175" s="390"/>
      <c r="S175" s="390"/>
      <c r="T175" s="161"/>
      <c r="U175" s="389"/>
      <c r="BA175" s="387" t="str">
        <f>IF('Short Circuit'!$A175="","",'Short Circuit'!$A175)</f>
        <v/>
      </c>
      <c r="BB175" s="387" t="str">
        <f>IF($BA175="","",'Short Circuit'!$B175)</f>
        <v/>
      </c>
      <c r="BC175" s="387" t="str">
        <f>IF($BA175="","",'Short Circuit'!$C175)</f>
        <v/>
      </c>
      <c r="BD175" s="387" t="str">
        <f>IF($BA175="","",'Short Circuit'!$D175)</f>
        <v/>
      </c>
      <c r="BE175" s="387" t="str">
        <f>IF($BA175="","",'Short Circuit'!$E175)</f>
        <v/>
      </c>
      <c r="BF175" s="387" t="str">
        <f>IF($BA175="","",IFERROR(_xlfn.XLOOKUP("F-"&amp;$BA175,'Feeder Schedule'!$B$5:$B$254,'Feeder Schedule'!$B$5:$B$254),IFERROR(_xlfn.XLOOKUP($BA175,'Feeder Schedule'!$B$5:$B$254,'Feeder Schedule'!$B$5:$B$254),"")))</f>
        <v/>
      </c>
      <c r="BG175" s="387" t="str">
        <f>IF($BF175="","",IFERROR(_xlfn.XLOOKUP($BF175,'Feeder Schedule'!$B$5:$B$254,'Feeder Schedule'!$A$5:$A$254),""))</f>
        <v/>
      </c>
      <c r="BH175" s="387" t="str">
        <f>IF($BF175="","",IFERROR(_xlfn.XLOOKUP($BF175,'Feeder Schedule'!$B$5:$B$254,'Feeder Schedule'!$O$5:$O$254),""))</f>
        <v/>
      </c>
      <c r="BI175" s="387" t="str">
        <f>IF($BF175="","",IFERROR(_xlfn.XLOOKUP($BF175,'Feeder Schedule'!$B$5:$B$254,'Feeder Schedule'!$P$5:$P$254),""))</f>
        <v/>
      </c>
      <c r="BJ175" s="387" t="str">
        <f>IF($BF175="","",IFERROR(_xlfn.XLOOKUP($BF175,'Feeder Schedule'!$B$5:$B$254,'Feeder Schedule'!$Q$5:$Q$254),""))</f>
        <v/>
      </c>
      <c r="BK175" s="387" t="str">
        <f>IF($BF175="","",IFERROR(_xlfn.XLOOKUP($BF175,'Feeder Schedule'!$B$5:$B$254,'Feeder Schedule'!$S$5:$S$254),""))</f>
        <v/>
      </c>
      <c r="BL175" s="387" t="str">
        <f>IF($BF175="","",IFERROR(_xlfn.XLOOKUP($BF175,'Feeder Schedule'!$B$5:$B$254,'Feeder Schedule'!$H$5:$H$254),""))</f>
        <v/>
      </c>
      <c r="BM175" s="534" t="str">
        <f>IF($BA175="","",'Short Circuit'!$J175)</f>
        <v/>
      </c>
      <c r="BN175" s="534" t="str">
        <f>IF($BA175="","",'Short Circuit'!$Q175)</f>
        <v/>
      </c>
      <c r="BO175" s="387" t="str">
        <f>IF($BA175="","",'Short Circuit'!$R175)</f>
        <v/>
      </c>
      <c r="BP175" s="535" t="str">
        <f>IF($BA175="","",'Short Circuit'!$S175)</f>
        <v/>
      </c>
      <c r="BQ175" s="387" t="str">
        <f>IF($BA175="","",'Short Circuit'!$T175)</f>
        <v/>
      </c>
      <c r="BR175" s="536" t="str">
        <f>IF($BA175="","",'Voltage Drop'!$G175)</f>
        <v/>
      </c>
      <c r="BS175" s="536" t="str">
        <f>IF($BA175="","",'Voltage Drop'!$H175)</f>
        <v/>
      </c>
      <c r="BT175" s="387" t="str">
        <f>IF($BA175="","",'Voltage Drop'!$K175)</f>
        <v/>
      </c>
      <c r="BU175" s="387" t="str">
        <f t="shared" si="4"/>
        <v/>
      </c>
      <c r="BV175" s="387"/>
      <c r="BW175" s="387" t="b">
        <f t="shared" si="5"/>
        <v>0</v>
      </c>
    </row>
    <row r="176" spans="1:75" ht="15" customHeight="1" x14ac:dyDescent="0.45">
      <c r="A176" s="161"/>
      <c r="B176" s="389"/>
      <c r="C176" s="207"/>
      <c r="D176" s="208"/>
      <c r="E176" s="161"/>
      <c r="F176" s="389"/>
      <c r="G176" s="389"/>
      <c r="H176" s="389"/>
      <c r="I176" s="389"/>
      <c r="J176" s="389"/>
      <c r="K176" s="389"/>
      <c r="L176" s="209"/>
      <c r="M176" s="209"/>
      <c r="N176" s="209"/>
      <c r="O176" s="209"/>
      <c r="P176" s="209"/>
      <c r="Q176" s="161"/>
      <c r="R176" s="390"/>
      <c r="S176" s="390"/>
      <c r="T176" s="161"/>
      <c r="U176" s="389"/>
      <c r="BA176" s="387" t="str">
        <f>IF('Short Circuit'!$A176="","",'Short Circuit'!$A176)</f>
        <v/>
      </c>
      <c r="BB176" s="387" t="str">
        <f>IF($BA176="","",'Short Circuit'!$B176)</f>
        <v/>
      </c>
      <c r="BC176" s="387" t="str">
        <f>IF($BA176="","",'Short Circuit'!$C176)</f>
        <v/>
      </c>
      <c r="BD176" s="387" t="str">
        <f>IF($BA176="","",'Short Circuit'!$D176)</f>
        <v/>
      </c>
      <c r="BE176" s="387" t="str">
        <f>IF($BA176="","",'Short Circuit'!$E176)</f>
        <v/>
      </c>
      <c r="BF176" s="387" t="str">
        <f>IF($BA176="","",IFERROR(_xlfn.XLOOKUP("F-"&amp;$BA176,'Feeder Schedule'!$B$5:$B$254,'Feeder Schedule'!$B$5:$B$254),IFERROR(_xlfn.XLOOKUP($BA176,'Feeder Schedule'!$B$5:$B$254,'Feeder Schedule'!$B$5:$B$254),"")))</f>
        <v/>
      </c>
      <c r="BG176" s="387" t="str">
        <f>IF($BF176="","",IFERROR(_xlfn.XLOOKUP($BF176,'Feeder Schedule'!$B$5:$B$254,'Feeder Schedule'!$A$5:$A$254),""))</f>
        <v/>
      </c>
      <c r="BH176" s="387" t="str">
        <f>IF($BF176="","",IFERROR(_xlfn.XLOOKUP($BF176,'Feeder Schedule'!$B$5:$B$254,'Feeder Schedule'!$O$5:$O$254),""))</f>
        <v/>
      </c>
      <c r="BI176" s="387" t="str">
        <f>IF($BF176="","",IFERROR(_xlfn.XLOOKUP($BF176,'Feeder Schedule'!$B$5:$B$254,'Feeder Schedule'!$P$5:$P$254),""))</f>
        <v/>
      </c>
      <c r="BJ176" s="387" t="str">
        <f>IF($BF176="","",IFERROR(_xlfn.XLOOKUP($BF176,'Feeder Schedule'!$B$5:$B$254,'Feeder Schedule'!$Q$5:$Q$254),""))</f>
        <v/>
      </c>
      <c r="BK176" s="387" t="str">
        <f>IF($BF176="","",IFERROR(_xlfn.XLOOKUP($BF176,'Feeder Schedule'!$B$5:$B$254,'Feeder Schedule'!$S$5:$S$254),""))</f>
        <v/>
      </c>
      <c r="BL176" s="387" t="str">
        <f>IF($BF176="","",IFERROR(_xlfn.XLOOKUP($BF176,'Feeder Schedule'!$B$5:$B$254,'Feeder Schedule'!$H$5:$H$254),""))</f>
        <v/>
      </c>
      <c r="BM176" s="534" t="str">
        <f>IF($BA176="","",'Short Circuit'!$J176)</f>
        <v/>
      </c>
      <c r="BN176" s="534" t="str">
        <f>IF($BA176="","",'Short Circuit'!$Q176)</f>
        <v/>
      </c>
      <c r="BO176" s="387" t="str">
        <f>IF($BA176="","",'Short Circuit'!$R176)</f>
        <v/>
      </c>
      <c r="BP176" s="535" t="str">
        <f>IF($BA176="","",'Short Circuit'!$S176)</f>
        <v/>
      </c>
      <c r="BQ176" s="387" t="str">
        <f>IF($BA176="","",'Short Circuit'!$T176)</f>
        <v/>
      </c>
      <c r="BR176" s="536" t="str">
        <f>IF($BA176="","",'Voltage Drop'!$G176)</f>
        <v/>
      </c>
      <c r="BS176" s="536" t="str">
        <f>IF($BA176="","",'Voltage Drop'!$H176)</f>
        <v/>
      </c>
      <c r="BT176" s="387" t="str">
        <f>IF($BA176="","",'Voltage Drop'!$K176)</f>
        <v/>
      </c>
      <c r="BU176" s="387" t="str">
        <f t="shared" si="4"/>
        <v/>
      </c>
      <c r="BV176" s="387"/>
      <c r="BW176" s="387" t="b">
        <f t="shared" si="5"/>
        <v>0</v>
      </c>
    </row>
    <row r="177" spans="1:75" ht="15" customHeight="1" x14ac:dyDescent="0.45">
      <c r="A177" s="161"/>
      <c r="B177" s="389"/>
      <c r="C177" s="207"/>
      <c r="D177" s="208"/>
      <c r="E177" s="161"/>
      <c r="F177" s="389"/>
      <c r="G177" s="389"/>
      <c r="H177" s="389"/>
      <c r="I177" s="389"/>
      <c r="J177" s="389"/>
      <c r="K177" s="389"/>
      <c r="L177" s="209"/>
      <c r="M177" s="209"/>
      <c r="N177" s="209"/>
      <c r="O177" s="209"/>
      <c r="P177" s="209"/>
      <c r="Q177" s="161"/>
      <c r="R177" s="390"/>
      <c r="S177" s="390"/>
      <c r="T177" s="161"/>
      <c r="U177" s="389"/>
      <c r="BA177" s="387" t="str">
        <f>IF('Short Circuit'!$A177="","",'Short Circuit'!$A177)</f>
        <v/>
      </c>
      <c r="BB177" s="387" t="str">
        <f>IF($BA177="","",'Short Circuit'!$B177)</f>
        <v/>
      </c>
      <c r="BC177" s="387" t="str">
        <f>IF($BA177="","",'Short Circuit'!$C177)</f>
        <v/>
      </c>
      <c r="BD177" s="387" t="str">
        <f>IF($BA177="","",'Short Circuit'!$D177)</f>
        <v/>
      </c>
      <c r="BE177" s="387" t="str">
        <f>IF($BA177="","",'Short Circuit'!$E177)</f>
        <v/>
      </c>
      <c r="BF177" s="387" t="str">
        <f>IF($BA177="","",IFERROR(_xlfn.XLOOKUP("F-"&amp;$BA177,'Feeder Schedule'!$B$5:$B$254,'Feeder Schedule'!$B$5:$B$254),IFERROR(_xlfn.XLOOKUP($BA177,'Feeder Schedule'!$B$5:$B$254,'Feeder Schedule'!$B$5:$B$254),"")))</f>
        <v/>
      </c>
      <c r="BG177" s="387" t="str">
        <f>IF($BF177="","",IFERROR(_xlfn.XLOOKUP($BF177,'Feeder Schedule'!$B$5:$B$254,'Feeder Schedule'!$A$5:$A$254),""))</f>
        <v/>
      </c>
      <c r="BH177" s="387" t="str">
        <f>IF($BF177="","",IFERROR(_xlfn.XLOOKUP($BF177,'Feeder Schedule'!$B$5:$B$254,'Feeder Schedule'!$O$5:$O$254),""))</f>
        <v/>
      </c>
      <c r="BI177" s="387" t="str">
        <f>IF($BF177="","",IFERROR(_xlfn.XLOOKUP($BF177,'Feeder Schedule'!$B$5:$B$254,'Feeder Schedule'!$P$5:$P$254),""))</f>
        <v/>
      </c>
      <c r="BJ177" s="387" t="str">
        <f>IF($BF177="","",IFERROR(_xlfn.XLOOKUP($BF177,'Feeder Schedule'!$B$5:$B$254,'Feeder Schedule'!$Q$5:$Q$254),""))</f>
        <v/>
      </c>
      <c r="BK177" s="387" t="str">
        <f>IF($BF177="","",IFERROR(_xlfn.XLOOKUP($BF177,'Feeder Schedule'!$B$5:$B$254,'Feeder Schedule'!$S$5:$S$254),""))</f>
        <v/>
      </c>
      <c r="BL177" s="387" t="str">
        <f>IF($BF177="","",IFERROR(_xlfn.XLOOKUP($BF177,'Feeder Schedule'!$B$5:$B$254,'Feeder Schedule'!$H$5:$H$254),""))</f>
        <v/>
      </c>
      <c r="BM177" s="534" t="str">
        <f>IF($BA177="","",'Short Circuit'!$J177)</f>
        <v/>
      </c>
      <c r="BN177" s="534" t="str">
        <f>IF($BA177="","",'Short Circuit'!$Q177)</f>
        <v/>
      </c>
      <c r="BO177" s="387" t="str">
        <f>IF($BA177="","",'Short Circuit'!$R177)</f>
        <v/>
      </c>
      <c r="BP177" s="535" t="str">
        <f>IF($BA177="","",'Short Circuit'!$S177)</f>
        <v/>
      </c>
      <c r="BQ177" s="387" t="str">
        <f>IF($BA177="","",'Short Circuit'!$T177)</f>
        <v/>
      </c>
      <c r="BR177" s="536" t="str">
        <f>IF($BA177="","",'Voltage Drop'!$G177)</f>
        <v/>
      </c>
      <c r="BS177" s="536" t="str">
        <f>IF($BA177="","",'Voltage Drop'!$H177)</f>
        <v/>
      </c>
      <c r="BT177" s="387" t="str">
        <f>IF($BA177="","",'Voltage Drop'!$K177)</f>
        <v/>
      </c>
      <c r="BU177" s="387" t="str">
        <f t="shared" si="4"/>
        <v/>
      </c>
      <c r="BV177" s="387"/>
      <c r="BW177" s="387" t="b">
        <f t="shared" si="5"/>
        <v>0</v>
      </c>
    </row>
    <row r="178" spans="1:75" ht="15" customHeight="1" x14ac:dyDescent="0.45">
      <c r="A178" s="161"/>
      <c r="B178" s="389"/>
      <c r="C178" s="207"/>
      <c r="D178" s="208"/>
      <c r="E178" s="161"/>
      <c r="F178" s="389"/>
      <c r="G178" s="389"/>
      <c r="H178" s="389"/>
      <c r="I178" s="389"/>
      <c r="J178" s="389"/>
      <c r="K178" s="389"/>
      <c r="L178" s="209"/>
      <c r="M178" s="209"/>
      <c r="N178" s="209"/>
      <c r="O178" s="209"/>
      <c r="P178" s="209"/>
      <c r="Q178" s="161"/>
      <c r="R178" s="390"/>
      <c r="S178" s="390"/>
      <c r="T178" s="161"/>
      <c r="U178" s="389"/>
      <c r="BA178" s="387" t="str">
        <f>IF('Short Circuit'!$A178="","",'Short Circuit'!$A178)</f>
        <v/>
      </c>
      <c r="BB178" s="387" t="str">
        <f>IF($BA178="","",'Short Circuit'!$B178)</f>
        <v/>
      </c>
      <c r="BC178" s="387" t="str">
        <f>IF($BA178="","",'Short Circuit'!$C178)</f>
        <v/>
      </c>
      <c r="BD178" s="387" t="str">
        <f>IF($BA178="","",'Short Circuit'!$D178)</f>
        <v/>
      </c>
      <c r="BE178" s="387" t="str">
        <f>IF($BA178="","",'Short Circuit'!$E178)</f>
        <v/>
      </c>
      <c r="BF178" s="387" t="str">
        <f>IF($BA178="","",IFERROR(_xlfn.XLOOKUP("F-"&amp;$BA178,'Feeder Schedule'!$B$5:$B$254,'Feeder Schedule'!$B$5:$B$254),IFERROR(_xlfn.XLOOKUP($BA178,'Feeder Schedule'!$B$5:$B$254,'Feeder Schedule'!$B$5:$B$254),"")))</f>
        <v/>
      </c>
      <c r="BG178" s="387" t="str">
        <f>IF($BF178="","",IFERROR(_xlfn.XLOOKUP($BF178,'Feeder Schedule'!$B$5:$B$254,'Feeder Schedule'!$A$5:$A$254),""))</f>
        <v/>
      </c>
      <c r="BH178" s="387" t="str">
        <f>IF($BF178="","",IFERROR(_xlfn.XLOOKUP($BF178,'Feeder Schedule'!$B$5:$B$254,'Feeder Schedule'!$O$5:$O$254),""))</f>
        <v/>
      </c>
      <c r="BI178" s="387" t="str">
        <f>IF($BF178="","",IFERROR(_xlfn.XLOOKUP($BF178,'Feeder Schedule'!$B$5:$B$254,'Feeder Schedule'!$P$5:$P$254),""))</f>
        <v/>
      </c>
      <c r="BJ178" s="387" t="str">
        <f>IF($BF178="","",IFERROR(_xlfn.XLOOKUP($BF178,'Feeder Schedule'!$B$5:$B$254,'Feeder Schedule'!$Q$5:$Q$254),""))</f>
        <v/>
      </c>
      <c r="BK178" s="387" t="str">
        <f>IF($BF178="","",IFERROR(_xlfn.XLOOKUP($BF178,'Feeder Schedule'!$B$5:$B$254,'Feeder Schedule'!$S$5:$S$254),""))</f>
        <v/>
      </c>
      <c r="BL178" s="387" t="str">
        <f>IF($BF178="","",IFERROR(_xlfn.XLOOKUP($BF178,'Feeder Schedule'!$B$5:$B$254,'Feeder Schedule'!$H$5:$H$254),""))</f>
        <v/>
      </c>
      <c r="BM178" s="534" t="str">
        <f>IF($BA178="","",'Short Circuit'!$J178)</f>
        <v/>
      </c>
      <c r="BN178" s="534" t="str">
        <f>IF($BA178="","",'Short Circuit'!$Q178)</f>
        <v/>
      </c>
      <c r="BO178" s="387" t="str">
        <f>IF($BA178="","",'Short Circuit'!$R178)</f>
        <v/>
      </c>
      <c r="BP178" s="535" t="str">
        <f>IF($BA178="","",'Short Circuit'!$S178)</f>
        <v/>
      </c>
      <c r="BQ178" s="387" t="str">
        <f>IF($BA178="","",'Short Circuit'!$T178)</f>
        <v/>
      </c>
      <c r="BR178" s="536" t="str">
        <f>IF($BA178="","",'Voltage Drop'!$G178)</f>
        <v/>
      </c>
      <c r="BS178" s="536" t="str">
        <f>IF($BA178="","",'Voltage Drop'!$H178)</f>
        <v/>
      </c>
      <c r="BT178" s="387" t="str">
        <f>IF($BA178="","",'Voltage Drop'!$K178)</f>
        <v/>
      </c>
      <c r="BU178" s="387" t="str">
        <f t="shared" si="4"/>
        <v/>
      </c>
      <c r="BV178" s="387"/>
      <c r="BW178" s="387" t="b">
        <f t="shared" si="5"/>
        <v>0</v>
      </c>
    </row>
    <row r="179" spans="1:75" ht="15" customHeight="1" x14ac:dyDescent="0.45">
      <c r="A179" s="161"/>
      <c r="B179" s="389"/>
      <c r="C179" s="207"/>
      <c r="D179" s="208"/>
      <c r="E179" s="161"/>
      <c r="F179" s="389"/>
      <c r="G179" s="389"/>
      <c r="H179" s="389"/>
      <c r="I179" s="389"/>
      <c r="J179" s="389"/>
      <c r="K179" s="389"/>
      <c r="L179" s="209"/>
      <c r="M179" s="209"/>
      <c r="N179" s="209"/>
      <c r="O179" s="209"/>
      <c r="P179" s="209"/>
      <c r="Q179" s="161"/>
      <c r="R179" s="390"/>
      <c r="S179" s="390"/>
      <c r="T179" s="161"/>
      <c r="U179" s="389"/>
      <c r="BA179" s="387" t="str">
        <f>IF('Short Circuit'!$A179="","",'Short Circuit'!$A179)</f>
        <v/>
      </c>
      <c r="BB179" s="387" t="str">
        <f>IF($BA179="","",'Short Circuit'!$B179)</f>
        <v/>
      </c>
      <c r="BC179" s="387" t="str">
        <f>IF($BA179="","",'Short Circuit'!$C179)</f>
        <v/>
      </c>
      <c r="BD179" s="387" t="str">
        <f>IF($BA179="","",'Short Circuit'!$D179)</f>
        <v/>
      </c>
      <c r="BE179" s="387" t="str">
        <f>IF($BA179="","",'Short Circuit'!$E179)</f>
        <v/>
      </c>
      <c r="BF179" s="387" t="str">
        <f>IF($BA179="","",IFERROR(_xlfn.XLOOKUP("F-"&amp;$BA179,'Feeder Schedule'!$B$5:$B$254,'Feeder Schedule'!$B$5:$B$254),IFERROR(_xlfn.XLOOKUP($BA179,'Feeder Schedule'!$B$5:$B$254,'Feeder Schedule'!$B$5:$B$254),"")))</f>
        <v/>
      </c>
      <c r="BG179" s="387" t="str">
        <f>IF($BF179="","",IFERROR(_xlfn.XLOOKUP($BF179,'Feeder Schedule'!$B$5:$B$254,'Feeder Schedule'!$A$5:$A$254),""))</f>
        <v/>
      </c>
      <c r="BH179" s="387" t="str">
        <f>IF($BF179="","",IFERROR(_xlfn.XLOOKUP($BF179,'Feeder Schedule'!$B$5:$B$254,'Feeder Schedule'!$O$5:$O$254),""))</f>
        <v/>
      </c>
      <c r="BI179" s="387" t="str">
        <f>IF($BF179="","",IFERROR(_xlfn.XLOOKUP($BF179,'Feeder Schedule'!$B$5:$B$254,'Feeder Schedule'!$P$5:$P$254),""))</f>
        <v/>
      </c>
      <c r="BJ179" s="387" t="str">
        <f>IF($BF179="","",IFERROR(_xlfn.XLOOKUP($BF179,'Feeder Schedule'!$B$5:$B$254,'Feeder Schedule'!$Q$5:$Q$254),""))</f>
        <v/>
      </c>
      <c r="BK179" s="387" t="str">
        <f>IF($BF179="","",IFERROR(_xlfn.XLOOKUP($BF179,'Feeder Schedule'!$B$5:$B$254,'Feeder Schedule'!$S$5:$S$254),""))</f>
        <v/>
      </c>
      <c r="BL179" s="387" t="str">
        <f>IF($BF179="","",IFERROR(_xlfn.XLOOKUP($BF179,'Feeder Schedule'!$B$5:$B$254,'Feeder Schedule'!$H$5:$H$254),""))</f>
        <v/>
      </c>
      <c r="BM179" s="534" t="str">
        <f>IF($BA179="","",'Short Circuit'!$J179)</f>
        <v/>
      </c>
      <c r="BN179" s="534" t="str">
        <f>IF($BA179="","",'Short Circuit'!$Q179)</f>
        <v/>
      </c>
      <c r="BO179" s="387" t="str">
        <f>IF($BA179="","",'Short Circuit'!$R179)</f>
        <v/>
      </c>
      <c r="BP179" s="535" t="str">
        <f>IF($BA179="","",'Short Circuit'!$S179)</f>
        <v/>
      </c>
      <c r="BQ179" s="387" t="str">
        <f>IF($BA179="","",'Short Circuit'!$T179)</f>
        <v/>
      </c>
      <c r="BR179" s="536" t="str">
        <f>IF($BA179="","",'Voltage Drop'!$G179)</f>
        <v/>
      </c>
      <c r="BS179" s="536" t="str">
        <f>IF($BA179="","",'Voltage Drop'!$H179)</f>
        <v/>
      </c>
      <c r="BT179" s="387" t="str">
        <f>IF($BA179="","",'Voltage Drop'!$K179)</f>
        <v/>
      </c>
      <c r="BU179" s="387" t="str">
        <f t="shared" si="4"/>
        <v/>
      </c>
      <c r="BV179" s="387"/>
      <c r="BW179" s="387" t="b">
        <f t="shared" si="5"/>
        <v>0</v>
      </c>
    </row>
    <row r="180" spans="1:75" ht="15" customHeight="1" x14ac:dyDescent="0.45">
      <c r="A180" s="161"/>
      <c r="B180" s="389"/>
      <c r="C180" s="207"/>
      <c r="D180" s="208"/>
      <c r="E180" s="161"/>
      <c r="F180" s="389"/>
      <c r="G180" s="389"/>
      <c r="H180" s="389"/>
      <c r="I180" s="389"/>
      <c r="J180" s="389"/>
      <c r="K180" s="389"/>
      <c r="L180" s="209"/>
      <c r="M180" s="209"/>
      <c r="N180" s="209"/>
      <c r="O180" s="209"/>
      <c r="P180" s="209"/>
      <c r="Q180" s="161"/>
      <c r="R180" s="390"/>
      <c r="S180" s="390"/>
      <c r="T180" s="161"/>
      <c r="U180" s="389"/>
      <c r="BA180" s="387" t="str">
        <f>IF('Short Circuit'!$A180="","",'Short Circuit'!$A180)</f>
        <v/>
      </c>
      <c r="BB180" s="387" t="str">
        <f>IF($BA180="","",'Short Circuit'!$B180)</f>
        <v/>
      </c>
      <c r="BC180" s="387" t="str">
        <f>IF($BA180="","",'Short Circuit'!$C180)</f>
        <v/>
      </c>
      <c r="BD180" s="387" t="str">
        <f>IF($BA180="","",'Short Circuit'!$D180)</f>
        <v/>
      </c>
      <c r="BE180" s="387" t="str">
        <f>IF($BA180="","",'Short Circuit'!$E180)</f>
        <v/>
      </c>
      <c r="BF180" s="387" t="str">
        <f>IF($BA180="","",IFERROR(_xlfn.XLOOKUP("F-"&amp;$BA180,'Feeder Schedule'!$B$5:$B$254,'Feeder Schedule'!$B$5:$B$254),IFERROR(_xlfn.XLOOKUP($BA180,'Feeder Schedule'!$B$5:$B$254,'Feeder Schedule'!$B$5:$B$254),"")))</f>
        <v/>
      </c>
      <c r="BG180" s="387" t="str">
        <f>IF($BF180="","",IFERROR(_xlfn.XLOOKUP($BF180,'Feeder Schedule'!$B$5:$B$254,'Feeder Schedule'!$A$5:$A$254),""))</f>
        <v/>
      </c>
      <c r="BH180" s="387" t="str">
        <f>IF($BF180="","",IFERROR(_xlfn.XLOOKUP($BF180,'Feeder Schedule'!$B$5:$B$254,'Feeder Schedule'!$O$5:$O$254),""))</f>
        <v/>
      </c>
      <c r="BI180" s="387" t="str">
        <f>IF($BF180="","",IFERROR(_xlfn.XLOOKUP($BF180,'Feeder Schedule'!$B$5:$B$254,'Feeder Schedule'!$P$5:$P$254),""))</f>
        <v/>
      </c>
      <c r="BJ180" s="387" t="str">
        <f>IF($BF180="","",IFERROR(_xlfn.XLOOKUP($BF180,'Feeder Schedule'!$B$5:$B$254,'Feeder Schedule'!$Q$5:$Q$254),""))</f>
        <v/>
      </c>
      <c r="BK180" s="387" t="str">
        <f>IF($BF180="","",IFERROR(_xlfn.XLOOKUP($BF180,'Feeder Schedule'!$B$5:$B$254,'Feeder Schedule'!$S$5:$S$254),""))</f>
        <v/>
      </c>
      <c r="BL180" s="387" t="str">
        <f>IF($BF180="","",IFERROR(_xlfn.XLOOKUP($BF180,'Feeder Schedule'!$B$5:$B$254,'Feeder Schedule'!$H$5:$H$254),""))</f>
        <v/>
      </c>
      <c r="BM180" s="534" t="str">
        <f>IF($BA180="","",'Short Circuit'!$J180)</f>
        <v/>
      </c>
      <c r="BN180" s="534" t="str">
        <f>IF($BA180="","",'Short Circuit'!$Q180)</f>
        <v/>
      </c>
      <c r="BO180" s="387" t="str">
        <f>IF($BA180="","",'Short Circuit'!$R180)</f>
        <v/>
      </c>
      <c r="BP180" s="535" t="str">
        <f>IF($BA180="","",'Short Circuit'!$S180)</f>
        <v/>
      </c>
      <c r="BQ180" s="387" t="str">
        <f>IF($BA180="","",'Short Circuit'!$T180)</f>
        <v/>
      </c>
      <c r="BR180" s="536" t="str">
        <f>IF($BA180="","",'Voltage Drop'!$G180)</f>
        <v/>
      </c>
      <c r="BS180" s="536" t="str">
        <f>IF($BA180="","",'Voltage Drop'!$H180)</f>
        <v/>
      </c>
      <c r="BT180" s="387" t="str">
        <f>IF($BA180="","",'Voltage Drop'!$K180)</f>
        <v/>
      </c>
      <c r="BU180" s="387" t="str">
        <f t="shared" si="4"/>
        <v/>
      </c>
      <c r="BV180" s="387"/>
      <c r="BW180" s="387" t="b">
        <f t="shared" si="5"/>
        <v>0</v>
      </c>
    </row>
    <row r="181" spans="1:75" ht="15" customHeight="1" x14ac:dyDescent="0.45">
      <c r="A181" s="161"/>
      <c r="B181" s="389"/>
      <c r="C181" s="207"/>
      <c r="D181" s="208"/>
      <c r="E181" s="161"/>
      <c r="F181" s="389"/>
      <c r="G181" s="389"/>
      <c r="H181" s="389"/>
      <c r="I181" s="389"/>
      <c r="J181" s="389"/>
      <c r="K181" s="389"/>
      <c r="L181" s="209"/>
      <c r="M181" s="209"/>
      <c r="N181" s="209"/>
      <c r="O181" s="209"/>
      <c r="P181" s="209"/>
      <c r="Q181" s="161"/>
      <c r="R181" s="390"/>
      <c r="S181" s="390"/>
      <c r="T181" s="161"/>
      <c r="U181" s="389"/>
      <c r="BA181" s="387" t="str">
        <f>IF('Short Circuit'!$A181="","",'Short Circuit'!$A181)</f>
        <v/>
      </c>
      <c r="BB181" s="387" t="str">
        <f>IF($BA181="","",'Short Circuit'!$B181)</f>
        <v/>
      </c>
      <c r="BC181" s="387" t="str">
        <f>IF($BA181="","",'Short Circuit'!$C181)</f>
        <v/>
      </c>
      <c r="BD181" s="387" t="str">
        <f>IF($BA181="","",'Short Circuit'!$D181)</f>
        <v/>
      </c>
      <c r="BE181" s="387" t="str">
        <f>IF($BA181="","",'Short Circuit'!$E181)</f>
        <v/>
      </c>
      <c r="BF181" s="387" t="str">
        <f>IF($BA181="","",IFERROR(_xlfn.XLOOKUP("F-"&amp;$BA181,'Feeder Schedule'!$B$5:$B$254,'Feeder Schedule'!$B$5:$B$254),IFERROR(_xlfn.XLOOKUP($BA181,'Feeder Schedule'!$B$5:$B$254,'Feeder Schedule'!$B$5:$B$254),"")))</f>
        <v/>
      </c>
      <c r="BG181" s="387" t="str">
        <f>IF($BF181="","",IFERROR(_xlfn.XLOOKUP($BF181,'Feeder Schedule'!$B$5:$B$254,'Feeder Schedule'!$A$5:$A$254),""))</f>
        <v/>
      </c>
      <c r="BH181" s="387" t="str">
        <f>IF($BF181="","",IFERROR(_xlfn.XLOOKUP($BF181,'Feeder Schedule'!$B$5:$B$254,'Feeder Schedule'!$O$5:$O$254),""))</f>
        <v/>
      </c>
      <c r="BI181" s="387" t="str">
        <f>IF($BF181="","",IFERROR(_xlfn.XLOOKUP($BF181,'Feeder Schedule'!$B$5:$B$254,'Feeder Schedule'!$P$5:$P$254),""))</f>
        <v/>
      </c>
      <c r="BJ181" s="387" t="str">
        <f>IF($BF181="","",IFERROR(_xlfn.XLOOKUP($BF181,'Feeder Schedule'!$B$5:$B$254,'Feeder Schedule'!$Q$5:$Q$254),""))</f>
        <v/>
      </c>
      <c r="BK181" s="387" t="str">
        <f>IF($BF181="","",IFERROR(_xlfn.XLOOKUP($BF181,'Feeder Schedule'!$B$5:$B$254,'Feeder Schedule'!$S$5:$S$254),""))</f>
        <v/>
      </c>
      <c r="BL181" s="387" t="str">
        <f>IF($BF181="","",IFERROR(_xlfn.XLOOKUP($BF181,'Feeder Schedule'!$B$5:$B$254,'Feeder Schedule'!$H$5:$H$254),""))</f>
        <v/>
      </c>
      <c r="BM181" s="534" t="str">
        <f>IF($BA181="","",'Short Circuit'!$J181)</f>
        <v/>
      </c>
      <c r="BN181" s="534" t="str">
        <f>IF($BA181="","",'Short Circuit'!$Q181)</f>
        <v/>
      </c>
      <c r="BO181" s="387" t="str">
        <f>IF($BA181="","",'Short Circuit'!$R181)</f>
        <v/>
      </c>
      <c r="BP181" s="535" t="str">
        <f>IF($BA181="","",'Short Circuit'!$S181)</f>
        <v/>
      </c>
      <c r="BQ181" s="387" t="str">
        <f>IF($BA181="","",'Short Circuit'!$T181)</f>
        <v/>
      </c>
      <c r="BR181" s="536" t="str">
        <f>IF($BA181="","",'Voltage Drop'!$G181)</f>
        <v/>
      </c>
      <c r="BS181" s="536" t="str">
        <f>IF($BA181="","",'Voltage Drop'!$H181)</f>
        <v/>
      </c>
      <c r="BT181" s="387" t="str">
        <f>IF($BA181="","",'Voltage Drop'!$K181)</f>
        <v/>
      </c>
      <c r="BU181" s="387" t="str">
        <f t="shared" si="4"/>
        <v/>
      </c>
      <c r="BV181" s="387"/>
      <c r="BW181" s="387" t="b">
        <f t="shared" si="5"/>
        <v>0</v>
      </c>
    </row>
    <row r="182" spans="1:75" ht="15" customHeight="1" x14ac:dyDescent="0.45">
      <c r="A182" s="161"/>
      <c r="B182" s="389"/>
      <c r="C182" s="207"/>
      <c r="D182" s="208"/>
      <c r="E182" s="161"/>
      <c r="F182" s="389"/>
      <c r="G182" s="389"/>
      <c r="H182" s="389"/>
      <c r="I182" s="389"/>
      <c r="J182" s="389"/>
      <c r="K182" s="389"/>
      <c r="L182" s="209"/>
      <c r="M182" s="209"/>
      <c r="N182" s="209"/>
      <c r="O182" s="209"/>
      <c r="P182" s="209"/>
      <c r="Q182" s="161"/>
      <c r="R182" s="390"/>
      <c r="S182" s="390"/>
      <c r="T182" s="161"/>
      <c r="U182" s="389"/>
      <c r="BA182" s="387" t="str">
        <f>IF('Short Circuit'!$A182="","",'Short Circuit'!$A182)</f>
        <v/>
      </c>
      <c r="BB182" s="387" t="str">
        <f>IF($BA182="","",'Short Circuit'!$B182)</f>
        <v/>
      </c>
      <c r="BC182" s="387" t="str">
        <f>IF($BA182="","",'Short Circuit'!$C182)</f>
        <v/>
      </c>
      <c r="BD182" s="387" t="str">
        <f>IF($BA182="","",'Short Circuit'!$D182)</f>
        <v/>
      </c>
      <c r="BE182" s="387" t="str">
        <f>IF($BA182="","",'Short Circuit'!$E182)</f>
        <v/>
      </c>
      <c r="BF182" s="387" t="str">
        <f>IF($BA182="","",IFERROR(_xlfn.XLOOKUP("F-"&amp;$BA182,'Feeder Schedule'!$B$5:$B$254,'Feeder Schedule'!$B$5:$B$254),IFERROR(_xlfn.XLOOKUP($BA182,'Feeder Schedule'!$B$5:$B$254,'Feeder Schedule'!$B$5:$B$254),"")))</f>
        <v/>
      </c>
      <c r="BG182" s="387" t="str">
        <f>IF($BF182="","",IFERROR(_xlfn.XLOOKUP($BF182,'Feeder Schedule'!$B$5:$B$254,'Feeder Schedule'!$A$5:$A$254),""))</f>
        <v/>
      </c>
      <c r="BH182" s="387" t="str">
        <f>IF($BF182="","",IFERROR(_xlfn.XLOOKUP($BF182,'Feeder Schedule'!$B$5:$B$254,'Feeder Schedule'!$O$5:$O$254),""))</f>
        <v/>
      </c>
      <c r="BI182" s="387" t="str">
        <f>IF($BF182="","",IFERROR(_xlfn.XLOOKUP($BF182,'Feeder Schedule'!$B$5:$B$254,'Feeder Schedule'!$P$5:$P$254),""))</f>
        <v/>
      </c>
      <c r="BJ182" s="387" t="str">
        <f>IF($BF182="","",IFERROR(_xlfn.XLOOKUP($BF182,'Feeder Schedule'!$B$5:$B$254,'Feeder Schedule'!$Q$5:$Q$254),""))</f>
        <v/>
      </c>
      <c r="BK182" s="387" t="str">
        <f>IF($BF182="","",IFERROR(_xlfn.XLOOKUP($BF182,'Feeder Schedule'!$B$5:$B$254,'Feeder Schedule'!$S$5:$S$254),""))</f>
        <v/>
      </c>
      <c r="BL182" s="387" t="str">
        <f>IF($BF182="","",IFERROR(_xlfn.XLOOKUP($BF182,'Feeder Schedule'!$B$5:$B$254,'Feeder Schedule'!$H$5:$H$254),""))</f>
        <v/>
      </c>
      <c r="BM182" s="534" t="str">
        <f>IF($BA182="","",'Short Circuit'!$J182)</f>
        <v/>
      </c>
      <c r="BN182" s="534" t="str">
        <f>IF($BA182="","",'Short Circuit'!$Q182)</f>
        <v/>
      </c>
      <c r="BO182" s="387" t="str">
        <f>IF($BA182="","",'Short Circuit'!$R182)</f>
        <v/>
      </c>
      <c r="BP182" s="535" t="str">
        <f>IF($BA182="","",'Short Circuit'!$S182)</f>
        <v/>
      </c>
      <c r="BQ182" s="387" t="str">
        <f>IF($BA182="","",'Short Circuit'!$T182)</f>
        <v/>
      </c>
      <c r="BR182" s="536" t="str">
        <f>IF($BA182="","",'Voltage Drop'!$G182)</f>
        <v/>
      </c>
      <c r="BS182" s="536" t="str">
        <f>IF($BA182="","",'Voltage Drop'!$H182)</f>
        <v/>
      </c>
      <c r="BT182" s="387" t="str">
        <f>IF($BA182="","",'Voltage Drop'!$K182)</f>
        <v/>
      </c>
      <c r="BU182" s="387" t="str">
        <f t="shared" si="4"/>
        <v/>
      </c>
      <c r="BV182" s="387"/>
      <c r="BW182" s="387" t="b">
        <f t="shared" si="5"/>
        <v>0</v>
      </c>
    </row>
    <row r="183" spans="1:75" ht="15" customHeight="1" x14ac:dyDescent="0.45">
      <c r="A183" s="161"/>
      <c r="B183" s="389"/>
      <c r="C183" s="207"/>
      <c r="D183" s="208"/>
      <c r="E183" s="161"/>
      <c r="F183" s="389"/>
      <c r="G183" s="389"/>
      <c r="H183" s="389"/>
      <c r="I183" s="389"/>
      <c r="J183" s="389"/>
      <c r="K183" s="389"/>
      <c r="L183" s="209"/>
      <c r="M183" s="209"/>
      <c r="N183" s="209"/>
      <c r="O183" s="209"/>
      <c r="P183" s="209"/>
      <c r="Q183" s="161"/>
      <c r="R183" s="390"/>
      <c r="S183" s="390"/>
      <c r="T183" s="161"/>
      <c r="U183" s="389"/>
      <c r="BA183" s="387" t="str">
        <f>IF('Short Circuit'!$A183="","",'Short Circuit'!$A183)</f>
        <v/>
      </c>
      <c r="BB183" s="387" t="str">
        <f>IF($BA183="","",'Short Circuit'!$B183)</f>
        <v/>
      </c>
      <c r="BC183" s="387" t="str">
        <f>IF($BA183="","",'Short Circuit'!$C183)</f>
        <v/>
      </c>
      <c r="BD183" s="387" t="str">
        <f>IF($BA183="","",'Short Circuit'!$D183)</f>
        <v/>
      </c>
      <c r="BE183" s="387" t="str">
        <f>IF($BA183="","",'Short Circuit'!$E183)</f>
        <v/>
      </c>
      <c r="BF183" s="387" t="str">
        <f>IF($BA183="","",IFERROR(_xlfn.XLOOKUP("F-"&amp;$BA183,'Feeder Schedule'!$B$5:$B$254,'Feeder Schedule'!$B$5:$B$254),IFERROR(_xlfn.XLOOKUP($BA183,'Feeder Schedule'!$B$5:$B$254,'Feeder Schedule'!$B$5:$B$254),"")))</f>
        <v/>
      </c>
      <c r="BG183" s="387" t="str">
        <f>IF($BF183="","",IFERROR(_xlfn.XLOOKUP($BF183,'Feeder Schedule'!$B$5:$B$254,'Feeder Schedule'!$A$5:$A$254),""))</f>
        <v/>
      </c>
      <c r="BH183" s="387" t="str">
        <f>IF($BF183="","",IFERROR(_xlfn.XLOOKUP($BF183,'Feeder Schedule'!$B$5:$B$254,'Feeder Schedule'!$O$5:$O$254),""))</f>
        <v/>
      </c>
      <c r="BI183" s="387" t="str">
        <f>IF($BF183="","",IFERROR(_xlfn.XLOOKUP($BF183,'Feeder Schedule'!$B$5:$B$254,'Feeder Schedule'!$P$5:$P$254),""))</f>
        <v/>
      </c>
      <c r="BJ183" s="387" t="str">
        <f>IF($BF183="","",IFERROR(_xlfn.XLOOKUP($BF183,'Feeder Schedule'!$B$5:$B$254,'Feeder Schedule'!$Q$5:$Q$254),""))</f>
        <v/>
      </c>
      <c r="BK183" s="387" t="str">
        <f>IF($BF183="","",IFERROR(_xlfn.XLOOKUP($BF183,'Feeder Schedule'!$B$5:$B$254,'Feeder Schedule'!$S$5:$S$254),""))</f>
        <v/>
      </c>
      <c r="BL183" s="387" t="str">
        <f>IF($BF183="","",IFERROR(_xlfn.XLOOKUP($BF183,'Feeder Schedule'!$B$5:$B$254,'Feeder Schedule'!$H$5:$H$254),""))</f>
        <v/>
      </c>
      <c r="BM183" s="534" t="str">
        <f>IF($BA183="","",'Short Circuit'!$J183)</f>
        <v/>
      </c>
      <c r="BN183" s="534" t="str">
        <f>IF($BA183="","",'Short Circuit'!$Q183)</f>
        <v/>
      </c>
      <c r="BO183" s="387" t="str">
        <f>IF($BA183="","",'Short Circuit'!$R183)</f>
        <v/>
      </c>
      <c r="BP183" s="535" t="str">
        <f>IF($BA183="","",'Short Circuit'!$S183)</f>
        <v/>
      </c>
      <c r="BQ183" s="387" t="str">
        <f>IF($BA183="","",'Short Circuit'!$T183)</f>
        <v/>
      </c>
      <c r="BR183" s="536" t="str">
        <f>IF($BA183="","",'Voltage Drop'!$G183)</f>
        <v/>
      </c>
      <c r="BS183" s="536" t="str">
        <f>IF($BA183="","",'Voltage Drop'!$H183)</f>
        <v/>
      </c>
      <c r="BT183" s="387" t="str">
        <f>IF($BA183="","",'Voltage Drop'!$K183)</f>
        <v/>
      </c>
      <c r="BU183" s="387" t="str">
        <f t="shared" si="4"/>
        <v/>
      </c>
      <c r="BV183" s="387"/>
      <c r="BW183" s="387" t="b">
        <f t="shared" si="5"/>
        <v>0</v>
      </c>
    </row>
    <row r="184" spans="1:75" ht="15" customHeight="1" x14ac:dyDescent="0.45">
      <c r="A184" s="161"/>
      <c r="B184" s="389"/>
      <c r="C184" s="207"/>
      <c r="D184" s="208"/>
      <c r="E184" s="161"/>
      <c r="F184" s="389"/>
      <c r="G184" s="389"/>
      <c r="H184" s="389"/>
      <c r="I184" s="389"/>
      <c r="J184" s="389"/>
      <c r="K184" s="389"/>
      <c r="L184" s="209"/>
      <c r="M184" s="209"/>
      <c r="N184" s="209"/>
      <c r="O184" s="209"/>
      <c r="P184" s="209"/>
      <c r="Q184" s="161"/>
      <c r="R184" s="390"/>
      <c r="S184" s="390"/>
      <c r="T184" s="161"/>
      <c r="U184" s="389"/>
      <c r="BA184" s="387" t="str">
        <f>IF('Short Circuit'!$A184="","",'Short Circuit'!$A184)</f>
        <v/>
      </c>
      <c r="BB184" s="387" t="str">
        <f>IF($BA184="","",'Short Circuit'!$B184)</f>
        <v/>
      </c>
      <c r="BC184" s="387" t="str">
        <f>IF($BA184="","",'Short Circuit'!$C184)</f>
        <v/>
      </c>
      <c r="BD184" s="387" t="str">
        <f>IF($BA184="","",'Short Circuit'!$D184)</f>
        <v/>
      </c>
      <c r="BE184" s="387" t="str">
        <f>IF($BA184="","",'Short Circuit'!$E184)</f>
        <v/>
      </c>
      <c r="BF184" s="387" t="str">
        <f>IF($BA184="","",IFERROR(_xlfn.XLOOKUP("F-"&amp;$BA184,'Feeder Schedule'!$B$5:$B$254,'Feeder Schedule'!$B$5:$B$254),IFERROR(_xlfn.XLOOKUP($BA184,'Feeder Schedule'!$B$5:$B$254,'Feeder Schedule'!$B$5:$B$254),"")))</f>
        <v/>
      </c>
      <c r="BG184" s="387" t="str">
        <f>IF($BF184="","",IFERROR(_xlfn.XLOOKUP($BF184,'Feeder Schedule'!$B$5:$B$254,'Feeder Schedule'!$A$5:$A$254),""))</f>
        <v/>
      </c>
      <c r="BH184" s="387" t="str">
        <f>IF($BF184="","",IFERROR(_xlfn.XLOOKUP($BF184,'Feeder Schedule'!$B$5:$B$254,'Feeder Schedule'!$O$5:$O$254),""))</f>
        <v/>
      </c>
      <c r="BI184" s="387" t="str">
        <f>IF($BF184="","",IFERROR(_xlfn.XLOOKUP($BF184,'Feeder Schedule'!$B$5:$B$254,'Feeder Schedule'!$P$5:$P$254),""))</f>
        <v/>
      </c>
      <c r="BJ184" s="387" t="str">
        <f>IF($BF184="","",IFERROR(_xlfn.XLOOKUP($BF184,'Feeder Schedule'!$B$5:$B$254,'Feeder Schedule'!$Q$5:$Q$254),""))</f>
        <v/>
      </c>
      <c r="BK184" s="387" t="str">
        <f>IF($BF184="","",IFERROR(_xlfn.XLOOKUP($BF184,'Feeder Schedule'!$B$5:$B$254,'Feeder Schedule'!$S$5:$S$254),""))</f>
        <v/>
      </c>
      <c r="BL184" s="387" t="str">
        <f>IF($BF184="","",IFERROR(_xlfn.XLOOKUP($BF184,'Feeder Schedule'!$B$5:$B$254,'Feeder Schedule'!$H$5:$H$254),""))</f>
        <v/>
      </c>
      <c r="BM184" s="534" t="str">
        <f>IF($BA184="","",'Short Circuit'!$J184)</f>
        <v/>
      </c>
      <c r="BN184" s="534" t="str">
        <f>IF($BA184="","",'Short Circuit'!$Q184)</f>
        <v/>
      </c>
      <c r="BO184" s="387" t="str">
        <f>IF($BA184="","",'Short Circuit'!$R184)</f>
        <v/>
      </c>
      <c r="BP184" s="535" t="str">
        <f>IF($BA184="","",'Short Circuit'!$S184)</f>
        <v/>
      </c>
      <c r="BQ184" s="387" t="str">
        <f>IF($BA184="","",'Short Circuit'!$T184)</f>
        <v/>
      </c>
      <c r="BR184" s="536" t="str">
        <f>IF($BA184="","",'Voltage Drop'!$G184)</f>
        <v/>
      </c>
      <c r="BS184" s="536" t="str">
        <f>IF($BA184="","",'Voltage Drop'!$H184)</f>
        <v/>
      </c>
      <c r="BT184" s="387" t="str">
        <f>IF($BA184="","",'Voltage Drop'!$K184)</f>
        <v/>
      </c>
      <c r="BU184" s="387" t="str">
        <f t="shared" si="4"/>
        <v/>
      </c>
      <c r="BV184" s="387"/>
      <c r="BW184" s="387" t="b">
        <f t="shared" si="5"/>
        <v>0</v>
      </c>
    </row>
    <row r="185" spans="1:75" ht="15" customHeight="1" x14ac:dyDescent="0.45">
      <c r="A185" s="161"/>
      <c r="B185" s="389"/>
      <c r="C185" s="207"/>
      <c r="D185" s="208"/>
      <c r="E185" s="161"/>
      <c r="F185" s="389"/>
      <c r="G185" s="389"/>
      <c r="H185" s="389"/>
      <c r="I185" s="389"/>
      <c r="J185" s="389"/>
      <c r="K185" s="389"/>
      <c r="L185" s="209"/>
      <c r="M185" s="209"/>
      <c r="N185" s="209"/>
      <c r="O185" s="209"/>
      <c r="P185" s="209"/>
      <c r="Q185" s="161"/>
      <c r="R185" s="390"/>
      <c r="S185" s="390"/>
      <c r="T185" s="161"/>
      <c r="U185" s="389"/>
      <c r="BA185" s="387" t="str">
        <f>IF('Short Circuit'!$A185="","",'Short Circuit'!$A185)</f>
        <v/>
      </c>
      <c r="BB185" s="387" t="str">
        <f>IF($BA185="","",'Short Circuit'!$B185)</f>
        <v/>
      </c>
      <c r="BC185" s="387" t="str">
        <f>IF($BA185="","",'Short Circuit'!$C185)</f>
        <v/>
      </c>
      <c r="BD185" s="387" t="str">
        <f>IF($BA185="","",'Short Circuit'!$D185)</f>
        <v/>
      </c>
      <c r="BE185" s="387" t="str">
        <f>IF($BA185="","",'Short Circuit'!$E185)</f>
        <v/>
      </c>
      <c r="BF185" s="387" t="str">
        <f>IF($BA185="","",IFERROR(_xlfn.XLOOKUP("F-"&amp;$BA185,'Feeder Schedule'!$B$5:$B$254,'Feeder Schedule'!$B$5:$B$254),IFERROR(_xlfn.XLOOKUP($BA185,'Feeder Schedule'!$B$5:$B$254,'Feeder Schedule'!$B$5:$B$254),"")))</f>
        <v/>
      </c>
      <c r="BG185" s="387" t="str">
        <f>IF($BF185="","",IFERROR(_xlfn.XLOOKUP($BF185,'Feeder Schedule'!$B$5:$B$254,'Feeder Schedule'!$A$5:$A$254),""))</f>
        <v/>
      </c>
      <c r="BH185" s="387" t="str">
        <f>IF($BF185="","",IFERROR(_xlfn.XLOOKUP($BF185,'Feeder Schedule'!$B$5:$B$254,'Feeder Schedule'!$O$5:$O$254),""))</f>
        <v/>
      </c>
      <c r="BI185" s="387" t="str">
        <f>IF($BF185="","",IFERROR(_xlfn.XLOOKUP($BF185,'Feeder Schedule'!$B$5:$B$254,'Feeder Schedule'!$P$5:$P$254),""))</f>
        <v/>
      </c>
      <c r="BJ185" s="387" t="str">
        <f>IF($BF185="","",IFERROR(_xlfn.XLOOKUP($BF185,'Feeder Schedule'!$B$5:$B$254,'Feeder Schedule'!$Q$5:$Q$254),""))</f>
        <v/>
      </c>
      <c r="BK185" s="387" t="str">
        <f>IF($BF185="","",IFERROR(_xlfn.XLOOKUP($BF185,'Feeder Schedule'!$B$5:$B$254,'Feeder Schedule'!$S$5:$S$254),""))</f>
        <v/>
      </c>
      <c r="BL185" s="387" t="str">
        <f>IF($BF185="","",IFERROR(_xlfn.XLOOKUP($BF185,'Feeder Schedule'!$B$5:$B$254,'Feeder Schedule'!$H$5:$H$254),""))</f>
        <v/>
      </c>
      <c r="BM185" s="534" t="str">
        <f>IF($BA185="","",'Short Circuit'!$J185)</f>
        <v/>
      </c>
      <c r="BN185" s="534" t="str">
        <f>IF($BA185="","",'Short Circuit'!$Q185)</f>
        <v/>
      </c>
      <c r="BO185" s="387" t="str">
        <f>IF($BA185="","",'Short Circuit'!$R185)</f>
        <v/>
      </c>
      <c r="BP185" s="535" t="str">
        <f>IF($BA185="","",'Short Circuit'!$S185)</f>
        <v/>
      </c>
      <c r="BQ185" s="387" t="str">
        <f>IF($BA185="","",'Short Circuit'!$T185)</f>
        <v/>
      </c>
      <c r="BR185" s="536" t="str">
        <f>IF($BA185="","",'Voltage Drop'!$G185)</f>
        <v/>
      </c>
      <c r="BS185" s="536" t="str">
        <f>IF($BA185="","",'Voltage Drop'!$H185)</f>
        <v/>
      </c>
      <c r="BT185" s="387" t="str">
        <f>IF($BA185="","",'Voltage Drop'!$K185)</f>
        <v/>
      </c>
      <c r="BU185" s="387" t="str">
        <f t="shared" si="4"/>
        <v/>
      </c>
      <c r="BV185" s="387"/>
      <c r="BW185" s="387" t="b">
        <f t="shared" si="5"/>
        <v>0</v>
      </c>
    </row>
    <row r="186" spans="1:75" ht="15" customHeight="1" x14ac:dyDescent="0.45">
      <c r="A186" s="161"/>
      <c r="B186" s="389"/>
      <c r="C186" s="207"/>
      <c r="D186" s="208"/>
      <c r="E186" s="161"/>
      <c r="F186" s="389"/>
      <c r="G186" s="389"/>
      <c r="H186" s="389"/>
      <c r="I186" s="389"/>
      <c r="J186" s="389"/>
      <c r="K186" s="389"/>
      <c r="L186" s="209"/>
      <c r="M186" s="209"/>
      <c r="N186" s="209"/>
      <c r="O186" s="209"/>
      <c r="P186" s="209"/>
      <c r="Q186" s="161"/>
      <c r="R186" s="390"/>
      <c r="S186" s="390"/>
      <c r="T186" s="161"/>
      <c r="U186" s="389"/>
      <c r="BA186" s="387" t="str">
        <f>IF('Short Circuit'!$A186="","",'Short Circuit'!$A186)</f>
        <v/>
      </c>
      <c r="BB186" s="387" t="str">
        <f>IF($BA186="","",'Short Circuit'!$B186)</f>
        <v/>
      </c>
      <c r="BC186" s="387" t="str">
        <f>IF($BA186="","",'Short Circuit'!$C186)</f>
        <v/>
      </c>
      <c r="BD186" s="387" t="str">
        <f>IF($BA186="","",'Short Circuit'!$D186)</f>
        <v/>
      </c>
      <c r="BE186" s="387" t="str">
        <f>IF($BA186="","",'Short Circuit'!$E186)</f>
        <v/>
      </c>
      <c r="BF186" s="387" t="str">
        <f>IF($BA186="","",IFERROR(_xlfn.XLOOKUP("F-"&amp;$BA186,'Feeder Schedule'!$B$5:$B$254,'Feeder Schedule'!$B$5:$B$254),IFERROR(_xlfn.XLOOKUP($BA186,'Feeder Schedule'!$B$5:$B$254,'Feeder Schedule'!$B$5:$B$254),"")))</f>
        <v/>
      </c>
      <c r="BG186" s="387" t="str">
        <f>IF($BF186="","",IFERROR(_xlfn.XLOOKUP($BF186,'Feeder Schedule'!$B$5:$B$254,'Feeder Schedule'!$A$5:$A$254),""))</f>
        <v/>
      </c>
      <c r="BH186" s="387" t="str">
        <f>IF($BF186="","",IFERROR(_xlfn.XLOOKUP($BF186,'Feeder Schedule'!$B$5:$B$254,'Feeder Schedule'!$O$5:$O$254),""))</f>
        <v/>
      </c>
      <c r="BI186" s="387" t="str">
        <f>IF($BF186="","",IFERROR(_xlfn.XLOOKUP($BF186,'Feeder Schedule'!$B$5:$B$254,'Feeder Schedule'!$P$5:$P$254),""))</f>
        <v/>
      </c>
      <c r="BJ186" s="387" t="str">
        <f>IF($BF186="","",IFERROR(_xlfn.XLOOKUP($BF186,'Feeder Schedule'!$B$5:$B$254,'Feeder Schedule'!$Q$5:$Q$254),""))</f>
        <v/>
      </c>
      <c r="BK186" s="387" t="str">
        <f>IF($BF186="","",IFERROR(_xlfn.XLOOKUP($BF186,'Feeder Schedule'!$B$5:$B$254,'Feeder Schedule'!$S$5:$S$254),""))</f>
        <v/>
      </c>
      <c r="BL186" s="387" t="str">
        <f>IF($BF186="","",IFERROR(_xlfn.XLOOKUP($BF186,'Feeder Schedule'!$B$5:$B$254,'Feeder Schedule'!$H$5:$H$254),""))</f>
        <v/>
      </c>
      <c r="BM186" s="534" t="str">
        <f>IF($BA186="","",'Short Circuit'!$J186)</f>
        <v/>
      </c>
      <c r="BN186" s="534" t="str">
        <f>IF($BA186="","",'Short Circuit'!$Q186)</f>
        <v/>
      </c>
      <c r="BO186" s="387" t="str">
        <f>IF($BA186="","",'Short Circuit'!$R186)</f>
        <v/>
      </c>
      <c r="BP186" s="535" t="str">
        <f>IF($BA186="","",'Short Circuit'!$S186)</f>
        <v/>
      </c>
      <c r="BQ186" s="387" t="str">
        <f>IF($BA186="","",'Short Circuit'!$T186)</f>
        <v/>
      </c>
      <c r="BR186" s="536" t="str">
        <f>IF($BA186="","",'Voltage Drop'!$G186)</f>
        <v/>
      </c>
      <c r="BS186" s="536" t="str">
        <f>IF($BA186="","",'Voltage Drop'!$H186)</f>
        <v/>
      </c>
      <c r="BT186" s="387" t="str">
        <f>IF($BA186="","",'Voltage Drop'!$K186)</f>
        <v/>
      </c>
      <c r="BU186" s="387" t="str">
        <f t="shared" si="4"/>
        <v/>
      </c>
      <c r="BV186" s="387"/>
      <c r="BW186" s="387" t="b">
        <f t="shared" si="5"/>
        <v>0</v>
      </c>
    </row>
    <row r="187" spans="1:75" ht="15" customHeight="1" x14ac:dyDescent="0.45">
      <c r="A187" s="161"/>
      <c r="B187" s="389"/>
      <c r="C187" s="207"/>
      <c r="D187" s="208"/>
      <c r="E187" s="161"/>
      <c r="F187" s="389"/>
      <c r="G187" s="389"/>
      <c r="H187" s="389"/>
      <c r="I187" s="389"/>
      <c r="J187" s="389"/>
      <c r="K187" s="389"/>
      <c r="L187" s="209"/>
      <c r="M187" s="209"/>
      <c r="N187" s="209"/>
      <c r="O187" s="209"/>
      <c r="P187" s="209"/>
      <c r="Q187" s="161"/>
      <c r="R187" s="390"/>
      <c r="S187" s="390"/>
      <c r="T187" s="161"/>
      <c r="U187" s="389"/>
      <c r="BA187" s="387" t="str">
        <f>IF('Short Circuit'!$A187="","",'Short Circuit'!$A187)</f>
        <v/>
      </c>
      <c r="BB187" s="387" t="str">
        <f>IF($BA187="","",'Short Circuit'!$B187)</f>
        <v/>
      </c>
      <c r="BC187" s="387" t="str">
        <f>IF($BA187="","",'Short Circuit'!$C187)</f>
        <v/>
      </c>
      <c r="BD187" s="387" t="str">
        <f>IF($BA187="","",'Short Circuit'!$D187)</f>
        <v/>
      </c>
      <c r="BE187" s="387" t="str">
        <f>IF($BA187="","",'Short Circuit'!$E187)</f>
        <v/>
      </c>
      <c r="BF187" s="387" t="str">
        <f>IF($BA187="","",IFERROR(_xlfn.XLOOKUP("F-"&amp;$BA187,'Feeder Schedule'!$B$5:$B$254,'Feeder Schedule'!$B$5:$B$254),IFERROR(_xlfn.XLOOKUP($BA187,'Feeder Schedule'!$B$5:$B$254,'Feeder Schedule'!$B$5:$B$254),"")))</f>
        <v/>
      </c>
      <c r="BG187" s="387" t="str">
        <f>IF($BF187="","",IFERROR(_xlfn.XLOOKUP($BF187,'Feeder Schedule'!$B$5:$B$254,'Feeder Schedule'!$A$5:$A$254),""))</f>
        <v/>
      </c>
      <c r="BH187" s="387" t="str">
        <f>IF($BF187="","",IFERROR(_xlfn.XLOOKUP($BF187,'Feeder Schedule'!$B$5:$B$254,'Feeder Schedule'!$O$5:$O$254),""))</f>
        <v/>
      </c>
      <c r="BI187" s="387" t="str">
        <f>IF($BF187="","",IFERROR(_xlfn.XLOOKUP($BF187,'Feeder Schedule'!$B$5:$B$254,'Feeder Schedule'!$P$5:$P$254),""))</f>
        <v/>
      </c>
      <c r="BJ187" s="387" t="str">
        <f>IF($BF187="","",IFERROR(_xlfn.XLOOKUP($BF187,'Feeder Schedule'!$B$5:$B$254,'Feeder Schedule'!$Q$5:$Q$254),""))</f>
        <v/>
      </c>
      <c r="BK187" s="387" t="str">
        <f>IF($BF187="","",IFERROR(_xlfn.XLOOKUP($BF187,'Feeder Schedule'!$B$5:$B$254,'Feeder Schedule'!$S$5:$S$254),""))</f>
        <v/>
      </c>
      <c r="BL187" s="387" t="str">
        <f>IF($BF187="","",IFERROR(_xlfn.XLOOKUP($BF187,'Feeder Schedule'!$B$5:$B$254,'Feeder Schedule'!$H$5:$H$254),""))</f>
        <v/>
      </c>
      <c r="BM187" s="534" t="str">
        <f>IF($BA187="","",'Short Circuit'!$J187)</f>
        <v/>
      </c>
      <c r="BN187" s="534" t="str">
        <f>IF($BA187="","",'Short Circuit'!$Q187)</f>
        <v/>
      </c>
      <c r="BO187" s="387" t="str">
        <f>IF($BA187="","",'Short Circuit'!$R187)</f>
        <v/>
      </c>
      <c r="BP187" s="535" t="str">
        <f>IF($BA187="","",'Short Circuit'!$S187)</f>
        <v/>
      </c>
      <c r="BQ187" s="387" t="str">
        <f>IF($BA187="","",'Short Circuit'!$T187)</f>
        <v/>
      </c>
      <c r="BR187" s="536" t="str">
        <f>IF($BA187="","",'Voltage Drop'!$G187)</f>
        <v/>
      </c>
      <c r="BS187" s="536" t="str">
        <f>IF($BA187="","",'Voltage Drop'!$H187)</f>
        <v/>
      </c>
      <c r="BT187" s="387" t="str">
        <f>IF($BA187="","",'Voltage Drop'!$K187)</f>
        <v/>
      </c>
      <c r="BU187" s="387" t="str">
        <f t="shared" si="4"/>
        <v/>
      </c>
      <c r="BV187" s="387"/>
      <c r="BW187" s="387" t="b">
        <f t="shared" si="5"/>
        <v>0</v>
      </c>
    </row>
    <row r="188" spans="1:75" ht="15" customHeight="1" x14ac:dyDescent="0.45">
      <c r="A188" s="161"/>
      <c r="B188" s="389"/>
      <c r="C188" s="207"/>
      <c r="D188" s="208"/>
      <c r="E188" s="161"/>
      <c r="F188" s="389"/>
      <c r="G188" s="389"/>
      <c r="H188" s="389"/>
      <c r="I188" s="389"/>
      <c r="J188" s="389"/>
      <c r="K188" s="389"/>
      <c r="L188" s="209"/>
      <c r="M188" s="209"/>
      <c r="N188" s="209"/>
      <c r="O188" s="209"/>
      <c r="P188" s="209"/>
      <c r="Q188" s="161"/>
      <c r="R188" s="390"/>
      <c r="S188" s="390"/>
      <c r="T188" s="161"/>
      <c r="U188" s="389"/>
      <c r="BA188" s="387" t="str">
        <f>IF('Short Circuit'!$A188="","",'Short Circuit'!$A188)</f>
        <v/>
      </c>
      <c r="BB188" s="387" t="str">
        <f>IF($BA188="","",'Short Circuit'!$B188)</f>
        <v/>
      </c>
      <c r="BC188" s="387" t="str">
        <f>IF($BA188="","",'Short Circuit'!$C188)</f>
        <v/>
      </c>
      <c r="BD188" s="387" t="str">
        <f>IF($BA188="","",'Short Circuit'!$D188)</f>
        <v/>
      </c>
      <c r="BE188" s="387" t="str">
        <f>IF($BA188="","",'Short Circuit'!$E188)</f>
        <v/>
      </c>
      <c r="BF188" s="387" t="str">
        <f>IF($BA188="","",IFERROR(_xlfn.XLOOKUP("F-"&amp;$BA188,'Feeder Schedule'!$B$5:$B$254,'Feeder Schedule'!$B$5:$B$254),IFERROR(_xlfn.XLOOKUP($BA188,'Feeder Schedule'!$B$5:$B$254,'Feeder Schedule'!$B$5:$B$254),"")))</f>
        <v/>
      </c>
      <c r="BG188" s="387" t="str">
        <f>IF($BF188="","",IFERROR(_xlfn.XLOOKUP($BF188,'Feeder Schedule'!$B$5:$B$254,'Feeder Schedule'!$A$5:$A$254),""))</f>
        <v/>
      </c>
      <c r="BH188" s="387" t="str">
        <f>IF($BF188="","",IFERROR(_xlfn.XLOOKUP($BF188,'Feeder Schedule'!$B$5:$B$254,'Feeder Schedule'!$O$5:$O$254),""))</f>
        <v/>
      </c>
      <c r="BI188" s="387" t="str">
        <f>IF($BF188="","",IFERROR(_xlfn.XLOOKUP($BF188,'Feeder Schedule'!$B$5:$B$254,'Feeder Schedule'!$P$5:$P$254),""))</f>
        <v/>
      </c>
      <c r="BJ188" s="387" t="str">
        <f>IF($BF188="","",IFERROR(_xlfn.XLOOKUP($BF188,'Feeder Schedule'!$B$5:$B$254,'Feeder Schedule'!$Q$5:$Q$254),""))</f>
        <v/>
      </c>
      <c r="BK188" s="387" t="str">
        <f>IF($BF188="","",IFERROR(_xlfn.XLOOKUP($BF188,'Feeder Schedule'!$B$5:$B$254,'Feeder Schedule'!$S$5:$S$254),""))</f>
        <v/>
      </c>
      <c r="BL188" s="387" t="str">
        <f>IF($BF188="","",IFERROR(_xlfn.XLOOKUP($BF188,'Feeder Schedule'!$B$5:$B$254,'Feeder Schedule'!$H$5:$H$254),""))</f>
        <v/>
      </c>
      <c r="BM188" s="534" t="str">
        <f>IF($BA188="","",'Short Circuit'!$J188)</f>
        <v/>
      </c>
      <c r="BN188" s="534" t="str">
        <f>IF($BA188="","",'Short Circuit'!$Q188)</f>
        <v/>
      </c>
      <c r="BO188" s="387" t="str">
        <f>IF($BA188="","",'Short Circuit'!$R188)</f>
        <v/>
      </c>
      <c r="BP188" s="535" t="str">
        <f>IF($BA188="","",'Short Circuit'!$S188)</f>
        <v/>
      </c>
      <c r="BQ188" s="387" t="str">
        <f>IF($BA188="","",'Short Circuit'!$T188)</f>
        <v/>
      </c>
      <c r="BR188" s="536" t="str">
        <f>IF($BA188="","",'Voltage Drop'!$G188)</f>
        <v/>
      </c>
      <c r="BS188" s="536" t="str">
        <f>IF($BA188="","",'Voltage Drop'!$H188)</f>
        <v/>
      </c>
      <c r="BT188" s="387" t="str">
        <f>IF($BA188="","",'Voltage Drop'!$K188)</f>
        <v/>
      </c>
      <c r="BU188" s="387" t="str">
        <f t="shared" si="4"/>
        <v/>
      </c>
      <c r="BV188" s="387"/>
      <c r="BW188" s="387" t="b">
        <f t="shared" si="5"/>
        <v>0</v>
      </c>
    </row>
    <row r="189" spans="1:75" ht="15" customHeight="1" x14ac:dyDescent="0.45">
      <c r="A189" s="161"/>
      <c r="B189" s="389"/>
      <c r="C189" s="207"/>
      <c r="D189" s="208"/>
      <c r="E189" s="161"/>
      <c r="F189" s="389"/>
      <c r="G189" s="389"/>
      <c r="H189" s="389"/>
      <c r="I189" s="389"/>
      <c r="J189" s="389"/>
      <c r="K189" s="389"/>
      <c r="L189" s="209"/>
      <c r="M189" s="209"/>
      <c r="N189" s="209"/>
      <c r="O189" s="209"/>
      <c r="P189" s="209"/>
      <c r="Q189" s="161"/>
      <c r="R189" s="390"/>
      <c r="S189" s="390"/>
      <c r="T189" s="161"/>
      <c r="U189" s="389"/>
      <c r="BA189" s="387" t="str">
        <f>IF('Short Circuit'!$A189="","",'Short Circuit'!$A189)</f>
        <v/>
      </c>
      <c r="BB189" s="387" t="str">
        <f>IF($BA189="","",'Short Circuit'!$B189)</f>
        <v/>
      </c>
      <c r="BC189" s="387" t="str">
        <f>IF($BA189="","",'Short Circuit'!$C189)</f>
        <v/>
      </c>
      <c r="BD189" s="387" t="str">
        <f>IF($BA189="","",'Short Circuit'!$D189)</f>
        <v/>
      </c>
      <c r="BE189" s="387" t="str">
        <f>IF($BA189="","",'Short Circuit'!$E189)</f>
        <v/>
      </c>
      <c r="BF189" s="387" t="str">
        <f>IF($BA189="","",IFERROR(_xlfn.XLOOKUP("F-"&amp;$BA189,'Feeder Schedule'!$B$5:$B$254,'Feeder Schedule'!$B$5:$B$254),IFERROR(_xlfn.XLOOKUP($BA189,'Feeder Schedule'!$B$5:$B$254,'Feeder Schedule'!$B$5:$B$254),"")))</f>
        <v/>
      </c>
      <c r="BG189" s="387" t="str">
        <f>IF($BF189="","",IFERROR(_xlfn.XLOOKUP($BF189,'Feeder Schedule'!$B$5:$B$254,'Feeder Schedule'!$A$5:$A$254),""))</f>
        <v/>
      </c>
      <c r="BH189" s="387" t="str">
        <f>IF($BF189="","",IFERROR(_xlfn.XLOOKUP($BF189,'Feeder Schedule'!$B$5:$B$254,'Feeder Schedule'!$O$5:$O$254),""))</f>
        <v/>
      </c>
      <c r="BI189" s="387" t="str">
        <f>IF($BF189="","",IFERROR(_xlfn.XLOOKUP($BF189,'Feeder Schedule'!$B$5:$B$254,'Feeder Schedule'!$P$5:$P$254),""))</f>
        <v/>
      </c>
      <c r="BJ189" s="387" t="str">
        <f>IF($BF189="","",IFERROR(_xlfn.XLOOKUP($BF189,'Feeder Schedule'!$B$5:$B$254,'Feeder Schedule'!$Q$5:$Q$254),""))</f>
        <v/>
      </c>
      <c r="BK189" s="387" t="str">
        <f>IF($BF189="","",IFERROR(_xlfn.XLOOKUP($BF189,'Feeder Schedule'!$B$5:$B$254,'Feeder Schedule'!$S$5:$S$254),""))</f>
        <v/>
      </c>
      <c r="BL189" s="387" t="str">
        <f>IF($BF189="","",IFERROR(_xlfn.XLOOKUP($BF189,'Feeder Schedule'!$B$5:$B$254,'Feeder Schedule'!$H$5:$H$254),""))</f>
        <v/>
      </c>
      <c r="BM189" s="534" t="str">
        <f>IF($BA189="","",'Short Circuit'!$J189)</f>
        <v/>
      </c>
      <c r="BN189" s="534" t="str">
        <f>IF($BA189="","",'Short Circuit'!$Q189)</f>
        <v/>
      </c>
      <c r="BO189" s="387" t="str">
        <f>IF($BA189="","",'Short Circuit'!$R189)</f>
        <v/>
      </c>
      <c r="BP189" s="535" t="str">
        <f>IF($BA189="","",'Short Circuit'!$S189)</f>
        <v/>
      </c>
      <c r="BQ189" s="387" t="str">
        <f>IF($BA189="","",'Short Circuit'!$T189)</f>
        <v/>
      </c>
      <c r="BR189" s="536" t="str">
        <f>IF($BA189="","",'Voltage Drop'!$G189)</f>
        <v/>
      </c>
      <c r="BS189" s="536" t="str">
        <f>IF($BA189="","",'Voltage Drop'!$H189)</f>
        <v/>
      </c>
      <c r="BT189" s="387" t="str">
        <f>IF($BA189="","",'Voltage Drop'!$K189)</f>
        <v/>
      </c>
      <c r="BU189" s="387" t="str">
        <f t="shared" si="4"/>
        <v/>
      </c>
      <c r="BV189" s="387"/>
      <c r="BW189" s="387" t="b">
        <f t="shared" si="5"/>
        <v>0</v>
      </c>
    </row>
    <row r="190" spans="1:75" ht="15" customHeight="1" x14ac:dyDescent="0.45">
      <c r="A190" s="161"/>
      <c r="B190" s="389"/>
      <c r="C190" s="207"/>
      <c r="D190" s="208"/>
      <c r="E190" s="161"/>
      <c r="F190" s="389"/>
      <c r="G190" s="389"/>
      <c r="H190" s="389"/>
      <c r="I190" s="389"/>
      <c r="J190" s="389"/>
      <c r="K190" s="389"/>
      <c r="L190" s="209"/>
      <c r="M190" s="209"/>
      <c r="N190" s="209"/>
      <c r="O190" s="209"/>
      <c r="P190" s="209"/>
      <c r="Q190" s="161"/>
      <c r="R190" s="390"/>
      <c r="S190" s="390"/>
      <c r="T190" s="161"/>
      <c r="U190" s="389"/>
      <c r="BA190" s="387" t="str">
        <f>IF('Short Circuit'!$A190="","",'Short Circuit'!$A190)</f>
        <v/>
      </c>
      <c r="BB190" s="387" t="str">
        <f>IF($BA190="","",'Short Circuit'!$B190)</f>
        <v/>
      </c>
      <c r="BC190" s="387" t="str">
        <f>IF($BA190="","",'Short Circuit'!$C190)</f>
        <v/>
      </c>
      <c r="BD190" s="387" t="str">
        <f>IF($BA190="","",'Short Circuit'!$D190)</f>
        <v/>
      </c>
      <c r="BE190" s="387" t="str">
        <f>IF($BA190="","",'Short Circuit'!$E190)</f>
        <v/>
      </c>
      <c r="BF190" s="387" t="str">
        <f>IF($BA190="","",IFERROR(_xlfn.XLOOKUP("F-"&amp;$BA190,'Feeder Schedule'!$B$5:$B$254,'Feeder Schedule'!$B$5:$B$254),IFERROR(_xlfn.XLOOKUP($BA190,'Feeder Schedule'!$B$5:$B$254,'Feeder Schedule'!$B$5:$B$254),"")))</f>
        <v/>
      </c>
      <c r="BG190" s="387" t="str">
        <f>IF($BF190="","",IFERROR(_xlfn.XLOOKUP($BF190,'Feeder Schedule'!$B$5:$B$254,'Feeder Schedule'!$A$5:$A$254),""))</f>
        <v/>
      </c>
      <c r="BH190" s="387" t="str">
        <f>IF($BF190="","",IFERROR(_xlfn.XLOOKUP($BF190,'Feeder Schedule'!$B$5:$B$254,'Feeder Schedule'!$O$5:$O$254),""))</f>
        <v/>
      </c>
      <c r="BI190" s="387" t="str">
        <f>IF($BF190="","",IFERROR(_xlfn.XLOOKUP($BF190,'Feeder Schedule'!$B$5:$B$254,'Feeder Schedule'!$P$5:$P$254),""))</f>
        <v/>
      </c>
      <c r="BJ190" s="387" t="str">
        <f>IF($BF190="","",IFERROR(_xlfn.XLOOKUP($BF190,'Feeder Schedule'!$B$5:$B$254,'Feeder Schedule'!$Q$5:$Q$254),""))</f>
        <v/>
      </c>
      <c r="BK190" s="387" t="str">
        <f>IF($BF190="","",IFERROR(_xlfn.XLOOKUP($BF190,'Feeder Schedule'!$B$5:$B$254,'Feeder Schedule'!$S$5:$S$254),""))</f>
        <v/>
      </c>
      <c r="BL190" s="387" t="str">
        <f>IF($BF190="","",IFERROR(_xlfn.XLOOKUP($BF190,'Feeder Schedule'!$B$5:$B$254,'Feeder Schedule'!$H$5:$H$254),""))</f>
        <v/>
      </c>
      <c r="BM190" s="534" t="str">
        <f>IF($BA190="","",'Short Circuit'!$J190)</f>
        <v/>
      </c>
      <c r="BN190" s="534" t="str">
        <f>IF($BA190="","",'Short Circuit'!$Q190)</f>
        <v/>
      </c>
      <c r="BO190" s="387" t="str">
        <f>IF($BA190="","",'Short Circuit'!$R190)</f>
        <v/>
      </c>
      <c r="BP190" s="535" t="str">
        <f>IF($BA190="","",'Short Circuit'!$S190)</f>
        <v/>
      </c>
      <c r="BQ190" s="387" t="str">
        <f>IF($BA190="","",'Short Circuit'!$T190)</f>
        <v/>
      </c>
      <c r="BR190" s="536" t="str">
        <f>IF($BA190="","",'Voltage Drop'!$G190)</f>
        <v/>
      </c>
      <c r="BS190" s="536" t="str">
        <f>IF($BA190="","",'Voltage Drop'!$H190)</f>
        <v/>
      </c>
      <c r="BT190" s="387" t="str">
        <f>IF($BA190="","",'Voltage Drop'!$K190)</f>
        <v/>
      </c>
      <c r="BU190" s="387" t="str">
        <f t="shared" si="4"/>
        <v/>
      </c>
      <c r="BV190" s="387"/>
      <c r="BW190" s="387" t="b">
        <f t="shared" si="5"/>
        <v>0</v>
      </c>
    </row>
    <row r="191" spans="1:75" ht="15" customHeight="1" x14ac:dyDescent="0.45">
      <c r="A191" s="161"/>
      <c r="B191" s="389"/>
      <c r="C191" s="207"/>
      <c r="D191" s="208"/>
      <c r="E191" s="161"/>
      <c r="F191" s="389"/>
      <c r="G191" s="389"/>
      <c r="H191" s="389"/>
      <c r="I191" s="389"/>
      <c r="J191" s="389"/>
      <c r="K191" s="389"/>
      <c r="L191" s="209"/>
      <c r="M191" s="209"/>
      <c r="N191" s="209"/>
      <c r="O191" s="209"/>
      <c r="P191" s="209"/>
      <c r="Q191" s="161"/>
      <c r="R191" s="390"/>
      <c r="S191" s="390"/>
      <c r="T191" s="161"/>
      <c r="U191" s="389"/>
      <c r="BA191" s="387" t="str">
        <f>IF('Short Circuit'!$A191="","",'Short Circuit'!$A191)</f>
        <v/>
      </c>
      <c r="BB191" s="387" t="str">
        <f>IF($BA191="","",'Short Circuit'!$B191)</f>
        <v/>
      </c>
      <c r="BC191" s="387" t="str">
        <f>IF($BA191="","",'Short Circuit'!$C191)</f>
        <v/>
      </c>
      <c r="BD191" s="387" t="str">
        <f>IF($BA191="","",'Short Circuit'!$D191)</f>
        <v/>
      </c>
      <c r="BE191" s="387" t="str">
        <f>IF($BA191="","",'Short Circuit'!$E191)</f>
        <v/>
      </c>
      <c r="BF191" s="387" t="str">
        <f>IF($BA191="","",IFERROR(_xlfn.XLOOKUP("F-"&amp;$BA191,'Feeder Schedule'!$B$5:$B$254,'Feeder Schedule'!$B$5:$B$254),IFERROR(_xlfn.XLOOKUP($BA191,'Feeder Schedule'!$B$5:$B$254,'Feeder Schedule'!$B$5:$B$254),"")))</f>
        <v/>
      </c>
      <c r="BG191" s="387" t="str">
        <f>IF($BF191="","",IFERROR(_xlfn.XLOOKUP($BF191,'Feeder Schedule'!$B$5:$B$254,'Feeder Schedule'!$A$5:$A$254),""))</f>
        <v/>
      </c>
      <c r="BH191" s="387" t="str">
        <f>IF($BF191="","",IFERROR(_xlfn.XLOOKUP($BF191,'Feeder Schedule'!$B$5:$B$254,'Feeder Schedule'!$O$5:$O$254),""))</f>
        <v/>
      </c>
      <c r="BI191" s="387" t="str">
        <f>IF($BF191="","",IFERROR(_xlfn.XLOOKUP($BF191,'Feeder Schedule'!$B$5:$B$254,'Feeder Schedule'!$P$5:$P$254),""))</f>
        <v/>
      </c>
      <c r="BJ191" s="387" t="str">
        <f>IF($BF191="","",IFERROR(_xlfn.XLOOKUP($BF191,'Feeder Schedule'!$B$5:$B$254,'Feeder Schedule'!$Q$5:$Q$254),""))</f>
        <v/>
      </c>
      <c r="BK191" s="387" t="str">
        <f>IF($BF191="","",IFERROR(_xlfn.XLOOKUP($BF191,'Feeder Schedule'!$B$5:$B$254,'Feeder Schedule'!$S$5:$S$254),""))</f>
        <v/>
      </c>
      <c r="BL191" s="387" t="str">
        <f>IF($BF191="","",IFERROR(_xlfn.XLOOKUP($BF191,'Feeder Schedule'!$B$5:$B$254,'Feeder Schedule'!$H$5:$H$254),""))</f>
        <v/>
      </c>
      <c r="BM191" s="534" t="str">
        <f>IF($BA191="","",'Short Circuit'!$J191)</f>
        <v/>
      </c>
      <c r="BN191" s="534" t="str">
        <f>IF($BA191="","",'Short Circuit'!$Q191)</f>
        <v/>
      </c>
      <c r="BO191" s="387" t="str">
        <f>IF($BA191="","",'Short Circuit'!$R191)</f>
        <v/>
      </c>
      <c r="BP191" s="535" t="str">
        <f>IF($BA191="","",'Short Circuit'!$S191)</f>
        <v/>
      </c>
      <c r="BQ191" s="387" t="str">
        <f>IF($BA191="","",'Short Circuit'!$T191)</f>
        <v/>
      </c>
      <c r="BR191" s="536" t="str">
        <f>IF($BA191="","",'Voltage Drop'!$G191)</f>
        <v/>
      </c>
      <c r="BS191" s="536" t="str">
        <f>IF($BA191="","",'Voltage Drop'!$H191)</f>
        <v/>
      </c>
      <c r="BT191" s="387" t="str">
        <f>IF($BA191="","",'Voltage Drop'!$K191)</f>
        <v/>
      </c>
      <c r="BU191" s="387" t="str">
        <f t="shared" si="4"/>
        <v/>
      </c>
      <c r="BV191" s="387"/>
      <c r="BW191" s="387" t="b">
        <f t="shared" si="5"/>
        <v>0</v>
      </c>
    </row>
    <row r="192" spans="1:75" ht="15" customHeight="1" x14ac:dyDescent="0.45">
      <c r="A192" s="161"/>
      <c r="B192" s="389"/>
      <c r="C192" s="207"/>
      <c r="D192" s="208"/>
      <c r="E192" s="161"/>
      <c r="F192" s="389"/>
      <c r="G192" s="389"/>
      <c r="H192" s="389"/>
      <c r="I192" s="389"/>
      <c r="J192" s="389"/>
      <c r="K192" s="389"/>
      <c r="L192" s="209"/>
      <c r="M192" s="209"/>
      <c r="N192" s="209"/>
      <c r="O192" s="209"/>
      <c r="P192" s="209"/>
      <c r="Q192" s="161"/>
      <c r="R192" s="390"/>
      <c r="S192" s="390"/>
      <c r="T192" s="161"/>
      <c r="U192" s="389"/>
      <c r="BA192" s="387" t="str">
        <f>IF('Short Circuit'!$A192="","",'Short Circuit'!$A192)</f>
        <v/>
      </c>
      <c r="BB192" s="387" t="str">
        <f>IF($BA192="","",'Short Circuit'!$B192)</f>
        <v/>
      </c>
      <c r="BC192" s="387" t="str">
        <f>IF($BA192="","",'Short Circuit'!$C192)</f>
        <v/>
      </c>
      <c r="BD192" s="387" t="str">
        <f>IF($BA192="","",'Short Circuit'!$D192)</f>
        <v/>
      </c>
      <c r="BE192" s="387" t="str">
        <f>IF($BA192="","",'Short Circuit'!$E192)</f>
        <v/>
      </c>
      <c r="BF192" s="387" t="str">
        <f>IF($BA192="","",IFERROR(_xlfn.XLOOKUP("F-"&amp;$BA192,'Feeder Schedule'!$B$5:$B$254,'Feeder Schedule'!$B$5:$B$254),IFERROR(_xlfn.XLOOKUP($BA192,'Feeder Schedule'!$B$5:$B$254,'Feeder Schedule'!$B$5:$B$254),"")))</f>
        <v/>
      </c>
      <c r="BG192" s="387" t="str">
        <f>IF($BF192="","",IFERROR(_xlfn.XLOOKUP($BF192,'Feeder Schedule'!$B$5:$B$254,'Feeder Schedule'!$A$5:$A$254),""))</f>
        <v/>
      </c>
      <c r="BH192" s="387" t="str">
        <f>IF($BF192="","",IFERROR(_xlfn.XLOOKUP($BF192,'Feeder Schedule'!$B$5:$B$254,'Feeder Schedule'!$O$5:$O$254),""))</f>
        <v/>
      </c>
      <c r="BI192" s="387" t="str">
        <f>IF($BF192="","",IFERROR(_xlfn.XLOOKUP($BF192,'Feeder Schedule'!$B$5:$B$254,'Feeder Schedule'!$P$5:$P$254),""))</f>
        <v/>
      </c>
      <c r="BJ192" s="387" t="str">
        <f>IF($BF192="","",IFERROR(_xlfn.XLOOKUP($BF192,'Feeder Schedule'!$B$5:$B$254,'Feeder Schedule'!$Q$5:$Q$254),""))</f>
        <v/>
      </c>
      <c r="BK192" s="387" t="str">
        <f>IF($BF192="","",IFERROR(_xlfn.XLOOKUP($BF192,'Feeder Schedule'!$B$5:$B$254,'Feeder Schedule'!$S$5:$S$254),""))</f>
        <v/>
      </c>
      <c r="BL192" s="387" t="str">
        <f>IF($BF192="","",IFERROR(_xlfn.XLOOKUP($BF192,'Feeder Schedule'!$B$5:$B$254,'Feeder Schedule'!$H$5:$H$254),""))</f>
        <v/>
      </c>
      <c r="BM192" s="534" t="str">
        <f>IF($BA192="","",'Short Circuit'!$J192)</f>
        <v/>
      </c>
      <c r="BN192" s="534" t="str">
        <f>IF($BA192="","",'Short Circuit'!$Q192)</f>
        <v/>
      </c>
      <c r="BO192" s="387" t="str">
        <f>IF($BA192="","",'Short Circuit'!$R192)</f>
        <v/>
      </c>
      <c r="BP192" s="535" t="str">
        <f>IF($BA192="","",'Short Circuit'!$S192)</f>
        <v/>
      </c>
      <c r="BQ192" s="387" t="str">
        <f>IF($BA192="","",'Short Circuit'!$T192)</f>
        <v/>
      </c>
      <c r="BR192" s="536" t="str">
        <f>IF($BA192="","",'Voltage Drop'!$G192)</f>
        <v/>
      </c>
      <c r="BS192" s="536" t="str">
        <f>IF($BA192="","",'Voltage Drop'!$H192)</f>
        <v/>
      </c>
      <c r="BT192" s="387" t="str">
        <f>IF($BA192="","",'Voltage Drop'!$K192)</f>
        <v/>
      </c>
      <c r="BU192" s="387" t="str">
        <f t="shared" si="4"/>
        <v/>
      </c>
      <c r="BV192" s="387"/>
      <c r="BW192" s="387" t="b">
        <f t="shared" si="5"/>
        <v>0</v>
      </c>
    </row>
    <row r="193" spans="1:75" ht="15" customHeight="1" x14ac:dyDescent="0.45">
      <c r="A193" s="161"/>
      <c r="B193" s="389"/>
      <c r="C193" s="207"/>
      <c r="D193" s="208"/>
      <c r="E193" s="161"/>
      <c r="F193" s="389"/>
      <c r="G193" s="389"/>
      <c r="H193" s="389"/>
      <c r="I193" s="389"/>
      <c r="J193" s="389"/>
      <c r="K193" s="389"/>
      <c r="L193" s="209"/>
      <c r="M193" s="209"/>
      <c r="N193" s="209"/>
      <c r="O193" s="209"/>
      <c r="P193" s="209"/>
      <c r="Q193" s="161"/>
      <c r="R193" s="390"/>
      <c r="S193" s="390"/>
      <c r="T193" s="161"/>
      <c r="U193" s="389"/>
      <c r="BA193" s="387" t="str">
        <f>IF('Short Circuit'!$A193="","",'Short Circuit'!$A193)</f>
        <v/>
      </c>
      <c r="BB193" s="387" t="str">
        <f>IF($BA193="","",'Short Circuit'!$B193)</f>
        <v/>
      </c>
      <c r="BC193" s="387" t="str">
        <f>IF($BA193="","",'Short Circuit'!$C193)</f>
        <v/>
      </c>
      <c r="BD193" s="387" t="str">
        <f>IF($BA193="","",'Short Circuit'!$D193)</f>
        <v/>
      </c>
      <c r="BE193" s="387" t="str">
        <f>IF($BA193="","",'Short Circuit'!$E193)</f>
        <v/>
      </c>
      <c r="BF193" s="387" t="str">
        <f>IF($BA193="","",IFERROR(_xlfn.XLOOKUP("F-"&amp;$BA193,'Feeder Schedule'!$B$5:$B$254,'Feeder Schedule'!$B$5:$B$254),IFERROR(_xlfn.XLOOKUP($BA193,'Feeder Schedule'!$B$5:$B$254,'Feeder Schedule'!$B$5:$B$254),"")))</f>
        <v/>
      </c>
      <c r="BG193" s="387" t="str">
        <f>IF($BF193="","",IFERROR(_xlfn.XLOOKUP($BF193,'Feeder Schedule'!$B$5:$B$254,'Feeder Schedule'!$A$5:$A$254),""))</f>
        <v/>
      </c>
      <c r="BH193" s="387" t="str">
        <f>IF($BF193="","",IFERROR(_xlfn.XLOOKUP($BF193,'Feeder Schedule'!$B$5:$B$254,'Feeder Schedule'!$O$5:$O$254),""))</f>
        <v/>
      </c>
      <c r="BI193" s="387" t="str">
        <f>IF($BF193="","",IFERROR(_xlfn.XLOOKUP($BF193,'Feeder Schedule'!$B$5:$B$254,'Feeder Schedule'!$P$5:$P$254),""))</f>
        <v/>
      </c>
      <c r="BJ193" s="387" t="str">
        <f>IF($BF193="","",IFERROR(_xlfn.XLOOKUP($BF193,'Feeder Schedule'!$B$5:$B$254,'Feeder Schedule'!$Q$5:$Q$254),""))</f>
        <v/>
      </c>
      <c r="BK193" s="387" t="str">
        <f>IF($BF193="","",IFERROR(_xlfn.XLOOKUP($BF193,'Feeder Schedule'!$B$5:$B$254,'Feeder Schedule'!$S$5:$S$254),""))</f>
        <v/>
      </c>
      <c r="BL193" s="387" t="str">
        <f>IF($BF193="","",IFERROR(_xlfn.XLOOKUP($BF193,'Feeder Schedule'!$B$5:$B$254,'Feeder Schedule'!$H$5:$H$254),""))</f>
        <v/>
      </c>
      <c r="BM193" s="534" t="str">
        <f>IF($BA193="","",'Short Circuit'!$J193)</f>
        <v/>
      </c>
      <c r="BN193" s="534" t="str">
        <f>IF($BA193="","",'Short Circuit'!$Q193)</f>
        <v/>
      </c>
      <c r="BO193" s="387" t="str">
        <f>IF($BA193="","",'Short Circuit'!$R193)</f>
        <v/>
      </c>
      <c r="BP193" s="535" t="str">
        <f>IF($BA193="","",'Short Circuit'!$S193)</f>
        <v/>
      </c>
      <c r="BQ193" s="387" t="str">
        <f>IF($BA193="","",'Short Circuit'!$T193)</f>
        <v/>
      </c>
      <c r="BR193" s="536" t="str">
        <f>IF($BA193="","",'Voltage Drop'!$G193)</f>
        <v/>
      </c>
      <c r="BS193" s="536" t="str">
        <f>IF($BA193="","",'Voltage Drop'!$H193)</f>
        <v/>
      </c>
      <c r="BT193" s="387" t="str">
        <f>IF($BA193="","",'Voltage Drop'!$K193)</f>
        <v/>
      </c>
      <c r="BU193" s="387" t="str">
        <f t="shared" si="4"/>
        <v/>
      </c>
      <c r="BV193" s="387"/>
      <c r="BW193" s="387" t="b">
        <f t="shared" si="5"/>
        <v>0</v>
      </c>
    </row>
    <row r="194" spans="1:75" ht="15" customHeight="1" x14ac:dyDescent="0.45">
      <c r="A194" s="161"/>
      <c r="B194" s="389"/>
      <c r="C194" s="207"/>
      <c r="D194" s="208"/>
      <c r="E194" s="161"/>
      <c r="F194" s="389"/>
      <c r="G194" s="389"/>
      <c r="H194" s="389"/>
      <c r="I194" s="389"/>
      <c r="J194" s="389"/>
      <c r="K194" s="389"/>
      <c r="L194" s="209"/>
      <c r="M194" s="209"/>
      <c r="N194" s="209"/>
      <c r="O194" s="209"/>
      <c r="P194" s="209"/>
      <c r="Q194" s="161"/>
      <c r="R194" s="390"/>
      <c r="S194" s="390"/>
      <c r="T194" s="161"/>
      <c r="U194" s="389"/>
      <c r="BA194" s="387" t="str">
        <f>IF('Short Circuit'!$A194="","",'Short Circuit'!$A194)</f>
        <v/>
      </c>
      <c r="BB194" s="387" t="str">
        <f>IF($BA194="","",'Short Circuit'!$B194)</f>
        <v/>
      </c>
      <c r="BC194" s="387" t="str">
        <f>IF($BA194="","",'Short Circuit'!$C194)</f>
        <v/>
      </c>
      <c r="BD194" s="387" t="str">
        <f>IF($BA194="","",'Short Circuit'!$D194)</f>
        <v/>
      </c>
      <c r="BE194" s="387" t="str">
        <f>IF($BA194="","",'Short Circuit'!$E194)</f>
        <v/>
      </c>
      <c r="BF194" s="387" t="str">
        <f>IF($BA194="","",IFERROR(_xlfn.XLOOKUP("F-"&amp;$BA194,'Feeder Schedule'!$B$5:$B$254,'Feeder Schedule'!$B$5:$B$254),IFERROR(_xlfn.XLOOKUP($BA194,'Feeder Schedule'!$B$5:$B$254,'Feeder Schedule'!$B$5:$B$254),"")))</f>
        <v/>
      </c>
      <c r="BG194" s="387" t="str">
        <f>IF($BF194="","",IFERROR(_xlfn.XLOOKUP($BF194,'Feeder Schedule'!$B$5:$B$254,'Feeder Schedule'!$A$5:$A$254),""))</f>
        <v/>
      </c>
      <c r="BH194" s="387" t="str">
        <f>IF($BF194="","",IFERROR(_xlfn.XLOOKUP($BF194,'Feeder Schedule'!$B$5:$B$254,'Feeder Schedule'!$O$5:$O$254),""))</f>
        <v/>
      </c>
      <c r="BI194" s="387" t="str">
        <f>IF($BF194="","",IFERROR(_xlfn.XLOOKUP($BF194,'Feeder Schedule'!$B$5:$B$254,'Feeder Schedule'!$P$5:$P$254),""))</f>
        <v/>
      </c>
      <c r="BJ194" s="387" t="str">
        <f>IF($BF194="","",IFERROR(_xlfn.XLOOKUP($BF194,'Feeder Schedule'!$B$5:$B$254,'Feeder Schedule'!$Q$5:$Q$254),""))</f>
        <v/>
      </c>
      <c r="BK194" s="387" t="str">
        <f>IF($BF194="","",IFERROR(_xlfn.XLOOKUP($BF194,'Feeder Schedule'!$B$5:$B$254,'Feeder Schedule'!$S$5:$S$254),""))</f>
        <v/>
      </c>
      <c r="BL194" s="387" t="str">
        <f>IF($BF194="","",IFERROR(_xlfn.XLOOKUP($BF194,'Feeder Schedule'!$B$5:$B$254,'Feeder Schedule'!$H$5:$H$254),""))</f>
        <v/>
      </c>
      <c r="BM194" s="534" t="str">
        <f>IF($BA194="","",'Short Circuit'!$J194)</f>
        <v/>
      </c>
      <c r="BN194" s="534" t="str">
        <f>IF($BA194="","",'Short Circuit'!$Q194)</f>
        <v/>
      </c>
      <c r="BO194" s="387" t="str">
        <f>IF($BA194="","",'Short Circuit'!$R194)</f>
        <v/>
      </c>
      <c r="BP194" s="535" t="str">
        <f>IF($BA194="","",'Short Circuit'!$S194)</f>
        <v/>
      </c>
      <c r="BQ194" s="387" t="str">
        <f>IF($BA194="","",'Short Circuit'!$T194)</f>
        <v/>
      </c>
      <c r="BR194" s="536" t="str">
        <f>IF($BA194="","",'Voltage Drop'!$G194)</f>
        <v/>
      </c>
      <c r="BS194" s="536" t="str">
        <f>IF($BA194="","",'Voltage Drop'!$H194)</f>
        <v/>
      </c>
      <c r="BT194" s="387" t="str">
        <f>IF($BA194="","",'Voltage Drop'!$K194)</f>
        <v/>
      </c>
      <c r="BU194" s="387" t="str">
        <f t="shared" si="4"/>
        <v/>
      </c>
      <c r="BV194" s="387"/>
      <c r="BW194" s="387" t="b">
        <f t="shared" si="5"/>
        <v>0</v>
      </c>
    </row>
    <row r="195" spans="1:75" ht="15" customHeight="1" x14ac:dyDescent="0.45">
      <c r="A195" s="161"/>
      <c r="B195" s="389"/>
      <c r="C195" s="207"/>
      <c r="D195" s="208"/>
      <c r="E195" s="161"/>
      <c r="F195" s="389"/>
      <c r="G195" s="389"/>
      <c r="H195" s="389"/>
      <c r="I195" s="389"/>
      <c r="J195" s="389"/>
      <c r="K195" s="389"/>
      <c r="L195" s="209"/>
      <c r="M195" s="209"/>
      <c r="N195" s="209"/>
      <c r="O195" s="209"/>
      <c r="P195" s="209"/>
      <c r="Q195" s="161"/>
      <c r="R195" s="390"/>
      <c r="S195" s="390"/>
      <c r="T195" s="161"/>
      <c r="U195" s="389"/>
      <c r="BA195" s="387" t="str">
        <f>IF('Short Circuit'!$A195="","",'Short Circuit'!$A195)</f>
        <v/>
      </c>
      <c r="BB195" s="387" t="str">
        <f>IF($BA195="","",'Short Circuit'!$B195)</f>
        <v/>
      </c>
      <c r="BC195" s="387" t="str">
        <f>IF($BA195="","",'Short Circuit'!$C195)</f>
        <v/>
      </c>
      <c r="BD195" s="387" t="str">
        <f>IF($BA195="","",'Short Circuit'!$D195)</f>
        <v/>
      </c>
      <c r="BE195" s="387" t="str">
        <f>IF($BA195="","",'Short Circuit'!$E195)</f>
        <v/>
      </c>
      <c r="BF195" s="387" t="str">
        <f>IF($BA195="","",IFERROR(_xlfn.XLOOKUP("F-"&amp;$BA195,'Feeder Schedule'!$B$5:$B$254,'Feeder Schedule'!$B$5:$B$254),IFERROR(_xlfn.XLOOKUP($BA195,'Feeder Schedule'!$B$5:$B$254,'Feeder Schedule'!$B$5:$B$254),"")))</f>
        <v/>
      </c>
      <c r="BG195" s="387" t="str">
        <f>IF($BF195="","",IFERROR(_xlfn.XLOOKUP($BF195,'Feeder Schedule'!$B$5:$B$254,'Feeder Schedule'!$A$5:$A$254),""))</f>
        <v/>
      </c>
      <c r="BH195" s="387" t="str">
        <f>IF($BF195="","",IFERROR(_xlfn.XLOOKUP($BF195,'Feeder Schedule'!$B$5:$B$254,'Feeder Schedule'!$O$5:$O$254),""))</f>
        <v/>
      </c>
      <c r="BI195" s="387" t="str">
        <f>IF($BF195="","",IFERROR(_xlfn.XLOOKUP($BF195,'Feeder Schedule'!$B$5:$B$254,'Feeder Schedule'!$P$5:$P$254),""))</f>
        <v/>
      </c>
      <c r="BJ195" s="387" t="str">
        <f>IF($BF195="","",IFERROR(_xlfn.XLOOKUP($BF195,'Feeder Schedule'!$B$5:$B$254,'Feeder Schedule'!$Q$5:$Q$254),""))</f>
        <v/>
      </c>
      <c r="BK195" s="387" t="str">
        <f>IF($BF195="","",IFERROR(_xlfn.XLOOKUP($BF195,'Feeder Schedule'!$B$5:$B$254,'Feeder Schedule'!$S$5:$S$254),""))</f>
        <v/>
      </c>
      <c r="BL195" s="387" t="str">
        <f>IF($BF195="","",IFERROR(_xlfn.XLOOKUP($BF195,'Feeder Schedule'!$B$5:$B$254,'Feeder Schedule'!$H$5:$H$254),""))</f>
        <v/>
      </c>
      <c r="BM195" s="534" t="str">
        <f>IF($BA195="","",'Short Circuit'!$J195)</f>
        <v/>
      </c>
      <c r="BN195" s="534" t="str">
        <f>IF($BA195="","",'Short Circuit'!$Q195)</f>
        <v/>
      </c>
      <c r="BO195" s="387" t="str">
        <f>IF($BA195="","",'Short Circuit'!$R195)</f>
        <v/>
      </c>
      <c r="BP195" s="535" t="str">
        <f>IF($BA195="","",'Short Circuit'!$S195)</f>
        <v/>
      </c>
      <c r="BQ195" s="387" t="str">
        <f>IF($BA195="","",'Short Circuit'!$T195)</f>
        <v/>
      </c>
      <c r="BR195" s="536" t="str">
        <f>IF($BA195="","",'Voltage Drop'!$G195)</f>
        <v/>
      </c>
      <c r="BS195" s="536" t="str">
        <f>IF($BA195="","",'Voltage Drop'!$H195)</f>
        <v/>
      </c>
      <c r="BT195" s="387" t="str">
        <f>IF($BA195="","",'Voltage Drop'!$K195)</f>
        <v/>
      </c>
      <c r="BU195" s="387" t="str">
        <f t="shared" si="4"/>
        <v/>
      </c>
      <c r="BV195" s="387"/>
      <c r="BW195" s="387" t="b">
        <f t="shared" si="5"/>
        <v>0</v>
      </c>
    </row>
    <row r="196" spans="1:75" ht="15" customHeight="1" x14ac:dyDescent="0.45">
      <c r="A196" s="161"/>
      <c r="B196" s="389"/>
      <c r="C196" s="207"/>
      <c r="D196" s="208"/>
      <c r="E196" s="161"/>
      <c r="F196" s="389"/>
      <c r="G196" s="389"/>
      <c r="H196" s="389"/>
      <c r="I196" s="389"/>
      <c r="J196" s="389"/>
      <c r="K196" s="389"/>
      <c r="L196" s="209"/>
      <c r="M196" s="209"/>
      <c r="N196" s="209"/>
      <c r="O196" s="209"/>
      <c r="P196" s="209"/>
      <c r="Q196" s="161"/>
      <c r="R196" s="390"/>
      <c r="S196" s="390"/>
      <c r="T196" s="161"/>
      <c r="U196" s="389"/>
      <c r="BA196" s="387" t="str">
        <f>IF('Short Circuit'!$A196="","",'Short Circuit'!$A196)</f>
        <v/>
      </c>
      <c r="BB196" s="387" t="str">
        <f>IF($BA196="","",'Short Circuit'!$B196)</f>
        <v/>
      </c>
      <c r="BC196" s="387" t="str">
        <f>IF($BA196="","",'Short Circuit'!$C196)</f>
        <v/>
      </c>
      <c r="BD196" s="387" t="str">
        <f>IF($BA196="","",'Short Circuit'!$D196)</f>
        <v/>
      </c>
      <c r="BE196" s="387" t="str">
        <f>IF($BA196="","",'Short Circuit'!$E196)</f>
        <v/>
      </c>
      <c r="BF196" s="387" t="str">
        <f>IF($BA196="","",IFERROR(_xlfn.XLOOKUP("F-"&amp;$BA196,'Feeder Schedule'!$B$5:$B$254,'Feeder Schedule'!$B$5:$B$254),IFERROR(_xlfn.XLOOKUP($BA196,'Feeder Schedule'!$B$5:$B$254,'Feeder Schedule'!$B$5:$B$254),"")))</f>
        <v/>
      </c>
      <c r="BG196" s="387" t="str">
        <f>IF($BF196="","",IFERROR(_xlfn.XLOOKUP($BF196,'Feeder Schedule'!$B$5:$B$254,'Feeder Schedule'!$A$5:$A$254),""))</f>
        <v/>
      </c>
      <c r="BH196" s="387" t="str">
        <f>IF($BF196="","",IFERROR(_xlfn.XLOOKUP($BF196,'Feeder Schedule'!$B$5:$B$254,'Feeder Schedule'!$O$5:$O$254),""))</f>
        <v/>
      </c>
      <c r="BI196" s="387" t="str">
        <f>IF($BF196="","",IFERROR(_xlfn.XLOOKUP($BF196,'Feeder Schedule'!$B$5:$B$254,'Feeder Schedule'!$P$5:$P$254),""))</f>
        <v/>
      </c>
      <c r="BJ196" s="387" t="str">
        <f>IF($BF196="","",IFERROR(_xlfn.XLOOKUP($BF196,'Feeder Schedule'!$B$5:$B$254,'Feeder Schedule'!$Q$5:$Q$254),""))</f>
        <v/>
      </c>
      <c r="BK196" s="387" t="str">
        <f>IF($BF196="","",IFERROR(_xlfn.XLOOKUP($BF196,'Feeder Schedule'!$B$5:$B$254,'Feeder Schedule'!$S$5:$S$254),""))</f>
        <v/>
      </c>
      <c r="BL196" s="387" t="str">
        <f>IF($BF196="","",IFERROR(_xlfn.XLOOKUP($BF196,'Feeder Schedule'!$B$5:$B$254,'Feeder Schedule'!$H$5:$H$254),""))</f>
        <v/>
      </c>
      <c r="BM196" s="534" t="str">
        <f>IF($BA196="","",'Short Circuit'!$J196)</f>
        <v/>
      </c>
      <c r="BN196" s="534" t="str">
        <f>IF($BA196="","",'Short Circuit'!$Q196)</f>
        <v/>
      </c>
      <c r="BO196" s="387" t="str">
        <f>IF($BA196="","",'Short Circuit'!$R196)</f>
        <v/>
      </c>
      <c r="BP196" s="535" t="str">
        <f>IF($BA196="","",'Short Circuit'!$S196)</f>
        <v/>
      </c>
      <c r="BQ196" s="387" t="str">
        <f>IF($BA196="","",'Short Circuit'!$T196)</f>
        <v/>
      </c>
      <c r="BR196" s="536" t="str">
        <f>IF($BA196="","",'Voltage Drop'!$G196)</f>
        <v/>
      </c>
      <c r="BS196" s="536" t="str">
        <f>IF($BA196="","",'Voltage Drop'!$H196)</f>
        <v/>
      </c>
      <c r="BT196" s="387" t="str">
        <f>IF($BA196="","",'Voltage Drop'!$K196)</f>
        <v/>
      </c>
      <c r="BU196" s="387" t="str">
        <f t="shared" si="4"/>
        <v/>
      </c>
      <c r="BV196" s="387"/>
      <c r="BW196" s="387" t="b">
        <f t="shared" si="5"/>
        <v>0</v>
      </c>
    </row>
    <row r="197" spans="1:75" ht="15" customHeight="1" x14ac:dyDescent="0.45">
      <c r="A197" s="161"/>
      <c r="B197" s="389"/>
      <c r="C197" s="207"/>
      <c r="D197" s="208"/>
      <c r="E197" s="161"/>
      <c r="F197" s="389"/>
      <c r="G197" s="389"/>
      <c r="H197" s="389"/>
      <c r="I197" s="389"/>
      <c r="J197" s="389"/>
      <c r="K197" s="389"/>
      <c r="L197" s="209"/>
      <c r="M197" s="209"/>
      <c r="N197" s="209"/>
      <c r="O197" s="209"/>
      <c r="P197" s="209"/>
      <c r="Q197" s="161"/>
      <c r="R197" s="390"/>
      <c r="S197" s="390"/>
      <c r="T197" s="161"/>
      <c r="U197" s="389"/>
      <c r="BA197" s="387" t="str">
        <f>IF('Short Circuit'!$A197="","",'Short Circuit'!$A197)</f>
        <v/>
      </c>
      <c r="BB197" s="387" t="str">
        <f>IF($BA197="","",'Short Circuit'!$B197)</f>
        <v/>
      </c>
      <c r="BC197" s="387" t="str">
        <f>IF($BA197="","",'Short Circuit'!$C197)</f>
        <v/>
      </c>
      <c r="BD197" s="387" t="str">
        <f>IF($BA197="","",'Short Circuit'!$D197)</f>
        <v/>
      </c>
      <c r="BE197" s="387" t="str">
        <f>IF($BA197="","",'Short Circuit'!$E197)</f>
        <v/>
      </c>
      <c r="BF197" s="387" t="str">
        <f>IF($BA197="","",IFERROR(_xlfn.XLOOKUP("F-"&amp;$BA197,'Feeder Schedule'!$B$5:$B$254,'Feeder Schedule'!$B$5:$B$254),IFERROR(_xlfn.XLOOKUP($BA197,'Feeder Schedule'!$B$5:$B$254,'Feeder Schedule'!$B$5:$B$254),"")))</f>
        <v/>
      </c>
      <c r="BG197" s="387" t="str">
        <f>IF($BF197="","",IFERROR(_xlfn.XLOOKUP($BF197,'Feeder Schedule'!$B$5:$B$254,'Feeder Schedule'!$A$5:$A$254),""))</f>
        <v/>
      </c>
      <c r="BH197" s="387" t="str">
        <f>IF($BF197="","",IFERROR(_xlfn.XLOOKUP($BF197,'Feeder Schedule'!$B$5:$B$254,'Feeder Schedule'!$O$5:$O$254),""))</f>
        <v/>
      </c>
      <c r="BI197" s="387" t="str">
        <f>IF($BF197="","",IFERROR(_xlfn.XLOOKUP($BF197,'Feeder Schedule'!$B$5:$B$254,'Feeder Schedule'!$P$5:$P$254),""))</f>
        <v/>
      </c>
      <c r="BJ197" s="387" t="str">
        <f>IF($BF197="","",IFERROR(_xlfn.XLOOKUP($BF197,'Feeder Schedule'!$B$5:$B$254,'Feeder Schedule'!$Q$5:$Q$254),""))</f>
        <v/>
      </c>
      <c r="BK197" s="387" t="str">
        <f>IF($BF197="","",IFERROR(_xlfn.XLOOKUP($BF197,'Feeder Schedule'!$B$5:$B$254,'Feeder Schedule'!$S$5:$S$254),""))</f>
        <v/>
      </c>
      <c r="BL197" s="387" t="str">
        <f>IF($BF197="","",IFERROR(_xlfn.XLOOKUP($BF197,'Feeder Schedule'!$B$5:$B$254,'Feeder Schedule'!$H$5:$H$254),""))</f>
        <v/>
      </c>
      <c r="BM197" s="534" t="str">
        <f>IF($BA197="","",'Short Circuit'!$J197)</f>
        <v/>
      </c>
      <c r="BN197" s="534" t="str">
        <f>IF($BA197="","",'Short Circuit'!$Q197)</f>
        <v/>
      </c>
      <c r="BO197" s="387" t="str">
        <f>IF($BA197="","",'Short Circuit'!$R197)</f>
        <v/>
      </c>
      <c r="BP197" s="535" t="str">
        <f>IF($BA197="","",'Short Circuit'!$S197)</f>
        <v/>
      </c>
      <c r="BQ197" s="387" t="str">
        <f>IF($BA197="","",'Short Circuit'!$T197)</f>
        <v/>
      </c>
      <c r="BR197" s="536" t="str">
        <f>IF($BA197="","",'Voltage Drop'!$G197)</f>
        <v/>
      </c>
      <c r="BS197" s="536" t="str">
        <f>IF($BA197="","",'Voltage Drop'!$H197)</f>
        <v/>
      </c>
      <c r="BT197" s="387" t="str">
        <f>IF($BA197="","",'Voltage Drop'!$K197)</f>
        <v/>
      </c>
      <c r="BU197" s="387" t="str">
        <f t="shared" si="4"/>
        <v/>
      </c>
      <c r="BV197" s="387"/>
      <c r="BW197" s="387" t="b">
        <f t="shared" si="5"/>
        <v>0</v>
      </c>
    </row>
    <row r="198" spans="1:75" ht="15" customHeight="1" x14ac:dyDescent="0.45">
      <c r="A198" s="161"/>
      <c r="B198" s="389"/>
      <c r="C198" s="207"/>
      <c r="D198" s="208"/>
      <c r="E198" s="161"/>
      <c r="F198" s="389"/>
      <c r="G198" s="389"/>
      <c r="H198" s="389"/>
      <c r="I198" s="389"/>
      <c r="J198" s="389"/>
      <c r="K198" s="389"/>
      <c r="L198" s="209"/>
      <c r="M198" s="209"/>
      <c r="N198" s="209"/>
      <c r="O198" s="209"/>
      <c r="P198" s="209"/>
      <c r="Q198" s="161"/>
      <c r="R198" s="390"/>
      <c r="S198" s="390"/>
      <c r="T198" s="161"/>
      <c r="U198" s="389"/>
      <c r="BA198" s="387" t="str">
        <f>IF('Short Circuit'!$A198="","",'Short Circuit'!$A198)</f>
        <v/>
      </c>
      <c r="BB198" s="387" t="str">
        <f>IF($BA198="","",'Short Circuit'!$B198)</f>
        <v/>
      </c>
      <c r="BC198" s="387" t="str">
        <f>IF($BA198="","",'Short Circuit'!$C198)</f>
        <v/>
      </c>
      <c r="BD198" s="387" t="str">
        <f>IF($BA198="","",'Short Circuit'!$D198)</f>
        <v/>
      </c>
      <c r="BE198" s="387" t="str">
        <f>IF($BA198="","",'Short Circuit'!$E198)</f>
        <v/>
      </c>
      <c r="BF198" s="387" t="str">
        <f>IF($BA198="","",IFERROR(_xlfn.XLOOKUP("F-"&amp;$BA198,'Feeder Schedule'!$B$5:$B$254,'Feeder Schedule'!$B$5:$B$254),IFERROR(_xlfn.XLOOKUP($BA198,'Feeder Schedule'!$B$5:$B$254,'Feeder Schedule'!$B$5:$B$254),"")))</f>
        <v/>
      </c>
      <c r="BG198" s="387" t="str">
        <f>IF($BF198="","",IFERROR(_xlfn.XLOOKUP($BF198,'Feeder Schedule'!$B$5:$B$254,'Feeder Schedule'!$A$5:$A$254),""))</f>
        <v/>
      </c>
      <c r="BH198" s="387" t="str">
        <f>IF($BF198="","",IFERROR(_xlfn.XLOOKUP($BF198,'Feeder Schedule'!$B$5:$B$254,'Feeder Schedule'!$O$5:$O$254),""))</f>
        <v/>
      </c>
      <c r="BI198" s="387" t="str">
        <f>IF($BF198="","",IFERROR(_xlfn.XLOOKUP($BF198,'Feeder Schedule'!$B$5:$B$254,'Feeder Schedule'!$P$5:$P$254),""))</f>
        <v/>
      </c>
      <c r="BJ198" s="387" t="str">
        <f>IF($BF198="","",IFERROR(_xlfn.XLOOKUP($BF198,'Feeder Schedule'!$B$5:$B$254,'Feeder Schedule'!$Q$5:$Q$254),""))</f>
        <v/>
      </c>
      <c r="BK198" s="387" t="str">
        <f>IF($BF198="","",IFERROR(_xlfn.XLOOKUP($BF198,'Feeder Schedule'!$B$5:$B$254,'Feeder Schedule'!$S$5:$S$254),""))</f>
        <v/>
      </c>
      <c r="BL198" s="387" t="str">
        <f>IF($BF198="","",IFERROR(_xlfn.XLOOKUP($BF198,'Feeder Schedule'!$B$5:$B$254,'Feeder Schedule'!$H$5:$H$254),""))</f>
        <v/>
      </c>
      <c r="BM198" s="534" t="str">
        <f>IF($BA198="","",'Short Circuit'!$J198)</f>
        <v/>
      </c>
      <c r="BN198" s="534" t="str">
        <f>IF($BA198="","",'Short Circuit'!$Q198)</f>
        <v/>
      </c>
      <c r="BO198" s="387" t="str">
        <f>IF($BA198="","",'Short Circuit'!$R198)</f>
        <v/>
      </c>
      <c r="BP198" s="535" t="str">
        <f>IF($BA198="","",'Short Circuit'!$S198)</f>
        <v/>
      </c>
      <c r="BQ198" s="387" t="str">
        <f>IF($BA198="","",'Short Circuit'!$T198)</f>
        <v/>
      </c>
      <c r="BR198" s="536" t="str">
        <f>IF($BA198="","",'Voltage Drop'!$G198)</f>
        <v/>
      </c>
      <c r="BS198" s="536" t="str">
        <f>IF($BA198="","",'Voltage Drop'!$H198)</f>
        <v/>
      </c>
      <c r="BT198" s="387" t="str">
        <f>IF($BA198="","",'Voltage Drop'!$K198)</f>
        <v/>
      </c>
      <c r="BU198" s="387" t="str">
        <f t="shared" si="4"/>
        <v/>
      </c>
      <c r="BV198" s="387"/>
      <c r="BW198" s="387" t="b">
        <f t="shared" si="5"/>
        <v>0</v>
      </c>
    </row>
    <row r="199" spans="1:75" ht="15" customHeight="1" x14ac:dyDescent="0.45">
      <c r="A199" s="161"/>
      <c r="B199" s="389"/>
      <c r="C199" s="207"/>
      <c r="D199" s="208"/>
      <c r="E199" s="161"/>
      <c r="F199" s="389"/>
      <c r="G199" s="389"/>
      <c r="H199" s="389"/>
      <c r="I199" s="389"/>
      <c r="J199" s="389"/>
      <c r="K199" s="389"/>
      <c r="L199" s="209"/>
      <c r="M199" s="209"/>
      <c r="N199" s="209"/>
      <c r="O199" s="209"/>
      <c r="P199" s="209"/>
      <c r="Q199" s="161"/>
      <c r="R199" s="390"/>
      <c r="S199" s="390"/>
      <c r="T199" s="161"/>
      <c r="U199" s="389"/>
      <c r="BA199" s="387" t="str">
        <f>IF('Short Circuit'!$A199="","",'Short Circuit'!$A199)</f>
        <v/>
      </c>
      <c r="BB199" s="387" t="str">
        <f>IF($BA199="","",'Short Circuit'!$B199)</f>
        <v/>
      </c>
      <c r="BC199" s="387" t="str">
        <f>IF($BA199="","",'Short Circuit'!$C199)</f>
        <v/>
      </c>
      <c r="BD199" s="387" t="str">
        <f>IF($BA199="","",'Short Circuit'!$D199)</f>
        <v/>
      </c>
      <c r="BE199" s="387" t="str">
        <f>IF($BA199="","",'Short Circuit'!$E199)</f>
        <v/>
      </c>
      <c r="BF199" s="387" t="str">
        <f>IF($BA199="","",IFERROR(_xlfn.XLOOKUP("F-"&amp;$BA199,'Feeder Schedule'!$B$5:$B$254,'Feeder Schedule'!$B$5:$B$254),IFERROR(_xlfn.XLOOKUP($BA199,'Feeder Schedule'!$B$5:$B$254,'Feeder Schedule'!$B$5:$B$254),"")))</f>
        <v/>
      </c>
      <c r="BG199" s="387" t="str">
        <f>IF($BF199="","",IFERROR(_xlfn.XLOOKUP($BF199,'Feeder Schedule'!$B$5:$B$254,'Feeder Schedule'!$A$5:$A$254),""))</f>
        <v/>
      </c>
      <c r="BH199" s="387" t="str">
        <f>IF($BF199="","",IFERROR(_xlfn.XLOOKUP($BF199,'Feeder Schedule'!$B$5:$B$254,'Feeder Schedule'!$O$5:$O$254),""))</f>
        <v/>
      </c>
      <c r="BI199" s="387" t="str">
        <f>IF($BF199="","",IFERROR(_xlfn.XLOOKUP($BF199,'Feeder Schedule'!$B$5:$B$254,'Feeder Schedule'!$P$5:$P$254),""))</f>
        <v/>
      </c>
      <c r="BJ199" s="387" t="str">
        <f>IF($BF199="","",IFERROR(_xlfn.XLOOKUP($BF199,'Feeder Schedule'!$B$5:$B$254,'Feeder Schedule'!$Q$5:$Q$254),""))</f>
        <v/>
      </c>
      <c r="BK199" s="387" t="str">
        <f>IF($BF199="","",IFERROR(_xlfn.XLOOKUP($BF199,'Feeder Schedule'!$B$5:$B$254,'Feeder Schedule'!$S$5:$S$254),""))</f>
        <v/>
      </c>
      <c r="BL199" s="387" t="str">
        <f>IF($BF199="","",IFERROR(_xlfn.XLOOKUP($BF199,'Feeder Schedule'!$B$5:$B$254,'Feeder Schedule'!$H$5:$H$254),""))</f>
        <v/>
      </c>
      <c r="BM199" s="534" t="str">
        <f>IF($BA199="","",'Short Circuit'!$J199)</f>
        <v/>
      </c>
      <c r="BN199" s="534" t="str">
        <f>IF($BA199="","",'Short Circuit'!$Q199)</f>
        <v/>
      </c>
      <c r="BO199" s="387" t="str">
        <f>IF($BA199="","",'Short Circuit'!$R199)</f>
        <v/>
      </c>
      <c r="BP199" s="535" t="str">
        <f>IF($BA199="","",'Short Circuit'!$S199)</f>
        <v/>
      </c>
      <c r="BQ199" s="387" t="str">
        <f>IF($BA199="","",'Short Circuit'!$T199)</f>
        <v/>
      </c>
      <c r="BR199" s="536" t="str">
        <f>IF($BA199="","",'Voltage Drop'!$G199)</f>
        <v/>
      </c>
      <c r="BS199" s="536" t="str">
        <f>IF($BA199="","",'Voltage Drop'!$H199)</f>
        <v/>
      </c>
      <c r="BT199" s="387" t="str">
        <f>IF($BA199="","",'Voltage Drop'!$K199)</f>
        <v/>
      </c>
      <c r="BU199" s="387" t="str">
        <f t="shared" ref="BU199:BU255" si="6">IF($BA199="","",IF($BC199=0,"— utility source —",IF(OR(ISNUMBER(SEARCH("FAIL",$BQ199&amp;$BT199))),"FAIL",IF(ISNUMBER(SEARCH("⚠",$BQ199&amp;$BT199)),"REVIEW","PASS"))))</f>
        <v/>
      </c>
      <c r="BV199" s="387"/>
      <c r="BW199" s="387" t="b">
        <f t="shared" ref="BW199:BW255" si="7">IF($BA199="",FALSE,AND(OR($B$3="All",$B$3="",$BC199=$B$3),OR($D$3="All",$D$3="",$BB199=$D$3),IF($F$3="Failures only",ISNUMBER(SEARCH("FAIL",$BQ199&amp;$BT199)),IF($F$3="Warnings &amp; failures only",OR(ISNUMBER(SEARCH("FAIL",$BQ199&amp;$BT199)),ISNUMBER(SEARCH("⚠",$BQ199&amp;$BT199))),TRUE))))</f>
        <v>0</v>
      </c>
    </row>
    <row r="200" spans="1:75" ht="15" customHeight="1" x14ac:dyDescent="0.45">
      <c r="A200" s="161"/>
      <c r="B200" s="389"/>
      <c r="C200" s="207"/>
      <c r="D200" s="208"/>
      <c r="E200" s="161"/>
      <c r="F200" s="389"/>
      <c r="G200" s="389"/>
      <c r="H200" s="389"/>
      <c r="I200" s="389"/>
      <c r="J200" s="389"/>
      <c r="K200" s="389"/>
      <c r="L200" s="209"/>
      <c r="M200" s="209"/>
      <c r="N200" s="209"/>
      <c r="O200" s="209"/>
      <c r="P200" s="209"/>
      <c r="Q200" s="161"/>
      <c r="R200" s="390"/>
      <c r="S200" s="390"/>
      <c r="T200" s="161"/>
      <c r="U200" s="389"/>
      <c r="BA200" s="387" t="str">
        <f>IF('Short Circuit'!$A200="","",'Short Circuit'!$A200)</f>
        <v/>
      </c>
      <c r="BB200" s="387" t="str">
        <f>IF($BA200="","",'Short Circuit'!$B200)</f>
        <v/>
      </c>
      <c r="BC200" s="387" t="str">
        <f>IF($BA200="","",'Short Circuit'!$C200)</f>
        <v/>
      </c>
      <c r="BD200" s="387" t="str">
        <f>IF($BA200="","",'Short Circuit'!$D200)</f>
        <v/>
      </c>
      <c r="BE200" s="387" t="str">
        <f>IF($BA200="","",'Short Circuit'!$E200)</f>
        <v/>
      </c>
      <c r="BF200" s="387" t="str">
        <f>IF($BA200="","",IFERROR(_xlfn.XLOOKUP("F-"&amp;$BA200,'Feeder Schedule'!$B$5:$B$254,'Feeder Schedule'!$B$5:$B$254),IFERROR(_xlfn.XLOOKUP($BA200,'Feeder Schedule'!$B$5:$B$254,'Feeder Schedule'!$B$5:$B$254),"")))</f>
        <v/>
      </c>
      <c r="BG200" s="387" t="str">
        <f>IF($BF200="","",IFERROR(_xlfn.XLOOKUP($BF200,'Feeder Schedule'!$B$5:$B$254,'Feeder Schedule'!$A$5:$A$254),""))</f>
        <v/>
      </c>
      <c r="BH200" s="387" t="str">
        <f>IF($BF200="","",IFERROR(_xlfn.XLOOKUP($BF200,'Feeder Schedule'!$B$5:$B$254,'Feeder Schedule'!$O$5:$O$254),""))</f>
        <v/>
      </c>
      <c r="BI200" s="387" t="str">
        <f>IF($BF200="","",IFERROR(_xlfn.XLOOKUP($BF200,'Feeder Schedule'!$B$5:$B$254,'Feeder Schedule'!$P$5:$P$254),""))</f>
        <v/>
      </c>
      <c r="BJ200" s="387" t="str">
        <f>IF($BF200="","",IFERROR(_xlfn.XLOOKUP($BF200,'Feeder Schedule'!$B$5:$B$254,'Feeder Schedule'!$Q$5:$Q$254),""))</f>
        <v/>
      </c>
      <c r="BK200" s="387" t="str">
        <f>IF($BF200="","",IFERROR(_xlfn.XLOOKUP($BF200,'Feeder Schedule'!$B$5:$B$254,'Feeder Schedule'!$S$5:$S$254),""))</f>
        <v/>
      </c>
      <c r="BL200" s="387" t="str">
        <f>IF($BF200="","",IFERROR(_xlfn.XLOOKUP($BF200,'Feeder Schedule'!$B$5:$B$254,'Feeder Schedule'!$H$5:$H$254),""))</f>
        <v/>
      </c>
      <c r="BM200" s="534" t="str">
        <f>IF($BA200="","",'Short Circuit'!$J200)</f>
        <v/>
      </c>
      <c r="BN200" s="534" t="str">
        <f>IF($BA200="","",'Short Circuit'!$Q200)</f>
        <v/>
      </c>
      <c r="BO200" s="387" t="str">
        <f>IF($BA200="","",'Short Circuit'!$R200)</f>
        <v/>
      </c>
      <c r="BP200" s="535" t="str">
        <f>IF($BA200="","",'Short Circuit'!$S200)</f>
        <v/>
      </c>
      <c r="BQ200" s="387" t="str">
        <f>IF($BA200="","",'Short Circuit'!$T200)</f>
        <v/>
      </c>
      <c r="BR200" s="536" t="str">
        <f>IF($BA200="","",'Voltage Drop'!$G200)</f>
        <v/>
      </c>
      <c r="BS200" s="536" t="str">
        <f>IF($BA200="","",'Voltage Drop'!$H200)</f>
        <v/>
      </c>
      <c r="BT200" s="387" t="str">
        <f>IF($BA200="","",'Voltage Drop'!$K200)</f>
        <v/>
      </c>
      <c r="BU200" s="387" t="str">
        <f t="shared" si="6"/>
        <v/>
      </c>
      <c r="BV200" s="387"/>
      <c r="BW200" s="387" t="b">
        <f t="shared" si="7"/>
        <v>0</v>
      </c>
    </row>
    <row r="201" spans="1:75" ht="15" customHeight="1" x14ac:dyDescent="0.45">
      <c r="A201" s="161"/>
      <c r="B201" s="389"/>
      <c r="C201" s="207"/>
      <c r="D201" s="208"/>
      <c r="E201" s="161"/>
      <c r="F201" s="389"/>
      <c r="G201" s="389"/>
      <c r="H201" s="389"/>
      <c r="I201" s="389"/>
      <c r="J201" s="389"/>
      <c r="K201" s="389"/>
      <c r="L201" s="209"/>
      <c r="M201" s="209"/>
      <c r="N201" s="209"/>
      <c r="O201" s="209"/>
      <c r="P201" s="209"/>
      <c r="Q201" s="161"/>
      <c r="R201" s="390"/>
      <c r="S201" s="390"/>
      <c r="T201" s="161"/>
      <c r="U201" s="389"/>
      <c r="BA201" s="387" t="str">
        <f>IF('Short Circuit'!$A201="","",'Short Circuit'!$A201)</f>
        <v/>
      </c>
      <c r="BB201" s="387" t="str">
        <f>IF($BA201="","",'Short Circuit'!$B201)</f>
        <v/>
      </c>
      <c r="BC201" s="387" t="str">
        <f>IF($BA201="","",'Short Circuit'!$C201)</f>
        <v/>
      </c>
      <c r="BD201" s="387" t="str">
        <f>IF($BA201="","",'Short Circuit'!$D201)</f>
        <v/>
      </c>
      <c r="BE201" s="387" t="str">
        <f>IF($BA201="","",'Short Circuit'!$E201)</f>
        <v/>
      </c>
      <c r="BF201" s="387" t="str">
        <f>IF($BA201="","",IFERROR(_xlfn.XLOOKUP("F-"&amp;$BA201,'Feeder Schedule'!$B$5:$B$254,'Feeder Schedule'!$B$5:$B$254),IFERROR(_xlfn.XLOOKUP($BA201,'Feeder Schedule'!$B$5:$B$254,'Feeder Schedule'!$B$5:$B$254),"")))</f>
        <v/>
      </c>
      <c r="BG201" s="387" t="str">
        <f>IF($BF201="","",IFERROR(_xlfn.XLOOKUP($BF201,'Feeder Schedule'!$B$5:$B$254,'Feeder Schedule'!$A$5:$A$254),""))</f>
        <v/>
      </c>
      <c r="BH201" s="387" t="str">
        <f>IF($BF201="","",IFERROR(_xlfn.XLOOKUP($BF201,'Feeder Schedule'!$B$5:$B$254,'Feeder Schedule'!$O$5:$O$254),""))</f>
        <v/>
      </c>
      <c r="BI201" s="387" t="str">
        <f>IF($BF201="","",IFERROR(_xlfn.XLOOKUP($BF201,'Feeder Schedule'!$B$5:$B$254,'Feeder Schedule'!$P$5:$P$254),""))</f>
        <v/>
      </c>
      <c r="BJ201" s="387" t="str">
        <f>IF($BF201="","",IFERROR(_xlfn.XLOOKUP($BF201,'Feeder Schedule'!$B$5:$B$254,'Feeder Schedule'!$Q$5:$Q$254),""))</f>
        <v/>
      </c>
      <c r="BK201" s="387" t="str">
        <f>IF($BF201="","",IFERROR(_xlfn.XLOOKUP($BF201,'Feeder Schedule'!$B$5:$B$254,'Feeder Schedule'!$S$5:$S$254),""))</f>
        <v/>
      </c>
      <c r="BL201" s="387" t="str">
        <f>IF($BF201="","",IFERROR(_xlfn.XLOOKUP($BF201,'Feeder Schedule'!$B$5:$B$254,'Feeder Schedule'!$H$5:$H$254),""))</f>
        <v/>
      </c>
      <c r="BM201" s="534" t="str">
        <f>IF($BA201="","",'Short Circuit'!$J201)</f>
        <v/>
      </c>
      <c r="BN201" s="534" t="str">
        <f>IF($BA201="","",'Short Circuit'!$Q201)</f>
        <v/>
      </c>
      <c r="BO201" s="387" t="str">
        <f>IF($BA201="","",'Short Circuit'!$R201)</f>
        <v/>
      </c>
      <c r="BP201" s="535" t="str">
        <f>IF($BA201="","",'Short Circuit'!$S201)</f>
        <v/>
      </c>
      <c r="BQ201" s="387" t="str">
        <f>IF($BA201="","",'Short Circuit'!$T201)</f>
        <v/>
      </c>
      <c r="BR201" s="536" t="str">
        <f>IF($BA201="","",'Voltage Drop'!$G201)</f>
        <v/>
      </c>
      <c r="BS201" s="536" t="str">
        <f>IF($BA201="","",'Voltage Drop'!$H201)</f>
        <v/>
      </c>
      <c r="BT201" s="387" t="str">
        <f>IF($BA201="","",'Voltage Drop'!$K201)</f>
        <v/>
      </c>
      <c r="BU201" s="387" t="str">
        <f t="shared" si="6"/>
        <v/>
      </c>
      <c r="BV201" s="387"/>
      <c r="BW201" s="387" t="b">
        <f t="shared" si="7"/>
        <v>0</v>
      </c>
    </row>
    <row r="202" spans="1:75" ht="15" customHeight="1" x14ac:dyDescent="0.45">
      <c r="A202" s="161"/>
      <c r="B202" s="389"/>
      <c r="C202" s="207"/>
      <c r="D202" s="208"/>
      <c r="E202" s="161"/>
      <c r="F202" s="389"/>
      <c r="G202" s="389"/>
      <c r="H202" s="389"/>
      <c r="I202" s="389"/>
      <c r="J202" s="389"/>
      <c r="K202" s="389"/>
      <c r="L202" s="209"/>
      <c r="M202" s="209"/>
      <c r="N202" s="209"/>
      <c r="O202" s="209"/>
      <c r="P202" s="209"/>
      <c r="Q202" s="161"/>
      <c r="R202" s="390"/>
      <c r="S202" s="390"/>
      <c r="T202" s="161"/>
      <c r="U202" s="389"/>
      <c r="BA202" s="387" t="str">
        <f>IF('Short Circuit'!$A202="","",'Short Circuit'!$A202)</f>
        <v/>
      </c>
      <c r="BB202" s="387" t="str">
        <f>IF($BA202="","",'Short Circuit'!$B202)</f>
        <v/>
      </c>
      <c r="BC202" s="387" t="str">
        <f>IF($BA202="","",'Short Circuit'!$C202)</f>
        <v/>
      </c>
      <c r="BD202" s="387" t="str">
        <f>IF($BA202="","",'Short Circuit'!$D202)</f>
        <v/>
      </c>
      <c r="BE202" s="387" t="str">
        <f>IF($BA202="","",'Short Circuit'!$E202)</f>
        <v/>
      </c>
      <c r="BF202" s="387" t="str">
        <f>IF($BA202="","",IFERROR(_xlfn.XLOOKUP("F-"&amp;$BA202,'Feeder Schedule'!$B$5:$B$254,'Feeder Schedule'!$B$5:$B$254),IFERROR(_xlfn.XLOOKUP($BA202,'Feeder Schedule'!$B$5:$B$254,'Feeder Schedule'!$B$5:$B$254),"")))</f>
        <v/>
      </c>
      <c r="BG202" s="387" t="str">
        <f>IF($BF202="","",IFERROR(_xlfn.XLOOKUP($BF202,'Feeder Schedule'!$B$5:$B$254,'Feeder Schedule'!$A$5:$A$254),""))</f>
        <v/>
      </c>
      <c r="BH202" s="387" t="str">
        <f>IF($BF202="","",IFERROR(_xlfn.XLOOKUP($BF202,'Feeder Schedule'!$B$5:$B$254,'Feeder Schedule'!$O$5:$O$254),""))</f>
        <v/>
      </c>
      <c r="BI202" s="387" t="str">
        <f>IF($BF202="","",IFERROR(_xlfn.XLOOKUP($BF202,'Feeder Schedule'!$B$5:$B$254,'Feeder Schedule'!$P$5:$P$254),""))</f>
        <v/>
      </c>
      <c r="BJ202" s="387" t="str">
        <f>IF($BF202="","",IFERROR(_xlfn.XLOOKUP($BF202,'Feeder Schedule'!$B$5:$B$254,'Feeder Schedule'!$Q$5:$Q$254),""))</f>
        <v/>
      </c>
      <c r="BK202" s="387" t="str">
        <f>IF($BF202="","",IFERROR(_xlfn.XLOOKUP($BF202,'Feeder Schedule'!$B$5:$B$254,'Feeder Schedule'!$S$5:$S$254),""))</f>
        <v/>
      </c>
      <c r="BL202" s="387" t="str">
        <f>IF($BF202="","",IFERROR(_xlfn.XLOOKUP($BF202,'Feeder Schedule'!$B$5:$B$254,'Feeder Schedule'!$H$5:$H$254),""))</f>
        <v/>
      </c>
      <c r="BM202" s="534" t="str">
        <f>IF($BA202="","",'Short Circuit'!$J202)</f>
        <v/>
      </c>
      <c r="BN202" s="534" t="str">
        <f>IF($BA202="","",'Short Circuit'!$Q202)</f>
        <v/>
      </c>
      <c r="BO202" s="387" t="str">
        <f>IF($BA202="","",'Short Circuit'!$R202)</f>
        <v/>
      </c>
      <c r="BP202" s="535" t="str">
        <f>IF($BA202="","",'Short Circuit'!$S202)</f>
        <v/>
      </c>
      <c r="BQ202" s="387" t="str">
        <f>IF($BA202="","",'Short Circuit'!$T202)</f>
        <v/>
      </c>
      <c r="BR202" s="536" t="str">
        <f>IF($BA202="","",'Voltage Drop'!$G202)</f>
        <v/>
      </c>
      <c r="BS202" s="536" t="str">
        <f>IF($BA202="","",'Voltage Drop'!$H202)</f>
        <v/>
      </c>
      <c r="BT202" s="387" t="str">
        <f>IF($BA202="","",'Voltage Drop'!$K202)</f>
        <v/>
      </c>
      <c r="BU202" s="387" t="str">
        <f t="shared" si="6"/>
        <v/>
      </c>
      <c r="BV202" s="387"/>
      <c r="BW202" s="387" t="b">
        <f t="shared" si="7"/>
        <v>0</v>
      </c>
    </row>
    <row r="203" spans="1:75" ht="15" customHeight="1" x14ac:dyDescent="0.45">
      <c r="A203" s="161"/>
      <c r="B203" s="389"/>
      <c r="C203" s="207"/>
      <c r="D203" s="208"/>
      <c r="E203" s="161"/>
      <c r="F203" s="389"/>
      <c r="G203" s="389"/>
      <c r="H203" s="389"/>
      <c r="I203" s="389"/>
      <c r="J203" s="389"/>
      <c r="K203" s="389"/>
      <c r="L203" s="209"/>
      <c r="M203" s="209"/>
      <c r="N203" s="209"/>
      <c r="O203" s="209"/>
      <c r="P203" s="209"/>
      <c r="Q203" s="161"/>
      <c r="R203" s="390"/>
      <c r="S203" s="390"/>
      <c r="T203" s="161"/>
      <c r="U203" s="389"/>
      <c r="BA203" s="387" t="str">
        <f>IF('Short Circuit'!$A203="","",'Short Circuit'!$A203)</f>
        <v/>
      </c>
      <c r="BB203" s="387" t="str">
        <f>IF($BA203="","",'Short Circuit'!$B203)</f>
        <v/>
      </c>
      <c r="BC203" s="387" t="str">
        <f>IF($BA203="","",'Short Circuit'!$C203)</f>
        <v/>
      </c>
      <c r="BD203" s="387" t="str">
        <f>IF($BA203="","",'Short Circuit'!$D203)</f>
        <v/>
      </c>
      <c r="BE203" s="387" t="str">
        <f>IF($BA203="","",'Short Circuit'!$E203)</f>
        <v/>
      </c>
      <c r="BF203" s="387" t="str">
        <f>IF($BA203="","",IFERROR(_xlfn.XLOOKUP("F-"&amp;$BA203,'Feeder Schedule'!$B$5:$B$254,'Feeder Schedule'!$B$5:$B$254),IFERROR(_xlfn.XLOOKUP($BA203,'Feeder Schedule'!$B$5:$B$254,'Feeder Schedule'!$B$5:$B$254),"")))</f>
        <v/>
      </c>
      <c r="BG203" s="387" t="str">
        <f>IF($BF203="","",IFERROR(_xlfn.XLOOKUP($BF203,'Feeder Schedule'!$B$5:$B$254,'Feeder Schedule'!$A$5:$A$254),""))</f>
        <v/>
      </c>
      <c r="BH203" s="387" t="str">
        <f>IF($BF203="","",IFERROR(_xlfn.XLOOKUP($BF203,'Feeder Schedule'!$B$5:$B$254,'Feeder Schedule'!$O$5:$O$254),""))</f>
        <v/>
      </c>
      <c r="BI203" s="387" t="str">
        <f>IF($BF203="","",IFERROR(_xlfn.XLOOKUP($BF203,'Feeder Schedule'!$B$5:$B$254,'Feeder Schedule'!$P$5:$P$254),""))</f>
        <v/>
      </c>
      <c r="BJ203" s="387" t="str">
        <f>IF($BF203="","",IFERROR(_xlfn.XLOOKUP($BF203,'Feeder Schedule'!$B$5:$B$254,'Feeder Schedule'!$Q$5:$Q$254),""))</f>
        <v/>
      </c>
      <c r="BK203" s="387" t="str">
        <f>IF($BF203="","",IFERROR(_xlfn.XLOOKUP($BF203,'Feeder Schedule'!$B$5:$B$254,'Feeder Schedule'!$S$5:$S$254),""))</f>
        <v/>
      </c>
      <c r="BL203" s="387" t="str">
        <f>IF($BF203="","",IFERROR(_xlfn.XLOOKUP($BF203,'Feeder Schedule'!$B$5:$B$254,'Feeder Schedule'!$H$5:$H$254),""))</f>
        <v/>
      </c>
      <c r="BM203" s="534" t="str">
        <f>IF($BA203="","",'Short Circuit'!$J203)</f>
        <v/>
      </c>
      <c r="BN203" s="534" t="str">
        <f>IF($BA203="","",'Short Circuit'!$Q203)</f>
        <v/>
      </c>
      <c r="BO203" s="387" t="str">
        <f>IF($BA203="","",'Short Circuit'!$R203)</f>
        <v/>
      </c>
      <c r="BP203" s="535" t="str">
        <f>IF($BA203="","",'Short Circuit'!$S203)</f>
        <v/>
      </c>
      <c r="BQ203" s="387" t="str">
        <f>IF($BA203="","",'Short Circuit'!$T203)</f>
        <v/>
      </c>
      <c r="BR203" s="536" t="str">
        <f>IF($BA203="","",'Voltage Drop'!$G203)</f>
        <v/>
      </c>
      <c r="BS203" s="536" t="str">
        <f>IF($BA203="","",'Voltage Drop'!$H203)</f>
        <v/>
      </c>
      <c r="BT203" s="387" t="str">
        <f>IF($BA203="","",'Voltage Drop'!$K203)</f>
        <v/>
      </c>
      <c r="BU203" s="387" t="str">
        <f t="shared" si="6"/>
        <v/>
      </c>
      <c r="BV203" s="387"/>
      <c r="BW203" s="387" t="b">
        <f t="shared" si="7"/>
        <v>0</v>
      </c>
    </row>
    <row r="204" spans="1:75" ht="15" customHeight="1" x14ac:dyDescent="0.45">
      <c r="A204" s="161"/>
      <c r="B204" s="389"/>
      <c r="C204" s="207"/>
      <c r="D204" s="208"/>
      <c r="E204" s="161"/>
      <c r="F204" s="389"/>
      <c r="G204" s="389"/>
      <c r="H204" s="389"/>
      <c r="I204" s="389"/>
      <c r="J204" s="389"/>
      <c r="K204" s="389"/>
      <c r="L204" s="209"/>
      <c r="M204" s="209"/>
      <c r="N204" s="209"/>
      <c r="O204" s="209"/>
      <c r="P204" s="209"/>
      <c r="Q204" s="161"/>
      <c r="R204" s="390"/>
      <c r="S204" s="390"/>
      <c r="T204" s="161"/>
      <c r="U204" s="389"/>
      <c r="BA204" s="387" t="str">
        <f>IF('Short Circuit'!$A204="","",'Short Circuit'!$A204)</f>
        <v/>
      </c>
      <c r="BB204" s="387" t="str">
        <f>IF($BA204="","",'Short Circuit'!$B204)</f>
        <v/>
      </c>
      <c r="BC204" s="387" t="str">
        <f>IF($BA204="","",'Short Circuit'!$C204)</f>
        <v/>
      </c>
      <c r="BD204" s="387" t="str">
        <f>IF($BA204="","",'Short Circuit'!$D204)</f>
        <v/>
      </c>
      <c r="BE204" s="387" t="str">
        <f>IF($BA204="","",'Short Circuit'!$E204)</f>
        <v/>
      </c>
      <c r="BF204" s="387" t="str">
        <f>IF($BA204="","",IFERROR(_xlfn.XLOOKUP("F-"&amp;$BA204,'Feeder Schedule'!$B$5:$B$254,'Feeder Schedule'!$B$5:$B$254),IFERROR(_xlfn.XLOOKUP($BA204,'Feeder Schedule'!$B$5:$B$254,'Feeder Schedule'!$B$5:$B$254),"")))</f>
        <v/>
      </c>
      <c r="BG204" s="387" t="str">
        <f>IF($BF204="","",IFERROR(_xlfn.XLOOKUP($BF204,'Feeder Schedule'!$B$5:$B$254,'Feeder Schedule'!$A$5:$A$254),""))</f>
        <v/>
      </c>
      <c r="BH204" s="387" t="str">
        <f>IF($BF204="","",IFERROR(_xlfn.XLOOKUP($BF204,'Feeder Schedule'!$B$5:$B$254,'Feeder Schedule'!$O$5:$O$254),""))</f>
        <v/>
      </c>
      <c r="BI204" s="387" t="str">
        <f>IF($BF204="","",IFERROR(_xlfn.XLOOKUP($BF204,'Feeder Schedule'!$B$5:$B$254,'Feeder Schedule'!$P$5:$P$254),""))</f>
        <v/>
      </c>
      <c r="BJ204" s="387" t="str">
        <f>IF($BF204="","",IFERROR(_xlfn.XLOOKUP($BF204,'Feeder Schedule'!$B$5:$B$254,'Feeder Schedule'!$Q$5:$Q$254),""))</f>
        <v/>
      </c>
      <c r="BK204" s="387" t="str">
        <f>IF($BF204="","",IFERROR(_xlfn.XLOOKUP($BF204,'Feeder Schedule'!$B$5:$B$254,'Feeder Schedule'!$S$5:$S$254),""))</f>
        <v/>
      </c>
      <c r="BL204" s="387" t="str">
        <f>IF($BF204="","",IFERROR(_xlfn.XLOOKUP($BF204,'Feeder Schedule'!$B$5:$B$254,'Feeder Schedule'!$H$5:$H$254),""))</f>
        <v/>
      </c>
      <c r="BM204" s="534" t="str">
        <f>IF($BA204="","",'Short Circuit'!$J204)</f>
        <v/>
      </c>
      <c r="BN204" s="534" t="str">
        <f>IF($BA204="","",'Short Circuit'!$Q204)</f>
        <v/>
      </c>
      <c r="BO204" s="387" t="str">
        <f>IF($BA204="","",'Short Circuit'!$R204)</f>
        <v/>
      </c>
      <c r="BP204" s="535" t="str">
        <f>IF($BA204="","",'Short Circuit'!$S204)</f>
        <v/>
      </c>
      <c r="BQ204" s="387" t="str">
        <f>IF($BA204="","",'Short Circuit'!$T204)</f>
        <v/>
      </c>
      <c r="BR204" s="536" t="str">
        <f>IF($BA204="","",'Voltage Drop'!$G204)</f>
        <v/>
      </c>
      <c r="BS204" s="536" t="str">
        <f>IF($BA204="","",'Voltage Drop'!$H204)</f>
        <v/>
      </c>
      <c r="BT204" s="387" t="str">
        <f>IF($BA204="","",'Voltage Drop'!$K204)</f>
        <v/>
      </c>
      <c r="BU204" s="387" t="str">
        <f t="shared" si="6"/>
        <v/>
      </c>
      <c r="BV204" s="387"/>
      <c r="BW204" s="387" t="b">
        <f t="shared" si="7"/>
        <v>0</v>
      </c>
    </row>
    <row r="205" spans="1:75" ht="15" customHeight="1" x14ac:dyDescent="0.45">
      <c r="A205" s="161"/>
      <c r="B205" s="389"/>
      <c r="C205" s="207"/>
      <c r="D205" s="208"/>
      <c r="E205" s="161"/>
      <c r="F205" s="389"/>
      <c r="G205" s="389"/>
      <c r="H205" s="389"/>
      <c r="I205" s="389"/>
      <c r="J205" s="389"/>
      <c r="K205" s="389"/>
      <c r="L205" s="209"/>
      <c r="M205" s="209"/>
      <c r="N205" s="209"/>
      <c r="O205" s="209"/>
      <c r="P205" s="209"/>
      <c r="Q205" s="161"/>
      <c r="R205" s="390"/>
      <c r="S205" s="390"/>
      <c r="T205" s="161"/>
      <c r="U205" s="389"/>
      <c r="BA205" s="387" t="str">
        <f>IF('Short Circuit'!$A205="","",'Short Circuit'!$A205)</f>
        <v/>
      </c>
      <c r="BB205" s="387" t="str">
        <f>IF($BA205="","",'Short Circuit'!$B205)</f>
        <v/>
      </c>
      <c r="BC205" s="387" t="str">
        <f>IF($BA205="","",'Short Circuit'!$C205)</f>
        <v/>
      </c>
      <c r="BD205" s="387" t="str">
        <f>IF($BA205="","",'Short Circuit'!$D205)</f>
        <v/>
      </c>
      <c r="BE205" s="387" t="str">
        <f>IF($BA205="","",'Short Circuit'!$E205)</f>
        <v/>
      </c>
      <c r="BF205" s="387" t="str">
        <f>IF($BA205="","",IFERROR(_xlfn.XLOOKUP("F-"&amp;$BA205,'Feeder Schedule'!$B$5:$B$254,'Feeder Schedule'!$B$5:$B$254),IFERROR(_xlfn.XLOOKUP($BA205,'Feeder Schedule'!$B$5:$B$254,'Feeder Schedule'!$B$5:$B$254),"")))</f>
        <v/>
      </c>
      <c r="BG205" s="387" t="str">
        <f>IF($BF205="","",IFERROR(_xlfn.XLOOKUP($BF205,'Feeder Schedule'!$B$5:$B$254,'Feeder Schedule'!$A$5:$A$254),""))</f>
        <v/>
      </c>
      <c r="BH205" s="387" t="str">
        <f>IF($BF205="","",IFERROR(_xlfn.XLOOKUP($BF205,'Feeder Schedule'!$B$5:$B$254,'Feeder Schedule'!$O$5:$O$254),""))</f>
        <v/>
      </c>
      <c r="BI205" s="387" t="str">
        <f>IF($BF205="","",IFERROR(_xlfn.XLOOKUP($BF205,'Feeder Schedule'!$B$5:$B$254,'Feeder Schedule'!$P$5:$P$254),""))</f>
        <v/>
      </c>
      <c r="BJ205" s="387" t="str">
        <f>IF($BF205="","",IFERROR(_xlfn.XLOOKUP($BF205,'Feeder Schedule'!$B$5:$B$254,'Feeder Schedule'!$Q$5:$Q$254),""))</f>
        <v/>
      </c>
      <c r="BK205" s="387" t="str">
        <f>IF($BF205="","",IFERROR(_xlfn.XLOOKUP($BF205,'Feeder Schedule'!$B$5:$B$254,'Feeder Schedule'!$S$5:$S$254),""))</f>
        <v/>
      </c>
      <c r="BL205" s="387" t="str">
        <f>IF($BF205="","",IFERROR(_xlfn.XLOOKUP($BF205,'Feeder Schedule'!$B$5:$B$254,'Feeder Schedule'!$H$5:$H$254),""))</f>
        <v/>
      </c>
      <c r="BM205" s="534" t="str">
        <f>IF($BA205="","",'Short Circuit'!$J205)</f>
        <v/>
      </c>
      <c r="BN205" s="534" t="str">
        <f>IF($BA205="","",'Short Circuit'!$Q205)</f>
        <v/>
      </c>
      <c r="BO205" s="387" t="str">
        <f>IF($BA205="","",'Short Circuit'!$R205)</f>
        <v/>
      </c>
      <c r="BP205" s="535" t="str">
        <f>IF($BA205="","",'Short Circuit'!$S205)</f>
        <v/>
      </c>
      <c r="BQ205" s="387" t="str">
        <f>IF($BA205="","",'Short Circuit'!$T205)</f>
        <v/>
      </c>
      <c r="BR205" s="536" t="str">
        <f>IF($BA205="","",'Voltage Drop'!$G205)</f>
        <v/>
      </c>
      <c r="BS205" s="536" t="str">
        <f>IF($BA205="","",'Voltage Drop'!$H205)</f>
        <v/>
      </c>
      <c r="BT205" s="387" t="str">
        <f>IF($BA205="","",'Voltage Drop'!$K205)</f>
        <v/>
      </c>
      <c r="BU205" s="387" t="str">
        <f t="shared" si="6"/>
        <v/>
      </c>
      <c r="BV205" s="387"/>
      <c r="BW205" s="387" t="b">
        <f t="shared" si="7"/>
        <v>0</v>
      </c>
    </row>
    <row r="206" spans="1:75" ht="15" customHeight="1" x14ac:dyDescent="0.45">
      <c r="A206" s="161"/>
      <c r="B206" s="389"/>
      <c r="C206" s="207"/>
      <c r="D206" s="208"/>
      <c r="E206" s="161"/>
      <c r="F206" s="389"/>
      <c r="G206" s="389"/>
      <c r="H206" s="389"/>
      <c r="I206" s="389"/>
      <c r="J206" s="389"/>
      <c r="K206" s="389"/>
      <c r="L206" s="209"/>
      <c r="M206" s="209"/>
      <c r="N206" s="209"/>
      <c r="O206" s="209"/>
      <c r="P206" s="209"/>
      <c r="Q206" s="161"/>
      <c r="R206" s="390"/>
      <c r="S206" s="390"/>
      <c r="T206" s="161"/>
      <c r="U206" s="389"/>
      <c r="BA206" s="387" t="str">
        <f>IF('Short Circuit'!$A206="","",'Short Circuit'!$A206)</f>
        <v/>
      </c>
      <c r="BB206" s="387" t="str">
        <f>IF($BA206="","",'Short Circuit'!$B206)</f>
        <v/>
      </c>
      <c r="BC206" s="387" t="str">
        <f>IF($BA206="","",'Short Circuit'!$C206)</f>
        <v/>
      </c>
      <c r="BD206" s="387" t="str">
        <f>IF($BA206="","",'Short Circuit'!$D206)</f>
        <v/>
      </c>
      <c r="BE206" s="387" t="str">
        <f>IF($BA206="","",'Short Circuit'!$E206)</f>
        <v/>
      </c>
      <c r="BF206" s="387" t="str">
        <f>IF($BA206="","",IFERROR(_xlfn.XLOOKUP("F-"&amp;$BA206,'Feeder Schedule'!$B$5:$B$254,'Feeder Schedule'!$B$5:$B$254),IFERROR(_xlfn.XLOOKUP($BA206,'Feeder Schedule'!$B$5:$B$254,'Feeder Schedule'!$B$5:$B$254),"")))</f>
        <v/>
      </c>
      <c r="BG206" s="387" t="str">
        <f>IF($BF206="","",IFERROR(_xlfn.XLOOKUP($BF206,'Feeder Schedule'!$B$5:$B$254,'Feeder Schedule'!$A$5:$A$254),""))</f>
        <v/>
      </c>
      <c r="BH206" s="387" t="str">
        <f>IF($BF206="","",IFERROR(_xlfn.XLOOKUP($BF206,'Feeder Schedule'!$B$5:$B$254,'Feeder Schedule'!$O$5:$O$254),""))</f>
        <v/>
      </c>
      <c r="BI206" s="387" t="str">
        <f>IF($BF206="","",IFERROR(_xlfn.XLOOKUP($BF206,'Feeder Schedule'!$B$5:$B$254,'Feeder Schedule'!$P$5:$P$254),""))</f>
        <v/>
      </c>
      <c r="BJ206" s="387" t="str">
        <f>IF($BF206="","",IFERROR(_xlfn.XLOOKUP($BF206,'Feeder Schedule'!$B$5:$B$254,'Feeder Schedule'!$Q$5:$Q$254),""))</f>
        <v/>
      </c>
      <c r="BK206" s="387" t="str">
        <f>IF($BF206="","",IFERROR(_xlfn.XLOOKUP($BF206,'Feeder Schedule'!$B$5:$B$254,'Feeder Schedule'!$S$5:$S$254),""))</f>
        <v/>
      </c>
      <c r="BL206" s="387" t="str">
        <f>IF($BF206="","",IFERROR(_xlfn.XLOOKUP($BF206,'Feeder Schedule'!$B$5:$B$254,'Feeder Schedule'!$H$5:$H$254),""))</f>
        <v/>
      </c>
      <c r="BM206" s="534" t="str">
        <f>IF($BA206="","",'Short Circuit'!$J206)</f>
        <v/>
      </c>
      <c r="BN206" s="534" t="str">
        <f>IF($BA206="","",'Short Circuit'!$Q206)</f>
        <v/>
      </c>
      <c r="BO206" s="387" t="str">
        <f>IF($BA206="","",'Short Circuit'!$R206)</f>
        <v/>
      </c>
      <c r="BP206" s="535" t="str">
        <f>IF($BA206="","",'Short Circuit'!$S206)</f>
        <v/>
      </c>
      <c r="BQ206" s="387" t="str">
        <f>IF($BA206="","",'Short Circuit'!$T206)</f>
        <v/>
      </c>
      <c r="BR206" s="536" t="str">
        <f>IF($BA206="","",'Voltage Drop'!$G206)</f>
        <v/>
      </c>
      <c r="BS206" s="536" t="str">
        <f>IF($BA206="","",'Voltage Drop'!$H206)</f>
        <v/>
      </c>
      <c r="BT206" s="387" t="str">
        <f>IF($BA206="","",'Voltage Drop'!$K206)</f>
        <v/>
      </c>
      <c r="BU206" s="387" t="str">
        <f t="shared" si="6"/>
        <v/>
      </c>
      <c r="BV206" s="387"/>
      <c r="BW206" s="387" t="b">
        <f t="shared" si="7"/>
        <v>0</v>
      </c>
    </row>
    <row r="207" spans="1:75" ht="15" customHeight="1" x14ac:dyDescent="0.45">
      <c r="A207" s="161"/>
      <c r="B207" s="389"/>
      <c r="C207" s="207"/>
      <c r="D207" s="208"/>
      <c r="E207" s="161"/>
      <c r="F207" s="389"/>
      <c r="G207" s="389"/>
      <c r="H207" s="389"/>
      <c r="I207" s="389"/>
      <c r="J207" s="389"/>
      <c r="K207" s="389"/>
      <c r="L207" s="209"/>
      <c r="M207" s="209"/>
      <c r="N207" s="209"/>
      <c r="O207" s="209"/>
      <c r="P207" s="209"/>
      <c r="Q207" s="161"/>
      <c r="R207" s="390"/>
      <c r="S207" s="390"/>
      <c r="T207" s="161"/>
      <c r="U207" s="389"/>
      <c r="BA207" s="387" t="str">
        <f>IF('Short Circuit'!$A207="","",'Short Circuit'!$A207)</f>
        <v/>
      </c>
      <c r="BB207" s="387" t="str">
        <f>IF($BA207="","",'Short Circuit'!$B207)</f>
        <v/>
      </c>
      <c r="BC207" s="387" t="str">
        <f>IF($BA207="","",'Short Circuit'!$C207)</f>
        <v/>
      </c>
      <c r="BD207" s="387" t="str">
        <f>IF($BA207="","",'Short Circuit'!$D207)</f>
        <v/>
      </c>
      <c r="BE207" s="387" t="str">
        <f>IF($BA207="","",'Short Circuit'!$E207)</f>
        <v/>
      </c>
      <c r="BF207" s="387" t="str">
        <f>IF($BA207="","",IFERROR(_xlfn.XLOOKUP("F-"&amp;$BA207,'Feeder Schedule'!$B$5:$B$254,'Feeder Schedule'!$B$5:$B$254),IFERROR(_xlfn.XLOOKUP($BA207,'Feeder Schedule'!$B$5:$B$254,'Feeder Schedule'!$B$5:$B$254),"")))</f>
        <v/>
      </c>
      <c r="BG207" s="387" t="str">
        <f>IF($BF207="","",IFERROR(_xlfn.XLOOKUP($BF207,'Feeder Schedule'!$B$5:$B$254,'Feeder Schedule'!$A$5:$A$254),""))</f>
        <v/>
      </c>
      <c r="BH207" s="387" t="str">
        <f>IF($BF207="","",IFERROR(_xlfn.XLOOKUP($BF207,'Feeder Schedule'!$B$5:$B$254,'Feeder Schedule'!$O$5:$O$254),""))</f>
        <v/>
      </c>
      <c r="BI207" s="387" t="str">
        <f>IF($BF207="","",IFERROR(_xlfn.XLOOKUP($BF207,'Feeder Schedule'!$B$5:$B$254,'Feeder Schedule'!$P$5:$P$254),""))</f>
        <v/>
      </c>
      <c r="BJ207" s="387" t="str">
        <f>IF($BF207="","",IFERROR(_xlfn.XLOOKUP($BF207,'Feeder Schedule'!$B$5:$B$254,'Feeder Schedule'!$Q$5:$Q$254),""))</f>
        <v/>
      </c>
      <c r="BK207" s="387" t="str">
        <f>IF($BF207="","",IFERROR(_xlfn.XLOOKUP($BF207,'Feeder Schedule'!$B$5:$B$254,'Feeder Schedule'!$S$5:$S$254),""))</f>
        <v/>
      </c>
      <c r="BL207" s="387" t="str">
        <f>IF($BF207="","",IFERROR(_xlfn.XLOOKUP($BF207,'Feeder Schedule'!$B$5:$B$254,'Feeder Schedule'!$H$5:$H$254),""))</f>
        <v/>
      </c>
      <c r="BM207" s="534" t="str">
        <f>IF($BA207="","",'Short Circuit'!$J207)</f>
        <v/>
      </c>
      <c r="BN207" s="534" t="str">
        <f>IF($BA207="","",'Short Circuit'!$Q207)</f>
        <v/>
      </c>
      <c r="BO207" s="387" t="str">
        <f>IF($BA207="","",'Short Circuit'!$R207)</f>
        <v/>
      </c>
      <c r="BP207" s="535" t="str">
        <f>IF($BA207="","",'Short Circuit'!$S207)</f>
        <v/>
      </c>
      <c r="BQ207" s="387" t="str">
        <f>IF($BA207="","",'Short Circuit'!$T207)</f>
        <v/>
      </c>
      <c r="BR207" s="536" t="str">
        <f>IF($BA207="","",'Voltage Drop'!$G207)</f>
        <v/>
      </c>
      <c r="BS207" s="536" t="str">
        <f>IF($BA207="","",'Voltage Drop'!$H207)</f>
        <v/>
      </c>
      <c r="BT207" s="387" t="str">
        <f>IF($BA207="","",'Voltage Drop'!$K207)</f>
        <v/>
      </c>
      <c r="BU207" s="387" t="str">
        <f t="shared" si="6"/>
        <v/>
      </c>
      <c r="BV207" s="387"/>
      <c r="BW207" s="387" t="b">
        <f t="shared" si="7"/>
        <v>0</v>
      </c>
    </row>
    <row r="208" spans="1:75" ht="15" customHeight="1" x14ac:dyDescent="0.45">
      <c r="A208" s="161"/>
      <c r="B208" s="389"/>
      <c r="C208" s="207"/>
      <c r="D208" s="208"/>
      <c r="E208" s="161"/>
      <c r="F208" s="389"/>
      <c r="G208" s="389"/>
      <c r="H208" s="389"/>
      <c r="I208" s="389"/>
      <c r="J208" s="389"/>
      <c r="K208" s="389"/>
      <c r="L208" s="209"/>
      <c r="M208" s="209"/>
      <c r="N208" s="209"/>
      <c r="O208" s="209"/>
      <c r="P208" s="209"/>
      <c r="Q208" s="161"/>
      <c r="R208" s="390"/>
      <c r="S208" s="390"/>
      <c r="T208" s="161"/>
      <c r="U208" s="389"/>
      <c r="BA208" s="387" t="str">
        <f>IF('Short Circuit'!$A208="","",'Short Circuit'!$A208)</f>
        <v/>
      </c>
      <c r="BB208" s="387" t="str">
        <f>IF($BA208="","",'Short Circuit'!$B208)</f>
        <v/>
      </c>
      <c r="BC208" s="387" t="str">
        <f>IF($BA208="","",'Short Circuit'!$C208)</f>
        <v/>
      </c>
      <c r="BD208" s="387" t="str">
        <f>IF($BA208="","",'Short Circuit'!$D208)</f>
        <v/>
      </c>
      <c r="BE208" s="387" t="str">
        <f>IF($BA208="","",'Short Circuit'!$E208)</f>
        <v/>
      </c>
      <c r="BF208" s="387" t="str">
        <f>IF($BA208="","",IFERROR(_xlfn.XLOOKUP("F-"&amp;$BA208,'Feeder Schedule'!$B$5:$B$254,'Feeder Schedule'!$B$5:$B$254),IFERROR(_xlfn.XLOOKUP($BA208,'Feeder Schedule'!$B$5:$B$254,'Feeder Schedule'!$B$5:$B$254),"")))</f>
        <v/>
      </c>
      <c r="BG208" s="387" t="str">
        <f>IF($BF208="","",IFERROR(_xlfn.XLOOKUP($BF208,'Feeder Schedule'!$B$5:$B$254,'Feeder Schedule'!$A$5:$A$254),""))</f>
        <v/>
      </c>
      <c r="BH208" s="387" t="str">
        <f>IF($BF208="","",IFERROR(_xlfn.XLOOKUP($BF208,'Feeder Schedule'!$B$5:$B$254,'Feeder Schedule'!$O$5:$O$254),""))</f>
        <v/>
      </c>
      <c r="BI208" s="387" t="str">
        <f>IF($BF208="","",IFERROR(_xlfn.XLOOKUP($BF208,'Feeder Schedule'!$B$5:$B$254,'Feeder Schedule'!$P$5:$P$254),""))</f>
        <v/>
      </c>
      <c r="BJ208" s="387" t="str">
        <f>IF($BF208="","",IFERROR(_xlfn.XLOOKUP($BF208,'Feeder Schedule'!$B$5:$B$254,'Feeder Schedule'!$Q$5:$Q$254),""))</f>
        <v/>
      </c>
      <c r="BK208" s="387" t="str">
        <f>IF($BF208="","",IFERROR(_xlfn.XLOOKUP($BF208,'Feeder Schedule'!$B$5:$B$254,'Feeder Schedule'!$S$5:$S$254),""))</f>
        <v/>
      </c>
      <c r="BL208" s="387" t="str">
        <f>IF($BF208="","",IFERROR(_xlfn.XLOOKUP($BF208,'Feeder Schedule'!$B$5:$B$254,'Feeder Schedule'!$H$5:$H$254),""))</f>
        <v/>
      </c>
      <c r="BM208" s="534" t="str">
        <f>IF($BA208="","",'Short Circuit'!$J208)</f>
        <v/>
      </c>
      <c r="BN208" s="534" t="str">
        <f>IF($BA208="","",'Short Circuit'!$Q208)</f>
        <v/>
      </c>
      <c r="BO208" s="387" t="str">
        <f>IF($BA208="","",'Short Circuit'!$R208)</f>
        <v/>
      </c>
      <c r="BP208" s="535" t="str">
        <f>IF($BA208="","",'Short Circuit'!$S208)</f>
        <v/>
      </c>
      <c r="BQ208" s="387" t="str">
        <f>IF($BA208="","",'Short Circuit'!$T208)</f>
        <v/>
      </c>
      <c r="BR208" s="536" t="str">
        <f>IF($BA208="","",'Voltage Drop'!$G208)</f>
        <v/>
      </c>
      <c r="BS208" s="536" t="str">
        <f>IF($BA208="","",'Voltage Drop'!$H208)</f>
        <v/>
      </c>
      <c r="BT208" s="387" t="str">
        <f>IF($BA208="","",'Voltage Drop'!$K208)</f>
        <v/>
      </c>
      <c r="BU208" s="387" t="str">
        <f t="shared" si="6"/>
        <v/>
      </c>
      <c r="BV208" s="387"/>
      <c r="BW208" s="387" t="b">
        <f t="shared" si="7"/>
        <v>0</v>
      </c>
    </row>
    <row r="209" spans="1:75" ht="15" customHeight="1" x14ac:dyDescent="0.45">
      <c r="A209" s="161"/>
      <c r="B209" s="389"/>
      <c r="C209" s="207"/>
      <c r="D209" s="208"/>
      <c r="E209" s="161"/>
      <c r="F209" s="389"/>
      <c r="G209" s="389"/>
      <c r="H209" s="389"/>
      <c r="I209" s="389"/>
      <c r="J209" s="389"/>
      <c r="K209" s="389"/>
      <c r="L209" s="209"/>
      <c r="M209" s="209"/>
      <c r="N209" s="209"/>
      <c r="O209" s="209"/>
      <c r="P209" s="209"/>
      <c r="Q209" s="161"/>
      <c r="R209" s="390"/>
      <c r="S209" s="390"/>
      <c r="T209" s="161"/>
      <c r="U209" s="389"/>
      <c r="BA209" s="387" t="str">
        <f>IF('Short Circuit'!$A209="","",'Short Circuit'!$A209)</f>
        <v/>
      </c>
      <c r="BB209" s="387" t="str">
        <f>IF($BA209="","",'Short Circuit'!$B209)</f>
        <v/>
      </c>
      <c r="BC209" s="387" t="str">
        <f>IF($BA209="","",'Short Circuit'!$C209)</f>
        <v/>
      </c>
      <c r="BD209" s="387" t="str">
        <f>IF($BA209="","",'Short Circuit'!$D209)</f>
        <v/>
      </c>
      <c r="BE209" s="387" t="str">
        <f>IF($BA209="","",'Short Circuit'!$E209)</f>
        <v/>
      </c>
      <c r="BF209" s="387" t="str">
        <f>IF($BA209="","",IFERROR(_xlfn.XLOOKUP("F-"&amp;$BA209,'Feeder Schedule'!$B$5:$B$254,'Feeder Schedule'!$B$5:$B$254),IFERROR(_xlfn.XLOOKUP($BA209,'Feeder Schedule'!$B$5:$B$254,'Feeder Schedule'!$B$5:$B$254),"")))</f>
        <v/>
      </c>
      <c r="BG209" s="387" t="str">
        <f>IF($BF209="","",IFERROR(_xlfn.XLOOKUP($BF209,'Feeder Schedule'!$B$5:$B$254,'Feeder Schedule'!$A$5:$A$254),""))</f>
        <v/>
      </c>
      <c r="BH209" s="387" t="str">
        <f>IF($BF209="","",IFERROR(_xlfn.XLOOKUP($BF209,'Feeder Schedule'!$B$5:$B$254,'Feeder Schedule'!$O$5:$O$254),""))</f>
        <v/>
      </c>
      <c r="BI209" s="387" t="str">
        <f>IF($BF209="","",IFERROR(_xlfn.XLOOKUP($BF209,'Feeder Schedule'!$B$5:$B$254,'Feeder Schedule'!$P$5:$P$254),""))</f>
        <v/>
      </c>
      <c r="BJ209" s="387" t="str">
        <f>IF($BF209="","",IFERROR(_xlfn.XLOOKUP($BF209,'Feeder Schedule'!$B$5:$B$254,'Feeder Schedule'!$Q$5:$Q$254),""))</f>
        <v/>
      </c>
      <c r="BK209" s="387" t="str">
        <f>IF($BF209="","",IFERROR(_xlfn.XLOOKUP($BF209,'Feeder Schedule'!$B$5:$B$254,'Feeder Schedule'!$S$5:$S$254),""))</f>
        <v/>
      </c>
      <c r="BL209" s="387" t="str">
        <f>IF($BF209="","",IFERROR(_xlfn.XLOOKUP($BF209,'Feeder Schedule'!$B$5:$B$254,'Feeder Schedule'!$H$5:$H$254),""))</f>
        <v/>
      </c>
      <c r="BM209" s="534" t="str">
        <f>IF($BA209="","",'Short Circuit'!$J209)</f>
        <v/>
      </c>
      <c r="BN209" s="534" t="str">
        <f>IF($BA209="","",'Short Circuit'!$Q209)</f>
        <v/>
      </c>
      <c r="BO209" s="387" t="str">
        <f>IF($BA209="","",'Short Circuit'!$R209)</f>
        <v/>
      </c>
      <c r="BP209" s="535" t="str">
        <f>IF($BA209="","",'Short Circuit'!$S209)</f>
        <v/>
      </c>
      <c r="BQ209" s="387" t="str">
        <f>IF($BA209="","",'Short Circuit'!$T209)</f>
        <v/>
      </c>
      <c r="BR209" s="536" t="str">
        <f>IF($BA209="","",'Voltage Drop'!$G209)</f>
        <v/>
      </c>
      <c r="BS209" s="536" t="str">
        <f>IF($BA209="","",'Voltage Drop'!$H209)</f>
        <v/>
      </c>
      <c r="BT209" s="387" t="str">
        <f>IF($BA209="","",'Voltage Drop'!$K209)</f>
        <v/>
      </c>
      <c r="BU209" s="387" t="str">
        <f t="shared" si="6"/>
        <v/>
      </c>
      <c r="BV209" s="387"/>
      <c r="BW209" s="387" t="b">
        <f t="shared" si="7"/>
        <v>0</v>
      </c>
    </row>
    <row r="210" spans="1:75" ht="15" customHeight="1" x14ac:dyDescent="0.45">
      <c r="A210" s="161"/>
      <c r="B210" s="389"/>
      <c r="C210" s="207"/>
      <c r="D210" s="208"/>
      <c r="E210" s="161"/>
      <c r="F210" s="389"/>
      <c r="G210" s="389"/>
      <c r="H210" s="389"/>
      <c r="I210" s="389"/>
      <c r="J210" s="389"/>
      <c r="K210" s="389"/>
      <c r="L210" s="209"/>
      <c r="M210" s="209"/>
      <c r="N210" s="209"/>
      <c r="O210" s="209"/>
      <c r="P210" s="209"/>
      <c r="Q210" s="161"/>
      <c r="R210" s="390"/>
      <c r="S210" s="390"/>
      <c r="T210" s="161"/>
      <c r="U210" s="389"/>
      <c r="BA210" s="387" t="str">
        <f>IF('Short Circuit'!$A210="","",'Short Circuit'!$A210)</f>
        <v/>
      </c>
      <c r="BB210" s="387" t="str">
        <f>IF($BA210="","",'Short Circuit'!$B210)</f>
        <v/>
      </c>
      <c r="BC210" s="387" t="str">
        <f>IF($BA210="","",'Short Circuit'!$C210)</f>
        <v/>
      </c>
      <c r="BD210" s="387" t="str">
        <f>IF($BA210="","",'Short Circuit'!$D210)</f>
        <v/>
      </c>
      <c r="BE210" s="387" t="str">
        <f>IF($BA210="","",'Short Circuit'!$E210)</f>
        <v/>
      </c>
      <c r="BF210" s="387" t="str">
        <f>IF($BA210="","",IFERROR(_xlfn.XLOOKUP("F-"&amp;$BA210,'Feeder Schedule'!$B$5:$B$254,'Feeder Schedule'!$B$5:$B$254),IFERROR(_xlfn.XLOOKUP($BA210,'Feeder Schedule'!$B$5:$B$254,'Feeder Schedule'!$B$5:$B$254),"")))</f>
        <v/>
      </c>
      <c r="BG210" s="387" t="str">
        <f>IF($BF210="","",IFERROR(_xlfn.XLOOKUP($BF210,'Feeder Schedule'!$B$5:$B$254,'Feeder Schedule'!$A$5:$A$254),""))</f>
        <v/>
      </c>
      <c r="BH210" s="387" t="str">
        <f>IF($BF210="","",IFERROR(_xlfn.XLOOKUP($BF210,'Feeder Schedule'!$B$5:$B$254,'Feeder Schedule'!$O$5:$O$254),""))</f>
        <v/>
      </c>
      <c r="BI210" s="387" t="str">
        <f>IF($BF210="","",IFERROR(_xlfn.XLOOKUP($BF210,'Feeder Schedule'!$B$5:$B$254,'Feeder Schedule'!$P$5:$P$254),""))</f>
        <v/>
      </c>
      <c r="BJ210" s="387" t="str">
        <f>IF($BF210="","",IFERROR(_xlfn.XLOOKUP($BF210,'Feeder Schedule'!$B$5:$B$254,'Feeder Schedule'!$Q$5:$Q$254),""))</f>
        <v/>
      </c>
      <c r="BK210" s="387" t="str">
        <f>IF($BF210="","",IFERROR(_xlfn.XLOOKUP($BF210,'Feeder Schedule'!$B$5:$B$254,'Feeder Schedule'!$S$5:$S$254),""))</f>
        <v/>
      </c>
      <c r="BL210" s="387" t="str">
        <f>IF($BF210="","",IFERROR(_xlfn.XLOOKUP($BF210,'Feeder Schedule'!$B$5:$B$254,'Feeder Schedule'!$H$5:$H$254),""))</f>
        <v/>
      </c>
      <c r="BM210" s="534" t="str">
        <f>IF($BA210="","",'Short Circuit'!$J210)</f>
        <v/>
      </c>
      <c r="BN210" s="534" t="str">
        <f>IF($BA210="","",'Short Circuit'!$Q210)</f>
        <v/>
      </c>
      <c r="BO210" s="387" t="str">
        <f>IF($BA210="","",'Short Circuit'!$R210)</f>
        <v/>
      </c>
      <c r="BP210" s="535" t="str">
        <f>IF($BA210="","",'Short Circuit'!$S210)</f>
        <v/>
      </c>
      <c r="BQ210" s="387" t="str">
        <f>IF($BA210="","",'Short Circuit'!$T210)</f>
        <v/>
      </c>
      <c r="BR210" s="536" t="str">
        <f>IF($BA210="","",'Voltage Drop'!$G210)</f>
        <v/>
      </c>
      <c r="BS210" s="536" t="str">
        <f>IF($BA210="","",'Voltage Drop'!$H210)</f>
        <v/>
      </c>
      <c r="BT210" s="387" t="str">
        <f>IF($BA210="","",'Voltage Drop'!$K210)</f>
        <v/>
      </c>
      <c r="BU210" s="387" t="str">
        <f t="shared" si="6"/>
        <v/>
      </c>
      <c r="BV210" s="387"/>
      <c r="BW210" s="387" t="b">
        <f t="shared" si="7"/>
        <v>0</v>
      </c>
    </row>
    <row r="211" spans="1:75" ht="15" customHeight="1" x14ac:dyDescent="0.45">
      <c r="A211" s="161"/>
      <c r="B211" s="389"/>
      <c r="C211" s="207"/>
      <c r="D211" s="208"/>
      <c r="E211" s="161"/>
      <c r="F211" s="389"/>
      <c r="G211" s="389"/>
      <c r="H211" s="389"/>
      <c r="I211" s="389"/>
      <c r="J211" s="389"/>
      <c r="K211" s="389"/>
      <c r="L211" s="209"/>
      <c r="M211" s="209"/>
      <c r="N211" s="209"/>
      <c r="O211" s="209"/>
      <c r="P211" s="209"/>
      <c r="Q211" s="161"/>
      <c r="R211" s="390"/>
      <c r="S211" s="390"/>
      <c r="T211" s="161"/>
      <c r="U211" s="389"/>
      <c r="BA211" s="387" t="str">
        <f>IF('Short Circuit'!$A211="","",'Short Circuit'!$A211)</f>
        <v/>
      </c>
      <c r="BB211" s="387" t="str">
        <f>IF($BA211="","",'Short Circuit'!$B211)</f>
        <v/>
      </c>
      <c r="BC211" s="387" t="str">
        <f>IF($BA211="","",'Short Circuit'!$C211)</f>
        <v/>
      </c>
      <c r="BD211" s="387" t="str">
        <f>IF($BA211="","",'Short Circuit'!$D211)</f>
        <v/>
      </c>
      <c r="BE211" s="387" t="str">
        <f>IF($BA211="","",'Short Circuit'!$E211)</f>
        <v/>
      </c>
      <c r="BF211" s="387" t="str">
        <f>IF($BA211="","",IFERROR(_xlfn.XLOOKUP("F-"&amp;$BA211,'Feeder Schedule'!$B$5:$B$254,'Feeder Schedule'!$B$5:$B$254),IFERROR(_xlfn.XLOOKUP($BA211,'Feeder Schedule'!$B$5:$B$254,'Feeder Schedule'!$B$5:$B$254),"")))</f>
        <v/>
      </c>
      <c r="BG211" s="387" t="str">
        <f>IF($BF211="","",IFERROR(_xlfn.XLOOKUP($BF211,'Feeder Schedule'!$B$5:$B$254,'Feeder Schedule'!$A$5:$A$254),""))</f>
        <v/>
      </c>
      <c r="BH211" s="387" t="str">
        <f>IF($BF211="","",IFERROR(_xlfn.XLOOKUP($BF211,'Feeder Schedule'!$B$5:$B$254,'Feeder Schedule'!$O$5:$O$254),""))</f>
        <v/>
      </c>
      <c r="BI211" s="387" t="str">
        <f>IF($BF211="","",IFERROR(_xlfn.XLOOKUP($BF211,'Feeder Schedule'!$B$5:$B$254,'Feeder Schedule'!$P$5:$P$254),""))</f>
        <v/>
      </c>
      <c r="BJ211" s="387" t="str">
        <f>IF($BF211="","",IFERROR(_xlfn.XLOOKUP($BF211,'Feeder Schedule'!$B$5:$B$254,'Feeder Schedule'!$Q$5:$Q$254),""))</f>
        <v/>
      </c>
      <c r="BK211" s="387" t="str">
        <f>IF($BF211="","",IFERROR(_xlfn.XLOOKUP($BF211,'Feeder Schedule'!$B$5:$B$254,'Feeder Schedule'!$S$5:$S$254),""))</f>
        <v/>
      </c>
      <c r="BL211" s="387" t="str">
        <f>IF($BF211="","",IFERROR(_xlfn.XLOOKUP($BF211,'Feeder Schedule'!$B$5:$B$254,'Feeder Schedule'!$H$5:$H$254),""))</f>
        <v/>
      </c>
      <c r="BM211" s="534" t="str">
        <f>IF($BA211="","",'Short Circuit'!$J211)</f>
        <v/>
      </c>
      <c r="BN211" s="534" t="str">
        <f>IF($BA211="","",'Short Circuit'!$Q211)</f>
        <v/>
      </c>
      <c r="BO211" s="387" t="str">
        <f>IF($BA211="","",'Short Circuit'!$R211)</f>
        <v/>
      </c>
      <c r="BP211" s="535" t="str">
        <f>IF($BA211="","",'Short Circuit'!$S211)</f>
        <v/>
      </c>
      <c r="BQ211" s="387" t="str">
        <f>IF($BA211="","",'Short Circuit'!$T211)</f>
        <v/>
      </c>
      <c r="BR211" s="536" t="str">
        <f>IF($BA211="","",'Voltage Drop'!$G211)</f>
        <v/>
      </c>
      <c r="BS211" s="536" t="str">
        <f>IF($BA211="","",'Voltage Drop'!$H211)</f>
        <v/>
      </c>
      <c r="BT211" s="387" t="str">
        <f>IF($BA211="","",'Voltage Drop'!$K211)</f>
        <v/>
      </c>
      <c r="BU211" s="387" t="str">
        <f t="shared" si="6"/>
        <v/>
      </c>
      <c r="BV211" s="387"/>
      <c r="BW211" s="387" t="b">
        <f t="shared" si="7"/>
        <v>0</v>
      </c>
    </row>
    <row r="212" spans="1:75" ht="15" customHeight="1" x14ac:dyDescent="0.45">
      <c r="A212" s="161"/>
      <c r="B212" s="389"/>
      <c r="C212" s="207"/>
      <c r="D212" s="208"/>
      <c r="E212" s="161"/>
      <c r="F212" s="389"/>
      <c r="G212" s="389"/>
      <c r="H212" s="389"/>
      <c r="I212" s="389"/>
      <c r="J212" s="389"/>
      <c r="K212" s="389"/>
      <c r="L212" s="209"/>
      <c r="M212" s="209"/>
      <c r="N212" s="209"/>
      <c r="O212" s="209"/>
      <c r="P212" s="209"/>
      <c r="Q212" s="161"/>
      <c r="R212" s="390"/>
      <c r="S212" s="390"/>
      <c r="T212" s="161"/>
      <c r="U212" s="389"/>
      <c r="BA212" s="387" t="str">
        <f>IF('Short Circuit'!$A212="","",'Short Circuit'!$A212)</f>
        <v/>
      </c>
      <c r="BB212" s="387" t="str">
        <f>IF($BA212="","",'Short Circuit'!$B212)</f>
        <v/>
      </c>
      <c r="BC212" s="387" t="str">
        <f>IF($BA212="","",'Short Circuit'!$C212)</f>
        <v/>
      </c>
      <c r="BD212" s="387" t="str">
        <f>IF($BA212="","",'Short Circuit'!$D212)</f>
        <v/>
      </c>
      <c r="BE212" s="387" t="str">
        <f>IF($BA212="","",'Short Circuit'!$E212)</f>
        <v/>
      </c>
      <c r="BF212" s="387" t="str">
        <f>IF($BA212="","",IFERROR(_xlfn.XLOOKUP("F-"&amp;$BA212,'Feeder Schedule'!$B$5:$B$254,'Feeder Schedule'!$B$5:$B$254),IFERROR(_xlfn.XLOOKUP($BA212,'Feeder Schedule'!$B$5:$B$254,'Feeder Schedule'!$B$5:$B$254),"")))</f>
        <v/>
      </c>
      <c r="BG212" s="387" t="str">
        <f>IF($BF212="","",IFERROR(_xlfn.XLOOKUP($BF212,'Feeder Schedule'!$B$5:$B$254,'Feeder Schedule'!$A$5:$A$254),""))</f>
        <v/>
      </c>
      <c r="BH212" s="387" t="str">
        <f>IF($BF212="","",IFERROR(_xlfn.XLOOKUP($BF212,'Feeder Schedule'!$B$5:$B$254,'Feeder Schedule'!$O$5:$O$254),""))</f>
        <v/>
      </c>
      <c r="BI212" s="387" t="str">
        <f>IF($BF212="","",IFERROR(_xlfn.XLOOKUP($BF212,'Feeder Schedule'!$B$5:$B$254,'Feeder Schedule'!$P$5:$P$254),""))</f>
        <v/>
      </c>
      <c r="BJ212" s="387" t="str">
        <f>IF($BF212="","",IFERROR(_xlfn.XLOOKUP($BF212,'Feeder Schedule'!$B$5:$B$254,'Feeder Schedule'!$Q$5:$Q$254),""))</f>
        <v/>
      </c>
      <c r="BK212" s="387" t="str">
        <f>IF($BF212="","",IFERROR(_xlfn.XLOOKUP($BF212,'Feeder Schedule'!$B$5:$B$254,'Feeder Schedule'!$S$5:$S$254),""))</f>
        <v/>
      </c>
      <c r="BL212" s="387" t="str">
        <f>IF($BF212="","",IFERROR(_xlfn.XLOOKUP($BF212,'Feeder Schedule'!$B$5:$B$254,'Feeder Schedule'!$H$5:$H$254),""))</f>
        <v/>
      </c>
      <c r="BM212" s="534" t="str">
        <f>IF($BA212="","",'Short Circuit'!$J212)</f>
        <v/>
      </c>
      <c r="BN212" s="534" t="str">
        <f>IF($BA212="","",'Short Circuit'!$Q212)</f>
        <v/>
      </c>
      <c r="BO212" s="387" t="str">
        <f>IF($BA212="","",'Short Circuit'!$R212)</f>
        <v/>
      </c>
      <c r="BP212" s="535" t="str">
        <f>IF($BA212="","",'Short Circuit'!$S212)</f>
        <v/>
      </c>
      <c r="BQ212" s="387" t="str">
        <f>IF($BA212="","",'Short Circuit'!$T212)</f>
        <v/>
      </c>
      <c r="BR212" s="536" t="str">
        <f>IF($BA212="","",'Voltage Drop'!$G212)</f>
        <v/>
      </c>
      <c r="BS212" s="536" t="str">
        <f>IF($BA212="","",'Voltage Drop'!$H212)</f>
        <v/>
      </c>
      <c r="BT212" s="387" t="str">
        <f>IF($BA212="","",'Voltage Drop'!$K212)</f>
        <v/>
      </c>
      <c r="BU212" s="387" t="str">
        <f t="shared" si="6"/>
        <v/>
      </c>
      <c r="BV212" s="387"/>
      <c r="BW212" s="387" t="b">
        <f t="shared" si="7"/>
        <v>0</v>
      </c>
    </row>
    <row r="213" spans="1:75" ht="15" customHeight="1" x14ac:dyDescent="0.45">
      <c r="A213" s="161"/>
      <c r="B213" s="389"/>
      <c r="C213" s="207"/>
      <c r="D213" s="208"/>
      <c r="E213" s="161"/>
      <c r="F213" s="389"/>
      <c r="G213" s="389"/>
      <c r="H213" s="389"/>
      <c r="I213" s="389"/>
      <c r="J213" s="389"/>
      <c r="K213" s="389"/>
      <c r="L213" s="209"/>
      <c r="M213" s="209"/>
      <c r="N213" s="209"/>
      <c r="O213" s="209"/>
      <c r="P213" s="209"/>
      <c r="Q213" s="161"/>
      <c r="R213" s="390"/>
      <c r="S213" s="390"/>
      <c r="T213" s="161"/>
      <c r="U213" s="389"/>
      <c r="BA213" s="387" t="str">
        <f>IF('Short Circuit'!$A213="","",'Short Circuit'!$A213)</f>
        <v/>
      </c>
      <c r="BB213" s="387" t="str">
        <f>IF($BA213="","",'Short Circuit'!$B213)</f>
        <v/>
      </c>
      <c r="BC213" s="387" t="str">
        <f>IF($BA213="","",'Short Circuit'!$C213)</f>
        <v/>
      </c>
      <c r="BD213" s="387" t="str">
        <f>IF($BA213="","",'Short Circuit'!$D213)</f>
        <v/>
      </c>
      <c r="BE213" s="387" t="str">
        <f>IF($BA213="","",'Short Circuit'!$E213)</f>
        <v/>
      </c>
      <c r="BF213" s="387" t="str">
        <f>IF($BA213="","",IFERROR(_xlfn.XLOOKUP("F-"&amp;$BA213,'Feeder Schedule'!$B$5:$B$254,'Feeder Schedule'!$B$5:$B$254),IFERROR(_xlfn.XLOOKUP($BA213,'Feeder Schedule'!$B$5:$B$254,'Feeder Schedule'!$B$5:$B$254),"")))</f>
        <v/>
      </c>
      <c r="BG213" s="387" t="str">
        <f>IF($BF213="","",IFERROR(_xlfn.XLOOKUP($BF213,'Feeder Schedule'!$B$5:$B$254,'Feeder Schedule'!$A$5:$A$254),""))</f>
        <v/>
      </c>
      <c r="BH213" s="387" t="str">
        <f>IF($BF213="","",IFERROR(_xlfn.XLOOKUP($BF213,'Feeder Schedule'!$B$5:$B$254,'Feeder Schedule'!$O$5:$O$254),""))</f>
        <v/>
      </c>
      <c r="BI213" s="387" t="str">
        <f>IF($BF213="","",IFERROR(_xlfn.XLOOKUP($BF213,'Feeder Schedule'!$B$5:$B$254,'Feeder Schedule'!$P$5:$P$254),""))</f>
        <v/>
      </c>
      <c r="BJ213" s="387" t="str">
        <f>IF($BF213="","",IFERROR(_xlfn.XLOOKUP($BF213,'Feeder Schedule'!$B$5:$B$254,'Feeder Schedule'!$Q$5:$Q$254),""))</f>
        <v/>
      </c>
      <c r="BK213" s="387" t="str">
        <f>IF($BF213="","",IFERROR(_xlfn.XLOOKUP($BF213,'Feeder Schedule'!$B$5:$B$254,'Feeder Schedule'!$S$5:$S$254),""))</f>
        <v/>
      </c>
      <c r="BL213" s="387" t="str">
        <f>IF($BF213="","",IFERROR(_xlfn.XLOOKUP($BF213,'Feeder Schedule'!$B$5:$B$254,'Feeder Schedule'!$H$5:$H$254),""))</f>
        <v/>
      </c>
      <c r="BM213" s="534" t="str">
        <f>IF($BA213="","",'Short Circuit'!$J213)</f>
        <v/>
      </c>
      <c r="BN213" s="534" t="str">
        <f>IF($BA213="","",'Short Circuit'!$Q213)</f>
        <v/>
      </c>
      <c r="BO213" s="387" t="str">
        <f>IF($BA213="","",'Short Circuit'!$R213)</f>
        <v/>
      </c>
      <c r="BP213" s="535" t="str">
        <f>IF($BA213="","",'Short Circuit'!$S213)</f>
        <v/>
      </c>
      <c r="BQ213" s="387" t="str">
        <f>IF($BA213="","",'Short Circuit'!$T213)</f>
        <v/>
      </c>
      <c r="BR213" s="536" t="str">
        <f>IF($BA213="","",'Voltage Drop'!$G213)</f>
        <v/>
      </c>
      <c r="BS213" s="536" t="str">
        <f>IF($BA213="","",'Voltage Drop'!$H213)</f>
        <v/>
      </c>
      <c r="BT213" s="387" t="str">
        <f>IF($BA213="","",'Voltage Drop'!$K213)</f>
        <v/>
      </c>
      <c r="BU213" s="387" t="str">
        <f t="shared" si="6"/>
        <v/>
      </c>
      <c r="BV213" s="387"/>
      <c r="BW213" s="387" t="b">
        <f t="shared" si="7"/>
        <v>0</v>
      </c>
    </row>
    <row r="214" spans="1:75" ht="15" customHeight="1" x14ac:dyDescent="0.45">
      <c r="A214" s="161"/>
      <c r="B214" s="389"/>
      <c r="C214" s="207"/>
      <c r="D214" s="208"/>
      <c r="E214" s="161"/>
      <c r="F214" s="389"/>
      <c r="G214" s="389"/>
      <c r="H214" s="389"/>
      <c r="I214" s="389"/>
      <c r="J214" s="389"/>
      <c r="K214" s="389"/>
      <c r="L214" s="209"/>
      <c r="M214" s="209"/>
      <c r="N214" s="209"/>
      <c r="O214" s="209"/>
      <c r="P214" s="209"/>
      <c r="Q214" s="161"/>
      <c r="R214" s="390"/>
      <c r="S214" s="390"/>
      <c r="T214" s="161"/>
      <c r="U214" s="389"/>
      <c r="BA214" s="387" t="str">
        <f>IF('Short Circuit'!$A214="","",'Short Circuit'!$A214)</f>
        <v/>
      </c>
      <c r="BB214" s="387" t="str">
        <f>IF($BA214="","",'Short Circuit'!$B214)</f>
        <v/>
      </c>
      <c r="BC214" s="387" t="str">
        <f>IF($BA214="","",'Short Circuit'!$C214)</f>
        <v/>
      </c>
      <c r="BD214" s="387" t="str">
        <f>IF($BA214="","",'Short Circuit'!$D214)</f>
        <v/>
      </c>
      <c r="BE214" s="387" t="str">
        <f>IF($BA214="","",'Short Circuit'!$E214)</f>
        <v/>
      </c>
      <c r="BF214" s="387" t="str">
        <f>IF($BA214="","",IFERROR(_xlfn.XLOOKUP("F-"&amp;$BA214,'Feeder Schedule'!$B$5:$B$254,'Feeder Schedule'!$B$5:$B$254),IFERROR(_xlfn.XLOOKUP($BA214,'Feeder Schedule'!$B$5:$B$254,'Feeder Schedule'!$B$5:$B$254),"")))</f>
        <v/>
      </c>
      <c r="BG214" s="387" t="str">
        <f>IF($BF214="","",IFERROR(_xlfn.XLOOKUP($BF214,'Feeder Schedule'!$B$5:$B$254,'Feeder Schedule'!$A$5:$A$254),""))</f>
        <v/>
      </c>
      <c r="BH214" s="387" t="str">
        <f>IF($BF214="","",IFERROR(_xlfn.XLOOKUP($BF214,'Feeder Schedule'!$B$5:$B$254,'Feeder Schedule'!$O$5:$O$254),""))</f>
        <v/>
      </c>
      <c r="BI214" s="387" t="str">
        <f>IF($BF214="","",IFERROR(_xlfn.XLOOKUP($BF214,'Feeder Schedule'!$B$5:$B$254,'Feeder Schedule'!$P$5:$P$254),""))</f>
        <v/>
      </c>
      <c r="BJ214" s="387" t="str">
        <f>IF($BF214="","",IFERROR(_xlfn.XLOOKUP($BF214,'Feeder Schedule'!$B$5:$B$254,'Feeder Schedule'!$Q$5:$Q$254),""))</f>
        <v/>
      </c>
      <c r="BK214" s="387" t="str">
        <f>IF($BF214="","",IFERROR(_xlfn.XLOOKUP($BF214,'Feeder Schedule'!$B$5:$B$254,'Feeder Schedule'!$S$5:$S$254),""))</f>
        <v/>
      </c>
      <c r="BL214" s="387" t="str">
        <f>IF($BF214="","",IFERROR(_xlfn.XLOOKUP($BF214,'Feeder Schedule'!$B$5:$B$254,'Feeder Schedule'!$H$5:$H$254),""))</f>
        <v/>
      </c>
      <c r="BM214" s="534" t="str">
        <f>IF($BA214="","",'Short Circuit'!$J214)</f>
        <v/>
      </c>
      <c r="BN214" s="534" t="str">
        <f>IF($BA214="","",'Short Circuit'!$Q214)</f>
        <v/>
      </c>
      <c r="BO214" s="387" t="str">
        <f>IF($BA214="","",'Short Circuit'!$R214)</f>
        <v/>
      </c>
      <c r="BP214" s="535" t="str">
        <f>IF($BA214="","",'Short Circuit'!$S214)</f>
        <v/>
      </c>
      <c r="BQ214" s="387" t="str">
        <f>IF($BA214="","",'Short Circuit'!$T214)</f>
        <v/>
      </c>
      <c r="BR214" s="536" t="str">
        <f>IF($BA214="","",'Voltage Drop'!$G214)</f>
        <v/>
      </c>
      <c r="BS214" s="536" t="str">
        <f>IF($BA214="","",'Voltage Drop'!$H214)</f>
        <v/>
      </c>
      <c r="BT214" s="387" t="str">
        <f>IF($BA214="","",'Voltage Drop'!$K214)</f>
        <v/>
      </c>
      <c r="BU214" s="387" t="str">
        <f t="shared" si="6"/>
        <v/>
      </c>
      <c r="BV214" s="387"/>
      <c r="BW214" s="387" t="b">
        <f t="shared" si="7"/>
        <v>0</v>
      </c>
    </row>
    <row r="215" spans="1:75" ht="15" customHeight="1" x14ac:dyDescent="0.45">
      <c r="A215" s="161"/>
      <c r="B215" s="389"/>
      <c r="C215" s="207"/>
      <c r="D215" s="208"/>
      <c r="E215" s="161"/>
      <c r="F215" s="389"/>
      <c r="G215" s="389"/>
      <c r="H215" s="389"/>
      <c r="I215" s="389"/>
      <c r="J215" s="389"/>
      <c r="K215" s="389"/>
      <c r="L215" s="209"/>
      <c r="M215" s="209"/>
      <c r="N215" s="209"/>
      <c r="O215" s="209"/>
      <c r="P215" s="209"/>
      <c r="Q215" s="161"/>
      <c r="R215" s="390"/>
      <c r="S215" s="390"/>
      <c r="T215" s="161"/>
      <c r="U215" s="389"/>
      <c r="BA215" s="387" t="str">
        <f>IF('Short Circuit'!$A215="","",'Short Circuit'!$A215)</f>
        <v/>
      </c>
      <c r="BB215" s="387" t="str">
        <f>IF($BA215="","",'Short Circuit'!$B215)</f>
        <v/>
      </c>
      <c r="BC215" s="387" t="str">
        <f>IF($BA215="","",'Short Circuit'!$C215)</f>
        <v/>
      </c>
      <c r="BD215" s="387" t="str">
        <f>IF($BA215="","",'Short Circuit'!$D215)</f>
        <v/>
      </c>
      <c r="BE215" s="387" t="str">
        <f>IF($BA215="","",'Short Circuit'!$E215)</f>
        <v/>
      </c>
      <c r="BF215" s="387" t="str">
        <f>IF($BA215="","",IFERROR(_xlfn.XLOOKUP("F-"&amp;$BA215,'Feeder Schedule'!$B$5:$B$254,'Feeder Schedule'!$B$5:$B$254),IFERROR(_xlfn.XLOOKUP($BA215,'Feeder Schedule'!$B$5:$B$254,'Feeder Schedule'!$B$5:$B$254),"")))</f>
        <v/>
      </c>
      <c r="BG215" s="387" t="str">
        <f>IF($BF215="","",IFERROR(_xlfn.XLOOKUP($BF215,'Feeder Schedule'!$B$5:$B$254,'Feeder Schedule'!$A$5:$A$254),""))</f>
        <v/>
      </c>
      <c r="BH215" s="387" t="str">
        <f>IF($BF215="","",IFERROR(_xlfn.XLOOKUP($BF215,'Feeder Schedule'!$B$5:$B$254,'Feeder Schedule'!$O$5:$O$254),""))</f>
        <v/>
      </c>
      <c r="BI215" s="387" t="str">
        <f>IF($BF215="","",IFERROR(_xlfn.XLOOKUP($BF215,'Feeder Schedule'!$B$5:$B$254,'Feeder Schedule'!$P$5:$P$254),""))</f>
        <v/>
      </c>
      <c r="BJ215" s="387" t="str">
        <f>IF($BF215="","",IFERROR(_xlfn.XLOOKUP($BF215,'Feeder Schedule'!$B$5:$B$254,'Feeder Schedule'!$Q$5:$Q$254),""))</f>
        <v/>
      </c>
      <c r="BK215" s="387" t="str">
        <f>IF($BF215="","",IFERROR(_xlfn.XLOOKUP($BF215,'Feeder Schedule'!$B$5:$B$254,'Feeder Schedule'!$S$5:$S$254),""))</f>
        <v/>
      </c>
      <c r="BL215" s="387" t="str">
        <f>IF($BF215="","",IFERROR(_xlfn.XLOOKUP($BF215,'Feeder Schedule'!$B$5:$B$254,'Feeder Schedule'!$H$5:$H$254),""))</f>
        <v/>
      </c>
      <c r="BM215" s="534" t="str">
        <f>IF($BA215="","",'Short Circuit'!$J215)</f>
        <v/>
      </c>
      <c r="BN215" s="534" t="str">
        <f>IF($BA215="","",'Short Circuit'!$Q215)</f>
        <v/>
      </c>
      <c r="BO215" s="387" t="str">
        <f>IF($BA215="","",'Short Circuit'!$R215)</f>
        <v/>
      </c>
      <c r="BP215" s="535" t="str">
        <f>IF($BA215="","",'Short Circuit'!$S215)</f>
        <v/>
      </c>
      <c r="BQ215" s="387" t="str">
        <f>IF($BA215="","",'Short Circuit'!$T215)</f>
        <v/>
      </c>
      <c r="BR215" s="536" t="str">
        <f>IF($BA215="","",'Voltage Drop'!$G215)</f>
        <v/>
      </c>
      <c r="BS215" s="536" t="str">
        <f>IF($BA215="","",'Voltage Drop'!$H215)</f>
        <v/>
      </c>
      <c r="BT215" s="387" t="str">
        <f>IF($BA215="","",'Voltage Drop'!$K215)</f>
        <v/>
      </c>
      <c r="BU215" s="387" t="str">
        <f t="shared" si="6"/>
        <v/>
      </c>
      <c r="BV215" s="387"/>
      <c r="BW215" s="387" t="b">
        <f t="shared" si="7"/>
        <v>0</v>
      </c>
    </row>
    <row r="216" spans="1:75" ht="15" customHeight="1" x14ac:dyDescent="0.45">
      <c r="A216" s="161"/>
      <c r="B216" s="389"/>
      <c r="C216" s="207"/>
      <c r="D216" s="208"/>
      <c r="E216" s="161"/>
      <c r="F216" s="389"/>
      <c r="G216" s="389"/>
      <c r="H216" s="389"/>
      <c r="I216" s="389"/>
      <c r="J216" s="389"/>
      <c r="K216" s="389"/>
      <c r="L216" s="209"/>
      <c r="M216" s="209"/>
      <c r="N216" s="209"/>
      <c r="O216" s="209"/>
      <c r="P216" s="209"/>
      <c r="Q216" s="161"/>
      <c r="R216" s="390"/>
      <c r="S216" s="390"/>
      <c r="T216" s="161"/>
      <c r="U216" s="389"/>
      <c r="BA216" s="387" t="str">
        <f>IF('Short Circuit'!$A216="","",'Short Circuit'!$A216)</f>
        <v/>
      </c>
      <c r="BB216" s="387" t="str">
        <f>IF($BA216="","",'Short Circuit'!$B216)</f>
        <v/>
      </c>
      <c r="BC216" s="387" t="str">
        <f>IF($BA216="","",'Short Circuit'!$C216)</f>
        <v/>
      </c>
      <c r="BD216" s="387" t="str">
        <f>IF($BA216="","",'Short Circuit'!$D216)</f>
        <v/>
      </c>
      <c r="BE216" s="387" t="str">
        <f>IF($BA216="","",'Short Circuit'!$E216)</f>
        <v/>
      </c>
      <c r="BF216" s="387" t="str">
        <f>IF($BA216="","",IFERROR(_xlfn.XLOOKUP("F-"&amp;$BA216,'Feeder Schedule'!$B$5:$B$254,'Feeder Schedule'!$B$5:$B$254),IFERROR(_xlfn.XLOOKUP($BA216,'Feeder Schedule'!$B$5:$B$254,'Feeder Schedule'!$B$5:$B$254),"")))</f>
        <v/>
      </c>
      <c r="BG216" s="387" t="str">
        <f>IF($BF216="","",IFERROR(_xlfn.XLOOKUP($BF216,'Feeder Schedule'!$B$5:$B$254,'Feeder Schedule'!$A$5:$A$254),""))</f>
        <v/>
      </c>
      <c r="BH216" s="387" t="str">
        <f>IF($BF216="","",IFERROR(_xlfn.XLOOKUP($BF216,'Feeder Schedule'!$B$5:$B$254,'Feeder Schedule'!$O$5:$O$254),""))</f>
        <v/>
      </c>
      <c r="BI216" s="387" t="str">
        <f>IF($BF216="","",IFERROR(_xlfn.XLOOKUP($BF216,'Feeder Schedule'!$B$5:$B$254,'Feeder Schedule'!$P$5:$P$254),""))</f>
        <v/>
      </c>
      <c r="BJ216" s="387" t="str">
        <f>IF($BF216="","",IFERROR(_xlfn.XLOOKUP($BF216,'Feeder Schedule'!$B$5:$B$254,'Feeder Schedule'!$Q$5:$Q$254),""))</f>
        <v/>
      </c>
      <c r="BK216" s="387" t="str">
        <f>IF($BF216="","",IFERROR(_xlfn.XLOOKUP($BF216,'Feeder Schedule'!$B$5:$B$254,'Feeder Schedule'!$S$5:$S$254),""))</f>
        <v/>
      </c>
      <c r="BL216" s="387" t="str">
        <f>IF($BF216="","",IFERROR(_xlfn.XLOOKUP($BF216,'Feeder Schedule'!$B$5:$B$254,'Feeder Schedule'!$H$5:$H$254),""))</f>
        <v/>
      </c>
      <c r="BM216" s="534" t="str">
        <f>IF($BA216="","",'Short Circuit'!$J216)</f>
        <v/>
      </c>
      <c r="BN216" s="534" t="str">
        <f>IF($BA216="","",'Short Circuit'!$Q216)</f>
        <v/>
      </c>
      <c r="BO216" s="387" t="str">
        <f>IF($BA216="","",'Short Circuit'!$R216)</f>
        <v/>
      </c>
      <c r="BP216" s="535" t="str">
        <f>IF($BA216="","",'Short Circuit'!$S216)</f>
        <v/>
      </c>
      <c r="BQ216" s="387" t="str">
        <f>IF($BA216="","",'Short Circuit'!$T216)</f>
        <v/>
      </c>
      <c r="BR216" s="536" t="str">
        <f>IF($BA216="","",'Voltage Drop'!$G216)</f>
        <v/>
      </c>
      <c r="BS216" s="536" t="str">
        <f>IF($BA216="","",'Voltage Drop'!$H216)</f>
        <v/>
      </c>
      <c r="BT216" s="387" t="str">
        <f>IF($BA216="","",'Voltage Drop'!$K216)</f>
        <v/>
      </c>
      <c r="BU216" s="387" t="str">
        <f t="shared" si="6"/>
        <v/>
      </c>
      <c r="BV216" s="387"/>
      <c r="BW216" s="387" t="b">
        <f t="shared" si="7"/>
        <v>0</v>
      </c>
    </row>
    <row r="217" spans="1:75" ht="15" customHeight="1" x14ac:dyDescent="0.45">
      <c r="A217" s="161"/>
      <c r="B217" s="389"/>
      <c r="C217" s="207"/>
      <c r="D217" s="208"/>
      <c r="E217" s="161"/>
      <c r="F217" s="389"/>
      <c r="G217" s="389"/>
      <c r="H217" s="389"/>
      <c r="I217" s="389"/>
      <c r="J217" s="389"/>
      <c r="K217" s="389"/>
      <c r="L217" s="209"/>
      <c r="M217" s="209"/>
      <c r="N217" s="209"/>
      <c r="O217" s="209"/>
      <c r="P217" s="209"/>
      <c r="Q217" s="161"/>
      <c r="R217" s="390"/>
      <c r="S217" s="390"/>
      <c r="T217" s="161"/>
      <c r="U217" s="389"/>
      <c r="BA217" s="387" t="str">
        <f>IF('Short Circuit'!$A217="","",'Short Circuit'!$A217)</f>
        <v/>
      </c>
      <c r="BB217" s="387" t="str">
        <f>IF($BA217="","",'Short Circuit'!$B217)</f>
        <v/>
      </c>
      <c r="BC217" s="387" t="str">
        <f>IF($BA217="","",'Short Circuit'!$C217)</f>
        <v/>
      </c>
      <c r="BD217" s="387" t="str">
        <f>IF($BA217="","",'Short Circuit'!$D217)</f>
        <v/>
      </c>
      <c r="BE217" s="387" t="str">
        <f>IF($BA217="","",'Short Circuit'!$E217)</f>
        <v/>
      </c>
      <c r="BF217" s="387" t="str">
        <f>IF($BA217="","",IFERROR(_xlfn.XLOOKUP("F-"&amp;$BA217,'Feeder Schedule'!$B$5:$B$254,'Feeder Schedule'!$B$5:$B$254),IFERROR(_xlfn.XLOOKUP($BA217,'Feeder Schedule'!$B$5:$B$254,'Feeder Schedule'!$B$5:$B$254),"")))</f>
        <v/>
      </c>
      <c r="BG217" s="387" t="str">
        <f>IF($BF217="","",IFERROR(_xlfn.XLOOKUP($BF217,'Feeder Schedule'!$B$5:$B$254,'Feeder Schedule'!$A$5:$A$254),""))</f>
        <v/>
      </c>
      <c r="BH217" s="387" t="str">
        <f>IF($BF217="","",IFERROR(_xlfn.XLOOKUP($BF217,'Feeder Schedule'!$B$5:$B$254,'Feeder Schedule'!$O$5:$O$254),""))</f>
        <v/>
      </c>
      <c r="BI217" s="387" t="str">
        <f>IF($BF217="","",IFERROR(_xlfn.XLOOKUP($BF217,'Feeder Schedule'!$B$5:$B$254,'Feeder Schedule'!$P$5:$P$254),""))</f>
        <v/>
      </c>
      <c r="BJ217" s="387" t="str">
        <f>IF($BF217="","",IFERROR(_xlfn.XLOOKUP($BF217,'Feeder Schedule'!$B$5:$B$254,'Feeder Schedule'!$Q$5:$Q$254),""))</f>
        <v/>
      </c>
      <c r="BK217" s="387" t="str">
        <f>IF($BF217="","",IFERROR(_xlfn.XLOOKUP($BF217,'Feeder Schedule'!$B$5:$B$254,'Feeder Schedule'!$S$5:$S$254),""))</f>
        <v/>
      </c>
      <c r="BL217" s="387" t="str">
        <f>IF($BF217="","",IFERROR(_xlfn.XLOOKUP($BF217,'Feeder Schedule'!$B$5:$B$254,'Feeder Schedule'!$H$5:$H$254),""))</f>
        <v/>
      </c>
      <c r="BM217" s="534" t="str">
        <f>IF($BA217="","",'Short Circuit'!$J217)</f>
        <v/>
      </c>
      <c r="BN217" s="534" t="str">
        <f>IF($BA217="","",'Short Circuit'!$Q217)</f>
        <v/>
      </c>
      <c r="BO217" s="387" t="str">
        <f>IF($BA217="","",'Short Circuit'!$R217)</f>
        <v/>
      </c>
      <c r="BP217" s="535" t="str">
        <f>IF($BA217="","",'Short Circuit'!$S217)</f>
        <v/>
      </c>
      <c r="BQ217" s="387" t="str">
        <f>IF($BA217="","",'Short Circuit'!$T217)</f>
        <v/>
      </c>
      <c r="BR217" s="536" t="str">
        <f>IF($BA217="","",'Voltage Drop'!$G217)</f>
        <v/>
      </c>
      <c r="BS217" s="536" t="str">
        <f>IF($BA217="","",'Voltage Drop'!$H217)</f>
        <v/>
      </c>
      <c r="BT217" s="387" t="str">
        <f>IF($BA217="","",'Voltage Drop'!$K217)</f>
        <v/>
      </c>
      <c r="BU217" s="387" t="str">
        <f t="shared" si="6"/>
        <v/>
      </c>
      <c r="BV217" s="387"/>
      <c r="BW217" s="387" t="b">
        <f t="shared" si="7"/>
        <v>0</v>
      </c>
    </row>
    <row r="218" spans="1:75" ht="15" customHeight="1" x14ac:dyDescent="0.45">
      <c r="A218" s="161"/>
      <c r="B218" s="389"/>
      <c r="C218" s="207"/>
      <c r="D218" s="208"/>
      <c r="E218" s="161"/>
      <c r="F218" s="389"/>
      <c r="G218" s="389"/>
      <c r="H218" s="389"/>
      <c r="I218" s="389"/>
      <c r="J218" s="389"/>
      <c r="K218" s="389"/>
      <c r="L218" s="209"/>
      <c r="M218" s="209"/>
      <c r="N218" s="209"/>
      <c r="O218" s="209"/>
      <c r="P218" s="209"/>
      <c r="Q218" s="161"/>
      <c r="R218" s="390"/>
      <c r="S218" s="390"/>
      <c r="T218" s="161"/>
      <c r="U218" s="389"/>
      <c r="BA218" s="387" t="str">
        <f>IF('Short Circuit'!$A218="","",'Short Circuit'!$A218)</f>
        <v/>
      </c>
      <c r="BB218" s="387" t="str">
        <f>IF($BA218="","",'Short Circuit'!$B218)</f>
        <v/>
      </c>
      <c r="BC218" s="387" t="str">
        <f>IF($BA218="","",'Short Circuit'!$C218)</f>
        <v/>
      </c>
      <c r="BD218" s="387" t="str">
        <f>IF($BA218="","",'Short Circuit'!$D218)</f>
        <v/>
      </c>
      <c r="BE218" s="387" t="str">
        <f>IF($BA218="","",'Short Circuit'!$E218)</f>
        <v/>
      </c>
      <c r="BF218" s="387" t="str">
        <f>IF($BA218="","",IFERROR(_xlfn.XLOOKUP("F-"&amp;$BA218,'Feeder Schedule'!$B$5:$B$254,'Feeder Schedule'!$B$5:$B$254),IFERROR(_xlfn.XLOOKUP($BA218,'Feeder Schedule'!$B$5:$B$254,'Feeder Schedule'!$B$5:$B$254),"")))</f>
        <v/>
      </c>
      <c r="BG218" s="387" t="str">
        <f>IF($BF218="","",IFERROR(_xlfn.XLOOKUP($BF218,'Feeder Schedule'!$B$5:$B$254,'Feeder Schedule'!$A$5:$A$254),""))</f>
        <v/>
      </c>
      <c r="BH218" s="387" t="str">
        <f>IF($BF218="","",IFERROR(_xlfn.XLOOKUP($BF218,'Feeder Schedule'!$B$5:$B$254,'Feeder Schedule'!$O$5:$O$254),""))</f>
        <v/>
      </c>
      <c r="BI218" s="387" t="str">
        <f>IF($BF218="","",IFERROR(_xlfn.XLOOKUP($BF218,'Feeder Schedule'!$B$5:$B$254,'Feeder Schedule'!$P$5:$P$254),""))</f>
        <v/>
      </c>
      <c r="BJ218" s="387" t="str">
        <f>IF($BF218="","",IFERROR(_xlfn.XLOOKUP($BF218,'Feeder Schedule'!$B$5:$B$254,'Feeder Schedule'!$Q$5:$Q$254),""))</f>
        <v/>
      </c>
      <c r="BK218" s="387" t="str">
        <f>IF($BF218="","",IFERROR(_xlfn.XLOOKUP($BF218,'Feeder Schedule'!$B$5:$B$254,'Feeder Schedule'!$S$5:$S$254),""))</f>
        <v/>
      </c>
      <c r="BL218" s="387" t="str">
        <f>IF($BF218="","",IFERROR(_xlfn.XLOOKUP($BF218,'Feeder Schedule'!$B$5:$B$254,'Feeder Schedule'!$H$5:$H$254),""))</f>
        <v/>
      </c>
      <c r="BM218" s="534" t="str">
        <f>IF($BA218="","",'Short Circuit'!$J218)</f>
        <v/>
      </c>
      <c r="BN218" s="534" t="str">
        <f>IF($BA218="","",'Short Circuit'!$Q218)</f>
        <v/>
      </c>
      <c r="BO218" s="387" t="str">
        <f>IF($BA218="","",'Short Circuit'!$R218)</f>
        <v/>
      </c>
      <c r="BP218" s="535" t="str">
        <f>IF($BA218="","",'Short Circuit'!$S218)</f>
        <v/>
      </c>
      <c r="BQ218" s="387" t="str">
        <f>IF($BA218="","",'Short Circuit'!$T218)</f>
        <v/>
      </c>
      <c r="BR218" s="536" t="str">
        <f>IF($BA218="","",'Voltage Drop'!$G218)</f>
        <v/>
      </c>
      <c r="BS218" s="536" t="str">
        <f>IF($BA218="","",'Voltage Drop'!$H218)</f>
        <v/>
      </c>
      <c r="BT218" s="387" t="str">
        <f>IF($BA218="","",'Voltage Drop'!$K218)</f>
        <v/>
      </c>
      <c r="BU218" s="387" t="str">
        <f t="shared" si="6"/>
        <v/>
      </c>
      <c r="BV218" s="387"/>
      <c r="BW218" s="387" t="b">
        <f t="shared" si="7"/>
        <v>0</v>
      </c>
    </row>
    <row r="219" spans="1:75" ht="15" customHeight="1" x14ac:dyDescent="0.45">
      <c r="A219" s="161"/>
      <c r="B219" s="389"/>
      <c r="C219" s="207"/>
      <c r="D219" s="208"/>
      <c r="E219" s="161"/>
      <c r="F219" s="389"/>
      <c r="G219" s="389"/>
      <c r="H219" s="389"/>
      <c r="I219" s="389"/>
      <c r="J219" s="389"/>
      <c r="K219" s="389"/>
      <c r="L219" s="209"/>
      <c r="M219" s="209"/>
      <c r="N219" s="209"/>
      <c r="O219" s="209"/>
      <c r="P219" s="209"/>
      <c r="Q219" s="161"/>
      <c r="R219" s="390"/>
      <c r="S219" s="390"/>
      <c r="T219" s="161"/>
      <c r="U219" s="389"/>
      <c r="BA219" s="387" t="str">
        <f>IF('Short Circuit'!$A219="","",'Short Circuit'!$A219)</f>
        <v/>
      </c>
      <c r="BB219" s="387" t="str">
        <f>IF($BA219="","",'Short Circuit'!$B219)</f>
        <v/>
      </c>
      <c r="BC219" s="387" t="str">
        <f>IF($BA219="","",'Short Circuit'!$C219)</f>
        <v/>
      </c>
      <c r="BD219" s="387" t="str">
        <f>IF($BA219="","",'Short Circuit'!$D219)</f>
        <v/>
      </c>
      <c r="BE219" s="387" t="str">
        <f>IF($BA219="","",'Short Circuit'!$E219)</f>
        <v/>
      </c>
      <c r="BF219" s="387" t="str">
        <f>IF($BA219="","",IFERROR(_xlfn.XLOOKUP("F-"&amp;$BA219,'Feeder Schedule'!$B$5:$B$254,'Feeder Schedule'!$B$5:$B$254),IFERROR(_xlfn.XLOOKUP($BA219,'Feeder Schedule'!$B$5:$B$254,'Feeder Schedule'!$B$5:$B$254),"")))</f>
        <v/>
      </c>
      <c r="BG219" s="387" t="str">
        <f>IF($BF219="","",IFERROR(_xlfn.XLOOKUP($BF219,'Feeder Schedule'!$B$5:$B$254,'Feeder Schedule'!$A$5:$A$254),""))</f>
        <v/>
      </c>
      <c r="BH219" s="387" t="str">
        <f>IF($BF219="","",IFERROR(_xlfn.XLOOKUP($BF219,'Feeder Schedule'!$B$5:$B$254,'Feeder Schedule'!$O$5:$O$254),""))</f>
        <v/>
      </c>
      <c r="BI219" s="387" t="str">
        <f>IF($BF219="","",IFERROR(_xlfn.XLOOKUP($BF219,'Feeder Schedule'!$B$5:$B$254,'Feeder Schedule'!$P$5:$P$254),""))</f>
        <v/>
      </c>
      <c r="BJ219" s="387" t="str">
        <f>IF($BF219="","",IFERROR(_xlfn.XLOOKUP($BF219,'Feeder Schedule'!$B$5:$B$254,'Feeder Schedule'!$Q$5:$Q$254),""))</f>
        <v/>
      </c>
      <c r="BK219" s="387" t="str">
        <f>IF($BF219="","",IFERROR(_xlfn.XLOOKUP($BF219,'Feeder Schedule'!$B$5:$B$254,'Feeder Schedule'!$S$5:$S$254),""))</f>
        <v/>
      </c>
      <c r="BL219" s="387" t="str">
        <f>IF($BF219="","",IFERROR(_xlfn.XLOOKUP($BF219,'Feeder Schedule'!$B$5:$B$254,'Feeder Schedule'!$H$5:$H$254),""))</f>
        <v/>
      </c>
      <c r="BM219" s="534" t="str">
        <f>IF($BA219="","",'Short Circuit'!$J219)</f>
        <v/>
      </c>
      <c r="BN219" s="534" t="str">
        <f>IF($BA219="","",'Short Circuit'!$Q219)</f>
        <v/>
      </c>
      <c r="BO219" s="387" t="str">
        <f>IF($BA219="","",'Short Circuit'!$R219)</f>
        <v/>
      </c>
      <c r="BP219" s="535" t="str">
        <f>IF($BA219="","",'Short Circuit'!$S219)</f>
        <v/>
      </c>
      <c r="BQ219" s="387" t="str">
        <f>IF($BA219="","",'Short Circuit'!$T219)</f>
        <v/>
      </c>
      <c r="BR219" s="536" t="str">
        <f>IF($BA219="","",'Voltage Drop'!$G219)</f>
        <v/>
      </c>
      <c r="BS219" s="536" t="str">
        <f>IF($BA219="","",'Voltage Drop'!$H219)</f>
        <v/>
      </c>
      <c r="BT219" s="387" t="str">
        <f>IF($BA219="","",'Voltage Drop'!$K219)</f>
        <v/>
      </c>
      <c r="BU219" s="387" t="str">
        <f t="shared" si="6"/>
        <v/>
      </c>
      <c r="BV219" s="387"/>
      <c r="BW219" s="387" t="b">
        <f t="shared" si="7"/>
        <v>0</v>
      </c>
    </row>
    <row r="220" spans="1:75" ht="15" customHeight="1" x14ac:dyDescent="0.45">
      <c r="A220" s="161"/>
      <c r="B220" s="389"/>
      <c r="C220" s="207"/>
      <c r="D220" s="208"/>
      <c r="E220" s="161"/>
      <c r="F220" s="389"/>
      <c r="G220" s="389"/>
      <c r="H220" s="389"/>
      <c r="I220" s="389"/>
      <c r="J220" s="389"/>
      <c r="K220" s="389"/>
      <c r="L220" s="209"/>
      <c r="M220" s="209"/>
      <c r="N220" s="209"/>
      <c r="O220" s="209"/>
      <c r="P220" s="209"/>
      <c r="Q220" s="161"/>
      <c r="R220" s="390"/>
      <c r="S220" s="390"/>
      <c r="T220" s="161"/>
      <c r="U220" s="389"/>
      <c r="BA220" s="387" t="str">
        <f>IF('Short Circuit'!$A220="","",'Short Circuit'!$A220)</f>
        <v/>
      </c>
      <c r="BB220" s="387" t="str">
        <f>IF($BA220="","",'Short Circuit'!$B220)</f>
        <v/>
      </c>
      <c r="BC220" s="387" t="str">
        <f>IF($BA220="","",'Short Circuit'!$C220)</f>
        <v/>
      </c>
      <c r="BD220" s="387" t="str">
        <f>IF($BA220="","",'Short Circuit'!$D220)</f>
        <v/>
      </c>
      <c r="BE220" s="387" t="str">
        <f>IF($BA220="","",'Short Circuit'!$E220)</f>
        <v/>
      </c>
      <c r="BF220" s="387" t="str">
        <f>IF($BA220="","",IFERROR(_xlfn.XLOOKUP("F-"&amp;$BA220,'Feeder Schedule'!$B$5:$B$254,'Feeder Schedule'!$B$5:$B$254),IFERROR(_xlfn.XLOOKUP($BA220,'Feeder Schedule'!$B$5:$B$254,'Feeder Schedule'!$B$5:$B$254),"")))</f>
        <v/>
      </c>
      <c r="BG220" s="387" t="str">
        <f>IF($BF220="","",IFERROR(_xlfn.XLOOKUP($BF220,'Feeder Schedule'!$B$5:$B$254,'Feeder Schedule'!$A$5:$A$254),""))</f>
        <v/>
      </c>
      <c r="BH220" s="387" t="str">
        <f>IF($BF220="","",IFERROR(_xlfn.XLOOKUP($BF220,'Feeder Schedule'!$B$5:$B$254,'Feeder Schedule'!$O$5:$O$254),""))</f>
        <v/>
      </c>
      <c r="BI220" s="387" t="str">
        <f>IF($BF220="","",IFERROR(_xlfn.XLOOKUP($BF220,'Feeder Schedule'!$B$5:$B$254,'Feeder Schedule'!$P$5:$P$254),""))</f>
        <v/>
      </c>
      <c r="BJ220" s="387" t="str">
        <f>IF($BF220="","",IFERROR(_xlfn.XLOOKUP($BF220,'Feeder Schedule'!$B$5:$B$254,'Feeder Schedule'!$Q$5:$Q$254),""))</f>
        <v/>
      </c>
      <c r="BK220" s="387" t="str">
        <f>IF($BF220="","",IFERROR(_xlfn.XLOOKUP($BF220,'Feeder Schedule'!$B$5:$B$254,'Feeder Schedule'!$S$5:$S$254),""))</f>
        <v/>
      </c>
      <c r="BL220" s="387" t="str">
        <f>IF($BF220="","",IFERROR(_xlfn.XLOOKUP($BF220,'Feeder Schedule'!$B$5:$B$254,'Feeder Schedule'!$H$5:$H$254),""))</f>
        <v/>
      </c>
      <c r="BM220" s="534" t="str">
        <f>IF($BA220="","",'Short Circuit'!$J220)</f>
        <v/>
      </c>
      <c r="BN220" s="534" t="str">
        <f>IF($BA220="","",'Short Circuit'!$Q220)</f>
        <v/>
      </c>
      <c r="BO220" s="387" t="str">
        <f>IF($BA220="","",'Short Circuit'!$R220)</f>
        <v/>
      </c>
      <c r="BP220" s="535" t="str">
        <f>IF($BA220="","",'Short Circuit'!$S220)</f>
        <v/>
      </c>
      <c r="BQ220" s="387" t="str">
        <f>IF($BA220="","",'Short Circuit'!$T220)</f>
        <v/>
      </c>
      <c r="BR220" s="536" t="str">
        <f>IF($BA220="","",'Voltage Drop'!$G220)</f>
        <v/>
      </c>
      <c r="BS220" s="536" t="str">
        <f>IF($BA220="","",'Voltage Drop'!$H220)</f>
        <v/>
      </c>
      <c r="BT220" s="387" t="str">
        <f>IF($BA220="","",'Voltage Drop'!$K220)</f>
        <v/>
      </c>
      <c r="BU220" s="387" t="str">
        <f t="shared" si="6"/>
        <v/>
      </c>
      <c r="BV220" s="387"/>
      <c r="BW220" s="387" t="b">
        <f t="shared" si="7"/>
        <v>0</v>
      </c>
    </row>
    <row r="221" spans="1:75" ht="15" customHeight="1" x14ac:dyDescent="0.45">
      <c r="A221" s="161"/>
      <c r="B221" s="389"/>
      <c r="C221" s="207"/>
      <c r="D221" s="208"/>
      <c r="E221" s="161"/>
      <c r="F221" s="389"/>
      <c r="G221" s="389"/>
      <c r="H221" s="389"/>
      <c r="I221" s="389"/>
      <c r="J221" s="389"/>
      <c r="K221" s="389"/>
      <c r="L221" s="209"/>
      <c r="M221" s="209"/>
      <c r="N221" s="209"/>
      <c r="O221" s="209"/>
      <c r="P221" s="209"/>
      <c r="Q221" s="161"/>
      <c r="R221" s="390"/>
      <c r="S221" s="390"/>
      <c r="T221" s="161"/>
      <c r="U221" s="389"/>
      <c r="BA221" s="387" t="str">
        <f>IF('Short Circuit'!$A221="","",'Short Circuit'!$A221)</f>
        <v/>
      </c>
      <c r="BB221" s="387" t="str">
        <f>IF($BA221="","",'Short Circuit'!$B221)</f>
        <v/>
      </c>
      <c r="BC221" s="387" t="str">
        <f>IF($BA221="","",'Short Circuit'!$C221)</f>
        <v/>
      </c>
      <c r="BD221" s="387" t="str">
        <f>IF($BA221="","",'Short Circuit'!$D221)</f>
        <v/>
      </c>
      <c r="BE221" s="387" t="str">
        <f>IF($BA221="","",'Short Circuit'!$E221)</f>
        <v/>
      </c>
      <c r="BF221" s="387" t="str">
        <f>IF($BA221="","",IFERROR(_xlfn.XLOOKUP("F-"&amp;$BA221,'Feeder Schedule'!$B$5:$B$254,'Feeder Schedule'!$B$5:$B$254),IFERROR(_xlfn.XLOOKUP($BA221,'Feeder Schedule'!$B$5:$B$254,'Feeder Schedule'!$B$5:$B$254),"")))</f>
        <v/>
      </c>
      <c r="BG221" s="387" t="str">
        <f>IF($BF221="","",IFERROR(_xlfn.XLOOKUP($BF221,'Feeder Schedule'!$B$5:$B$254,'Feeder Schedule'!$A$5:$A$254),""))</f>
        <v/>
      </c>
      <c r="BH221" s="387" t="str">
        <f>IF($BF221="","",IFERROR(_xlfn.XLOOKUP($BF221,'Feeder Schedule'!$B$5:$B$254,'Feeder Schedule'!$O$5:$O$254),""))</f>
        <v/>
      </c>
      <c r="BI221" s="387" t="str">
        <f>IF($BF221="","",IFERROR(_xlfn.XLOOKUP($BF221,'Feeder Schedule'!$B$5:$B$254,'Feeder Schedule'!$P$5:$P$254),""))</f>
        <v/>
      </c>
      <c r="BJ221" s="387" t="str">
        <f>IF($BF221="","",IFERROR(_xlfn.XLOOKUP($BF221,'Feeder Schedule'!$B$5:$B$254,'Feeder Schedule'!$Q$5:$Q$254),""))</f>
        <v/>
      </c>
      <c r="BK221" s="387" t="str">
        <f>IF($BF221="","",IFERROR(_xlfn.XLOOKUP($BF221,'Feeder Schedule'!$B$5:$B$254,'Feeder Schedule'!$S$5:$S$254),""))</f>
        <v/>
      </c>
      <c r="BL221" s="387" t="str">
        <f>IF($BF221="","",IFERROR(_xlfn.XLOOKUP($BF221,'Feeder Schedule'!$B$5:$B$254,'Feeder Schedule'!$H$5:$H$254),""))</f>
        <v/>
      </c>
      <c r="BM221" s="534" t="str">
        <f>IF($BA221="","",'Short Circuit'!$J221)</f>
        <v/>
      </c>
      <c r="BN221" s="534" t="str">
        <f>IF($BA221="","",'Short Circuit'!$Q221)</f>
        <v/>
      </c>
      <c r="BO221" s="387" t="str">
        <f>IF($BA221="","",'Short Circuit'!$R221)</f>
        <v/>
      </c>
      <c r="BP221" s="535" t="str">
        <f>IF($BA221="","",'Short Circuit'!$S221)</f>
        <v/>
      </c>
      <c r="BQ221" s="387" t="str">
        <f>IF($BA221="","",'Short Circuit'!$T221)</f>
        <v/>
      </c>
      <c r="BR221" s="536" t="str">
        <f>IF($BA221="","",'Voltage Drop'!$G221)</f>
        <v/>
      </c>
      <c r="BS221" s="536" t="str">
        <f>IF($BA221="","",'Voltage Drop'!$H221)</f>
        <v/>
      </c>
      <c r="BT221" s="387" t="str">
        <f>IF($BA221="","",'Voltage Drop'!$K221)</f>
        <v/>
      </c>
      <c r="BU221" s="387" t="str">
        <f t="shared" si="6"/>
        <v/>
      </c>
      <c r="BV221" s="387"/>
      <c r="BW221" s="387" t="b">
        <f t="shared" si="7"/>
        <v>0</v>
      </c>
    </row>
    <row r="222" spans="1:75" ht="15" customHeight="1" x14ac:dyDescent="0.45">
      <c r="A222" s="161"/>
      <c r="B222" s="389"/>
      <c r="C222" s="207"/>
      <c r="D222" s="208"/>
      <c r="E222" s="161"/>
      <c r="F222" s="389"/>
      <c r="G222" s="389"/>
      <c r="H222" s="389"/>
      <c r="I222" s="389"/>
      <c r="J222" s="389"/>
      <c r="K222" s="389"/>
      <c r="L222" s="209"/>
      <c r="M222" s="209"/>
      <c r="N222" s="209"/>
      <c r="O222" s="209"/>
      <c r="P222" s="209"/>
      <c r="Q222" s="161"/>
      <c r="R222" s="390"/>
      <c r="S222" s="390"/>
      <c r="T222" s="161"/>
      <c r="U222" s="389"/>
      <c r="BA222" s="387" t="str">
        <f>IF('Short Circuit'!$A222="","",'Short Circuit'!$A222)</f>
        <v/>
      </c>
      <c r="BB222" s="387" t="str">
        <f>IF($BA222="","",'Short Circuit'!$B222)</f>
        <v/>
      </c>
      <c r="BC222" s="387" t="str">
        <f>IF($BA222="","",'Short Circuit'!$C222)</f>
        <v/>
      </c>
      <c r="BD222" s="387" t="str">
        <f>IF($BA222="","",'Short Circuit'!$D222)</f>
        <v/>
      </c>
      <c r="BE222" s="387" t="str">
        <f>IF($BA222="","",'Short Circuit'!$E222)</f>
        <v/>
      </c>
      <c r="BF222" s="387" t="str">
        <f>IF($BA222="","",IFERROR(_xlfn.XLOOKUP("F-"&amp;$BA222,'Feeder Schedule'!$B$5:$B$254,'Feeder Schedule'!$B$5:$B$254),IFERROR(_xlfn.XLOOKUP($BA222,'Feeder Schedule'!$B$5:$B$254,'Feeder Schedule'!$B$5:$B$254),"")))</f>
        <v/>
      </c>
      <c r="BG222" s="387" t="str">
        <f>IF($BF222="","",IFERROR(_xlfn.XLOOKUP($BF222,'Feeder Schedule'!$B$5:$B$254,'Feeder Schedule'!$A$5:$A$254),""))</f>
        <v/>
      </c>
      <c r="BH222" s="387" t="str">
        <f>IF($BF222="","",IFERROR(_xlfn.XLOOKUP($BF222,'Feeder Schedule'!$B$5:$B$254,'Feeder Schedule'!$O$5:$O$254),""))</f>
        <v/>
      </c>
      <c r="BI222" s="387" t="str">
        <f>IF($BF222="","",IFERROR(_xlfn.XLOOKUP($BF222,'Feeder Schedule'!$B$5:$B$254,'Feeder Schedule'!$P$5:$P$254),""))</f>
        <v/>
      </c>
      <c r="BJ222" s="387" t="str">
        <f>IF($BF222="","",IFERROR(_xlfn.XLOOKUP($BF222,'Feeder Schedule'!$B$5:$B$254,'Feeder Schedule'!$Q$5:$Q$254),""))</f>
        <v/>
      </c>
      <c r="BK222" s="387" t="str">
        <f>IF($BF222="","",IFERROR(_xlfn.XLOOKUP($BF222,'Feeder Schedule'!$B$5:$B$254,'Feeder Schedule'!$S$5:$S$254),""))</f>
        <v/>
      </c>
      <c r="BL222" s="387" t="str">
        <f>IF($BF222="","",IFERROR(_xlfn.XLOOKUP($BF222,'Feeder Schedule'!$B$5:$B$254,'Feeder Schedule'!$H$5:$H$254),""))</f>
        <v/>
      </c>
      <c r="BM222" s="534" t="str">
        <f>IF($BA222="","",'Short Circuit'!$J222)</f>
        <v/>
      </c>
      <c r="BN222" s="534" t="str">
        <f>IF($BA222="","",'Short Circuit'!$Q222)</f>
        <v/>
      </c>
      <c r="BO222" s="387" t="str">
        <f>IF($BA222="","",'Short Circuit'!$R222)</f>
        <v/>
      </c>
      <c r="BP222" s="535" t="str">
        <f>IF($BA222="","",'Short Circuit'!$S222)</f>
        <v/>
      </c>
      <c r="BQ222" s="387" t="str">
        <f>IF($BA222="","",'Short Circuit'!$T222)</f>
        <v/>
      </c>
      <c r="BR222" s="536" t="str">
        <f>IF($BA222="","",'Voltage Drop'!$G222)</f>
        <v/>
      </c>
      <c r="BS222" s="536" t="str">
        <f>IF($BA222="","",'Voltage Drop'!$H222)</f>
        <v/>
      </c>
      <c r="BT222" s="387" t="str">
        <f>IF($BA222="","",'Voltage Drop'!$K222)</f>
        <v/>
      </c>
      <c r="BU222" s="387" t="str">
        <f t="shared" si="6"/>
        <v/>
      </c>
      <c r="BV222" s="387"/>
      <c r="BW222" s="387" t="b">
        <f t="shared" si="7"/>
        <v>0</v>
      </c>
    </row>
    <row r="223" spans="1:75" ht="15" customHeight="1" x14ac:dyDescent="0.45">
      <c r="A223" s="161"/>
      <c r="B223" s="389"/>
      <c r="C223" s="207"/>
      <c r="D223" s="208"/>
      <c r="E223" s="161"/>
      <c r="F223" s="389"/>
      <c r="G223" s="389"/>
      <c r="H223" s="389"/>
      <c r="I223" s="389"/>
      <c r="J223" s="389"/>
      <c r="K223" s="389"/>
      <c r="L223" s="209"/>
      <c r="M223" s="209"/>
      <c r="N223" s="209"/>
      <c r="O223" s="209"/>
      <c r="P223" s="209"/>
      <c r="Q223" s="161"/>
      <c r="R223" s="390"/>
      <c r="S223" s="390"/>
      <c r="T223" s="161"/>
      <c r="U223" s="389"/>
      <c r="BA223" s="387" t="str">
        <f>IF('Short Circuit'!$A223="","",'Short Circuit'!$A223)</f>
        <v/>
      </c>
      <c r="BB223" s="387" t="str">
        <f>IF($BA223="","",'Short Circuit'!$B223)</f>
        <v/>
      </c>
      <c r="BC223" s="387" t="str">
        <f>IF($BA223="","",'Short Circuit'!$C223)</f>
        <v/>
      </c>
      <c r="BD223" s="387" t="str">
        <f>IF($BA223="","",'Short Circuit'!$D223)</f>
        <v/>
      </c>
      <c r="BE223" s="387" t="str">
        <f>IF($BA223="","",'Short Circuit'!$E223)</f>
        <v/>
      </c>
      <c r="BF223" s="387" t="str">
        <f>IF($BA223="","",IFERROR(_xlfn.XLOOKUP("F-"&amp;$BA223,'Feeder Schedule'!$B$5:$B$254,'Feeder Schedule'!$B$5:$B$254),IFERROR(_xlfn.XLOOKUP($BA223,'Feeder Schedule'!$B$5:$B$254,'Feeder Schedule'!$B$5:$B$254),"")))</f>
        <v/>
      </c>
      <c r="BG223" s="387" t="str">
        <f>IF($BF223="","",IFERROR(_xlfn.XLOOKUP($BF223,'Feeder Schedule'!$B$5:$B$254,'Feeder Schedule'!$A$5:$A$254),""))</f>
        <v/>
      </c>
      <c r="BH223" s="387" t="str">
        <f>IF($BF223="","",IFERROR(_xlfn.XLOOKUP($BF223,'Feeder Schedule'!$B$5:$B$254,'Feeder Schedule'!$O$5:$O$254),""))</f>
        <v/>
      </c>
      <c r="BI223" s="387" t="str">
        <f>IF($BF223="","",IFERROR(_xlfn.XLOOKUP($BF223,'Feeder Schedule'!$B$5:$B$254,'Feeder Schedule'!$P$5:$P$254),""))</f>
        <v/>
      </c>
      <c r="BJ223" s="387" t="str">
        <f>IF($BF223="","",IFERROR(_xlfn.XLOOKUP($BF223,'Feeder Schedule'!$B$5:$B$254,'Feeder Schedule'!$Q$5:$Q$254),""))</f>
        <v/>
      </c>
      <c r="BK223" s="387" t="str">
        <f>IF($BF223="","",IFERROR(_xlfn.XLOOKUP($BF223,'Feeder Schedule'!$B$5:$B$254,'Feeder Schedule'!$S$5:$S$254),""))</f>
        <v/>
      </c>
      <c r="BL223" s="387" t="str">
        <f>IF($BF223="","",IFERROR(_xlfn.XLOOKUP($BF223,'Feeder Schedule'!$B$5:$B$254,'Feeder Schedule'!$H$5:$H$254),""))</f>
        <v/>
      </c>
      <c r="BM223" s="534" t="str">
        <f>IF($BA223="","",'Short Circuit'!$J223)</f>
        <v/>
      </c>
      <c r="BN223" s="534" t="str">
        <f>IF($BA223="","",'Short Circuit'!$Q223)</f>
        <v/>
      </c>
      <c r="BO223" s="387" t="str">
        <f>IF($BA223="","",'Short Circuit'!$R223)</f>
        <v/>
      </c>
      <c r="BP223" s="535" t="str">
        <f>IF($BA223="","",'Short Circuit'!$S223)</f>
        <v/>
      </c>
      <c r="BQ223" s="387" t="str">
        <f>IF($BA223="","",'Short Circuit'!$T223)</f>
        <v/>
      </c>
      <c r="BR223" s="536" t="str">
        <f>IF($BA223="","",'Voltage Drop'!$G223)</f>
        <v/>
      </c>
      <c r="BS223" s="536" t="str">
        <f>IF($BA223="","",'Voltage Drop'!$H223)</f>
        <v/>
      </c>
      <c r="BT223" s="387" t="str">
        <f>IF($BA223="","",'Voltage Drop'!$K223)</f>
        <v/>
      </c>
      <c r="BU223" s="387" t="str">
        <f t="shared" si="6"/>
        <v/>
      </c>
      <c r="BV223" s="387"/>
      <c r="BW223" s="387" t="b">
        <f t="shared" si="7"/>
        <v>0</v>
      </c>
    </row>
    <row r="224" spans="1:75" ht="15" customHeight="1" x14ac:dyDescent="0.45">
      <c r="A224" s="161"/>
      <c r="B224" s="389"/>
      <c r="C224" s="207"/>
      <c r="D224" s="208"/>
      <c r="E224" s="161"/>
      <c r="F224" s="389"/>
      <c r="G224" s="389"/>
      <c r="H224" s="389"/>
      <c r="I224" s="389"/>
      <c r="J224" s="389"/>
      <c r="K224" s="389"/>
      <c r="L224" s="209"/>
      <c r="M224" s="209"/>
      <c r="N224" s="209"/>
      <c r="O224" s="209"/>
      <c r="P224" s="209"/>
      <c r="Q224" s="161"/>
      <c r="R224" s="390"/>
      <c r="S224" s="390"/>
      <c r="T224" s="161"/>
      <c r="U224" s="389"/>
      <c r="BA224" s="387" t="str">
        <f>IF('Short Circuit'!$A224="","",'Short Circuit'!$A224)</f>
        <v/>
      </c>
      <c r="BB224" s="387" t="str">
        <f>IF($BA224="","",'Short Circuit'!$B224)</f>
        <v/>
      </c>
      <c r="BC224" s="387" t="str">
        <f>IF($BA224="","",'Short Circuit'!$C224)</f>
        <v/>
      </c>
      <c r="BD224" s="387" t="str">
        <f>IF($BA224="","",'Short Circuit'!$D224)</f>
        <v/>
      </c>
      <c r="BE224" s="387" t="str">
        <f>IF($BA224="","",'Short Circuit'!$E224)</f>
        <v/>
      </c>
      <c r="BF224" s="387" t="str">
        <f>IF($BA224="","",IFERROR(_xlfn.XLOOKUP("F-"&amp;$BA224,'Feeder Schedule'!$B$5:$B$254,'Feeder Schedule'!$B$5:$B$254),IFERROR(_xlfn.XLOOKUP($BA224,'Feeder Schedule'!$B$5:$B$254,'Feeder Schedule'!$B$5:$B$254),"")))</f>
        <v/>
      </c>
      <c r="BG224" s="387" t="str">
        <f>IF($BF224="","",IFERROR(_xlfn.XLOOKUP($BF224,'Feeder Schedule'!$B$5:$B$254,'Feeder Schedule'!$A$5:$A$254),""))</f>
        <v/>
      </c>
      <c r="BH224" s="387" t="str">
        <f>IF($BF224="","",IFERROR(_xlfn.XLOOKUP($BF224,'Feeder Schedule'!$B$5:$B$254,'Feeder Schedule'!$O$5:$O$254),""))</f>
        <v/>
      </c>
      <c r="BI224" s="387" t="str">
        <f>IF($BF224="","",IFERROR(_xlfn.XLOOKUP($BF224,'Feeder Schedule'!$B$5:$B$254,'Feeder Schedule'!$P$5:$P$254),""))</f>
        <v/>
      </c>
      <c r="BJ224" s="387" t="str">
        <f>IF($BF224="","",IFERROR(_xlfn.XLOOKUP($BF224,'Feeder Schedule'!$B$5:$B$254,'Feeder Schedule'!$Q$5:$Q$254),""))</f>
        <v/>
      </c>
      <c r="BK224" s="387" t="str">
        <f>IF($BF224="","",IFERROR(_xlfn.XLOOKUP($BF224,'Feeder Schedule'!$B$5:$B$254,'Feeder Schedule'!$S$5:$S$254),""))</f>
        <v/>
      </c>
      <c r="BL224" s="387" t="str">
        <f>IF($BF224="","",IFERROR(_xlfn.XLOOKUP($BF224,'Feeder Schedule'!$B$5:$B$254,'Feeder Schedule'!$H$5:$H$254),""))</f>
        <v/>
      </c>
      <c r="BM224" s="534" t="str">
        <f>IF($BA224="","",'Short Circuit'!$J224)</f>
        <v/>
      </c>
      <c r="BN224" s="534" t="str">
        <f>IF($BA224="","",'Short Circuit'!$Q224)</f>
        <v/>
      </c>
      <c r="BO224" s="387" t="str">
        <f>IF($BA224="","",'Short Circuit'!$R224)</f>
        <v/>
      </c>
      <c r="BP224" s="535" t="str">
        <f>IF($BA224="","",'Short Circuit'!$S224)</f>
        <v/>
      </c>
      <c r="BQ224" s="387" t="str">
        <f>IF($BA224="","",'Short Circuit'!$T224)</f>
        <v/>
      </c>
      <c r="BR224" s="536" t="str">
        <f>IF($BA224="","",'Voltage Drop'!$G224)</f>
        <v/>
      </c>
      <c r="BS224" s="536" t="str">
        <f>IF($BA224="","",'Voltage Drop'!$H224)</f>
        <v/>
      </c>
      <c r="BT224" s="387" t="str">
        <f>IF($BA224="","",'Voltage Drop'!$K224)</f>
        <v/>
      </c>
      <c r="BU224" s="387" t="str">
        <f t="shared" si="6"/>
        <v/>
      </c>
      <c r="BV224" s="387"/>
      <c r="BW224" s="387" t="b">
        <f t="shared" si="7"/>
        <v>0</v>
      </c>
    </row>
    <row r="225" spans="1:75" ht="15" customHeight="1" x14ac:dyDescent="0.45">
      <c r="A225" s="161"/>
      <c r="B225" s="389"/>
      <c r="C225" s="207"/>
      <c r="D225" s="208"/>
      <c r="E225" s="161"/>
      <c r="F225" s="389"/>
      <c r="G225" s="389"/>
      <c r="H225" s="389"/>
      <c r="I225" s="389"/>
      <c r="J225" s="389"/>
      <c r="K225" s="389"/>
      <c r="L225" s="209"/>
      <c r="M225" s="209"/>
      <c r="N225" s="209"/>
      <c r="O225" s="209"/>
      <c r="P225" s="209"/>
      <c r="Q225" s="161"/>
      <c r="R225" s="390"/>
      <c r="S225" s="390"/>
      <c r="T225" s="161"/>
      <c r="U225" s="389"/>
      <c r="BA225" s="387" t="str">
        <f>IF('Short Circuit'!$A225="","",'Short Circuit'!$A225)</f>
        <v/>
      </c>
      <c r="BB225" s="387" t="str">
        <f>IF($BA225="","",'Short Circuit'!$B225)</f>
        <v/>
      </c>
      <c r="BC225" s="387" t="str">
        <f>IF($BA225="","",'Short Circuit'!$C225)</f>
        <v/>
      </c>
      <c r="BD225" s="387" t="str">
        <f>IF($BA225="","",'Short Circuit'!$D225)</f>
        <v/>
      </c>
      <c r="BE225" s="387" t="str">
        <f>IF($BA225="","",'Short Circuit'!$E225)</f>
        <v/>
      </c>
      <c r="BF225" s="387" t="str">
        <f>IF($BA225="","",IFERROR(_xlfn.XLOOKUP("F-"&amp;$BA225,'Feeder Schedule'!$B$5:$B$254,'Feeder Schedule'!$B$5:$B$254),IFERROR(_xlfn.XLOOKUP($BA225,'Feeder Schedule'!$B$5:$B$254,'Feeder Schedule'!$B$5:$B$254),"")))</f>
        <v/>
      </c>
      <c r="BG225" s="387" t="str">
        <f>IF($BF225="","",IFERROR(_xlfn.XLOOKUP($BF225,'Feeder Schedule'!$B$5:$B$254,'Feeder Schedule'!$A$5:$A$254),""))</f>
        <v/>
      </c>
      <c r="BH225" s="387" t="str">
        <f>IF($BF225="","",IFERROR(_xlfn.XLOOKUP($BF225,'Feeder Schedule'!$B$5:$B$254,'Feeder Schedule'!$O$5:$O$254),""))</f>
        <v/>
      </c>
      <c r="BI225" s="387" t="str">
        <f>IF($BF225="","",IFERROR(_xlfn.XLOOKUP($BF225,'Feeder Schedule'!$B$5:$B$254,'Feeder Schedule'!$P$5:$P$254),""))</f>
        <v/>
      </c>
      <c r="BJ225" s="387" t="str">
        <f>IF($BF225="","",IFERROR(_xlfn.XLOOKUP($BF225,'Feeder Schedule'!$B$5:$B$254,'Feeder Schedule'!$Q$5:$Q$254),""))</f>
        <v/>
      </c>
      <c r="BK225" s="387" t="str">
        <f>IF($BF225="","",IFERROR(_xlfn.XLOOKUP($BF225,'Feeder Schedule'!$B$5:$B$254,'Feeder Schedule'!$S$5:$S$254),""))</f>
        <v/>
      </c>
      <c r="BL225" s="387" t="str">
        <f>IF($BF225="","",IFERROR(_xlfn.XLOOKUP($BF225,'Feeder Schedule'!$B$5:$B$254,'Feeder Schedule'!$H$5:$H$254),""))</f>
        <v/>
      </c>
      <c r="BM225" s="534" t="str">
        <f>IF($BA225="","",'Short Circuit'!$J225)</f>
        <v/>
      </c>
      <c r="BN225" s="534" t="str">
        <f>IF($BA225="","",'Short Circuit'!$Q225)</f>
        <v/>
      </c>
      <c r="BO225" s="387" t="str">
        <f>IF($BA225="","",'Short Circuit'!$R225)</f>
        <v/>
      </c>
      <c r="BP225" s="535" t="str">
        <f>IF($BA225="","",'Short Circuit'!$S225)</f>
        <v/>
      </c>
      <c r="BQ225" s="387" t="str">
        <f>IF($BA225="","",'Short Circuit'!$T225)</f>
        <v/>
      </c>
      <c r="BR225" s="536" t="str">
        <f>IF($BA225="","",'Voltage Drop'!$G225)</f>
        <v/>
      </c>
      <c r="BS225" s="536" t="str">
        <f>IF($BA225="","",'Voltage Drop'!$H225)</f>
        <v/>
      </c>
      <c r="BT225" s="387" t="str">
        <f>IF($BA225="","",'Voltage Drop'!$K225)</f>
        <v/>
      </c>
      <c r="BU225" s="387" t="str">
        <f t="shared" si="6"/>
        <v/>
      </c>
      <c r="BV225" s="387"/>
      <c r="BW225" s="387" t="b">
        <f t="shared" si="7"/>
        <v>0</v>
      </c>
    </row>
    <row r="226" spans="1:75" ht="15" customHeight="1" x14ac:dyDescent="0.45">
      <c r="A226" s="161"/>
      <c r="B226" s="389"/>
      <c r="C226" s="207"/>
      <c r="D226" s="208"/>
      <c r="E226" s="161"/>
      <c r="F226" s="389"/>
      <c r="G226" s="389"/>
      <c r="H226" s="389"/>
      <c r="I226" s="389"/>
      <c r="J226" s="389"/>
      <c r="K226" s="389"/>
      <c r="L226" s="209"/>
      <c r="M226" s="209"/>
      <c r="N226" s="209"/>
      <c r="O226" s="209"/>
      <c r="P226" s="209"/>
      <c r="Q226" s="161"/>
      <c r="R226" s="390"/>
      <c r="S226" s="390"/>
      <c r="T226" s="161"/>
      <c r="U226" s="389"/>
      <c r="BA226" s="387" t="str">
        <f>IF('Short Circuit'!$A226="","",'Short Circuit'!$A226)</f>
        <v/>
      </c>
      <c r="BB226" s="387" t="str">
        <f>IF($BA226="","",'Short Circuit'!$B226)</f>
        <v/>
      </c>
      <c r="BC226" s="387" t="str">
        <f>IF($BA226="","",'Short Circuit'!$C226)</f>
        <v/>
      </c>
      <c r="BD226" s="387" t="str">
        <f>IF($BA226="","",'Short Circuit'!$D226)</f>
        <v/>
      </c>
      <c r="BE226" s="387" t="str">
        <f>IF($BA226="","",'Short Circuit'!$E226)</f>
        <v/>
      </c>
      <c r="BF226" s="387" t="str">
        <f>IF($BA226="","",IFERROR(_xlfn.XLOOKUP("F-"&amp;$BA226,'Feeder Schedule'!$B$5:$B$254,'Feeder Schedule'!$B$5:$B$254),IFERROR(_xlfn.XLOOKUP($BA226,'Feeder Schedule'!$B$5:$B$254,'Feeder Schedule'!$B$5:$B$254),"")))</f>
        <v/>
      </c>
      <c r="BG226" s="387" t="str">
        <f>IF($BF226="","",IFERROR(_xlfn.XLOOKUP($BF226,'Feeder Schedule'!$B$5:$B$254,'Feeder Schedule'!$A$5:$A$254),""))</f>
        <v/>
      </c>
      <c r="BH226" s="387" t="str">
        <f>IF($BF226="","",IFERROR(_xlfn.XLOOKUP($BF226,'Feeder Schedule'!$B$5:$B$254,'Feeder Schedule'!$O$5:$O$254),""))</f>
        <v/>
      </c>
      <c r="BI226" s="387" t="str">
        <f>IF($BF226="","",IFERROR(_xlfn.XLOOKUP($BF226,'Feeder Schedule'!$B$5:$B$254,'Feeder Schedule'!$P$5:$P$254),""))</f>
        <v/>
      </c>
      <c r="BJ226" s="387" t="str">
        <f>IF($BF226="","",IFERROR(_xlfn.XLOOKUP($BF226,'Feeder Schedule'!$B$5:$B$254,'Feeder Schedule'!$Q$5:$Q$254),""))</f>
        <v/>
      </c>
      <c r="BK226" s="387" t="str">
        <f>IF($BF226="","",IFERROR(_xlfn.XLOOKUP($BF226,'Feeder Schedule'!$B$5:$B$254,'Feeder Schedule'!$S$5:$S$254),""))</f>
        <v/>
      </c>
      <c r="BL226" s="387" t="str">
        <f>IF($BF226="","",IFERROR(_xlfn.XLOOKUP($BF226,'Feeder Schedule'!$B$5:$B$254,'Feeder Schedule'!$H$5:$H$254),""))</f>
        <v/>
      </c>
      <c r="BM226" s="534" t="str">
        <f>IF($BA226="","",'Short Circuit'!$J226)</f>
        <v/>
      </c>
      <c r="BN226" s="534" t="str">
        <f>IF($BA226="","",'Short Circuit'!$Q226)</f>
        <v/>
      </c>
      <c r="BO226" s="387" t="str">
        <f>IF($BA226="","",'Short Circuit'!$R226)</f>
        <v/>
      </c>
      <c r="BP226" s="535" t="str">
        <f>IF($BA226="","",'Short Circuit'!$S226)</f>
        <v/>
      </c>
      <c r="BQ226" s="387" t="str">
        <f>IF($BA226="","",'Short Circuit'!$T226)</f>
        <v/>
      </c>
      <c r="BR226" s="536" t="str">
        <f>IF($BA226="","",'Voltage Drop'!$G226)</f>
        <v/>
      </c>
      <c r="BS226" s="536" t="str">
        <f>IF($BA226="","",'Voltage Drop'!$H226)</f>
        <v/>
      </c>
      <c r="BT226" s="387" t="str">
        <f>IF($BA226="","",'Voltage Drop'!$K226)</f>
        <v/>
      </c>
      <c r="BU226" s="387" t="str">
        <f t="shared" si="6"/>
        <v/>
      </c>
      <c r="BV226" s="387"/>
      <c r="BW226" s="387" t="b">
        <f t="shared" si="7"/>
        <v>0</v>
      </c>
    </row>
    <row r="227" spans="1:75" ht="15" customHeight="1" x14ac:dyDescent="0.45">
      <c r="A227" s="161"/>
      <c r="B227" s="389"/>
      <c r="C227" s="207"/>
      <c r="D227" s="208"/>
      <c r="E227" s="161"/>
      <c r="F227" s="389"/>
      <c r="G227" s="389"/>
      <c r="H227" s="389"/>
      <c r="I227" s="389"/>
      <c r="J227" s="389"/>
      <c r="K227" s="389"/>
      <c r="L227" s="209"/>
      <c r="M227" s="209"/>
      <c r="N227" s="209"/>
      <c r="O227" s="209"/>
      <c r="P227" s="209"/>
      <c r="Q227" s="161"/>
      <c r="R227" s="390"/>
      <c r="S227" s="390"/>
      <c r="T227" s="161"/>
      <c r="U227" s="389"/>
      <c r="BA227" s="387" t="str">
        <f>IF('Short Circuit'!$A227="","",'Short Circuit'!$A227)</f>
        <v/>
      </c>
      <c r="BB227" s="387" t="str">
        <f>IF($BA227="","",'Short Circuit'!$B227)</f>
        <v/>
      </c>
      <c r="BC227" s="387" t="str">
        <f>IF($BA227="","",'Short Circuit'!$C227)</f>
        <v/>
      </c>
      <c r="BD227" s="387" t="str">
        <f>IF($BA227="","",'Short Circuit'!$D227)</f>
        <v/>
      </c>
      <c r="BE227" s="387" t="str">
        <f>IF($BA227="","",'Short Circuit'!$E227)</f>
        <v/>
      </c>
      <c r="BF227" s="387" t="str">
        <f>IF($BA227="","",IFERROR(_xlfn.XLOOKUP("F-"&amp;$BA227,'Feeder Schedule'!$B$5:$B$254,'Feeder Schedule'!$B$5:$B$254),IFERROR(_xlfn.XLOOKUP($BA227,'Feeder Schedule'!$B$5:$B$254,'Feeder Schedule'!$B$5:$B$254),"")))</f>
        <v/>
      </c>
      <c r="BG227" s="387" t="str">
        <f>IF($BF227="","",IFERROR(_xlfn.XLOOKUP($BF227,'Feeder Schedule'!$B$5:$B$254,'Feeder Schedule'!$A$5:$A$254),""))</f>
        <v/>
      </c>
      <c r="BH227" s="387" t="str">
        <f>IF($BF227="","",IFERROR(_xlfn.XLOOKUP($BF227,'Feeder Schedule'!$B$5:$B$254,'Feeder Schedule'!$O$5:$O$254),""))</f>
        <v/>
      </c>
      <c r="BI227" s="387" t="str">
        <f>IF($BF227="","",IFERROR(_xlfn.XLOOKUP($BF227,'Feeder Schedule'!$B$5:$B$254,'Feeder Schedule'!$P$5:$P$254),""))</f>
        <v/>
      </c>
      <c r="BJ227" s="387" t="str">
        <f>IF($BF227="","",IFERROR(_xlfn.XLOOKUP($BF227,'Feeder Schedule'!$B$5:$B$254,'Feeder Schedule'!$Q$5:$Q$254),""))</f>
        <v/>
      </c>
      <c r="BK227" s="387" t="str">
        <f>IF($BF227="","",IFERROR(_xlfn.XLOOKUP($BF227,'Feeder Schedule'!$B$5:$B$254,'Feeder Schedule'!$S$5:$S$254),""))</f>
        <v/>
      </c>
      <c r="BL227" s="387" t="str">
        <f>IF($BF227="","",IFERROR(_xlfn.XLOOKUP($BF227,'Feeder Schedule'!$B$5:$B$254,'Feeder Schedule'!$H$5:$H$254),""))</f>
        <v/>
      </c>
      <c r="BM227" s="534" t="str">
        <f>IF($BA227="","",'Short Circuit'!$J227)</f>
        <v/>
      </c>
      <c r="BN227" s="534" t="str">
        <f>IF($BA227="","",'Short Circuit'!$Q227)</f>
        <v/>
      </c>
      <c r="BO227" s="387" t="str">
        <f>IF($BA227="","",'Short Circuit'!$R227)</f>
        <v/>
      </c>
      <c r="BP227" s="535" t="str">
        <f>IF($BA227="","",'Short Circuit'!$S227)</f>
        <v/>
      </c>
      <c r="BQ227" s="387" t="str">
        <f>IF($BA227="","",'Short Circuit'!$T227)</f>
        <v/>
      </c>
      <c r="BR227" s="536" t="str">
        <f>IF($BA227="","",'Voltage Drop'!$G227)</f>
        <v/>
      </c>
      <c r="BS227" s="536" t="str">
        <f>IF($BA227="","",'Voltage Drop'!$H227)</f>
        <v/>
      </c>
      <c r="BT227" s="387" t="str">
        <f>IF($BA227="","",'Voltage Drop'!$K227)</f>
        <v/>
      </c>
      <c r="BU227" s="387" t="str">
        <f t="shared" si="6"/>
        <v/>
      </c>
      <c r="BV227" s="387"/>
      <c r="BW227" s="387" t="b">
        <f t="shared" si="7"/>
        <v>0</v>
      </c>
    </row>
    <row r="228" spans="1:75" ht="15" customHeight="1" x14ac:dyDescent="0.45">
      <c r="A228" s="161"/>
      <c r="B228" s="389"/>
      <c r="C228" s="207"/>
      <c r="D228" s="208"/>
      <c r="E228" s="161"/>
      <c r="F228" s="389"/>
      <c r="G228" s="389"/>
      <c r="H228" s="389"/>
      <c r="I228" s="389"/>
      <c r="J228" s="389"/>
      <c r="K228" s="389"/>
      <c r="L228" s="209"/>
      <c r="M228" s="209"/>
      <c r="N228" s="209"/>
      <c r="O228" s="209"/>
      <c r="P228" s="209"/>
      <c r="Q228" s="161"/>
      <c r="R228" s="390"/>
      <c r="S228" s="390"/>
      <c r="T228" s="161"/>
      <c r="U228" s="389"/>
      <c r="BA228" s="387" t="str">
        <f>IF('Short Circuit'!$A228="","",'Short Circuit'!$A228)</f>
        <v/>
      </c>
      <c r="BB228" s="387" t="str">
        <f>IF($BA228="","",'Short Circuit'!$B228)</f>
        <v/>
      </c>
      <c r="BC228" s="387" t="str">
        <f>IF($BA228="","",'Short Circuit'!$C228)</f>
        <v/>
      </c>
      <c r="BD228" s="387" t="str">
        <f>IF($BA228="","",'Short Circuit'!$D228)</f>
        <v/>
      </c>
      <c r="BE228" s="387" t="str">
        <f>IF($BA228="","",'Short Circuit'!$E228)</f>
        <v/>
      </c>
      <c r="BF228" s="387" t="str">
        <f>IF($BA228="","",IFERROR(_xlfn.XLOOKUP("F-"&amp;$BA228,'Feeder Schedule'!$B$5:$B$254,'Feeder Schedule'!$B$5:$B$254),IFERROR(_xlfn.XLOOKUP($BA228,'Feeder Schedule'!$B$5:$B$254,'Feeder Schedule'!$B$5:$B$254),"")))</f>
        <v/>
      </c>
      <c r="BG228" s="387" t="str">
        <f>IF($BF228="","",IFERROR(_xlfn.XLOOKUP($BF228,'Feeder Schedule'!$B$5:$B$254,'Feeder Schedule'!$A$5:$A$254),""))</f>
        <v/>
      </c>
      <c r="BH228" s="387" t="str">
        <f>IF($BF228="","",IFERROR(_xlfn.XLOOKUP($BF228,'Feeder Schedule'!$B$5:$B$254,'Feeder Schedule'!$O$5:$O$254),""))</f>
        <v/>
      </c>
      <c r="BI228" s="387" t="str">
        <f>IF($BF228="","",IFERROR(_xlfn.XLOOKUP($BF228,'Feeder Schedule'!$B$5:$B$254,'Feeder Schedule'!$P$5:$P$254),""))</f>
        <v/>
      </c>
      <c r="BJ228" s="387" t="str">
        <f>IF($BF228="","",IFERROR(_xlfn.XLOOKUP($BF228,'Feeder Schedule'!$B$5:$B$254,'Feeder Schedule'!$Q$5:$Q$254),""))</f>
        <v/>
      </c>
      <c r="BK228" s="387" t="str">
        <f>IF($BF228="","",IFERROR(_xlfn.XLOOKUP($BF228,'Feeder Schedule'!$B$5:$B$254,'Feeder Schedule'!$S$5:$S$254),""))</f>
        <v/>
      </c>
      <c r="BL228" s="387" t="str">
        <f>IF($BF228="","",IFERROR(_xlfn.XLOOKUP($BF228,'Feeder Schedule'!$B$5:$B$254,'Feeder Schedule'!$H$5:$H$254),""))</f>
        <v/>
      </c>
      <c r="BM228" s="534" t="str">
        <f>IF($BA228="","",'Short Circuit'!$J228)</f>
        <v/>
      </c>
      <c r="BN228" s="534" t="str">
        <f>IF($BA228="","",'Short Circuit'!$Q228)</f>
        <v/>
      </c>
      <c r="BO228" s="387" t="str">
        <f>IF($BA228="","",'Short Circuit'!$R228)</f>
        <v/>
      </c>
      <c r="BP228" s="535" t="str">
        <f>IF($BA228="","",'Short Circuit'!$S228)</f>
        <v/>
      </c>
      <c r="BQ228" s="387" t="str">
        <f>IF($BA228="","",'Short Circuit'!$T228)</f>
        <v/>
      </c>
      <c r="BR228" s="536" t="str">
        <f>IF($BA228="","",'Voltage Drop'!$G228)</f>
        <v/>
      </c>
      <c r="BS228" s="536" t="str">
        <f>IF($BA228="","",'Voltage Drop'!$H228)</f>
        <v/>
      </c>
      <c r="BT228" s="387" t="str">
        <f>IF($BA228="","",'Voltage Drop'!$K228)</f>
        <v/>
      </c>
      <c r="BU228" s="387" t="str">
        <f t="shared" si="6"/>
        <v/>
      </c>
      <c r="BV228" s="387"/>
      <c r="BW228" s="387" t="b">
        <f t="shared" si="7"/>
        <v>0</v>
      </c>
    </row>
    <row r="229" spans="1:75" ht="15" customHeight="1" x14ac:dyDescent="0.45">
      <c r="A229" s="161"/>
      <c r="B229" s="389"/>
      <c r="C229" s="207"/>
      <c r="D229" s="208"/>
      <c r="E229" s="161"/>
      <c r="F229" s="389"/>
      <c r="G229" s="389"/>
      <c r="H229" s="389"/>
      <c r="I229" s="389"/>
      <c r="J229" s="389"/>
      <c r="K229" s="389"/>
      <c r="L229" s="209"/>
      <c r="M229" s="209"/>
      <c r="N229" s="209"/>
      <c r="O229" s="209"/>
      <c r="P229" s="209"/>
      <c r="Q229" s="161"/>
      <c r="R229" s="390"/>
      <c r="S229" s="390"/>
      <c r="T229" s="161"/>
      <c r="U229" s="389"/>
      <c r="BA229" s="387" t="str">
        <f>IF('Short Circuit'!$A229="","",'Short Circuit'!$A229)</f>
        <v/>
      </c>
      <c r="BB229" s="387" t="str">
        <f>IF($BA229="","",'Short Circuit'!$B229)</f>
        <v/>
      </c>
      <c r="BC229" s="387" t="str">
        <f>IF($BA229="","",'Short Circuit'!$C229)</f>
        <v/>
      </c>
      <c r="BD229" s="387" t="str">
        <f>IF($BA229="","",'Short Circuit'!$D229)</f>
        <v/>
      </c>
      <c r="BE229" s="387" t="str">
        <f>IF($BA229="","",'Short Circuit'!$E229)</f>
        <v/>
      </c>
      <c r="BF229" s="387" t="str">
        <f>IF($BA229="","",IFERROR(_xlfn.XLOOKUP("F-"&amp;$BA229,'Feeder Schedule'!$B$5:$B$254,'Feeder Schedule'!$B$5:$B$254),IFERROR(_xlfn.XLOOKUP($BA229,'Feeder Schedule'!$B$5:$B$254,'Feeder Schedule'!$B$5:$B$254),"")))</f>
        <v/>
      </c>
      <c r="BG229" s="387" t="str">
        <f>IF($BF229="","",IFERROR(_xlfn.XLOOKUP($BF229,'Feeder Schedule'!$B$5:$B$254,'Feeder Schedule'!$A$5:$A$254),""))</f>
        <v/>
      </c>
      <c r="BH229" s="387" t="str">
        <f>IF($BF229="","",IFERROR(_xlfn.XLOOKUP($BF229,'Feeder Schedule'!$B$5:$B$254,'Feeder Schedule'!$O$5:$O$254),""))</f>
        <v/>
      </c>
      <c r="BI229" s="387" t="str">
        <f>IF($BF229="","",IFERROR(_xlfn.XLOOKUP($BF229,'Feeder Schedule'!$B$5:$B$254,'Feeder Schedule'!$P$5:$P$254),""))</f>
        <v/>
      </c>
      <c r="BJ229" s="387" t="str">
        <f>IF($BF229="","",IFERROR(_xlfn.XLOOKUP($BF229,'Feeder Schedule'!$B$5:$B$254,'Feeder Schedule'!$Q$5:$Q$254),""))</f>
        <v/>
      </c>
      <c r="BK229" s="387" t="str">
        <f>IF($BF229="","",IFERROR(_xlfn.XLOOKUP($BF229,'Feeder Schedule'!$B$5:$B$254,'Feeder Schedule'!$S$5:$S$254),""))</f>
        <v/>
      </c>
      <c r="BL229" s="387" t="str">
        <f>IF($BF229="","",IFERROR(_xlfn.XLOOKUP($BF229,'Feeder Schedule'!$B$5:$B$254,'Feeder Schedule'!$H$5:$H$254),""))</f>
        <v/>
      </c>
      <c r="BM229" s="534" t="str">
        <f>IF($BA229="","",'Short Circuit'!$J229)</f>
        <v/>
      </c>
      <c r="BN229" s="534" t="str">
        <f>IF($BA229="","",'Short Circuit'!$Q229)</f>
        <v/>
      </c>
      <c r="BO229" s="387" t="str">
        <f>IF($BA229="","",'Short Circuit'!$R229)</f>
        <v/>
      </c>
      <c r="BP229" s="535" t="str">
        <f>IF($BA229="","",'Short Circuit'!$S229)</f>
        <v/>
      </c>
      <c r="BQ229" s="387" t="str">
        <f>IF($BA229="","",'Short Circuit'!$T229)</f>
        <v/>
      </c>
      <c r="BR229" s="536" t="str">
        <f>IF($BA229="","",'Voltage Drop'!$G229)</f>
        <v/>
      </c>
      <c r="BS229" s="536" t="str">
        <f>IF($BA229="","",'Voltage Drop'!$H229)</f>
        <v/>
      </c>
      <c r="BT229" s="387" t="str">
        <f>IF($BA229="","",'Voltage Drop'!$K229)</f>
        <v/>
      </c>
      <c r="BU229" s="387" t="str">
        <f t="shared" si="6"/>
        <v/>
      </c>
      <c r="BV229" s="387"/>
      <c r="BW229" s="387" t="b">
        <f t="shared" si="7"/>
        <v>0</v>
      </c>
    </row>
    <row r="230" spans="1:75" ht="15" customHeight="1" x14ac:dyDescent="0.45">
      <c r="A230" s="161"/>
      <c r="B230" s="389"/>
      <c r="C230" s="207"/>
      <c r="D230" s="208"/>
      <c r="E230" s="161"/>
      <c r="F230" s="389"/>
      <c r="G230" s="389"/>
      <c r="H230" s="389"/>
      <c r="I230" s="389"/>
      <c r="J230" s="389"/>
      <c r="K230" s="389"/>
      <c r="L230" s="209"/>
      <c r="M230" s="209"/>
      <c r="N230" s="209"/>
      <c r="O230" s="209"/>
      <c r="P230" s="209"/>
      <c r="Q230" s="161"/>
      <c r="R230" s="390"/>
      <c r="S230" s="390"/>
      <c r="T230" s="161"/>
      <c r="U230" s="389"/>
      <c r="BA230" s="387" t="str">
        <f>IF('Short Circuit'!$A230="","",'Short Circuit'!$A230)</f>
        <v/>
      </c>
      <c r="BB230" s="387" t="str">
        <f>IF($BA230="","",'Short Circuit'!$B230)</f>
        <v/>
      </c>
      <c r="BC230" s="387" t="str">
        <f>IF($BA230="","",'Short Circuit'!$C230)</f>
        <v/>
      </c>
      <c r="BD230" s="387" t="str">
        <f>IF($BA230="","",'Short Circuit'!$D230)</f>
        <v/>
      </c>
      <c r="BE230" s="387" t="str">
        <f>IF($BA230="","",'Short Circuit'!$E230)</f>
        <v/>
      </c>
      <c r="BF230" s="387" t="str">
        <f>IF($BA230="","",IFERROR(_xlfn.XLOOKUP("F-"&amp;$BA230,'Feeder Schedule'!$B$5:$B$254,'Feeder Schedule'!$B$5:$B$254),IFERROR(_xlfn.XLOOKUP($BA230,'Feeder Schedule'!$B$5:$B$254,'Feeder Schedule'!$B$5:$B$254),"")))</f>
        <v/>
      </c>
      <c r="BG230" s="387" t="str">
        <f>IF($BF230="","",IFERROR(_xlfn.XLOOKUP($BF230,'Feeder Schedule'!$B$5:$B$254,'Feeder Schedule'!$A$5:$A$254),""))</f>
        <v/>
      </c>
      <c r="BH230" s="387" t="str">
        <f>IF($BF230="","",IFERROR(_xlfn.XLOOKUP($BF230,'Feeder Schedule'!$B$5:$B$254,'Feeder Schedule'!$O$5:$O$254),""))</f>
        <v/>
      </c>
      <c r="BI230" s="387" t="str">
        <f>IF($BF230="","",IFERROR(_xlfn.XLOOKUP($BF230,'Feeder Schedule'!$B$5:$B$254,'Feeder Schedule'!$P$5:$P$254),""))</f>
        <v/>
      </c>
      <c r="BJ230" s="387" t="str">
        <f>IF($BF230="","",IFERROR(_xlfn.XLOOKUP($BF230,'Feeder Schedule'!$B$5:$B$254,'Feeder Schedule'!$Q$5:$Q$254),""))</f>
        <v/>
      </c>
      <c r="BK230" s="387" t="str">
        <f>IF($BF230="","",IFERROR(_xlfn.XLOOKUP($BF230,'Feeder Schedule'!$B$5:$B$254,'Feeder Schedule'!$S$5:$S$254),""))</f>
        <v/>
      </c>
      <c r="BL230" s="387" t="str">
        <f>IF($BF230="","",IFERROR(_xlfn.XLOOKUP($BF230,'Feeder Schedule'!$B$5:$B$254,'Feeder Schedule'!$H$5:$H$254),""))</f>
        <v/>
      </c>
      <c r="BM230" s="534" t="str">
        <f>IF($BA230="","",'Short Circuit'!$J230)</f>
        <v/>
      </c>
      <c r="BN230" s="534" t="str">
        <f>IF($BA230="","",'Short Circuit'!$Q230)</f>
        <v/>
      </c>
      <c r="BO230" s="387" t="str">
        <f>IF($BA230="","",'Short Circuit'!$R230)</f>
        <v/>
      </c>
      <c r="BP230" s="535" t="str">
        <f>IF($BA230="","",'Short Circuit'!$S230)</f>
        <v/>
      </c>
      <c r="BQ230" s="387" t="str">
        <f>IF($BA230="","",'Short Circuit'!$T230)</f>
        <v/>
      </c>
      <c r="BR230" s="536" t="str">
        <f>IF($BA230="","",'Voltage Drop'!$G230)</f>
        <v/>
      </c>
      <c r="BS230" s="536" t="str">
        <f>IF($BA230="","",'Voltage Drop'!$H230)</f>
        <v/>
      </c>
      <c r="BT230" s="387" t="str">
        <f>IF($BA230="","",'Voltage Drop'!$K230)</f>
        <v/>
      </c>
      <c r="BU230" s="387" t="str">
        <f t="shared" si="6"/>
        <v/>
      </c>
      <c r="BV230" s="387"/>
      <c r="BW230" s="387" t="b">
        <f t="shared" si="7"/>
        <v>0</v>
      </c>
    </row>
    <row r="231" spans="1:75" ht="15" customHeight="1" x14ac:dyDescent="0.45">
      <c r="A231" s="161"/>
      <c r="B231" s="389"/>
      <c r="C231" s="207"/>
      <c r="D231" s="208"/>
      <c r="E231" s="161"/>
      <c r="F231" s="389"/>
      <c r="G231" s="389"/>
      <c r="H231" s="389"/>
      <c r="I231" s="389"/>
      <c r="J231" s="389"/>
      <c r="K231" s="389"/>
      <c r="L231" s="209"/>
      <c r="M231" s="209"/>
      <c r="N231" s="209"/>
      <c r="O231" s="209"/>
      <c r="P231" s="209"/>
      <c r="Q231" s="161"/>
      <c r="R231" s="390"/>
      <c r="S231" s="390"/>
      <c r="T231" s="161"/>
      <c r="U231" s="389"/>
      <c r="BA231" s="387" t="str">
        <f>IF('Short Circuit'!$A231="","",'Short Circuit'!$A231)</f>
        <v/>
      </c>
      <c r="BB231" s="387" t="str">
        <f>IF($BA231="","",'Short Circuit'!$B231)</f>
        <v/>
      </c>
      <c r="BC231" s="387" t="str">
        <f>IF($BA231="","",'Short Circuit'!$C231)</f>
        <v/>
      </c>
      <c r="BD231" s="387" t="str">
        <f>IF($BA231="","",'Short Circuit'!$D231)</f>
        <v/>
      </c>
      <c r="BE231" s="387" t="str">
        <f>IF($BA231="","",'Short Circuit'!$E231)</f>
        <v/>
      </c>
      <c r="BF231" s="387" t="str">
        <f>IF($BA231="","",IFERROR(_xlfn.XLOOKUP("F-"&amp;$BA231,'Feeder Schedule'!$B$5:$B$254,'Feeder Schedule'!$B$5:$B$254),IFERROR(_xlfn.XLOOKUP($BA231,'Feeder Schedule'!$B$5:$B$254,'Feeder Schedule'!$B$5:$B$254),"")))</f>
        <v/>
      </c>
      <c r="BG231" s="387" t="str">
        <f>IF($BF231="","",IFERROR(_xlfn.XLOOKUP($BF231,'Feeder Schedule'!$B$5:$B$254,'Feeder Schedule'!$A$5:$A$254),""))</f>
        <v/>
      </c>
      <c r="BH231" s="387" t="str">
        <f>IF($BF231="","",IFERROR(_xlfn.XLOOKUP($BF231,'Feeder Schedule'!$B$5:$B$254,'Feeder Schedule'!$O$5:$O$254),""))</f>
        <v/>
      </c>
      <c r="BI231" s="387" t="str">
        <f>IF($BF231="","",IFERROR(_xlfn.XLOOKUP($BF231,'Feeder Schedule'!$B$5:$B$254,'Feeder Schedule'!$P$5:$P$254),""))</f>
        <v/>
      </c>
      <c r="BJ231" s="387" t="str">
        <f>IF($BF231="","",IFERROR(_xlfn.XLOOKUP($BF231,'Feeder Schedule'!$B$5:$B$254,'Feeder Schedule'!$Q$5:$Q$254),""))</f>
        <v/>
      </c>
      <c r="BK231" s="387" t="str">
        <f>IF($BF231="","",IFERROR(_xlfn.XLOOKUP($BF231,'Feeder Schedule'!$B$5:$B$254,'Feeder Schedule'!$S$5:$S$254),""))</f>
        <v/>
      </c>
      <c r="BL231" s="387" t="str">
        <f>IF($BF231="","",IFERROR(_xlfn.XLOOKUP($BF231,'Feeder Schedule'!$B$5:$B$254,'Feeder Schedule'!$H$5:$H$254),""))</f>
        <v/>
      </c>
      <c r="BM231" s="534" t="str">
        <f>IF($BA231="","",'Short Circuit'!$J231)</f>
        <v/>
      </c>
      <c r="BN231" s="534" t="str">
        <f>IF($BA231="","",'Short Circuit'!$Q231)</f>
        <v/>
      </c>
      <c r="BO231" s="387" t="str">
        <f>IF($BA231="","",'Short Circuit'!$R231)</f>
        <v/>
      </c>
      <c r="BP231" s="535" t="str">
        <f>IF($BA231="","",'Short Circuit'!$S231)</f>
        <v/>
      </c>
      <c r="BQ231" s="387" t="str">
        <f>IF($BA231="","",'Short Circuit'!$T231)</f>
        <v/>
      </c>
      <c r="BR231" s="536" t="str">
        <f>IF($BA231="","",'Voltage Drop'!$G231)</f>
        <v/>
      </c>
      <c r="BS231" s="536" t="str">
        <f>IF($BA231="","",'Voltage Drop'!$H231)</f>
        <v/>
      </c>
      <c r="BT231" s="387" t="str">
        <f>IF($BA231="","",'Voltage Drop'!$K231)</f>
        <v/>
      </c>
      <c r="BU231" s="387" t="str">
        <f t="shared" si="6"/>
        <v/>
      </c>
      <c r="BV231" s="387"/>
      <c r="BW231" s="387" t="b">
        <f t="shared" si="7"/>
        <v>0</v>
      </c>
    </row>
    <row r="232" spans="1:75" ht="15" customHeight="1" x14ac:dyDescent="0.45">
      <c r="A232" s="161"/>
      <c r="B232" s="389"/>
      <c r="C232" s="207"/>
      <c r="D232" s="208"/>
      <c r="E232" s="161"/>
      <c r="F232" s="389"/>
      <c r="G232" s="389"/>
      <c r="H232" s="389"/>
      <c r="I232" s="389"/>
      <c r="J232" s="389"/>
      <c r="K232" s="389"/>
      <c r="L232" s="209"/>
      <c r="M232" s="209"/>
      <c r="N232" s="209"/>
      <c r="O232" s="209"/>
      <c r="P232" s="209"/>
      <c r="Q232" s="161"/>
      <c r="R232" s="390"/>
      <c r="S232" s="390"/>
      <c r="T232" s="161"/>
      <c r="U232" s="389"/>
      <c r="BA232" s="387" t="str">
        <f>IF('Short Circuit'!$A232="","",'Short Circuit'!$A232)</f>
        <v/>
      </c>
      <c r="BB232" s="387" t="str">
        <f>IF($BA232="","",'Short Circuit'!$B232)</f>
        <v/>
      </c>
      <c r="BC232" s="387" t="str">
        <f>IF($BA232="","",'Short Circuit'!$C232)</f>
        <v/>
      </c>
      <c r="BD232" s="387" t="str">
        <f>IF($BA232="","",'Short Circuit'!$D232)</f>
        <v/>
      </c>
      <c r="BE232" s="387" t="str">
        <f>IF($BA232="","",'Short Circuit'!$E232)</f>
        <v/>
      </c>
      <c r="BF232" s="387" t="str">
        <f>IF($BA232="","",IFERROR(_xlfn.XLOOKUP("F-"&amp;$BA232,'Feeder Schedule'!$B$5:$B$254,'Feeder Schedule'!$B$5:$B$254),IFERROR(_xlfn.XLOOKUP($BA232,'Feeder Schedule'!$B$5:$B$254,'Feeder Schedule'!$B$5:$B$254),"")))</f>
        <v/>
      </c>
      <c r="BG232" s="387" t="str">
        <f>IF($BF232="","",IFERROR(_xlfn.XLOOKUP($BF232,'Feeder Schedule'!$B$5:$B$254,'Feeder Schedule'!$A$5:$A$254),""))</f>
        <v/>
      </c>
      <c r="BH232" s="387" t="str">
        <f>IF($BF232="","",IFERROR(_xlfn.XLOOKUP($BF232,'Feeder Schedule'!$B$5:$B$254,'Feeder Schedule'!$O$5:$O$254),""))</f>
        <v/>
      </c>
      <c r="BI232" s="387" t="str">
        <f>IF($BF232="","",IFERROR(_xlfn.XLOOKUP($BF232,'Feeder Schedule'!$B$5:$B$254,'Feeder Schedule'!$P$5:$P$254),""))</f>
        <v/>
      </c>
      <c r="BJ232" s="387" t="str">
        <f>IF($BF232="","",IFERROR(_xlfn.XLOOKUP($BF232,'Feeder Schedule'!$B$5:$B$254,'Feeder Schedule'!$Q$5:$Q$254),""))</f>
        <v/>
      </c>
      <c r="BK232" s="387" t="str">
        <f>IF($BF232="","",IFERROR(_xlfn.XLOOKUP($BF232,'Feeder Schedule'!$B$5:$B$254,'Feeder Schedule'!$S$5:$S$254),""))</f>
        <v/>
      </c>
      <c r="BL232" s="387" t="str">
        <f>IF($BF232="","",IFERROR(_xlfn.XLOOKUP($BF232,'Feeder Schedule'!$B$5:$B$254,'Feeder Schedule'!$H$5:$H$254),""))</f>
        <v/>
      </c>
      <c r="BM232" s="534" t="str">
        <f>IF($BA232="","",'Short Circuit'!$J232)</f>
        <v/>
      </c>
      <c r="BN232" s="534" t="str">
        <f>IF($BA232="","",'Short Circuit'!$Q232)</f>
        <v/>
      </c>
      <c r="BO232" s="387" t="str">
        <f>IF($BA232="","",'Short Circuit'!$R232)</f>
        <v/>
      </c>
      <c r="BP232" s="535" t="str">
        <f>IF($BA232="","",'Short Circuit'!$S232)</f>
        <v/>
      </c>
      <c r="BQ232" s="387" t="str">
        <f>IF($BA232="","",'Short Circuit'!$T232)</f>
        <v/>
      </c>
      <c r="BR232" s="536" t="str">
        <f>IF($BA232="","",'Voltage Drop'!$G232)</f>
        <v/>
      </c>
      <c r="BS232" s="536" t="str">
        <f>IF($BA232="","",'Voltage Drop'!$H232)</f>
        <v/>
      </c>
      <c r="BT232" s="387" t="str">
        <f>IF($BA232="","",'Voltage Drop'!$K232)</f>
        <v/>
      </c>
      <c r="BU232" s="387" t="str">
        <f t="shared" si="6"/>
        <v/>
      </c>
      <c r="BV232" s="387"/>
      <c r="BW232" s="387" t="b">
        <f t="shared" si="7"/>
        <v>0</v>
      </c>
    </row>
    <row r="233" spans="1:75" ht="15" customHeight="1" x14ac:dyDescent="0.45">
      <c r="A233" s="161"/>
      <c r="B233" s="389"/>
      <c r="C233" s="207"/>
      <c r="D233" s="208"/>
      <c r="E233" s="161"/>
      <c r="F233" s="389"/>
      <c r="G233" s="389"/>
      <c r="H233" s="389"/>
      <c r="I233" s="389"/>
      <c r="J233" s="389"/>
      <c r="K233" s="389"/>
      <c r="L233" s="209"/>
      <c r="M233" s="209"/>
      <c r="N233" s="209"/>
      <c r="O233" s="209"/>
      <c r="P233" s="209"/>
      <c r="Q233" s="161"/>
      <c r="R233" s="390"/>
      <c r="S233" s="390"/>
      <c r="T233" s="161"/>
      <c r="U233" s="389"/>
      <c r="BA233" s="387" t="str">
        <f>IF('Short Circuit'!$A233="","",'Short Circuit'!$A233)</f>
        <v/>
      </c>
      <c r="BB233" s="387" t="str">
        <f>IF($BA233="","",'Short Circuit'!$B233)</f>
        <v/>
      </c>
      <c r="BC233" s="387" t="str">
        <f>IF($BA233="","",'Short Circuit'!$C233)</f>
        <v/>
      </c>
      <c r="BD233" s="387" t="str">
        <f>IF($BA233="","",'Short Circuit'!$D233)</f>
        <v/>
      </c>
      <c r="BE233" s="387" t="str">
        <f>IF($BA233="","",'Short Circuit'!$E233)</f>
        <v/>
      </c>
      <c r="BF233" s="387" t="str">
        <f>IF($BA233="","",IFERROR(_xlfn.XLOOKUP("F-"&amp;$BA233,'Feeder Schedule'!$B$5:$B$254,'Feeder Schedule'!$B$5:$B$254),IFERROR(_xlfn.XLOOKUP($BA233,'Feeder Schedule'!$B$5:$B$254,'Feeder Schedule'!$B$5:$B$254),"")))</f>
        <v/>
      </c>
      <c r="BG233" s="387" t="str">
        <f>IF($BF233="","",IFERROR(_xlfn.XLOOKUP($BF233,'Feeder Schedule'!$B$5:$B$254,'Feeder Schedule'!$A$5:$A$254),""))</f>
        <v/>
      </c>
      <c r="BH233" s="387" t="str">
        <f>IF($BF233="","",IFERROR(_xlfn.XLOOKUP($BF233,'Feeder Schedule'!$B$5:$B$254,'Feeder Schedule'!$O$5:$O$254),""))</f>
        <v/>
      </c>
      <c r="BI233" s="387" t="str">
        <f>IF($BF233="","",IFERROR(_xlfn.XLOOKUP($BF233,'Feeder Schedule'!$B$5:$B$254,'Feeder Schedule'!$P$5:$P$254),""))</f>
        <v/>
      </c>
      <c r="BJ233" s="387" t="str">
        <f>IF($BF233="","",IFERROR(_xlfn.XLOOKUP($BF233,'Feeder Schedule'!$B$5:$B$254,'Feeder Schedule'!$Q$5:$Q$254),""))</f>
        <v/>
      </c>
      <c r="BK233" s="387" t="str">
        <f>IF($BF233="","",IFERROR(_xlfn.XLOOKUP($BF233,'Feeder Schedule'!$B$5:$B$254,'Feeder Schedule'!$S$5:$S$254),""))</f>
        <v/>
      </c>
      <c r="BL233" s="387" t="str">
        <f>IF($BF233="","",IFERROR(_xlfn.XLOOKUP($BF233,'Feeder Schedule'!$B$5:$B$254,'Feeder Schedule'!$H$5:$H$254),""))</f>
        <v/>
      </c>
      <c r="BM233" s="534" t="str">
        <f>IF($BA233="","",'Short Circuit'!$J233)</f>
        <v/>
      </c>
      <c r="BN233" s="534" t="str">
        <f>IF($BA233="","",'Short Circuit'!$Q233)</f>
        <v/>
      </c>
      <c r="BO233" s="387" t="str">
        <f>IF($BA233="","",'Short Circuit'!$R233)</f>
        <v/>
      </c>
      <c r="BP233" s="535" t="str">
        <f>IF($BA233="","",'Short Circuit'!$S233)</f>
        <v/>
      </c>
      <c r="BQ233" s="387" t="str">
        <f>IF($BA233="","",'Short Circuit'!$T233)</f>
        <v/>
      </c>
      <c r="BR233" s="536" t="str">
        <f>IF($BA233="","",'Voltage Drop'!$G233)</f>
        <v/>
      </c>
      <c r="BS233" s="536" t="str">
        <f>IF($BA233="","",'Voltage Drop'!$H233)</f>
        <v/>
      </c>
      <c r="BT233" s="387" t="str">
        <f>IF($BA233="","",'Voltage Drop'!$K233)</f>
        <v/>
      </c>
      <c r="BU233" s="387" t="str">
        <f t="shared" si="6"/>
        <v/>
      </c>
      <c r="BV233" s="387"/>
      <c r="BW233" s="387" t="b">
        <f t="shared" si="7"/>
        <v>0</v>
      </c>
    </row>
    <row r="234" spans="1:75" ht="15" customHeight="1" x14ac:dyDescent="0.45">
      <c r="A234" s="161"/>
      <c r="B234" s="389"/>
      <c r="C234" s="207"/>
      <c r="D234" s="208"/>
      <c r="E234" s="161"/>
      <c r="F234" s="389"/>
      <c r="G234" s="389"/>
      <c r="H234" s="389"/>
      <c r="I234" s="389"/>
      <c r="J234" s="389"/>
      <c r="K234" s="389"/>
      <c r="L234" s="209"/>
      <c r="M234" s="209"/>
      <c r="N234" s="209"/>
      <c r="O234" s="209"/>
      <c r="P234" s="209"/>
      <c r="Q234" s="161"/>
      <c r="R234" s="390"/>
      <c r="S234" s="390"/>
      <c r="T234" s="161"/>
      <c r="U234" s="389"/>
      <c r="BA234" s="387" t="str">
        <f>IF('Short Circuit'!$A234="","",'Short Circuit'!$A234)</f>
        <v/>
      </c>
      <c r="BB234" s="387" t="str">
        <f>IF($BA234="","",'Short Circuit'!$B234)</f>
        <v/>
      </c>
      <c r="BC234" s="387" t="str">
        <f>IF($BA234="","",'Short Circuit'!$C234)</f>
        <v/>
      </c>
      <c r="BD234" s="387" t="str">
        <f>IF($BA234="","",'Short Circuit'!$D234)</f>
        <v/>
      </c>
      <c r="BE234" s="387" t="str">
        <f>IF($BA234="","",'Short Circuit'!$E234)</f>
        <v/>
      </c>
      <c r="BF234" s="387" t="str">
        <f>IF($BA234="","",IFERROR(_xlfn.XLOOKUP("F-"&amp;$BA234,'Feeder Schedule'!$B$5:$B$254,'Feeder Schedule'!$B$5:$B$254),IFERROR(_xlfn.XLOOKUP($BA234,'Feeder Schedule'!$B$5:$B$254,'Feeder Schedule'!$B$5:$B$254),"")))</f>
        <v/>
      </c>
      <c r="BG234" s="387" t="str">
        <f>IF($BF234="","",IFERROR(_xlfn.XLOOKUP($BF234,'Feeder Schedule'!$B$5:$B$254,'Feeder Schedule'!$A$5:$A$254),""))</f>
        <v/>
      </c>
      <c r="BH234" s="387" t="str">
        <f>IF($BF234="","",IFERROR(_xlfn.XLOOKUP($BF234,'Feeder Schedule'!$B$5:$B$254,'Feeder Schedule'!$O$5:$O$254),""))</f>
        <v/>
      </c>
      <c r="BI234" s="387" t="str">
        <f>IF($BF234="","",IFERROR(_xlfn.XLOOKUP($BF234,'Feeder Schedule'!$B$5:$B$254,'Feeder Schedule'!$P$5:$P$254),""))</f>
        <v/>
      </c>
      <c r="BJ234" s="387" t="str">
        <f>IF($BF234="","",IFERROR(_xlfn.XLOOKUP($BF234,'Feeder Schedule'!$B$5:$B$254,'Feeder Schedule'!$Q$5:$Q$254),""))</f>
        <v/>
      </c>
      <c r="BK234" s="387" t="str">
        <f>IF($BF234="","",IFERROR(_xlfn.XLOOKUP($BF234,'Feeder Schedule'!$B$5:$B$254,'Feeder Schedule'!$S$5:$S$254),""))</f>
        <v/>
      </c>
      <c r="BL234" s="387" t="str">
        <f>IF($BF234="","",IFERROR(_xlfn.XLOOKUP($BF234,'Feeder Schedule'!$B$5:$B$254,'Feeder Schedule'!$H$5:$H$254),""))</f>
        <v/>
      </c>
      <c r="BM234" s="534" t="str">
        <f>IF($BA234="","",'Short Circuit'!$J234)</f>
        <v/>
      </c>
      <c r="BN234" s="534" t="str">
        <f>IF($BA234="","",'Short Circuit'!$Q234)</f>
        <v/>
      </c>
      <c r="BO234" s="387" t="str">
        <f>IF($BA234="","",'Short Circuit'!$R234)</f>
        <v/>
      </c>
      <c r="BP234" s="535" t="str">
        <f>IF($BA234="","",'Short Circuit'!$S234)</f>
        <v/>
      </c>
      <c r="BQ234" s="387" t="str">
        <f>IF($BA234="","",'Short Circuit'!$T234)</f>
        <v/>
      </c>
      <c r="BR234" s="536" t="str">
        <f>IF($BA234="","",'Voltage Drop'!$G234)</f>
        <v/>
      </c>
      <c r="BS234" s="536" t="str">
        <f>IF($BA234="","",'Voltage Drop'!$H234)</f>
        <v/>
      </c>
      <c r="BT234" s="387" t="str">
        <f>IF($BA234="","",'Voltage Drop'!$K234)</f>
        <v/>
      </c>
      <c r="BU234" s="387" t="str">
        <f t="shared" si="6"/>
        <v/>
      </c>
      <c r="BV234" s="387"/>
      <c r="BW234" s="387" t="b">
        <f t="shared" si="7"/>
        <v>0</v>
      </c>
    </row>
    <row r="235" spans="1:75" ht="15" customHeight="1" x14ac:dyDescent="0.45">
      <c r="A235" s="161"/>
      <c r="B235" s="389"/>
      <c r="C235" s="207"/>
      <c r="D235" s="208"/>
      <c r="E235" s="161"/>
      <c r="F235" s="389"/>
      <c r="G235" s="389"/>
      <c r="H235" s="389"/>
      <c r="I235" s="389"/>
      <c r="J235" s="389"/>
      <c r="K235" s="389"/>
      <c r="L235" s="209"/>
      <c r="M235" s="209"/>
      <c r="N235" s="209"/>
      <c r="O235" s="209"/>
      <c r="P235" s="209"/>
      <c r="Q235" s="161"/>
      <c r="R235" s="390"/>
      <c r="S235" s="390"/>
      <c r="T235" s="161"/>
      <c r="U235" s="389"/>
      <c r="BA235" s="387" t="str">
        <f>IF('Short Circuit'!$A235="","",'Short Circuit'!$A235)</f>
        <v/>
      </c>
      <c r="BB235" s="387" t="str">
        <f>IF($BA235="","",'Short Circuit'!$B235)</f>
        <v/>
      </c>
      <c r="BC235" s="387" t="str">
        <f>IF($BA235="","",'Short Circuit'!$C235)</f>
        <v/>
      </c>
      <c r="BD235" s="387" t="str">
        <f>IF($BA235="","",'Short Circuit'!$D235)</f>
        <v/>
      </c>
      <c r="BE235" s="387" t="str">
        <f>IF($BA235="","",'Short Circuit'!$E235)</f>
        <v/>
      </c>
      <c r="BF235" s="387" t="str">
        <f>IF($BA235="","",IFERROR(_xlfn.XLOOKUP("F-"&amp;$BA235,'Feeder Schedule'!$B$5:$B$254,'Feeder Schedule'!$B$5:$B$254),IFERROR(_xlfn.XLOOKUP($BA235,'Feeder Schedule'!$B$5:$B$254,'Feeder Schedule'!$B$5:$B$254),"")))</f>
        <v/>
      </c>
      <c r="BG235" s="387" t="str">
        <f>IF($BF235="","",IFERROR(_xlfn.XLOOKUP($BF235,'Feeder Schedule'!$B$5:$B$254,'Feeder Schedule'!$A$5:$A$254),""))</f>
        <v/>
      </c>
      <c r="BH235" s="387" t="str">
        <f>IF($BF235="","",IFERROR(_xlfn.XLOOKUP($BF235,'Feeder Schedule'!$B$5:$B$254,'Feeder Schedule'!$O$5:$O$254),""))</f>
        <v/>
      </c>
      <c r="BI235" s="387" t="str">
        <f>IF($BF235="","",IFERROR(_xlfn.XLOOKUP($BF235,'Feeder Schedule'!$B$5:$B$254,'Feeder Schedule'!$P$5:$P$254),""))</f>
        <v/>
      </c>
      <c r="BJ235" s="387" t="str">
        <f>IF($BF235="","",IFERROR(_xlfn.XLOOKUP($BF235,'Feeder Schedule'!$B$5:$B$254,'Feeder Schedule'!$Q$5:$Q$254),""))</f>
        <v/>
      </c>
      <c r="BK235" s="387" t="str">
        <f>IF($BF235="","",IFERROR(_xlfn.XLOOKUP($BF235,'Feeder Schedule'!$B$5:$B$254,'Feeder Schedule'!$S$5:$S$254),""))</f>
        <v/>
      </c>
      <c r="BL235" s="387" t="str">
        <f>IF($BF235="","",IFERROR(_xlfn.XLOOKUP($BF235,'Feeder Schedule'!$B$5:$B$254,'Feeder Schedule'!$H$5:$H$254),""))</f>
        <v/>
      </c>
      <c r="BM235" s="534" t="str">
        <f>IF($BA235="","",'Short Circuit'!$J235)</f>
        <v/>
      </c>
      <c r="BN235" s="534" t="str">
        <f>IF($BA235="","",'Short Circuit'!$Q235)</f>
        <v/>
      </c>
      <c r="BO235" s="387" t="str">
        <f>IF($BA235="","",'Short Circuit'!$R235)</f>
        <v/>
      </c>
      <c r="BP235" s="535" t="str">
        <f>IF($BA235="","",'Short Circuit'!$S235)</f>
        <v/>
      </c>
      <c r="BQ235" s="387" t="str">
        <f>IF($BA235="","",'Short Circuit'!$T235)</f>
        <v/>
      </c>
      <c r="BR235" s="536" t="str">
        <f>IF($BA235="","",'Voltage Drop'!$G235)</f>
        <v/>
      </c>
      <c r="BS235" s="536" t="str">
        <f>IF($BA235="","",'Voltage Drop'!$H235)</f>
        <v/>
      </c>
      <c r="BT235" s="387" t="str">
        <f>IF($BA235="","",'Voltage Drop'!$K235)</f>
        <v/>
      </c>
      <c r="BU235" s="387" t="str">
        <f t="shared" si="6"/>
        <v/>
      </c>
      <c r="BV235" s="387"/>
      <c r="BW235" s="387" t="b">
        <f t="shared" si="7"/>
        <v>0</v>
      </c>
    </row>
    <row r="236" spans="1:75" ht="15" customHeight="1" x14ac:dyDescent="0.45">
      <c r="A236" s="161"/>
      <c r="B236" s="389"/>
      <c r="C236" s="207"/>
      <c r="D236" s="208"/>
      <c r="E236" s="161"/>
      <c r="F236" s="389"/>
      <c r="G236" s="389"/>
      <c r="H236" s="389"/>
      <c r="I236" s="389"/>
      <c r="J236" s="389"/>
      <c r="K236" s="389"/>
      <c r="L236" s="209"/>
      <c r="M236" s="209"/>
      <c r="N236" s="209"/>
      <c r="O236" s="209"/>
      <c r="P236" s="209"/>
      <c r="Q236" s="161"/>
      <c r="R236" s="390"/>
      <c r="S236" s="390"/>
      <c r="T236" s="161"/>
      <c r="U236" s="389"/>
      <c r="BA236" s="387" t="str">
        <f>IF('Short Circuit'!$A236="","",'Short Circuit'!$A236)</f>
        <v/>
      </c>
      <c r="BB236" s="387" t="str">
        <f>IF($BA236="","",'Short Circuit'!$B236)</f>
        <v/>
      </c>
      <c r="BC236" s="387" t="str">
        <f>IF($BA236="","",'Short Circuit'!$C236)</f>
        <v/>
      </c>
      <c r="BD236" s="387" t="str">
        <f>IF($BA236="","",'Short Circuit'!$D236)</f>
        <v/>
      </c>
      <c r="BE236" s="387" t="str">
        <f>IF($BA236="","",'Short Circuit'!$E236)</f>
        <v/>
      </c>
      <c r="BF236" s="387" t="str">
        <f>IF($BA236="","",IFERROR(_xlfn.XLOOKUP("F-"&amp;$BA236,'Feeder Schedule'!$B$5:$B$254,'Feeder Schedule'!$B$5:$B$254),IFERROR(_xlfn.XLOOKUP($BA236,'Feeder Schedule'!$B$5:$B$254,'Feeder Schedule'!$B$5:$B$254),"")))</f>
        <v/>
      </c>
      <c r="BG236" s="387" t="str">
        <f>IF($BF236="","",IFERROR(_xlfn.XLOOKUP($BF236,'Feeder Schedule'!$B$5:$B$254,'Feeder Schedule'!$A$5:$A$254),""))</f>
        <v/>
      </c>
      <c r="BH236" s="387" t="str">
        <f>IF($BF236="","",IFERROR(_xlfn.XLOOKUP($BF236,'Feeder Schedule'!$B$5:$B$254,'Feeder Schedule'!$O$5:$O$254),""))</f>
        <v/>
      </c>
      <c r="BI236" s="387" t="str">
        <f>IF($BF236="","",IFERROR(_xlfn.XLOOKUP($BF236,'Feeder Schedule'!$B$5:$B$254,'Feeder Schedule'!$P$5:$P$254),""))</f>
        <v/>
      </c>
      <c r="BJ236" s="387" t="str">
        <f>IF($BF236="","",IFERROR(_xlfn.XLOOKUP($BF236,'Feeder Schedule'!$B$5:$B$254,'Feeder Schedule'!$Q$5:$Q$254),""))</f>
        <v/>
      </c>
      <c r="BK236" s="387" t="str">
        <f>IF($BF236="","",IFERROR(_xlfn.XLOOKUP($BF236,'Feeder Schedule'!$B$5:$B$254,'Feeder Schedule'!$S$5:$S$254),""))</f>
        <v/>
      </c>
      <c r="BL236" s="387" t="str">
        <f>IF($BF236="","",IFERROR(_xlfn.XLOOKUP($BF236,'Feeder Schedule'!$B$5:$B$254,'Feeder Schedule'!$H$5:$H$254),""))</f>
        <v/>
      </c>
      <c r="BM236" s="534" t="str">
        <f>IF($BA236="","",'Short Circuit'!$J236)</f>
        <v/>
      </c>
      <c r="BN236" s="534" t="str">
        <f>IF($BA236="","",'Short Circuit'!$Q236)</f>
        <v/>
      </c>
      <c r="BO236" s="387" t="str">
        <f>IF($BA236="","",'Short Circuit'!$R236)</f>
        <v/>
      </c>
      <c r="BP236" s="535" t="str">
        <f>IF($BA236="","",'Short Circuit'!$S236)</f>
        <v/>
      </c>
      <c r="BQ236" s="387" t="str">
        <f>IF($BA236="","",'Short Circuit'!$T236)</f>
        <v/>
      </c>
      <c r="BR236" s="536" t="str">
        <f>IF($BA236="","",'Voltage Drop'!$G236)</f>
        <v/>
      </c>
      <c r="BS236" s="536" t="str">
        <f>IF($BA236="","",'Voltage Drop'!$H236)</f>
        <v/>
      </c>
      <c r="BT236" s="387" t="str">
        <f>IF($BA236="","",'Voltage Drop'!$K236)</f>
        <v/>
      </c>
      <c r="BU236" s="387" t="str">
        <f t="shared" si="6"/>
        <v/>
      </c>
      <c r="BV236" s="387"/>
      <c r="BW236" s="387" t="b">
        <f t="shared" si="7"/>
        <v>0</v>
      </c>
    </row>
    <row r="237" spans="1:75" ht="15" customHeight="1" x14ac:dyDescent="0.45">
      <c r="A237" s="161"/>
      <c r="B237" s="389"/>
      <c r="C237" s="207"/>
      <c r="D237" s="208"/>
      <c r="E237" s="161"/>
      <c r="F237" s="389"/>
      <c r="G237" s="389"/>
      <c r="H237" s="389"/>
      <c r="I237" s="389"/>
      <c r="J237" s="389"/>
      <c r="K237" s="389"/>
      <c r="L237" s="209"/>
      <c r="M237" s="209"/>
      <c r="N237" s="209"/>
      <c r="O237" s="209"/>
      <c r="P237" s="209"/>
      <c r="Q237" s="161"/>
      <c r="R237" s="390"/>
      <c r="S237" s="390"/>
      <c r="T237" s="161"/>
      <c r="U237" s="389"/>
      <c r="BA237" s="387" t="str">
        <f>IF('Short Circuit'!$A237="","",'Short Circuit'!$A237)</f>
        <v/>
      </c>
      <c r="BB237" s="387" t="str">
        <f>IF($BA237="","",'Short Circuit'!$B237)</f>
        <v/>
      </c>
      <c r="BC237" s="387" t="str">
        <f>IF($BA237="","",'Short Circuit'!$C237)</f>
        <v/>
      </c>
      <c r="BD237" s="387" t="str">
        <f>IF($BA237="","",'Short Circuit'!$D237)</f>
        <v/>
      </c>
      <c r="BE237" s="387" t="str">
        <f>IF($BA237="","",'Short Circuit'!$E237)</f>
        <v/>
      </c>
      <c r="BF237" s="387" t="str">
        <f>IF($BA237="","",IFERROR(_xlfn.XLOOKUP("F-"&amp;$BA237,'Feeder Schedule'!$B$5:$B$254,'Feeder Schedule'!$B$5:$B$254),IFERROR(_xlfn.XLOOKUP($BA237,'Feeder Schedule'!$B$5:$B$254,'Feeder Schedule'!$B$5:$B$254),"")))</f>
        <v/>
      </c>
      <c r="BG237" s="387" t="str">
        <f>IF($BF237="","",IFERROR(_xlfn.XLOOKUP($BF237,'Feeder Schedule'!$B$5:$B$254,'Feeder Schedule'!$A$5:$A$254),""))</f>
        <v/>
      </c>
      <c r="BH237" s="387" t="str">
        <f>IF($BF237="","",IFERROR(_xlfn.XLOOKUP($BF237,'Feeder Schedule'!$B$5:$B$254,'Feeder Schedule'!$O$5:$O$254),""))</f>
        <v/>
      </c>
      <c r="BI237" s="387" t="str">
        <f>IF($BF237="","",IFERROR(_xlfn.XLOOKUP($BF237,'Feeder Schedule'!$B$5:$B$254,'Feeder Schedule'!$P$5:$P$254),""))</f>
        <v/>
      </c>
      <c r="BJ237" s="387" t="str">
        <f>IF($BF237="","",IFERROR(_xlfn.XLOOKUP($BF237,'Feeder Schedule'!$B$5:$B$254,'Feeder Schedule'!$Q$5:$Q$254),""))</f>
        <v/>
      </c>
      <c r="BK237" s="387" t="str">
        <f>IF($BF237="","",IFERROR(_xlfn.XLOOKUP($BF237,'Feeder Schedule'!$B$5:$B$254,'Feeder Schedule'!$S$5:$S$254),""))</f>
        <v/>
      </c>
      <c r="BL237" s="387" t="str">
        <f>IF($BF237="","",IFERROR(_xlfn.XLOOKUP($BF237,'Feeder Schedule'!$B$5:$B$254,'Feeder Schedule'!$H$5:$H$254),""))</f>
        <v/>
      </c>
      <c r="BM237" s="534" t="str">
        <f>IF($BA237="","",'Short Circuit'!$J237)</f>
        <v/>
      </c>
      <c r="BN237" s="534" t="str">
        <f>IF($BA237="","",'Short Circuit'!$Q237)</f>
        <v/>
      </c>
      <c r="BO237" s="387" t="str">
        <f>IF($BA237="","",'Short Circuit'!$R237)</f>
        <v/>
      </c>
      <c r="BP237" s="535" t="str">
        <f>IF($BA237="","",'Short Circuit'!$S237)</f>
        <v/>
      </c>
      <c r="BQ237" s="387" t="str">
        <f>IF($BA237="","",'Short Circuit'!$T237)</f>
        <v/>
      </c>
      <c r="BR237" s="536" t="str">
        <f>IF($BA237="","",'Voltage Drop'!$G237)</f>
        <v/>
      </c>
      <c r="BS237" s="536" t="str">
        <f>IF($BA237="","",'Voltage Drop'!$H237)</f>
        <v/>
      </c>
      <c r="BT237" s="387" t="str">
        <f>IF($BA237="","",'Voltage Drop'!$K237)</f>
        <v/>
      </c>
      <c r="BU237" s="387" t="str">
        <f t="shared" si="6"/>
        <v/>
      </c>
      <c r="BV237" s="387"/>
      <c r="BW237" s="387" t="b">
        <f t="shared" si="7"/>
        <v>0</v>
      </c>
    </row>
    <row r="238" spans="1:75" ht="15" customHeight="1" x14ac:dyDescent="0.45">
      <c r="A238" s="161"/>
      <c r="B238" s="389"/>
      <c r="C238" s="207"/>
      <c r="D238" s="208"/>
      <c r="E238" s="161"/>
      <c r="F238" s="389"/>
      <c r="G238" s="389"/>
      <c r="H238" s="389"/>
      <c r="I238" s="389"/>
      <c r="J238" s="389"/>
      <c r="K238" s="389"/>
      <c r="L238" s="209"/>
      <c r="M238" s="209"/>
      <c r="N238" s="209"/>
      <c r="O238" s="209"/>
      <c r="P238" s="209"/>
      <c r="Q238" s="161"/>
      <c r="R238" s="390"/>
      <c r="S238" s="390"/>
      <c r="T238" s="161"/>
      <c r="U238" s="389"/>
      <c r="BA238" s="387" t="str">
        <f>IF('Short Circuit'!$A238="","",'Short Circuit'!$A238)</f>
        <v/>
      </c>
      <c r="BB238" s="387" t="str">
        <f>IF($BA238="","",'Short Circuit'!$B238)</f>
        <v/>
      </c>
      <c r="BC238" s="387" t="str">
        <f>IF($BA238="","",'Short Circuit'!$C238)</f>
        <v/>
      </c>
      <c r="BD238" s="387" t="str">
        <f>IF($BA238="","",'Short Circuit'!$D238)</f>
        <v/>
      </c>
      <c r="BE238" s="387" t="str">
        <f>IF($BA238="","",'Short Circuit'!$E238)</f>
        <v/>
      </c>
      <c r="BF238" s="387" t="str">
        <f>IF($BA238="","",IFERROR(_xlfn.XLOOKUP("F-"&amp;$BA238,'Feeder Schedule'!$B$5:$B$254,'Feeder Schedule'!$B$5:$B$254),IFERROR(_xlfn.XLOOKUP($BA238,'Feeder Schedule'!$B$5:$B$254,'Feeder Schedule'!$B$5:$B$254),"")))</f>
        <v/>
      </c>
      <c r="BG238" s="387" t="str">
        <f>IF($BF238="","",IFERROR(_xlfn.XLOOKUP($BF238,'Feeder Schedule'!$B$5:$B$254,'Feeder Schedule'!$A$5:$A$254),""))</f>
        <v/>
      </c>
      <c r="BH238" s="387" t="str">
        <f>IF($BF238="","",IFERROR(_xlfn.XLOOKUP($BF238,'Feeder Schedule'!$B$5:$B$254,'Feeder Schedule'!$O$5:$O$254),""))</f>
        <v/>
      </c>
      <c r="BI238" s="387" t="str">
        <f>IF($BF238="","",IFERROR(_xlfn.XLOOKUP($BF238,'Feeder Schedule'!$B$5:$B$254,'Feeder Schedule'!$P$5:$P$254),""))</f>
        <v/>
      </c>
      <c r="BJ238" s="387" t="str">
        <f>IF($BF238="","",IFERROR(_xlfn.XLOOKUP($BF238,'Feeder Schedule'!$B$5:$B$254,'Feeder Schedule'!$Q$5:$Q$254),""))</f>
        <v/>
      </c>
      <c r="BK238" s="387" t="str">
        <f>IF($BF238="","",IFERROR(_xlfn.XLOOKUP($BF238,'Feeder Schedule'!$B$5:$B$254,'Feeder Schedule'!$S$5:$S$254),""))</f>
        <v/>
      </c>
      <c r="BL238" s="387" t="str">
        <f>IF($BF238="","",IFERROR(_xlfn.XLOOKUP($BF238,'Feeder Schedule'!$B$5:$B$254,'Feeder Schedule'!$H$5:$H$254),""))</f>
        <v/>
      </c>
      <c r="BM238" s="534" t="str">
        <f>IF($BA238="","",'Short Circuit'!$J238)</f>
        <v/>
      </c>
      <c r="BN238" s="534" t="str">
        <f>IF($BA238="","",'Short Circuit'!$Q238)</f>
        <v/>
      </c>
      <c r="BO238" s="387" t="str">
        <f>IF($BA238="","",'Short Circuit'!$R238)</f>
        <v/>
      </c>
      <c r="BP238" s="535" t="str">
        <f>IF($BA238="","",'Short Circuit'!$S238)</f>
        <v/>
      </c>
      <c r="BQ238" s="387" t="str">
        <f>IF($BA238="","",'Short Circuit'!$T238)</f>
        <v/>
      </c>
      <c r="BR238" s="536" t="str">
        <f>IF($BA238="","",'Voltage Drop'!$G238)</f>
        <v/>
      </c>
      <c r="BS238" s="536" t="str">
        <f>IF($BA238="","",'Voltage Drop'!$H238)</f>
        <v/>
      </c>
      <c r="BT238" s="387" t="str">
        <f>IF($BA238="","",'Voltage Drop'!$K238)</f>
        <v/>
      </c>
      <c r="BU238" s="387" t="str">
        <f t="shared" si="6"/>
        <v/>
      </c>
      <c r="BV238" s="387"/>
      <c r="BW238" s="387" t="b">
        <f t="shared" si="7"/>
        <v>0</v>
      </c>
    </row>
    <row r="239" spans="1:75" ht="15" customHeight="1" x14ac:dyDescent="0.45">
      <c r="A239" s="161"/>
      <c r="B239" s="389"/>
      <c r="C239" s="207"/>
      <c r="D239" s="208"/>
      <c r="E239" s="161"/>
      <c r="F239" s="389"/>
      <c r="G239" s="389"/>
      <c r="H239" s="389"/>
      <c r="I239" s="389"/>
      <c r="J239" s="389"/>
      <c r="K239" s="389"/>
      <c r="L239" s="209"/>
      <c r="M239" s="209"/>
      <c r="N239" s="209"/>
      <c r="O239" s="209"/>
      <c r="P239" s="209"/>
      <c r="Q239" s="161"/>
      <c r="R239" s="390"/>
      <c r="S239" s="390"/>
      <c r="T239" s="161"/>
      <c r="U239" s="389"/>
      <c r="BA239" s="387" t="str">
        <f>IF('Short Circuit'!$A239="","",'Short Circuit'!$A239)</f>
        <v/>
      </c>
      <c r="BB239" s="387" t="str">
        <f>IF($BA239="","",'Short Circuit'!$B239)</f>
        <v/>
      </c>
      <c r="BC239" s="387" t="str">
        <f>IF($BA239="","",'Short Circuit'!$C239)</f>
        <v/>
      </c>
      <c r="BD239" s="387" t="str">
        <f>IF($BA239="","",'Short Circuit'!$D239)</f>
        <v/>
      </c>
      <c r="BE239" s="387" t="str">
        <f>IF($BA239="","",'Short Circuit'!$E239)</f>
        <v/>
      </c>
      <c r="BF239" s="387" t="str">
        <f>IF($BA239="","",IFERROR(_xlfn.XLOOKUP("F-"&amp;$BA239,'Feeder Schedule'!$B$5:$B$254,'Feeder Schedule'!$B$5:$B$254),IFERROR(_xlfn.XLOOKUP($BA239,'Feeder Schedule'!$B$5:$B$254,'Feeder Schedule'!$B$5:$B$254),"")))</f>
        <v/>
      </c>
      <c r="BG239" s="387" t="str">
        <f>IF($BF239="","",IFERROR(_xlfn.XLOOKUP($BF239,'Feeder Schedule'!$B$5:$B$254,'Feeder Schedule'!$A$5:$A$254),""))</f>
        <v/>
      </c>
      <c r="BH239" s="387" t="str">
        <f>IF($BF239="","",IFERROR(_xlfn.XLOOKUP($BF239,'Feeder Schedule'!$B$5:$B$254,'Feeder Schedule'!$O$5:$O$254),""))</f>
        <v/>
      </c>
      <c r="BI239" s="387" t="str">
        <f>IF($BF239="","",IFERROR(_xlfn.XLOOKUP($BF239,'Feeder Schedule'!$B$5:$B$254,'Feeder Schedule'!$P$5:$P$254),""))</f>
        <v/>
      </c>
      <c r="BJ239" s="387" t="str">
        <f>IF($BF239="","",IFERROR(_xlfn.XLOOKUP($BF239,'Feeder Schedule'!$B$5:$B$254,'Feeder Schedule'!$Q$5:$Q$254),""))</f>
        <v/>
      </c>
      <c r="BK239" s="387" t="str">
        <f>IF($BF239="","",IFERROR(_xlfn.XLOOKUP($BF239,'Feeder Schedule'!$B$5:$B$254,'Feeder Schedule'!$S$5:$S$254),""))</f>
        <v/>
      </c>
      <c r="BL239" s="387" t="str">
        <f>IF($BF239="","",IFERROR(_xlfn.XLOOKUP($BF239,'Feeder Schedule'!$B$5:$B$254,'Feeder Schedule'!$H$5:$H$254),""))</f>
        <v/>
      </c>
      <c r="BM239" s="534" t="str">
        <f>IF($BA239="","",'Short Circuit'!$J239)</f>
        <v/>
      </c>
      <c r="BN239" s="534" t="str">
        <f>IF($BA239="","",'Short Circuit'!$Q239)</f>
        <v/>
      </c>
      <c r="BO239" s="387" t="str">
        <f>IF($BA239="","",'Short Circuit'!$R239)</f>
        <v/>
      </c>
      <c r="BP239" s="535" t="str">
        <f>IF($BA239="","",'Short Circuit'!$S239)</f>
        <v/>
      </c>
      <c r="BQ239" s="387" t="str">
        <f>IF($BA239="","",'Short Circuit'!$T239)</f>
        <v/>
      </c>
      <c r="BR239" s="536" t="str">
        <f>IF($BA239="","",'Voltage Drop'!$G239)</f>
        <v/>
      </c>
      <c r="BS239" s="536" t="str">
        <f>IF($BA239="","",'Voltage Drop'!$H239)</f>
        <v/>
      </c>
      <c r="BT239" s="387" t="str">
        <f>IF($BA239="","",'Voltage Drop'!$K239)</f>
        <v/>
      </c>
      <c r="BU239" s="387" t="str">
        <f t="shared" si="6"/>
        <v/>
      </c>
      <c r="BV239" s="387"/>
      <c r="BW239" s="387" t="b">
        <f t="shared" si="7"/>
        <v>0</v>
      </c>
    </row>
    <row r="240" spans="1:75" ht="15" customHeight="1" x14ac:dyDescent="0.45">
      <c r="A240" s="161"/>
      <c r="B240" s="389"/>
      <c r="C240" s="207"/>
      <c r="D240" s="208"/>
      <c r="E240" s="161"/>
      <c r="F240" s="389"/>
      <c r="G240" s="389"/>
      <c r="H240" s="389"/>
      <c r="I240" s="389"/>
      <c r="J240" s="389"/>
      <c r="K240" s="389"/>
      <c r="L240" s="209"/>
      <c r="M240" s="209"/>
      <c r="N240" s="209"/>
      <c r="O240" s="209"/>
      <c r="P240" s="209"/>
      <c r="Q240" s="161"/>
      <c r="R240" s="390"/>
      <c r="S240" s="390"/>
      <c r="T240" s="161"/>
      <c r="U240" s="389"/>
      <c r="BA240" s="387" t="str">
        <f>IF('Short Circuit'!$A240="","",'Short Circuit'!$A240)</f>
        <v/>
      </c>
      <c r="BB240" s="387" t="str">
        <f>IF($BA240="","",'Short Circuit'!$B240)</f>
        <v/>
      </c>
      <c r="BC240" s="387" t="str">
        <f>IF($BA240="","",'Short Circuit'!$C240)</f>
        <v/>
      </c>
      <c r="BD240" s="387" t="str">
        <f>IF($BA240="","",'Short Circuit'!$D240)</f>
        <v/>
      </c>
      <c r="BE240" s="387" t="str">
        <f>IF($BA240="","",'Short Circuit'!$E240)</f>
        <v/>
      </c>
      <c r="BF240" s="387" t="str">
        <f>IF($BA240="","",IFERROR(_xlfn.XLOOKUP("F-"&amp;$BA240,'Feeder Schedule'!$B$5:$B$254,'Feeder Schedule'!$B$5:$B$254),IFERROR(_xlfn.XLOOKUP($BA240,'Feeder Schedule'!$B$5:$B$254,'Feeder Schedule'!$B$5:$B$254),"")))</f>
        <v/>
      </c>
      <c r="BG240" s="387" t="str">
        <f>IF($BF240="","",IFERROR(_xlfn.XLOOKUP($BF240,'Feeder Schedule'!$B$5:$B$254,'Feeder Schedule'!$A$5:$A$254),""))</f>
        <v/>
      </c>
      <c r="BH240" s="387" t="str">
        <f>IF($BF240="","",IFERROR(_xlfn.XLOOKUP($BF240,'Feeder Schedule'!$B$5:$B$254,'Feeder Schedule'!$O$5:$O$254),""))</f>
        <v/>
      </c>
      <c r="BI240" s="387" t="str">
        <f>IF($BF240="","",IFERROR(_xlfn.XLOOKUP($BF240,'Feeder Schedule'!$B$5:$B$254,'Feeder Schedule'!$P$5:$P$254),""))</f>
        <v/>
      </c>
      <c r="BJ240" s="387" t="str">
        <f>IF($BF240="","",IFERROR(_xlfn.XLOOKUP($BF240,'Feeder Schedule'!$B$5:$B$254,'Feeder Schedule'!$Q$5:$Q$254),""))</f>
        <v/>
      </c>
      <c r="BK240" s="387" t="str">
        <f>IF($BF240="","",IFERROR(_xlfn.XLOOKUP($BF240,'Feeder Schedule'!$B$5:$B$254,'Feeder Schedule'!$S$5:$S$254),""))</f>
        <v/>
      </c>
      <c r="BL240" s="387" t="str">
        <f>IF($BF240="","",IFERROR(_xlfn.XLOOKUP($BF240,'Feeder Schedule'!$B$5:$B$254,'Feeder Schedule'!$H$5:$H$254),""))</f>
        <v/>
      </c>
      <c r="BM240" s="534" t="str">
        <f>IF($BA240="","",'Short Circuit'!$J240)</f>
        <v/>
      </c>
      <c r="BN240" s="534" t="str">
        <f>IF($BA240="","",'Short Circuit'!$Q240)</f>
        <v/>
      </c>
      <c r="BO240" s="387" t="str">
        <f>IF($BA240="","",'Short Circuit'!$R240)</f>
        <v/>
      </c>
      <c r="BP240" s="535" t="str">
        <f>IF($BA240="","",'Short Circuit'!$S240)</f>
        <v/>
      </c>
      <c r="BQ240" s="387" t="str">
        <f>IF($BA240="","",'Short Circuit'!$T240)</f>
        <v/>
      </c>
      <c r="BR240" s="536" t="str">
        <f>IF($BA240="","",'Voltage Drop'!$G240)</f>
        <v/>
      </c>
      <c r="BS240" s="536" t="str">
        <f>IF($BA240="","",'Voltage Drop'!$H240)</f>
        <v/>
      </c>
      <c r="BT240" s="387" t="str">
        <f>IF($BA240="","",'Voltage Drop'!$K240)</f>
        <v/>
      </c>
      <c r="BU240" s="387" t="str">
        <f t="shared" si="6"/>
        <v/>
      </c>
      <c r="BV240" s="387"/>
      <c r="BW240" s="387" t="b">
        <f t="shared" si="7"/>
        <v>0</v>
      </c>
    </row>
    <row r="241" spans="1:75" ht="15" customHeight="1" x14ac:dyDescent="0.45">
      <c r="A241" s="161"/>
      <c r="B241" s="389"/>
      <c r="C241" s="207"/>
      <c r="D241" s="208"/>
      <c r="E241" s="161"/>
      <c r="F241" s="389"/>
      <c r="G241" s="389"/>
      <c r="H241" s="389"/>
      <c r="I241" s="389"/>
      <c r="J241" s="389"/>
      <c r="K241" s="389"/>
      <c r="L241" s="209"/>
      <c r="M241" s="209"/>
      <c r="N241" s="209"/>
      <c r="O241" s="209"/>
      <c r="P241" s="209"/>
      <c r="Q241" s="161"/>
      <c r="R241" s="390"/>
      <c r="S241" s="390"/>
      <c r="T241" s="161"/>
      <c r="U241" s="389"/>
      <c r="BA241" s="387" t="str">
        <f>IF('Short Circuit'!$A241="","",'Short Circuit'!$A241)</f>
        <v/>
      </c>
      <c r="BB241" s="387" t="str">
        <f>IF($BA241="","",'Short Circuit'!$B241)</f>
        <v/>
      </c>
      <c r="BC241" s="387" t="str">
        <f>IF($BA241="","",'Short Circuit'!$C241)</f>
        <v/>
      </c>
      <c r="BD241" s="387" t="str">
        <f>IF($BA241="","",'Short Circuit'!$D241)</f>
        <v/>
      </c>
      <c r="BE241" s="387" t="str">
        <f>IF($BA241="","",'Short Circuit'!$E241)</f>
        <v/>
      </c>
      <c r="BF241" s="387" t="str">
        <f>IF($BA241="","",IFERROR(_xlfn.XLOOKUP("F-"&amp;$BA241,'Feeder Schedule'!$B$5:$B$254,'Feeder Schedule'!$B$5:$B$254),IFERROR(_xlfn.XLOOKUP($BA241,'Feeder Schedule'!$B$5:$B$254,'Feeder Schedule'!$B$5:$B$254),"")))</f>
        <v/>
      </c>
      <c r="BG241" s="387" t="str">
        <f>IF($BF241="","",IFERROR(_xlfn.XLOOKUP($BF241,'Feeder Schedule'!$B$5:$B$254,'Feeder Schedule'!$A$5:$A$254),""))</f>
        <v/>
      </c>
      <c r="BH241" s="387" t="str">
        <f>IF($BF241="","",IFERROR(_xlfn.XLOOKUP($BF241,'Feeder Schedule'!$B$5:$B$254,'Feeder Schedule'!$O$5:$O$254),""))</f>
        <v/>
      </c>
      <c r="BI241" s="387" t="str">
        <f>IF($BF241="","",IFERROR(_xlfn.XLOOKUP($BF241,'Feeder Schedule'!$B$5:$B$254,'Feeder Schedule'!$P$5:$P$254),""))</f>
        <v/>
      </c>
      <c r="BJ241" s="387" t="str">
        <f>IF($BF241="","",IFERROR(_xlfn.XLOOKUP($BF241,'Feeder Schedule'!$B$5:$B$254,'Feeder Schedule'!$Q$5:$Q$254),""))</f>
        <v/>
      </c>
      <c r="BK241" s="387" t="str">
        <f>IF($BF241="","",IFERROR(_xlfn.XLOOKUP($BF241,'Feeder Schedule'!$B$5:$B$254,'Feeder Schedule'!$S$5:$S$254),""))</f>
        <v/>
      </c>
      <c r="BL241" s="387" t="str">
        <f>IF($BF241="","",IFERROR(_xlfn.XLOOKUP($BF241,'Feeder Schedule'!$B$5:$B$254,'Feeder Schedule'!$H$5:$H$254),""))</f>
        <v/>
      </c>
      <c r="BM241" s="534" t="str">
        <f>IF($BA241="","",'Short Circuit'!$J241)</f>
        <v/>
      </c>
      <c r="BN241" s="534" t="str">
        <f>IF($BA241="","",'Short Circuit'!$Q241)</f>
        <v/>
      </c>
      <c r="BO241" s="387" t="str">
        <f>IF($BA241="","",'Short Circuit'!$R241)</f>
        <v/>
      </c>
      <c r="BP241" s="535" t="str">
        <f>IF($BA241="","",'Short Circuit'!$S241)</f>
        <v/>
      </c>
      <c r="BQ241" s="387" t="str">
        <f>IF($BA241="","",'Short Circuit'!$T241)</f>
        <v/>
      </c>
      <c r="BR241" s="536" t="str">
        <f>IF($BA241="","",'Voltage Drop'!$G241)</f>
        <v/>
      </c>
      <c r="BS241" s="536" t="str">
        <f>IF($BA241="","",'Voltage Drop'!$H241)</f>
        <v/>
      </c>
      <c r="BT241" s="387" t="str">
        <f>IF($BA241="","",'Voltage Drop'!$K241)</f>
        <v/>
      </c>
      <c r="BU241" s="387" t="str">
        <f t="shared" si="6"/>
        <v/>
      </c>
      <c r="BV241" s="387"/>
      <c r="BW241" s="387" t="b">
        <f t="shared" si="7"/>
        <v>0</v>
      </c>
    </row>
    <row r="242" spans="1:75" ht="15" customHeight="1" x14ac:dyDescent="0.45">
      <c r="A242" s="161"/>
      <c r="B242" s="389"/>
      <c r="C242" s="207"/>
      <c r="D242" s="208"/>
      <c r="E242" s="161"/>
      <c r="F242" s="389"/>
      <c r="G242" s="389"/>
      <c r="H242" s="389"/>
      <c r="I242" s="389"/>
      <c r="J242" s="389"/>
      <c r="K242" s="389"/>
      <c r="L242" s="209"/>
      <c r="M242" s="209"/>
      <c r="N242" s="209"/>
      <c r="O242" s="209"/>
      <c r="P242" s="209"/>
      <c r="Q242" s="161"/>
      <c r="R242" s="390"/>
      <c r="S242" s="390"/>
      <c r="T242" s="161"/>
      <c r="U242" s="389"/>
      <c r="BA242" s="387" t="str">
        <f>IF('Short Circuit'!$A242="","",'Short Circuit'!$A242)</f>
        <v/>
      </c>
      <c r="BB242" s="387" t="str">
        <f>IF($BA242="","",'Short Circuit'!$B242)</f>
        <v/>
      </c>
      <c r="BC242" s="387" t="str">
        <f>IF($BA242="","",'Short Circuit'!$C242)</f>
        <v/>
      </c>
      <c r="BD242" s="387" t="str">
        <f>IF($BA242="","",'Short Circuit'!$D242)</f>
        <v/>
      </c>
      <c r="BE242" s="387" t="str">
        <f>IF($BA242="","",'Short Circuit'!$E242)</f>
        <v/>
      </c>
      <c r="BF242" s="387" t="str">
        <f>IF($BA242="","",IFERROR(_xlfn.XLOOKUP("F-"&amp;$BA242,'Feeder Schedule'!$B$5:$B$254,'Feeder Schedule'!$B$5:$B$254),IFERROR(_xlfn.XLOOKUP($BA242,'Feeder Schedule'!$B$5:$B$254,'Feeder Schedule'!$B$5:$B$254),"")))</f>
        <v/>
      </c>
      <c r="BG242" s="387" t="str">
        <f>IF($BF242="","",IFERROR(_xlfn.XLOOKUP($BF242,'Feeder Schedule'!$B$5:$B$254,'Feeder Schedule'!$A$5:$A$254),""))</f>
        <v/>
      </c>
      <c r="BH242" s="387" t="str">
        <f>IF($BF242="","",IFERROR(_xlfn.XLOOKUP($BF242,'Feeder Schedule'!$B$5:$B$254,'Feeder Schedule'!$O$5:$O$254),""))</f>
        <v/>
      </c>
      <c r="BI242" s="387" t="str">
        <f>IF($BF242="","",IFERROR(_xlfn.XLOOKUP($BF242,'Feeder Schedule'!$B$5:$B$254,'Feeder Schedule'!$P$5:$P$254),""))</f>
        <v/>
      </c>
      <c r="BJ242" s="387" t="str">
        <f>IF($BF242="","",IFERROR(_xlfn.XLOOKUP($BF242,'Feeder Schedule'!$B$5:$B$254,'Feeder Schedule'!$Q$5:$Q$254),""))</f>
        <v/>
      </c>
      <c r="BK242" s="387" t="str">
        <f>IF($BF242="","",IFERROR(_xlfn.XLOOKUP($BF242,'Feeder Schedule'!$B$5:$B$254,'Feeder Schedule'!$S$5:$S$254),""))</f>
        <v/>
      </c>
      <c r="BL242" s="387" t="str">
        <f>IF($BF242="","",IFERROR(_xlfn.XLOOKUP($BF242,'Feeder Schedule'!$B$5:$B$254,'Feeder Schedule'!$H$5:$H$254),""))</f>
        <v/>
      </c>
      <c r="BM242" s="534" t="str">
        <f>IF($BA242="","",'Short Circuit'!$J242)</f>
        <v/>
      </c>
      <c r="BN242" s="534" t="str">
        <f>IF($BA242="","",'Short Circuit'!$Q242)</f>
        <v/>
      </c>
      <c r="BO242" s="387" t="str">
        <f>IF($BA242="","",'Short Circuit'!$R242)</f>
        <v/>
      </c>
      <c r="BP242" s="535" t="str">
        <f>IF($BA242="","",'Short Circuit'!$S242)</f>
        <v/>
      </c>
      <c r="BQ242" s="387" t="str">
        <f>IF($BA242="","",'Short Circuit'!$T242)</f>
        <v/>
      </c>
      <c r="BR242" s="536" t="str">
        <f>IF($BA242="","",'Voltage Drop'!$G242)</f>
        <v/>
      </c>
      <c r="BS242" s="536" t="str">
        <f>IF($BA242="","",'Voltage Drop'!$H242)</f>
        <v/>
      </c>
      <c r="BT242" s="387" t="str">
        <f>IF($BA242="","",'Voltage Drop'!$K242)</f>
        <v/>
      </c>
      <c r="BU242" s="387" t="str">
        <f t="shared" si="6"/>
        <v/>
      </c>
      <c r="BV242" s="387"/>
      <c r="BW242" s="387" t="b">
        <f t="shared" si="7"/>
        <v>0</v>
      </c>
    </row>
    <row r="243" spans="1:75" ht="15" customHeight="1" x14ac:dyDescent="0.45">
      <c r="A243" s="161"/>
      <c r="B243" s="389"/>
      <c r="C243" s="207"/>
      <c r="D243" s="208"/>
      <c r="E243" s="161"/>
      <c r="F243" s="389"/>
      <c r="G243" s="389"/>
      <c r="H243" s="389"/>
      <c r="I243" s="389"/>
      <c r="J243" s="389"/>
      <c r="K243" s="389"/>
      <c r="L243" s="209"/>
      <c r="M243" s="209"/>
      <c r="N243" s="209"/>
      <c r="O243" s="209"/>
      <c r="P243" s="209"/>
      <c r="Q243" s="161"/>
      <c r="R243" s="390"/>
      <c r="S243" s="390"/>
      <c r="T243" s="161"/>
      <c r="U243" s="389"/>
      <c r="BA243" s="387" t="str">
        <f>IF('Short Circuit'!$A243="","",'Short Circuit'!$A243)</f>
        <v/>
      </c>
      <c r="BB243" s="387" t="str">
        <f>IF($BA243="","",'Short Circuit'!$B243)</f>
        <v/>
      </c>
      <c r="BC243" s="387" t="str">
        <f>IF($BA243="","",'Short Circuit'!$C243)</f>
        <v/>
      </c>
      <c r="BD243" s="387" t="str">
        <f>IF($BA243="","",'Short Circuit'!$D243)</f>
        <v/>
      </c>
      <c r="BE243" s="387" t="str">
        <f>IF($BA243="","",'Short Circuit'!$E243)</f>
        <v/>
      </c>
      <c r="BF243" s="387" t="str">
        <f>IF($BA243="","",IFERROR(_xlfn.XLOOKUP("F-"&amp;$BA243,'Feeder Schedule'!$B$5:$B$254,'Feeder Schedule'!$B$5:$B$254),IFERROR(_xlfn.XLOOKUP($BA243,'Feeder Schedule'!$B$5:$B$254,'Feeder Schedule'!$B$5:$B$254),"")))</f>
        <v/>
      </c>
      <c r="BG243" s="387" t="str">
        <f>IF($BF243="","",IFERROR(_xlfn.XLOOKUP($BF243,'Feeder Schedule'!$B$5:$B$254,'Feeder Schedule'!$A$5:$A$254),""))</f>
        <v/>
      </c>
      <c r="BH243" s="387" t="str">
        <f>IF($BF243="","",IFERROR(_xlfn.XLOOKUP($BF243,'Feeder Schedule'!$B$5:$B$254,'Feeder Schedule'!$O$5:$O$254),""))</f>
        <v/>
      </c>
      <c r="BI243" s="387" t="str">
        <f>IF($BF243="","",IFERROR(_xlfn.XLOOKUP($BF243,'Feeder Schedule'!$B$5:$B$254,'Feeder Schedule'!$P$5:$P$254),""))</f>
        <v/>
      </c>
      <c r="BJ243" s="387" t="str">
        <f>IF($BF243="","",IFERROR(_xlfn.XLOOKUP($BF243,'Feeder Schedule'!$B$5:$B$254,'Feeder Schedule'!$Q$5:$Q$254),""))</f>
        <v/>
      </c>
      <c r="BK243" s="387" t="str">
        <f>IF($BF243="","",IFERROR(_xlfn.XLOOKUP($BF243,'Feeder Schedule'!$B$5:$B$254,'Feeder Schedule'!$S$5:$S$254),""))</f>
        <v/>
      </c>
      <c r="BL243" s="387" t="str">
        <f>IF($BF243="","",IFERROR(_xlfn.XLOOKUP($BF243,'Feeder Schedule'!$B$5:$B$254,'Feeder Schedule'!$H$5:$H$254),""))</f>
        <v/>
      </c>
      <c r="BM243" s="534" t="str">
        <f>IF($BA243="","",'Short Circuit'!$J243)</f>
        <v/>
      </c>
      <c r="BN243" s="534" t="str">
        <f>IF($BA243="","",'Short Circuit'!$Q243)</f>
        <v/>
      </c>
      <c r="BO243" s="387" t="str">
        <f>IF($BA243="","",'Short Circuit'!$R243)</f>
        <v/>
      </c>
      <c r="BP243" s="535" t="str">
        <f>IF($BA243="","",'Short Circuit'!$S243)</f>
        <v/>
      </c>
      <c r="BQ243" s="387" t="str">
        <f>IF($BA243="","",'Short Circuit'!$T243)</f>
        <v/>
      </c>
      <c r="BR243" s="536" t="str">
        <f>IF($BA243="","",'Voltage Drop'!$G243)</f>
        <v/>
      </c>
      <c r="BS243" s="536" t="str">
        <f>IF($BA243="","",'Voltage Drop'!$H243)</f>
        <v/>
      </c>
      <c r="BT243" s="387" t="str">
        <f>IF($BA243="","",'Voltage Drop'!$K243)</f>
        <v/>
      </c>
      <c r="BU243" s="387" t="str">
        <f t="shared" si="6"/>
        <v/>
      </c>
      <c r="BV243" s="387"/>
      <c r="BW243" s="387" t="b">
        <f t="shared" si="7"/>
        <v>0</v>
      </c>
    </row>
    <row r="244" spans="1:75" ht="15" customHeight="1" x14ac:dyDescent="0.45">
      <c r="A244" s="161"/>
      <c r="B244" s="389"/>
      <c r="C244" s="207"/>
      <c r="D244" s="208"/>
      <c r="E244" s="161"/>
      <c r="F244" s="389"/>
      <c r="G244" s="389"/>
      <c r="H244" s="389"/>
      <c r="I244" s="389"/>
      <c r="J244" s="389"/>
      <c r="K244" s="389"/>
      <c r="L244" s="209"/>
      <c r="M244" s="209"/>
      <c r="N244" s="209"/>
      <c r="O244" s="209"/>
      <c r="P244" s="209"/>
      <c r="Q244" s="161"/>
      <c r="R244" s="390"/>
      <c r="S244" s="390"/>
      <c r="T244" s="161"/>
      <c r="U244" s="389"/>
      <c r="BA244" s="387" t="str">
        <f>IF('Short Circuit'!$A244="","",'Short Circuit'!$A244)</f>
        <v/>
      </c>
      <c r="BB244" s="387" t="str">
        <f>IF($BA244="","",'Short Circuit'!$B244)</f>
        <v/>
      </c>
      <c r="BC244" s="387" t="str">
        <f>IF($BA244="","",'Short Circuit'!$C244)</f>
        <v/>
      </c>
      <c r="BD244" s="387" t="str">
        <f>IF($BA244="","",'Short Circuit'!$D244)</f>
        <v/>
      </c>
      <c r="BE244" s="387" t="str">
        <f>IF($BA244="","",'Short Circuit'!$E244)</f>
        <v/>
      </c>
      <c r="BF244" s="387" t="str">
        <f>IF($BA244="","",IFERROR(_xlfn.XLOOKUP("F-"&amp;$BA244,'Feeder Schedule'!$B$5:$B$254,'Feeder Schedule'!$B$5:$B$254),IFERROR(_xlfn.XLOOKUP($BA244,'Feeder Schedule'!$B$5:$B$254,'Feeder Schedule'!$B$5:$B$254),"")))</f>
        <v/>
      </c>
      <c r="BG244" s="387" t="str">
        <f>IF($BF244="","",IFERROR(_xlfn.XLOOKUP($BF244,'Feeder Schedule'!$B$5:$B$254,'Feeder Schedule'!$A$5:$A$254),""))</f>
        <v/>
      </c>
      <c r="BH244" s="387" t="str">
        <f>IF($BF244="","",IFERROR(_xlfn.XLOOKUP($BF244,'Feeder Schedule'!$B$5:$B$254,'Feeder Schedule'!$O$5:$O$254),""))</f>
        <v/>
      </c>
      <c r="BI244" s="387" t="str">
        <f>IF($BF244="","",IFERROR(_xlfn.XLOOKUP($BF244,'Feeder Schedule'!$B$5:$B$254,'Feeder Schedule'!$P$5:$P$254),""))</f>
        <v/>
      </c>
      <c r="BJ244" s="387" t="str">
        <f>IF($BF244="","",IFERROR(_xlfn.XLOOKUP($BF244,'Feeder Schedule'!$B$5:$B$254,'Feeder Schedule'!$Q$5:$Q$254),""))</f>
        <v/>
      </c>
      <c r="BK244" s="387" t="str">
        <f>IF($BF244="","",IFERROR(_xlfn.XLOOKUP($BF244,'Feeder Schedule'!$B$5:$B$254,'Feeder Schedule'!$S$5:$S$254),""))</f>
        <v/>
      </c>
      <c r="BL244" s="387" t="str">
        <f>IF($BF244="","",IFERROR(_xlfn.XLOOKUP($BF244,'Feeder Schedule'!$B$5:$B$254,'Feeder Schedule'!$H$5:$H$254),""))</f>
        <v/>
      </c>
      <c r="BM244" s="534" t="str">
        <f>IF($BA244="","",'Short Circuit'!$J244)</f>
        <v/>
      </c>
      <c r="BN244" s="534" t="str">
        <f>IF($BA244="","",'Short Circuit'!$Q244)</f>
        <v/>
      </c>
      <c r="BO244" s="387" t="str">
        <f>IF($BA244="","",'Short Circuit'!$R244)</f>
        <v/>
      </c>
      <c r="BP244" s="535" t="str">
        <f>IF($BA244="","",'Short Circuit'!$S244)</f>
        <v/>
      </c>
      <c r="BQ244" s="387" t="str">
        <f>IF($BA244="","",'Short Circuit'!$T244)</f>
        <v/>
      </c>
      <c r="BR244" s="536" t="str">
        <f>IF($BA244="","",'Voltage Drop'!$G244)</f>
        <v/>
      </c>
      <c r="BS244" s="536" t="str">
        <f>IF($BA244="","",'Voltage Drop'!$H244)</f>
        <v/>
      </c>
      <c r="BT244" s="387" t="str">
        <f>IF($BA244="","",'Voltage Drop'!$K244)</f>
        <v/>
      </c>
      <c r="BU244" s="387" t="str">
        <f t="shared" si="6"/>
        <v/>
      </c>
      <c r="BV244" s="387"/>
      <c r="BW244" s="387" t="b">
        <f t="shared" si="7"/>
        <v>0</v>
      </c>
    </row>
    <row r="245" spans="1:75" ht="15" customHeight="1" x14ac:dyDescent="0.45">
      <c r="A245" s="161"/>
      <c r="B245" s="389"/>
      <c r="C245" s="207"/>
      <c r="D245" s="208"/>
      <c r="E245" s="161"/>
      <c r="F245" s="389"/>
      <c r="G245" s="389"/>
      <c r="H245" s="389"/>
      <c r="I245" s="389"/>
      <c r="J245" s="389"/>
      <c r="K245" s="389"/>
      <c r="L245" s="209"/>
      <c r="M245" s="209"/>
      <c r="N245" s="209"/>
      <c r="O245" s="209"/>
      <c r="P245" s="209"/>
      <c r="Q245" s="161"/>
      <c r="R245" s="390"/>
      <c r="S245" s="390"/>
      <c r="T245" s="161"/>
      <c r="U245" s="389"/>
      <c r="BA245" s="387" t="str">
        <f>IF('Short Circuit'!$A245="","",'Short Circuit'!$A245)</f>
        <v/>
      </c>
      <c r="BB245" s="387" t="str">
        <f>IF($BA245="","",'Short Circuit'!$B245)</f>
        <v/>
      </c>
      <c r="BC245" s="387" t="str">
        <f>IF($BA245="","",'Short Circuit'!$C245)</f>
        <v/>
      </c>
      <c r="BD245" s="387" t="str">
        <f>IF($BA245="","",'Short Circuit'!$D245)</f>
        <v/>
      </c>
      <c r="BE245" s="387" t="str">
        <f>IF($BA245="","",'Short Circuit'!$E245)</f>
        <v/>
      </c>
      <c r="BF245" s="387" t="str">
        <f>IF($BA245="","",IFERROR(_xlfn.XLOOKUP("F-"&amp;$BA245,'Feeder Schedule'!$B$5:$B$254,'Feeder Schedule'!$B$5:$B$254),IFERROR(_xlfn.XLOOKUP($BA245,'Feeder Schedule'!$B$5:$B$254,'Feeder Schedule'!$B$5:$B$254),"")))</f>
        <v/>
      </c>
      <c r="BG245" s="387" t="str">
        <f>IF($BF245="","",IFERROR(_xlfn.XLOOKUP($BF245,'Feeder Schedule'!$B$5:$B$254,'Feeder Schedule'!$A$5:$A$254),""))</f>
        <v/>
      </c>
      <c r="BH245" s="387" t="str">
        <f>IF($BF245="","",IFERROR(_xlfn.XLOOKUP($BF245,'Feeder Schedule'!$B$5:$B$254,'Feeder Schedule'!$O$5:$O$254),""))</f>
        <v/>
      </c>
      <c r="BI245" s="387" t="str">
        <f>IF($BF245="","",IFERROR(_xlfn.XLOOKUP($BF245,'Feeder Schedule'!$B$5:$B$254,'Feeder Schedule'!$P$5:$P$254),""))</f>
        <v/>
      </c>
      <c r="BJ245" s="387" t="str">
        <f>IF($BF245="","",IFERROR(_xlfn.XLOOKUP($BF245,'Feeder Schedule'!$B$5:$B$254,'Feeder Schedule'!$Q$5:$Q$254),""))</f>
        <v/>
      </c>
      <c r="BK245" s="387" t="str">
        <f>IF($BF245="","",IFERROR(_xlfn.XLOOKUP($BF245,'Feeder Schedule'!$B$5:$B$254,'Feeder Schedule'!$S$5:$S$254),""))</f>
        <v/>
      </c>
      <c r="BL245" s="387" t="str">
        <f>IF($BF245="","",IFERROR(_xlfn.XLOOKUP($BF245,'Feeder Schedule'!$B$5:$B$254,'Feeder Schedule'!$H$5:$H$254),""))</f>
        <v/>
      </c>
      <c r="BM245" s="534" t="str">
        <f>IF($BA245="","",'Short Circuit'!$J245)</f>
        <v/>
      </c>
      <c r="BN245" s="534" t="str">
        <f>IF($BA245="","",'Short Circuit'!$Q245)</f>
        <v/>
      </c>
      <c r="BO245" s="387" t="str">
        <f>IF($BA245="","",'Short Circuit'!$R245)</f>
        <v/>
      </c>
      <c r="BP245" s="535" t="str">
        <f>IF($BA245="","",'Short Circuit'!$S245)</f>
        <v/>
      </c>
      <c r="BQ245" s="387" t="str">
        <f>IF($BA245="","",'Short Circuit'!$T245)</f>
        <v/>
      </c>
      <c r="BR245" s="536" t="str">
        <f>IF($BA245="","",'Voltage Drop'!$G245)</f>
        <v/>
      </c>
      <c r="BS245" s="536" t="str">
        <f>IF($BA245="","",'Voltage Drop'!$H245)</f>
        <v/>
      </c>
      <c r="BT245" s="387" t="str">
        <f>IF($BA245="","",'Voltage Drop'!$K245)</f>
        <v/>
      </c>
      <c r="BU245" s="387" t="str">
        <f t="shared" si="6"/>
        <v/>
      </c>
      <c r="BV245" s="387"/>
      <c r="BW245" s="387" t="b">
        <f t="shared" si="7"/>
        <v>0</v>
      </c>
    </row>
    <row r="246" spans="1:75" ht="15" customHeight="1" x14ac:dyDescent="0.45">
      <c r="A246" s="161"/>
      <c r="B246" s="389"/>
      <c r="C246" s="207"/>
      <c r="D246" s="208"/>
      <c r="E246" s="161"/>
      <c r="F246" s="389"/>
      <c r="G246" s="389"/>
      <c r="H246" s="389"/>
      <c r="I246" s="389"/>
      <c r="J246" s="389"/>
      <c r="K246" s="389"/>
      <c r="L246" s="209"/>
      <c r="M246" s="209"/>
      <c r="N246" s="209"/>
      <c r="O246" s="209"/>
      <c r="P246" s="209"/>
      <c r="Q246" s="161"/>
      <c r="R246" s="390"/>
      <c r="S246" s="390"/>
      <c r="T246" s="161"/>
      <c r="U246" s="389"/>
      <c r="BA246" s="387" t="str">
        <f>IF('Short Circuit'!$A246="","",'Short Circuit'!$A246)</f>
        <v/>
      </c>
      <c r="BB246" s="387" t="str">
        <f>IF($BA246="","",'Short Circuit'!$B246)</f>
        <v/>
      </c>
      <c r="BC246" s="387" t="str">
        <f>IF($BA246="","",'Short Circuit'!$C246)</f>
        <v/>
      </c>
      <c r="BD246" s="387" t="str">
        <f>IF($BA246="","",'Short Circuit'!$D246)</f>
        <v/>
      </c>
      <c r="BE246" s="387" t="str">
        <f>IF($BA246="","",'Short Circuit'!$E246)</f>
        <v/>
      </c>
      <c r="BF246" s="387" t="str">
        <f>IF($BA246="","",IFERROR(_xlfn.XLOOKUP("F-"&amp;$BA246,'Feeder Schedule'!$B$5:$B$254,'Feeder Schedule'!$B$5:$B$254),IFERROR(_xlfn.XLOOKUP($BA246,'Feeder Schedule'!$B$5:$B$254,'Feeder Schedule'!$B$5:$B$254),"")))</f>
        <v/>
      </c>
      <c r="BG246" s="387" t="str">
        <f>IF($BF246="","",IFERROR(_xlfn.XLOOKUP($BF246,'Feeder Schedule'!$B$5:$B$254,'Feeder Schedule'!$A$5:$A$254),""))</f>
        <v/>
      </c>
      <c r="BH246" s="387" t="str">
        <f>IF($BF246="","",IFERROR(_xlfn.XLOOKUP($BF246,'Feeder Schedule'!$B$5:$B$254,'Feeder Schedule'!$O$5:$O$254),""))</f>
        <v/>
      </c>
      <c r="BI246" s="387" t="str">
        <f>IF($BF246="","",IFERROR(_xlfn.XLOOKUP($BF246,'Feeder Schedule'!$B$5:$B$254,'Feeder Schedule'!$P$5:$P$254),""))</f>
        <v/>
      </c>
      <c r="BJ246" s="387" t="str">
        <f>IF($BF246="","",IFERROR(_xlfn.XLOOKUP($BF246,'Feeder Schedule'!$B$5:$B$254,'Feeder Schedule'!$Q$5:$Q$254),""))</f>
        <v/>
      </c>
      <c r="BK246" s="387" t="str">
        <f>IF($BF246="","",IFERROR(_xlfn.XLOOKUP($BF246,'Feeder Schedule'!$B$5:$B$254,'Feeder Schedule'!$S$5:$S$254),""))</f>
        <v/>
      </c>
      <c r="BL246" s="387" t="str">
        <f>IF($BF246="","",IFERROR(_xlfn.XLOOKUP($BF246,'Feeder Schedule'!$B$5:$B$254,'Feeder Schedule'!$H$5:$H$254),""))</f>
        <v/>
      </c>
      <c r="BM246" s="534" t="str">
        <f>IF($BA246="","",'Short Circuit'!$J246)</f>
        <v/>
      </c>
      <c r="BN246" s="534" t="str">
        <f>IF($BA246="","",'Short Circuit'!$Q246)</f>
        <v/>
      </c>
      <c r="BO246" s="387" t="str">
        <f>IF($BA246="","",'Short Circuit'!$R246)</f>
        <v/>
      </c>
      <c r="BP246" s="535" t="str">
        <f>IF($BA246="","",'Short Circuit'!$S246)</f>
        <v/>
      </c>
      <c r="BQ246" s="387" t="str">
        <f>IF($BA246="","",'Short Circuit'!$T246)</f>
        <v/>
      </c>
      <c r="BR246" s="536" t="str">
        <f>IF($BA246="","",'Voltage Drop'!$G246)</f>
        <v/>
      </c>
      <c r="BS246" s="536" t="str">
        <f>IF($BA246="","",'Voltage Drop'!$H246)</f>
        <v/>
      </c>
      <c r="BT246" s="387" t="str">
        <f>IF($BA246="","",'Voltage Drop'!$K246)</f>
        <v/>
      </c>
      <c r="BU246" s="387" t="str">
        <f t="shared" si="6"/>
        <v/>
      </c>
      <c r="BV246" s="387"/>
      <c r="BW246" s="387" t="b">
        <f t="shared" si="7"/>
        <v>0</v>
      </c>
    </row>
    <row r="247" spans="1:75" ht="15" customHeight="1" x14ac:dyDescent="0.45">
      <c r="A247" s="161"/>
      <c r="B247" s="389"/>
      <c r="C247" s="207"/>
      <c r="D247" s="208"/>
      <c r="E247" s="161"/>
      <c r="F247" s="389"/>
      <c r="G247" s="389"/>
      <c r="H247" s="389"/>
      <c r="I247" s="389"/>
      <c r="J247" s="389"/>
      <c r="K247" s="389"/>
      <c r="L247" s="209"/>
      <c r="M247" s="209"/>
      <c r="N247" s="209"/>
      <c r="O247" s="209"/>
      <c r="P247" s="209"/>
      <c r="Q247" s="161"/>
      <c r="R247" s="390"/>
      <c r="S247" s="390"/>
      <c r="T247" s="161"/>
      <c r="U247" s="389"/>
      <c r="BA247" s="387" t="str">
        <f>IF('Short Circuit'!$A247="","",'Short Circuit'!$A247)</f>
        <v/>
      </c>
      <c r="BB247" s="387" t="str">
        <f>IF($BA247="","",'Short Circuit'!$B247)</f>
        <v/>
      </c>
      <c r="BC247" s="387" t="str">
        <f>IF($BA247="","",'Short Circuit'!$C247)</f>
        <v/>
      </c>
      <c r="BD247" s="387" t="str">
        <f>IF($BA247="","",'Short Circuit'!$D247)</f>
        <v/>
      </c>
      <c r="BE247" s="387" t="str">
        <f>IF($BA247="","",'Short Circuit'!$E247)</f>
        <v/>
      </c>
      <c r="BF247" s="387" t="str">
        <f>IF($BA247="","",IFERROR(_xlfn.XLOOKUP("F-"&amp;$BA247,'Feeder Schedule'!$B$5:$B$254,'Feeder Schedule'!$B$5:$B$254),IFERROR(_xlfn.XLOOKUP($BA247,'Feeder Schedule'!$B$5:$B$254,'Feeder Schedule'!$B$5:$B$254),"")))</f>
        <v/>
      </c>
      <c r="BG247" s="387" t="str">
        <f>IF($BF247="","",IFERROR(_xlfn.XLOOKUP($BF247,'Feeder Schedule'!$B$5:$B$254,'Feeder Schedule'!$A$5:$A$254),""))</f>
        <v/>
      </c>
      <c r="BH247" s="387" t="str">
        <f>IF($BF247="","",IFERROR(_xlfn.XLOOKUP($BF247,'Feeder Schedule'!$B$5:$B$254,'Feeder Schedule'!$O$5:$O$254),""))</f>
        <v/>
      </c>
      <c r="BI247" s="387" t="str">
        <f>IF($BF247="","",IFERROR(_xlfn.XLOOKUP($BF247,'Feeder Schedule'!$B$5:$B$254,'Feeder Schedule'!$P$5:$P$254),""))</f>
        <v/>
      </c>
      <c r="BJ247" s="387" t="str">
        <f>IF($BF247="","",IFERROR(_xlfn.XLOOKUP($BF247,'Feeder Schedule'!$B$5:$B$254,'Feeder Schedule'!$Q$5:$Q$254),""))</f>
        <v/>
      </c>
      <c r="BK247" s="387" t="str">
        <f>IF($BF247="","",IFERROR(_xlfn.XLOOKUP($BF247,'Feeder Schedule'!$B$5:$B$254,'Feeder Schedule'!$S$5:$S$254),""))</f>
        <v/>
      </c>
      <c r="BL247" s="387" t="str">
        <f>IF($BF247="","",IFERROR(_xlfn.XLOOKUP($BF247,'Feeder Schedule'!$B$5:$B$254,'Feeder Schedule'!$H$5:$H$254),""))</f>
        <v/>
      </c>
      <c r="BM247" s="534" t="str">
        <f>IF($BA247="","",'Short Circuit'!$J247)</f>
        <v/>
      </c>
      <c r="BN247" s="534" t="str">
        <f>IF($BA247="","",'Short Circuit'!$Q247)</f>
        <v/>
      </c>
      <c r="BO247" s="387" t="str">
        <f>IF($BA247="","",'Short Circuit'!$R247)</f>
        <v/>
      </c>
      <c r="BP247" s="535" t="str">
        <f>IF($BA247="","",'Short Circuit'!$S247)</f>
        <v/>
      </c>
      <c r="BQ247" s="387" t="str">
        <f>IF($BA247="","",'Short Circuit'!$T247)</f>
        <v/>
      </c>
      <c r="BR247" s="536" t="str">
        <f>IF($BA247="","",'Voltage Drop'!$G247)</f>
        <v/>
      </c>
      <c r="BS247" s="536" t="str">
        <f>IF($BA247="","",'Voltage Drop'!$H247)</f>
        <v/>
      </c>
      <c r="BT247" s="387" t="str">
        <f>IF($BA247="","",'Voltage Drop'!$K247)</f>
        <v/>
      </c>
      <c r="BU247" s="387" t="str">
        <f t="shared" si="6"/>
        <v/>
      </c>
      <c r="BV247" s="387"/>
      <c r="BW247" s="387" t="b">
        <f t="shared" si="7"/>
        <v>0</v>
      </c>
    </row>
    <row r="248" spans="1:75" ht="15" customHeight="1" x14ac:dyDescent="0.45">
      <c r="A248" s="161"/>
      <c r="B248" s="389"/>
      <c r="C248" s="207"/>
      <c r="D248" s="208"/>
      <c r="E248" s="161"/>
      <c r="F248" s="389"/>
      <c r="G248" s="389"/>
      <c r="H248" s="389"/>
      <c r="I248" s="389"/>
      <c r="J248" s="389"/>
      <c r="K248" s="389"/>
      <c r="L248" s="209"/>
      <c r="M248" s="209"/>
      <c r="N248" s="209"/>
      <c r="O248" s="209"/>
      <c r="P248" s="209"/>
      <c r="Q248" s="161"/>
      <c r="R248" s="390"/>
      <c r="S248" s="390"/>
      <c r="T248" s="161"/>
      <c r="U248" s="389"/>
      <c r="BA248" s="387" t="str">
        <f>IF('Short Circuit'!$A248="","",'Short Circuit'!$A248)</f>
        <v/>
      </c>
      <c r="BB248" s="387" t="str">
        <f>IF($BA248="","",'Short Circuit'!$B248)</f>
        <v/>
      </c>
      <c r="BC248" s="387" t="str">
        <f>IF($BA248="","",'Short Circuit'!$C248)</f>
        <v/>
      </c>
      <c r="BD248" s="387" t="str">
        <f>IF($BA248="","",'Short Circuit'!$D248)</f>
        <v/>
      </c>
      <c r="BE248" s="387" t="str">
        <f>IF($BA248="","",'Short Circuit'!$E248)</f>
        <v/>
      </c>
      <c r="BF248" s="387" t="str">
        <f>IF($BA248="","",IFERROR(_xlfn.XLOOKUP("F-"&amp;$BA248,'Feeder Schedule'!$B$5:$B$254,'Feeder Schedule'!$B$5:$B$254),IFERROR(_xlfn.XLOOKUP($BA248,'Feeder Schedule'!$B$5:$B$254,'Feeder Schedule'!$B$5:$B$254),"")))</f>
        <v/>
      </c>
      <c r="BG248" s="387" t="str">
        <f>IF($BF248="","",IFERROR(_xlfn.XLOOKUP($BF248,'Feeder Schedule'!$B$5:$B$254,'Feeder Schedule'!$A$5:$A$254),""))</f>
        <v/>
      </c>
      <c r="BH248" s="387" t="str">
        <f>IF($BF248="","",IFERROR(_xlfn.XLOOKUP($BF248,'Feeder Schedule'!$B$5:$B$254,'Feeder Schedule'!$O$5:$O$254),""))</f>
        <v/>
      </c>
      <c r="BI248" s="387" t="str">
        <f>IF($BF248="","",IFERROR(_xlfn.XLOOKUP($BF248,'Feeder Schedule'!$B$5:$B$254,'Feeder Schedule'!$P$5:$P$254),""))</f>
        <v/>
      </c>
      <c r="BJ248" s="387" t="str">
        <f>IF($BF248="","",IFERROR(_xlfn.XLOOKUP($BF248,'Feeder Schedule'!$B$5:$B$254,'Feeder Schedule'!$Q$5:$Q$254),""))</f>
        <v/>
      </c>
      <c r="BK248" s="387" t="str">
        <f>IF($BF248="","",IFERROR(_xlfn.XLOOKUP($BF248,'Feeder Schedule'!$B$5:$B$254,'Feeder Schedule'!$S$5:$S$254),""))</f>
        <v/>
      </c>
      <c r="BL248" s="387" t="str">
        <f>IF($BF248="","",IFERROR(_xlfn.XLOOKUP($BF248,'Feeder Schedule'!$B$5:$B$254,'Feeder Schedule'!$H$5:$H$254),""))</f>
        <v/>
      </c>
      <c r="BM248" s="534" t="str">
        <f>IF($BA248="","",'Short Circuit'!$J248)</f>
        <v/>
      </c>
      <c r="BN248" s="534" t="str">
        <f>IF($BA248="","",'Short Circuit'!$Q248)</f>
        <v/>
      </c>
      <c r="BO248" s="387" t="str">
        <f>IF($BA248="","",'Short Circuit'!$R248)</f>
        <v/>
      </c>
      <c r="BP248" s="535" t="str">
        <f>IF($BA248="","",'Short Circuit'!$S248)</f>
        <v/>
      </c>
      <c r="BQ248" s="387" t="str">
        <f>IF($BA248="","",'Short Circuit'!$T248)</f>
        <v/>
      </c>
      <c r="BR248" s="536" t="str">
        <f>IF($BA248="","",'Voltage Drop'!$G248)</f>
        <v/>
      </c>
      <c r="BS248" s="536" t="str">
        <f>IF($BA248="","",'Voltage Drop'!$H248)</f>
        <v/>
      </c>
      <c r="BT248" s="387" t="str">
        <f>IF($BA248="","",'Voltage Drop'!$K248)</f>
        <v/>
      </c>
      <c r="BU248" s="387" t="str">
        <f t="shared" si="6"/>
        <v/>
      </c>
      <c r="BV248" s="387"/>
      <c r="BW248" s="387" t="b">
        <f t="shared" si="7"/>
        <v>0</v>
      </c>
    </row>
    <row r="249" spans="1:75" ht="15" customHeight="1" x14ac:dyDescent="0.45">
      <c r="A249" s="161"/>
      <c r="B249" s="389"/>
      <c r="C249" s="207"/>
      <c r="D249" s="208"/>
      <c r="E249" s="161"/>
      <c r="F249" s="389"/>
      <c r="G249" s="389"/>
      <c r="H249" s="389"/>
      <c r="I249" s="389"/>
      <c r="J249" s="389"/>
      <c r="K249" s="389"/>
      <c r="L249" s="209"/>
      <c r="M249" s="209"/>
      <c r="N249" s="209"/>
      <c r="O249" s="209"/>
      <c r="P249" s="209"/>
      <c r="Q249" s="161"/>
      <c r="R249" s="390"/>
      <c r="S249" s="390"/>
      <c r="T249" s="161"/>
      <c r="U249" s="389"/>
      <c r="BA249" s="387" t="str">
        <f>IF('Short Circuit'!$A249="","",'Short Circuit'!$A249)</f>
        <v/>
      </c>
      <c r="BB249" s="387" t="str">
        <f>IF($BA249="","",'Short Circuit'!$B249)</f>
        <v/>
      </c>
      <c r="BC249" s="387" t="str">
        <f>IF($BA249="","",'Short Circuit'!$C249)</f>
        <v/>
      </c>
      <c r="BD249" s="387" t="str">
        <f>IF($BA249="","",'Short Circuit'!$D249)</f>
        <v/>
      </c>
      <c r="BE249" s="387" t="str">
        <f>IF($BA249="","",'Short Circuit'!$E249)</f>
        <v/>
      </c>
      <c r="BF249" s="387" t="str">
        <f>IF($BA249="","",IFERROR(_xlfn.XLOOKUP("F-"&amp;$BA249,'Feeder Schedule'!$B$5:$B$254,'Feeder Schedule'!$B$5:$B$254),IFERROR(_xlfn.XLOOKUP($BA249,'Feeder Schedule'!$B$5:$B$254,'Feeder Schedule'!$B$5:$B$254),"")))</f>
        <v/>
      </c>
      <c r="BG249" s="387" t="str">
        <f>IF($BF249="","",IFERROR(_xlfn.XLOOKUP($BF249,'Feeder Schedule'!$B$5:$B$254,'Feeder Schedule'!$A$5:$A$254),""))</f>
        <v/>
      </c>
      <c r="BH249" s="387" t="str">
        <f>IF($BF249="","",IFERROR(_xlfn.XLOOKUP($BF249,'Feeder Schedule'!$B$5:$B$254,'Feeder Schedule'!$O$5:$O$254),""))</f>
        <v/>
      </c>
      <c r="BI249" s="387" t="str">
        <f>IF($BF249="","",IFERROR(_xlfn.XLOOKUP($BF249,'Feeder Schedule'!$B$5:$B$254,'Feeder Schedule'!$P$5:$P$254),""))</f>
        <v/>
      </c>
      <c r="BJ249" s="387" t="str">
        <f>IF($BF249="","",IFERROR(_xlfn.XLOOKUP($BF249,'Feeder Schedule'!$B$5:$B$254,'Feeder Schedule'!$Q$5:$Q$254),""))</f>
        <v/>
      </c>
      <c r="BK249" s="387" t="str">
        <f>IF($BF249="","",IFERROR(_xlfn.XLOOKUP($BF249,'Feeder Schedule'!$B$5:$B$254,'Feeder Schedule'!$S$5:$S$254),""))</f>
        <v/>
      </c>
      <c r="BL249" s="387" t="str">
        <f>IF($BF249="","",IFERROR(_xlfn.XLOOKUP($BF249,'Feeder Schedule'!$B$5:$B$254,'Feeder Schedule'!$H$5:$H$254),""))</f>
        <v/>
      </c>
      <c r="BM249" s="534" t="str">
        <f>IF($BA249="","",'Short Circuit'!$J249)</f>
        <v/>
      </c>
      <c r="BN249" s="534" t="str">
        <f>IF($BA249="","",'Short Circuit'!$Q249)</f>
        <v/>
      </c>
      <c r="BO249" s="387" t="str">
        <f>IF($BA249="","",'Short Circuit'!$R249)</f>
        <v/>
      </c>
      <c r="BP249" s="535" t="str">
        <f>IF($BA249="","",'Short Circuit'!$S249)</f>
        <v/>
      </c>
      <c r="BQ249" s="387" t="str">
        <f>IF($BA249="","",'Short Circuit'!$T249)</f>
        <v/>
      </c>
      <c r="BR249" s="536" t="str">
        <f>IF($BA249="","",'Voltage Drop'!$G249)</f>
        <v/>
      </c>
      <c r="BS249" s="536" t="str">
        <f>IF($BA249="","",'Voltage Drop'!$H249)</f>
        <v/>
      </c>
      <c r="BT249" s="387" t="str">
        <f>IF($BA249="","",'Voltage Drop'!$K249)</f>
        <v/>
      </c>
      <c r="BU249" s="387" t="str">
        <f t="shared" si="6"/>
        <v/>
      </c>
      <c r="BV249" s="387"/>
      <c r="BW249" s="387" t="b">
        <f t="shared" si="7"/>
        <v>0</v>
      </c>
    </row>
    <row r="250" spans="1:75" ht="15" customHeight="1" x14ac:dyDescent="0.45">
      <c r="A250" s="161"/>
      <c r="B250" s="389"/>
      <c r="C250" s="207"/>
      <c r="D250" s="208"/>
      <c r="E250" s="161"/>
      <c r="F250" s="389"/>
      <c r="G250" s="389"/>
      <c r="H250" s="389"/>
      <c r="I250" s="389"/>
      <c r="J250" s="389"/>
      <c r="K250" s="389"/>
      <c r="L250" s="209"/>
      <c r="M250" s="209"/>
      <c r="N250" s="209"/>
      <c r="O250" s="209"/>
      <c r="P250" s="209"/>
      <c r="Q250" s="161"/>
      <c r="R250" s="390"/>
      <c r="S250" s="390"/>
      <c r="T250" s="161"/>
      <c r="U250" s="389"/>
      <c r="BA250" s="387" t="str">
        <f>IF('Short Circuit'!$A250="","",'Short Circuit'!$A250)</f>
        <v/>
      </c>
      <c r="BB250" s="387" t="str">
        <f>IF($BA250="","",'Short Circuit'!$B250)</f>
        <v/>
      </c>
      <c r="BC250" s="387" t="str">
        <f>IF($BA250="","",'Short Circuit'!$C250)</f>
        <v/>
      </c>
      <c r="BD250" s="387" t="str">
        <f>IF($BA250="","",'Short Circuit'!$D250)</f>
        <v/>
      </c>
      <c r="BE250" s="387" t="str">
        <f>IF($BA250="","",'Short Circuit'!$E250)</f>
        <v/>
      </c>
      <c r="BF250" s="387" t="str">
        <f>IF($BA250="","",IFERROR(_xlfn.XLOOKUP("F-"&amp;$BA250,'Feeder Schedule'!$B$5:$B$254,'Feeder Schedule'!$B$5:$B$254),IFERROR(_xlfn.XLOOKUP($BA250,'Feeder Schedule'!$B$5:$B$254,'Feeder Schedule'!$B$5:$B$254),"")))</f>
        <v/>
      </c>
      <c r="BG250" s="387" t="str">
        <f>IF($BF250="","",IFERROR(_xlfn.XLOOKUP($BF250,'Feeder Schedule'!$B$5:$B$254,'Feeder Schedule'!$A$5:$A$254),""))</f>
        <v/>
      </c>
      <c r="BH250" s="387" t="str">
        <f>IF($BF250="","",IFERROR(_xlfn.XLOOKUP($BF250,'Feeder Schedule'!$B$5:$B$254,'Feeder Schedule'!$O$5:$O$254),""))</f>
        <v/>
      </c>
      <c r="BI250" s="387" t="str">
        <f>IF($BF250="","",IFERROR(_xlfn.XLOOKUP($BF250,'Feeder Schedule'!$B$5:$B$254,'Feeder Schedule'!$P$5:$P$254),""))</f>
        <v/>
      </c>
      <c r="BJ250" s="387" t="str">
        <f>IF($BF250="","",IFERROR(_xlfn.XLOOKUP($BF250,'Feeder Schedule'!$B$5:$B$254,'Feeder Schedule'!$Q$5:$Q$254),""))</f>
        <v/>
      </c>
      <c r="BK250" s="387" t="str">
        <f>IF($BF250="","",IFERROR(_xlfn.XLOOKUP($BF250,'Feeder Schedule'!$B$5:$B$254,'Feeder Schedule'!$S$5:$S$254),""))</f>
        <v/>
      </c>
      <c r="BL250" s="387" t="str">
        <f>IF($BF250="","",IFERROR(_xlfn.XLOOKUP($BF250,'Feeder Schedule'!$B$5:$B$254,'Feeder Schedule'!$H$5:$H$254),""))</f>
        <v/>
      </c>
      <c r="BM250" s="534" t="str">
        <f>IF($BA250="","",'Short Circuit'!$J250)</f>
        <v/>
      </c>
      <c r="BN250" s="534" t="str">
        <f>IF($BA250="","",'Short Circuit'!$Q250)</f>
        <v/>
      </c>
      <c r="BO250" s="387" t="str">
        <f>IF($BA250="","",'Short Circuit'!$R250)</f>
        <v/>
      </c>
      <c r="BP250" s="535" t="str">
        <f>IF($BA250="","",'Short Circuit'!$S250)</f>
        <v/>
      </c>
      <c r="BQ250" s="387" t="str">
        <f>IF($BA250="","",'Short Circuit'!$T250)</f>
        <v/>
      </c>
      <c r="BR250" s="536" t="str">
        <f>IF($BA250="","",'Voltage Drop'!$G250)</f>
        <v/>
      </c>
      <c r="BS250" s="536" t="str">
        <f>IF($BA250="","",'Voltage Drop'!$H250)</f>
        <v/>
      </c>
      <c r="BT250" s="387" t="str">
        <f>IF($BA250="","",'Voltage Drop'!$K250)</f>
        <v/>
      </c>
      <c r="BU250" s="387" t="str">
        <f t="shared" si="6"/>
        <v/>
      </c>
      <c r="BV250" s="387"/>
      <c r="BW250" s="387" t="b">
        <f t="shared" si="7"/>
        <v>0</v>
      </c>
    </row>
    <row r="251" spans="1:75" ht="15" customHeight="1" x14ac:dyDescent="0.45">
      <c r="A251" s="161"/>
      <c r="B251" s="389"/>
      <c r="C251" s="207"/>
      <c r="D251" s="208"/>
      <c r="E251" s="161"/>
      <c r="F251" s="389"/>
      <c r="G251" s="389"/>
      <c r="H251" s="389"/>
      <c r="I251" s="389"/>
      <c r="J251" s="389"/>
      <c r="K251" s="389"/>
      <c r="L251" s="209"/>
      <c r="M251" s="209"/>
      <c r="N251" s="209"/>
      <c r="O251" s="209"/>
      <c r="P251" s="209"/>
      <c r="Q251" s="161"/>
      <c r="R251" s="390"/>
      <c r="S251" s="390"/>
      <c r="T251" s="161"/>
      <c r="U251" s="389"/>
      <c r="BA251" s="387" t="str">
        <f>IF('Short Circuit'!$A251="","",'Short Circuit'!$A251)</f>
        <v/>
      </c>
      <c r="BB251" s="387" t="str">
        <f>IF($BA251="","",'Short Circuit'!$B251)</f>
        <v/>
      </c>
      <c r="BC251" s="387" t="str">
        <f>IF($BA251="","",'Short Circuit'!$C251)</f>
        <v/>
      </c>
      <c r="BD251" s="387" t="str">
        <f>IF($BA251="","",'Short Circuit'!$D251)</f>
        <v/>
      </c>
      <c r="BE251" s="387" t="str">
        <f>IF($BA251="","",'Short Circuit'!$E251)</f>
        <v/>
      </c>
      <c r="BF251" s="387" t="str">
        <f>IF($BA251="","",IFERROR(_xlfn.XLOOKUP("F-"&amp;$BA251,'Feeder Schedule'!$B$5:$B$254,'Feeder Schedule'!$B$5:$B$254),IFERROR(_xlfn.XLOOKUP($BA251,'Feeder Schedule'!$B$5:$B$254,'Feeder Schedule'!$B$5:$B$254),"")))</f>
        <v/>
      </c>
      <c r="BG251" s="387" t="str">
        <f>IF($BF251="","",IFERROR(_xlfn.XLOOKUP($BF251,'Feeder Schedule'!$B$5:$B$254,'Feeder Schedule'!$A$5:$A$254),""))</f>
        <v/>
      </c>
      <c r="BH251" s="387" t="str">
        <f>IF($BF251="","",IFERROR(_xlfn.XLOOKUP($BF251,'Feeder Schedule'!$B$5:$B$254,'Feeder Schedule'!$O$5:$O$254),""))</f>
        <v/>
      </c>
      <c r="BI251" s="387" t="str">
        <f>IF($BF251="","",IFERROR(_xlfn.XLOOKUP($BF251,'Feeder Schedule'!$B$5:$B$254,'Feeder Schedule'!$P$5:$P$254),""))</f>
        <v/>
      </c>
      <c r="BJ251" s="387" t="str">
        <f>IF($BF251="","",IFERROR(_xlfn.XLOOKUP($BF251,'Feeder Schedule'!$B$5:$B$254,'Feeder Schedule'!$Q$5:$Q$254),""))</f>
        <v/>
      </c>
      <c r="BK251" s="387" t="str">
        <f>IF($BF251="","",IFERROR(_xlfn.XLOOKUP($BF251,'Feeder Schedule'!$B$5:$B$254,'Feeder Schedule'!$S$5:$S$254),""))</f>
        <v/>
      </c>
      <c r="BL251" s="387" t="str">
        <f>IF($BF251="","",IFERROR(_xlfn.XLOOKUP($BF251,'Feeder Schedule'!$B$5:$B$254,'Feeder Schedule'!$H$5:$H$254),""))</f>
        <v/>
      </c>
      <c r="BM251" s="534" t="str">
        <f>IF($BA251="","",'Short Circuit'!$J251)</f>
        <v/>
      </c>
      <c r="BN251" s="534" t="str">
        <f>IF($BA251="","",'Short Circuit'!$Q251)</f>
        <v/>
      </c>
      <c r="BO251" s="387" t="str">
        <f>IF($BA251="","",'Short Circuit'!$R251)</f>
        <v/>
      </c>
      <c r="BP251" s="535" t="str">
        <f>IF($BA251="","",'Short Circuit'!$S251)</f>
        <v/>
      </c>
      <c r="BQ251" s="387" t="str">
        <f>IF($BA251="","",'Short Circuit'!$T251)</f>
        <v/>
      </c>
      <c r="BR251" s="536" t="str">
        <f>IF($BA251="","",'Voltage Drop'!$G251)</f>
        <v/>
      </c>
      <c r="BS251" s="536" t="str">
        <f>IF($BA251="","",'Voltage Drop'!$H251)</f>
        <v/>
      </c>
      <c r="BT251" s="387" t="str">
        <f>IF($BA251="","",'Voltage Drop'!$K251)</f>
        <v/>
      </c>
      <c r="BU251" s="387" t="str">
        <f t="shared" si="6"/>
        <v/>
      </c>
      <c r="BV251" s="387"/>
      <c r="BW251" s="387" t="b">
        <f t="shared" si="7"/>
        <v>0</v>
      </c>
    </row>
    <row r="252" spans="1:75" ht="15" customHeight="1" x14ac:dyDescent="0.45">
      <c r="A252" s="161"/>
      <c r="B252" s="389"/>
      <c r="C252" s="207"/>
      <c r="D252" s="208"/>
      <c r="E252" s="161"/>
      <c r="F252" s="389"/>
      <c r="G252" s="389"/>
      <c r="H252" s="389"/>
      <c r="I252" s="389"/>
      <c r="J252" s="389"/>
      <c r="K252" s="389"/>
      <c r="L252" s="209"/>
      <c r="M252" s="209"/>
      <c r="N252" s="209"/>
      <c r="O252" s="209"/>
      <c r="P252" s="209"/>
      <c r="Q252" s="161"/>
      <c r="R252" s="390"/>
      <c r="S252" s="390"/>
      <c r="T252" s="161"/>
      <c r="U252" s="389"/>
      <c r="BA252" s="387" t="str">
        <f>IF('Short Circuit'!$A252="","",'Short Circuit'!$A252)</f>
        <v/>
      </c>
      <c r="BB252" s="387" t="str">
        <f>IF($BA252="","",'Short Circuit'!$B252)</f>
        <v/>
      </c>
      <c r="BC252" s="387" t="str">
        <f>IF($BA252="","",'Short Circuit'!$C252)</f>
        <v/>
      </c>
      <c r="BD252" s="387" t="str">
        <f>IF($BA252="","",'Short Circuit'!$D252)</f>
        <v/>
      </c>
      <c r="BE252" s="387" t="str">
        <f>IF($BA252="","",'Short Circuit'!$E252)</f>
        <v/>
      </c>
      <c r="BF252" s="387" t="str">
        <f>IF($BA252="","",IFERROR(_xlfn.XLOOKUP("F-"&amp;$BA252,'Feeder Schedule'!$B$5:$B$254,'Feeder Schedule'!$B$5:$B$254),IFERROR(_xlfn.XLOOKUP($BA252,'Feeder Schedule'!$B$5:$B$254,'Feeder Schedule'!$B$5:$B$254),"")))</f>
        <v/>
      </c>
      <c r="BG252" s="387" t="str">
        <f>IF($BF252="","",IFERROR(_xlfn.XLOOKUP($BF252,'Feeder Schedule'!$B$5:$B$254,'Feeder Schedule'!$A$5:$A$254),""))</f>
        <v/>
      </c>
      <c r="BH252" s="387" t="str">
        <f>IF($BF252="","",IFERROR(_xlfn.XLOOKUP($BF252,'Feeder Schedule'!$B$5:$B$254,'Feeder Schedule'!$O$5:$O$254),""))</f>
        <v/>
      </c>
      <c r="BI252" s="387" t="str">
        <f>IF($BF252="","",IFERROR(_xlfn.XLOOKUP($BF252,'Feeder Schedule'!$B$5:$B$254,'Feeder Schedule'!$P$5:$P$254),""))</f>
        <v/>
      </c>
      <c r="BJ252" s="387" t="str">
        <f>IF($BF252="","",IFERROR(_xlfn.XLOOKUP($BF252,'Feeder Schedule'!$B$5:$B$254,'Feeder Schedule'!$Q$5:$Q$254),""))</f>
        <v/>
      </c>
      <c r="BK252" s="387" t="str">
        <f>IF($BF252="","",IFERROR(_xlfn.XLOOKUP($BF252,'Feeder Schedule'!$B$5:$B$254,'Feeder Schedule'!$S$5:$S$254),""))</f>
        <v/>
      </c>
      <c r="BL252" s="387" t="str">
        <f>IF($BF252="","",IFERROR(_xlfn.XLOOKUP($BF252,'Feeder Schedule'!$B$5:$B$254,'Feeder Schedule'!$H$5:$H$254),""))</f>
        <v/>
      </c>
      <c r="BM252" s="534" t="str">
        <f>IF($BA252="","",'Short Circuit'!$J252)</f>
        <v/>
      </c>
      <c r="BN252" s="534" t="str">
        <f>IF($BA252="","",'Short Circuit'!$Q252)</f>
        <v/>
      </c>
      <c r="BO252" s="387" t="str">
        <f>IF($BA252="","",'Short Circuit'!$R252)</f>
        <v/>
      </c>
      <c r="BP252" s="535" t="str">
        <f>IF($BA252="","",'Short Circuit'!$S252)</f>
        <v/>
      </c>
      <c r="BQ252" s="387" t="str">
        <f>IF($BA252="","",'Short Circuit'!$T252)</f>
        <v/>
      </c>
      <c r="BR252" s="536" t="str">
        <f>IF($BA252="","",'Voltage Drop'!$G252)</f>
        <v/>
      </c>
      <c r="BS252" s="536" t="str">
        <f>IF($BA252="","",'Voltage Drop'!$H252)</f>
        <v/>
      </c>
      <c r="BT252" s="387" t="str">
        <f>IF($BA252="","",'Voltage Drop'!$K252)</f>
        <v/>
      </c>
      <c r="BU252" s="387" t="str">
        <f t="shared" si="6"/>
        <v/>
      </c>
      <c r="BV252" s="387"/>
      <c r="BW252" s="387" t="b">
        <f t="shared" si="7"/>
        <v>0</v>
      </c>
    </row>
    <row r="253" spans="1:75" ht="15" customHeight="1" x14ac:dyDescent="0.45">
      <c r="A253" s="161"/>
      <c r="B253" s="389"/>
      <c r="C253" s="207"/>
      <c r="D253" s="208"/>
      <c r="E253" s="161"/>
      <c r="F253" s="389"/>
      <c r="G253" s="389"/>
      <c r="H253" s="389"/>
      <c r="I253" s="389"/>
      <c r="J253" s="389"/>
      <c r="K253" s="389"/>
      <c r="L253" s="209"/>
      <c r="M253" s="209"/>
      <c r="N253" s="209"/>
      <c r="O253" s="209"/>
      <c r="P253" s="209"/>
      <c r="Q253" s="161"/>
      <c r="R253" s="390"/>
      <c r="S253" s="390"/>
      <c r="T253" s="161"/>
      <c r="U253" s="389"/>
      <c r="BA253" s="387" t="str">
        <f>IF('Short Circuit'!$A253="","",'Short Circuit'!$A253)</f>
        <v/>
      </c>
      <c r="BB253" s="387" t="str">
        <f>IF($BA253="","",'Short Circuit'!$B253)</f>
        <v/>
      </c>
      <c r="BC253" s="387" t="str">
        <f>IF($BA253="","",'Short Circuit'!$C253)</f>
        <v/>
      </c>
      <c r="BD253" s="387" t="str">
        <f>IF($BA253="","",'Short Circuit'!$D253)</f>
        <v/>
      </c>
      <c r="BE253" s="387" t="str">
        <f>IF($BA253="","",'Short Circuit'!$E253)</f>
        <v/>
      </c>
      <c r="BF253" s="387" t="str">
        <f>IF($BA253="","",IFERROR(_xlfn.XLOOKUP("F-"&amp;$BA253,'Feeder Schedule'!$B$5:$B$254,'Feeder Schedule'!$B$5:$B$254),IFERROR(_xlfn.XLOOKUP($BA253,'Feeder Schedule'!$B$5:$B$254,'Feeder Schedule'!$B$5:$B$254),"")))</f>
        <v/>
      </c>
      <c r="BG253" s="387" t="str">
        <f>IF($BF253="","",IFERROR(_xlfn.XLOOKUP($BF253,'Feeder Schedule'!$B$5:$B$254,'Feeder Schedule'!$A$5:$A$254),""))</f>
        <v/>
      </c>
      <c r="BH253" s="387" t="str">
        <f>IF($BF253="","",IFERROR(_xlfn.XLOOKUP($BF253,'Feeder Schedule'!$B$5:$B$254,'Feeder Schedule'!$O$5:$O$254),""))</f>
        <v/>
      </c>
      <c r="BI253" s="387" t="str">
        <f>IF($BF253="","",IFERROR(_xlfn.XLOOKUP($BF253,'Feeder Schedule'!$B$5:$B$254,'Feeder Schedule'!$P$5:$P$254),""))</f>
        <v/>
      </c>
      <c r="BJ253" s="387" t="str">
        <f>IF($BF253="","",IFERROR(_xlfn.XLOOKUP($BF253,'Feeder Schedule'!$B$5:$B$254,'Feeder Schedule'!$Q$5:$Q$254),""))</f>
        <v/>
      </c>
      <c r="BK253" s="387" t="str">
        <f>IF($BF253="","",IFERROR(_xlfn.XLOOKUP($BF253,'Feeder Schedule'!$B$5:$B$254,'Feeder Schedule'!$S$5:$S$254),""))</f>
        <v/>
      </c>
      <c r="BL253" s="387" t="str">
        <f>IF($BF253="","",IFERROR(_xlfn.XLOOKUP($BF253,'Feeder Schedule'!$B$5:$B$254,'Feeder Schedule'!$H$5:$H$254),""))</f>
        <v/>
      </c>
      <c r="BM253" s="534" t="str">
        <f>IF($BA253="","",'Short Circuit'!$J253)</f>
        <v/>
      </c>
      <c r="BN253" s="534" t="str">
        <f>IF($BA253="","",'Short Circuit'!$Q253)</f>
        <v/>
      </c>
      <c r="BO253" s="387" t="str">
        <f>IF($BA253="","",'Short Circuit'!$R253)</f>
        <v/>
      </c>
      <c r="BP253" s="535" t="str">
        <f>IF($BA253="","",'Short Circuit'!$S253)</f>
        <v/>
      </c>
      <c r="BQ253" s="387" t="str">
        <f>IF($BA253="","",'Short Circuit'!$T253)</f>
        <v/>
      </c>
      <c r="BR253" s="536" t="str">
        <f>IF($BA253="","",'Voltage Drop'!$G253)</f>
        <v/>
      </c>
      <c r="BS253" s="536" t="str">
        <f>IF($BA253="","",'Voltage Drop'!$H253)</f>
        <v/>
      </c>
      <c r="BT253" s="387" t="str">
        <f>IF($BA253="","",'Voltage Drop'!$K253)</f>
        <v/>
      </c>
      <c r="BU253" s="387" t="str">
        <f t="shared" si="6"/>
        <v/>
      </c>
      <c r="BV253" s="387"/>
      <c r="BW253" s="387" t="b">
        <f t="shared" si="7"/>
        <v>0</v>
      </c>
    </row>
    <row r="254" spans="1:75" ht="15" customHeight="1" x14ac:dyDescent="0.45">
      <c r="A254" s="161"/>
      <c r="B254" s="389"/>
      <c r="C254" s="207"/>
      <c r="D254" s="208"/>
      <c r="E254" s="161"/>
      <c r="F254" s="389"/>
      <c r="G254" s="389"/>
      <c r="H254" s="389"/>
      <c r="I254" s="389"/>
      <c r="J254" s="389"/>
      <c r="K254" s="389"/>
      <c r="L254" s="209"/>
      <c r="M254" s="209"/>
      <c r="N254" s="209"/>
      <c r="O254" s="209"/>
      <c r="P254" s="209"/>
      <c r="Q254" s="161"/>
      <c r="R254" s="390"/>
      <c r="S254" s="390"/>
      <c r="T254" s="161"/>
      <c r="U254" s="389"/>
      <c r="BA254" s="387" t="str">
        <f>IF('Short Circuit'!$A254="","",'Short Circuit'!$A254)</f>
        <v/>
      </c>
      <c r="BB254" s="387" t="str">
        <f>IF($BA254="","",'Short Circuit'!$B254)</f>
        <v/>
      </c>
      <c r="BC254" s="387" t="str">
        <f>IF($BA254="","",'Short Circuit'!$C254)</f>
        <v/>
      </c>
      <c r="BD254" s="387" t="str">
        <f>IF($BA254="","",'Short Circuit'!$D254)</f>
        <v/>
      </c>
      <c r="BE254" s="387" t="str">
        <f>IF($BA254="","",'Short Circuit'!$E254)</f>
        <v/>
      </c>
      <c r="BF254" s="387" t="str">
        <f>IF($BA254="","",IFERROR(_xlfn.XLOOKUP("F-"&amp;$BA254,'Feeder Schedule'!$B$5:$B$254,'Feeder Schedule'!$B$5:$B$254),IFERROR(_xlfn.XLOOKUP($BA254,'Feeder Schedule'!$B$5:$B$254,'Feeder Schedule'!$B$5:$B$254),"")))</f>
        <v/>
      </c>
      <c r="BG254" s="387" t="str">
        <f>IF($BF254="","",IFERROR(_xlfn.XLOOKUP($BF254,'Feeder Schedule'!$B$5:$B$254,'Feeder Schedule'!$A$5:$A$254),""))</f>
        <v/>
      </c>
      <c r="BH254" s="387" t="str">
        <f>IF($BF254="","",IFERROR(_xlfn.XLOOKUP($BF254,'Feeder Schedule'!$B$5:$B$254,'Feeder Schedule'!$O$5:$O$254),""))</f>
        <v/>
      </c>
      <c r="BI254" s="387" t="str">
        <f>IF($BF254="","",IFERROR(_xlfn.XLOOKUP($BF254,'Feeder Schedule'!$B$5:$B$254,'Feeder Schedule'!$P$5:$P$254),""))</f>
        <v/>
      </c>
      <c r="BJ254" s="387" t="str">
        <f>IF($BF254="","",IFERROR(_xlfn.XLOOKUP($BF254,'Feeder Schedule'!$B$5:$B$254,'Feeder Schedule'!$Q$5:$Q$254),""))</f>
        <v/>
      </c>
      <c r="BK254" s="387" t="str">
        <f>IF($BF254="","",IFERROR(_xlfn.XLOOKUP($BF254,'Feeder Schedule'!$B$5:$B$254,'Feeder Schedule'!$S$5:$S$254),""))</f>
        <v/>
      </c>
      <c r="BL254" s="387" t="str">
        <f>IF($BF254="","",IFERROR(_xlfn.XLOOKUP($BF254,'Feeder Schedule'!$B$5:$B$254,'Feeder Schedule'!$H$5:$H$254),""))</f>
        <v/>
      </c>
      <c r="BM254" s="534" t="str">
        <f>IF($BA254="","",'Short Circuit'!$J254)</f>
        <v/>
      </c>
      <c r="BN254" s="534" t="str">
        <f>IF($BA254="","",'Short Circuit'!$Q254)</f>
        <v/>
      </c>
      <c r="BO254" s="387" t="str">
        <f>IF($BA254="","",'Short Circuit'!$R254)</f>
        <v/>
      </c>
      <c r="BP254" s="535" t="str">
        <f>IF($BA254="","",'Short Circuit'!$S254)</f>
        <v/>
      </c>
      <c r="BQ254" s="387" t="str">
        <f>IF($BA254="","",'Short Circuit'!$T254)</f>
        <v/>
      </c>
      <c r="BR254" s="536" t="str">
        <f>IF($BA254="","",'Voltage Drop'!$G254)</f>
        <v/>
      </c>
      <c r="BS254" s="536" t="str">
        <f>IF($BA254="","",'Voltage Drop'!$H254)</f>
        <v/>
      </c>
      <c r="BT254" s="387" t="str">
        <f>IF($BA254="","",'Voltage Drop'!$K254)</f>
        <v/>
      </c>
      <c r="BU254" s="387" t="str">
        <f t="shared" si="6"/>
        <v/>
      </c>
      <c r="BV254" s="387"/>
      <c r="BW254" s="387" t="b">
        <f t="shared" si="7"/>
        <v>0</v>
      </c>
    </row>
    <row r="255" spans="1:75" ht="15" customHeight="1" x14ac:dyDescent="0.45">
      <c r="A255" s="161"/>
      <c r="B255" s="389"/>
      <c r="C255" s="207"/>
      <c r="D255" s="208"/>
      <c r="E255" s="161"/>
      <c r="F255" s="389"/>
      <c r="G255" s="389"/>
      <c r="H255" s="389"/>
      <c r="I255" s="389"/>
      <c r="J255" s="389"/>
      <c r="K255" s="389"/>
      <c r="L255" s="209"/>
      <c r="M255" s="209"/>
      <c r="N255" s="209"/>
      <c r="O255" s="209"/>
      <c r="P255" s="209"/>
      <c r="Q255" s="161"/>
      <c r="R255" s="390"/>
      <c r="S255" s="390"/>
      <c r="T255" s="161"/>
      <c r="U255" s="389"/>
      <c r="BA255" s="387" t="str">
        <f>IF('Short Circuit'!$A255="","",'Short Circuit'!$A255)</f>
        <v/>
      </c>
      <c r="BB255" s="387" t="str">
        <f>IF($BA255="","",'Short Circuit'!$B255)</f>
        <v/>
      </c>
      <c r="BC255" s="387" t="str">
        <f>IF($BA255="","",'Short Circuit'!$C255)</f>
        <v/>
      </c>
      <c r="BD255" s="387" t="str">
        <f>IF($BA255="","",'Short Circuit'!$D255)</f>
        <v/>
      </c>
      <c r="BE255" s="387" t="str">
        <f>IF($BA255="","",'Short Circuit'!$E255)</f>
        <v/>
      </c>
      <c r="BF255" s="387" t="str">
        <f>IF($BA255="","",IFERROR(_xlfn.XLOOKUP("F-"&amp;$BA255,'Feeder Schedule'!$B$5:$B$254,'Feeder Schedule'!$B$5:$B$254),IFERROR(_xlfn.XLOOKUP($BA255,'Feeder Schedule'!$B$5:$B$254,'Feeder Schedule'!$B$5:$B$254),"")))</f>
        <v/>
      </c>
      <c r="BG255" s="387" t="str">
        <f>IF($BF255="","",IFERROR(_xlfn.XLOOKUP($BF255,'Feeder Schedule'!$B$5:$B$254,'Feeder Schedule'!$A$5:$A$254),""))</f>
        <v/>
      </c>
      <c r="BH255" s="387" t="str">
        <f>IF($BF255="","",IFERROR(_xlfn.XLOOKUP($BF255,'Feeder Schedule'!$B$5:$B$254,'Feeder Schedule'!$O$5:$O$254),""))</f>
        <v/>
      </c>
      <c r="BI255" s="387" t="str">
        <f>IF($BF255="","",IFERROR(_xlfn.XLOOKUP($BF255,'Feeder Schedule'!$B$5:$B$254,'Feeder Schedule'!$P$5:$P$254),""))</f>
        <v/>
      </c>
      <c r="BJ255" s="387" t="str">
        <f>IF($BF255="","",IFERROR(_xlfn.XLOOKUP($BF255,'Feeder Schedule'!$B$5:$B$254,'Feeder Schedule'!$Q$5:$Q$254),""))</f>
        <v/>
      </c>
      <c r="BK255" s="387" t="str">
        <f>IF($BF255="","",IFERROR(_xlfn.XLOOKUP($BF255,'Feeder Schedule'!$B$5:$B$254,'Feeder Schedule'!$S$5:$S$254),""))</f>
        <v/>
      </c>
      <c r="BL255" s="387" t="str">
        <f>IF($BF255="","",IFERROR(_xlfn.XLOOKUP($BF255,'Feeder Schedule'!$B$5:$B$254,'Feeder Schedule'!$H$5:$H$254),""))</f>
        <v/>
      </c>
      <c r="BM255" s="534" t="str">
        <f>IF($BA255="","",'Short Circuit'!$J255)</f>
        <v/>
      </c>
      <c r="BN255" s="534" t="str">
        <f>IF($BA255="","",'Short Circuit'!$Q255)</f>
        <v/>
      </c>
      <c r="BO255" s="387" t="str">
        <f>IF($BA255="","",'Short Circuit'!$R255)</f>
        <v/>
      </c>
      <c r="BP255" s="535" t="str">
        <f>IF($BA255="","",'Short Circuit'!$S255)</f>
        <v/>
      </c>
      <c r="BQ255" s="387" t="str">
        <f>IF($BA255="","",'Short Circuit'!$T255)</f>
        <v/>
      </c>
      <c r="BR255" s="536" t="str">
        <f>IF($BA255="","",'Voltage Drop'!$G255)</f>
        <v/>
      </c>
      <c r="BS255" s="536" t="str">
        <f>IF($BA255="","",'Voltage Drop'!$H255)</f>
        <v/>
      </c>
      <c r="BT255" s="387" t="str">
        <f>IF($BA255="","",'Voltage Drop'!$K255)</f>
        <v/>
      </c>
      <c r="BU255" s="387" t="str">
        <f t="shared" si="6"/>
        <v/>
      </c>
      <c r="BV255" s="387"/>
      <c r="BW255" s="387" t="b">
        <f t="shared" si="7"/>
        <v>0</v>
      </c>
    </row>
  </sheetData>
  <sheetProtection sheet="1" objects="1" scenarios="1"/>
  <mergeCells count="7">
    <mergeCell ref="A1:U1"/>
    <mergeCell ref="A2:U2"/>
    <mergeCell ref="I3:U3"/>
    <mergeCell ref="A4:E4"/>
    <mergeCell ref="F4:L4"/>
    <mergeCell ref="M4:Q4"/>
    <mergeCell ref="R4:T4"/>
  </mergeCells>
  <conditionalFormatting sqref="A6:U255">
    <cfRule type="expression" dxfId="36" priority="1">
      <formula>$A6&lt;&gt;""</formula>
    </cfRule>
  </conditionalFormatting>
  <conditionalFormatting sqref="Q6:Q255">
    <cfRule type="expression" dxfId="35" priority="2">
      <formula>ISNUMBER(SEARCH("⚠",$Q6))</formula>
    </cfRule>
  </conditionalFormatting>
  <conditionalFormatting sqref="T6:T255">
    <cfRule type="expression" dxfId="34" priority="3">
      <formula>ISNUMBER(SEARCH("⚠",$T6))</formula>
    </cfRule>
  </conditionalFormatting>
  <conditionalFormatting sqref="U6:U255">
    <cfRule type="expression" dxfId="33" priority="4">
      <formula>$U6="REVIEW"</formula>
    </cfRule>
  </conditionalFormatting>
  <conditionalFormatting sqref="U6:U255">
    <cfRule type="expression" dxfId="32" priority="5">
      <formula>$U6="FAIL"</formula>
    </cfRule>
  </conditionalFormatting>
  <dataValidations count="3">
    <dataValidation type="list" allowBlank="1" showInputMessage="1" showErrorMessage="1" errorTitle="Invalid filter" error="Pick a tier from the list, or All." sqref="B3" xr:uid="{EBEC4F27-072D-45F8-8EAE-E61B71C303AD}">
      <formula1>_xlfn.ANCHORARRAY($BZ$6)</formula1>
    </dataValidation>
    <dataValidation type="list" allowBlank="1" showInputMessage="1" showErrorMessage="1" errorTitle="Invalid filter" error="Pick an equipment type from the list, or All." sqref="D3" xr:uid="{B33ECE62-FCEA-4034-9E38-6B4E15B926C2}">
      <formula1>_xlfn.ANCHORARRAY($BY$6)</formula1>
    </dataValidation>
    <dataValidation type="list" allowBlank="1" showInputMessage="1" showErrorMessage="1" errorTitle="Invalid filter" error="Pick one of the three display options." sqref="F3" xr:uid="{A7EE24DA-D5FE-47E9-88A8-ACAB7344FAF4}">
      <formula1>"All,Warnings &amp; failures only,Failures only"</formula1>
    </dataValidation>
  </dataValidations>
  <pageMargins left="0.7" right="0.7" top="0.75" bottom="0.75" header="0.3" footer="0.3"/>
  <pageSetup scale="2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669A6-300A-413C-B472-35F195809634}">
  <sheetPr codeName="Sheet19">
    <tabColor rgb="FF4DAB51"/>
    <pageSetUpPr fitToPage="1"/>
  </sheetPr>
  <dimension ref="A1:E61"/>
  <sheetViews>
    <sheetView showGridLines="0" showRowColHeaders="0" workbookViewId="0">
      <selection sqref="A1:E1"/>
    </sheetView>
  </sheetViews>
  <sheetFormatPr defaultRowHeight="14.5" x14ac:dyDescent="0.35"/>
  <cols>
    <col min="1" max="1" width="28.26953125" bestFit="1" customWidth="1"/>
    <col min="2" max="2" width="20.54296875" bestFit="1" customWidth="1"/>
    <col min="3" max="3" width="12.453125" customWidth="1"/>
    <col min="4" max="4" width="46.7265625" customWidth="1"/>
    <col min="5" max="6" width="9.1796875" customWidth="1"/>
  </cols>
  <sheetData>
    <row r="1" spans="1:5" ht="30" customHeight="1" x14ac:dyDescent="0.35">
      <c r="A1" s="738" t="s">
        <v>593</v>
      </c>
      <c r="B1" s="738"/>
      <c r="C1" s="738"/>
      <c r="D1" s="738"/>
      <c r="E1" s="738"/>
    </row>
    <row r="2" spans="1:5" ht="16" x14ac:dyDescent="0.35">
      <c r="A2" s="739" t="str" cm="1">
        <f t="array" ref="A2">"NEC Article "&amp;NECREF("220")&amp;" service load summary — auto-linked from the workbook. Do not edit; update the source tabs."</f>
        <v>NEC Article 220 service load summary — auto-linked from the workbook. Do not edit; update the source tabs.</v>
      </c>
      <c r="B2" s="739"/>
      <c r="C2" s="739"/>
      <c r="D2" s="739"/>
      <c r="E2" s="739"/>
    </row>
    <row r="4" spans="1:5" ht="30" customHeight="1" x14ac:dyDescent="0.35">
      <c r="A4" s="740" t="s">
        <v>51</v>
      </c>
      <c r="B4" s="740"/>
      <c r="C4" s="740"/>
      <c r="D4" s="740"/>
      <c r="E4" s="740"/>
    </row>
    <row r="5" spans="1:5" ht="15" customHeight="1" x14ac:dyDescent="0.35">
      <c r="A5" s="58"/>
      <c r="B5" s="58"/>
      <c r="C5" s="58"/>
      <c r="D5" s="58"/>
      <c r="E5" s="58"/>
    </row>
    <row r="6" spans="1:5" ht="15" customHeight="1" x14ac:dyDescent="0.45">
      <c r="A6" s="260" t="s">
        <v>52</v>
      </c>
      <c r="B6" s="637" t="str">
        <f>IF(Dashboard!B7="","—",Dashboard!B7)</f>
        <v>—</v>
      </c>
      <c r="C6" s="637"/>
      <c r="D6" s="9"/>
      <c r="E6" s="9"/>
    </row>
    <row r="7" spans="1:5" ht="15" customHeight="1" x14ac:dyDescent="0.45">
      <c r="A7" s="260" t="s">
        <v>594</v>
      </c>
      <c r="B7" s="742" t="str">
        <f>IF(Dashboard!B8="","—",Dashboard!B8)</f>
        <v>—</v>
      </c>
      <c r="C7" s="742"/>
      <c r="D7" s="9"/>
      <c r="E7" s="9"/>
    </row>
    <row r="8" spans="1:5" ht="15" customHeight="1" x14ac:dyDescent="0.45">
      <c r="A8" s="260" t="s">
        <v>54</v>
      </c>
      <c r="B8" s="637" t="str">
        <f>IF(Dashboard!B9="","—",Dashboard!B9)</f>
        <v>—</v>
      </c>
      <c r="C8" s="637"/>
      <c r="D8" s="9"/>
      <c r="E8" s="9"/>
    </row>
    <row r="9" spans="1:5" ht="15" customHeight="1" x14ac:dyDescent="0.45">
      <c r="A9" s="260" t="s">
        <v>55</v>
      </c>
      <c r="B9" s="637" t="str">
        <f>IF(Dashboard!B10="","—",Dashboard!B10)</f>
        <v>—</v>
      </c>
      <c r="C9" s="637"/>
      <c r="D9" s="9"/>
      <c r="E9" s="9"/>
    </row>
    <row r="10" spans="1:5" ht="15" customHeight="1" x14ac:dyDescent="0.45">
      <c r="A10" s="260" t="s">
        <v>595</v>
      </c>
      <c r="B10" s="637" t="str">
        <f>IF(Dashboard!B11="","—",Dashboard!B11)</f>
        <v>—</v>
      </c>
      <c r="C10" s="637"/>
      <c r="D10" s="9"/>
      <c r="E10" s="9"/>
    </row>
    <row r="11" spans="1:5" ht="15" customHeight="1" x14ac:dyDescent="0.45">
      <c r="A11" s="260" t="s">
        <v>57</v>
      </c>
      <c r="B11" s="741" t="str">
        <f>IF(Dashboard!B12="","—",Dashboard!B12)</f>
        <v>—</v>
      </c>
      <c r="C11" s="741"/>
      <c r="D11" s="9"/>
      <c r="E11" s="9"/>
    </row>
    <row r="12" spans="1:5" ht="15" customHeight="1" x14ac:dyDescent="0.45">
      <c r="A12" s="260" t="s">
        <v>58</v>
      </c>
      <c r="B12" s="637" t="str">
        <f>IF(Dashboard!B13="","—",Dashboard!B13)</f>
        <v>—</v>
      </c>
      <c r="C12" s="637"/>
      <c r="D12" s="9"/>
      <c r="E12" s="9"/>
    </row>
    <row r="13" spans="1:5" ht="15" customHeight="1" x14ac:dyDescent="0.45">
      <c r="A13" s="260" t="s">
        <v>164</v>
      </c>
      <c r="B13" s="637" t="str">
        <f>IF(N(Cfg_Volt)=0,"",TEXT(Cfg_Volt,"#,##0")&amp;" V, "&amp;Cfg_Phase&amp;"Ø")</f>
        <v/>
      </c>
      <c r="C13" s="637"/>
      <c r="D13" s="9"/>
      <c r="E13" s="9"/>
    </row>
    <row r="14" spans="1:5" ht="15" customHeight="1" x14ac:dyDescent="0.45">
      <c r="A14" s="9"/>
      <c r="B14" s="9"/>
      <c r="C14" s="9"/>
      <c r="D14" s="9"/>
      <c r="E14" s="9"/>
    </row>
    <row r="15" spans="1:5" ht="30" customHeight="1" x14ac:dyDescent="0.35">
      <c r="A15" s="740" t="s">
        <v>607</v>
      </c>
      <c r="B15" s="740"/>
      <c r="C15" s="740"/>
      <c r="D15" s="740"/>
      <c r="E15" s="740"/>
    </row>
    <row r="16" spans="1:5" ht="15" customHeight="1" x14ac:dyDescent="0.35">
      <c r="A16" s="58"/>
      <c r="B16" s="58"/>
      <c r="C16" s="58"/>
      <c r="D16" s="58"/>
      <c r="E16" s="58"/>
    </row>
    <row r="17" spans="1:5" ht="15" customHeight="1" x14ac:dyDescent="0.45">
      <c r="A17" s="333" t="s">
        <v>608</v>
      </c>
      <c r="B17" s="34" t="s">
        <v>46</v>
      </c>
      <c r="C17" s="34" t="s">
        <v>609</v>
      </c>
      <c r="D17" s="57" t="s">
        <v>610</v>
      </c>
      <c r="E17" s="9"/>
    </row>
    <row r="18" spans="1:5" ht="15" customHeight="1" x14ac:dyDescent="0.45">
      <c r="A18" s="260" t="s">
        <v>611</v>
      </c>
      <c r="B18" s="350">
        <f>LC_ConnectedTotal</f>
        <v>0</v>
      </c>
      <c r="C18" s="352" t="s">
        <v>336</v>
      </c>
      <c r="D18" s="270" t="str" cm="1">
        <f t="array" ref="D18">"NEC "&amp;NECREF("220.12")&amp;" – "&amp;NECREF("220.14")</f>
        <v>NEC 220.12 – 220.14</v>
      </c>
      <c r="E18" s="9"/>
    </row>
    <row r="19" spans="1:5" ht="15" customHeight="1" x14ac:dyDescent="0.45">
      <c r="A19" s="260" t="s">
        <v>612</v>
      </c>
      <c r="B19" s="350">
        <f>LC_DemandTotal</f>
        <v>0</v>
      </c>
      <c r="C19" s="352" t="s">
        <v>336</v>
      </c>
      <c r="D19" s="270" t="str" cm="1">
        <f t="array" ref="D19">"NEC "&amp;NECREF("220")&amp;" Part III"</f>
        <v>NEC 220 Part III</v>
      </c>
      <c r="E19" s="9"/>
    </row>
    <row r="20" spans="1:5" ht="15" customHeight="1" x14ac:dyDescent="0.45">
      <c r="A20" s="260" t="s">
        <v>613</v>
      </c>
      <c r="B20" s="350">
        <f>LC_MotorAdder</f>
        <v>0</v>
      </c>
      <c r="C20" s="352" t="s">
        <v>336</v>
      </c>
      <c r="D20" s="270" t="str" cm="1">
        <f t="array" ref="D20">"NEC "&amp;NECREF("430.24")</f>
        <v>NEC 430.24</v>
      </c>
      <c r="E20" s="9"/>
    </row>
    <row r="21" spans="1:5" ht="15" customHeight="1" x14ac:dyDescent="0.45">
      <c r="A21" s="260" t="s">
        <v>614</v>
      </c>
      <c r="B21" s="350">
        <f>LC_ContinuousAdder</f>
        <v>0</v>
      </c>
      <c r="C21" s="352" t="s">
        <v>336</v>
      </c>
      <c r="D21" s="270" t="str" cm="1">
        <f t="array" ref="D21">"NEC "&amp;NECREF("210.20")&amp;"(A) / "&amp;NECREF("215.3")</f>
        <v>NEC 210.20(A) / 215.3</v>
      </c>
      <c r="E21" s="9"/>
    </row>
    <row r="22" spans="1:5" ht="15" customHeight="1" x14ac:dyDescent="0.45">
      <c r="A22" s="353" t="s">
        <v>615</v>
      </c>
      <c r="B22" s="354">
        <f>LC_AdjustedDemand</f>
        <v>0</v>
      </c>
      <c r="C22" s="355" t="s">
        <v>336</v>
      </c>
      <c r="D22" s="356" t="s">
        <v>623</v>
      </c>
      <c r="E22" s="9"/>
    </row>
    <row r="23" spans="1:5" ht="15" customHeight="1" x14ac:dyDescent="0.45">
      <c r="A23" s="260" t="s">
        <v>616</v>
      </c>
      <c r="B23" s="239">
        <f>LC_DesignSpare</f>
        <v>0.2</v>
      </c>
      <c r="C23" s="352" t="s">
        <v>621</v>
      </c>
      <c r="D23" s="270" t="s">
        <v>624</v>
      </c>
      <c r="E23" s="9"/>
    </row>
    <row r="24" spans="1:5" ht="15" customHeight="1" x14ac:dyDescent="0.45">
      <c r="A24" s="260" t="s">
        <v>617</v>
      </c>
      <c r="B24" s="350">
        <f>LC_DesignLoad</f>
        <v>0</v>
      </c>
      <c r="C24" s="352" t="s">
        <v>336</v>
      </c>
      <c r="D24" s="270" t="s">
        <v>625</v>
      </c>
      <c r="E24" s="9"/>
    </row>
    <row r="25" spans="1:5" ht="15" customHeight="1" x14ac:dyDescent="0.45">
      <c r="A25" s="260" t="s">
        <v>618</v>
      </c>
      <c r="B25" s="67" t="str">
        <f>LC_DesignAmps</f>
        <v/>
      </c>
      <c r="C25" s="352" t="s">
        <v>622</v>
      </c>
      <c r="D25" s="270" t="s">
        <v>626</v>
      </c>
      <c r="E25" s="9"/>
    </row>
    <row r="26" spans="1:5" ht="15" customHeight="1" x14ac:dyDescent="0.45">
      <c r="A26" s="357" t="s">
        <v>619</v>
      </c>
      <c r="B26" s="95" t="str">
        <f>LC_ServiceSize</f>
        <v/>
      </c>
      <c r="C26" s="358" t="s">
        <v>622</v>
      </c>
      <c r="D26" s="359" t="str" cm="1">
        <f t="array" ref="D26">"NEC "&amp;NECREF("240.6")&amp;"(A) standard rating"</f>
        <v>NEC 240.6(A) standard rating</v>
      </c>
      <c r="E26" s="9"/>
    </row>
    <row r="27" spans="1:5" ht="15" customHeight="1" x14ac:dyDescent="0.45">
      <c r="A27" s="260" t="s">
        <v>620</v>
      </c>
      <c r="B27" s="350">
        <f>LC_RenovationTotal</f>
        <v>0</v>
      </c>
      <c r="C27" s="352" t="s">
        <v>336</v>
      </c>
      <c r="D27" s="270" t="str" cm="1">
        <f t="array" ref="D27">"NEC "&amp;NECREF("220.87")</f>
        <v>NEC 220.87</v>
      </c>
      <c r="E27" s="9"/>
    </row>
    <row r="28" spans="1:5" ht="15" customHeight="1" x14ac:dyDescent="0.45">
      <c r="A28" s="9"/>
      <c r="B28" s="9"/>
      <c r="C28" s="9"/>
      <c r="D28" s="9"/>
      <c r="E28" s="9"/>
    </row>
    <row r="29" spans="1:5" ht="30" customHeight="1" x14ac:dyDescent="0.35">
      <c r="A29" s="740" t="s">
        <v>627</v>
      </c>
      <c r="B29" s="740"/>
      <c r="C29" s="740"/>
      <c r="D29" s="740"/>
      <c r="E29" s="740"/>
    </row>
    <row r="30" spans="1:5" ht="15" customHeight="1" x14ac:dyDescent="0.35">
      <c r="A30" s="58"/>
      <c r="B30" s="58"/>
      <c r="C30" s="58"/>
      <c r="D30" s="58"/>
      <c r="E30" s="58"/>
    </row>
    <row r="31" spans="1:5" s="79" customFormat="1" ht="15" customHeight="1" x14ac:dyDescent="0.45">
      <c r="A31" s="333" t="s">
        <v>608</v>
      </c>
      <c r="B31" s="34" t="s">
        <v>46</v>
      </c>
      <c r="C31" s="34" t="s">
        <v>609</v>
      </c>
      <c r="D31" s="57" t="s">
        <v>610</v>
      </c>
      <c r="E31" s="57"/>
    </row>
    <row r="32" spans="1:5" ht="15" customHeight="1" x14ac:dyDescent="0.45">
      <c r="A32" s="360" t="s">
        <v>628</v>
      </c>
      <c r="B32" s="67" t="str">
        <f>IFERROR(IF(N(Generator!$D$45)=0,"—",Generator!$D$45),"—")</f>
        <v>—</v>
      </c>
      <c r="C32" s="352" t="s">
        <v>435</v>
      </c>
      <c r="D32" s="270" t="str" cm="1">
        <f t="array" ref="D32">"NEC "&amp;NECREF("700")&amp;" / 701 / 702"</f>
        <v>NEC 700 / 701 / 702</v>
      </c>
      <c r="E32" s="9"/>
    </row>
    <row r="33" spans="1:5" ht="15" customHeight="1" x14ac:dyDescent="0.45">
      <c r="A33" s="360" t="s">
        <v>629</v>
      </c>
      <c r="B33" s="67" t="str">
        <f>IFERROR(IF(N(UPS!$C$41)=0,"—",UPS!$C$41),"—")</f>
        <v>—</v>
      </c>
      <c r="C33" s="352" t="s">
        <v>336</v>
      </c>
      <c r="D33" s="270" t="s">
        <v>592</v>
      </c>
      <c r="E33" s="9"/>
    </row>
    <row r="34" spans="1:5" ht="15" customHeight="1" x14ac:dyDescent="0.45">
      <c r="A34" s="360" t="s">
        <v>630</v>
      </c>
      <c r="B34" s="67">
        <f>COUNTIF(Transformers!$A$6:$A$101,"?*")</f>
        <v>0</v>
      </c>
      <c r="C34" s="352" t="s">
        <v>636</v>
      </c>
      <c r="D34" s="270" t="s">
        <v>638</v>
      </c>
      <c r="E34" s="9"/>
    </row>
    <row r="35" spans="1:5" ht="15" customHeight="1" x14ac:dyDescent="0.45">
      <c r="A35" s="360" t="s">
        <v>631</v>
      </c>
      <c r="B35" s="67">
        <f>SUM(Transformers!$G$6:$G$101)</f>
        <v>0</v>
      </c>
      <c r="C35" s="352" t="s">
        <v>336</v>
      </c>
      <c r="D35" s="270" t="str" cm="1">
        <f t="array" ref="D35">"Std kVA ratings (NEC "&amp;NECREF("450")&amp;")"</f>
        <v>Std kVA ratings (NEC 450)</v>
      </c>
      <c r="E35" s="9"/>
    </row>
    <row r="36" spans="1:5" ht="15" customHeight="1" x14ac:dyDescent="0.45">
      <c r="A36" s="360" t="s">
        <v>632</v>
      </c>
      <c r="B36" s="67" t="str">
        <f>IFERROR(IF(N('Short Circuit'!$E$13)=0,"—",'Short Circuit'!$E$13),"—")</f>
        <v>—</v>
      </c>
      <c r="C36" s="352" t="s">
        <v>622</v>
      </c>
      <c r="D36" s="270" t="str" cm="1">
        <f t="array" ref="D36">"NEC "&amp;NECREF("110.24")</f>
        <v>NEC 110.24</v>
      </c>
      <c r="E36" s="9"/>
    </row>
    <row r="37" spans="1:5" ht="15" customHeight="1" x14ac:dyDescent="0.45">
      <c r="A37" s="360" t="s">
        <v>633</v>
      </c>
      <c r="B37" s="67" t="str">
        <f>IFERROR(IF(COUNT('Short Circuit'!$G$14)=0,"—",'Short Circuit'!$G$14),"—")</f>
        <v>—</v>
      </c>
      <c r="C37" s="352" t="s">
        <v>622</v>
      </c>
      <c r="D37" s="270" t="str" cm="1">
        <f t="array" ref="D37">"NEC "&amp;NECREF("110.9")&amp;" / "&amp;NECREF("110.10")</f>
        <v>NEC 110.9 / 110.10</v>
      </c>
      <c r="E37" s="9"/>
    </row>
    <row r="38" spans="1:5" ht="15" customHeight="1" x14ac:dyDescent="0.45">
      <c r="A38" s="360" t="s">
        <v>634</v>
      </c>
      <c r="B38" s="239" t="str">
        <f>IFERROR(IF(N('Voltage Drop'!$H$5)=0,"—",'Voltage Drop'!$H$5),"—")</f>
        <v>—</v>
      </c>
      <c r="C38" s="352" t="s">
        <v>621</v>
      </c>
      <c r="D38" s="270" t="str" cm="1">
        <f t="array" ref="D38">"NEC "&amp;NECREF("210.19")&amp;" / "&amp;NECREF("215.2")&amp;" IN"</f>
        <v>NEC 210.19 / 215.2 IN</v>
      </c>
      <c r="E38" s="9"/>
    </row>
    <row r="39" spans="1:5" ht="15" customHeight="1" x14ac:dyDescent="0.45">
      <c r="A39" s="360" t="s">
        <v>635</v>
      </c>
      <c r="B39" s="234" t="str">
        <f>IFERROR(IF(COUNT('Arc Flash'!$M$24:$M$251)=0,"—",MAX('Arc Flash'!$M$24:$M$251)),"—")</f>
        <v>—</v>
      </c>
      <c r="C39" s="352" t="s">
        <v>637</v>
      </c>
      <c r="D39" s="270" t="s">
        <v>588</v>
      </c>
      <c r="E39" s="9"/>
    </row>
    <row r="40" spans="1:5" ht="15" customHeight="1" x14ac:dyDescent="0.45">
      <c r="A40" s="9"/>
      <c r="B40" s="9"/>
      <c r="C40" s="9"/>
      <c r="D40" s="9"/>
      <c r="E40" s="9"/>
    </row>
    <row r="41" spans="1:5" ht="30" customHeight="1" x14ac:dyDescent="0.35">
      <c r="A41" s="740" t="s">
        <v>639</v>
      </c>
      <c r="B41" s="740"/>
      <c r="C41" s="740"/>
      <c r="D41" s="740"/>
      <c r="E41" s="740"/>
    </row>
    <row r="42" spans="1:5" ht="15" customHeight="1" x14ac:dyDescent="0.35">
      <c r="A42" s="58"/>
      <c r="B42" s="58"/>
      <c r="C42" s="58"/>
      <c r="D42" s="58"/>
      <c r="E42" s="58"/>
    </row>
    <row r="43" spans="1:5" ht="15" customHeight="1" thickBot="1" x14ac:dyDescent="0.5">
      <c r="A43" s="360" t="s">
        <v>640</v>
      </c>
      <c r="B43" s="361"/>
      <c r="C43" s="9"/>
      <c r="D43" s="737" t="s">
        <v>642</v>
      </c>
      <c r="E43" s="737"/>
    </row>
    <row r="44" spans="1:5" ht="15" customHeight="1" x14ac:dyDescent="0.45">
      <c r="A44" s="360" t="s">
        <v>641</v>
      </c>
      <c r="B44" s="361"/>
      <c r="C44" s="9"/>
      <c r="D44" s="731"/>
      <c r="E44" s="732"/>
    </row>
    <row r="45" spans="1:5" ht="15" customHeight="1" x14ac:dyDescent="0.45">
      <c r="A45" s="360" t="s">
        <v>57</v>
      </c>
      <c r="B45" s="157"/>
      <c r="C45" s="9"/>
      <c r="D45" s="733"/>
      <c r="E45" s="734"/>
    </row>
    <row r="46" spans="1:5" ht="15" customHeight="1" x14ac:dyDescent="0.45">
      <c r="A46" s="360" t="s">
        <v>58</v>
      </c>
      <c r="B46" s="361"/>
      <c r="C46" s="9"/>
      <c r="D46" s="733"/>
      <c r="E46" s="734"/>
    </row>
    <row r="47" spans="1:5" ht="15" customHeight="1" x14ac:dyDescent="0.45">
      <c r="A47" s="9"/>
      <c r="B47" s="9"/>
      <c r="C47" s="9"/>
      <c r="D47" s="733"/>
      <c r="E47" s="734"/>
    </row>
    <row r="48" spans="1:5" ht="15" customHeight="1" x14ac:dyDescent="0.45">
      <c r="A48" s="9"/>
      <c r="B48" s="9"/>
      <c r="C48" s="9"/>
      <c r="D48" s="733"/>
      <c r="E48" s="734"/>
    </row>
    <row r="49" spans="1:5" ht="15" customHeight="1" x14ac:dyDescent="0.45">
      <c r="A49" s="9"/>
      <c r="B49" s="9"/>
      <c r="C49" s="9"/>
      <c r="D49" s="733"/>
      <c r="E49" s="734"/>
    </row>
    <row r="50" spans="1:5" ht="15" customHeight="1" x14ac:dyDescent="0.35">
      <c r="D50" s="733"/>
      <c r="E50" s="734"/>
    </row>
    <row r="51" spans="1:5" ht="15" customHeight="1" x14ac:dyDescent="0.35">
      <c r="D51" s="733"/>
      <c r="E51" s="734"/>
    </row>
    <row r="52" spans="1:5" ht="15" customHeight="1" x14ac:dyDescent="0.35">
      <c r="D52" s="733"/>
      <c r="E52" s="734"/>
    </row>
    <row r="53" spans="1:5" ht="15" customHeight="1" x14ac:dyDescent="0.35">
      <c r="D53" s="733"/>
      <c r="E53" s="734"/>
    </row>
    <row r="54" spans="1:5" ht="15" customHeight="1" x14ac:dyDescent="0.35">
      <c r="D54" s="733"/>
      <c r="E54" s="734"/>
    </row>
    <row r="55" spans="1:5" ht="15" customHeight="1" x14ac:dyDescent="0.35">
      <c r="D55" s="733"/>
      <c r="E55" s="734"/>
    </row>
    <row r="56" spans="1:5" ht="15" customHeight="1" x14ac:dyDescent="0.35">
      <c r="D56" s="733"/>
      <c r="E56" s="734"/>
    </row>
    <row r="57" spans="1:5" ht="15" customHeight="1" x14ac:dyDescent="0.35">
      <c r="D57" s="733"/>
      <c r="E57" s="734"/>
    </row>
    <row r="58" spans="1:5" ht="15" customHeight="1" x14ac:dyDescent="0.35">
      <c r="D58" s="733"/>
      <c r="E58" s="734"/>
    </row>
    <row r="59" spans="1:5" ht="15" customHeight="1" x14ac:dyDescent="0.35">
      <c r="D59" s="733"/>
      <c r="E59" s="734"/>
    </row>
    <row r="60" spans="1:5" x14ac:dyDescent="0.35">
      <c r="D60" s="733"/>
      <c r="E60" s="734"/>
    </row>
    <row r="61" spans="1:5" ht="15" thickBot="1" x14ac:dyDescent="0.4">
      <c r="D61" s="735"/>
      <c r="E61" s="736"/>
    </row>
  </sheetData>
  <sheetProtection sheet="1" objects="1" scenarios="1"/>
  <mergeCells count="16">
    <mergeCell ref="D44:E61"/>
    <mergeCell ref="D43:E43"/>
    <mergeCell ref="A1:E1"/>
    <mergeCell ref="A2:E2"/>
    <mergeCell ref="A4:E4"/>
    <mergeCell ref="A15:E15"/>
    <mergeCell ref="A29:E29"/>
    <mergeCell ref="A41:E41"/>
    <mergeCell ref="B13:C13"/>
    <mergeCell ref="B12:C12"/>
    <mergeCell ref="B11:C11"/>
    <mergeCell ref="B10:C10"/>
    <mergeCell ref="B9:C9"/>
    <mergeCell ref="B8:C8"/>
    <mergeCell ref="B7:C7"/>
    <mergeCell ref="B6:C6"/>
  </mergeCells>
  <printOptions horizontalCentered="1"/>
  <pageMargins left="0.7" right="0.7" top="0.75" bottom="0.75" header="0.3" footer="0.3"/>
  <pageSetup scale="77"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097B-F30E-4A8C-BE33-3DAF9611921F}">
  <sheetPr codeName="Sheet7">
    <tabColor rgb="FFC00000"/>
    <pageSetUpPr fitToPage="1"/>
  </sheetPr>
  <dimension ref="A1:BD96"/>
  <sheetViews>
    <sheetView showGridLines="0" showRowColHeaders="0" workbookViewId="0">
      <selection activeCell="D7" sqref="D7"/>
    </sheetView>
  </sheetViews>
  <sheetFormatPr defaultRowHeight="14.5" outlineLevelCol="1" x14ac:dyDescent="0.35"/>
  <cols>
    <col min="1" max="1" width="2.7265625" customWidth="1"/>
    <col min="2" max="2" width="5.7265625" customWidth="1"/>
    <col min="3" max="4" width="23.26953125" customWidth="1"/>
    <col min="5" max="6" width="6.26953125" customWidth="1"/>
    <col min="7" max="8" width="23.26953125" customWidth="1"/>
    <col min="9" max="9" width="12" customWidth="1"/>
    <col min="10" max="12" width="23.26953125" customWidth="1"/>
    <col min="13" max="13" width="5.7265625" customWidth="1"/>
    <col min="14" max="14" width="2.7265625" customWidth="1"/>
    <col min="15" max="23" width="9.1796875" customWidth="1" outlineLevel="1"/>
    <col min="24" max="24" width="4.7265625" customWidth="1"/>
    <col min="25" max="44" width="10.26953125" style="235" hidden="1" customWidth="1" outlineLevel="1"/>
    <col min="45" max="50" width="12.1796875" style="235" hidden="1" customWidth="1" outlineLevel="1"/>
    <col min="51" max="51" width="9.1796875" style="235" hidden="1" customWidth="1" outlineLevel="1"/>
    <col min="52" max="55" width="0" hidden="1" customWidth="1" outlineLevel="1"/>
    <col min="56" max="56" width="9.1796875" collapsed="1"/>
  </cols>
  <sheetData>
    <row r="1" spans="1:50" ht="15" customHeight="1" x14ac:dyDescent="0.35">
      <c r="A1" s="10"/>
      <c r="B1" s="10"/>
      <c r="C1" s="10"/>
      <c r="D1" s="10"/>
      <c r="E1" s="10"/>
      <c r="F1" s="10"/>
      <c r="G1" s="10"/>
      <c r="H1" s="10"/>
      <c r="I1" s="10"/>
      <c r="J1" s="10"/>
      <c r="K1" s="10"/>
      <c r="L1" s="10"/>
      <c r="M1" s="10"/>
      <c r="AS1" s="31" t="s">
        <v>895</v>
      </c>
      <c r="AT1" s="31"/>
      <c r="AU1" s="31" t="s">
        <v>1206</v>
      </c>
      <c r="AV1" s="31" t="s">
        <v>1207</v>
      </c>
      <c r="AW1" s="31" t="s">
        <v>1208</v>
      </c>
      <c r="AX1" s="31" t="s">
        <v>1209</v>
      </c>
    </row>
    <row r="2" spans="1:50" ht="30" customHeight="1" x14ac:dyDescent="0.35">
      <c r="B2" s="754" t="s">
        <v>117</v>
      </c>
      <c r="C2" s="755"/>
      <c r="D2" s="755"/>
      <c r="E2" s="755"/>
      <c r="F2" s="755"/>
      <c r="G2" s="755"/>
      <c r="H2" s="755"/>
      <c r="I2" s="755"/>
      <c r="J2" s="755"/>
      <c r="K2" s="755"/>
      <c r="L2" s="755"/>
      <c r="M2" s="756"/>
      <c r="AS2" s="392" t="s">
        <v>896</v>
      </c>
      <c r="AT2" s="393" t="s">
        <v>1199</v>
      </c>
      <c r="AU2" s="31" t="s">
        <v>196</v>
      </c>
      <c r="AV2" s="31" t="s">
        <v>1181</v>
      </c>
      <c r="AW2" s="31" t="s">
        <v>1182</v>
      </c>
      <c r="AX2" s="31">
        <v>0</v>
      </c>
    </row>
    <row r="3" spans="1:50" ht="15" customHeight="1" x14ac:dyDescent="0.35">
      <c r="B3" s="667" t="s">
        <v>1212</v>
      </c>
      <c r="C3" s="666"/>
      <c r="D3" s="666"/>
      <c r="E3" s="666"/>
      <c r="F3" s="666"/>
      <c r="G3" s="666"/>
      <c r="H3" s="666"/>
      <c r="I3" s="666"/>
      <c r="J3" s="666"/>
      <c r="K3" s="666"/>
      <c r="L3" s="666"/>
      <c r="M3" s="759"/>
      <c r="AS3" s="392" t="s">
        <v>1164</v>
      </c>
      <c r="AT3" s="393" t="s">
        <v>1175</v>
      </c>
      <c r="AU3" s="31"/>
      <c r="AV3" s="31"/>
      <c r="AW3" s="31"/>
      <c r="AX3" s="31"/>
    </row>
    <row r="4" spans="1:50" ht="15" customHeight="1" x14ac:dyDescent="0.35">
      <c r="B4" s="394"/>
      <c r="C4" s="757" t="s">
        <v>1213</v>
      </c>
      <c r="D4" s="757"/>
      <c r="E4" s="391"/>
      <c r="F4" s="391"/>
      <c r="G4" s="790" t="s">
        <v>1898</v>
      </c>
      <c r="H4" s="790"/>
      <c r="I4" s="391"/>
      <c r="J4" s="758" t="str" cm="1">
        <f t="array" ref="J4">"LOAD SUMMARY &amp; NEC "&amp;NECREF("220")&amp;" DEMAND"</f>
        <v>LOAD SUMMARY &amp; NEC 220 DEMAND</v>
      </c>
      <c r="K4" s="758"/>
      <c r="L4" s="758"/>
      <c r="M4" s="395"/>
      <c r="AS4" s="392" t="s">
        <v>897</v>
      </c>
      <c r="AT4" s="393" t="s">
        <v>1200</v>
      </c>
      <c r="AU4" s="31" t="s">
        <v>164</v>
      </c>
      <c r="AV4" s="31" t="s">
        <v>1181</v>
      </c>
      <c r="AW4" s="31" t="s">
        <v>1182</v>
      </c>
      <c r="AX4" s="31">
        <v>0</v>
      </c>
    </row>
    <row r="5" spans="1:50" ht="15" customHeight="1" x14ac:dyDescent="0.45">
      <c r="B5" s="394"/>
      <c r="C5" s="396" t="s">
        <v>196</v>
      </c>
      <c r="D5" s="261"/>
      <c r="E5" s="391"/>
      <c r="F5" s="391"/>
      <c r="G5" s="782" t="s">
        <v>169</v>
      </c>
      <c r="H5" s="784" t="str">
        <f>IF(Cfg_SCA="","",Cfg_SCA)</f>
        <v/>
      </c>
      <c r="I5" s="788"/>
      <c r="J5" s="794" t="s">
        <v>193</v>
      </c>
      <c r="K5" s="795" t="s">
        <v>1249</v>
      </c>
      <c r="L5" s="795" t="s">
        <v>1250</v>
      </c>
      <c r="M5" s="397"/>
      <c r="AS5" s="392" t="s">
        <v>898</v>
      </c>
      <c r="AT5" s="393" t="s">
        <v>1201</v>
      </c>
      <c r="AU5" s="31" t="s">
        <v>168</v>
      </c>
      <c r="AV5" s="31" t="s">
        <v>1181</v>
      </c>
      <c r="AW5" s="31" t="s">
        <v>1182</v>
      </c>
      <c r="AX5" s="31">
        <v>0</v>
      </c>
    </row>
    <row r="6" spans="1:50" ht="15" customHeight="1" x14ac:dyDescent="0.35">
      <c r="B6" s="394"/>
      <c r="C6" s="396" t="s">
        <v>104</v>
      </c>
      <c r="D6" s="261" t="str" cm="1">
        <f t="array" ref="D6">IFERROR(_xlfn.LET(_xlpm.f,SUBSTITUTE(_xlfn.XLOOKUP($D$5,Equip_List,Equip_FedFrom,"")&amp;"","(unassigned)",""),_xlpm.t,"T-"&amp;$D$5,_xlpm.src,IF(_xlpm.f="",IF(ROWS(Util_TagList)=1,INDEX(Util_TagList,1),"—"),_xlpm.f),IF(COUNTIF(Transformers!$A$1:$A$400,_xlpm.t)&gt;0,_xlpm.src&amp;" via "&amp;_xlpm.t,_xlpm.src)),"—")</f>
        <v>Utility Service</v>
      </c>
      <c r="E6" s="391"/>
      <c r="F6" s="391"/>
      <c r="G6" s="782" t="s">
        <v>170</v>
      </c>
      <c r="H6" s="784" t="str" cm="1">
        <f t="array" ref="H6">IF(Tog_SC&lt;&gt;"ON","",IF(OR($H$5="",$AQ$27="",$AQ$33=""),"",IF($AQ$33=0,$H$5,$H$5/(1+(IF($AQ$29=3,SQRT3,2)*N($H$13)*$H$5)/(INDEX(INDEX(Cond_Table,0,FeederCcol),$AQ$33)*$AQ$27)))))</f>
        <v/>
      </c>
      <c r="I6" s="788"/>
      <c r="J6" s="796" t="s">
        <v>87</v>
      </c>
      <c r="K6" s="797">
        <f>SUM($O$29:$O$48)</f>
        <v>0</v>
      </c>
      <c r="L6" s="797">
        <f>$K6*1.25</f>
        <v>0</v>
      </c>
      <c r="M6" s="398"/>
      <c r="AS6" s="392" t="s">
        <v>899</v>
      </c>
      <c r="AT6" s="393" t="s">
        <v>1194</v>
      </c>
      <c r="AU6" s="31" t="s">
        <v>169</v>
      </c>
      <c r="AV6" s="31" t="s">
        <v>1195</v>
      </c>
      <c r="AW6" s="31" t="s">
        <v>1184</v>
      </c>
      <c r="AX6" s="31">
        <v>0</v>
      </c>
    </row>
    <row r="7" spans="1:50" ht="15" customHeight="1" x14ac:dyDescent="0.35">
      <c r="B7" s="394"/>
      <c r="C7" s="396" t="s">
        <v>55</v>
      </c>
      <c r="D7" s="131"/>
      <c r="E7" s="391"/>
      <c r="F7" s="391"/>
      <c r="G7" s="782" t="s">
        <v>171</v>
      </c>
      <c r="H7" s="517" t="str">
        <f>IF(Tog_SC&lt;&gt;"ON","—",IF($D$13="","enter AIC",_xlfn.LET(_xlpm.study,IFERROR(_xlfn.XLOOKUP($D$5,'Short Circuit'!$A$6:$A$255,'Short Circuit'!$Q$6:$Q$255),""),_xlpm.worst,MAX(IF(ISNUMBER($H$6),$H$6,0),IF(ISNUMBER(_xlpm.study),_xlpm.study,0)),IF(_xlpm.worst=0,"—",IF($D$13&gt;=_xlpm.worst,"OK","UNDER-RATED")))))</f>
        <v>—</v>
      </c>
      <c r="I7" s="788"/>
      <c r="J7" s="796" t="s">
        <v>86</v>
      </c>
      <c r="K7" s="797">
        <f>SUM($P$29:$P$48)</f>
        <v>0</v>
      </c>
      <c r="L7" s="797">
        <f>$AQ$39-$BC$25</f>
        <v>0</v>
      </c>
      <c r="M7" s="398"/>
      <c r="AS7" s="392" t="s">
        <v>900</v>
      </c>
      <c r="AT7" s="393" t="s">
        <v>1202</v>
      </c>
      <c r="AU7" s="31" t="s">
        <v>170</v>
      </c>
      <c r="AV7" s="31" t="s">
        <v>1195</v>
      </c>
      <c r="AW7" s="31" t="s">
        <v>1184</v>
      </c>
      <c r="AX7" s="31">
        <v>0</v>
      </c>
    </row>
    <row r="8" spans="1:50" ht="15" customHeight="1" x14ac:dyDescent="0.35">
      <c r="B8" s="394"/>
      <c r="C8" s="396" t="s">
        <v>164</v>
      </c>
      <c r="D8" s="131"/>
      <c r="E8" s="391"/>
      <c r="F8" s="391"/>
      <c r="I8" s="788"/>
      <c r="J8" s="796" t="s">
        <v>88</v>
      </c>
      <c r="K8" s="797">
        <f>SUM($Q$29:$Q$48)</f>
        <v>0</v>
      </c>
      <c r="L8" s="797">
        <f>$K8+0.25*$AQ$35</f>
        <v>0</v>
      </c>
      <c r="M8" s="398"/>
      <c r="AS8" s="392" t="s">
        <v>901</v>
      </c>
      <c r="AT8" s="393" t="s">
        <v>2125</v>
      </c>
      <c r="AU8" s="31" t="s">
        <v>174</v>
      </c>
      <c r="AV8" s="31" t="s">
        <v>1195</v>
      </c>
      <c r="AW8" s="31" t="s">
        <v>1184</v>
      </c>
      <c r="AX8" s="31">
        <v>0</v>
      </c>
    </row>
    <row r="9" spans="1:50" ht="15" customHeight="1" x14ac:dyDescent="0.35">
      <c r="B9" s="394"/>
      <c r="C9" s="396" t="s">
        <v>165</v>
      </c>
      <c r="D9" s="261" t="str">
        <f>IF($D$8="","",$AQ$27&amp;" / "&amp;IF($AQ$28="","—",$AQ$28)&amp;" V")</f>
        <v/>
      </c>
      <c r="E9" s="391"/>
      <c r="F9" s="391"/>
      <c r="G9" s="781" t="s">
        <v>1897</v>
      </c>
      <c r="H9" s="787"/>
      <c r="I9" s="788"/>
      <c r="J9" s="796" t="s">
        <v>89</v>
      </c>
      <c r="K9" s="797">
        <f>SUM($R$29:$R$48)</f>
        <v>0</v>
      </c>
      <c r="L9" s="797">
        <f>$K9</f>
        <v>0</v>
      </c>
      <c r="M9" s="238"/>
      <c r="AS9" s="392" t="s">
        <v>902</v>
      </c>
      <c r="AT9" s="393" t="s">
        <v>2132</v>
      </c>
      <c r="AU9" s="31" t="s">
        <v>1196</v>
      </c>
      <c r="AV9" s="31" t="s">
        <v>1177</v>
      </c>
      <c r="AW9" s="31" t="s">
        <v>224</v>
      </c>
      <c r="AX9" s="31">
        <v>0</v>
      </c>
    </row>
    <row r="10" spans="1:50" ht="15" customHeight="1" x14ac:dyDescent="0.35">
      <c r="B10" s="394"/>
      <c r="C10" s="396" t="s">
        <v>166</v>
      </c>
      <c r="D10" s="261" t="str">
        <f>IF($D$8="","",$AQ$29&amp;"Ø "&amp;IFERROR(VLOOKUP($D$8,Volt_Table,4,FALSE),"")&amp;"W")</f>
        <v/>
      </c>
      <c r="E10" s="391"/>
      <c r="F10" s="391"/>
      <c r="G10" s="782" t="s">
        <v>174</v>
      </c>
      <c r="H10" s="783">
        <f>$L$16</f>
        <v>0</v>
      </c>
      <c r="I10" s="788"/>
      <c r="J10" s="796" t="s">
        <v>90</v>
      </c>
      <c r="K10" s="797">
        <f>SUM($S$29:$S$48)</f>
        <v>0</v>
      </c>
      <c r="L10" s="797">
        <f>$K10</f>
        <v>0</v>
      </c>
      <c r="M10" s="395"/>
      <c r="AS10" s="392" t="s">
        <v>903</v>
      </c>
      <c r="AT10" s="393" t="s">
        <v>2140</v>
      </c>
      <c r="AU10" s="31" t="s">
        <v>1191</v>
      </c>
      <c r="AV10" s="31" t="s">
        <v>1210</v>
      </c>
      <c r="AW10" s="31" t="s">
        <v>1211</v>
      </c>
      <c r="AX10" s="31">
        <v>1</v>
      </c>
    </row>
    <row r="11" spans="1:50" ht="15" customHeight="1" x14ac:dyDescent="0.35">
      <c r="B11" s="394"/>
      <c r="C11" s="396" t="s">
        <v>108</v>
      </c>
      <c r="D11" s="539" t="str" cm="1">
        <f t="array" ref="D11">_xlfn.LET(_xlpm.m,IFERROR(_xlfn.XLOOKUP($D$5,Equip_List,INDEX(Equip_Registry,0,5),"")&amp;"",""),_xlpm.f,IFERROR(SUBSTITUTE(_xlfn.XLOOKUP($D$5,Equip_List,Equip_FedFrom,"")&amp;"","(unassigned)",""),""),IF(_xlpm.m&lt;&gt;"",_xlpm.m,IF(OR(_xlpm.f="",ISNUMBER(MATCH(_xlpm.f,Util_Tags,0))),"MCB","MLO")))</f>
        <v>MCB</v>
      </c>
      <c r="E11" s="751" t="s">
        <v>1866</v>
      </c>
      <c r="F11" s="752"/>
      <c r="G11" s="782" t="s">
        <v>175</v>
      </c>
      <c r="H11" s="784" t="str">
        <f>IF($L$17="","",$L$17)</f>
        <v/>
      </c>
      <c r="I11" s="788"/>
      <c r="J11" s="796" t="s">
        <v>91</v>
      </c>
      <c r="K11" s="797">
        <f>SUM($T$29:$T$48)</f>
        <v>0</v>
      </c>
      <c r="L11" s="797">
        <f>$K11*IFERROR(VLOOKUP(MAX($AQ$34,1),Kitchen_Table,2,TRUE),1)</f>
        <v>0</v>
      </c>
      <c r="M11" s="395"/>
      <c r="AS11" s="392" t="s">
        <v>904</v>
      </c>
      <c r="AT11" s="393" t="s">
        <v>2141</v>
      </c>
      <c r="AU11" s="31" t="s">
        <v>1191</v>
      </c>
      <c r="AV11" s="31" t="s">
        <v>1210</v>
      </c>
      <c r="AW11" s="31" t="s">
        <v>1211</v>
      </c>
      <c r="AX11" s="31">
        <v>3</v>
      </c>
    </row>
    <row r="12" spans="1:50" ht="15" customHeight="1" x14ac:dyDescent="0.35">
      <c r="B12" s="394"/>
      <c r="C12" s="396" t="s">
        <v>167</v>
      </c>
      <c r="D12" s="539" t="str">
        <f>IF(N($E$12)&gt;0,$E$12,$AQ$42)</f>
        <v/>
      </c>
      <c r="E12" s="760"/>
      <c r="F12" s="779"/>
      <c r="G12" s="782" t="s">
        <v>163</v>
      </c>
      <c r="H12" s="785"/>
      <c r="I12" s="788"/>
      <c r="J12" s="796" t="s">
        <v>217</v>
      </c>
      <c r="K12" s="797">
        <f>SUM($U$29:$U$48)</f>
        <v>0</v>
      </c>
      <c r="L12" s="797">
        <f>$K12</f>
        <v>0</v>
      </c>
      <c r="M12" s="395"/>
      <c r="AS12" s="392" t="s">
        <v>905</v>
      </c>
      <c r="AT12" s="393" t="s">
        <v>2142</v>
      </c>
      <c r="AU12" s="31"/>
      <c r="AV12" s="31"/>
      <c r="AW12" s="31"/>
      <c r="AX12" s="31"/>
    </row>
    <row r="13" spans="1:50" ht="15" customHeight="1" x14ac:dyDescent="0.35">
      <c r="B13" s="394"/>
      <c r="C13" s="396" t="s">
        <v>168</v>
      </c>
      <c r="D13" s="67">
        <f>IF(N($E$13)&gt;0,$E$13,$AQ$41)</f>
        <v>10000</v>
      </c>
      <c r="E13" s="745"/>
      <c r="F13" s="780"/>
      <c r="G13" s="782" t="s">
        <v>109</v>
      </c>
      <c r="H13" s="786" t="str">
        <f>IF($D$5="","",_xlfn.LET(_xlpm.v,_xlfn.XLOOKUP($D$5,Equip_List,Equip_FdrLen,""),IF(_xlpm.v="","",_xlpm.v)))</f>
        <v/>
      </c>
      <c r="I13" s="788"/>
      <c r="J13" s="796" t="s">
        <v>218</v>
      </c>
      <c r="K13" s="797">
        <f>SUM($V$29:$V$48)</f>
        <v>0</v>
      </c>
      <c r="L13" s="797">
        <f>$K13</f>
        <v>0</v>
      </c>
      <c r="M13" s="395"/>
      <c r="AS13" s="392" t="s">
        <v>906</v>
      </c>
      <c r="AT13" s="393">
        <v>29</v>
      </c>
      <c r="AU13" s="31" t="s">
        <v>111</v>
      </c>
      <c r="AV13" s="31" t="s">
        <v>1179</v>
      </c>
      <c r="AW13" s="31"/>
      <c r="AX13" s="31">
        <v>1</v>
      </c>
    </row>
    <row r="14" spans="1:50" ht="15" customHeight="1" x14ac:dyDescent="0.35">
      <c r="B14" s="394"/>
      <c r="C14" s="396" t="s">
        <v>105</v>
      </c>
      <c r="D14" s="131"/>
      <c r="E14" s="391"/>
      <c r="F14" s="391"/>
      <c r="G14" s="782" t="s">
        <v>1895</v>
      </c>
      <c r="H14" s="517" t="str">
        <f>IF($D$8="","",_xlfn.LET(_xlpm.fs,IFERROR(_xlfn.XLOOKUP("F-"&amp;$D$5,'Feeder Schedule'!$B$5:$B$254,'Feeder Schedule'!$O$5:$O$254),""),IF(_xlpm.fs&lt;&gt;"",_xlpm.fs,IF($AQ$32=0,"—",MAX(1,$AQ$40)))))</f>
        <v/>
      </c>
      <c r="I14" s="788"/>
      <c r="J14" s="796" t="s">
        <v>1892</v>
      </c>
      <c r="K14" s="797">
        <f>SUM($W$29:$W$48)+$K$25</f>
        <v>0</v>
      </c>
      <c r="L14" s="797">
        <f>SUM($W$29:$W$48)+$L$25</f>
        <v>0</v>
      </c>
      <c r="M14" s="395"/>
      <c r="AS14" s="392" t="s">
        <v>907</v>
      </c>
      <c r="AT14" s="393">
        <v>48</v>
      </c>
      <c r="AU14" s="31"/>
      <c r="AV14" s="31"/>
      <c r="AW14" s="31"/>
      <c r="AX14" s="31"/>
    </row>
    <row r="15" spans="1:50" ht="15" customHeight="1" x14ac:dyDescent="0.35">
      <c r="B15" s="394"/>
      <c r="C15" s="396" t="s">
        <v>106</v>
      </c>
      <c r="D15" s="131"/>
      <c r="E15" s="391"/>
      <c r="F15" s="391"/>
      <c r="G15" s="782" t="s">
        <v>172</v>
      </c>
      <c r="H15" s="517" t="str" cm="1">
        <f t="array" ref="H15">IF($D$8="","",_xlfn.LET(_xlpm.fs,IFERROR(_xlfn.XLOOKUP("F-"&amp;$D$5,'Feeder Schedule'!$B$5:$B$254,'Feeder Schedule'!$P$5:$P$254),""),IF(_xlpm.fs&lt;&gt;"",_xlpm.fs,IF($AQ$32=0,"—",IF($AQ$40&gt;1,"("&amp;$AQ$40&amp;") ","")&amp;"#"&amp;INDEX(Cond_Size,$AQ$32)))))</f>
        <v/>
      </c>
      <c r="I15" s="788"/>
      <c r="J15" s="796" t="str" cm="1">
        <f t="array" ref="J15">"Existing Load (NEC "&amp;NECREF("220.87")&amp;")"</f>
        <v>Existing Load (NEC 220.87)</v>
      </c>
      <c r="K15" s="797" cm="1">
        <f t="array" ref="K15">IF($D$5="",0,SUMIFS('Utility Demand'!$M:$M,'Utility Demand'!$B:$B,"METER PEAK",'Utility Demand'!$O:$O,$D$5)+IF(Exist_LogBoard=$D$5,N('Logging Demand'!$C$47),0))</f>
        <v>0</v>
      </c>
      <c r="L15" s="797">
        <f>$K15*NEC_ExistFactor</f>
        <v>0</v>
      </c>
      <c r="M15" s="395"/>
      <c r="AS15" s="392" t="s">
        <v>1165</v>
      </c>
      <c r="AT15" s="393">
        <v>1</v>
      </c>
      <c r="AU15" s="31"/>
      <c r="AV15" s="31"/>
      <c r="AW15" s="31"/>
      <c r="AX15" s="31"/>
    </row>
    <row r="16" spans="1:50" ht="15" customHeight="1" x14ac:dyDescent="0.35">
      <c r="B16" s="394"/>
      <c r="C16" s="396" t="s">
        <v>160</v>
      </c>
      <c r="D16" s="131"/>
      <c r="E16" s="391"/>
      <c r="F16" s="391"/>
      <c r="G16" s="782" t="s">
        <v>173</v>
      </c>
      <c r="H16" s="517" t="str" cm="1">
        <f t="array" ref="H16">IF($D$8="","",_xlfn.LET(_xlpm.fs,IFERROR(_xlfn.XLOOKUP("F-"&amp;$D$5,'Feeder Schedule'!$B$5:$B$254,'Feeder Schedule'!$R$5:$R$254),""),IF(ISNUMBER(_xlpm.fs),_xlpm.fs,IF(OR($D$8="",$AQ$31=""),"",IF($AQ$31&lt;=0,"—",IFERROR(INDEX(OCPD_List,MATCH($AQ$31,OCPD_List,1)+IF(INDEX(OCPD_List,MATCH($AQ$31,OCPD_List,1))&gt;=$AQ$31,0,1)),15))))))</f>
        <v/>
      </c>
      <c r="I16" s="788"/>
      <c r="J16" s="796" t="s">
        <v>1196</v>
      </c>
      <c r="K16" s="797">
        <f>SUM(K6:K15)</f>
        <v>0</v>
      </c>
      <c r="L16" s="797">
        <f>SUM(L6:L15)</f>
        <v>0</v>
      </c>
      <c r="M16" s="395"/>
      <c r="AS16" s="392" t="s">
        <v>1166</v>
      </c>
      <c r="AT16" s="393" t="s">
        <v>1181</v>
      </c>
      <c r="AU16" s="31"/>
      <c r="AV16" s="31"/>
      <c r="AW16" s="31"/>
      <c r="AX16" s="31"/>
    </row>
    <row r="17" spans="2:55" ht="15" customHeight="1" x14ac:dyDescent="0.35">
      <c r="B17" s="394"/>
      <c r="C17" s="396" t="s">
        <v>161</v>
      </c>
      <c r="D17" s="131"/>
      <c r="E17" s="391"/>
      <c r="F17" s="391"/>
      <c r="I17" s="788"/>
      <c r="J17" s="796" t="s">
        <v>1197</v>
      </c>
      <c r="K17" s="798" t="str">
        <f>IF(OR($AQ$27="",$AQ$27=0),"",K16*1000/($AQ$27*$AQ$30))</f>
        <v/>
      </c>
      <c r="L17" s="798" t="str">
        <f>IF(OR($AQ$27="",$AQ$27=0),"",L16*1000/($AQ$27*$AQ$30))</f>
        <v/>
      </c>
      <c r="M17" s="395"/>
      <c r="AS17" s="392" t="s">
        <v>1167</v>
      </c>
      <c r="AT17" s="393" t="s">
        <v>1175</v>
      </c>
      <c r="AU17" s="31"/>
      <c r="AV17" s="31"/>
      <c r="AW17" s="31"/>
      <c r="AX17" s="31"/>
    </row>
    <row r="18" spans="2:55" ht="15" customHeight="1" x14ac:dyDescent="0.35">
      <c r="B18" s="394"/>
      <c r="C18" s="396" t="s">
        <v>162</v>
      </c>
      <c r="D18" s="131"/>
      <c r="E18" s="751" t="s">
        <v>1866</v>
      </c>
      <c r="F18" s="752"/>
      <c r="G18" s="790" t="s">
        <v>219</v>
      </c>
      <c r="H18" s="792"/>
      <c r="I18" s="788"/>
      <c r="M18" s="395"/>
      <c r="AS18" s="392" t="s">
        <v>1168</v>
      </c>
      <c r="AT18" s="393" t="s">
        <v>1175</v>
      </c>
      <c r="AU18" s="31"/>
      <c r="AV18" s="31"/>
      <c r="AW18" s="31"/>
      <c r="AX18" s="31"/>
    </row>
    <row r="19" spans="2:55" ht="15" customHeight="1" x14ac:dyDescent="0.35">
      <c r="B19" s="394"/>
      <c r="C19" s="396" t="s">
        <v>1218</v>
      </c>
      <c r="D19" s="539" t="str">
        <f>IF($E$19&lt;&gt;"",$E$19,IF($AQ$36="","—",$AQ$36))</f>
        <v>—</v>
      </c>
      <c r="E19" s="760"/>
      <c r="F19" s="779"/>
      <c r="G19" s="782" t="s">
        <v>214</v>
      </c>
      <c r="H19" s="783">
        <f>SUM($AJ$29:$AJ$48)+$AY$25</f>
        <v>0</v>
      </c>
      <c r="I19" s="788"/>
      <c r="J19" s="799" t="s">
        <v>1192</v>
      </c>
      <c r="K19" s="799"/>
      <c r="L19" s="800"/>
      <c r="M19" s="395"/>
      <c r="AS19" s="392" t="s">
        <v>1169</v>
      </c>
      <c r="AT19" s="393" t="s">
        <v>1251</v>
      </c>
      <c r="AU19" s="31"/>
      <c r="AV19" s="31"/>
      <c r="AW19" s="31"/>
      <c r="AX19" s="31"/>
      <c r="AY19" s="544" t="s">
        <v>1868</v>
      </c>
      <c r="AZ19" s="522"/>
      <c r="BA19" s="522"/>
      <c r="BB19" s="522"/>
      <c r="BC19" s="522"/>
    </row>
    <row r="20" spans="2:55" ht="15" customHeight="1" x14ac:dyDescent="0.45">
      <c r="B20" s="394"/>
      <c r="C20" s="396" t="s">
        <v>1219</v>
      </c>
      <c r="D20" s="539" t="str">
        <f>IF($E$20&lt;&gt;"",$E$20,IF($AQ$37="","—",$AQ$37))</f>
        <v>—</v>
      </c>
      <c r="E20" s="753"/>
      <c r="F20" s="791"/>
      <c r="G20" s="782" t="s">
        <v>215</v>
      </c>
      <c r="H20" s="783">
        <f>SUM($AK$29:$AK$48)+$AZ$25</f>
        <v>0</v>
      </c>
      <c r="I20" s="788"/>
      <c r="J20" s="794" t="s">
        <v>195</v>
      </c>
      <c r="K20" s="795" t="s">
        <v>212</v>
      </c>
      <c r="L20" s="795" t="s">
        <v>210</v>
      </c>
      <c r="M20" s="395"/>
      <c r="AS20" s="392" t="s">
        <v>1170</v>
      </c>
      <c r="AT20" s="393" t="s">
        <v>1180</v>
      </c>
      <c r="AU20" s="31"/>
      <c r="AV20" s="31"/>
      <c r="AW20" s="31"/>
      <c r="AX20" s="31"/>
      <c r="AY20" s="544" t="s">
        <v>1869</v>
      </c>
      <c r="AZ20" s="522" t="s">
        <v>1870</v>
      </c>
      <c r="BA20" s="522" t="s">
        <v>1871</v>
      </c>
      <c r="BB20" s="522" t="s">
        <v>1872</v>
      </c>
      <c r="BC20" s="522" t="s">
        <v>1873</v>
      </c>
    </row>
    <row r="21" spans="2:55" ht="15" customHeight="1" x14ac:dyDescent="0.45">
      <c r="B21" s="394"/>
      <c r="C21" s="396" t="s">
        <v>1220</v>
      </c>
      <c r="D21" s="131"/>
      <c r="G21" s="782" t="s">
        <v>216</v>
      </c>
      <c r="H21" s="783">
        <f>SUM($AL$29:$AL$48)+$BA$25</f>
        <v>0</v>
      </c>
      <c r="I21" s="788"/>
      <c r="J21" s="801"/>
      <c r="K21" s="797"/>
      <c r="L21" s="797"/>
      <c r="M21" s="395"/>
      <c r="AP21" s="475" t="s">
        <v>1724</v>
      </c>
      <c r="AQ21" s="478">
        <f>IF($D$5="",0,IFERROR(_xlfn.XLOOKUP($D$5,'Voltage Drop'!$A$6:$A$255,'Voltage Drop'!$H$6:$H$255),0))</f>
        <v>0</v>
      </c>
      <c r="AS21" s="392" t="s">
        <v>1171</v>
      </c>
      <c r="AT21" s="393">
        <v>21</v>
      </c>
      <c r="AU21" s="31" t="s">
        <v>195</v>
      </c>
      <c r="AV21" s="31" t="s">
        <v>1177</v>
      </c>
      <c r="AW21" s="31"/>
      <c r="AX21" s="31">
        <v>1</v>
      </c>
      <c r="AY21" s="541"/>
      <c r="AZ21" s="542"/>
      <c r="BA21" s="542"/>
      <c r="BB21" s="542"/>
      <c r="BC21" s="542"/>
    </row>
    <row r="22" spans="2:55" ht="15" customHeight="1" x14ac:dyDescent="0.45">
      <c r="B22" s="394"/>
      <c r="G22" s="782" t="s">
        <v>220</v>
      </c>
      <c r="H22" s="793">
        <f>IF(SUM(H19:H21)=0,0,(MAX(H19:H21)-MIN(H19:H21))/AVERAGE(H19:H21))</f>
        <v>0</v>
      </c>
      <c r="I22" s="788"/>
      <c r="J22" s="801"/>
      <c r="K22" s="797"/>
      <c r="L22" s="797"/>
      <c r="M22" s="395"/>
      <c r="AP22" s="475" t="s">
        <v>1725</v>
      </c>
      <c r="AQ22" s="478">
        <f>IF($AQ$21&gt;=Cfg_VDTotal,VD_Branch,MIN(VD_Branch,Cfg_VDTotal-$AQ$21))</f>
        <v>0.03</v>
      </c>
      <c r="AS22" s="392" t="s">
        <v>1172</v>
      </c>
      <c r="AT22" s="393">
        <v>23</v>
      </c>
      <c r="AU22" s="31"/>
      <c r="AV22" s="31"/>
      <c r="AW22" s="31"/>
      <c r="AX22" s="31"/>
      <c r="AY22" s="541"/>
      <c r="AZ22" s="542"/>
      <c r="BA22" s="542"/>
      <c r="BB22" s="542"/>
      <c r="BC22" s="542"/>
    </row>
    <row r="23" spans="2:55" ht="15" customHeight="1" x14ac:dyDescent="0.45">
      <c r="B23" s="394"/>
      <c r="G23" s="391"/>
      <c r="H23" s="391"/>
      <c r="I23" s="788"/>
      <c r="J23" s="801"/>
      <c r="K23" s="797"/>
      <c r="L23" s="797"/>
      <c r="M23" s="395"/>
      <c r="AP23" s="475" t="s">
        <v>1726</v>
      </c>
      <c r="AQ23" s="478">
        <f>$AQ$21+IFERROR(MAX($K$29:$K$48),0)</f>
        <v>0</v>
      </c>
      <c r="AS23" s="392" t="s">
        <v>1173</v>
      </c>
      <c r="AT23" s="393" t="s">
        <v>1177</v>
      </c>
      <c r="AU23" s="31"/>
      <c r="AV23" s="31"/>
      <c r="AW23" s="31"/>
      <c r="AX23" s="31"/>
      <c r="AY23" s="541"/>
      <c r="AZ23" s="542"/>
      <c r="BA23" s="542"/>
      <c r="BB23" s="542"/>
      <c r="BC23" s="542"/>
    </row>
    <row r="24" spans="2:55" ht="15" customHeight="1" x14ac:dyDescent="0.45">
      <c r="B24" s="399"/>
      <c r="I24" s="810"/>
      <c r="J24" s="802"/>
      <c r="K24" s="803"/>
      <c r="L24" s="803"/>
      <c r="M24" s="400"/>
      <c r="AP24" s="475" t="s">
        <v>1727</v>
      </c>
      <c r="AQ24" s="477" t="str">
        <f>IF($D$5="","",IF($AQ$21&gt;=Cfg_VDTotal,"⚠ upstream alone "&amp;TEXT($AQ$21,"0.00%")&amp;" ≥ "&amp;TEXT(Cfg_VDTotal,"0.0%")&amp;" — fix feeders",IF($AQ$23&gt;Cfg_VDTotal,"⚠ combined "&amp;TEXT($AQ$23,"0.00%")&amp;" exceeds "&amp;TEXT(Cfg_VDTotal,"0.0%"),"OK — combined "&amp;TEXT($AQ$23,"0.00%"))))</f>
        <v/>
      </c>
      <c r="AS24" s="235" t="s">
        <v>1876</v>
      </c>
      <c r="AT24" s="235" t="s">
        <v>2126</v>
      </c>
      <c r="AY24" s="541">
        <f>IF(N($K$24)=0,0,$K$24/IF($AQ$29=3,3,2))</f>
        <v>0</v>
      </c>
      <c r="AZ24" s="542">
        <f>IF(N($K$24)=0,0,$K$24/IF($AQ$29=3,3,2))</f>
        <v>0</v>
      </c>
      <c r="BA24" s="542">
        <f>IF(AND(N($K$24)&lt;&gt;0,$AQ$29=3),$K$24/3,0)</f>
        <v>0</v>
      </c>
      <c r="BB24" s="542">
        <f>0</f>
        <v>0</v>
      </c>
      <c r="BC24" s="542">
        <f>0</f>
        <v>0</v>
      </c>
    </row>
    <row r="25" spans="2:55" ht="15" customHeight="1" x14ac:dyDescent="0.35">
      <c r="B25" s="394"/>
      <c r="C25" s="401"/>
      <c r="D25" s="240"/>
      <c r="E25" s="391"/>
      <c r="F25" s="391"/>
      <c r="G25" s="391"/>
      <c r="H25" s="391"/>
      <c r="I25" s="788"/>
      <c r="J25" s="804" t="s">
        <v>1867</v>
      </c>
      <c r="K25" s="805">
        <f>SUM(K21:K24)</f>
        <v>0</v>
      </c>
      <c r="L25" s="805">
        <f>SUM(L21:L24)</f>
        <v>0</v>
      </c>
      <c r="M25" s="395"/>
      <c r="X25" s="391"/>
      <c r="Y25" s="436" t="s">
        <v>1214</v>
      </c>
      <c r="Z25" s="467">
        <f>VLOOKUP("Lighting",Class_Table,2,FALSE)</f>
        <v>1.25</v>
      </c>
      <c r="AA25" s="436">
        <f>VLOOKUP("Receptacle",Class_Table,2,FALSE)</f>
        <v>1</v>
      </c>
      <c r="AB25" s="467">
        <f>VLOOKUP("Motor",Class_Table,2,FALSE)</f>
        <v>1.25</v>
      </c>
      <c r="AC25" s="467">
        <f>VLOOKUP("HVAC",Class_Table,2,FALSE)</f>
        <v>1.25</v>
      </c>
      <c r="AD25" s="467">
        <f>VLOOKUP("Electric Heat",Class_Table,2,FALSE)</f>
        <v>1.25</v>
      </c>
      <c r="AE25" s="436">
        <f>VLOOKUP("Kitchen Equip",Class_Table,2,FALSE)</f>
        <v>1</v>
      </c>
      <c r="AF25" s="467">
        <f>VLOOKUP("Continuous (Other)",Class_Table,2,FALSE)</f>
        <v>1.25</v>
      </c>
      <c r="AG25" s="436">
        <f>VLOOKUP("Non-Continuous",Class_Table,2,FALSE)</f>
        <v>1</v>
      </c>
      <c r="AH25" s="436">
        <f>VLOOKUP("Panel",Class_Table,2,FALSE)</f>
        <v>1</v>
      </c>
      <c r="AI25" s="31"/>
      <c r="AJ25" s="31"/>
      <c r="AK25" s="31"/>
      <c r="AL25" s="31"/>
      <c r="AM25" s="31"/>
      <c r="AN25" s="31"/>
      <c r="AP25" s="31" t="s">
        <v>1191</v>
      </c>
      <c r="AQ25" s="31" t="s">
        <v>176</v>
      </c>
      <c r="AS25" s="392" t="s">
        <v>1877</v>
      </c>
      <c r="AT25" s="393" t="s">
        <v>2127</v>
      </c>
      <c r="AU25" s="31"/>
      <c r="AV25" s="31"/>
      <c r="AW25" s="31"/>
      <c r="AX25" s="31"/>
      <c r="AY25" s="541">
        <f>SUM(AY21:AY24)</f>
        <v>0</v>
      </c>
      <c r="AZ25" s="542">
        <f>SUM(AZ21:AZ24)</f>
        <v>0</v>
      </c>
      <c r="BA25" s="542">
        <f>SUM(BA21:BA24)</f>
        <v>0</v>
      </c>
      <c r="BB25" s="542">
        <f>SUM(BB21:BB24)</f>
        <v>0</v>
      </c>
      <c r="BC25" s="542">
        <f>SUM(BC21:BC24)</f>
        <v>0</v>
      </c>
    </row>
    <row r="26" spans="2:55" ht="15" customHeight="1" x14ac:dyDescent="0.45">
      <c r="B26" s="394"/>
      <c r="G26" s="391"/>
      <c r="H26" s="391"/>
      <c r="I26" s="788"/>
      <c r="M26" s="395"/>
      <c r="AP26" s="475"/>
      <c r="AQ26" s="478"/>
      <c r="AS26" s="392" t="s">
        <v>1878</v>
      </c>
      <c r="AT26" s="393" t="s">
        <v>2128</v>
      </c>
      <c r="AU26" s="31"/>
      <c r="AV26" s="31"/>
      <c r="AW26" s="31"/>
      <c r="AX26" s="31"/>
      <c r="AY26" s="541"/>
      <c r="AZ26" s="542"/>
      <c r="BA26" s="542"/>
      <c r="BB26" s="542"/>
      <c r="BC26" s="542"/>
    </row>
    <row r="27" spans="2:55" ht="30" customHeight="1" x14ac:dyDescent="0.45">
      <c r="B27" s="615" t="s">
        <v>110</v>
      </c>
      <c r="C27" s="616"/>
      <c r="D27" s="616"/>
      <c r="E27" s="616"/>
      <c r="F27" s="616"/>
      <c r="G27" s="616"/>
      <c r="H27" s="616"/>
      <c r="I27" s="616"/>
      <c r="J27" s="616"/>
      <c r="K27" s="616"/>
      <c r="L27" s="616"/>
      <c r="M27" s="743"/>
      <c r="N27" s="403"/>
      <c r="O27" s="746" t="s">
        <v>1193</v>
      </c>
      <c r="P27" s="747"/>
      <c r="Q27" s="747"/>
      <c r="R27" s="747"/>
      <c r="S27" s="747"/>
      <c r="T27" s="747"/>
      <c r="U27" s="747"/>
      <c r="V27" s="747"/>
      <c r="W27" s="748"/>
      <c r="X27" s="404"/>
      <c r="Y27" s="31"/>
      <c r="Z27" s="31"/>
      <c r="AA27" s="31"/>
      <c r="AB27" s="31"/>
      <c r="AC27" s="31"/>
      <c r="AD27" s="31"/>
      <c r="AE27" s="31"/>
      <c r="AF27" s="31"/>
      <c r="AG27" s="31"/>
      <c r="AH27" s="31"/>
      <c r="AI27" s="31"/>
      <c r="AJ27" s="31"/>
      <c r="AK27" s="31"/>
      <c r="AL27" s="31"/>
      <c r="AM27" s="31"/>
      <c r="AN27" s="31"/>
      <c r="AP27" s="31"/>
      <c r="AQ27" s="31" t="str">
        <f>IF($D$8="","",IFERROR(VLOOKUP($D$8,Volt_Table,2,FALSE),""))</f>
        <v/>
      </c>
      <c r="AS27" s="236" t="s">
        <v>1879</v>
      </c>
      <c r="AT27" s="236" t="s">
        <v>1881</v>
      </c>
      <c r="AU27" s="236"/>
      <c r="AV27" s="236"/>
      <c r="AW27" s="236"/>
      <c r="AX27" s="236"/>
    </row>
    <row r="28" spans="2:55" ht="30" customHeight="1" x14ac:dyDescent="0.45">
      <c r="B28" s="405" t="s">
        <v>111</v>
      </c>
      <c r="C28" s="749" t="s">
        <v>112</v>
      </c>
      <c r="D28" s="750"/>
      <c r="E28" s="406" t="s">
        <v>180</v>
      </c>
      <c r="F28" s="406" t="s">
        <v>179</v>
      </c>
      <c r="G28" s="406" t="s">
        <v>83</v>
      </c>
      <c r="H28" s="406" t="s">
        <v>212</v>
      </c>
      <c r="I28" s="406" t="s">
        <v>76</v>
      </c>
      <c r="J28" s="406" t="s">
        <v>232</v>
      </c>
      <c r="K28" s="406" t="s">
        <v>114</v>
      </c>
      <c r="L28" s="406" t="s">
        <v>178</v>
      </c>
      <c r="M28" s="406" t="s">
        <v>206</v>
      </c>
      <c r="N28" s="24"/>
      <c r="O28" s="407" t="s">
        <v>144</v>
      </c>
      <c r="P28" s="408" t="s">
        <v>143</v>
      </c>
      <c r="Q28" s="408" t="s">
        <v>145</v>
      </c>
      <c r="R28" s="408" t="s">
        <v>146</v>
      </c>
      <c r="S28" s="408" t="s">
        <v>147</v>
      </c>
      <c r="T28" s="408" t="s">
        <v>148</v>
      </c>
      <c r="U28" s="408" t="s">
        <v>149</v>
      </c>
      <c r="V28" s="408" t="s">
        <v>150</v>
      </c>
      <c r="W28" s="409" t="s">
        <v>153</v>
      </c>
      <c r="Y28" s="236" t="s">
        <v>181</v>
      </c>
      <c r="Z28" s="236" t="s">
        <v>182</v>
      </c>
      <c r="AA28" s="236" t="s">
        <v>183</v>
      </c>
      <c r="AB28" s="236" t="s">
        <v>184</v>
      </c>
      <c r="AC28" s="236" t="s">
        <v>185</v>
      </c>
      <c r="AD28" s="236" t="s">
        <v>113</v>
      </c>
      <c r="AE28" s="236" t="s">
        <v>115</v>
      </c>
      <c r="AF28" s="236" t="s">
        <v>186</v>
      </c>
      <c r="AG28" s="236" t="s">
        <v>187</v>
      </c>
      <c r="AH28" s="236" t="s">
        <v>116</v>
      </c>
      <c r="AI28" s="236" t="s">
        <v>188</v>
      </c>
      <c r="AJ28" s="236" t="s">
        <v>189</v>
      </c>
      <c r="AK28" s="236" t="s">
        <v>190</v>
      </c>
      <c r="AL28" s="236" t="s">
        <v>191</v>
      </c>
      <c r="AM28" s="236" t="s">
        <v>192</v>
      </c>
      <c r="AN28" s="236" t="s">
        <v>213</v>
      </c>
      <c r="AO28" s="235" t="s">
        <v>571</v>
      </c>
      <c r="AP28" s="236"/>
      <c r="AQ28" s="236" t="str">
        <f>IF($D$8="","",IFERROR(VLOOKUP($D$8,Volt_Table,5,FALSE),""))</f>
        <v/>
      </c>
      <c r="AS28" s="31" t="s">
        <v>1880</v>
      </c>
      <c r="AT28" s="31" t="s">
        <v>2143</v>
      </c>
      <c r="AU28" s="31"/>
      <c r="AV28" s="31"/>
      <c r="AW28" s="31"/>
      <c r="AX28" s="31"/>
    </row>
    <row r="29" spans="2:55" ht="15" customHeight="1" x14ac:dyDescent="0.35">
      <c r="B29" s="410">
        <f>ROW()-28</f>
        <v>1</v>
      </c>
      <c r="C29" s="663"/>
      <c r="D29" s="664"/>
      <c r="E29" s="411"/>
      <c r="F29" s="16" t="str" cm="1">
        <f t="array" ref="F29">IF($AN29=1,"-",IF($G29="Spare",IF($AM29&lt;&gt;"",$AM29,20),IF(OR($G29="",$G29="Space",$AF29&lt;=0),"",IFERROR(INDEX(OCPD_List,MATCH($AF29,OCPD_List,1)+IF(INDEX(OCPD_List,MATCH($AF29,OCPD_List,1))&gt;=$AF29,0,1)),15))))</f>
        <v/>
      </c>
      <c r="G29" s="412" t="str" cm="1">
        <f t="array" ref="G29">IF($AN29=1,"-",IF(COUNT($O29:$W29)=0,IF(UPPER(TRIM($C29))="SPARE","Spare","Space"),IF(COUNTIF($O29:$W29,"&gt;0")&gt;1,"COMB",CHOOSE(MATCH(TRUE,INDEX($O29:$W29&lt;&gt;"",0),0),"Lighting","Receptacle","Motor","HVAC","Electric Heat","Kitchen Equip","Continuous (Other)","Non-Continuous","Panel"))))</f>
        <v>Space</v>
      </c>
      <c r="H29" s="237" t="str">
        <f t="shared" ref="H29:H48" si="0">IF(COUNT($O29:$W29)=0,"",SUM($O29:$W29))</f>
        <v/>
      </c>
      <c r="I29" s="411"/>
      <c r="J29" s="411"/>
      <c r="K29" s="320" t="str" cm="1">
        <f t="array" ref="K29">IF(OR(Tog_VD&lt;&gt;"ON",$AD29=0,$AG29=0,$J29=0,$J29="",$AB29=0),"",(IF($E29=3,SQRT3,2)*BranchK*$AD29*$J29/(INDEX(INDEX(Cond_Table,0,2),$AG29)*MAX(1,$AO29)))/$AB29)</f>
        <v/>
      </c>
      <c r="L29" s="16" t="str" cm="1">
        <f t="array" ref="L29">IF(OR(Tog_Wire&lt;&gt;"ON",$AG29=0),"",IFERROR(IF($AO29&gt;1,"("&amp;$AO29&amp;") ","")&amp;"#"&amp;INDEX(Cond_Size,$AG29)&amp;" | #"&amp;INDEX(Cond_Size,MIN($AG29,MAX(Min_Cond_Pos,MATCH(TRUE,INDEX(Cond_Table,0,2)&gt;=INDEX(INDEX(Cond_Table,0,2),MATCH(INDEX(INDEX(EGC_Table,0,IF(Cfg_BranchMat="Cu",2,3)),MATCH(TRUE,INDEX(EGC_Table,0,1)&gt;=$F29,0)),Cond_Size,0))*INDEX(INDEX(Cond_Table,0,2),$AG29)/INDEX(INDEX(Cond_Table,0,2),MAX(Min_Cond_Pos,MATCH(TRUE,INDEX(Cond_Table,0,IF($AE29&lt;=100,BranchCol60,BranchAmpCol))&gt;=$AE29/MAX(1,$AO29),0))),0))))&amp;"G",""))</f>
        <v/>
      </c>
      <c r="M29" s="413"/>
      <c r="N29" s="10"/>
      <c r="O29" s="214"/>
      <c r="P29" s="215"/>
      <c r="Q29" s="215"/>
      <c r="R29" s="215"/>
      <c r="S29" s="215"/>
      <c r="T29" s="215"/>
      <c r="U29" s="215"/>
      <c r="V29" s="215"/>
      <c r="W29" s="216"/>
      <c r="Y29" s="31">
        <f t="shared" ref="Y29:Y48" si="1">IF($G29="",0,IFERROR(VLOOKUP($G29,Class_Table,3,FALSE),0))</f>
        <v>0</v>
      </c>
      <c r="Z29" s="415">
        <f t="shared" ref="Z29:Z48" si="2">IF($G29="COMB",IFERROR(SUMPRODUCT($O29:$W29,$Z$25:$AH$25)/SUM($O29:$W29),1),IF($G29="",0,IFERROR(VLOOKUP($G29,Class_Table,2,FALSE),0)))</f>
        <v>0</v>
      </c>
      <c r="AA29" s="31" t="str">
        <f t="shared" ref="AA29:AA48" si="3">IF($G29="","NONE",IFERROR(VLOOKUP($G29,Class_Table,4,FALSE),"NONE"))</f>
        <v>NONE</v>
      </c>
      <c r="AB29" s="31" t="str">
        <f>IF($E29=1,IF($AQ$28="",0,$AQ$28),$AQ$27)</f>
        <v/>
      </c>
      <c r="AC29" s="526">
        <f t="shared" ref="AC29:AC48" si="4">IF($Y29=1,IF($AQ$29=1,IFERROR(VLOOKUP($I29,Motor1_Table,IF($AB29&lt;=120,2,3),FALSE),0),IFERROR(VLOOKUP($I29,Motor3_Table,IF($AQ$27&lt;=208,2,IF($AQ$27&lt;=240,3,IF($AQ$27&lt;=480,4,5))),FALSE),0)),0)</f>
        <v>0</v>
      </c>
      <c r="AD29" s="415">
        <f t="shared" ref="AD29:AD48" si="5">IF(OR($AN29=1,$G29="-",$G29="",$G29="Space",$G29="Spare"),0,IF($AM29&lt;&gt;"",$AM29,IF(AND($Y29=1,$AC29&gt;0),$AC29,IF($AB29=0,0,$H29*1000/($AB29*IF($E29=3,SQRT3,1))))))</f>
        <v>0</v>
      </c>
      <c r="AE29" s="415">
        <f>$Z29*$AD29</f>
        <v>0</v>
      </c>
      <c r="AF29" s="415">
        <f>IF($Y29=1,2.5*$AD29,$AE29)</f>
        <v>0</v>
      </c>
      <c r="AG29" s="31" cm="1">
        <f t="array" ref="AG29">IF($AE29&lt;=0,0,IFERROR(_xlfn.LET(_xlpm.n,MAX(1,$AO29),_xlpm.i,$AE29/_xlpm.n,MIN(Max_Cond_Pos,MAX(Min_Cond_Pos,IF(_xlpm.n&gt;1,Par_Min_Pos,1),MATCH(TRUE,INDEX(Cond_Table,0,IF(_xlpm.i&lt;=100,BranchCol60,BranchAmpCol))&gt;=_xlpm.i,0),IF(OR(Tog_VD&lt;&gt;"ON",$J29=0,$J29="",$AB29=0),0,MATCH(TRUE,INDEX(Cond_Table,0,2)&gt;=IF($E29=3,SQRT3,2)*BranchK*$AD29*$J29/($AQ$22*$AB29*_xlpm.n),0))))),0))</f>
        <v>0</v>
      </c>
      <c r="AH29" s="415">
        <f t="shared" ref="AH29:AH48" si="6">IF(OR($AN29=1,$AD29=0),0,IF($Y29=1,$AD29*$AB29*IF($E29=3,SQRT3,1)/1000,$H29))</f>
        <v>0</v>
      </c>
      <c r="AI29" s="31">
        <f>MOD($B29-1,3)</f>
        <v>0</v>
      </c>
      <c r="AJ29" s="415">
        <f t="shared" ref="AJ29:AJ48" si="7">$AH29*IF($E29=3,1/3,IF($E29=2,IF(OR($AI29=0,MOD($AI29+1,3)=0),0.5,0),IF($AI29=0,1,0)))</f>
        <v>0</v>
      </c>
      <c r="AK29" s="415">
        <f t="shared" ref="AK29:AK48" si="8">$AH29*IF($E29=3,1/3,IF($E29=2,IF(OR($AI29=1,MOD($AI29+1,3)=1),0.5,0),IF($AI29=1,1,0)))</f>
        <v>0</v>
      </c>
      <c r="AL29" s="415">
        <f t="shared" ref="AL29:AL48" si="9">$AH29*IF($E29=3,1/3,IF($E29=2,IF(OR($AI29=2,MOD($AI29+1,3)=2),0.5,0),IF($AI29=2,1,0)))</f>
        <v>0</v>
      </c>
      <c r="AM29" s="31"/>
      <c r="AN29" s="31">
        <v>0</v>
      </c>
      <c r="AO29" s="563" cm="1">
        <f t="array" ref="AO29">IF($AE29&lt;=0,0,IFERROR(_xlfn.LET(_xlpm.col,IF($AE29&lt;=100,BranchCol60,BranchAmpCol),_xlpm.nA,ROUNDUP($AE29/INDEX(Cond_Table,Max_Cond_Pos,_xlpm.col),0),_xlpm.cm,IF(OR(Tog_VD&lt;&gt;"ON",$J29=0,$J29="",$AB29=0),0,IF($E29=3,SQRT3,2)*BranchK*$AD29*$J29/($AQ$22*$AB29)),_xlpm.nV,ROUNDUP(_xlpm.cm/INDEX(Cond_Table,Max_Cond_Pos,2),0),MAX(1,_xlpm.nA,_xlpm.nV)),1))</f>
        <v>0</v>
      </c>
      <c r="AP29" s="31"/>
      <c r="AQ29" s="31" t="str">
        <f>IF($D$8="","",IFERROR(VLOOKUP($D$8,Volt_Table,3,FALSE),""))</f>
        <v/>
      </c>
      <c r="AS29" s="31" t="s">
        <v>1882</v>
      </c>
      <c r="AT29" s="31" t="s">
        <v>224</v>
      </c>
      <c r="AU29" s="31"/>
      <c r="AV29" s="31"/>
      <c r="AW29" s="31"/>
      <c r="AX29" s="31"/>
    </row>
    <row r="30" spans="2:55" ht="15" customHeight="1" x14ac:dyDescent="0.35">
      <c r="B30" s="410">
        <f>ROW()-28</f>
        <v>2</v>
      </c>
      <c r="C30" s="663"/>
      <c r="D30" s="664"/>
      <c r="E30" s="411"/>
      <c r="F30" s="16" t="str" cm="1">
        <f t="array" ref="F30">IF($AN30=1,"-",IF($G30="Spare",IF($AM30&lt;&gt;"",$AM30,20),IF(OR($G30="",$G30="Space",$AF30&lt;=0),"",IFERROR(INDEX(OCPD_List,MATCH($AF30,OCPD_List,1)+IF(INDEX(OCPD_List,MATCH($AF30,OCPD_List,1))&gt;=$AF30,0,1)),15))))</f>
        <v/>
      </c>
      <c r="G30" s="412" t="str" cm="1">
        <f t="array" ref="G30">IF($AN30=1,"-",IF(COUNT($O30:$W30)=0,IF(UPPER(TRIM($C30))="SPARE","Spare","Space"),IF(COUNTIF($O30:$W30,"&gt;0")&gt;1,"COMB",CHOOSE(MATCH(TRUE,INDEX($O30:$W30&lt;&gt;"",0),0),"Lighting","Receptacle","Motor","HVAC","Electric Heat","Kitchen Equip","Continuous (Other)","Non-Continuous","Panel"))))</f>
        <v>Space</v>
      </c>
      <c r="H30" s="237" t="str">
        <f t="shared" si="0"/>
        <v/>
      </c>
      <c r="I30" s="411"/>
      <c r="J30" s="411"/>
      <c r="K30" s="320" t="str" cm="1">
        <f t="array" ref="K30">IF(OR(Tog_VD&lt;&gt;"ON",$AD30=0,$AG30=0,$J30=0,$J30="",$AB30=0),"",(IF($E30=3,SQRT3,2)*BranchK*$AD30*$J30/(INDEX(INDEX(Cond_Table,0,2),$AG30)*MAX(1,$AO30)))/$AB30)</f>
        <v/>
      </c>
      <c r="L30" s="16" t="str" cm="1">
        <f t="array" ref="L30">IF(OR(Tog_Wire&lt;&gt;"ON",$AG30=0),"",IFERROR(IF($AO30&gt;1,"("&amp;$AO30&amp;") ","")&amp;"#"&amp;INDEX(Cond_Size,$AG30)&amp;" | #"&amp;INDEX(Cond_Size,MIN($AG30,MAX(Min_Cond_Pos,MATCH(TRUE,INDEX(Cond_Table,0,2)&gt;=INDEX(INDEX(Cond_Table,0,2),MATCH(INDEX(INDEX(EGC_Table,0,IF(Cfg_BranchMat="Cu",2,3)),MATCH(TRUE,INDEX(EGC_Table,0,1)&gt;=$F30,0)),Cond_Size,0))*INDEX(INDEX(Cond_Table,0,2),$AG30)/INDEX(INDEX(Cond_Table,0,2),MAX(Min_Cond_Pos,MATCH(TRUE,INDEX(Cond_Table,0,IF($AE30&lt;=100,BranchCol60,BranchAmpCol))&gt;=$AE30/MAX(1,$AO30),0))),0))))&amp;"G",""))</f>
        <v/>
      </c>
      <c r="M30" s="413"/>
      <c r="N30" s="10"/>
      <c r="O30" s="214"/>
      <c r="P30" s="215"/>
      <c r="Q30" s="215"/>
      <c r="R30" s="215"/>
      <c r="S30" s="215"/>
      <c r="T30" s="215"/>
      <c r="U30" s="215"/>
      <c r="V30" s="215"/>
      <c r="W30" s="216"/>
      <c r="Y30" s="31">
        <f t="shared" si="1"/>
        <v>0</v>
      </c>
      <c r="Z30" s="415">
        <f t="shared" si="2"/>
        <v>0</v>
      </c>
      <c r="AA30" s="31" t="str">
        <f t="shared" si="3"/>
        <v>NONE</v>
      </c>
      <c r="AB30" s="31" t="str">
        <f t="shared" ref="AB30:AB48" si="10">IF($E30=1,IF($AQ$28="",0,$AQ$28),$AQ$27)</f>
        <v/>
      </c>
      <c r="AC30" s="526">
        <f t="shared" si="4"/>
        <v>0</v>
      </c>
      <c r="AD30" s="415">
        <f t="shared" si="5"/>
        <v>0</v>
      </c>
      <c r="AE30" s="415">
        <f t="shared" ref="AE30:AE48" si="11">$Z30*$AD30</f>
        <v>0</v>
      </c>
      <c r="AF30" s="415">
        <f t="shared" ref="AF30:AF48" si="12">IF($Y30=1,2.5*$AD30,$AE30)</f>
        <v>0</v>
      </c>
      <c r="AG30" s="31" cm="1">
        <f t="array" ref="AG30">IF($AE30&lt;=0,0,IFERROR(_xlfn.LET(_xlpm.n,MAX(1,$AO30),_xlpm.i,$AE30/_xlpm.n,MIN(Max_Cond_Pos,MAX(Min_Cond_Pos,IF(_xlpm.n&gt;1,Par_Min_Pos,1),MATCH(TRUE,INDEX(Cond_Table,0,IF(_xlpm.i&lt;=100,BranchCol60,BranchAmpCol))&gt;=_xlpm.i,0),IF(OR(Tog_VD&lt;&gt;"ON",$J30=0,$J30="",$AB30=0),0,MATCH(TRUE,INDEX(Cond_Table,0,2)&gt;=IF($E30=3,SQRT3,2)*BranchK*$AD30*$J30/($AQ$22*$AB30*_xlpm.n),0))))),0))</f>
        <v>0</v>
      </c>
      <c r="AH30" s="415">
        <f t="shared" si="6"/>
        <v>0</v>
      </c>
      <c r="AI30" s="31">
        <f t="shared" ref="AI30:AI48" si="13">MOD($B30-1,3)</f>
        <v>1</v>
      </c>
      <c r="AJ30" s="415">
        <f t="shared" si="7"/>
        <v>0</v>
      </c>
      <c r="AK30" s="415">
        <f t="shared" si="8"/>
        <v>0</v>
      </c>
      <c r="AL30" s="415">
        <f t="shared" si="9"/>
        <v>0</v>
      </c>
      <c r="AM30" s="31"/>
      <c r="AN30" s="31">
        <v>0</v>
      </c>
      <c r="AO30" s="563" cm="1">
        <f t="array" ref="AO30">IF($AE30&lt;=0,0,IFERROR(_xlfn.LET(_xlpm.col,IF($AE30&lt;=100,BranchCol60,BranchAmpCol),_xlpm.nA,ROUNDUP($AE30/INDEX(Cond_Table,Max_Cond_Pos,_xlpm.col),0),_xlpm.cm,IF(OR(Tog_VD&lt;&gt;"ON",$J30=0,$J30="",$AB30=0),0,IF($E30=3,SQRT3,2)*BranchK*$AD30*$J30/($AQ$22*$AB30)),_xlpm.nV,ROUNDUP(_xlpm.cm/INDEX(Cond_Table,Max_Cond_Pos,2),0),MAX(1,_xlpm.nA,_xlpm.nV)),1))</f>
        <v>0</v>
      </c>
      <c r="AP30" s="31"/>
      <c r="AQ30" s="415" t="str">
        <f>IF($AQ$29="","",IF($AQ$29=3,SQRT3,1))</f>
        <v/>
      </c>
      <c r="AS30" s="31" t="s">
        <v>1883</v>
      </c>
      <c r="AT30" s="31" t="s">
        <v>1884</v>
      </c>
      <c r="AU30" s="31"/>
      <c r="AV30" s="31"/>
      <c r="AW30" s="31"/>
      <c r="AX30" s="31"/>
    </row>
    <row r="31" spans="2:55" ht="15" customHeight="1" x14ac:dyDescent="0.35">
      <c r="B31" s="410">
        <f>ROW()-28</f>
        <v>3</v>
      </c>
      <c r="C31" s="663"/>
      <c r="D31" s="664"/>
      <c r="E31" s="411"/>
      <c r="F31" s="16" t="str" cm="1">
        <f t="array" ref="F31">IF($AN31=1,"-",IF($G31="Spare",IF($AM31&lt;&gt;"",$AM31,20),IF(OR($G31="",$G31="Space",$AF31&lt;=0),"",IFERROR(INDEX(OCPD_List,MATCH($AF31,OCPD_List,1)+IF(INDEX(OCPD_List,MATCH($AF31,OCPD_List,1))&gt;=$AF31,0,1)),15))))</f>
        <v/>
      </c>
      <c r="G31" s="412" t="str" cm="1">
        <f t="array" ref="G31">IF($AN31=1,"-",IF(COUNT($O31:$W31)=0,IF(UPPER(TRIM($C31))="SPARE","Spare","Space"),IF(COUNTIF($O31:$W31,"&gt;0")&gt;1,"COMB",CHOOSE(MATCH(TRUE,INDEX($O31:$W31&lt;&gt;"",0),0),"Lighting","Receptacle","Motor","HVAC","Electric Heat","Kitchen Equip","Continuous (Other)","Non-Continuous","Panel"))))</f>
        <v>Space</v>
      </c>
      <c r="H31" s="237" t="str">
        <f t="shared" si="0"/>
        <v/>
      </c>
      <c r="I31" s="411"/>
      <c r="J31" s="411"/>
      <c r="K31" s="320" t="str" cm="1">
        <f t="array" ref="K31">IF(OR(Tog_VD&lt;&gt;"ON",$AD31=0,$AG31=0,$J31=0,$J31="",$AB31=0),"",(IF($E31=3,SQRT3,2)*BranchK*$AD31*$J31/(INDEX(INDEX(Cond_Table,0,2),$AG31)*MAX(1,$AO31)))/$AB31)</f>
        <v/>
      </c>
      <c r="L31" s="16" t="str" cm="1">
        <f t="array" ref="L31">IF(OR(Tog_Wire&lt;&gt;"ON",$AG31=0),"",IFERROR(IF($AO31&gt;1,"("&amp;$AO31&amp;") ","")&amp;"#"&amp;INDEX(Cond_Size,$AG31)&amp;" | #"&amp;INDEX(Cond_Size,MIN($AG31,MAX(Min_Cond_Pos,MATCH(TRUE,INDEX(Cond_Table,0,2)&gt;=INDEX(INDEX(Cond_Table,0,2),MATCH(INDEX(INDEX(EGC_Table,0,IF(Cfg_BranchMat="Cu",2,3)),MATCH(TRUE,INDEX(EGC_Table,0,1)&gt;=$F31,0)),Cond_Size,0))*INDEX(INDEX(Cond_Table,0,2),$AG31)/INDEX(INDEX(Cond_Table,0,2),MAX(Min_Cond_Pos,MATCH(TRUE,INDEX(Cond_Table,0,IF($AE31&lt;=100,BranchCol60,BranchAmpCol))&gt;=$AE31/MAX(1,$AO31),0))),0))))&amp;"G",""))</f>
        <v/>
      </c>
      <c r="M31" s="413"/>
      <c r="N31" s="10"/>
      <c r="O31" s="214"/>
      <c r="P31" s="215"/>
      <c r="Q31" s="215"/>
      <c r="R31" s="215"/>
      <c r="S31" s="215"/>
      <c r="T31" s="215"/>
      <c r="U31" s="215"/>
      <c r="V31" s="215"/>
      <c r="W31" s="216"/>
      <c r="Y31" s="31">
        <f t="shared" si="1"/>
        <v>0</v>
      </c>
      <c r="Z31" s="415">
        <f t="shared" si="2"/>
        <v>0</v>
      </c>
      <c r="AA31" s="31" t="str">
        <f t="shared" si="3"/>
        <v>NONE</v>
      </c>
      <c r="AB31" s="31" t="str">
        <f t="shared" si="10"/>
        <v/>
      </c>
      <c r="AC31" s="526">
        <f t="shared" si="4"/>
        <v>0</v>
      </c>
      <c r="AD31" s="415">
        <f t="shared" si="5"/>
        <v>0</v>
      </c>
      <c r="AE31" s="415">
        <f t="shared" si="11"/>
        <v>0</v>
      </c>
      <c r="AF31" s="415">
        <f t="shared" si="12"/>
        <v>0</v>
      </c>
      <c r="AG31" s="31" cm="1">
        <f t="array" ref="AG31">IF($AE31&lt;=0,0,IFERROR(_xlfn.LET(_xlpm.n,MAX(1,$AO31),_xlpm.i,$AE31/_xlpm.n,MIN(Max_Cond_Pos,MAX(Min_Cond_Pos,IF(_xlpm.n&gt;1,Par_Min_Pos,1),MATCH(TRUE,INDEX(Cond_Table,0,IF(_xlpm.i&lt;=100,BranchCol60,BranchAmpCol))&gt;=_xlpm.i,0),IF(OR(Tog_VD&lt;&gt;"ON",$J31=0,$J31="",$AB31=0),0,MATCH(TRUE,INDEX(Cond_Table,0,2)&gt;=IF($E31=3,SQRT3,2)*BranchK*$AD31*$J31/($AQ$22*$AB31*_xlpm.n),0))))),0))</f>
        <v>0</v>
      </c>
      <c r="AH31" s="415">
        <f t="shared" si="6"/>
        <v>0</v>
      </c>
      <c r="AI31" s="31">
        <f t="shared" si="13"/>
        <v>2</v>
      </c>
      <c r="AJ31" s="415">
        <f t="shared" si="7"/>
        <v>0</v>
      </c>
      <c r="AK31" s="415">
        <f t="shared" si="8"/>
        <v>0</v>
      </c>
      <c r="AL31" s="415">
        <f t="shared" si="9"/>
        <v>0</v>
      </c>
      <c r="AM31" s="31"/>
      <c r="AN31" s="31">
        <v>0</v>
      </c>
      <c r="AO31" s="563" cm="1">
        <f t="array" ref="AO31">IF($AE31&lt;=0,0,IFERROR(_xlfn.LET(_xlpm.col,IF($AE31&lt;=100,BranchCol60,BranchAmpCol),_xlpm.nA,ROUNDUP($AE31/INDEX(Cond_Table,Max_Cond_Pos,_xlpm.col),0),_xlpm.cm,IF(OR(Tog_VD&lt;&gt;"ON",$J31=0,$J31="",$AB31=0),0,IF($E31=3,SQRT3,2)*BranchK*$AD31*$J31/($AQ$22*$AB31)),_xlpm.nV,ROUNDUP(_xlpm.cm/INDEX(Cond_Table,Max_Cond_Pos,2),0),MAX(1,_xlpm.nA,_xlpm.nV)),1))</f>
        <v>0</v>
      </c>
      <c r="AP31" s="31"/>
      <c r="AQ31" s="526" t="str">
        <f>IF(OR($AQ$27="",$AQ$30=""),"",$L$16*1000/($AQ$27*$AQ$30))</f>
        <v/>
      </c>
      <c r="AS31" s="31" t="s">
        <v>1203</v>
      </c>
      <c r="AT31" s="31">
        <v>20</v>
      </c>
      <c r="AU31" s="31"/>
      <c r="AV31" s="31"/>
      <c r="AW31" s="31"/>
      <c r="AX31" s="31"/>
    </row>
    <row r="32" spans="2:55" ht="15" customHeight="1" x14ac:dyDescent="0.35">
      <c r="B32" s="410">
        <f>ROW()-28</f>
        <v>4</v>
      </c>
      <c r="C32" s="663"/>
      <c r="D32" s="664"/>
      <c r="E32" s="411"/>
      <c r="F32" s="16" t="str" cm="1">
        <f t="array" ref="F32">IF($AN32=1,"-",IF($G32="Spare",IF($AM32&lt;&gt;"",$AM32,20),IF(OR($G32="",$G32="Space",$AF32&lt;=0),"",IFERROR(INDEX(OCPD_List,MATCH($AF32,OCPD_List,1)+IF(INDEX(OCPD_List,MATCH($AF32,OCPD_List,1))&gt;=$AF32,0,1)),15))))</f>
        <v/>
      </c>
      <c r="G32" s="412" t="str" cm="1">
        <f t="array" ref="G32">IF($AN32=1,"-",IF(COUNT($O32:$W32)=0,IF(UPPER(TRIM($C32))="SPARE","Spare","Space"),IF(COUNTIF($O32:$W32,"&gt;0")&gt;1,"COMB",CHOOSE(MATCH(TRUE,INDEX($O32:$W32&lt;&gt;"",0),0),"Lighting","Receptacle","Motor","HVAC","Electric Heat","Kitchen Equip","Continuous (Other)","Non-Continuous","Panel"))))</f>
        <v>Space</v>
      </c>
      <c r="H32" s="237" t="str">
        <f t="shared" si="0"/>
        <v/>
      </c>
      <c r="I32" s="411"/>
      <c r="J32" s="411"/>
      <c r="K32" s="320" t="str" cm="1">
        <f t="array" ref="K32">IF(OR(Tog_VD&lt;&gt;"ON",$AD32=0,$AG32=0,$J32=0,$J32="",$AB32=0),"",(IF($E32=3,SQRT3,2)*BranchK*$AD32*$J32/(INDEX(INDEX(Cond_Table,0,2),$AG32)*MAX(1,$AO32)))/$AB32)</f>
        <v/>
      </c>
      <c r="L32" s="16" t="str" cm="1">
        <f t="array" ref="L32">IF(OR(Tog_Wire&lt;&gt;"ON",$AG32=0),"",IFERROR(IF($AO32&gt;1,"("&amp;$AO32&amp;") ","")&amp;"#"&amp;INDEX(Cond_Size,$AG32)&amp;" | #"&amp;INDEX(Cond_Size,MIN($AG32,MAX(Min_Cond_Pos,MATCH(TRUE,INDEX(Cond_Table,0,2)&gt;=INDEX(INDEX(Cond_Table,0,2),MATCH(INDEX(INDEX(EGC_Table,0,IF(Cfg_BranchMat="Cu",2,3)),MATCH(TRUE,INDEX(EGC_Table,0,1)&gt;=$F32,0)),Cond_Size,0))*INDEX(INDEX(Cond_Table,0,2),$AG32)/INDEX(INDEX(Cond_Table,0,2),MAX(Min_Cond_Pos,MATCH(TRUE,INDEX(Cond_Table,0,IF($AE32&lt;=100,BranchCol60,BranchAmpCol))&gt;=$AE32/MAX(1,$AO32),0))),0))))&amp;"G",""))</f>
        <v/>
      </c>
      <c r="M32" s="413"/>
      <c r="N32" s="10"/>
      <c r="O32" s="214"/>
      <c r="P32" s="215"/>
      <c r="Q32" s="215"/>
      <c r="R32" s="215"/>
      <c r="S32" s="215"/>
      <c r="T32" s="215"/>
      <c r="U32" s="215"/>
      <c r="V32" s="215"/>
      <c r="W32" s="216"/>
      <c r="Y32" s="31">
        <f t="shared" si="1"/>
        <v>0</v>
      </c>
      <c r="Z32" s="415">
        <f t="shared" si="2"/>
        <v>0</v>
      </c>
      <c r="AA32" s="31" t="str">
        <f t="shared" si="3"/>
        <v>NONE</v>
      </c>
      <c r="AB32" s="31" t="str">
        <f t="shared" si="10"/>
        <v/>
      </c>
      <c r="AC32" s="526">
        <f t="shared" si="4"/>
        <v>0</v>
      </c>
      <c r="AD32" s="415">
        <f t="shared" si="5"/>
        <v>0</v>
      </c>
      <c r="AE32" s="415">
        <f t="shared" si="11"/>
        <v>0</v>
      </c>
      <c r="AF32" s="415">
        <f t="shared" si="12"/>
        <v>0</v>
      </c>
      <c r="AG32" s="31" cm="1">
        <f t="array" ref="AG32">IF($AE32&lt;=0,0,IFERROR(_xlfn.LET(_xlpm.n,MAX(1,$AO32),_xlpm.i,$AE32/_xlpm.n,MIN(Max_Cond_Pos,MAX(Min_Cond_Pos,IF(_xlpm.n&gt;1,Par_Min_Pos,1),MATCH(TRUE,INDEX(Cond_Table,0,IF(_xlpm.i&lt;=100,BranchCol60,BranchAmpCol))&gt;=_xlpm.i,0),IF(OR(Tog_VD&lt;&gt;"ON",$J32=0,$J32="",$AB32=0),0,MATCH(TRUE,INDEX(Cond_Table,0,2)&gt;=IF($E32=3,SQRT3,2)*BranchK*$AD32*$J32/($AQ$22*$AB32*_xlpm.n),0))))),0))</f>
        <v>0</v>
      </c>
      <c r="AH32" s="415">
        <f t="shared" si="6"/>
        <v>0</v>
      </c>
      <c r="AI32" s="31">
        <f t="shared" si="13"/>
        <v>0</v>
      </c>
      <c r="AJ32" s="415">
        <f t="shared" si="7"/>
        <v>0</v>
      </c>
      <c r="AK32" s="415">
        <f t="shared" si="8"/>
        <v>0</v>
      </c>
      <c r="AL32" s="415">
        <f t="shared" si="9"/>
        <v>0</v>
      </c>
      <c r="AM32" s="31"/>
      <c r="AN32" s="31">
        <v>0</v>
      </c>
      <c r="AO32" s="563" cm="1">
        <f t="array" ref="AO32">IF($AE32&lt;=0,0,IFERROR(_xlfn.LET(_xlpm.col,IF($AE32&lt;=100,BranchCol60,BranchAmpCol),_xlpm.nA,ROUNDUP($AE32/INDEX(Cond_Table,Max_Cond_Pos,_xlpm.col),0),_xlpm.cm,IF(OR(Tog_VD&lt;&gt;"ON",$J32=0,$J32="",$AB32=0),0,IF($E32=3,SQRT3,2)*BranchK*$AD32*$J32/($AQ$22*$AB32)),_xlpm.nV,ROUNDUP(_xlpm.cm/INDEX(Cond_Table,Max_Cond_Pos,2),0),MAX(1,_xlpm.nA,_xlpm.nV)),1))</f>
        <v>0</v>
      </c>
      <c r="AP32" s="31"/>
      <c r="AQ32" s="31" cm="1">
        <f t="array" ref="AQ32">IF($AQ$31="",0,IF($AQ$31&lt;=0,0,IFERROR(_xlfn.LET(_xlpm.n,MAX(1,$AQ$40),_xlpm.i,$AQ$31/_xlpm.n,MIN(Max_Cond_Pos,MAX(Min_Cond_Pos,IF(_xlpm.n&gt;1,Par_Min_Pos,1),MATCH(TRUE,INDEX(Cond_Table,0,IF(_xlpm.i&lt;=100,FeederCol60,FeederAmpCol))&gt;=_xlpm.i,0),IF(OR(Tog_VD&lt;&gt;"ON",N($H$13)=0,N($H$13)=""),0,MATCH(TRUE,INDEX(Cond_Table,0,2)&gt;=IF($AQ$29=3,SQRT3,2)*FeederK*$AQ$31*N($H$13)/(Cfg_VDFeeder*$AQ$27*_xlpm.n),0))))),0)))</f>
        <v>0</v>
      </c>
      <c r="AS32" s="31" t="s">
        <v>1204</v>
      </c>
      <c r="AT32" s="31">
        <v>3</v>
      </c>
      <c r="AU32" s="31"/>
      <c r="AV32" s="31"/>
      <c r="AW32" s="31"/>
      <c r="AX32" s="31"/>
    </row>
    <row r="33" spans="2:50" ht="15" customHeight="1" x14ac:dyDescent="0.35">
      <c r="B33" s="410">
        <f>ROW()-28</f>
        <v>5</v>
      </c>
      <c r="C33" s="663"/>
      <c r="D33" s="664"/>
      <c r="E33" s="411"/>
      <c r="F33" s="16" t="str" cm="1">
        <f t="array" ref="F33">IF($AN33=1,"-",IF($G33="Spare",IF($AM33&lt;&gt;"",$AM33,20),IF(OR($G33="",$G33="Space",$AF33&lt;=0),"",IFERROR(INDEX(OCPD_List,MATCH($AF33,OCPD_List,1)+IF(INDEX(OCPD_List,MATCH($AF33,OCPD_List,1))&gt;=$AF33,0,1)),15))))</f>
        <v/>
      </c>
      <c r="G33" s="412" t="str" cm="1">
        <f t="array" ref="G33">IF($AN33=1,"-",IF(COUNT($O33:$W33)=0,IF(UPPER(TRIM($C33))="SPARE","Spare","Space"),IF(COUNTIF($O33:$W33,"&gt;0")&gt;1,"COMB",CHOOSE(MATCH(TRUE,INDEX($O33:$W33&lt;&gt;"",0),0),"Lighting","Receptacle","Motor","HVAC","Electric Heat","Kitchen Equip","Continuous (Other)","Non-Continuous","Panel"))))</f>
        <v>Space</v>
      </c>
      <c r="H33" s="237" t="str">
        <f t="shared" si="0"/>
        <v/>
      </c>
      <c r="I33" s="411"/>
      <c r="J33" s="411"/>
      <c r="K33" s="320" t="str" cm="1">
        <f t="array" ref="K33">IF(OR(Tog_VD&lt;&gt;"ON",$AD33=0,$AG33=0,$J33=0,$J33="",$AB33=0),"",(IF($E33=3,SQRT3,2)*BranchK*$AD33*$J33/(INDEX(INDEX(Cond_Table,0,2),$AG33)*MAX(1,$AO33)))/$AB33)</f>
        <v/>
      </c>
      <c r="L33" s="16" t="str" cm="1">
        <f t="array" ref="L33">IF(OR(Tog_Wire&lt;&gt;"ON",$AG33=0),"",IFERROR(IF($AO33&gt;1,"("&amp;$AO33&amp;") ","")&amp;"#"&amp;INDEX(Cond_Size,$AG33)&amp;" | #"&amp;INDEX(Cond_Size,MIN($AG33,MAX(Min_Cond_Pos,MATCH(TRUE,INDEX(Cond_Table,0,2)&gt;=INDEX(INDEX(Cond_Table,0,2),MATCH(INDEX(INDEX(EGC_Table,0,IF(Cfg_BranchMat="Cu",2,3)),MATCH(TRUE,INDEX(EGC_Table,0,1)&gt;=$F33,0)),Cond_Size,0))*INDEX(INDEX(Cond_Table,0,2),$AG33)/INDEX(INDEX(Cond_Table,0,2),MAX(Min_Cond_Pos,MATCH(TRUE,INDEX(Cond_Table,0,IF($AE33&lt;=100,BranchCol60,BranchAmpCol))&gt;=$AE33/MAX(1,$AO33),0))),0))))&amp;"G",""))</f>
        <v/>
      </c>
      <c r="M33" s="413"/>
      <c r="N33" s="10"/>
      <c r="O33" s="214"/>
      <c r="P33" s="215"/>
      <c r="Q33" s="215"/>
      <c r="R33" s="215"/>
      <c r="S33" s="215"/>
      <c r="T33" s="215"/>
      <c r="U33" s="215"/>
      <c r="V33" s="215"/>
      <c r="W33" s="216"/>
      <c r="Y33" s="31">
        <f t="shared" si="1"/>
        <v>0</v>
      </c>
      <c r="Z33" s="415">
        <f t="shared" si="2"/>
        <v>0</v>
      </c>
      <c r="AA33" s="31" t="str">
        <f t="shared" si="3"/>
        <v>NONE</v>
      </c>
      <c r="AB33" s="31" t="str">
        <f t="shared" si="10"/>
        <v/>
      </c>
      <c r="AC33" s="526">
        <f t="shared" si="4"/>
        <v>0</v>
      </c>
      <c r="AD33" s="415">
        <f t="shared" si="5"/>
        <v>0</v>
      </c>
      <c r="AE33" s="415">
        <f t="shared" si="11"/>
        <v>0</v>
      </c>
      <c r="AF33" s="415">
        <f t="shared" si="12"/>
        <v>0</v>
      </c>
      <c r="AG33" s="31" cm="1">
        <f t="array" ref="AG33">IF($AE33&lt;=0,0,IFERROR(_xlfn.LET(_xlpm.n,MAX(1,$AO33),_xlpm.i,$AE33/_xlpm.n,MIN(Max_Cond_Pos,MAX(Min_Cond_Pos,IF(_xlpm.n&gt;1,Par_Min_Pos,1),MATCH(TRUE,INDEX(Cond_Table,0,IF(_xlpm.i&lt;=100,BranchCol60,BranchAmpCol))&gt;=_xlpm.i,0),IF(OR(Tog_VD&lt;&gt;"ON",$J33=0,$J33="",$AB33=0),0,MATCH(TRUE,INDEX(Cond_Table,0,2)&gt;=IF($E33=3,SQRT3,2)*BranchK*$AD33*$J33/($AQ$22*$AB33*_xlpm.n),0))))),0))</f>
        <v>0</v>
      </c>
      <c r="AH33" s="415">
        <f t="shared" si="6"/>
        <v>0</v>
      </c>
      <c r="AI33" s="31">
        <f t="shared" si="13"/>
        <v>1</v>
      </c>
      <c r="AJ33" s="415">
        <f t="shared" si="7"/>
        <v>0</v>
      </c>
      <c r="AK33" s="415">
        <f t="shared" si="8"/>
        <v>0</v>
      </c>
      <c r="AL33" s="415">
        <f t="shared" si="9"/>
        <v>0</v>
      </c>
      <c r="AM33" s="31"/>
      <c r="AN33" s="31">
        <v>0</v>
      </c>
      <c r="AO33" s="563" cm="1">
        <f t="array" ref="AO33">IF($AE33&lt;=0,0,IFERROR(_xlfn.LET(_xlpm.col,IF($AE33&lt;=100,BranchCol60,BranchAmpCol),_xlpm.nA,ROUNDUP($AE33/INDEX(Cond_Table,Max_Cond_Pos,_xlpm.col),0),_xlpm.cm,IF(OR(Tog_VD&lt;&gt;"ON",$J33=0,$J33="",$AB33=0),0,IF($E33=3,SQRT3,2)*BranchK*$AD33*$J33/($AQ$22*$AB33)),_xlpm.nV,ROUNDUP(_xlpm.cm/INDEX(Cond_Table,Max_Cond_Pos,2),0),MAX(1,_xlpm.nA,_xlpm.nV)),1))</f>
        <v>0</v>
      </c>
      <c r="AP33" s="31"/>
      <c r="AQ33" s="31" cm="1">
        <f t="array" ref="AQ33">IF($D$12&lt;=0,0,IFERROR(MAX(Min_Cond_Pos,MATCH(TRUE,INDEX(Cond_Table,0,IF($D$12&lt;=100,FeederCol60,FeederAmpCol))&gt;=$D$12,0)),0))</f>
        <v>0</v>
      </c>
      <c r="AS33" s="31" t="s">
        <v>1205</v>
      </c>
      <c r="AT33" s="31" t="s">
        <v>224</v>
      </c>
      <c r="AU33" s="31"/>
      <c r="AV33" s="31"/>
      <c r="AW33" s="31"/>
      <c r="AX33" s="31"/>
    </row>
    <row r="34" spans="2:50" ht="15" customHeight="1" x14ac:dyDescent="0.35">
      <c r="B34" s="410">
        <f>ROW()-28</f>
        <v>6</v>
      </c>
      <c r="C34" s="663"/>
      <c r="D34" s="664"/>
      <c r="E34" s="411"/>
      <c r="F34" s="16" t="str" cm="1">
        <f t="array" ref="F34">IF($AN34=1,"-",IF($G34="Spare",IF($AM34&lt;&gt;"",$AM34,20),IF(OR($G34="",$G34="Space",$AF34&lt;=0),"",IFERROR(INDEX(OCPD_List,MATCH($AF34,OCPD_List,1)+IF(INDEX(OCPD_List,MATCH($AF34,OCPD_List,1))&gt;=$AF34,0,1)),15))))</f>
        <v/>
      </c>
      <c r="G34" s="412" t="str" cm="1">
        <f t="array" ref="G34">IF($AN34=1,"-",IF(COUNT($O34:$W34)=0,IF(UPPER(TRIM($C34))="SPARE","Spare","Space"),IF(COUNTIF($O34:$W34,"&gt;0")&gt;1,"COMB",CHOOSE(MATCH(TRUE,INDEX($O34:$W34&lt;&gt;"",0),0),"Lighting","Receptacle","Motor","HVAC","Electric Heat","Kitchen Equip","Continuous (Other)","Non-Continuous","Panel"))))</f>
        <v>Space</v>
      </c>
      <c r="H34" s="237" t="str">
        <f t="shared" si="0"/>
        <v/>
      </c>
      <c r="I34" s="411"/>
      <c r="J34" s="411"/>
      <c r="K34" s="320" t="str" cm="1">
        <f t="array" ref="K34">IF(OR(Tog_VD&lt;&gt;"ON",$AD34=0,$AG34=0,$J34=0,$J34="",$AB34=0),"",(IF($E34=3,SQRT3,2)*BranchK*$AD34*$J34/(INDEX(INDEX(Cond_Table,0,2),$AG34)*MAX(1,$AO34)))/$AB34)</f>
        <v/>
      </c>
      <c r="L34" s="16" t="str" cm="1">
        <f t="array" ref="L34">IF(OR(Tog_Wire&lt;&gt;"ON",$AG34=0),"",IFERROR(IF($AO34&gt;1,"("&amp;$AO34&amp;") ","")&amp;"#"&amp;INDEX(Cond_Size,$AG34)&amp;" | #"&amp;INDEX(Cond_Size,MIN($AG34,MAX(Min_Cond_Pos,MATCH(TRUE,INDEX(Cond_Table,0,2)&gt;=INDEX(INDEX(Cond_Table,0,2),MATCH(INDEX(INDEX(EGC_Table,0,IF(Cfg_BranchMat="Cu",2,3)),MATCH(TRUE,INDEX(EGC_Table,0,1)&gt;=$F34,0)),Cond_Size,0))*INDEX(INDEX(Cond_Table,0,2),$AG34)/INDEX(INDEX(Cond_Table,0,2),MAX(Min_Cond_Pos,MATCH(TRUE,INDEX(Cond_Table,0,IF($AE34&lt;=100,BranchCol60,BranchAmpCol))&gt;=$AE34/MAX(1,$AO34),0))),0))))&amp;"G",""))</f>
        <v/>
      </c>
      <c r="M34" s="413"/>
      <c r="N34" s="10"/>
      <c r="O34" s="214"/>
      <c r="P34" s="215"/>
      <c r="Q34" s="215"/>
      <c r="R34" s="215"/>
      <c r="S34" s="215"/>
      <c r="T34" s="215"/>
      <c r="U34" s="215"/>
      <c r="V34" s="215"/>
      <c r="W34" s="216"/>
      <c r="Y34" s="31">
        <f t="shared" si="1"/>
        <v>0</v>
      </c>
      <c r="Z34" s="415">
        <f t="shared" si="2"/>
        <v>0</v>
      </c>
      <c r="AA34" s="31" t="str">
        <f t="shared" si="3"/>
        <v>NONE</v>
      </c>
      <c r="AB34" s="31" t="str">
        <f t="shared" si="10"/>
        <v/>
      </c>
      <c r="AC34" s="526">
        <f t="shared" si="4"/>
        <v>0</v>
      </c>
      <c r="AD34" s="415">
        <f t="shared" si="5"/>
        <v>0</v>
      </c>
      <c r="AE34" s="415">
        <f t="shared" si="11"/>
        <v>0</v>
      </c>
      <c r="AF34" s="415">
        <f t="shared" si="12"/>
        <v>0</v>
      </c>
      <c r="AG34" s="31" cm="1">
        <f t="array" ref="AG34">IF($AE34&lt;=0,0,IFERROR(_xlfn.LET(_xlpm.n,MAX(1,$AO34),_xlpm.i,$AE34/_xlpm.n,MIN(Max_Cond_Pos,MAX(Min_Cond_Pos,IF(_xlpm.n&gt;1,Par_Min_Pos,1),MATCH(TRUE,INDEX(Cond_Table,0,IF(_xlpm.i&lt;=100,BranchCol60,BranchAmpCol))&gt;=_xlpm.i,0),IF(OR(Tog_VD&lt;&gt;"ON",$J34=0,$J34="",$AB34=0),0,MATCH(TRUE,INDEX(Cond_Table,0,2)&gt;=IF($E34=3,SQRT3,2)*BranchK*$AD34*$J34/($AQ$22*$AB34*_xlpm.n),0))))),0))</f>
        <v>0</v>
      </c>
      <c r="AH34" s="415">
        <f t="shared" si="6"/>
        <v>0</v>
      </c>
      <c r="AI34" s="31">
        <f t="shared" si="13"/>
        <v>2</v>
      </c>
      <c r="AJ34" s="415">
        <f t="shared" si="7"/>
        <v>0</v>
      </c>
      <c r="AK34" s="415">
        <f t="shared" si="8"/>
        <v>0</v>
      </c>
      <c r="AL34" s="415">
        <f t="shared" si="9"/>
        <v>0</v>
      </c>
      <c r="AM34" s="31"/>
      <c r="AN34" s="31">
        <v>0</v>
      </c>
      <c r="AO34" s="563" cm="1">
        <f t="array" ref="AO34">IF($AE34&lt;=0,0,IFERROR(_xlfn.LET(_xlpm.col,IF($AE34&lt;=100,BranchCol60,BranchAmpCol),_xlpm.nA,ROUNDUP($AE34/INDEX(Cond_Table,Max_Cond_Pos,_xlpm.col),0),_xlpm.cm,IF(OR(Tog_VD&lt;&gt;"ON",$J34=0,$J34="",$AB34=0),0,IF($E34=3,SQRT3,2)*BranchK*$AD34*$J34/($AQ$22*$AB34)),_xlpm.nV,ROUNDUP(_xlpm.cm/INDEX(Cond_Table,Max_Cond_Pos,2),0),MAX(1,_xlpm.nA,_xlpm.nV)),1))</f>
        <v>0</v>
      </c>
      <c r="AP34" s="31"/>
      <c r="AQ34" s="31">
        <f>COUNTIFS($T$29:$T$48,"&gt;0")</f>
        <v>0</v>
      </c>
      <c r="AS34" s="416" t="s">
        <v>1253</v>
      </c>
      <c r="AT34" s="31" t="s">
        <v>1179</v>
      </c>
      <c r="AU34" s="31"/>
      <c r="AV34" s="31"/>
      <c r="AW34" s="31"/>
      <c r="AX34" s="31"/>
    </row>
    <row r="35" spans="2:50" ht="15" customHeight="1" x14ac:dyDescent="0.35">
      <c r="B35" s="410">
        <f>ROW()-28</f>
        <v>7</v>
      </c>
      <c r="C35" s="663"/>
      <c r="D35" s="664"/>
      <c r="E35" s="411"/>
      <c r="F35" s="16" t="str" cm="1">
        <f t="array" ref="F35">IF($AN35=1,"-",IF($G35="Spare",IF($AM35&lt;&gt;"",$AM35,20),IF(OR($G35="",$G35="Space",$AF35&lt;=0),"",IFERROR(INDEX(OCPD_List,MATCH($AF35,OCPD_List,1)+IF(INDEX(OCPD_List,MATCH($AF35,OCPD_List,1))&gt;=$AF35,0,1)),15))))</f>
        <v/>
      </c>
      <c r="G35" s="412" t="str" cm="1">
        <f t="array" ref="G35">IF($AN35=1,"-",IF(COUNT($O35:$W35)=0,IF(UPPER(TRIM($C35))="SPARE","Spare","Space"),IF(COUNTIF($O35:$W35,"&gt;0")&gt;1,"COMB",CHOOSE(MATCH(TRUE,INDEX($O35:$W35&lt;&gt;"",0),0),"Lighting","Receptacle","Motor","HVAC","Electric Heat","Kitchen Equip","Continuous (Other)","Non-Continuous","Panel"))))</f>
        <v>Space</v>
      </c>
      <c r="H35" s="237" t="str">
        <f t="shared" si="0"/>
        <v/>
      </c>
      <c r="I35" s="411"/>
      <c r="J35" s="411"/>
      <c r="K35" s="320" t="str" cm="1">
        <f t="array" ref="K35">IF(OR(Tog_VD&lt;&gt;"ON",$AD35=0,$AG35=0,$J35=0,$J35="",$AB35=0),"",(IF($E35=3,SQRT3,2)*BranchK*$AD35*$J35/(INDEX(INDEX(Cond_Table,0,2),$AG35)*MAX(1,$AO35)))/$AB35)</f>
        <v/>
      </c>
      <c r="L35" s="16" t="str" cm="1">
        <f t="array" ref="L35">IF(OR(Tog_Wire&lt;&gt;"ON",$AG35=0),"",IFERROR(IF($AO35&gt;1,"("&amp;$AO35&amp;") ","")&amp;"#"&amp;INDEX(Cond_Size,$AG35)&amp;" | #"&amp;INDEX(Cond_Size,MIN($AG35,MAX(Min_Cond_Pos,MATCH(TRUE,INDEX(Cond_Table,0,2)&gt;=INDEX(INDEX(Cond_Table,0,2),MATCH(INDEX(INDEX(EGC_Table,0,IF(Cfg_BranchMat="Cu",2,3)),MATCH(TRUE,INDEX(EGC_Table,0,1)&gt;=$F35,0)),Cond_Size,0))*INDEX(INDEX(Cond_Table,0,2),$AG35)/INDEX(INDEX(Cond_Table,0,2),MAX(Min_Cond_Pos,MATCH(TRUE,INDEX(Cond_Table,0,IF($AE35&lt;=100,BranchCol60,BranchAmpCol))&gt;=$AE35/MAX(1,$AO35),0))),0))))&amp;"G",""))</f>
        <v/>
      </c>
      <c r="M35" s="413"/>
      <c r="N35" s="10"/>
      <c r="O35" s="214"/>
      <c r="P35" s="215"/>
      <c r="Q35" s="215"/>
      <c r="R35" s="215"/>
      <c r="S35" s="215"/>
      <c r="T35" s="215"/>
      <c r="U35" s="215"/>
      <c r="V35" s="215"/>
      <c r="W35" s="216"/>
      <c r="Y35" s="31">
        <f t="shared" si="1"/>
        <v>0</v>
      </c>
      <c r="Z35" s="415">
        <f t="shared" si="2"/>
        <v>0</v>
      </c>
      <c r="AA35" s="31" t="str">
        <f t="shared" si="3"/>
        <v>NONE</v>
      </c>
      <c r="AB35" s="31" t="str">
        <f t="shared" si="10"/>
        <v/>
      </c>
      <c r="AC35" s="526">
        <f t="shared" si="4"/>
        <v>0</v>
      </c>
      <c r="AD35" s="415">
        <f t="shared" si="5"/>
        <v>0</v>
      </c>
      <c r="AE35" s="415">
        <f t="shared" si="11"/>
        <v>0</v>
      </c>
      <c r="AF35" s="415">
        <f t="shared" si="12"/>
        <v>0</v>
      </c>
      <c r="AG35" s="31" cm="1">
        <f t="array" ref="AG35">IF($AE35&lt;=0,0,IFERROR(_xlfn.LET(_xlpm.n,MAX(1,$AO35),_xlpm.i,$AE35/_xlpm.n,MIN(Max_Cond_Pos,MAX(Min_Cond_Pos,IF(_xlpm.n&gt;1,Par_Min_Pos,1),MATCH(TRUE,INDEX(Cond_Table,0,IF(_xlpm.i&lt;=100,BranchCol60,BranchAmpCol))&gt;=_xlpm.i,0),IF(OR(Tog_VD&lt;&gt;"ON",$J35=0,$J35="",$AB35=0),0,MATCH(TRUE,INDEX(Cond_Table,0,2)&gt;=IF($E35=3,SQRT3,2)*BranchK*$AD35*$J35/($AQ$22*$AB35*_xlpm.n),0))))),0))</f>
        <v>0</v>
      </c>
      <c r="AH35" s="415">
        <f t="shared" si="6"/>
        <v>0</v>
      </c>
      <c r="AI35" s="31">
        <f t="shared" si="13"/>
        <v>0</v>
      </c>
      <c r="AJ35" s="415">
        <f t="shared" si="7"/>
        <v>0</v>
      </c>
      <c r="AK35" s="415">
        <f t="shared" si="8"/>
        <v>0</v>
      </c>
      <c r="AL35" s="415">
        <f t="shared" si="9"/>
        <v>0</v>
      </c>
      <c r="AM35" s="31"/>
      <c r="AN35" s="31">
        <v>0</v>
      </c>
      <c r="AO35" s="563" cm="1">
        <f t="array" ref="AO35">IF($AE35&lt;=0,0,IFERROR(_xlfn.LET(_xlpm.col,IF($AE35&lt;=100,BranchCol60,BranchAmpCol),_xlpm.nA,ROUNDUP($AE35/INDEX(Cond_Table,Max_Cond_Pos,_xlpm.col),0),_xlpm.cm,IF(OR(Tog_VD&lt;&gt;"ON",$J35=0,$J35="",$AB35=0),0,IF($E35=3,SQRT3,2)*BranchK*$AD35*$J35/($AQ$22*$AB35)),_xlpm.nV,ROUNDUP(_xlpm.cm/INDEX(Cond_Table,Max_Cond_Pos,2),0),MAX(1,_xlpm.nA,_xlpm.nV)),1))</f>
        <v>0</v>
      </c>
      <c r="AP35" s="31"/>
      <c r="AQ35" s="527">
        <f>MAX(0,_xlfn.MAXIFS($H$29:$H$48,$Y$29:$Y$48,1))</f>
        <v>0</v>
      </c>
      <c r="AS35" s="31" t="s">
        <v>1174</v>
      </c>
      <c r="AT35" s="31" t="s">
        <v>1176</v>
      </c>
      <c r="AU35" s="31"/>
      <c r="AV35" s="31"/>
      <c r="AW35" s="31"/>
      <c r="AX35" s="31"/>
    </row>
    <row r="36" spans="2:50" ht="15" customHeight="1" x14ac:dyDescent="0.35">
      <c r="B36" s="410">
        <f>ROW()-28</f>
        <v>8</v>
      </c>
      <c r="C36" s="663"/>
      <c r="D36" s="664"/>
      <c r="E36" s="411"/>
      <c r="F36" s="16" t="str" cm="1">
        <f t="array" ref="F36">IF($AN36=1,"-",IF($G36="Spare",IF($AM36&lt;&gt;"",$AM36,20),IF(OR($G36="",$G36="Space",$AF36&lt;=0),"",IFERROR(INDEX(OCPD_List,MATCH($AF36,OCPD_List,1)+IF(INDEX(OCPD_List,MATCH($AF36,OCPD_List,1))&gt;=$AF36,0,1)),15))))</f>
        <v/>
      </c>
      <c r="G36" s="412" t="str" cm="1">
        <f t="array" ref="G36">IF($AN36=1,"-",IF(COUNT($O36:$W36)=0,IF(UPPER(TRIM($C36))="SPARE","Spare","Space"),IF(COUNTIF($O36:$W36,"&gt;0")&gt;1,"COMB",CHOOSE(MATCH(TRUE,INDEX($O36:$W36&lt;&gt;"",0),0),"Lighting","Receptacle","Motor","HVAC","Electric Heat","Kitchen Equip","Continuous (Other)","Non-Continuous","Panel"))))</f>
        <v>Space</v>
      </c>
      <c r="H36" s="237" t="str">
        <f t="shared" si="0"/>
        <v/>
      </c>
      <c r="I36" s="411"/>
      <c r="J36" s="411"/>
      <c r="K36" s="320" t="str" cm="1">
        <f t="array" ref="K36">IF(OR(Tog_VD&lt;&gt;"ON",$AD36=0,$AG36=0,$J36=0,$J36="",$AB36=0),"",(IF($E36=3,SQRT3,2)*BranchK*$AD36*$J36/(INDEX(INDEX(Cond_Table,0,2),$AG36)*MAX(1,$AO36)))/$AB36)</f>
        <v/>
      </c>
      <c r="L36" s="16" t="str" cm="1">
        <f t="array" ref="L36">IF(OR(Tog_Wire&lt;&gt;"ON",$AG36=0),"",IFERROR(IF($AO36&gt;1,"("&amp;$AO36&amp;") ","")&amp;"#"&amp;INDEX(Cond_Size,$AG36)&amp;" | #"&amp;INDEX(Cond_Size,MIN($AG36,MAX(Min_Cond_Pos,MATCH(TRUE,INDEX(Cond_Table,0,2)&gt;=INDEX(INDEX(Cond_Table,0,2),MATCH(INDEX(INDEX(EGC_Table,0,IF(Cfg_BranchMat="Cu",2,3)),MATCH(TRUE,INDEX(EGC_Table,0,1)&gt;=$F36,0)),Cond_Size,0))*INDEX(INDEX(Cond_Table,0,2),$AG36)/INDEX(INDEX(Cond_Table,0,2),MAX(Min_Cond_Pos,MATCH(TRUE,INDEX(Cond_Table,0,IF($AE36&lt;=100,BranchCol60,BranchAmpCol))&gt;=$AE36/MAX(1,$AO36),0))),0))))&amp;"G",""))</f>
        <v/>
      </c>
      <c r="M36" s="413"/>
      <c r="N36" s="10"/>
      <c r="O36" s="214"/>
      <c r="P36" s="215"/>
      <c r="Q36" s="215"/>
      <c r="R36" s="215"/>
      <c r="S36" s="215"/>
      <c r="T36" s="215"/>
      <c r="U36" s="215"/>
      <c r="V36" s="215"/>
      <c r="W36" s="216"/>
      <c r="Y36" s="31">
        <f t="shared" si="1"/>
        <v>0</v>
      </c>
      <c r="Z36" s="415">
        <f t="shared" si="2"/>
        <v>0</v>
      </c>
      <c r="AA36" s="31" t="str">
        <f t="shared" si="3"/>
        <v>NONE</v>
      </c>
      <c r="AB36" s="31" t="str">
        <f t="shared" si="10"/>
        <v/>
      </c>
      <c r="AC36" s="526">
        <f t="shared" si="4"/>
        <v>0</v>
      </c>
      <c r="AD36" s="415">
        <f t="shared" si="5"/>
        <v>0</v>
      </c>
      <c r="AE36" s="415">
        <f t="shared" si="11"/>
        <v>0</v>
      </c>
      <c r="AF36" s="415">
        <f t="shared" si="12"/>
        <v>0</v>
      </c>
      <c r="AG36" s="31" cm="1">
        <f t="array" ref="AG36">IF($AE36&lt;=0,0,IFERROR(_xlfn.LET(_xlpm.n,MAX(1,$AO36),_xlpm.i,$AE36/_xlpm.n,MIN(Max_Cond_Pos,MAX(Min_Cond_Pos,IF(_xlpm.n&gt;1,Par_Min_Pos,1),MATCH(TRUE,INDEX(Cond_Table,0,IF(_xlpm.i&lt;=100,BranchCol60,BranchAmpCol))&gt;=_xlpm.i,0),IF(OR(Tog_VD&lt;&gt;"ON",$J36=0,$J36="",$AB36=0),0,MATCH(TRUE,INDEX(Cond_Table,0,2)&gt;=IF($E36=3,SQRT3,2)*BranchK*$AD36*$J36/($AQ$22*$AB36*_xlpm.n),0))))),0))</f>
        <v>0</v>
      </c>
      <c r="AH36" s="415">
        <f t="shared" si="6"/>
        <v>0</v>
      </c>
      <c r="AI36" s="31">
        <f t="shared" si="13"/>
        <v>1</v>
      </c>
      <c r="AJ36" s="415">
        <f t="shared" si="7"/>
        <v>0</v>
      </c>
      <c r="AK36" s="415">
        <f t="shared" si="8"/>
        <v>0</v>
      </c>
      <c r="AL36" s="415">
        <f t="shared" si="9"/>
        <v>0</v>
      </c>
      <c r="AM36" s="31"/>
      <c r="AN36" s="31">
        <v>0</v>
      </c>
      <c r="AO36" s="563" cm="1">
        <f t="array" ref="AO36">IF($AE36&lt;=0,0,IFERROR(_xlfn.LET(_xlpm.col,IF($AE36&lt;=100,BranchCol60,BranchAmpCol),_xlpm.nA,ROUNDUP($AE36/INDEX(Cond_Table,Max_Cond_Pos,_xlpm.col),0),_xlpm.cm,IF(OR(Tog_VD&lt;&gt;"ON",$J36=0,$J36="",$AB36=0),0,IF($E36=3,SQRT3,2)*BranchK*$AD36*$J36/($AQ$22*$AB36)),_xlpm.nV,ROUNDUP(_xlpm.cm/INDEX(Cond_Table,Max_Cond_Pos,2),0),MAX(1,_xlpm.nA,_xlpm.nV)),1))</f>
        <v>0</v>
      </c>
      <c r="AP36" s="235" t="s">
        <v>1864</v>
      </c>
      <c r="AQ36" s="241" t="str" cm="1">
        <f t="array" ref="AQ36">_xlfn.LET(_xlpm.study,IFERROR(_xlfn.XLOOKUP($D$5,'Short Circuit'!$A$6:$A$255,'Short Circuit'!$Q$6:$Q$255),""),_xlpm.worst,MAX(IF(ISNUMBER($H$6),$H$6,0),IF(ISNUMBER(_xlpm.study),_xlpm.study,0))/1000,IF(_xlpm.worst&lt;=0,"",IFERROR(INDEX(Brace_List,MATCH(TRUE,INDEX(Brace_List&gt;=_xlpm.worst,0),0)),"&gt;"&amp;MAX(Brace_List))))</f>
        <v/>
      </c>
      <c r="AS36" s="31" t="s">
        <v>1185</v>
      </c>
      <c r="AT36" s="31">
        <v>29</v>
      </c>
      <c r="AU36" s="31"/>
      <c r="AV36" s="31"/>
      <c r="AW36" s="31"/>
      <c r="AX36" s="31"/>
    </row>
    <row r="37" spans="2:50" ht="15" customHeight="1" x14ac:dyDescent="0.35">
      <c r="B37" s="410">
        <f>ROW()-28</f>
        <v>9</v>
      </c>
      <c r="C37" s="663"/>
      <c r="D37" s="664"/>
      <c r="E37" s="411"/>
      <c r="F37" s="16" t="str" cm="1">
        <f t="array" ref="F37">IF($AN37=1,"-",IF($G37="Spare",IF($AM37&lt;&gt;"",$AM37,20),IF(OR($G37="",$G37="Space",$AF37&lt;=0),"",IFERROR(INDEX(OCPD_List,MATCH($AF37,OCPD_List,1)+IF(INDEX(OCPD_List,MATCH($AF37,OCPD_List,1))&gt;=$AF37,0,1)),15))))</f>
        <v/>
      </c>
      <c r="G37" s="412" t="str" cm="1">
        <f t="array" ref="G37">IF($AN37=1,"-",IF(COUNT($O37:$W37)=0,IF(UPPER(TRIM($C37))="SPARE","Spare","Space"),IF(COUNTIF($O37:$W37,"&gt;0")&gt;1,"COMB",CHOOSE(MATCH(TRUE,INDEX($O37:$W37&lt;&gt;"",0),0),"Lighting","Receptacle","Motor","HVAC","Electric Heat","Kitchen Equip","Continuous (Other)","Non-Continuous","Panel"))))</f>
        <v>Space</v>
      </c>
      <c r="H37" s="237" t="str">
        <f t="shared" si="0"/>
        <v/>
      </c>
      <c r="I37" s="411"/>
      <c r="J37" s="411"/>
      <c r="K37" s="320" t="str" cm="1">
        <f t="array" ref="K37">IF(OR(Tog_VD&lt;&gt;"ON",$AD37=0,$AG37=0,$J37=0,$J37="",$AB37=0),"",(IF($E37=3,SQRT3,2)*BranchK*$AD37*$J37/(INDEX(INDEX(Cond_Table,0,2),$AG37)*MAX(1,$AO37)))/$AB37)</f>
        <v/>
      </c>
      <c r="L37" s="16" t="str" cm="1">
        <f t="array" ref="L37">IF(OR(Tog_Wire&lt;&gt;"ON",$AG37=0),"",IFERROR(IF($AO37&gt;1,"("&amp;$AO37&amp;") ","")&amp;"#"&amp;INDEX(Cond_Size,$AG37)&amp;" | #"&amp;INDEX(Cond_Size,MIN($AG37,MAX(Min_Cond_Pos,MATCH(TRUE,INDEX(Cond_Table,0,2)&gt;=INDEX(INDEX(Cond_Table,0,2),MATCH(INDEX(INDEX(EGC_Table,0,IF(Cfg_BranchMat="Cu",2,3)),MATCH(TRUE,INDEX(EGC_Table,0,1)&gt;=$F37,0)),Cond_Size,0))*INDEX(INDEX(Cond_Table,0,2),$AG37)/INDEX(INDEX(Cond_Table,0,2),MAX(Min_Cond_Pos,MATCH(TRUE,INDEX(Cond_Table,0,IF($AE37&lt;=100,BranchCol60,BranchAmpCol))&gt;=$AE37/MAX(1,$AO37),0))),0))))&amp;"G",""))</f>
        <v/>
      </c>
      <c r="M37" s="413"/>
      <c r="N37" s="10"/>
      <c r="O37" s="214"/>
      <c r="P37" s="215"/>
      <c r="Q37" s="215"/>
      <c r="R37" s="215"/>
      <c r="S37" s="215"/>
      <c r="T37" s="215"/>
      <c r="U37" s="215"/>
      <c r="V37" s="215"/>
      <c r="W37" s="216"/>
      <c r="Y37" s="31">
        <f t="shared" si="1"/>
        <v>0</v>
      </c>
      <c r="Z37" s="415">
        <f t="shared" si="2"/>
        <v>0</v>
      </c>
      <c r="AA37" s="31" t="str">
        <f t="shared" si="3"/>
        <v>NONE</v>
      </c>
      <c r="AB37" s="31" t="str">
        <f t="shared" si="10"/>
        <v/>
      </c>
      <c r="AC37" s="526">
        <f t="shared" si="4"/>
        <v>0</v>
      </c>
      <c r="AD37" s="415">
        <f t="shared" si="5"/>
        <v>0</v>
      </c>
      <c r="AE37" s="415">
        <f t="shared" si="11"/>
        <v>0</v>
      </c>
      <c r="AF37" s="415">
        <f t="shared" si="12"/>
        <v>0</v>
      </c>
      <c r="AG37" s="31" cm="1">
        <f t="array" ref="AG37">IF($AE37&lt;=0,0,IFERROR(_xlfn.LET(_xlpm.n,MAX(1,$AO37),_xlpm.i,$AE37/_xlpm.n,MIN(Max_Cond_Pos,MAX(Min_Cond_Pos,IF(_xlpm.n&gt;1,Par_Min_Pos,1),MATCH(TRUE,INDEX(Cond_Table,0,IF(_xlpm.i&lt;=100,BranchCol60,BranchAmpCol))&gt;=_xlpm.i,0),IF(OR(Tog_VD&lt;&gt;"ON",$J37=0,$J37="",$AB37=0),0,MATCH(TRUE,INDEX(Cond_Table,0,2)&gt;=IF($E37=3,SQRT3,2)*BranchK*$AD37*$J37/($AQ$22*$AB37*_xlpm.n),0))))),0))</f>
        <v>0</v>
      </c>
      <c r="AH37" s="415">
        <f t="shared" si="6"/>
        <v>0</v>
      </c>
      <c r="AI37" s="31">
        <f t="shared" si="13"/>
        <v>2</v>
      </c>
      <c r="AJ37" s="415">
        <f t="shared" si="7"/>
        <v>0</v>
      </c>
      <c r="AK37" s="415">
        <f t="shared" si="8"/>
        <v>0</v>
      </c>
      <c r="AL37" s="415">
        <f t="shared" si="9"/>
        <v>0</v>
      </c>
      <c r="AM37" s="31"/>
      <c r="AN37" s="31">
        <v>0</v>
      </c>
      <c r="AO37" s="563" cm="1">
        <f t="array" ref="AO37">IF($AE37&lt;=0,0,IFERROR(_xlfn.LET(_xlpm.col,IF($AE37&lt;=100,BranchCol60,BranchAmpCol),_xlpm.nA,ROUNDUP($AE37/INDEX(Cond_Table,Max_Cond_Pos,_xlpm.col),0),_xlpm.cm,IF(OR(Tog_VD&lt;&gt;"ON",$J37=0,$J37="",$AB37=0),0,IF($E37=3,SQRT3,2)*BranchK*$AD37*$J37/($AQ$22*$AB37)),_xlpm.nV,ROUNDUP(_xlpm.cm/INDEX(Cond_Table,Max_Cond_Pos,2),0),MAX(1,_xlpm.nA,_xlpm.nV)),1))</f>
        <v>0</v>
      </c>
      <c r="AP37" s="235" t="s">
        <v>1865</v>
      </c>
      <c r="AQ37" s="538" t="str" cm="1">
        <f t="array" ref="AQ37">IF(N($D$12)&lt;=0,"",IFERROR(INDEX(Bus_List,MATCH(TRUE,INDEX(Bus_List&gt;=$D$12,0),0)),"&gt;"&amp;MAX(Bus_List)))</f>
        <v/>
      </c>
      <c r="AS37" s="31" t="s">
        <v>1186</v>
      </c>
      <c r="AT37" s="31">
        <v>48</v>
      </c>
      <c r="AU37" s="31"/>
      <c r="AV37" s="31"/>
      <c r="AW37" s="31"/>
      <c r="AX37" s="31"/>
    </row>
    <row r="38" spans="2:50" ht="15" customHeight="1" x14ac:dyDescent="0.35">
      <c r="B38" s="410">
        <f>ROW()-28</f>
        <v>10</v>
      </c>
      <c r="C38" s="663"/>
      <c r="D38" s="664"/>
      <c r="E38" s="411"/>
      <c r="F38" s="16" t="str" cm="1">
        <f t="array" ref="F38">IF($AN38=1,"-",IF($G38="Spare",IF($AM38&lt;&gt;"",$AM38,20),IF(OR($G38="",$G38="Space",$AF38&lt;=0),"",IFERROR(INDEX(OCPD_List,MATCH($AF38,OCPD_List,1)+IF(INDEX(OCPD_List,MATCH($AF38,OCPD_List,1))&gt;=$AF38,0,1)),15))))</f>
        <v/>
      </c>
      <c r="G38" s="412" t="str" cm="1">
        <f t="array" ref="G38">IF($AN38=1,"-",IF(COUNT($O38:$W38)=0,IF(UPPER(TRIM($C38))="SPARE","Spare","Space"),IF(COUNTIF($O38:$W38,"&gt;0")&gt;1,"COMB",CHOOSE(MATCH(TRUE,INDEX($O38:$W38&lt;&gt;"",0),0),"Lighting","Receptacle","Motor","HVAC","Electric Heat","Kitchen Equip","Continuous (Other)","Non-Continuous","Panel"))))</f>
        <v>Space</v>
      </c>
      <c r="H38" s="237" t="str">
        <f t="shared" si="0"/>
        <v/>
      </c>
      <c r="I38" s="411"/>
      <c r="J38" s="411"/>
      <c r="K38" s="320" t="str" cm="1">
        <f t="array" ref="K38">IF(OR(Tog_VD&lt;&gt;"ON",$AD38=0,$AG38=0,$J38=0,$J38="",$AB38=0),"",(IF($E38=3,SQRT3,2)*BranchK*$AD38*$J38/(INDEX(INDEX(Cond_Table,0,2),$AG38)*MAX(1,$AO38)))/$AB38)</f>
        <v/>
      </c>
      <c r="L38" s="16" t="str" cm="1">
        <f t="array" ref="L38">IF(OR(Tog_Wire&lt;&gt;"ON",$AG38=0),"",IFERROR(IF($AO38&gt;1,"("&amp;$AO38&amp;") ","")&amp;"#"&amp;INDEX(Cond_Size,$AG38)&amp;" | #"&amp;INDEX(Cond_Size,MIN($AG38,MAX(Min_Cond_Pos,MATCH(TRUE,INDEX(Cond_Table,0,2)&gt;=INDEX(INDEX(Cond_Table,0,2),MATCH(INDEX(INDEX(EGC_Table,0,IF(Cfg_BranchMat="Cu",2,3)),MATCH(TRUE,INDEX(EGC_Table,0,1)&gt;=$F38,0)),Cond_Size,0))*INDEX(INDEX(Cond_Table,0,2),$AG38)/INDEX(INDEX(Cond_Table,0,2),MAX(Min_Cond_Pos,MATCH(TRUE,INDEX(Cond_Table,0,IF($AE38&lt;=100,BranchCol60,BranchAmpCol))&gt;=$AE38/MAX(1,$AO38),0))),0))))&amp;"G",""))</f>
        <v/>
      </c>
      <c r="M38" s="413"/>
      <c r="N38" s="10"/>
      <c r="O38" s="214"/>
      <c r="P38" s="215"/>
      <c r="Q38" s="215"/>
      <c r="R38" s="215"/>
      <c r="S38" s="215"/>
      <c r="T38" s="215"/>
      <c r="U38" s="215"/>
      <c r="V38" s="215"/>
      <c r="W38" s="216"/>
      <c r="Y38" s="31">
        <f t="shared" si="1"/>
        <v>0</v>
      </c>
      <c r="Z38" s="415">
        <f t="shared" si="2"/>
        <v>0</v>
      </c>
      <c r="AA38" s="31" t="str">
        <f t="shared" si="3"/>
        <v>NONE</v>
      </c>
      <c r="AB38" s="31" t="str">
        <f t="shared" si="10"/>
        <v/>
      </c>
      <c r="AC38" s="526">
        <f t="shared" si="4"/>
        <v>0</v>
      </c>
      <c r="AD38" s="415">
        <f t="shared" si="5"/>
        <v>0</v>
      </c>
      <c r="AE38" s="415">
        <f t="shared" si="11"/>
        <v>0</v>
      </c>
      <c r="AF38" s="415">
        <f t="shared" si="12"/>
        <v>0</v>
      </c>
      <c r="AG38" s="31" cm="1">
        <f t="array" ref="AG38">IF($AE38&lt;=0,0,IFERROR(_xlfn.LET(_xlpm.n,MAX(1,$AO38),_xlpm.i,$AE38/_xlpm.n,MIN(Max_Cond_Pos,MAX(Min_Cond_Pos,IF(_xlpm.n&gt;1,Par_Min_Pos,1),MATCH(TRUE,INDEX(Cond_Table,0,IF(_xlpm.i&lt;=100,BranchCol60,BranchAmpCol))&gt;=_xlpm.i,0),IF(OR(Tog_VD&lt;&gt;"ON",$J38=0,$J38="",$AB38=0),0,MATCH(TRUE,INDEX(Cond_Table,0,2)&gt;=IF($E38=3,SQRT3,2)*BranchK*$AD38*$J38/($AQ$22*$AB38*_xlpm.n),0))))),0))</f>
        <v>0</v>
      </c>
      <c r="AH38" s="415">
        <f t="shared" si="6"/>
        <v>0</v>
      </c>
      <c r="AI38" s="31">
        <f t="shared" si="13"/>
        <v>0</v>
      </c>
      <c r="AJ38" s="415">
        <f t="shared" si="7"/>
        <v>0</v>
      </c>
      <c r="AK38" s="415">
        <f t="shared" si="8"/>
        <v>0</v>
      </c>
      <c r="AL38" s="415">
        <f t="shared" si="9"/>
        <v>0</v>
      </c>
      <c r="AM38" s="31"/>
      <c r="AN38" s="31">
        <v>0</v>
      </c>
      <c r="AO38" s="563" cm="1">
        <f t="array" ref="AO38">IF($AE38&lt;=0,0,IFERROR(_xlfn.LET(_xlpm.col,IF($AE38&lt;=100,BranchCol60,BranchAmpCol),_xlpm.nA,ROUNDUP($AE38/INDEX(Cond_Table,Max_Cond_Pos,_xlpm.col),0),_xlpm.cm,IF(OR(Tog_VD&lt;&gt;"ON",$J38=0,$J38="",$AB38=0),0,IF($E38=3,SQRT3,2)*BranchK*$AD38*$J38/($AQ$22*$AB38)),_xlpm.nV,ROUNDUP(_xlpm.cm/INDEX(Cond_Table,Max_Cond_Pos,2),0),MAX(1,_xlpm.nA,_xlpm.nV)),1))</f>
        <v>0</v>
      </c>
      <c r="AP38" s="235" t="s">
        <v>1874</v>
      </c>
      <c r="AQ38" s="541">
        <f>$K$7+$BB$25</f>
        <v>0</v>
      </c>
      <c r="AS38" s="31" t="s">
        <v>1187</v>
      </c>
      <c r="AT38" s="31" t="s">
        <v>1175</v>
      </c>
      <c r="AU38" s="31"/>
      <c r="AV38" s="31"/>
      <c r="AW38" s="31"/>
      <c r="AX38" s="31"/>
    </row>
    <row r="39" spans="2:50" ht="15" customHeight="1" x14ac:dyDescent="0.35">
      <c r="B39" s="410">
        <f>ROW()-28</f>
        <v>11</v>
      </c>
      <c r="C39" s="663"/>
      <c r="D39" s="664"/>
      <c r="E39" s="411"/>
      <c r="F39" s="16" t="str" cm="1">
        <f t="array" ref="F39">IF($AN39=1,"-",IF($G39="Spare",IF($AM39&lt;&gt;"",$AM39,20),IF(OR($G39="",$G39="Space",$AF39&lt;=0),"",IFERROR(INDEX(OCPD_List,MATCH($AF39,OCPD_List,1)+IF(INDEX(OCPD_List,MATCH($AF39,OCPD_List,1))&gt;=$AF39,0,1)),15))))</f>
        <v/>
      </c>
      <c r="G39" s="412" t="str" cm="1">
        <f t="array" ref="G39">IF($AN39=1,"-",IF(COUNT($O39:$W39)=0,IF(UPPER(TRIM($C39))="SPARE","Spare","Space"),IF(COUNTIF($O39:$W39,"&gt;0")&gt;1,"COMB",CHOOSE(MATCH(TRUE,INDEX($O39:$W39&lt;&gt;"",0),0),"Lighting","Receptacle","Motor","HVAC","Electric Heat","Kitchen Equip","Continuous (Other)","Non-Continuous","Panel"))))</f>
        <v>Space</v>
      </c>
      <c r="H39" s="237" t="str">
        <f t="shared" si="0"/>
        <v/>
      </c>
      <c r="I39" s="411"/>
      <c r="J39" s="411"/>
      <c r="K39" s="320" t="str" cm="1">
        <f t="array" ref="K39">IF(OR(Tog_VD&lt;&gt;"ON",$AD39=0,$AG39=0,$J39=0,$J39="",$AB39=0),"",(IF($E39=3,SQRT3,2)*BranchK*$AD39*$J39/(INDEX(INDEX(Cond_Table,0,2),$AG39)*MAX(1,$AO39)))/$AB39)</f>
        <v/>
      </c>
      <c r="L39" s="16" t="str" cm="1">
        <f t="array" ref="L39">IF(OR(Tog_Wire&lt;&gt;"ON",$AG39=0),"",IFERROR(IF($AO39&gt;1,"("&amp;$AO39&amp;") ","")&amp;"#"&amp;INDEX(Cond_Size,$AG39)&amp;" | #"&amp;INDEX(Cond_Size,MIN($AG39,MAX(Min_Cond_Pos,MATCH(TRUE,INDEX(Cond_Table,0,2)&gt;=INDEX(INDEX(Cond_Table,0,2),MATCH(INDEX(INDEX(EGC_Table,0,IF(Cfg_BranchMat="Cu",2,3)),MATCH(TRUE,INDEX(EGC_Table,0,1)&gt;=$F39,0)),Cond_Size,0))*INDEX(INDEX(Cond_Table,0,2),$AG39)/INDEX(INDEX(Cond_Table,0,2),MAX(Min_Cond_Pos,MATCH(TRUE,INDEX(Cond_Table,0,IF($AE39&lt;=100,BranchCol60,BranchAmpCol))&gt;=$AE39/MAX(1,$AO39),0))),0))))&amp;"G",""))</f>
        <v/>
      </c>
      <c r="M39" s="413"/>
      <c r="N39" s="10"/>
      <c r="O39" s="214"/>
      <c r="P39" s="215"/>
      <c r="Q39" s="215"/>
      <c r="R39" s="215"/>
      <c r="S39" s="215"/>
      <c r="T39" s="215"/>
      <c r="U39" s="215"/>
      <c r="V39" s="215"/>
      <c r="W39" s="216"/>
      <c r="Y39" s="31">
        <f t="shared" si="1"/>
        <v>0</v>
      </c>
      <c r="Z39" s="415">
        <f t="shared" si="2"/>
        <v>0</v>
      </c>
      <c r="AA39" s="31" t="str">
        <f t="shared" si="3"/>
        <v>NONE</v>
      </c>
      <c r="AB39" s="31" t="str">
        <f t="shared" si="10"/>
        <v/>
      </c>
      <c r="AC39" s="526">
        <f t="shared" si="4"/>
        <v>0</v>
      </c>
      <c r="AD39" s="415">
        <f t="shared" si="5"/>
        <v>0</v>
      </c>
      <c r="AE39" s="415">
        <f t="shared" si="11"/>
        <v>0</v>
      </c>
      <c r="AF39" s="415">
        <f t="shared" si="12"/>
        <v>0</v>
      </c>
      <c r="AG39" s="31" cm="1">
        <f t="array" ref="AG39">IF($AE39&lt;=0,0,IFERROR(_xlfn.LET(_xlpm.n,MAX(1,$AO39),_xlpm.i,$AE39/_xlpm.n,MIN(Max_Cond_Pos,MAX(Min_Cond_Pos,IF(_xlpm.n&gt;1,Par_Min_Pos,1),MATCH(TRUE,INDEX(Cond_Table,0,IF(_xlpm.i&lt;=100,BranchCol60,BranchAmpCol))&gt;=_xlpm.i,0),IF(OR(Tog_VD&lt;&gt;"ON",$J39=0,$J39="",$AB39=0),0,MATCH(TRUE,INDEX(Cond_Table,0,2)&gt;=IF($E39=3,SQRT3,2)*BranchK*$AD39*$J39/($AQ$22*$AB39*_xlpm.n),0))))),0))</f>
        <v>0</v>
      </c>
      <c r="AH39" s="415">
        <f t="shared" si="6"/>
        <v>0</v>
      </c>
      <c r="AI39" s="31">
        <f t="shared" si="13"/>
        <v>1</v>
      </c>
      <c r="AJ39" s="415">
        <f t="shared" si="7"/>
        <v>0</v>
      </c>
      <c r="AK39" s="415">
        <f t="shared" si="8"/>
        <v>0</v>
      </c>
      <c r="AL39" s="415">
        <f t="shared" si="9"/>
        <v>0</v>
      </c>
      <c r="AM39" s="31"/>
      <c r="AN39" s="31">
        <v>0</v>
      </c>
      <c r="AO39" s="563" cm="1">
        <f t="array" ref="AO39">IF($AE39&lt;=0,0,IFERROR(_xlfn.LET(_xlpm.col,IF($AE39&lt;=100,BranchCol60,BranchAmpCol),_xlpm.nA,ROUNDUP($AE39/INDEX(Cond_Table,Max_Cond_Pos,_xlpm.col),0),_xlpm.cm,IF(OR(Tog_VD&lt;&gt;"ON",$J39=0,$J39="",$AB39=0),0,IF($E39=3,SQRT3,2)*BranchK*$AD39*$J39/($AQ$22*$AB39)),_xlpm.nV,ROUNDUP(_xlpm.cm/INDEX(Cond_Table,Max_Cond_Pos,2),0),MAX(1,_xlpm.nA,_xlpm.nV)),1))</f>
        <v>0</v>
      </c>
      <c r="AP39" s="235" t="s">
        <v>1875</v>
      </c>
      <c r="AQ39" s="541">
        <f>MIN($AQ$38,10)+MAX($AQ$38-10,0)*0.5</f>
        <v>0</v>
      </c>
      <c r="AS39" s="31" t="s">
        <v>1188</v>
      </c>
      <c r="AT39" s="31" t="s">
        <v>1175</v>
      </c>
      <c r="AU39" s="31"/>
      <c r="AV39" s="31"/>
      <c r="AW39" s="31"/>
      <c r="AX39" s="31"/>
    </row>
    <row r="40" spans="2:50" ht="15" customHeight="1" x14ac:dyDescent="0.35">
      <c r="B40" s="410">
        <f>ROW()-28</f>
        <v>12</v>
      </c>
      <c r="C40" s="663"/>
      <c r="D40" s="664"/>
      <c r="E40" s="411"/>
      <c r="F40" s="16" t="str" cm="1">
        <f t="array" ref="F40">IF($AN40=1,"-",IF($G40="Spare",IF($AM40&lt;&gt;"",$AM40,20),IF(OR($G40="",$G40="Space",$AF40&lt;=0),"",IFERROR(INDEX(OCPD_List,MATCH($AF40,OCPD_List,1)+IF(INDEX(OCPD_List,MATCH($AF40,OCPD_List,1))&gt;=$AF40,0,1)),15))))</f>
        <v/>
      </c>
      <c r="G40" s="412" t="str" cm="1">
        <f t="array" ref="G40">IF($AN40=1,"-",IF(COUNT($O40:$W40)=0,IF(UPPER(TRIM($C40))="SPARE","Spare","Space"),IF(COUNTIF($O40:$W40,"&gt;0")&gt;1,"COMB",CHOOSE(MATCH(TRUE,INDEX($O40:$W40&lt;&gt;"",0),0),"Lighting","Receptacle","Motor","HVAC","Electric Heat","Kitchen Equip","Continuous (Other)","Non-Continuous","Panel"))))</f>
        <v>Space</v>
      </c>
      <c r="H40" s="237" t="str">
        <f t="shared" si="0"/>
        <v/>
      </c>
      <c r="I40" s="411"/>
      <c r="J40" s="411"/>
      <c r="K40" s="320" t="str" cm="1">
        <f t="array" ref="K40">IF(OR(Tog_VD&lt;&gt;"ON",$AD40=0,$AG40=0,$J40=0,$J40="",$AB40=0),"",(IF($E40=3,SQRT3,2)*BranchK*$AD40*$J40/(INDEX(INDEX(Cond_Table,0,2),$AG40)*MAX(1,$AO40)))/$AB40)</f>
        <v/>
      </c>
      <c r="L40" s="16" t="str" cm="1">
        <f t="array" ref="L40">IF(OR(Tog_Wire&lt;&gt;"ON",$AG40=0),"",IFERROR(IF($AO40&gt;1,"("&amp;$AO40&amp;") ","")&amp;"#"&amp;INDEX(Cond_Size,$AG40)&amp;" | #"&amp;INDEX(Cond_Size,MIN($AG40,MAX(Min_Cond_Pos,MATCH(TRUE,INDEX(Cond_Table,0,2)&gt;=INDEX(INDEX(Cond_Table,0,2),MATCH(INDEX(INDEX(EGC_Table,0,IF(Cfg_BranchMat="Cu",2,3)),MATCH(TRUE,INDEX(EGC_Table,0,1)&gt;=$F40,0)),Cond_Size,0))*INDEX(INDEX(Cond_Table,0,2),$AG40)/INDEX(INDEX(Cond_Table,0,2),MAX(Min_Cond_Pos,MATCH(TRUE,INDEX(Cond_Table,0,IF($AE40&lt;=100,BranchCol60,BranchAmpCol))&gt;=$AE40/MAX(1,$AO40),0))),0))))&amp;"G",""))</f>
        <v/>
      </c>
      <c r="M40" s="413"/>
      <c r="N40" s="10"/>
      <c r="O40" s="214"/>
      <c r="P40" s="215"/>
      <c r="Q40" s="215"/>
      <c r="R40" s="215"/>
      <c r="S40" s="215"/>
      <c r="T40" s="215"/>
      <c r="U40" s="215"/>
      <c r="V40" s="215"/>
      <c r="W40" s="216"/>
      <c r="Y40" s="31">
        <f t="shared" si="1"/>
        <v>0</v>
      </c>
      <c r="Z40" s="415">
        <f t="shared" si="2"/>
        <v>0</v>
      </c>
      <c r="AA40" s="31" t="str">
        <f t="shared" si="3"/>
        <v>NONE</v>
      </c>
      <c r="AB40" s="31" t="str">
        <f t="shared" si="10"/>
        <v/>
      </c>
      <c r="AC40" s="526">
        <f t="shared" si="4"/>
        <v>0</v>
      </c>
      <c r="AD40" s="415">
        <f t="shared" si="5"/>
        <v>0</v>
      </c>
      <c r="AE40" s="415">
        <f t="shared" si="11"/>
        <v>0</v>
      </c>
      <c r="AF40" s="415">
        <f t="shared" si="12"/>
        <v>0</v>
      </c>
      <c r="AG40" s="31" cm="1">
        <f t="array" ref="AG40">IF($AE40&lt;=0,0,IFERROR(_xlfn.LET(_xlpm.n,MAX(1,$AO40),_xlpm.i,$AE40/_xlpm.n,MIN(Max_Cond_Pos,MAX(Min_Cond_Pos,IF(_xlpm.n&gt;1,Par_Min_Pos,1),MATCH(TRUE,INDEX(Cond_Table,0,IF(_xlpm.i&lt;=100,BranchCol60,BranchAmpCol))&gt;=_xlpm.i,0),IF(OR(Tog_VD&lt;&gt;"ON",$J40=0,$J40="",$AB40=0),0,MATCH(TRUE,INDEX(Cond_Table,0,2)&gt;=IF($E40=3,SQRT3,2)*BranchK*$AD40*$J40/($AQ$22*$AB40*_xlpm.n),0))))),0))</f>
        <v>0</v>
      </c>
      <c r="AH40" s="415">
        <f t="shared" si="6"/>
        <v>0</v>
      </c>
      <c r="AI40" s="31">
        <f t="shared" si="13"/>
        <v>2</v>
      </c>
      <c r="AJ40" s="415">
        <f t="shared" si="7"/>
        <v>0</v>
      </c>
      <c r="AK40" s="415">
        <f t="shared" si="8"/>
        <v>0</v>
      </c>
      <c r="AL40" s="415">
        <f t="shared" si="9"/>
        <v>0</v>
      </c>
      <c r="AM40" s="31"/>
      <c r="AN40" s="31">
        <v>0</v>
      </c>
      <c r="AO40" s="563" cm="1">
        <f t="array" ref="AO40">IF($AE40&lt;=0,0,IFERROR(_xlfn.LET(_xlpm.col,IF($AE40&lt;=100,BranchCol60,BranchAmpCol),_xlpm.nA,ROUNDUP($AE40/INDEX(Cond_Table,Max_Cond_Pos,_xlpm.col),0),_xlpm.cm,IF(OR(Tog_VD&lt;&gt;"ON",$J40=0,$J40="",$AB40=0),0,IF($E40=3,SQRT3,2)*BranchK*$AD40*$J40/($AQ$22*$AB40)),_xlpm.nV,ROUNDUP(_xlpm.cm/INDEX(Cond_Table,Max_Cond_Pos,2),0),MAX(1,_xlpm.nA,_xlpm.nV)),1))</f>
        <v>0</v>
      </c>
      <c r="AP40" s="235" t="s">
        <v>1893</v>
      </c>
      <c r="AQ40" s="235" cm="1">
        <f t="array" ref="AQ40">IF(OR($AQ$31="",N($AQ$31)&lt;=0),0,IFERROR(_xlfn.LET(_xlpm.col,IF($AQ$31&lt;=100,FeederCol60,FeederAmpCol),_xlpm.nA,ROUNDUP($AQ$31/INDEX(Cond_Table,Max_Cond_Pos,_xlpm.col),0),_xlpm.cm,IF(OR(Tog_VD&lt;&gt;"ON",N($H$13)=0,N($H$13)=""),0,IF($AQ$29=3,SQRT3,2)*FeederK*$AQ$31*N($H$13)/(Cfg_VDFeeder*$AQ$27)),_xlpm.nV,ROUNDUP(_xlpm.cm/INDEX(Cond_Table,Max_Cond_Pos,2),0),MAX(1,_xlpm.nA,_xlpm.nV)),1))</f>
        <v>0</v>
      </c>
      <c r="AS40" s="31" t="s">
        <v>1189</v>
      </c>
      <c r="AT40" s="31" t="s">
        <v>1215</v>
      </c>
      <c r="AU40" s="31"/>
      <c r="AV40" s="31"/>
      <c r="AW40" s="31"/>
      <c r="AX40" s="31"/>
    </row>
    <row r="41" spans="2:50" ht="15" customHeight="1" x14ac:dyDescent="0.35">
      <c r="B41" s="410">
        <f>ROW()-28</f>
        <v>13</v>
      </c>
      <c r="C41" s="663"/>
      <c r="D41" s="664"/>
      <c r="E41" s="411"/>
      <c r="F41" s="16" t="str" cm="1">
        <f t="array" ref="F41">IF($AN41=1,"-",IF($G41="Spare",IF($AM41&lt;&gt;"",$AM41,20),IF(OR($G41="",$G41="Space",$AF41&lt;=0),"",IFERROR(INDEX(OCPD_List,MATCH($AF41,OCPD_List,1)+IF(INDEX(OCPD_List,MATCH($AF41,OCPD_List,1))&gt;=$AF41,0,1)),15))))</f>
        <v/>
      </c>
      <c r="G41" s="412" t="str" cm="1">
        <f t="array" ref="G41">IF($AN41=1,"-",IF(COUNT($O41:$W41)=0,IF(UPPER(TRIM($C41))="SPARE","Spare","Space"),IF(COUNTIF($O41:$W41,"&gt;0")&gt;1,"COMB",CHOOSE(MATCH(TRUE,INDEX($O41:$W41&lt;&gt;"",0),0),"Lighting","Receptacle","Motor","HVAC","Electric Heat","Kitchen Equip","Continuous (Other)","Non-Continuous","Panel"))))</f>
        <v>Space</v>
      </c>
      <c r="H41" s="237" t="str">
        <f t="shared" si="0"/>
        <v/>
      </c>
      <c r="I41" s="411"/>
      <c r="J41" s="411"/>
      <c r="K41" s="320" t="str" cm="1">
        <f t="array" ref="K41">IF(OR(Tog_VD&lt;&gt;"ON",$AD41=0,$AG41=0,$J41=0,$J41="",$AB41=0),"",(IF($E41=3,SQRT3,2)*BranchK*$AD41*$J41/(INDEX(INDEX(Cond_Table,0,2),$AG41)*MAX(1,$AO41)))/$AB41)</f>
        <v/>
      </c>
      <c r="L41" s="16" t="str" cm="1">
        <f t="array" ref="L41">IF(OR(Tog_Wire&lt;&gt;"ON",$AG41=0),"",IFERROR(IF($AO41&gt;1,"("&amp;$AO41&amp;") ","")&amp;"#"&amp;INDEX(Cond_Size,$AG41)&amp;" | #"&amp;INDEX(Cond_Size,MIN($AG41,MAX(Min_Cond_Pos,MATCH(TRUE,INDEX(Cond_Table,0,2)&gt;=INDEX(INDEX(Cond_Table,0,2),MATCH(INDEX(INDEX(EGC_Table,0,IF(Cfg_BranchMat="Cu",2,3)),MATCH(TRUE,INDEX(EGC_Table,0,1)&gt;=$F41,0)),Cond_Size,0))*INDEX(INDEX(Cond_Table,0,2),$AG41)/INDEX(INDEX(Cond_Table,0,2),MAX(Min_Cond_Pos,MATCH(TRUE,INDEX(Cond_Table,0,IF($AE41&lt;=100,BranchCol60,BranchAmpCol))&gt;=$AE41/MAX(1,$AO41),0))),0))))&amp;"G",""))</f>
        <v/>
      </c>
      <c r="M41" s="413"/>
      <c r="N41" s="10"/>
      <c r="O41" s="214"/>
      <c r="P41" s="215"/>
      <c r="Q41" s="215"/>
      <c r="R41" s="215"/>
      <c r="S41" s="215"/>
      <c r="T41" s="215"/>
      <c r="U41" s="215"/>
      <c r="V41" s="215"/>
      <c r="W41" s="216"/>
      <c r="Y41" s="31">
        <f t="shared" si="1"/>
        <v>0</v>
      </c>
      <c r="Z41" s="415">
        <f t="shared" si="2"/>
        <v>0</v>
      </c>
      <c r="AA41" s="31" t="str">
        <f t="shared" si="3"/>
        <v>NONE</v>
      </c>
      <c r="AB41" s="31" t="str">
        <f t="shared" si="10"/>
        <v/>
      </c>
      <c r="AC41" s="526">
        <f t="shared" si="4"/>
        <v>0</v>
      </c>
      <c r="AD41" s="415">
        <f t="shared" si="5"/>
        <v>0</v>
      </c>
      <c r="AE41" s="415">
        <f t="shared" si="11"/>
        <v>0</v>
      </c>
      <c r="AF41" s="415">
        <f t="shared" si="12"/>
        <v>0</v>
      </c>
      <c r="AG41" s="31" cm="1">
        <f t="array" ref="AG41">IF($AE41&lt;=0,0,IFERROR(_xlfn.LET(_xlpm.n,MAX(1,$AO41),_xlpm.i,$AE41/_xlpm.n,MIN(Max_Cond_Pos,MAX(Min_Cond_Pos,IF(_xlpm.n&gt;1,Par_Min_Pos,1),MATCH(TRUE,INDEX(Cond_Table,0,IF(_xlpm.i&lt;=100,BranchCol60,BranchAmpCol))&gt;=_xlpm.i,0),IF(OR(Tog_VD&lt;&gt;"ON",$J41=0,$J41="",$AB41=0),0,MATCH(TRUE,INDEX(Cond_Table,0,2)&gt;=IF($E41=3,SQRT3,2)*BranchK*$AD41*$J41/($AQ$22*$AB41*_xlpm.n),0))))),0))</f>
        <v>0</v>
      </c>
      <c r="AH41" s="415">
        <f t="shared" si="6"/>
        <v>0</v>
      </c>
      <c r="AI41" s="31">
        <f t="shared" si="13"/>
        <v>0</v>
      </c>
      <c r="AJ41" s="415">
        <f t="shared" si="7"/>
        <v>0</v>
      </c>
      <c r="AK41" s="415">
        <f t="shared" si="8"/>
        <v>0</v>
      </c>
      <c r="AL41" s="415">
        <f t="shared" si="9"/>
        <v>0</v>
      </c>
      <c r="AM41" s="31"/>
      <c r="AN41" s="31">
        <v>0</v>
      </c>
      <c r="AO41" s="563" cm="1">
        <f t="array" ref="AO41">IF($AE41&lt;=0,0,IFERROR(_xlfn.LET(_xlpm.col,IF($AE41&lt;=100,BranchCol60,BranchAmpCol),_xlpm.nA,ROUNDUP($AE41/INDEX(Cond_Table,Max_Cond_Pos,_xlpm.col),0),_xlpm.cm,IF(OR(Tog_VD&lt;&gt;"ON",$J41=0,$J41="",$AB41=0),0,IF($E41=3,SQRT3,2)*BranchK*$AD41*$J41/($AQ$22*$AB41)),_xlpm.nV,ROUNDUP(_xlpm.cm/INDEX(Cond_Table,Max_Cond_Pos,2),0),MAX(1,_xlpm.nA,_xlpm.nV)),1))</f>
        <v>0</v>
      </c>
      <c r="AP41" s="235" t="s">
        <v>1894</v>
      </c>
      <c r="AQ41" s="235" cm="1">
        <f t="array" ref="AQ41">_xlfn.LET(_xlpm.v,N($AQ$27),_xlpm.floor,IF(_xlpm.v&gt;=380,14000,10000),_xlpm.study,IFERROR(_xlfn.XLOOKUP($D$5,'Short Circuit'!$A$6:$A$255,'Short Circuit'!$Q$6:$Q$255),""),_xlpm.worst,MAX(IF(ISNUMBER($H$6),$H$6,0),IF(ISNUMBER(_xlpm.study),_xlpm.study,0),_xlpm.floor),IFERROR(INDEX(AIC_List,MATCH(TRUE,INDEX(AIC_List&gt;=_xlpm.worst,0),0)),"&gt;"&amp;TEXT(MAX(AIC_List),"#,##0")))</f>
        <v>10000</v>
      </c>
      <c r="AS41" s="31"/>
      <c r="AT41" s="31"/>
      <c r="AU41" s="31"/>
      <c r="AV41" s="31"/>
      <c r="AW41" s="31"/>
      <c r="AX41" s="31"/>
    </row>
    <row r="42" spans="2:50" ht="15" customHeight="1" x14ac:dyDescent="0.35">
      <c r="B42" s="410">
        <f>ROW()-28</f>
        <v>14</v>
      </c>
      <c r="C42" s="663"/>
      <c r="D42" s="664"/>
      <c r="E42" s="411"/>
      <c r="F42" s="16" t="str" cm="1">
        <f t="array" ref="F42">IF($AN42=1,"-",IF($G42="Spare",IF($AM42&lt;&gt;"",$AM42,20),IF(OR($G42="",$G42="Space",$AF42&lt;=0),"",IFERROR(INDEX(OCPD_List,MATCH($AF42,OCPD_List,1)+IF(INDEX(OCPD_List,MATCH($AF42,OCPD_List,1))&gt;=$AF42,0,1)),15))))</f>
        <v/>
      </c>
      <c r="G42" s="412" t="str" cm="1">
        <f t="array" ref="G42">IF($AN42=1,"-",IF(COUNT($O42:$W42)=0,IF(UPPER(TRIM($C42))="SPARE","Spare","Space"),IF(COUNTIF($O42:$W42,"&gt;0")&gt;1,"COMB",CHOOSE(MATCH(TRUE,INDEX($O42:$W42&lt;&gt;"",0),0),"Lighting","Receptacle","Motor","HVAC","Electric Heat","Kitchen Equip","Continuous (Other)","Non-Continuous","Panel"))))</f>
        <v>Space</v>
      </c>
      <c r="H42" s="237" t="str">
        <f t="shared" si="0"/>
        <v/>
      </c>
      <c r="I42" s="411"/>
      <c r="J42" s="411"/>
      <c r="K42" s="320" t="str" cm="1">
        <f t="array" ref="K42">IF(OR(Tog_VD&lt;&gt;"ON",$AD42=0,$AG42=0,$J42=0,$J42="",$AB42=0),"",(IF($E42=3,SQRT3,2)*BranchK*$AD42*$J42/(INDEX(INDEX(Cond_Table,0,2),$AG42)*MAX(1,$AO42)))/$AB42)</f>
        <v/>
      </c>
      <c r="L42" s="16" t="str" cm="1">
        <f t="array" ref="L42">IF(OR(Tog_Wire&lt;&gt;"ON",$AG42=0),"",IFERROR(IF($AO42&gt;1,"("&amp;$AO42&amp;") ","")&amp;"#"&amp;INDEX(Cond_Size,$AG42)&amp;" | #"&amp;INDEX(Cond_Size,MIN($AG42,MAX(Min_Cond_Pos,MATCH(TRUE,INDEX(Cond_Table,0,2)&gt;=INDEX(INDEX(Cond_Table,0,2),MATCH(INDEX(INDEX(EGC_Table,0,IF(Cfg_BranchMat="Cu",2,3)),MATCH(TRUE,INDEX(EGC_Table,0,1)&gt;=$F42,0)),Cond_Size,0))*INDEX(INDEX(Cond_Table,0,2),$AG42)/INDEX(INDEX(Cond_Table,0,2),MAX(Min_Cond_Pos,MATCH(TRUE,INDEX(Cond_Table,0,IF($AE42&lt;=100,BranchCol60,BranchAmpCol))&gt;=$AE42/MAX(1,$AO42),0))),0))))&amp;"G",""))</f>
        <v/>
      </c>
      <c r="M42" s="413"/>
      <c r="N42" s="10"/>
      <c r="O42" s="214"/>
      <c r="P42" s="215"/>
      <c r="Q42" s="215"/>
      <c r="R42" s="215"/>
      <c r="S42" s="215"/>
      <c r="T42" s="215"/>
      <c r="U42" s="215"/>
      <c r="V42" s="215"/>
      <c r="W42" s="216"/>
      <c r="Y42" s="31">
        <f t="shared" si="1"/>
        <v>0</v>
      </c>
      <c r="Z42" s="415">
        <f t="shared" si="2"/>
        <v>0</v>
      </c>
      <c r="AA42" s="31" t="str">
        <f t="shared" si="3"/>
        <v>NONE</v>
      </c>
      <c r="AB42" s="31" t="str">
        <f t="shared" si="10"/>
        <v/>
      </c>
      <c r="AC42" s="526">
        <f t="shared" si="4"/>
        <v>0</v>
      </c>
      <c r="AD42" s="415">
        <f t="shared" si="5"/>
        <v>0</v>
      </c>
      <c r="AE42" s="415">
        <f t="shared" si="11"/>
        <v>0</v>
      </c>
      <c r="AF42" s="415">
        <f t="shared" si="12"/>
        <v>0</v>
      </c>
      <c r="AG42" s="31" cm="1">
        <f t="array" ref="AG42">IF($AE42&lt;=0,0,IFERROR(_xlfn.LET(_xlpm.n,MAX(1,$AO42),_xlpm.i,$AE42/_xlpm.n,MIN(Max_Cond_Pos,MAX(Min_Cond_Pos,IF(_xlpm.n&gt;1,Par_Min_Pos,1),MATCH(TRUE,INDEX(Cond_Table,0,IF(_xlpm.i&lt;=100,BranchCol60,BranchAmpCol))&gt;=_xlpm.i,0),IF(OR(Tog_VD&lt;&gt;"ON",$J42=0,$J42="",$AB42=0),0,MATCH(TRUE,INDEX(Cond_Table,0,2)&gt;=IF($E42=3,SQRT3,2)*BranchK*$AD42*$J42/($AQ$22*$AB42*_xlpm.n),0))))),0))</f>
        <v>0</v>
      </c>
      <c r="AH42" s="415">
        <f t="shared" si="6"/>
        <v>0</v>
      </c>
      <c r="AI42" s="31">
        <f t="shared" si="13"/>
        <v>1</v>
      </c>
      <c r="AJ42" s="415">
        <f t="shared" si="7"/>
        <v>0</v>
      </c>
      <c r="AK42" s="415">
        <f t="shared" si="8"/>
        <v>0</v>
      </c>
      <c r="AL42" s="415">
        <f t="shared" si="9"/>
        <v>0</v>
      </c>
      <c r="AM42" s="31"/>
      <c r="AN42" s="31">
        <v>0</v>
      </c>
      <c r="AO42" s="563" cm="1">
        <f t="array" ref="AO42">IF($AE42&lt;=0,0,IFERROR(_xlfn.LET(_xlpm.col,IF($AE42&lt;=100,BranchCol60,BranchAmpCol),_xlpm.nA,ROUNDUP($AE42/INDEX(Cond_Table,Max_Cond_Pos,_xlpm.col),0),_xlpm.cm,IF(OR(Tog_VD&lt;&gt;"ON",$J42=0,$J42="",$AB42=0),0,IF($E42=3,SQRT3,2)*BranchK*$AD42*$J42/($AQ$22*$AB42)),_xlpm.nV,ROUNDUP(_xlpm.cm/INDEX(Cond_Table,Max_Cond_Pos,2),0),MAX(1,_xlpm.nA,_xlpm.nV)),1))</f>
        <v>0</v>
      </c>
      <c r="AP42" s="235" t="s">
        <v>1952</v>
      </c>
      <c r="AQ42" s="235" t="str" cm="1">
        <f t="array" ref="AQ42">IF($AQ$31="","",MAX(100,IFERROR(INDEX(OCPD_List,MATCH(TRUE,INDEX(OCPD_List,0)&gt;=$AQ$31,0)),MAX(OCPD_List))))</f>
        <v/>
      </c>
    </row>
    <row r="43" spans="2:50" ht="15" customHeight="1" x14ac:dyDescent="0.35">
      <c r="B43" s="410">
        <f>ROW()-28</f>
        <v>15</v>
      </c>
      <c r="C43" s="663"/>
      <c r="D43" s="664"/>
      <c r="E43" s="411"/>
      <c r="F43" s="16" t="str" cm="1">
        <f t="array" ref="F43">IF($AN43=1,"-",IF($G43="Spare",IF($AM43&lt;&gt;"",$AM43,20),IF(OR($G43="",$G43="Space",$AF43&lt;=0),"",IFERROR(INDEX(OCPD_List,MATCH($AF43,OCPD_List,1)+IF(INDEX(OCPD_List,MATCH($AF43,OCPD_List,1))&gt;=$AF43,0,1)),15))))</f>
        <v/>
      </c>
      <c r="G43" s="412" t="str" cm="1">
        <f t="array" ref="G43">IF($AN43=1,"-",IF(COUNT($O43:$W43)=0,IF(UPPER(TRIM($C43))="SPARE","Spare","Space"),IF(COUNTIF($O43:$W43,"&gt;0")&gt;1,"COMB",CHOOSE(MATCH(TRUE,INDEX($O43:$W43&lt;&gt;"",0),0),"Lighting","Receptacle","Motor","HVAC","Electric Heat","Kitchen Equip","Continuous (Other)","Non-Continuous","Panel"))))</f>
        <v>Space</v>
      </c>
      <c r="H43" s="237" t="str">
        <f t="shared" si="0"/>
        <v/>
      </c>
      <c r="I43" s="411"/>
      <c r="J43" s="411"/>
      <c r="K43" s="320" t="str" cm="1">
        <f t="array" ref="K43">IF(OR(Tog_VD&lt;&gt;"ON",$AD43=0,$AG43=0,$J43=0,$J43="",$AB43=0),"",(IF($E43=3,SQRT3,2)*BranchK*$AD43*$J43/(INDEX(INDEX(Cond_Table,0,2),$AG43)*MAX(1,$AO43)))/$AB43)</f>
        <v/>
      </c>
      <c r="L43" s="16" t="str" cm="1">
        <f t="array" ref="L43">IF(OR(Tog_Wire&lt;&gt;"ON",$AG43=0),"",IFERROR(IF($AO43&gt;1,"("&amp;$AO43&amp;") ","")&amp;"#"&amp;INDEX(Cond_Size,$AG43)&amp;" | #"&amp;INDEX(Cond_Size,MIN($AG43,MAX(Min_Cond_Pos,MATCH(TRUE,INDEX(Cond_Table,0,2)&gt;=INDEX(INDEX(Cond_Table,0,2),MATCH(INDEX(INDEX(EGC_Table,0,IF(Cfg_BranchMat="Cu",2,3)),MATCH(TRUE,INDEX(EGC_Table,0,1)&gt;=$F43,0)),Cond_Size,0))*INDEX(INDEX(Cond_Table,0,2),$AG43)/INDEX(INDEX(Cond_Table,0,2),MAX(Min_Cond_Pos,MATCH(TRUE,INDEX(Cond_Table,0,IF($AE43&lt;=100,BranchCol60,BranchAmpCol))&gt;=$AE43/MAX(1,$AO43),0))),0))))&amp;"G",""))</f>
        <v/>
      </c>
      <c r="M43" s="413"/>
      <c r="N43" s="10"/>
      <c r="O43" s="214"/>
      <c r="P43" s="215"/>
      <c r="Q43" s="215"/>
      <c r="R43" s="215"/>
      <c r="S43" s="215"/>
      <c r="T43" s="215"/>
      <c r="U43" s="215"/>
      <c r="V43" s="215"/>
      <c r="W43" s="216"/>
      <c r="Y43" s="31">
        <f t="shared" si="1"/>
        <v>0</v>
      </c>
      <c r="Z43" s="415">
        <f t="shared" si="2"/>
        <v>0</v>
      </c>
      <c r="AA43" s="31" t="str">
        <f t="shared" si="3"/>
        <v>NONE</v>
      </c>
      <c r="AB43" s="31" t="str">
        <f t="shared" si="10"/>
        <v/>
      </c>
      <c r="AC43" s="526">
        <f t="shared" si="4"/>
        <v>0</v>
      </c>
      <c r="AD43" s="415">
        <f t="shared" si="5"/>
        <v>0</v>
      </c>
      <c r="AE43" s="415">
        <f t="shared" si="11"/>
        <v>0</v>
      </c>
      <c r="AF43" s="415">
        <f t="shared" si="12"/>
        <v>0</v>
      </c>
      <c r="AG43" s="31" cm="1">
        <f t="array" ref="AG43">IF($AE43&lt;=0,0,IFERROR(_xlfn.LET(_xlpm.n,MAX(1,$AO43),_xlpm.i,$AE43/_xlpm.n,MIN(Max_Cond_Pos,MAX(Min_Cond_Pos,IF(_xlpm.n&gt;1,Par_Min_Pos,1),MATCH(TRUE,INDEX(Cond_Table,0,IF(_xlpm.i&lt;=100,BranchCol60,BranchAmpCol))&gt;=_xlpm.i,0),IF(OR(Tog_VD&lt;&gt;"ON",$J43=0,$J43="",$AB43=0),0,MATCH(TRUE,INDEX(Cond_Table,0,2)&gt;=IF($E43=3,SQRT3,2)*BranchK*$AD43*$J43/($AQ$22*$AB43*_xlpm.n),0))))),0))</f>
        <v>0</v>
      </c>
      <c r="AH43" s="415">
        <f t="shared" si="6"/>
        <v>0</v>
      </c>
      <c r="AI43" s="31">
        <f t="shared" si="13"/>
        <v>2</v>
      </c>
      <c r="AJ43" s="415">
        <f t="shared" si="7"/>
        <v>0</v>
      </c>
      <c r="AK43" s="415">
        <f t="shared" si="8"/>
        <v>0</v>
      </c>
      <c r="AL43" s="415">
        <f t="shared" si="9"/>
        <v>0</v>
      </c>
      <c r="AM43" s="31"/>
      <c r="AN43" s="31">
        <v>0</v>
      </c>
      <c r="AO43" s="563" cm="1">
        <f t="array" ref="AO43">IF($AE43&lt;=0,0,IFERROR(_xlfn.LET(_xlpm.col,IF($AE43&lt;=100,BranchCol60,BranchAmpCol),_xlpm.nA,ROUNDUP($AE43/INDEX(Cond_Table,Max_Cond_Pos,_xlpm.col),0),_xlpm.cm,IF(OR(Tog_VD&lt;&gt;"ON",$J43=0,$J43="",$AB43=0),0,IF($E43=3,SQRT3,2)*BranchK*$AD43*$J43/($AQ$22*$AB43)),_xlpm.nV,ROUNDUP(_xlpm.cm/INDEX(Cond_Table,Max_Cond_Pos,2),0),MAX(1,_xlpm.nA,_xlpm.nV)),1))</f>
        <v>0</v>
      </c>
    </row>
    <row r="44" spans="2:50" ht="15" customHeight="1" x14ac:dyDescent="0.35">
      <c r="B44" s="410">
        <f>ROW()-28</f>
        <v>16</v>
      </c>
      <c r="C44" s="663"/>
      <c r="D44" s="664"/>
      <c r="E44" s="411"/>
      <c r="F44" s="16" t="str" cm="1">
        <f t="array" ref="F44">IF($AN44=1,"-",IF($G44="Spare",IF($AM44&lt;&gt;"",$AM44,20),IF(OR($G44="",$G44="Space",$AF44&lt;=0),"",IFERROR(INDEX(OCPD_List,MATCH($AF44,OCPD_List,1)+IF(INDEX(OCPD_List,MATCH($AF44,OCPD_List,1))&gt;=$AF44,0,1)),15))))</f>
        <v/>
      </c>
      <c r="G44" s="412" t="str" cm="1">
        <f t="array" ref="G44">IF($AN44=1,"-",IF(COUNT($O44:$W44)=0,IF(UPPER(TRIM($C44))="SPARE","Spare","Space"),IF(COUNTIF($O44:$W44,"&gt;0")&gt;1,"COMB",CHOOSE(MATCH(TRUE,INDEX($O44:$W44&lt;&gt;"",0),0),"Lighting","Receptacle","Motor","HVAC","Electric Heat","Kitchen Equip","Continuous (Other)","Non-Continuous","Panel"))))</f>
        <v>Space</v>
      </c>
      <c r="H44" s="237" t="str">
        <f t="shared" si="0"/>
        <v/>
      </c>
      <c r="I44" s="411"/>
      <c r="J44" s="411"/>
      <c r="K44" s="320" t="str" cm="1">
        <f t="array" ref="K44">IF(OR(Tog_VD&lt;&gt;"ON",$AD44=0,$AG44=0,$J44=0,$J44="",$AB44=0),"",(IF($E44=3,SQRT3,2)*BranchK*$AD44*$J44/(INDEX(INDEX(Cond_Table,0,2),$AG44)*MAX(1,$AO44)))/$AB44)</f>
        <v/>
      </c>
      <c r="L44" s="16" t="str" cm="1">
        <f t="array" ref="L44">IF(OR(Tog_Wire&lt;&gt;"ON",$AG44=0),"",IFERROR(IF($AO44&gt;1,"("&amp;$AO44&amp;") ","")&amp;"#"&amp;INDEX(Cond_Size,$AG44)&amp;" | #"&amp;INDEX(Cond_Size,MIN($AG44,MAX(Min_Cond_Pos,MATCH(TRUE,INDEX(Cond_Table,0,2)&gt;=INDEX(INDEX(Cond_Table,0,2),MATCH(INDEX(INDEX(EGC_Table,0,IF(Cfg_BranchMat="Cu",2,3)),MATCH(TRUE,INDEX(EGC_Table,0,1)&gt;=$F44,0)),Cond_Size,0))*INDEX(INDEX(Cond_Table,0,2),$AG44)/INDEX(INDEX(Cond_Table,0,2),MAX(Min_Cond_Pos,MATCH(TRUE,INDEX(Cond_Table,0,IF($AE44&lt;=100,BranchCol60,BranchAmpCol))&gt;=$AE44/MAX(1,$AO44),0))),0))))&amp;"G",""))</f>
        <v/>
      </c>
      <c r="M44" s="413"/>
      <c r="N44" s="10"/>
      <c r="O44" s="214"/>
      <c r="P44" s="215"/>
      <c r="Q44" s="215"/>
      <c r="R44" s="215"/>
      <c r="S44" s="215"/>
      <c r="T44" s="215"/>
      <c r="U44" s="215"/>
      <c r="V44" s="215"/>
      <c r="W44" s="216"/>
      <c r="Y44" s="31">
        <f t="shared" si="1"/>
        <v>0</v>
      </c>
      <c r="Z44" s="415">
        <f t="shared" si="2"/>
        <v>0</v>
      </c>
      <c r="AA44" s="31" t="str">
        <f t="shared" si="3"/>
        <v>NONE</v>
      </c>
      <c r="AB44" s="31" t="str">
        <f t="shared" si="10"/>
        <v/>
      </c>
      <c r="AC44" s="526">
        <f t="shared" si="4"/>
        <v>0</v>
      </c>
      <c r="AD44" s="415">
        <f t="shared" si="5"/>
        <v>0</v>
      </c>
      <c r="AE44" s="415">
        <f t="shared" si="11"/>
        <v>0</v>
      </c>
      <c r="AF44" s="415">
        <f t="shared" si="12"/>
        <v>0</v>
      </c>
      <c r="AG44" s="31" cm="1">
        <f t="array" ref="AG44">IF($AE44&lt;=0,0,IFERROR(_xlfn.LET(_xlpm.n,MAX(1,$AO44),_xlpm.i,$AE44/_xlpm.n,MIN(Max_Cond_Pos,MAX(Min_Cond_Pos,IF(_xlpm.n&gt;1,Par_Min_Pos,1),MATCH(TRUE,INDEX(Cond_Table,0,IF(_xlpm.i&lt;=100,BranchCol60,BranchAmpCol))&gt;=_xlpm.i,0),IF(OR(Tog_VD&lt;&gt;"ON",$J44=0,$J44="",$AB44=0),0,MATCH(TRUE,INDEX(Cond_Table,0,2)&gt;=IF($E44=3,SQRT3,2)*BranchK*$AD44*$J44/($AQ$22*$AB44*_xlpm.n),0))))),0))</f>
        <v>0</v>
      </c>
      <c r="AH44" s="415">
        <f t="shared" si="6"/>
        <v>0</v>
      </c>
      <c r="AI44" s="31">
        <f t="shared" si="13"/>
        <v>0</v>
      </c>
      <c r="AJ44" s="415">
        <f t="shared" si="7"/>
        <v>0</v>
      </c>
      <c r="AK44" s="415">
        <f t="shared" si="8"/>
        <v>0</v>
      </c>
      <c r="AL44" s="415">
        <f t="shared" si="9"/>
        <v>0</v>
      </c>
      <c r="AM44" s="31"/>
      <c r="AN44" s="31">
        <v>0</v>
      </c>
      <c r="AO44" s="563" cm="1">
        <f t="array" ref="AO44">IF($AE44&lt;=0,0,IFERROR(_xlfn.LET(_xlpm.col,IF($AE44&lt;=100,BranchCol60,BranchAmpCol),_xlpm.nA,ROUNDUP($AE44/INDEX(Cond_Table,Max_Cond_Pos,_xlpm.col),0),_xlpm.cm,IF(OR(Tog_VD&lt;&gt;"ON",$J44=0,$J44="",$AB44=0),0,IF($E44=3,SQRT3,2)*BranchK*$AD44*$J44/($AQ$22*$AB44)),_xlpm.nV,ROUNDUP(_xlpm.cm/INDEX(Cond_Table,Max_Cond_Pos,2),0),MAX(1,_xlpm.nA,_xlpm.nV)),1))</f>
        <v>0</v>
      </c>
    </row>
    <row r="45" spans="2:50" ht="15" customHeight="1" x14ac:dyDescent="0.35">
      <c r="B45" s="410">
        <f>ROW()-28</f>
        <v>17</v>
      </c>
      <c r="C45" s="663"/>
      <c r="D45" s="664"/>
      <c r="E45" s="411"/>
      <c r="F45" s="16" t="str" cm="1">
        <f t="array" ref="F45">IF($AN45=1,"-",IF($G45="Spare",IF($AM45&lt;&gt;"",$AM45,20),IF(OR($G45="",$G45="Space",$AF45&lt;=0),"",IFERROR(INDEX(OCPD_List,MATCH($AF45,OCPD_List,1)+IF(INDEX(OCPD_List,MATCH($AF45,OCPD_List,1))&gt;=$AF45,0,1)),15))))</f>
        <v/>
      </c>
      <c r="G45" s="412" t="str" cm="1">
        <f t="array" ref="G45">IF($AN45=1,"-",IF(COUNT($O45:$W45)=0,IF(UPPER(TRIM($C45))="SPARE","Spare","Space"),IF(COUNTIF($O45:$W45,"&gt;0")&gt;1,"COMB",CHOOSE(MATCH(TRUE,INDEX($O45:$W45&lt;&gt;"",0),0),"Lighting","Receptacle","Motor","HVAC","Electric Heat","Kitchen Equip","Continuous (Other)","Non-Continuous","Panel"))))</f>
        <v>Space</v>
      </c>
      <c r="H45" s="237" t="str">
        <f t="shared" si="0"/>
        <v/>
      </c>
      <c r="I45" s="411"/>
      <c r="J45" s="411"/>
      <c r="K45" s="320" t="str" cm="1">
        <f t="array" ref="K45">IF(OR(Tog_VD&lt;&gt;"ON",$AD45=0,$AG45=0,$J45=0,$J45="",$AB45=0),"",(IF($E45=3,SQRT3,2)*BranchK*$AD45*$J45/(INDEX(INDEX(Cond_Table,0,2),$AG45)*MAX(1,$AO45)))/$AB45)</f>
        <v/>
      </c>
      <c r="L45" s="16" t="str" cm="1">
        <f t="array" ref="L45">IF(OR(Tog_Wire&lt;&gt;"ON",$AG45=0),"",IFERROR(IF($AO45&gt;1,"("&amp;$AO45&amp;") ","")&amp;"#"&amp;INDEX(Cond_Size,$AG45)&amp;" | #"&amp;INDEX(Cond_Size,MIN($AG45,MAX(Min_Cond_Pos,MATCH(TRUE,INDEX(Cond_Table,0,2)&gt;=INDEX(INDEX(Cond_Table,0,2),MATCH(INDEX(INDEX(EGC_Table,0,IF(Cfg_BranchMat="Cu",2,3)),MATCH(TRUE,INDEX(EGC_Table,0,1)&gt;=$F45,0)),Cond_Size,0))*INDEX(INDEX(Cond_Table,0,2),$AG45)/INDEX(INDEX(Cond_Table,0,2),MAX(Min_Cond_Pos,MATCH(TRUE,INDEX(Cond_Table,0,IF($AE45&lt;=100,BranchCol60,BranchAmpCol))&gt;=$AE45/MAX(1,$AO45),0))),0))))&amp;"G",""))</f>
        <v/>
      </c>
      <c r="M45" s="413"/>
      <c r="N45" s="10"/>
      <c r="O45" s="214"/>
      <c r="P45" s="215"/>
      <c r="Q45" s="215"/>
      <c r="R45" s="215"/>
      <c r="S45" s="215"/>
      <c r="T45" s="215"/>
      <c r="U45" s="215"/>
      <c r="V45" s="215"/>
      <c r="W45" s="216"/>
      <c r="Y45" s="31">
        <f t="shared" si="1"/>
        <v>0</v>
      </c>
      <c r="Z45" s="415">
        <f t="shared" si="2"/>
        <v>0</v>
      </c>
      <c r="AA45" s="31" t="str">
        <f t="shared" si="3"/>
        <v>NONE</v>
      </c>
      <c r="AB45" s="31" t="str">
        <f t="shared" si="10"/>
        <v/>
      </c>
      <c r="AC45" s="526">
        <f t="shared" si="4"/>
        <v>0</v>
      </c>
      <c r="AD45" s="415">
        <f t="shared" si="5"/>
        <v>0</v>
      </c>
      <c r="AE45" s="415">
        <f t="shared" si="11"/>
        <v>0</v>
      </c>
      <c r="AF45" s="415">
        <f t="shared" si="12"/>
        <v>0</v>
      </c>
      <c r="AG45" s="31" cm="1">
        <f t="array" ref="AG45">IF($AE45&lt;=0,0,IFERROR(_xlfn.LET(_xlpm.n,MAX(1,$AO45),_xlpm.i,$AE45/_xlpm.n,MIN(Max_Cond_Pos,MAX(Min_Cond_Pos,IF(_xlpm.n&gt;1,Par_Min_Pos,1),MATCH(TRUE,INDEX(Cond_Table,0,IF(_xlpm.i&lt;=100,BranchCol60,BranchAmpCol))&gt;=_xlpm.i,0),IF(OR(Tog_VD&lt;&gt;"ON",$J45=0,$J45="",$AB45=0),0,MATCH(TRUE,INDEX(Cond_Table,0,2)&gt;=IF($E45=3,SQRT3,2)*BranchK*$AD45*$J45/($AQ$22*$AB45*_xlpm.n),0))))),0))</f>
        <v>0</v>
      </c>
      <c r="AH45" s="415">
        <f t="shared" si="6"/>
        <v>0</v>
      </c>
      <c r="AI45" s="31">
        <f t="shared" si="13"/>
        <v>1</v>
      </c>
      <c r="AJ45" s="415">
        <f t="shared" si="7"/>
        <v>0</v>
      </c>
      <c r="AK45" s="415">
        <f t="shared" si="8"/>
        <v>0</v>
      </c>
      <c r="AL45" s="415">
        <f t="shared" si="9"/>
        <v>0</v>
      </c>
      <c r="AM45" s="31"/>
      <c r="AN45" s="31">
        <v>0</v>
      </c>
      <c r="AO45" s="563" cm="1">
        <f t="array" ref="AO45">IF($AE45&lt;=0,0,IFERROR(_xlfn.LET(_xlpm.col,IF($AE45&lt;=100,BranchCol60,BranchAmpCol),_xlpm.nA,ROUNDUP($AE45/INDEX(Cond_Table,Max_Cond_Pos,_xlpm.col),0),_xlpm.cm,IF(OR(Tog_VD&lt;&gt;"ON",$J45=0,$J45="",$AB45=0),0,IF($E45=3,SQRT3,2)*BranchK*$AD45*$J45/($AQ$22*$AB45)),_xlpm.nV,ROUNDUP(_xlpm.cm/INDEX(Cond_Table,Max_Cond_Pos,2),0),MAX(1,_xlpm.nA,_xlpm.nV)),1))</f>
        <v>0</v>
      </c>
    </row>
    <row r="46" spans="2:50" ht="15" customHeight="1" x14ac:dyDescent="0.35">
      <c r="B46" s="410">
        <f>ROW()-28</f>
        <v>18</v>
      </c>
      <c r="C46" s="663"/>
      <c r="D46" s="664"/>
      <c r="E46" s="411"/>
      <c r="F46" s="16" t="str" cm="1">
        <f t="array" ref="F46">IF($AN46=1,"-",IF($G46="Spare",IF($AM46&lt;&gt;"",$AM46,20),IF(OR($G46="",$G46="Space",$AF46&lt;=0),"",IFERROR(INDEX(OCPD_List,MATCH($AF46,OCPD_List,1)+IF(INDEX(OCPD_List,MATCH($AF46,OCPD_List,1))&gt;=$AF46,0,1)),15))))</f>
        <v/>
      </c>
      <c r="G46" s="412" t="str" cm="1">
        <f t="array" ref="G46">IF($AN46=1,"-",IF(COUNT($O46:$W46)=0,IF(UPPER(TRIM($C46))="SPARE","Spare","Space"),IF(COUNTIF($O46:$W46,"&gt;0")&gt;1,"COMB",CHOOSE(MATCH(TRUE,INDEX($O46:$W46&lt;&gt;"",0),0),"Lighting","Receptacle","Motor","HVAC","Electric Heat","Kitchen Equip","Continuous (Other)","Non-Continuous","Panel"))))</f>
        <v>Space</v>
      </c>
      <c r="H46" s="237" t="str">
        <f t="shared" si="0"/>
        <v/>
      </c>
      <c r="I46" s="411"/>
      <c r="J46" s="411"/>
      <c r="K46" s="320" t="str" cm="1">
        <f t="array" ref="K46">IF(OR(Tog_VD&lt;&gt;"ON",$AD46=0,$AG46=0,$J46=0,$J46="",$AB46=0),"",(IF($E46=3,SQRT3,2)*BranchK*$AD46*$J46/(INDEX(INDEX(Cond_Table,0,2),$AG46)*MAX(1,$AO46)))/$AB46)</f>
        <v/>
      </c>
      <c r="L46" s="16" t="str" cm="1">
        <f t="array" ref="L46">IF(OR(Tog_Wire&lt;&gt;"ON",$AG46=0),"",IFERROR(IF($AO46&gt;1,"("&amp;$AO46&amp;") ","")&amp;"#"&amp;INDEX(Cond_Size,$AG46)&amp;" | #"&amp;INDEX(Cond_Size,MIN($AG46,MAX(Min_Cond_Pos,MATCH(TRUE,INDEX(Cond_Table,0,2)&gt;=INDEX(INDEX(Cond_Table,0,2),MATCH(INDEX(INDEX(EGC_Table,0,IF(Cfg_BranchMat="Cu",2,3)),MATCH(TRUE,INDEX(EGC_Table,0,1)&gt;=$F46,0)),Cond_Size,0))*INDEX(INDEX(Cond_Table,0,2),$AG46)/INDEX(INDEX(Cond_Table,0,2),MAX(Min_Cond_Pos,MATCH(TRUE,INDEX(Cond_Table,0,IF($AE46&lt;=100,BranchCol60,BranchAmpCol))&gt;=$AE46/MAX(1,$AO46),0))),0))))&amp;"G",""))</f>
        <v/>
      </c>
      <c r="M46" s="413"/>
      <c r="N46" s="10"/>
      <c r="O46" s="214"/>
      <c r="P46" s="215"/>
      <c r="Q46" s="215"/>
      <c r="R46" s="215"/>
      <c r="S46" s="215"/>
      <c r="T46" s="215"/>
      <c r="U46" s="215"/>
      <c r="V46" s="215"/>
      <c r="W46" s="216"/>
      <c r="Y46" s="31">
        <f t="shared" si="1"/>
        <v>0</v>
      </c>
      <c r="Z46" s="415">
        <f t="shared" si="2"/>
        <v>0</v>
      </c>
      <c r="AA46" s="31" t="str">
        <f t="shared" si="3"/>
        <v>NONE</v>
      </c>
      <c r="AB46" s="31" t="str">
        <f t="shared" si="10"/>
        <v/>
      </c>
      <c r="AC46" s="526">
        <f t="shared" si="4"/>
        <v>0</v>
      </c>
      <c r="AD46" s="415">
        <f t="shared" si="5"/>
        <v>0</v>
      </c>
      <c r="AE46" s="415">
        <f t="shared" si="11"/>
        <v>0</v>
      </c>
      <c r="AF46" s="415">
        <f t="shared" si="12"/>
        <v>0</v>
      </c>
      <c r="AG46" s="31" cm="1">
        <f t="array" ref="AG46">IF($AE46&lt;=0,0,IFERROR(_xlfn.LET(_xlpm.n,MAX(1,$AO46),_xlpm.i,$AE46/_xlpm.n,MIN(Max_Cond_Pos,MAX(Min_Cond_Pos,IF(_xlpm.n&gt;1,Par_Min_Pos,1),MATCH(TRUE,INDEX(Cond_Table,0,IF(_xlpm.i&lt;=100,BranchCol60,BranchAmpCol))&gt;=_xlpm.i,0),IF(OR(Tog_VD&lt;&gt;"ON",$J46=0,$J46="",$AB46=0),0,MATCH(TRUE,INDEX(Cond_Table,0,2)&gt;=IF($E46=3,SQRT3,2)*BranchK*$AD46*$J46/($AQ$22*$AB46*_xlpm.n),0))))),0))</f>
        <v>0</v>
      </c>
      <c r="AH46" s="415">
        <f t="shared" si="6"/>
        <v>0</v>
      </c>
      <c r="AI46" s="31">
        <f t="shared" si="13"/>
        <v>2</v>
      </c>
      <c r="AJ46" s="415">
        <f t="shared" si="7"/>
        <v>0</v>
      </c>
      <c r="AK46" s="415">
        <f t="shared" si="8"/>
        <v>0</v>
      </c>
      <c r="AL46" s="415">
        <f t="shared" si="9"/>
        <v>0</v>
      </c>
      <c r="AM46" s="31"/>
      <c r="AN46" s="31">
        <v>0</v>
      </c>
      <c r="AO46" s="563" cm="1">
        <f t="array" ref="AO46">IF($AE46&lt;=0,0,IFERROR(_xlfn.LET(_xlpm.col,IF($AE46&lt;=100,BranchCol60,BranchAmpCol),_xlpm.nA,ROUNDUP($AE46/INDEX(Cond_Table,Max_Cond_Pos,_xlpm.col),0),_xlpm.cm,IF(OR(Tog_VD&lt;&gt;"ON",$J46=0,$J46="",$AB46=0),0,IF($E46=3,SQRT3,2)*BranchK*$AD46*$J46/($AQ$22*$AB46)),_xlpm.nV,ROUNDUP(_xlpm.cm/INDEX(Cond_Table,Max_Cond_Pos,2),0),MAX(1,_xlpm.nA,_xlpm.nV)),1))</f>
        <v>0</v>
      </c>
    </row>
    <row r="47" spans="2:50" ht="15" customHeight="1" x14ac:dyDescent="0.35">
      <c r="B47" s="410">
        <f>ROW()-28</f>
        <v>19</v>
      </c>
      <c r="C47" s="663"/>
      <c r="D47" s="664"/>
      <c r="E47" s="411"/>
      <c r="F47" s="16" t="str" cm="1">
        <f t="array" ref="F47">IF($AN47=1,"-",IF($G47="Spare",IF($AM47&lt;&gt;"",$AM47,20),IF(OR($G47="",$G47="Space",$AF47&lt;=0),"",IFERROR(INDEX(OCPD_List,MATCH($AF47,OCPD_List,1)+IF(INDEX(OCPD_List,MATCH($AF47,OCPD_List,1))&gt;=$AF47,0,1)),15))))</f>
        <v/>
      </c>
      <c r="G47" s="412" t="str" cm="1">
        <f t="array" ref="G47">IF($AN47=1,"-",IF(COUNT($O47:$W47)=0,IF(UPPER(TRIM($C47))="SPARE","Spare","Space"),IF(COUNTIF($O47:$W47,"&gt;0")&gt;1,"COMB",CHOOSE(MATCH(TRUE,INDEX($O47:$W47&lt;&gt;"",0),0),"Lighting","Receptacle","Motor","HVAC","Electric Heat","Kitchen Equip","Continuous (Other)","Non-Continuous","Panel"))))</f>
        <v>Space</v>
      </c>
      <c r="H47" s="237" t="str">
        <f t="shared" si="0"/>
        <v/>
      </c>
      <c r="I47" s="411"/>
      <c r="J47" s="411"/>
      <c r="K47" s="320" t="str" cm="1">
        <f t="array" ref="K47">IF(OR(Tog_VD&lt;&gt;"ON",$AD47=0,$AG47=0,$J47=0,$J47="",$AB47=0),"",(IF($E47=3,SQRT3,2)*BranchK*$AD47*$J47/(INDEX(INDEX(Cond_Table,0,2),$AG47)*MAX(1,$AO47)))/$AB47)</f>
        <v/>
      </c>
      <c r="L47" s="16" t="str" cm="1">
        <f t="array" ref="L47">IF(OR(Tog_Wire&lt;&gt;"ON",$AG47=0),"",IFERROR(IF($AO47&gt;1,"("&amp;$AO47&amp;") ","")&amp;"#"&amp;INDEX(Cond_Size,$AG47)&amp;" | #"&amp;INDEX(Cond_Size,MIN($AG47,MAX(Min_Cond_Pos,MATCH(TRUE,INDEX(Cond_Table,0,2)&gt;=INDEX(INDEX(Cond_Table,0,2),MATCH(INDEX(INDEX(EGC_Table,0,IF(Cfg_BranchMat="Cu",2,3)),MATCH(TRUE,INDEX(EGC_Table,0,1)&gt;=$F47,0)),Cond_Size,0))*INDEX(INDEX(Cond_Table,0,2),$AG47)/INDEX(INDEX(Cond_Table,0,2),MAX(Min_Cond_Pos,MATCH(TRUE,INDEX(Cond_Table,0,IF($AE47&lt;=100,BranchCol60,BranchAmpCol))&gt;=$AE47/MAX(1,$AO47),0))),0))))&amp;"G",""))</f>
        <v/>
      </c>
      <c r="M47" s="413"/>
      <c r="N47" s="10"/>
      <c r="O47" s="214"/>
      <c r="P47" s="215"/>
      <c r="Q47" s="215"/>
      <c r="R47" s="215"/>
      <c r="S47" s="215"/>
      <c r="T47" s="215"/>
      <c r="U47" s="215"/>
      <c r="V47" s="215"/>
      <c r="W47" s="216"/>
      <c r="Y47" s="31">
        <f t="shared" si="1"/>
        <v>0</v>
      </c>
      <c r="Z47" s="415">
        <f t="shared" si="2"/>
        <v>0</v>
      </c>
      <c r="AA47" s="31" t="str">
        <f t="shared" si="3"/>
        <v>NONE</v>
      </c>
      <c r="AB47" s="31" t="str">
        <f t="shared" si="10"/>
        <v/>
      </c>
      <c r="AC47" s="526">
        <f t="shared" si="4"/>
        <v>0</v>
      </c>
      <c r="AD47" s="415">
        <f t="shared" si="5"/>
        <v>0</v>
      </c>
      <c r="AE47" s="415">
        <f t="shared" si="11"/>
        <v>0</v>
      </c>
      <c r="AF47" s="415">
        <f t="shared" si="12"/>
        <v>0</v>
      </c>
      <c r="AG47" s="31" cm="1">
        <f t="array" ref="AG47">IF($AE47&lt;=0,0,IFERROR(_xlfn.LET(_xlpm.n,MAX(1,$AO47),_xlpm.i,$AE47/_xlpm.n,MIN(Max_Cond_Pos,MAX(Min_Cond_Pos,IF(_xlpm.n&gt;1,Par_Min_Pos,1),MATCH(TRUE,INDEX(Cond_Table,0,IF(_xlpm.i&lt;=100,BranchCol60,BranchAmpCol))&gt;=_xlpm.i,0),IF(OR(Tog_VD&lt;&gt;"ON",$J47=0,$J47="",$AB47=0),0,MATCH(TRUE,INDEX(Cond_Table,0,2)&gt;=IF($E47=3,SQRT3,2)*BranchK*$AD47*$J47/($AQ$22*$AB47*_xlpm.n),0))))),0))</f>
        <v>0</v>
      </c>
      <c r="AH47" s="415">
        <f t="shared" si="6"/>
        <v>0</v>
      </c>
      <c r="AI47" s="31">
        <f t="shared" si="13"/>
        <v>0</v>
      </c>
      <c r="AJ47" s="415">
        <f t="shared" si="7"/>
        <v>0</v>
      </c>
      <c r="AK47" s="415">
        <f t="shared" si="8"/>
        <v>0</v>
      </c>
      <c r="AL47" s="415">
        <f t="shared" si="9"/>
        <v>0</v>
      </c>
      <c r="AM47" s="31"/>
      <c r="AN47" s="31">
        <v>0</v>
      </c>
      <c r="AO47" s="563" cm="1">
        <f t="array" ref="AO47">IF($AE47&lt;=0,0,IFERROR(_xlfn.LET(_xlpm.col,IF($AE47&lt;=100,BranchCol60,BranchAmpCol),_xlpm.nA,ROUNDUP($AE47/INDEX(Cond_Table,Max_Cond_Pos,_xlpm.col),0),_xlpm.cm,IF(OR(Tog_VD&lt;&gt;"ON",$J47=0,$J47="",$AB47=0),0,IF($E47=3,SQRT3,2)*BranchK*$AD47*$J47/($AQ$22*$AB47)),_xlpm.nV,ROUNDUP(_xlpm.cm/INDEX(Cond_Table,Max_Cond_Pos,2),0),MAX(1,_xlpm.nA,_xlpm.nV)),1))</f>
        <v>0</v>
      </c>
    </row>
    <row r="48" spans="2:50" ht="15" customHeight="1" x14ac:dyDescent="0.35">
      <c r="B48" s="410">
        <f>ROW()-28</f>
        <v>20</v>
      </c>
      <c r="C48" s="663"/>
      <c r="D48" s="664"/>
      <c r="E48" s="411"/>
      <c r="F48" s="16" t="str" cm="1">
        <f t="array" ref="F48">IF($AN48=1,"-",IF($G48="Spare",IF($AM48&lt;&gt;"",$AM48,20),IF(OR($G48="",$G48="Space",$AF48&lt;=0),"",IFERROR(INDEX(OCPD_List,MATCH($AF48,OCPD_List,1)+IF(INDEX(OCPD_List,MATCH($AF48,OCPD_List,1))&gt;=$AF48,0,1)),15))))</f>
        <v/>
      </c>
      <c r="G48" s="412" t="str" cm="1">
        <f t="array" ref="G48">IF($AN48=1,"-",IF(COUNT($O48:$W48)=0,IF(UPPER(TRIM($C48))="SPARE","Spare","Space"),IF(COUNTIF($O48:$W48,"&gt;0")&gt;1,"COMB",CHOOSE(MATCH(TRUE,INDEX($O48:$W48&lt;&gt;"",0),0),"Lighting","Receptacle","Motor","HVAC","Electric Heat","Kitchen Equip","Continuous (Other)","Non-Continuous","Panel"))))</f>
        <v>Space</v>
      </c>
      <c r="H48" s="237" t="str">
        <f t="shared" si="0"/>
        <v/>
      </c>
      <c r="I48" s="411"/>
      <c r="J48" s="411"/>
      <c r="K48" s="320" t="str" cm="1">
        <f t="array" ref="K48">IF(OR(Tog_VD&lt;&gt;"ON",$AD48=0,$AG48=0,$J48=0,$J48="",$AB48=0),"",(IF($E48=3,SQRT3,2)*BranchK*$AD48*$J48/(INDEX(INDEX(Cond_Table,0,2),$AG48)*MAX(1,$AO48)))/$AB48)</f>
        <v/>
      </c>
      <c r="L48" s="16" t="str" cm="1">
        <f t="array" ref="L48">IF(OR(Tog_Wire&lt;&gt;"ON",$AG48=0),"",IFERROR(IF($AO48&gt;1,"("&amp;$AO48&amp;") ","")&amp;"#"&amp;INDEX(Cond_Size,$AG48)&amp;" | #"&amp;INDEX(Cond_Size,MIN($AG48,MAX(Min_Cond_Pos,MATCH(TRUE,INDEX(Cond_Table,0,2)&gt;=INDEX(INDEX(Cond_Table,0,2),MATCH(INDEX(INDEX(EGC_Table,0,IF(Cfg_BranchMat="Cu",2,3)),MATCH(TRUE,INDEX(EGC_Table,0,1)&gt;=$F48,0)),Cond_Size,0))*INDEX(INDEX(Cond_Table,0,2),$AG48)/INDEX(INDEX(Cond_Table,0,2),MAX(Min_Cond_Pos,MATCH(TRUE,INDEX(Cond_Table,0,IF($AE48&lt;=100,BranchCol60,BranchAmpCol))&gt;=$AE48/MAX(1,$AO48),0))),0))))&amp;"G",""))</f>
        <v/>
      </c>
      <c r="M48" s="413"/>
      <c r="N48" s="10"/>
      <c r="O48" s="231"/>
      <c r="P48" s="232"/>
      <c r="Q48" s="232"/>
      <c r="R48" s="232"/>
      <c r="S48" s="232"/>
      <c r="T48" s="232"/>
      <c r="U48" s="232"/>
      <c r="V48" s="232"/>
      <c r="W48" s="233"/>
      <c r="Y48" s="31">
        <f t="shared" si="1"/>
        <v>0</v>
      </c>
      <c r="Z48" s="415">
        <f t="shared" si="2"/>
        <v>0</v>
      </c>
      <c r="AA48" s="31" t="str">
        <f t="shared" si="3"/>
        <v>NONE</v>
      </c>
      <c r="AB48" s="31" t="str">
        <f t="shared" si="10"/>
        <v/>
      </c>
      <c r="AC48" s="526">
        <f t="shared" si="4"/>
        <v>0</v>
      </c>
      <c r="AD48" s="415">
        <f t="shared" si="5"/>
        <v>0</v>
      </c>
      <c r="AE48" s="415">
        <f t="shared" si="11"/>
        <v>0</v>
      </c>
      <c r="AF48" s="415">
        <f t="shared" si="12"/>
        <v>0</v>
      </c>
      <c r="AG48" s="31" cm="1">
        <f t="array" ref="AG48">IF($AE48&lt;=0,0,IFERROR(_xlfn.LET(_xlpm.n,MAX(1,$AO48),_xlpm.i,$AE48/_xlpm.n,MIN(Max_Cond_Pos,MAX(Min_Cond_Pos,IF(_xlpm.n&gt;1,Par_Min_Pos,1),MATCH(TRUE,INDEX(Cond_Table,0,IF(_xlpm.i&lt;=100,BranchCol60,BranchAmpCol))&gt;=_xlpm.i,0),IF(OR(Tog_VD&lt;&gt;"ON",$J48=0,$J48="",$AB48=0),0,MATCH(TRUE,INDEX(Cond_Table,0,2)&gt;=IF($E48=3,SQRT3,2)*BranchK*$AD48*$J48/($AQ$22*$AB48*_xlpm.n),0))))),0))</f>
        <v>0</v>
      </c>
      <c r="AH48" s="415">
        <f t="shared" si="6"/>
        <v>0</v>
      </c>
      <c r="AI48" s="31">
        <f t="shared" si="13"/>
        <v>1</v>
      </c>
      <c r="AJ48" s="415">
        <f t="shared" si="7"/>
        <v>0</v>
      </c>
      <c r="AK48" s="415">
        <f t="shared" si="8"/>
        <v>0</v>
      </c>
      <c r="AL48" s="415">
        <f t="shared" si="9"/>
        <v>0</v>
      </c>
      <c r="AM48" s="31"/>
      <c r="AN48" s="31">
        <v>0</v>
      </c>
      <c r="AO48" s="563" cm="1">
        <f t="array" ref="AO48">IF($AE48&lt;=0,0,IFERROR(_xlfn.LET(_xlpm.col,IF($AE48&lt;=100,BranchCol60,BranchAmpCol),_xlpm.nA,ROUNDUP($AE48/INDEX(Cond_Table,Max_Cond_Pos,_xlpm.col),0),_xlpm.cm,IF(OR(Tog_VD&lt;&gt;"ON",$J48=0,$J48="",$AB48=0),0,IF($E48=3,SQRT3,2)*BranchK*$AD48*$J48/($AQ$22*$AB48)),_xlpm.nV,ROUNDUP(_xlpm.cm/INDEX(Cond_Table,Max_Cond_Pos,2),0),MAX(1,_xlpm.nA,_xlpm.nV)),1))</f>
        <v>0</v>
      </c>
    </row>
    <row r="49" spans="2:13" ht="15" customHeight="1" x14ac:dyDescent="0.35">
      <c r="B49" s="399"/>
      <c r="M49" s="400"/>
    </row>
    <row r="50" spans="2:13" ht="30" customHeight="1" x14ac:dyDescent="0.35">
      <c r="B50" s="591" t="s">
        <v>1198</v>
      </c>
      <c r="C50" s="592"/>
      <c r="D50" s="592"/>
      <c r="E50" s="592"/>
      <c r="F50" s="592"/>
      <c r="G50" s="592"/>
      <c r="H50" s="592"/>
      <c r="I50" s="592"/>
      <c r="J50" s="592"/>
      <c r="K50" s="592"/>
      <c r="L50" s="592"/>
      <c r="M50" s="665"/>
    </row>
    <row r="51" spans="2:13" ht="15" customHeight="1" x14ac:dyDescent="0.35">
      <c r="B51" s="437"/>
      <c r="C51" s="438"/>
      <c r="D51" s="438"/>
      <c r="E51" s="438"/>
      <c r="F51" s="438"/>
      <c r="G51" s="438"/>
      <c r="H51" s="438"/>
      <c r="I51" s="438"/>
      <c r="J51" s="438"/>
      <c r="K51" s="438"/>
      <c r="L51" s="438"/>
      <c r="M51" s="439"/>
    </row>
    <row r="52" spans="2:13" ht="15" customHeight="1" x14ac:dyDescent="0.35">
      <c r="B52" s="440">
        <v>1</v>
      </c>
      <c r="C52" s="744" t="s">
        <v>1235</v>
      </c>
      <c r="D52" s="744"/>
      <c r="E52" s="744"/>
      <c r="F52" s="744"/>
      <c r="G52" s="744"/>
      <c r="H52" s="744"/>
      <c r="I52" s="744"/>
      <c r="J52" s="744"/>
      <c r="K52" s="744"/>
      <c r="L52" s="744"/>
      <c r="M52" s="400"/>
    </row>
    <row r="53" spans="2:13" ht="15" customHeight="1" x14ac:dyDescent="0.35">
      <c r="B53" s="440">
        <v>2</v>
      </c>
      <c r="C53" s="744" t="s">
        <v>1235</v>
      </c>
      <c r="D53" s="744"/>
      <c r="E53" s="744"/>
      <c r="F53" s="744"/>
      <c r="G53" s="744"/>
      <c r="H53" s="744"/>
      <c r="I53" s="744"/>
      <c r="J53" s="744"/>
      <c r="K53" s="744"/>
      <c r="L53" s="744"/>
      <c r="M53" s="400"/>
    </row>
    <row r="54" spans="2:13" ht="15" customHeight="1" x14ac:dyDescent="0.35">
      <c r="B54" s="440">
        <v>3</v>
      </c>
      <c r="C54" s="744" t="s">
        <v>1235</v>
      </c>
      <c r="D54" s="744"/>
      <c r="E54" s="744"/>
      <c r="F54" s="744"/>
      <c r="G54" s="744"/>
      <c r="H54" s="744"/>
      <c r="I54" s="744"/>
      <c r="J54" s="744"/>
      <c r="K54" s="744"/>
      <c r="L54" s="744"/>
      <c r="M54" s="400"/>
    </row>
    <row r="55" spans="2:13" ht="15" customHeight="1" x14ac:dyDescent="0.35">
      <c r="B55" s="440">
        <v>4</v>
      </c>
      <c r="C55" s="744" t="s">
        <v>1235</v>
      </c>
      <c r="D55" s="744"/>
      <c r="E55" s="744"/>
      <c r="F55" s="744"/>
      <c r="G55" s="744"/>
      <c r="H55" s="744"/>
      <c r="I55" s="744"/>
      <c r="J55" s="744"/>
      <c r="K55" s="744"/>
      <c r="L55" s="744"/>
      <c r="M55" s="400"/>
    </row>
    <row r="56" spans="2:13" ht="15" customHeight="1" x14ac:dyDescent="0.35">
      <c r="B56" s="440">
        <v>5</v>
      </c>
      <c r="C56" s="744" t="s">
        <v>1235</v>
      </c>
      <c r="D56" s="744"/>
      <c r="E56" s="744"/>
      <c r="F56" s="744"/>
      <c r="G56" s="744"/>
      <c r="H56" s="744"/>
      <c r="I56" s="744"/>
      <c r="J56" s="744"/>
      <c r="K56" s="744"/>
      <c r="L56" s="744"/>
      <c r="M56" s="400"/>
    </row>
    <row r="57" spans="2:13" ht="15" customHeight="1" x14ac:dyDescent="0.35">
      <c r="B57" s="440">
        <v>6</v>
      </c>
      <c r="C57" s="744" t="s">
        <v>1235</v>
      </c>
      <c r="D57" s="744"/>
      <c r="E57" s="744"/>
      <c r="F57" s="744"/>
      <c r="G57" s="744"/>
      <c r="H57" s="744"/>
      <c r="I57" s="744"/>
      <c r="J57" s="744"/>
      <c r="K57" s="744"/>
      <c r="L57" s="744"/>
      <c r="M57" s="400"/>
    </row>
    <row r="58" spans="2:13" ht="15" customHeight="1" x14ac:dyDescent="0.35">
      <c r="B58" s="440">
        <v>7</v>
      </c>
      <c r="C58" s="744" t="s">
        <v>1235</v>
      </c>
      <c r="D58" s="744"/>
      <c r="E58" s="744"/>
      <c r="F58" s="744"/>
      <c r="G58" s="744"/>
      <c r="H58" s="744"/>
      <c r="I58" s="744"/>
      <c r="J58" s="744"/>
      <c r="K58" s="744"/>
      <c r="L58" s="744"/>
      <c r="M58" s="400"/>
    </row>
    <row r="59" spans="2:13" ht="15" customHeight="1" x14ac:dyDescent="0.35">
      <c r="B59" s="440">
        <v>8</v>
      </c>
      <c r="C59" s="744" t="s">
        <v>1235</v>
      </c>
      <c r="D59" s="744"/>
      <c r="E59" s="744"/>
      <c r="F59" s="744"/>
      <c r="G59" s="744"/>
      <c r="H59" s="744"/>
      <c r="I59" s="744"/>
      <c r="J59" s="744"/>
      <c r="K59" s="744"/>
      <c r="L59" s="744"/>
      <c r="M59" s="400"/>
    </row>
    <row r="60" spans="2:13" ht="15" customHeight="1" x14ac:dyDescent="0.35">
      <c r="B60" s="440">
        <v>9</v>
      </c>
      <c r="C60" s="744" t="s">
        <v>1235</v>
      </c>
      <c r="D60" s="744"/>
      <c r="E60" s="744"/>
      <c r="F60" s="744"/>
      <c r="G60" s="744"/>
      <c r="H60" s="744"/>
      <c r="I60" s="744"/>
      <c r="J60" s="744"/>
      <c r="K60" s="744"/>
      <c r="L60" s="744"/>
      <c r="M60" s="400"/>
    </row>
    <row r="61" spans="2:13" ht="15" customHeight="1" x14ac:dyDescent="0.35">
      <c r="B61" s="440">
        <v>10</v>
      </c>
      <c r="C61" s="744" t="s">
        <v>1235</v>
      </c>
      <c r="D61" s="744"/>
      <c r="E61" s="744"/>
      <c r="F61" s="744"/>
      <c r="G61" s="744"/>
      <c r="H61" s="744"/>
      <c r="I61" s="744"/>
      <c r="J61" s="744"/>
      <c r="K61" s="744"/>
      <c r="L61" s="744"/>
      <c r="M61" s="400"/>
    </row>
    <row r="62" spans="2:13" ht="15" customHeight="1" x14ac:dyDescent="0.35">
      <c r="B62" s="441"/>
      <c r="C62" s="381"/>
      <c r="D62" s="381"/>
      <c r="E62" s="381"/>
      <c r="F62" s="381"/>
      <c r="G62" s="381"/>
      <c r="H62" s="381"/>
      <c r="I62" s="381"/>
      <c r="J62" s="381"/>
      <c r="K62" s="381"/>
      <c r="L62" s="381"/>
      <c r="M62" s="442"/>
    </row>
    <row r="63" spans="2:13" ht="15" customHeight="1" x14ac:dyDescent="0.35"/>
    <row r="64" spans="2:13"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sheetData>
  <sheetProtection sheet="1" objects="1" scenarios="1"/>
  <mergeCells count="48">
    <mergeCell ref="E19:F19"/>
    <mergeCell ref="E18:F18"/>
    <mergeCell ref="E11:F11"/>
    <mergeCell ref="B2:M2"/>
    <mergeCell ref="C33:D33"/>
    <mergeCell ref="C32:D32"/>
    <mergeCell ref="C31:D31"/>
    <mergeCell ref="C30:D30"/>
    <mergeCell ref="C29:D29"/>
    <mergeCell ref="C4:D4"/>
    <mergeCell ref="G4:H4"/>
    <mergeCell ref="J4:L4"/>
    <mergeCell ref="G18:H18"/>
    <mergeCell ref="J19:L19"/>
    <mergeCell ref="B3:M3"/>
    <mergeCell ref="E12:F12"/>
    <mergeCell ref="E13:F13"/>
    <mergeCell ref="G9:H9"/>
    <mergeCell ref="E20:F20"/>
    <mergeCell ref="O27:W27"/>
    <mergeCell ref="B50:M50"/>
    <mergeCell ref="C43:D43"/>
    <mergeCell ref="C42:D42"/>
    <mergeCell ref="C41:D41"/>
    <mergeCell ref="C44:D44"/>
    <mergeCell ref="C40:D40"/>
    <mergeCell ref="C39:D39"/>
    <mergeCell ref="C28:D28"/>
    <mergeCell ref="C38:D38"/>
    <mergeCell ref="C37:D37"/>
    <mergeCell ref="C36:D36"/>
    <mergeCell ref="C35:D35"/>
    <mergeCell ref="C34:D34"/>
    <mergeCell ref="B27:M27"/>
    <mergeCell ref="C61:L61"/>
    <mergeCell ref="C48:D48"/>
    <mergeCell ref="C47:D47"/>
    <mergeCell ref="C46:D46"/>
    <mergeCell ref="C45:D45"/>
    <mergeCell ref="C60:L60"/>
    <mergeCell ref="C59:L59"/>
    <mergeCell ref="C58:L58"/>
    <mergeCell ref="C57:L57"/>
    <mergeCell ref="C56:L56"/>
    <mergeCell ref="C55:L55"/>
    <mergeCell ref="C54:L54"/>
    <mergeCell ref="C53:L53"/>
    <mergeCell ref="C52:L52"/>
  </mergeCells>
  <conditionalFormatting sqref="B52:C61">
    <cfRule type="expression" dxfId="31" priority="2">
      <formula>$AN52=1</formula>
    </cfRule>
  </conditionalFormatting>
  <conditionalFormatting sqref="C29:C48 E29:L48 N29:W48">
    <cfRule type="expression" dxfId="30" priority="4">
      <formula>$AN29=1</formula>
    </cfRule>
  </conditionalFormatting>
  <conditionalFormatting sqref="H7">
    <cfRule type="containsText" dxfId="29" priority="6" operator="containsText" text="UNDER">
      <formula>NOT(ISERROR(SEARCH("UNDER",H7)))</formula>
    </cfRule>
  </conditionalFormatting>
  <conditionalFormatting sqref="D19">
    <cfRule type="expression" dxfId="28" priority="7">
      <formula>AND(N($E$19)&gt;0,ISNUMBER($AQ$36),N($E$19)&lt;$AQ$36)</formula>
    </cfRule>
  </conditionalFormatting>
  <conditionalFormatting sqref="D19">
    <cfRule type="expression" dxfId="27" priority="8">
      <formula>N($E$19)&gt;0</formula>
    </cfRule>
  </conditionalFormatting>
  <conditionalFormatting sqref="D20">
    <cfRule type="expression" dxfId="26" priority="9">
      <formula>AND(N($E$20)&gt;0,ISNUMBER($AQ$37),N($E$20)&lt;$AQ$37)</formula>
    </cfRule>
  </conditionalFormatting>
  <conditionalFormatting sqref="D20">
    <cfRule type="expression" dxfId="25" priority="10">
      <formula>N($E$20)&gt;0</formula>
    </cfRule>
  </conditionalFormatting>
  <conditionalFormatting sqref="D13">
    <cfRule type="expression" dxfId="24" priority="11">
      <formula>AND(N($E$13)&gt;0,ISNUMBER($AQ$41),N($E$13)&lt;$AQ$41)</formula>
    </cfRule>
  </conditionalFormatting>
  <conditionalFormatting sqref="D13">
    <cfRule type="expression" dxfId="23" priority="12">
      <formula>N($E$13)&gt;0</formula>
    </cfRule>
  </conditionalFormatting>
  <conditionalFormatting sqref="E12:F12 E19:F19">
    <cfRule type="expression" dxfId="22" priority="13">
      <formula>AND(N($E$12)&gt;0,N($E$12)&lt;N($AQ$42))</formula>
    </cfRule>
  </conditionalFormatting>
  <dataValidations count="10">
    <dataValidation type="list" allowBlank="1" showInputMessage="1" showErrorMessage="1" sqref="D8" xr:uid="{37976A3E-BB71-4B42-BB65-FFA659ED2982}">
      <formula1>Volt_Sys</formula1>
    </dataValidation>
    <dataValidation type="list" allowBlank="1" showInputMessage="1" showErrorMessage="1" sqref="E29:E48" xr:uid="{8B4EC3A8-E1EB-44B6-A2BC-BFD4CDE446C9}">
      <formula1>"1,2,3"</formula1>
    </dataValidation>
    <dataValidation type="list" allowBlank="1" showInputMessage="1" showErrorMessage="1" errorTitle="Invalid entry" error="Pick a value from the dropdown list." sqref="D14" xr:uid="{262647F4-5421-40A5-8E23-6E1D63F29641}">
      <formula1>"Surface,Flush,Free-standing,Pad-mounted"</formula1>
    </dataValidation>
    <dataValidation type="list" allowBlank="1" showInputMessage="1" showErrorMessage="1" errorTitle="Invalid entry" error="Pick a value from the dropdown list." sqref="D15" xr:uid="{83A79852-3C5E-49B7-A948-7FE68404BD27}">
      <formula1>"NEMA 1,NEMA 1 Gasketed,NEMA 3R,NEMA 4,NEMA 4X,NEMA 12"</formula1>
    </dataValidation>
    <dataValidation type="list" allowBlank="1" showInputMessage="1" showErrorMessage="1" errorTitle="Invalid entry" error="Pick a value from the dropdown list." sqref="H12" xr:uid="{1193AF50-9730-4863-B5DB-A5096A1274F5}">
      <formula1>"Top,Bottom,Top &amp; Bottom,End"</formula1>
    </dataValidation>
    <dataValidation type="list" allowBlank="1" showInputMessage="1" showErrorMessage="1" errorTitle="Invalid entry" error="Pick a value from the dropdown list." sqref="D21" xr:uid="{B41EFC96-9937-40B5-A528-61DD557A39F0}">
      <formula1>"Class I Type A,Class I Type B,Class II Type B,Class II Type C,Class III Type C"</formula1>
    </dataValidation>
    <dataValidation type="list" allowBlank="1" showInputMessage="1" showErrorMessage="1" errorTitle="Standard rating" error="Pick a standard rating from the list, or clear the cell to use the calculated value." sqref="E19" xr:uid="{7F1210D6-F009-4159-94DB-3A3887A7B565}">
      <formula1>Brace_List</formula1>
    </dataValidation>
    <dataValidation type="list" allowBlank="1" showInputMessage="1" showErrorMessage="1" errorTitle="Standard rating" error="Pick a standard rating from the list, or clear the cell to use the calculated value." sqref="E20" xr:uid="{645E12AC-EFFD-4E55-8565-917981AC8E3D}">
      <formula1>Bus_List</formula1>
    </dataValidation>
    <dataValidation type="list" allowBlank="1" showInputMessage="1" showErrorMessage="1" sqref="E13" xr:uid="{8F4F977F-3558-4EDB-8288-F1798DDE0DFC}">
      <formula1>AIC_List</formula1>
    </dataValidation>
    <dataValidation type="list" allowBlank="1" showInputMessage="1" sqref="E12" xr:uid="{BF51321B-A65B-450F-A7F2-8ADDC424C436}">
      <formula1>OCPD_List</formula1>
    </dataValidation>
  </dataValidations>
  <pageMargins left="0.7" right="0.7" top="0.75" bottom="0.75" header="0.3" footer="0.3"/>
  <pageSetup scale="52" orientation="landscape" r:id="rId1"/>
  <ignoredErrors>
    <ignoredError sqref="L11" formula="1"/>
  </ignoredError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F7FB-C392-4473-B295-D0BAD3B7D52E}">
  <sheetPr codeName="Sheet9">
    <tabColor rgb="FFC00000"/>
    <pageSetUpPr fitToPage="1"/>
  </sheetPr>
  <dimension ref="A1:CA98"/>
  <sheetViews>
    <sheetView showGridLines="0" showRowColHeaders="0" workbookViewId="0">
      <selection activeCell="D7" sqref="D7"/>
    </sheetView>
  </sheetViews>
  <sheetFormatPr defaultRowHeight="14.5" outlineLevelCol="1" x14ac:dyDescent="0.35"/>
  <cols>
    <col min="1" max="1" width="2.7265625" customWidth="1"/>
    <col min="2" max="2" width="5.7265625" customWidth="1"/>
    <col min="3" max="4" width="23.26953125" customWidth="1"/>
    <col min="5" max="6" width="6.26953125" customWidth="1"/>
    <col min="7" max="8" width="23.26953125" customWidth="1"/>
    <col min="9" max="9" width="12" customWidth="1"/>
    <col min="10" max="12" width="23.26953125" customWidth="1"/>
    <col min="13" max="13" width="15.7265625" customWidth="1"/>
    <col min="14" max="20" width="10.7265625" customWidth="1"/>
    <col min="21" max="21" width="21" customWidth="1"/>
    <col min="22" max="22" width="15.7265625" customWidth="1"/>
    <col min="23" max="24" width="10.7265625" customWidth="1"/>
    <col min="25" max="25" width="15.7265625" customWidth="1"/>
    <col min="26" max="29" width="10.7265625" customWidth="1"/>
    <col min="30" max="30" width="5.7265625" customWidth="1"/>
    <col min="31" max="31" width="2.7265625" customWidth="1"/>
    <col min="32" max="40" width="9.1796875" customWidth="1" outlineLevel="1"/>
    <col min="41" max="41" width="4.7265625" customWidth="1"/>
    <col min="42" max="61" width="10.26953125" style="235" hidden="1" customWidth="1" outlineLevel="1"/>
    <col min="62" max="67" width="12.1796875" style="235" hidden="1" customWidth="1" outlineLevel="1"/>
    <col min="68" max="68" width="2.7265625" style="235" hidden="1" customWidth="1" outlineLevel="1"/>
    <col min="69" max="69" width="32.453125" style="235" hidden="1" customWidth="1" outlineLevel="1"/>
    <col min="70" max="75" width="0" hidden="1" customWidth="1" outlineLevel="1"/>
    <col min="76" max="76" width="9.1796875" collapsed="1"/>
  </cols>
  <sheetData>
    <row r="1" spans="1:79" ht="16"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BJ1" s="31" t="s">
        <v>895</v>
      </c>
      <c r="BK1" s="31"/>
      <c r="BL1" s="31" t="s">
        <v>1206</v>
      </c>
      <c r="BM1" s="31" t="s">
        <v>1207</v>
      </c>
      <c r="BN1" s="31" t="s">
        <v>1208</v>
      </c>
      <c r="BO1" s="31" t="s">
        <v>1209</v>
      </c>
      <c r="BQ1" s="443" t="s">
        <v>1236</v>
      </c>
    </row>
    <row r="2" spans="1:79" ht="30" customHeight="1" x14ac:dyDescent="0.4">
      <c r="B2" s="594" t="s">
        <v>444</v>
      </c>
      <c r="C2" s="595"/>
      <c r="D2" s="595"/>
      <c r="E2" s="595"/>
      <c r="F2" s="595"/>
      <c r="G2" s="595"/>
      <c r="H2" s="595"/>
      <c r="I2" s="595"/>
      <c r="J2" s="595"/>
      <c r="K2" s="595"/>
      <c r="L2" s="595"/>
      <c r="M2" s="595"/>
      <c r="N2" s="595"/>
      <c r="O2" s="595"/>
      <c r="P2" s="595"/>
      <c r="Q2" s="595"/>
      <c r="R2" s="595"/>
      <c r="S2" s="595"/>
      <c r="T2" s="595"/>
      <c r="U2" s="595"/>
      <c r="V2" s="595"/>
      <c r="W2" s="595"/>
      <c r="X2" s="595"/>
      <c r="Y2" s="595"/>
      <c r="Z2" s="595"/>
      <c r="AA2" s="595"/>
      <c r="AB2" s="595"/>
      <c r="AC2" s="595"/>
      <c r="AD2" s="596"/>
      <c r="BJ2" s="392" t="s">
        <v>896</v>
      </c>
      <c r="BK2" s="393" t="s">
        <v>1199</v>
      </c>
      <c r="BL2" s="31" t="s">
        <v>445</v>
      </c>
      <c r="BM2" s="31" t="s">
        <v>1181</v>
      </c>
      <c r="BN2" s="31" t="s">
        <v>1182</v>
      </c>
      <c r="BO2" s="31">
        <v>0</v>
      </c>
      <c r="BQ2" s="444" t="s">
        <v>887</v>
      </c>
    </row>
    <row r="3" spans="1:79" ht="15" customHeight="1" x14ac:dyDescent="0.4">
      <c r="B3" s="445" t="s">
        <v>1216</v>
      </c>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5"/>
      <c r="BJ3" s="392" t="s">
        <v>1164</v>
      </c>
      <c r="BK3" s="393" t="s">
        <v>1175</v>
      </c>
      <c r="BL3" s="31"/>
      <c r="BM3" s="31"/>
      <c r="BN3" s="31"/>
      <c r="BO3" s="31"/>
      <c r="BQ3" s="444" t="s">
        <v>1237</v>
      </c>
    </row>
    <row r="4" spans="1:79" ht="15" customHeight="1" x14ac:dyDescent="0.4">
      <c r="B4" s="394"/>
      <c r="C4" s="757" t="s">
        <v>1217</v>
      </c>
      <c r="D4" s="757"/>
      <c r="E4" s="391"/>
      <c r="F4" s="391"/>
      <c r="G4" s="790" t="s">
        <v>1898</v>
      </c>
      <c r="H4" s="790"/>
      <c r="I4" s="391"/>
      <c r="J4" s="758" t="str" cm="1">
        <f t="array" ref="J4">"LOAD SUMMARY &amp; NEC "&amp;NECREF("220")&amp;" DEMAND"</f>
        <v>LOAD SUMMARY &amp; NEC 220 DEMAND</v>
      </c>
      <c r="K4" s="758"/>
      <c r="L4" s="758"/>
      <c r="S4" s="446"/>
      <c r="T4" s="446"/>
      <c r="U4" s="446"/>
      <c r="V4" s="446"/>
      <c r="W4" s="446"/>
      <c r="X4" s="446"/>
      <c r="Y4" s="446"/>
      <c r="Z4" s="446"/>
      <c r="AA4" s="446"/>
      <c r="AB4" s="446"/>
      <c r="AC4" s="446"/>
      <c r="AD4" s="395"/>
      <c r="BJ4" s="392" t="s">
        <v>897</v>
      </c>
      <c r="BK4" s="393" t="s">
        <v>1200</v>
      </c>
      <c r="BL4" s="31" t="s">
        <v>164</v>
      </c>
      <c r="BM4" s="31" t="s">
        <v>1181</v>
      </c>
      <c r="BN4" s="31" t="s">
        <v>1182</v>
      </c>
      <c r="BO4" s="31">
        <v>0</v>
      </c>
      <c r="BQ4" s="444" t="s">
        <v>1238</v>
      </c>
    </row>
    <row r="5" spans="1:79" ht="15" customHeight="1" x14ac:dyDescent="0.45">
      <c r="B5" s="394"/>
      <c r="C5" s="396" t="s">
        <v>445</v>
      </c>
      <c r="D5" s="261"/>
      <c r="E5" s="391"/>
      <c r="F5" s="391"/>
      <c r="G5" s="782" t="s">
        <v>169</v>
      </c>
      <c r="H5" s="784" t="str">
        <f>IF(Cfg_SCA="","",Cfg_SCA)</f>
        <v/>
      </c>
      <c r="I5" s="788"/>
      <c r="J5" s="794" t="s">
        <v>193</v>
      </c>
      <c r="K5" s="795" t="s">
        <v>1249</v>
      </c>
      <c r="L5" s="795" t="s">
        <v>1250</v>
      </c>
      <c r="R5" s="447"/>
      <c r="S5" s="34"/>
      <c r="T5" s="34"/>
      <c r="U5" s="34"/>
      <c r="V5" s="34"/>
      <c r="W5" s="34"/>
      <c r="X5" s="34"/>
      <c r="Y5" s="34"/>
      <c r="Z5" s="34"/>
      <c r="AA5" s="34"/>
      <c r="AB5" s="34"/>
      <c r="AC5" s="34"/>
      <c r="AD5" s="397"/>
      <c r="BJ5" s="392" t="s">
        <v>898</v>
      </c>
      <c r="BK5" s="393" t="s">
        <v>1201</v>
      </c>
      <c r="BL5" s="31" t="s">
        <v>168</v>
      </c>
      <c r="BM5" s="31" t="s">
        <v>1181</v>
      </c>
      <c r="BN5" s="31" t="s">
        <v>1182</v>
      </c>
      <c r="BO5" s="31">
        <v>0</v>
      </c>
      <c r="BQ5" s="444" t="s">
        <v>1239</v>
      </c>
    </row>
    <row r="6" spans="1:79" ht="15" customHeight="1" x14ac:dyDescent="0.45">
      <c r="B6" s="394"/>
      <c r="C6" s="396" t="s">
        <v>104</v>
      </c>
      <c r="D6" s="261" t="str" cm="1">
        <f t="array" ref="D6">IFERROR(_xlfn.LET(_xlpm.f,SUBSTITUTE(_xlfn.XLOOKUP($D$5,Equip_List,Equip_FedFrom,"")&amp;"","(unassigned)",""),_xlpm.t,"T-"&amp;$D$5,_xlpm.src,IF(_xlpm.f="",IF(ROWS(Util_TagList)=1,INDEX(Util_TagList,1),"—"),_xlpm.f),IF(COUNTIF(Transformers!$A$1:$A$400,_xlpm.t)&gt;0,_xlpm.src&amp;" via "&amp;_xlpm.t,_xlpm.src)),"—")</f>
        <v>Utility Service</v>
      </c>
      <c r="E6" s="391"/>
      <c r="F6" s="391"/>
      <c r="G6" s="782" t="s">
        <v>170</v>
      </c>
      <c r="H6" s="784" t="str" cm="1">
        <f t="array" ref="H6">IF(Tog_SC&lt;&gt;"ON","",IF(OR($H$5="",$BH$31="",$BH$37=""),"",IF($BH$37=0,$H$5,$H$5/(1+(IF($BH$33=3,SQRT3,2)*N($H$13)*$H$5)/(INDEX(INDEX(Cond_Table,0,FeederCcol),$BH$37)*$BH$31)))))</f>
        <v/>
      </c>
      <c r="I6" s="788"/>
      <c r="J6" s="796" t="s">
        <v>87</v>
      </c>
      <c r="K6" s="797">
        <f>SUM($AF$33:$AF$52)</f>
        <v>0</v>
      </c>
      <c r="L6" s="797">
        <f>$K6*1.25</f>
        <v>0</v>
      </c>
      <c r="R6" s="447"/>
      <c r="S6" s="36"/>
      <c r="T6" s="36"/>
      <c r="U6" s="36"/>
      <c r="V6" s="36"/>
      <c r="W6" s="36"/>
      <c r="X6" s="36"/>
      <c r="Y6" s="36"/>
      <c r="Z6" s="36"/>
      <c r="AA6" s="36"/>
      <c r="AB6" s="36"/>
      <c r="AC6" s="36"/>
      <c r="AD6" s="398"/>
      <c r="BJ6" s="392" t="s">
        <v>899</v>
      </c>
      <c r="BK6" s="393" t="s">
        <v>1194</v>
      </c>
      <c r="BL6" s="31" t="s">
        <v>169</v>
      </c>
      <c r="BM6" s="31" t="s">
        <v>1195</v>
      </c>
      <c r="BN6" s="31" t="s">
        <v>1184</v>
      </c>
      <c r="BO6" s="31">
        <v>0</v>
      </c>
      <c r="BQ6" s="444" t="s">
        <v>1240</v>
      </c>
    </row>
    <row r="7" spans="1:79" ht="15" customHeight="1" x14ac:dyDescent="0.45">
      <c r="B7" s="394"/>
      <c r="C7" s="396" t="s">
        <v>55</v>
      </c>
      <c r="D7" s="131"/>
      <c r="E7" s="391"/>
      <c r="F7" s="391"/>
      <c r="G7" s="782" t="s">
        <v>171</v>
      </c>
      <c r="H7" s="517" t="str">
        <f>IF(Tog_SC&lt;&gt;"ON","—",IF($D$13="","enter AIC",_xlfn.LET(_xlpm.study,IFERROR(_xlfn.XLOOKUP($D$5,'Short Circuit'!$A$6:$A$255,'Short Circuit'!$Q$6:$Q$255),""),_xlpm.worst,MAX(IF(ISNUMBER($H$6),$H$6,0),IF(ISNUMBER(_xlpm.study),_xlpm.study,0)),IF(_xlpm.worst=0,"—",IF($D$13&gt;=_xlpm.worst,"OK","UNDER-RATED")))))</f>
        <v>—</v>
      </c>
      <c r="I7" s="788"/>
      <c r="J7" s="796" t="s">
        <v>86</v>
      </c>
      <c r="K7" s="797">
        <f>SUM($AG$33:$AG$52)</f>
        <v>0</v>
      </c>
      <c r="L7" s="797">
        <f>$BH$43-$BW$25</f>
        <v>0</v>
      </c>
      <c r="R7" s="447"/>
      <c r="S7" s="36"/>
      <c r="T7" s="36"/>
      <c r="U7" s="36"/>
      <c r="V7" s="36"/>
      <c r="W7" s="36"/>
      <c r="X7" s="36"/>
      <c r="Y7" s="36"/>
      <c r="Z7" s="36"/>
      <c r="AA7" s="36"/>
      <c r="AB7" s="36"/>
      <c r="AC7" s="36"/>
      <c r="AD7" s="398"/>
      <c r="BJ7" s="392" t="s">
        <v>900</v>
      </c>
      <c r="BK7" s="393" t="s">
        <v>1202</v>
      </c>
      <c r="BL7" s="31" t="s">
        <v>170</v>
      </c>
      <c r="BM7" s="31" t="s">
        <v>1195</v>
      </c>
      <c r="BN7" s="31" t="s">
        <v>1184</v>
      </c>
      <c r="BO7" s="31">
        <v>0</v>
      </c>
      <c r="BQ7" s="444" t="s">
        <v>1241</v>
      </c>
    </row>
    <row r="8" spans="1:79" ht="15" customHeight="1" x14ac:dyDescent="0.45">
      <c r="B8" s="394"/>
      <c r="C8" s="396" t="s">
        <v>164</v>
      </c>
      <c r="D8" s="131"/>
      <c r="E8" s="391"/>
      <c r="F8" s="391"/>
      <c r="I8" s="788"/>
      <c r="J8" s="796" t="s">
        <v>88</v>
      </c>
      <c r="K8" s="797">
        <f>SUM($AH$33:$AH$52)</f>
        <v>0</v>
      </c>
      <c r="L8" s="797">
        <f>$K8+0.25*$BH$39</f>
        <v>0</v>
      </c>
      <c r="R8" s="447"/>
      <c r="S8" s="36"/>
      <c r="T8" s="36"/>
      <c r="U8" s="36"/>
      <c r="V8" s="36"/>
      <c r="W8" s="36"/>
      <c r="X8" s="36"/>
      <c r="Y8" s="36"/>
      <c r="Z8" s="36"/>
      <c r="AA8" s="36"/>
      <c r="AB8" s="36"/>
      <c r="AC8" s="36"/>
      <c r="AD8" s="398"/>
      <c r="BJ8" s="392" t="s">
        <v>901</v>
      </c>
      <c r="BK8" s="393" t="s">
        <v>2125</v>
      </c>
      <c r="BL8" s="31" t="s">
        <v>174</v>
      </c>
      <c r="BM8" s="31" t="s">
        <v>1195</v>
      </c>
      <c r="BN8" s="31" t="s">
        <v>1184</v>
      </c>
      <c r="BO8" s="31">
        <v>0</v>
      </c>
      <c r="BQ8" s="444" t="s">
        <v>1242</v>
      </c>
    </row>
    <row r="9" spans="1:79" ht="15" customHeight="1" x14ac:dyDescent="0.4">
      <c r="B9" s="394"/>
      <c r="C9" s="396" t="s">
        <v>165</v>
      </c>
      <c r="D9" s="261" t="str">
        <f>IF($D$8="","",$BH$31&amp;" / "&amp;IF($BH$32="","—",$BH$32)&amp;" V")</f>
        <v/>
      </c>
      <c r="E9" s="391"/>
      <c r="F9" s="391"/>
      <c r="G9" s="781" t="s">
        <v>1897</v>
      </c>
      <c r="H9" s="787"/>
      <c r="I9" s="788"/>
      <c r="J9" s="796" t="s">
        <v>89</v>
      </c>
      <c r="K9" s="797">
        <f>SUM($AI$33:$AI$52)</f>
        <v>0</v>
      </c>
      <c r="L9" s="797">
        <f>$K9</f>
        <v>0</v>
      </c>
      <c r="S9" s="36"/>
      <c r="T9" s="36"/>
      <c r="U9" s="36"/>
      <c r="V9" s="36"/>
      <c r="W9" s="36"/>
      <c r="X9" s="36"/>
      <c r="Y9" s="36"/>
      <c r="Z9" s="36"/>
      <c r="AA9" s="36"/>
      <c r="AB9" s="36"/>
      <c r="AC9" s="36"/>
      <c r="AD9" s="238"/>
      <c r="BJ9" s="392" t="s">
        <v>902</v>
      </c>
      <c r="BK9" s="393" t="s">
        <v>2132</v>
      </c>
      <c r="BL9" s="31" t="s">
        <v>1196</v>
      </c>
      <c r="BM9" s="31" t="s">
        <v>1177</v>
      </c>
      <c r="BN9" s="31" t="s">
        <v>224</v>
      </c>
      <c r="BO9" s="31">
        <v>0</v>
      </c>
      <c r="BQ9" s="444" t="s">
        <v>1243</v>
      </c>
    </row>
    <row r="10" spans="1:79" ht="15" customHeight="1" x14ac:dyDescent="0.35">
      <c r="B10" s="394"/>
      <c r="C10" s="396" t="s">
        <v>166</v>
      </c>
      <c r="D10" s="261" t="str">
        <f>IF($D$8="","",$BH$33&amp;"Ø "&amp;IFERROR(VLOOKUP($D$8,Volt_Table,4,FALSE),"")&amp;"W")</f>
        <v/>
      </c>
      <c r="E10" s="391"/>
      <c r="F10" s="391"/>
      <c r="G10" s="782" t="s">
        <v>174</v>
      </c>
      <c r="H10" s="783">
        <f>$L$16</f>
        <v>0</v>
      </c>
      <c r="I10" s="788"/>
      <c r="J10" s="796" t="s">
        <v>90</v>
      </c>
      <c r="K10" s="797">
        <f>SUM($AJ$33:$AJ$52)</f>
        <v>0</v>
      </c>
      <c r="L10" s="797">
        <f>$K10</f>
        <v>0</v>
      </c>
      <c r="M10" s="806"/>
      <c r="N10" s="36"/>
      <c r="O10" s="36"/>
      <c r="P10" s="36"/>
      <c r="Q10" s="36"/>
      <c r="R10" s="36"/>
      <c r="S10" s="36"/>
      <c r="T10" s="36"/>
      <c r="U10" s="36"/>
      <c r="V10" s="36"/>
      <c r="W10" s="36"/>
      <c r="X10" s="36"/>
      <c r="Y10" s="36"/>
      <c r="Z10" s="36"/>
      <c r="AA10" s="36"/>
      <c r="AB10" s="36"/>
      <c r="AC10" s="36"/>
      <c r="AD10" s="395"/>
      <c r="BJ10" s="392" t="s">
        <v>903</v>
      </c>
      <c r="BK10" s="393" t="s">
        <v>2145</v>
      </c>
      <c r="BL10" s="31" t="s">
        <v>1191</v>
      </c>
      <c r="BM10" s="31" t="s">
        <v>1234</v>
      </c>
      <c r="BN10" s="31" t="s">
        <v>1248</v>
      </c>
      <c r="BO10" s="31">
        <v>1</v>
      </c>
    </row>
    <row r="11" spans="1:79" ht="15" customHeight="1" x14ac:dyDescent="0.35">
      <c r="B11" s="394"/>
      <c r="C11" s="396" t="s">
        <v>108</v>
      </c>
      <c r="D11" s="539" t="str" cm="1">
        <f t="array" ref="D11">_xlfn.LET(_xlpm.m,IFERROR(_xlfn.XLOOKUP($D$5,Equip_List,INDEX(Equip_Registry,0,5),"")&amp;"",""),_xlpm.f,IFERROR(SUBSTITUTE(_xlfn.XLOOKUP($D$5,Equip_List,Equip_FedFrom,"")&amp;"","(unassigned)",""),""),IF(_xlpm.m&lt;&gt;"",_xlpm.m,IF(OR(_xlpm.f="",ISNUMBER(MATCH(_xlpm.f,Util_Tags,0))),"MCB","MLO")))</f>
        <v>MCB</v>
      </c>
      <c r="E11" s="751" t="s">
        <v>1866</v>
      </c>
      <c r="F11" s="752"/>
      <c r="G11" s="782" t="s">
        <v>175</v>
      </c>
      <c r="H11" s="784" t="str">
        <f>IF($L$17="","",$L$17)</f>
        <v/>
      </c>
      <c r="I11" s="788"/>
      <c r="J11" s="796" t="s">
        <v>91</v>
      </c>
      <c r="K11" s="797">
        <f>SUM($AK$33:$AK$52)</f>
        <v>0</v>
      </c>
      <c r="L11" s="797">
        <f>$K11*IFERROR(VLOOKUP(MAX($BH$38,1),Kitchen_Table,2,TRUE),1)</f>
        <v>0</v>
      </c>
      <c r="M11" s="806"/>
      <c r="N11" s="36"/>
      <c r="O11" s="36"/>
      <c r="P11" s="36"/>
      <c r="Q11" s="36"/>
      <c r="R11" s="36"/>
      <c r="S11" s="36"/>
      <c r="T11" s="36"/>
      <c r="U11" s="36"/>
      <c r="V11" s="36"/>
      <c r="W11" s="36"/>
      <c r="X11" s="36"/>
      <c r="Y11" s="36"/>
      <c r="Z11" s="36"/>
      <c r="AA11" s="36"/>
      <c r="AB11" s="36"/>
      <c r="AC11" s="36"/>
      <c r="AD11" s="395"/>
      <c r="BJ11" s="392" t="s">
        <v>904</v>
      </c>
      <c r="BK11" s="393" t="s">
        <v>2146</v>
      </c>
      <c r="BL11" s="31" t="s">
        <v>1191</v>
      </c>
      <c r="BM11" s="31" t="s">
        <v>1234</v>
      </c>
      <c r="BN11" s="31" t="s">
        <v>1248</v>
      </c>
      <c r="BO11" s="31">
        <v>3</v>
      </c>
    </row>
    <row r="12" spans="1:79" ht="15" customHeight="1" x14ac:dyDescent="0.35">
      <c r="B12" s="394"/>
      <c r="C12" s="396" t="s">
        <v>167</v>
      </c>
      <c r="D12" s="539" t="str">
        <f>IF(N($E$12)&gt;0,$E$12,$BH$46)</f>
        <v/>
      </c>
      <c r="E12" s="760"/>
      <c r="F12" s="779"/>
      <c r="G12" s="782" t="s">
        <v>163</v>
      </c>
      <c r="H12" s="785"/>
      <c r="I12" s="788"/>
      <c r="J12" s="796" t="s">
        <v>217</v>
      </c>
      <c r="K12" s="797">
        <f>SUM($AL$33:$AL$52)</f>
        <v>0</v>
      </c>
      <c r="L12" s="797">
        <f>$K12</f>
        <v>0</v>
      </c>
      <c r="M12" s="806"/>
      <c r="N12" s="36"/>
      <c r="O12" s="36"/>
      <c r="P12" s="36"/>
      <c r="Q12" s="36"/>
      <c r="R12" s="36"/>
      <c r="S12" s="36"/>
      <c r="T12" s="36"/>
      <c r="U12" s="36"/>
      <c r="V12" s="36"/>
      <c r="W12" s="36"/>
      <c r="X12" s="36"/>
      <c r="Y12" s="36"/>
      <c r="Z12" s="36"/>
      <c r="AA12" s="36"/>
      <c r="AB12" s="36"/>
      <c r="AC12" s="36"/>
      <c r="AD12" s="395"/>
      <c r="BJ12" s="392" t="s">
        <v>905</v>
      </c>
      <c r="BK12" s="393" t="s">
        <v>2147</v>
      </c>
      <c r="BL12" s="31"/>
      <c r="BM12" s="31"/>
      <c r="BN12" s="31"/>
      <c r="BO12" s="31"/>
    </row>
    <row r="13" spans="1:79" ht="15" customHeight="1" x14ac:dyDescent="0.35">
      <c r="B13" s="394"/>
      <c r="C13" s="396" t="s">
        <v>168</v>
      </c>
      <c r="D13" s="67">
        <f>IF(N($E$13)&gt;0,$E$13,$BH$45)</f>
        <v>10000</v>
      </c>
      <c r="E13" s="745"/>
      <c r="F13" s="780"/>
      <c r="G13" s="782" t="s">
        <v>109</v>
      </c>
      <c r="H13" s="786" t="str">
        <f>IF($D$5="","",_xlfn.LET(_xlpm.v,_xlfn.XLOOKUP($D$5,Equip_List,Equip_FdrLen,""),IF(_xlpm.v="","",_xlpm.v)))</f>
        <v/>
      </c>
      <c r="I13" s="788"/>
      <c r="J13" s="796" t="s">
        <v>218</v>
      </c>
      <c r="K13" s="797">
        <f>SUM($AM$33:$AM$52)</f>
        <v>0</v>
      </c>
      <c r="L13" s="797">
        <f>$K13</f>
        <v>0</v>
      </c>
      <c r="M13" s="806"/>
      <c r="N13" s="36"/>
      <c r="O13" s="36"/>
      <c r="P13" s="36"/>
      <c r="Q13" s="36"/>
      <c r="R13" s="36"/>
      <c r="S13" s="36"/>
      <c r="T13" s="36"/>
      <c r="U13" s="36"/>
      <c r="V13" s="36"/>
      <c r="W13" s="36"/>
      <c r="X13" s="36"/>
      <c r="Y13" s="36"/>
      <c r="Z13" s="36"/>
      <c r="AA13" s="36"/>
      <c r="AB13" s="36"/>
      <c r="AC13" s="36"/>
      <c r="AD13" s="395"/>
      <c r="BJ13" s="392" t="s">
        <v>906</v>
      </c>
      <c r="BK13" s="393">
        <v>33</v>
      </c>
      <c r="BL13" s="31" t="s">
        <v>111</v>
      </c>
      <c r="BM13" s="31" t="s">
        <v>1179</v>
      </c>
      <c r="BN13" s="31"/>
      <c r="BO13" s="31">
        <v>1</v>
      </c>
    </row>
    <row r="14" spans="1:79" s="245" customFormat="1" ht="15" customHeight="1" x14ac:dyDescent="0.4">
      <c r="A14"/>
      <c r="B14" s="394"/>
      <c r="C14" s="396" t="s">
        <v>105</v>
      </c>
      <c r="D14" s="131"/>
      <c r="E14" s="391"/>
      <c r="F14" s="391"/>
      <c r="G14" s="782" t="s">
        <v>1895</v>
      </c>
      <c r="H14" s="517" t="str">
        <f>IF($D$8="","",_xlfn.LET(_xlpm.fs,IFERROR(_xlfn.XLOOKUP("F-"&amp;$D$5,'Feeder Schedule'!$B$5:$B$254,'Feeder Schedule'!$O$5:$O$254),""),IF(_xlpm.fs&lt;&gt;"",_xlpm.fs,IF($BH$36=0,"—",MAX(1,$BH$44)))))</f>
        <v/>
      </c>
      <c r="I14" s="788"/>
      <c r="J14" s="796" t="s">
        <v>1892</v>
      </c>
      <c r="K14" s="797">
        <f>SUM($AN$33:$AN$52)+$K$25</f>
        <v>0</v>
      </c>
      <c r="L14" s="797">
        <f>SUM($AN$33:$AN$52)+$L$25</f>
        <v>0</v>
      </c>
      <c r="M14" s="806"/>
      <c r="N14" s="36"/>
      <c r="O14" s="36"/>
      <c r="P14" s="36"/>
      <c r="Q14" s="36"/>
      <c r="R14" s="36"/>
      <c r="S14" s="36"/>
      <c r="T14" s="36"/>
      <c r="U14" s="36"/>
      <c r="V14" s="36"/>
      <c r="W14" s="36"/>
      <c r="X14" s="36"/>
      <c r="Y14" s="36"/>
      <c r="Z14" s="36"/>
      <c r="AA14" s="36"/>
      <c r="AB14" s="36"/>
      <c r="AC14" s="36"/>
      <c r="AD14" s="395"/>
      <c r="AE14"/>
      <c r="AF14"/>
      <c r="AG14"/>
      <c r="AH14"/>
      <c r="AI14"/>
      <c r="AJ14"/>
      <c r="AK14"/>
      <c r="AL14"/>
      <c r="AM14"/>
      <c r="AN14"/>
      <c r="AO14"/>
      <c r="AP14" s="235"/>
      <c r="AQ14" s="235"/>
      <c r="AR14" s="235"/>
      <c r="AS14" s="235"/>
      <c r="AT14" s="235"/>
      <c r="AU14" s="235"/>
      <c r="AV14" s="235"/>
      <c r="AW14" s="235"/>
      <c r="AX14" s="235"/>
      <c r="AY14" s="235"/>
      <c r="AZ14" s="235"/>
      <c r="BA14" s="235"/>
      <c r="BB14" s="235"/>
      <c r="BC14" s="235"/>
      <c r="BD14" s="235"/>
      <c r="BE14" s="235"/>
      <c r="BF14" s="235"/>
      <c r="BG14" s="235"/>
      <c r="BH14" s="235"/>
      <c r="BI14" s="235"/>
      <c r="BJ14" s="392" t="s">
        <v>907</v>
      </c>
      <c r="BK14" s="393">
        <v>52</v>
      </c>
      <c r="BL14" s="31"/>
      <c r="BM14" s="31"/>
      <c r="BN14" s="31"/>
      <c r="BO14" s="31"/>
      <c r="BP14" s="235"/>
      <c r="BQ14" s="235"/>
      <c r="BR14"/>
      <c r="BS14"/>
      <c r="BT14"/>
      <c r="BU14"/>
      <c r="BV14"/>
      <c r="BW14"/>
      <c r="BX14"/>
      <c r="BY14"/>
      <c r="BZ14"/>
      <c r="CA14"/>
    </row>
    <row r="15" spans="1:79" ht="15" customHeight="1" x14ac:dyDescent="0.35">
      <c r="B15" s="394"/>
      <c r="C15" s="396" t="s">
        <v>106</v>
      </c>
      <c r="D15" s="131"/>
      <c r="E15" s="391"/>
      <c r="F15" s="391"/>
      <c r="G15" s="782" t="s">
        <v>172</v>
      </c>
      <c r="H15" s="517" t="str" cm="1">
        <f t="array" ref="H15">IF($D$8="","",_xlfn.LET(_xlpm.fs,IFERROR(_xlfn.XLOOKUP("F-"&amp;$D$5,'Feeder Schedule'!$B$5:$B$254,'Feeder Schedule'!$P$5:$P$254),""),IF(_xlpm.fs&lt;&gt;"",_xlpm.fs,IF($BH$36=0,"—",IF($BH$44&gt;1,"("&amp;$BH$44&amp;") ","")&amp;"#"&amp;INDEX(Cond_Size,$BH$36)))))</f>
        <v/>
      </c>
      <c r="I15" s="788"/>
      <c r="J15" s="796" t="str" cm="1">
        <f t="array" ref="J15">"Existing Load (NEC "&amp;NECREF("220.87")&amp;")"</f>
        <v>Existing Load (NEC 220.87)</v>
      </c>
      <c r="K15" s="797" cm="1">
        <f t="array" ref="K15">IF($D$5="",0,SUMIFS('Utility Demand'!$M:$M,'Utility Demand'!$B:$B,"METER PEAK",'Utility Demand'!$O:$O,$D$5)+IF(Exist_LogBoard=$D$5,N('Logging Demand'!$C$47),0))</f>
        <v>0</v>
      </c>
      <c r="L15" s="797">
        <f>$K15*NEC_ExistFactor</f>
        <v>0</v>
      </c>
      <c r="M15" s="806"/>
      <c r="N15" s="36"/>
      <c r="O15" s="36"/>
      <c r="P15" s="36"/>
      <c r="Q15" s="36"/>
      <c r="R15" s="36"/>
      <c r="S15" s="36"/>
      <c r="T15" s="36"/>
      <c r="U15" s="36"/>
      <c r="V15" s="36"/>
      <c r="W15" s="36"/>
      <c r="X15" s="36"/>
      <c r="Y15" s="36"/>
      <c r="Z15" s="36"/>
      <c r="AA15" s="36"/>
      <c r="AB15" s="36"/>
      <c r="AC15" s="36"/>
      <c r="AD15" s="395"/>
      <c r="BJ15" s="392" t="s">
        <v>1165</v>
      </c>
      <c r="BK15" s="393">
        <v>1</v>
      </c>
      <c r="BL15" s="31"/>
      <c r="BM15" s="31"/>
      <c r="BN15" s="31"/>
      <c r="BO15" s="31"/>
    </row>
    <row r="16" spans="1:79" ht="15" customHeight="1" x14ac:dyDescent="0.35">
      <c r="B16" s="394"/>
      <c r="C16" s="396" t="s">
        <v>160</v>
      </c>
      <c r="D16" s="131"/>
      <c r="E16" s="391"/>
      <c r="F16" s="391"/>
      <c r="G16" s="782" t="s">
        <v>173</v>
      </c>
      <c r="H16" s="517" t="str" cm="1">
        <f t="array" ref="H16">IF($D$8="","",_xlfn.LET(_xlpm.fs,IFERROR(_xlfn.XLOOKUP("F-"&amp;$D$5,'Feeder Schedule'!$B$5:$B$254,'Feeder Schedule'!$R$5:$R$254),""),IF(ISNUMBER(_xlpm.fs),_xlpm.fs,IF(OR($D$8="",$BH$35=""),"",IF($BH$35&lt;=0,"—",IFERROR(INDEX(OCPD_List,MATCH($BH$35,OCPD_List,1)+IF(INDEX(OCPD_List,MATCH($BH$35,OCPD_List,1))&gt;=$BH$35,0,1)),15))))))</f>
        <v/>
      </c>
      <c r="I16" s="788"/>
      <c r="J16" s="796" t="s">
        <v>1196</v>
      </c>
      <c r="K16" s="797">
        <f>SUM(K6:K15)</f>
        <v>0</v>
      </c>
      <c r="L16" s="797">
        <f>SUM(L6:L15)</f>
        <v>0</v>
      </c>
      <c r="M16" s="807"/>
      <c r="N16" s="246"/>
      <c r="O16" s="246"/>
      <c r="P16" s="246"/>
      <c r="Q16" s="246"/>
      <c r="R16" s="246"/>
      <c r="S16" s="246"/>
      <c r="T16" s="246"/>
      <c r="U16" s="246"/>
      <c r="V16" s="246"/>
      <c r="W16" s="246"/>
      <c r="X16" s="246"/>
      <c r="Y16" s="246"/>
      <c r="Z16" s="246"/>
      <c r="AA16" s="246"/>
      <c r="AB16" s="246"/>
      <c r="AC16" s="246"/>
      <c r="AD16" s="395"/>
      <c r="BJ16" s="392" t="s">
        <v>1166</v>
      </c>
      <c r="BK16" s="393" t="s">
        <v>1181</v>
      </c>
      <c r="BL16" s="31"/>
      <c r="BM16" s="31"/>
      <c r="BN16" s="31"/>
      <c r="BO16" s="31"/>
    </row>
    <row r="17" spans="2:75" ht="15" customHeight="1" x14ac:dyDescent="0.35">
      <c r="B17" s="394"/>
      <c r="C17" s="396" t="s">
        <v>161</v>
      </c>
      <c r="D17" s="131"/>
      <c r="E17" s="391"/>
      <c r="F17" s="391"/>
      <c r="I17" s="788"/>
      <c r="J17" s="796" t="s">
        <v>1197</v>
      </c>
      <c r="K17" s="798" t="str">
        <f>IF(OR($BH$31="",$BH$31=0),"",K16*1000/($BH$31*$BH$34))</f>
        <v/>
      </c>
      <c r="L17" s="798" t="str">
        <f>IF(OR($BH$31="",$BH$31=0),"",L16*1000/($BH$31*$BH$34))</f>
        <v/>
      </c>
      <c r="M17" s="10"/>
      <c r="N17" s="10"/>
      <c r="O17" s="10"/>
      <c r="P17" s="10"/>
      <c r="Q17" s="10"/>
      <c r="R17" s="10"/>
      <c r="S17" s="10"/>
      <c r="T17" s="10"/>
      <c r="U17" s="10"/>
      <c r="V17" s="10"/>
      <c r="W17" s="10"/>
      <c r="X17" s="10"/>
      <c r="Y17" s="10"/>
      <c r="Z17" s="10"/>
      <c r="AA17" s="10"/>
      <c r="AB17" s="10"/>
      <c r="AC17" s="10"/>
      <c r="AD17" s="395"/>
      <c r="BJ17" s="392" t="s">
        <v>1167</v>
      </c>
      <c r="BK17" s="393" t="s">
        <v>1175</v>
      </c>
      <c r="BL17" s="31"/>
      <c r="BM17" s="31"/>
      <c r="BN17" s="31"/>
      <c r="BO17" s="31"/>
    </row>
    <row r="18" spans="2:75" ht="15" customHeight="1" x14ac:dyDescent="0.35">
      <c r="B18" s="394"/>
      <c r="C18" s="396" t="s">
        <v>162</v>
      </c>
      <c r="D18" s="131"/>
      <c r="E18" s="751" t="s">
        <v>1866</v>
      </c>
      <c r="F18" s="752"/>
      <c r="G18" s="790" t="s">
        <v>219</v>
      </c>
      <c r="H18" s="792"/>
      <c r="I18" s="788"/>
      <c r="R18" s="448"/>
      <c r="S18" s="448"/>
      <c r="T18" s="448"/>
      <c r="U18" s="448"/>
      <c r="V18" s="448"/>
      <c r="W18" s="448"/>
      <c r="X18" s="448"/>
      <c r="Y18" s="448"/>
      <c r="Z18" s="448"/>
      <c r="AA18" s="448"/>
      <c r="AB18" s="448"/>
      <c r="AC18" s="448"/>
      <c r="AD18" s="395"/>
      <c r="BJ18" s="392" t="s">
        <v>1168</v>
      </c>
      <c r="BK18" s="393" t="s">
        <v>1175</v>
      </c>
      <c r="BL18" s="31"/>
      <c r="BM18" s="31"/>
      <c r="BN18" s="31"/>
      <c r="BO18" s="31"/>
    </row>
    <row r="19" spans="2:75" ht="15" customHeight="1" x14ac:dyDescent="0.45">
      <c r="B19" s="394"/>
      <c r="C19" s="396" t="s">
        <v>1218</v>
      </c>
      <c r="D19" s="539" t="str">
        <f>IF($E$19&lt;&gt;"",$E$19,IF($BH$40="","—",$BH$40))</f>
        <v>—</v>
      </c>
      <c r="E19" s="753"/>
      <c r="F19" s="791"/>
      <c r="G19" s="782" t="s">
        <v>214</v>
      </c>
      <c r="H19" s="783">
        <f>SUM($BA$33:$BA$52)+$BS$25</f>
        <v>0</v>
      </c>
      <c r="I19" s="788"/>
      <c r="J19" s="800" t="s">
        <v>1192</v>
      </c>
      <c r="K19" s="808"/>
      <c r="L19" s="808"/>
      <c r="R19" s="34"/>
      <c r="S19" s="34"/>
      <c r="T19" s="34"/>
      <c r="U19" s="34"/>
      <c r="V19" s="34"/>
      <c r="W19" s="34"/>
      <c r="X19" s="34"/>
      <c r="Y19" s="34"/>
      <c r="Z19" s="34"/>
      <c r="AA19" s="34"/>
      <c r="AB19" s="34"/>
      <c r="AC19" s="34"/>
      <c r="AD19" s="395"/>
      <c r="BJ19" s="392" t="s">
        <v>1169</v>
      </c>
      <c r="BK19" s="393" t="s">
        <v>1252</v>
      </c>
      <c r="BL19" s="31"/>
      <c r="BM19" s="31"/>
      <c r="BN19" s="31"/>
      <c r="BO19" s="31"/>
      <c r="BS19" s="522" t="s">
        <v>1868</v>
      </c>
      <c r="BT19" s="522"/>
      <c r="BU19" s="522"/>
      <c r="BV19" s="522"/>
      <c r="BW19" s="522"/>
    </row>
    <row r="20" spans="2:75" ht="15" customHeight="1" x14ac:dyDescent="0.45">
      <c r="B20" s="394"/>
      <c r="C20" s="396" t="s">
        <v>1219</v>
      </c>
      <c r="D20" s="539" t="str">
        <f>IF($E$20&lt;&gt;"",$E$20,IF($BH$41="","—",$BH$41))</f>
        <v>—</v>
      </c>
      <c r="E20" s="753"/>
      <c r="F20" s="791"/>
      <c r="G20" s="782" t="s">
        <v>215</v>
      </c>
      <c r="H20" s="783">
        <f>SUM($BB$33:$BB$52)+$BT$25</f>
        <v>0</v>
      </c>
      <c r="I20" s="789"/>
      <c r="J20" s="794" t="s">
        <v>195</v>
      </c>
      <c r="K20" s="795" t="s">
        <v>212</v>
      </c>
      <c r="L20" s="795" t="s">
        <v>210</v>
      </c>
      <c r="R20" s="449"/>
      <c r="S20" s="449"/>
      <c r="T20" s="449"/>
      <c r="U20" s="449"/>
      <c r="V20" s="449"/>
      <c r="W20" s="449"/>
      <c r="X20" s="449"/>
      <c r="Y20" s="449"/>
      <c r="Z20" s="449"/>
      <c r="AA20" s="449"/>
      <c r="AB20" s="449"/>
      <c r="AC20" s="449"/>
      <c r="AD20" s="395"/>
      <c r="BJ20" s="392" t="s">
        <v>1170</v>
      </c>
      <c r="BK20" s="393" t="s">
        <v>1180</v>
      </c>
      <c r="BL20" s="31"/>
      <c r="BM20" s="31"/>
      <c r="BN20" s="31"/>
      <c r="BO20" s="31"/>
      <c r="BS20" s="522" t="s">
        <v>1869</v>
      </c>
      <c r="BT20" s="522" t="s">
        <v>1870</v>
      </c>
      <c r="BU20" s="522" t="s">
        <v>1871</v>
      </c>
      <c r="BV20" s="522" t="s">
        <v>1872</v>
      </c>
      <c r="BW20" s="522" t="s">
        <v>1873</v>
      </c>
    </row>
    <row r="21" spans="2:75" ht="15" customHeight="1" x14ac:dyDescent="0.45">
      <c r="B21" s="394"/>
      <c r="C21" s="396" t="s">
        <v>1220</v>
      </c>
      <c r="D21" s="131"/>
      <c r="E21" s="391"/>
      <c r="F21" s="391"/>
      <c r="G21" s="782" t="s">
        <v>216</v>
      </c>
      <c r="H21" s="783">
        <f>SUM($BC$33:$BC$52)+$BU$25</f>
        <v>0</v>
      </c>
      <c r="I21" s="789"/>
      <c r="J21" s="801"/>
      <c r="K21" s="797"/>
      <c r="L21" s="797"/>
      <c r="R21" s="449"/>
      <c r="S21" s="449"/>
      <c r="T21" s="449"/>
      <c r="U21" s="449"/>
      <c r="V21" s="449"/>
      <c r="W21" s="449"/>
      <c r="X21" s="449"/>
      <c r="Y21" s="449"/>
      <c r="Z21" s="449"/>
      <c r="AA21" s="449"/>
      <c r="AB21" s="449"/>
      <c r="AC21" s="449"/>
      <c r="AD21" s="395"/>
      <c r="BG21" s="475" t="s">
        <v>1724</v>
      </c>
      <c r="BH21" s="478">
        <f>IF($D$5="",0,IFERROR(_xlfn.XLOOKUP($D$5,'Voltage Drop'!$A$6:$A$255,'Voltage Drop'!$H$6:$H$255),0))</f>
        <v>0</v>
      </c>
      <c r="BJ21" s="392" t="s">
        <v>1171</v>
      </c>
      <c r="BK21" s="393">
        <v>21</v>
      </c>
      <c r="BL21" s="31" t="s">
        <v>195</v>
      </c>
      <c r="BM21" s="31" t="s">
        <v>1177</v>
      </c>
      <c r="BN21" s="31"/>
      <c r="BO21" s="31">
        <v>1</v>
      </c>
      <c r="BS21" s="542"/>
      <c r="BT21" s="542"/>
      <c r="BU21" s="542"/>
      <c r="BV21" s="542"/>
      <c r="BW21" s="542"/>
    </row>
    <row r="22" spans="2:75" ht="15" customHeight="1" x14ac:dyDescent="0.45">
      <c r="B22" s="394"/>
      <c r="G22" s="782" t="s">
        <v>220</v>
      </c>
      <c r="H22" s="793">
        <f>IF(SUM(H19:H21)=0,0,(MAX(H19:H21)-MIN(H19:H21))/AVERAGE(H19:H21))</f>
        <v>0</v>
      </c>
      <c r="I22" s="789"/>
      <c r="J22" s="801"/>
      <c r="K22" s="797"/>
      <c r="L22" s="797"/>
      <c r="R22" s="449"/>
      <c r="S22" s="449"/>
      <c r="T22" s="449"/>
      <c r="U22" s="449"/>
      <c r="V22" s="449"/>
      <c r="W22" s="449"/>
      <c r="X22" s="449"/>
      <c r="Y22" s="449"/>
      <c r="Z22" s="449"/>
      <c r="AA22" s="449"/>
      <c r="AB22" s="449"/>
      <c r="AC22" s="449"/>
      <c r="AD22" s="395"/>
      <c r="BG22" s="475" t="s">
        <v>1725</v>
      </c>
      <c r="BH22" s="478">
        <f>IF($BH$21&gt;=Cfg_VDTotal,VD_Branch,MIN(VD_Branch,Cfg_VDTotal-$BH$21))</f>
        <v>0.03</v>
      </c>
      <c r="BJ22" s="392" t="s">
        <v>1172</v>
      </c>
      <c r="BK22" s="393">
        <v>23</v>
      </c>
      <c r="BL22" s="31"/>
      <c r="BM22" s="31"/>
      <c r="BN22" s="31"/>
      <c r="BO22" s="31"/>
      <c r="BS22" s="542"/>
      <c r="BT22" s="542"/>
      <c r="BU22" s="542"/>
      <c r="BV22" s="542"/>
      <c r="BW22" s="542"/>
    </row>
    <row r="23" spans="2:75" ht="15" customHeight="1" x14ac:dyDescent="0.45">
      <c r="B23" s="394"/>
      <c r="G23" s="810"/>
      <c r="H23" s="810"/>
      <c r="I23" s="789"/>
      <c r="J23" s="801"/>
      <c r="K23" s="797"/>
      <c r="L23" s="797"/>
      <c r="R23" s="247"/>
      <c r="S23" s="247"/>
      <c r="T23" s="247"/>
      <c r="U23" s="247"/>
      <c r="V23" s="247"/>
      <c r="W23" s="247"/>
      <c r="X23" s="247"/>
      <c r="Y23" s="247"/>
      <c r="Z23" s="247"/>
      <c r="AA23" s="247"/>
      <c r="AB23" s="247"/>
      <c r="AC23" s="247"/>
      <c r="AD23" s="395"/>
      <c r="BG23" s="475" t="s">
        <v>1726</v>
      </c>
      <c r="BH23" s="478">
        <f>$BH$21+IFERROR(MAX($K$33:$K$52),0)</f>
        <v>0</v>
      </c>
      <c r="BJ23" s="392" t="s">
        <v>1173</v>
      </c>
      <c r="BK23" s="393" t="s">
        <v>1177</v>
      </c>
      <c r="BL23" s="31"/>
      <c r="BM23" s="31"/>
      <c r="BN23" s="31"/>
      <c r="BO23" s="31"/>
      <c r="BS23" s="542"/>
      <c r="BT23" s="542"/>
      <c r="BU23" s="542"/>
      <c r="BV23" s="542"/>
      <c r="BW23" s="542"/>
    </row>
    <row r="24" spans="2:75" ht="15" customHeight="1" x14ac:dyDescent="0.45">
      <c r="B24" s="399"/>
      <c r="G24" s="817" t="str" cm="1">
        <f t="array" ref="G24">"OL SIZING — NEC "&amp;NECREF("430.32")&amp;"(A)(1)"</f>
        <v>OL SIZING — NEC 430.32(A)(1)</v>
      </c>
      <c r="H24" s="818"/>
      <c r="I24" s="811"/>
      <c r="J24" s="802"/>
      <c r="K24" s="803"/>
      <c r="L24" s="803"/>
      <c r="AD24" s="400"/>
      <c r="BG24" s="475" t="s">
        <v>1727</v>
      </c>
      <c r="BH24" s="477" t="str">
        <f>IF($D$5="","",IF($BH$21&gt;=Cfg_VDTotal,"⚠ upstream alone "&amp;TEXT($BH$21,"0.00%")&amp;" ≥ "&amp;TEXT(Cfg_VDTotal,"0.0%")&amp;" — fix feeders",IF($BH$23&gt;Cfg_VDTotal,"⚠ combined "&amp;TEXT($BH$23,"0.00%")&amp;" exceeds "&amp;TEXT(Cfg_VDTotal,"0.0%"),"OK — combined "&amp;TEXT($BH$23,"0.00%"))))</f>
        <v/>
      </c>
      <c r="BJ24" s="235" t="s">
        <v>1876</v>
      </c>
      <c r="BK24" s="235" t="s">
        <v>2126</v>
      </c>
      <c r="BS24" s="542">
        <f>IF(N($K$24)=0,0,$K$24/IF($BH$33=3,3,2))</f>
        <v>0</v>
      </c>
      <c r="BT24" s="542">
        <f>IF(N($K$24)=0,0,$K$24/IF($BH$33=3,3,2))</f>
        <v>0</v>
      </c>
      <c r="BU24" s="542">
        <f>IF(AND(N($K$24)&lt;&gt;0,$BH$33=3),$K$24/3,0)</f>
        <v>0</v>
      </c>
      <c r="BV24" s="542">
        <f>0</f>
        <v>0</v>
      </c>
      <c r="BW24" s="542">
        <f>0</f>
        <v>0</v>
      </c>
    </row>
    <row r="25" spans="2:75" ht="15" customHeight="1" x14ac:dyDescent="0.35">
      <c r="B25" s="394"/>
      <c r="C25" s="401"/>
      <c r="D25" s="240"/>
      <c r="E25" s="391"/>
      <c r="F25" s="391"/>
      <c r="G25" s="782" t="s">
        <v>1244</v>
      </c>
      <c r="H25" s="813">
        <v>1.1499999999999999</v>
      </c>
      <c r="I25" s="812"/>
      <c r="J25" s="804" t="s">
        <v>1867</v>
      </c>
      <c r="K25" s="805">
        <f>SUM(K21:K24)</f>
        <v>0</v>
      </c>
      <c r="L25" s="805">
        <f>SUM(L21:L24)</f>
        <v>0</v>
      </c>
      <c r="M25" s="10"/>
      <c r="N25" s="10"/>
      <c r="O25" s="10"/>
      <c r="P25" s="10"/>
      <c r="Q25" s="10"/>
      <c r="R25" s="10"/>
      <c r="S25" s="10"/>
      <c r="T25" s="10"/>
      <c r="U25" s="10"/>
      <c r="V25" s="10"/>
      <c r="W25" s="10"/>
      <c r="X25" s="10"/>
      <c r="Y25" s="10"/>
      <c r="Z25" s="10"/>
      <c r="AA25" s="10"/>
      <c r="AB25" s="10"/>
      <c r="AC25" s="10"/>
      <c r="AD25" s="395"/>
      <c r="AO25" s="391"/>
      <c r="AP25" s="436" t="s">
        <v>1214</v>
      </c>
      <c r="AQ25" s="467">
        <f>VLOOKUP("Lighting",Class_Table,2,FALSE)</f>
        <v>1.25</v>
      </c>
      <c r="AR25" s="436">
        <f>VLOOKUP("Receptacle",Class_Table,2,FALSE)</f>
        <v>1</v>
      </c>
      <c r="AS25" s="467">
        <f>VLOOKUP("Motor",Class_Table,2,FALSE)</f>
        <v>1.25</v>
      </c>
      <c r="AT25" s="467">
        <f>VLOOKUP("HVAC",Class_Table,2,FALSE)</f>
        <v>1.25</v>
      </c>
      <c r="AU25" s="467">
        <f>VLOOKUP("Electric Heat",Class_Table,2,FALSE)</f>
        <v>1.25</v>
      </c>
      <c r="AV25" s="436">
        <f>VLOOKUP("Kitchen Equip",Class_Table,2,FALSE)</f>
        <v>1</v>
      </c>
      <c r="AW25" s="467">
        <f>VLOOKUP("Continuous (Other)",Class_Table,2,FALSE)</f>
        <v>1.25</v>
      </c>
      <c r="AX25" s="436">
        <f>VLOOKUP("Non-Continuous",Class_Table,2,FALSE)</f>
        <v>1</v>
      </c>
      <c r="AY25" s="436">
        <f>VLOOKUP("Panel",Class_Table,2,FALSE)</f>
        <v>1</v>
      </c>
      <c r="AZ25" s="31"/>
      <c r="BA25" s="31"/>
      <c r="BB25" s="31"/>
      <c r="BC25" s="31"/>
      <c r="BD25" s="31"/>
      <c r="BE25" s="31"/>
      <c r="BG25" s="31" t="s">
        <v>1191</v>
      </c>
      <c r="BH25" s="31" t="s">
        <v>176</v>
      </c>
      <c r="BJ25" s="392" t="s">
        <v>1877</v>
      </c>
      <c r="BK25" s="393" t="s">
        <v>2127</v>
      </c>
      <c r="BL25" s="31"/>
      <c r="BM25" s="31"/>
      <c r="BN25" s="31"/>
      <c r="BO25" s="31"/>
      <c r="BS25" s="542">
        <f>SUM(BS21:BS24)</f>
        <v>0</v>
      </c>
      <c r="BT25" s="542">
        <f>SUM(BT21:BT24)</f>
        <v>0</v>
      </c>
      <c r="BU25" s="542">
        <f>SUM(BU21:BU24)</f>
        <v>0</v>
      </c>
      <c r="BV25" s="542">
        <f>SUM(BV21:BV24)</f>
        <v>0</v>
      </c>
      <c r="BW25" s="542">
        <f>SUM(BW21:BW24)</f>
        <v>0</v>
      </c>
    </row>
    <row r="26" spans="2:75" ht="15" customHeight="1" x14ac:dyDescent="0.45">
      <c r="B26" s="394"/>
      <c r="G26" s="782" t="s">
        <v>1245</v>
      </c>
      <c r="H26" s="814">
        <v>1.25</v>
      </c>
      <c r="I26" s="789"/>
      <c r="R26" s="247"/>
      <c r="S26" s="247"/>
      <c r="T26" s="247"/>
      <c r="U26" s="247"/>
      <c r="V26" s="247"/>
      <c r="W26" s="247"/>
      <c r="X26" s="247"/>
      <c r="Y26" s="247"/>
      <c r="Z26" s="247"/>
      <c r="AA26" s="247"/>
      <c r="AB26" s="247"/>
      <c r="AC26" s="247"/>
      <c r="AD26" s="395"/>
      <c r="BG26" s="475"/>
      <c r="BH26" s="478"/>
      <c r="BJ26" s="392" t="s">
        <v>1878</v>
      </c>
      <c r="BK26" s="393" t="s">
        <v>2128</v>
      </c>
      <c r="BL26" s="31"/>
      <c r="BM26" s="31"/>
      <c r="BN26" s="31"/>
      <c r="BO26" s="31"/>
      <c r="BS26" s="542"/>
      <c r="BT26" s="542"/>
      <c r="BU26" s="542"/>
      <c r="BV26" s="542"/>
      <c r="BW26" s="542"/>
    </row>
    <row r="27" spans="2:75" ht="15" customHeight="1" x14ac:dyDescent="0.45">
      <c r="B27" s="394"/>
      <c r="G27" s="782" t="s">
        <v>1246</v>
      </c>
      <c r="H27" s="814">
        <v>1.1499999999999999</v>
      </c>
      <c r="I27" s="789"/>
      <c r="R27" s="247"/>
      <c r="S27" s="247"/>
      <c r="T27" s="247"/>
      <c r="U27" s="247"/>
      <c r="V27" s="247"/>
      <c r="W27" s="247"/>
      <c r="X27" s="247"/>
      <c r="Y27" s="247"/>
      <c r="Z27" s="247"/>
      <c r="AA27" s="247"/>
      <c r="AB27" s="247"/>
      <c r="AC27" s="247"/>
      <c r="AD27" s="395"/>
      <c r="BG27" s="475"/>
      <c r="BH27" s="478"/>
      <c r="BJ27" s="236" t="s">
        <v>1879</v>
      </c>
      <c r="BK27" s="236" t="s">
        <v>2148</v>
      </c>
      <c r="BL27" s="236"/>
      <c r="BM27" s="236"/>
      <c r="BN27" s="236"/>
      <c r="BO27" s="236"/>
      <c r="BS27" s="542"/>
      <c r="BT27" s="542"/>
      <c r="BU27" s="542"/>
      <c r="BV27" s="542"/>
      <c r="BW27" s="542"/>
    </row>
    <row r="28" spans="2:75" ht="15" customHeight="1" x14ac:dyDescent="0.45">
      <c r="B28" s="394"/>
      <c r="G28" s="809" t="str" cm="1">
        <f t="array" ref="G28">"Max per "&amp;NECREF("430.32")&amp;"(C)"</f>
        <v>Max per 430.32(C)</v>
      </c>
      <c r="H28" s="816">
        <v>1.4</v>
      </c>
      <c r="I28" s="789"/>
      <c r="R28" s="247"/>
      <c r="S28" s="247"/>
      <c r="T28" s="247"/>
      <c r="U28" s="247"/>
      <c r="V28" s="247"/>
      <c r="W28" s="247"/>
      <c r="X28" s="247"/>
      <c r="Y28" s="247"/>
      <c r="Z28" s="247"/>
      <c r="AA28" s="247"/>
      <c r="AB28" s="247"/>
      <c r="AC28" s="247"/>
      <c r="AD28" s="395"/>
      <c r="BG28" s="475"/>
      <c r="BH28" s="478"/>
      <c r="BJ28" s="31" t="s">
        <v>1880</v>
      </c>
      <c r="BK28" s="31" t="s">
        <v>2149</v>
      </c>
      <c r="BL28" s="31"/>
      <c r="BM28" s="31"/>
      <c r="BN28" s="31"/>
      <c r="BO28" s="31"/>
      <c r="BS28" s="542"/>
      <c r="BT28" s="542"/>
      <c r="BU28" s="542"/>
      <c r="BV28" s="542"/>
      <c r="BW28" s="542"/>
    </row>
    <row r="29" spans="2:75" ht="15" customHeight="1" x14ac:dyDescent="0.45">
      <c r="B29" s="394"/>
      <c r="G29" s="815" t="str">
        <f>"OL trip = FLA × % above (see note)"</f>
        <v>OL trip = FLA × % above (see note)</v>
      </c>
      <c r="H29" s="815"/>
      <c r="I29" s="789"/>
      <c r="R29" s="247"/>
      <c r="S29" s="247"/>
      <c r="T29" s="247"/>
      <c r="U29" s="247"/>
      <c r="V29" s="247"/>
      <c r="W29" s="247"/>
      <c r="X29" s="247"/>
      <c r="Y29" s="247"/>
      <c r="Z29" s="247"/>
      <c r="AA29" s="247"/>
      <c r="AB29" s="247"/>
      <c r="AC29" s="247"/>
      <c r="AD29" s="395"/>
      <c r="BG29" s="475"/>
      <c r="BH29" s="478"/>
      <c r="BJ29" s="31" t="s">
        <v>1882</v>
      </c>
      <c r="BK29" s="31" t="s">
        <v>224</v>
      </c>
      <c r="BL29" s="31"/>
      <c r="BM29" s="31"/>
      <c r="BN29" s="31"/>
      <c r="BO29" s="31"/>
      <c r="BS29" s="542"/>
      <c r="BT29" s="542"/>
      <c r="BU29" s="542"/>
      <c r="BV29" s="542"/>
      <c r="BW29" s="542"/>
    </row>
    <row r="30" spans="2:75" ht="15" customHeight="1" x14ac:dyDescent="0.45">
      <c r="B30" s="394"/>
      <c r="G30" s="810"/>
      <c r="H30" s="810"/>
      <c r="I30" s="789"/>
      <c r="R30" s="247"/>
      <c r="S30" s="247"/>
      <c r="T30" s="247"/>
      <c r="U30" s="247"/>
      <c r="V30" s="247"/>
      <c r="W30" s="247"/>
      <c r="X30" s="247"/>
      <c r="Y30" s="247"/>
      <c r="Z30" s="247"/>
      <c r="AA30" s="247"/>
      <c r="AB30" s="247"/>
      <c r="AC30" s="247"/>
      <c r="AD30" s="395"/>
      <c r="BG30" s="475"/>
      <c r="BH30" s="478"/>
      <c r="BJ30" s="31" t="s">
        <v>1883</v>
      </c>
      <c r="BK30" s="31" t="s">
        <v>1885</v>
      </c>
      <c r="BL30" s="31"/>
      <c r="BM30" s="31"/>
      <c r="BN30" s="31"/>
      <c r="BO30" s="31"/>
      <c r="BS30" s="542"/>
      <c r="BT30" s="542"/>
      <c r="BU30" s="542"/>
      <c r="BV30" s="542"/>
      <c r="BW30" s="542"/>
    </row>
    <row r="31" spans="2:75" s="242" customFormat="1" ht="30" customHeight="1" x14ac:dyDescent="0.55000000000000004">
      <c r="B31" s="591" t="s">
        <v>110</v>
      </c>
      <c r="C31" s="592"/>
      <c r="D31" s="592"/>
      <c r="E31" s="592"/>
      <c r="F31" s="592"/>
      <c r="G31" s="647"/>
      <c r="H31" s="647"/>
      <c r="I31" s="647"/>
      <c r="J31" s="592"/>
      <c r="K31" s="592"/>
      <c r="L31" s="665"/>
      <c r="M31" s="763" t="s">
        <v>1221</v>
      </c>
      <c r="N31" s="764"/>
      <c r="O31" s="764"/>
      <c r="P31" s="764"/>
      <c r="Q31" s="764"/>
      <c r="R31" s="764"/>
      <c r="S31" s="764"/>
      <c r="T31" s="764"/>
      <c r="U31" s="764"/>
      <c r="V31" s="764"/>
      <c r="W31" s="764"/>
      <c r="X31" s="764"/>
      <c r="Y31" s="764"/>
      <c r="Z31" s="764"/>
      <c r="AA31" s="764"/>
      <c r="AB31" s="764"/>
      <c r="AC31" s="764"/>
      <c r="AD31" s="765"/>
      <c r="AE31" s="403"/>
      <c r="AF31" s="746" t="s">
        <v>1193</v>
      </c>
      <c r="AG31" s="747"/>
      <c r="AH31" s="747"/>
      <c r="AI31" s="747"/>
      <c r="AJ31" s="747"/>
      <c r="AK31" s="747"/>
      <c r="AL31" s="747"/>
      <c r="AM31" s="747"/>
      <c r="AN31" s="748"/>
      <c r="AO31" s="404"/>
      <c r="AP31" s="58"/>
      <c r="AQ31" s="58"/>
      <c r="AR31" s="58"/>
      <c r="AS31" s="58"/>
      <c r="AT31" s="58"/>
      <c r="AU31" s="58"/>
      <c r="AV31" s="58"/>
      <c r="AW31" s="58"/>
      <c r="AX31" s="58"/>
      <c r="AY31" s="58"/>
      <c r="AZ31" s="58"/>
      <c r="BA31" s="58"/>
      <c r="BB31" s="58"/>
      <c r="BC31" s="58"/>
      <c r="BD31" s="58"/>
      <c r="BE31" s="58"/>
      <c r="BF31" s="450"/>
      <c r="BG31" s="58"/>
      <c r="BH31" s="58" t="str">
        <f>IF($D$8="","",IFERROR(VLOOKUP($D$8,Volt_Table,2,FALSE),""))</f>
        <v/>
      </c>
      <c r="BI31" s="450"/>
      <c r="BJ31" s="31" t="s">
        <v>1203</v>
      </c>
      <c r="BK31" s="31">
        <v>20</v>
      </c>
      <c r="BL31" s="31"/>
      <c r="BM31" s="31"/>
      <c r="BN31" s="31"/>
      <c r="BO31" s="31"/>
      <c r="BP31" s="450"/>
      <c r="BQ31" s="450"/>
    </row>
    <row r="32" spans="2:75" ht="30" customHeight="1" x14ac:dyDescent="0.45">
      <c r="B32" s="405" t="s">
        <v>111</v>
      </c>
      <c r="C32" s="761" t="s">
        <v>112</v>
      </c>
      <c r="D32" s="762"/>
      <c r="E32" s="451" t="s">
        <v>180</v>
      </c>
      <c r="F32" s="451" t="s">
        <v>179</v>
      </c>
      <c r="G32" s="451" t="s">
        <v>83</v>
      </c>
      <c r="H32" s="451" t="s">
        <v>212</v>
      </c>
      <c r="I32" s="451" t="s">
        <v>76</v>
      </c>
      <c r="J32" s="451" t="s">
        <v>232</v>
      </c>
      <c r="K32" s="451" t="s">
        <v>114</v>
      </c>
      <c r="L32" s="452" t="s">
        <v>178</v>
      </c>
      <c r="M32" s="453" t="s">
        <v>446</v>
      </c>
      <c r="N32" s="454" t="s">
        <v>447</v>
      </c>
      <c r="O32" s="454" t="s">
        <v>1223</v>
      </c>
      <c r="P32" s="454" t="s">
        <v>1224</v>
      </c>
      <c r="Q32" s="454" t="s">
        <v>448</v>
      </c>
      <c r="R32" s="454" t="s">
        <v>1225</v>
      </c>
      <c r="S32" s="454" t="s">
        <v>1226</v>
      </c>
      <c r="T32" s="454" t="s">
        <v>1227</v>
      </c>
      <c r="U32" s="454" t="s">
        <v>1247</v>
      </c>
      <c r="V32" s="454" t="s">
        <v>1228</v>
      </c>
      <c r="W32" s="454" t="s">
        <v>1229</v>
      </c>
      <c r="X32" s="454" t="s">
        <v>1230</v>
      </c>
      <c r="Y32" s="454" t="s">
        <v>1231</v>
      </c>
      <c r="Z32" s="454" t="s">
        <v>1232</v>
      </c>
      <c r="AA32" s="454" t="s">
        <v>1222</v>
      </c>
      <c r="AB32" s="454" t="s">
        <v>289</v>
      </c>
      <c r="AC32" s="455" t="s">
        <v>1233</v>
      </c>
      <c r="AD32" s="454" t="s">
        <v>206</v>
      </c>
      <c r="AE32" s="24"/>
      <c r="AF32" s="407" t="s">
        <v>144</v>
      </c>
      <c r="AG32" s="408" t="s">
        <v>143</v>
      </c>
      <c r="AH32" s="408" t="s">
        <v>145</v>
      </c>
      <c r="AI32" s="408" t="s">
        <v>146</v>
      </c>
      <c r="AJ32" s="408" t="s">
        <v>147</v>
      </c>
      <c r="AK32" s="408" t="s">
        <v>148</v>
      </c>
      <c r="AL32" s="408" t="s">
        <v>149</v>
      </c>
      <c r="AM32" s="408" t="s">
        <v>150</v>
      </c>
      <c r="AN32" s="409" t="s">
        <v>153</v>
      </c>
      <c r="AP32" s="236" t="s">
        <v>181</v>
      </c>
      <c r="AQ32" s="236" t="s">
        <v>182</v>
      </c>
      <c r="AR32" s="236" t="s">
        <v>183</v>
      </c>
      <c r="AS32" s="236" t="s">
        <v>184</v>
      </c>
      <c r="AT32" s="236" t="s">
        <v>185</v>
      </c>
      <c r="AU32" s="236" t="s">
        <v>113</v>
      </c>
      <c r="AV32" s="236" t="s">
        <v>115</v>
      </c>
      <c r="AW32" s="236" t="s">
        <v>186</v>
      </c>
      <c r="AX32" s="236" t="s">
        <v>187</v>
      </c>
      <c r="AY32" s="236" t="s">
        <v>116</v>
      </c>
      <c r="AZ32" s="236" t="s">
        <v>188</v>
      </c>
      <c r="BA32" s="236" t="s">
        <v>189</v>
      </c>
      <c r="BB32" s="236" t="s">
        <v>190</v>
      </c>
      <c r="BC32" s="236" t="s">
        <v>191</v>
      </c>
      <c r="BD32" s="236" t="s">
        <v>192</v>
      </c>
      <c r="BE32" s="236" t="s">
        <v>213</v>
      </c>
      <c r="BF32" s="235" t="s">
        <v>571</v>
      </c>
      <c r="BG32" s="236"/>
      <c r="BH32" s="236" t="str">
        <f>IF($D$8="","",IFERROR(VLOOKUP($D$8,Volt_Table,5,FALSE),""))</f>
        <v/>
      </c>
      <c r="BJ32" s="31" t="s">
        <v>1204</v>
      </c>
      <c r="BK32" s="31">
        <v>3</v>
      </c>
      <c r="BL32" s="31"/>
      <c r="BM32" s="31"/>
      <c r="BN32" s="31"/>
      <c r="BO32" s="31"/>
    </row>
    <row r="33" spans="2:67" ht="15" customHeight="1" x14ac:dyDescent="0.45">
      <c r="B33" s="410">
        <f>ROW()-32</f>
        <v>1</v>
      </c>
      <c r="C33" s="663"/>
      <c r="D33" s="664"/>
      <c r="E33" s="411"/>
      <c r="F33" s="16" t="str" cm="1">
        <f t="array" ref="F33">IF($BE33=1,"-",IF($G33="Spare",IF($BD33&lt;&gt;"",$BD33,20),IF(OR($G33="",$G33="Space",$AW33&lt;=0),"",IFERROR(INDEX(OCPD_List,MATCH($AW33,OCPD_List,1)+IF(INDEX(OCPD_List,MATCH($AW33,OCPD_List,1))&gt;=$AW33,0,1)),15))))</f>
        <v/>
      </c>
      <c r="G33" s="412" t="str" cm="1">
        <f t="array" ref="G33">IF($BE33=1,"-",IF(COUNT($AF33:$AN33)=0,IF(UPPER(TRIM($C33))="SPARE","Spare","Space"),IF(COUNTIF($AF33:$AN33,"&gt;0")&gt;1,"COMB",CHOOSE(MATCH(TRUE,INDEX($AF33:$AN33&lt;&gt;"",0),0),"Lighting","Receptacle","Motor","HVAC","Electric Heat","Kitchen Equip","Continuous (Other)","Non-Continuous","Panel"))))</f>
        <v>Space</v>
      </c>
      <c r="H33" s="237" t="str">
        <f t="shared" ref="H33:H52" si="0">IF(COUNT($AF33:$AN33)=0,"",SUM($AF33:$AN33))</f>
        <v/>
      </c>
      <c r="I33" s="411"/>
      <c r="J33" s="411"/>
      <c r="K33" s="320" t="str" cm="1">
        <f t="array" ref="K33">IF(OR(Tog_VD&lt;&gt;"ON",$AU33=0,$AX33=0,$J33=0,$J33="",$AS33=0),"",(IF($E33=3,SQRT3,2)*BranchK*$AU33*$J33/(INDEX(INDEX(Cond_Table,0,2),$AX33)*MAX(1,$BF33)))/$AS33)</f>
        <v/>
      </c>
      <c r="L33" s="456" t="str" cm="1">
        <f t="array" ref="L33">IF(OR(Tog_Wire&lt;&gt;"ON",$AX33=0),"",IFERROR(IF($BF33&gt;1,"("&amp;$BF33&amp;") ","")&amp;"#"&amp;INDEX(Cond_Size,$AX33)&amp;" | #"&amp;INDEX(Cond_Size,MIN($AX33,MAX(Min_Cond_Pos,MATCH(TRUE,INDEX(Cond_Table,0,2)&gt;=INDEX(INDEX(Cond_Table,0,2),MATCH(INDEX(INDEX(EGC_Table,0,IF(Cfg_BranchMat="Cu",2,3)),MATCH(TRUE,INDEX(EGC_Table,0,1)&gt;=$F33,0)),Cond_Size,0))*INDEX(INDEX(Cond_Table,0,2),$AX33)/INDEX(INDEX(Cond_Table,0,2),MAX(Min_Cond_Pos,MATCH(TRUE,INDEX(Cond_Table,0,IF($AV33&lt;=100,BranchCol60,BranchAmpCol))&gt;=$AV33/MAX(1,$BF33),0))),0))))&amp;"G",""))</f>
        <v/>
      </c>
      <c r="M33" s="457"/>
      <c r="N33" s="458"/>
      <c r="O33" s="458"/>
      <c r="P33" s="458"/>
      <c r="Q33" s="458"/>
      <c r="R33" s="229"/>
      <c r="S33" s="248" t="str">
        <f>IF($AU33=0,"",$AU33)</f>
        <v/>
      </c>
      <c r="T33" s="248" t="str">
        <f>IF($S33="","",ROUND($S33*IF($R33&gt;=$H$25,$H$26,$H$27),1))</f>
        <v/>
      </c>
      <c r="U33" s="459" t="str" cm="1">
        <f t="array" ref="U33">IF($S33="","",IF($R33&gt;=$H$25,(NECREF("430.32")&amp;"(A)(1) @ ")&amp;TEXT($H$26,"0%"),(NECREF("430.32")&amp;"(A)(1) @ ")&amp;TEXT($H$27,"0%")))</f>
        <v/>
      </c>
      <c r="V33" s="458"/>
      <c r="W33" s="458"/>
      <c r="X33" s="458"/>
      <c r="Y33" s="458"/>
      <c r="Z33" s="458"/>
      <c r="AA33" s="458"/>
      <c r="AB33" s="458"/>
      <c r="AC33" s="230"/>
      <c r="AD33" s="413"/>
      <c r="AE33" s="10"/>
      <c r="AF33" s="214"/>
      <c r="AG33" s="215"/>
      <c r="AH33" s="215"/>
      <c r="AI33" s="215"/>
      <c r="AJ33" s="215"/>
      <c r="AK33" s="215"/>
      <c r="AL33" s="215"/>
      <c r="AM33" s="215"/>
      <c r="AN33" s="216"/>
      <c r="AP33" s="31">
        <f t="shared" ref="AP33:AP52" si="1">IF($G33="",0,IFERROR(VLOOKUP($G33,Class_Table,3,FALSE),0))</f>
        <v>0</v>
      </c>
      <c r="AQ33" s="415">
        <f t="shared" ref="AQ33:AQ52" si="2">IF($G33="COMB",IFERROR(SUMPRODUCT($AF33:$AN33,$AQ$25:$AY$25)/SUM($AF33:$AN33),1),IF($G33="",0,IFERROR(VLOOKUP($G33,Class_Table,2,FALSE),0)))</f>
        <v>0</v>
      </c>
      <c r="AR33" s="31" t="str">
        <f t="shared" ref="AR33:AR52" si="3">IF($G33="","NONE",IFERROR(VLOOKUP($G33,Class_Table,4,FALSE),"NONE"))</f>
        <v>NONE</v>
      </c>
      <c r="AS33" s="31" t="str">
        <f t="shared" ref="AS33:AS52" si="4">IF($E33=1,IF($BH$32="",0,$BH$32),$BH$31)</f>
        <v/>
      </c>
      <c r="AT33" s="526">
        <f t="shared" ref="AT33:AT52" si="5">IF($AP33=1,IF($BH$33=1,IFERROR(VLOOKUP($I33,Motor1_Table,IF($AS33&lt;=120,2,3),FALSE),0),IFERROR(VLOOKUP($I33,Motor3_Table,IF($BH$31&lt;=208,2,IF($BH$31&lt;=240,3,IF($BH$31&lt;=480,4,5))),FALSE),0)),0)</f>
        <v>0</v>
      </c>
      <c r="AU33" s="415">
        <f t="shared" ref="AU33:AU52" si="6">IF(OR($BE33=1,$G33="-",$G33="",$G33="Space",$G33="Spare"),0,IF($BD33&lt;&gt;"",$BD33,IF(AND($AP33=1,$AT33&gt;0),$AT33,IF($AS33=0,0,$H33*1000/($AS33*IF($E33=3,SQRT3,1))))))</f>
        <v>0</v>
      </c>
      <c r="AV33" s="415">
        <f>$AQ33*$AU33</f>
        <v>0</v>
      </c>
      <c r="AW33" s="415">
        <f>IF($AP33=1,2.5*$AU33,$AV33)</f>
        <v>0</v>
      </c>
      <c r="AX33" s="31" cm="1">
        <f t="array" ref="AX33">IF($AV33&lt;=0,0,IFERROR(_xlfn.LET(_xlpm.n,MAX(1,$BF33),_xlpm.i,$AV33/_xlpm.n,MIN(Max_Cond_Pos,MAX(Min_Cond_Pos,IF(_xlpm.n&gt;1,Par_Min_Pos,1),MATCH(TRUE,INDEX(Cond_Table,0,IF(_xlpm.i&lt;=100,BranchCol60,BranchAmpCol))&gt;=_xlpm.i,0),IF(OR(Tog_VD&lt;&gt;"ON",$J33=0,$J33="",$AS33=0),0,MATCH(TRUE,INDEX(Cond_Table,0,2)&gt;=IF($E33=3,SQRT3,2)*BranchK*$AU33*$J33/($BH$22*$AS33*_xlpm.n),0))))),0))</f>
        <v>0</v>
      </c>
      <c r="AY33" s="415">
        <f t="shared" ref="AY33:AY52" si="7">IF(OR($BE33=1,$AU33=0),0,IF($AP33=1,$AU33*$AS33*IF($E33=3,SQRT3,1)/1000,$H33))</f>
        <v>0</v>
      </c>
      <c r="AZ33" s="31">
        <f>MOD($B33-1,3)</f>
        <v>0</v>
      </c>
      <c r="BA33" s="415">
        <f t="shared" ref="BA33:BA52" si="8">$AY33*IF($E33=3,1/3,IF($E33=2,IF(OR($AZ33=0,MOD($AZ33+1,3)=0),0.5,0),IF($AZ33=0,1,0)))</f>
        <v>0</v>
      </c>
      <c r="BB33" s="415">
        <f t="shared" ref="BB33:BB52" si="9">$AY33*IF($E33=3,1/3,IF($E33=2,IF(OR($AZ33=1,MOD($AZ33+1,3)=1),0.5,0),IF($AZ33=1,1,0)))</f>
        <v>0</v>
      </c>
      <c r="BC33" s="415">
        <f t="shared" ref="BC33:BC52" si="10">$AY33*IF($E33=3,1/3,IF($E33=2,IF(OR($AZ33=2,MOD($AZ33+1,3)=2),0.5,0),IF($AZ33=2,1,0)))</f>
        <v>0</v>
      </c>
      <c r="BD33" s="31"/>
      <c r="BE33" s="31">
        <v>0</v>
      </c>
      <c r="BF33" s="563" cm="1">
        <f t="array" ref="BF33">IF($AV33&lt;=0,0,IFERROR(_xlfn.LET(_xlpm.col,IF($AV33&lt;=100,BranchCol60,BranchAmpCol),_xlpm.nA,ROUNDUP($AV33/INDEX(Cond_Table,Max_Cond_Pos,_xlpm.col),0),_xlpm.cm,IF(OR(Tog_VD&lt;&gt;"ON",$J33=0,$J33="",$AS33=0),0,IF($E33=3,SQRT3,2)*BranchK*$AU33*$J33/($BH$22*$AS33)),_xlpm.nV,ROUNDUP(_xlpm.cm/INDEX(Cond_Table,Max_Cond_Pos,2),0),MAX(1,_xlpm.nA,_xlpm.nV)),1))</f>
        <v>0</v>
      </c>
      <c r="BG33" s="31"/>
      <c r="BH33" s="31" t="str">
        <f>IF($D$8="","",IFERROR(VLOOKUP($D$8,Volt_Table,3,FALSE),""))</f>
        <v/>
      </c>
      <c r="BJ33" s="31" t="s">
        <v>1205</v>
      </c>
      <c r="BK33" s="31" t="s">
        <v>224</v>
      </c>
      <c r="BL33" s="31"/>
      <c r="BM33" s="31"/>
      <c r="BN33" s="31"/>
      <c r="BO33" s="31"/>
    </row>
    <row r="34" spans="2:67" ht="15" customHeight="1" x14ac:dyDescent="0.45">
      <c r="B34" s="410">
        <f>ROW()-32</f>
        <v>2</v>
      </c>
      <c r="C34" s="663"/>
      <c r="D34" s="664"/>
      <c r="E34" s="411"/>
      <c r="F34" s="16" t="str" cm="1">
        <f t="array" ref="F34">IF($BE34=1,"-",IF($G34="Spare",IF($BD34&lt;&gt;"",$BD34,20),IF(OR($G34="",$G34="Space",$AW34&lt;=0),"",IFERROR(INDEX(OCPD_List,MATCH($AW34,OCPD_List,1)+IF(INDEX(OCPD_List,MATCH($AW34,OCPD_List,1))&gt;=$AW34,0,1)),15))))</f>
        <v/>
      </c>
      <c r="G34" s="412" t="str" cm="1">
        <f t="array" ref="G34">IF($BE34=1,"-",IF(COUNT($AF34:$AN34)=0,IF(UPPER(TRIM($C34))="SPARE","Spare","Space"),IF(COUNTIF($AF34:$AN34,"&gt;0")&gt;1,"COMB",CHOOSE(MATCH(TRUE,INDEX($AF34:$AN34&lt;&gt;"",0),0),"Lighting","Receptacle","Motor","HVAC","Electric Heat","Kitchen Equip","Continuous (Other)","Non-Continuous","Panel"))))</f>
        <v>Space</v>
      </c>
      <c r="H34" s="237" t="str">
        <f t="shared" si="0"/>
        <v/>
      </c>
      <c r="I34" s="411"/>
      <c r="J34" s="411"/>
      <c r="K34" s="320" t="str" cm="1">
        <f t="array" ref="K34">IF(OR(Tog_VD&lt;&gt;"ON",$AU34=0,$AX34=0,$J34=0,$J34="",$AS34=0),"",(IF($E34=3,SQRT3,2)*BranchK*$AU34*$J34/(INDEX(INDEX(Cond_Table,0,2),$AX34)*MAX(1,$BF34)))/$AS34)</f>
        <v/>
      </c>
      <c r="L34" s="456" t="str" cm="1">
        <f t="array" ref="L34">IF(OR(Tog_Wire&lt;&gt;"ON",$AX34=0),"",IFERROR(IF($BF34&gt;1,"("&amp;$BF34&amp;") ","")&amp;"#"&amp;INDEX(Cond_Size,$AX34)&amp;" | #"&amp;INDEX(Cond_Size,MIN($AX34,MAX(Min_Cond_Pos,MATCH(TRUE,INDEX(Cond_Table,0,2)&gt;=INDEX(INDEX(Cond_Table,0,2),MATCH(INDEX(INDEX(EGC_Table,0,IF(Cfg_BranchMat="Cu",2,3)),MATCH(TRUE,INDEX(EGC_Table,0,1)&gt;=$F34,0)),Cond_Size,0))*INDEX(INDEX(Cond_Table,0,2),$AX34)/INDEX(INDEX(Cond_Table,0,2),MAX(Min_Cond_Pos,MATCH(TRUE,INDEX(Cond_Table,0,IF($AV34&lt;=100,BranchCol60,BranchAmpCol))&gt;=$AV34/MAX(1,$BF34),0))),0))))&amp;"G",""))</f>
        <v/>
      </c>
      <c r="M34" s="457"/>
      <c r="N34" s="458"/>
      <c r="O34" s="458"/>
      <c r="P34" s="458"/>
      <c r="Q34" s="458"/>
      <c r="R34" s="229"/>
      <c r="S34" s="248" t="str">
        <f t="shared" ref="S34:S52" si="11">IF($AU34=0,"",$AU34)</f>
        <v/>
      </c>
      <c r="T34" s="248" t="str">
        <f>IF($S34="","",ROUND($S34*IF($R34&gt;=$H$25,$H$26,$H$27),1))</f>
        <v/>
      </c>
      <c r="U34" s="459" t="str" cm="1">
        <f t="array" ref="U34">IF($S34="","",IF($R34&gt;=$H$25,(NECREF("430.32")&amp;"(A)(1) @ ")&amp;TEXT($H$26,"0%"),(NECREF("430.32")&amp;"(A)(1) @ ")&amp;TEXT($H$27,"0%")))</f>
        <v/>
      </c>
      <c r="V34" s="458"/>
      <c r="W34" s="458"/>
      <c r="X34" s="458"/>
      <c r="Y34" s="458"/>
      <c r="Z34" s="458"/>
      <c r="AA34" s="458"/>
      <c r="AB34" s="458"/>
      <c r="AC34" s="230"/>
      <c r="AD34" s="413"/>
      <c r="AE34" s="10"/>
      <c r="AF34" s="214"/>
      <c r="AG34" s="215"/>
      <c r="AH34" s="215"/>
      <c r="AI34" s="215"/>
      <c r="AJ34" s="215"/>
      <c r="AK34" s="215"/>
      <c r="AL34" s="215"/>
      <c r="AM34" s="215"/>
      <c r="AN34" s="216"/>
      <c r="AP34" s="31">
        <f t="shared" si="1"/>
        <v>0</v>
      </c>
      <c r="AQ34" s="415">
        <f t="shared" si="2"/>
        <v>0</v>
      </c>
      <c r="AR34" s="31" t="str">
        <f t="shared" si="3"/>
        <v>NONE</v>
      </c>
      <c r="AS34" s="31" t="str">
        <f t="shared" si="4"/>
        <v/>
      </c>
      <c r="AT34" s="526">
        <f t="shared" si="5"/>
        <v>0</v>
      </c>
      <c r="AU34" s="415">
        <f t="shared" si="6"/>
        <v>0</v>
      </c>
      <c r="AV34" s="415">
        <f t="shared" ref="AV34:AV52" si="12">$AQ34*$AU34</f>
        <v>0</v>
      </c>
      <c r="AW34" s="415">
        <f t="shared" ref="AW34:AW52" si="13">IF($AP34=1,2.5*$AU34,$AV34)</f>
        <v>0</v>
      </c>
      <c r="AX34" s="31" cm="1">
        <f t="array" ref="AX34">IF($AV34&lt;=0,0,IFERROR(_xlfn.LET(_xlpm.n,MAX(1,$BF34),_xlpm.i,$AV34/_xlpm.n,MIN(Max_Cond_Pos,MAX(Min_Cond_Pos,IF(_xlpm.n&gt;1,Par_Min_Pos,1),MATCH(TRUE,INDEX(Cond_Table,0,IF(_xlpm.i&lt;=100,BranchCol60,BranchAmpCol))&gt;=_xlpm.i,0),IF(OR(Tog_VD&lt;&gt;"ON",$J34=0,$J34="",$AS34=0),0,MATCH(TRUE,INDEX(Cond_Table,0,2)&gt;=IF($E34=3,SQRT3,2)*BranchK*$AU34*$J34/($BH$22*$AS34*_xlpm.n),0))))),0))</f>
        <v>0</v>
      </c>
      <c r="AY34" s="415">
        <f t="shared" si="7"/>
        <v>0</v>
      </c>
      <c r="AZ34" s="31">
        <f t="shared" ref="AZ34:AZ52" si="14">MOD($B34-1,3)</f>
        <v>1</v>
      </c>
      <c r="BA34" s="415">
        <f t="shared" si="8"/>
        <v>0</v>
      </c>
      <c r="BB34" s="415">
        <f t="shared" si="9"/>
        <v>0</v>
      </c>
      <c r="BC34" s="415">
        <f t="shared" si="10"/>
        <v>0</v>
      </c>
      <c r="BD34" s="31"/>
      <c r="BE34" s="31">
        <v>0</v>
      </c>
      <c r="BF34" s="563" cm="1">
        <f t="array" ref="BF34">IF($AV34&lt;=0,0,IFERROR(_xlfn.LET(_xlpm.col,IF($AV34&lt;=100,BranchCol60,BranchAmpCol),_xlpm.nA,ROUNDUP($AV34/INDEX(Cond_Table,Max_Cond_Pos,_xlpm.col),0),_xlpm.cm,IF(OR(Tog_VD&lt;&gt;"ON",$J34=0,$J34="",$AS34=0),0,IF($E34=3,SQRT3,2)*BranchK*$AU34*$J34/($BH$22*$AS34)),_xlpm.nV,ROUNDUP(_xlpm.cm/INDEX(Cond_Table,Max_Cond_Pos,2),0),MAX(1,_xlpm.nA,_xlpm.nV)),1))</f>
        <v>0</v>
      </c>
      <c r="BG34" s="31"/>
      <c r="BH34" s="415" t="str">
        <f>IF($BH$33="","",IF($BH$33=3,SQRT3,1))</f>
        <v/>
      </c>
      <c r="BJ34" s="416" t="s">
        <v>1253</v>
      </c>
      <c r="BK34" s="31" t="s">
        <v>1179</v>
      </c>
      <c r="BL34" s="31"/>
      <c r="BM34" s="31"/>
      <c r="BN34" s="31"/>
      <c r="BO34" s="31"/>
    </row>
    <row r="35" spans="2:67" ht="15" customHeight="1" x14ac:dyDescent="0.45">
      <c r="B35" s="410">
        <f>ROW()-32</f>
        <v>3</v>
      </c>
      <c r="C35" s="663"/>
      <c r="D35" s="664"/>
      <c r="E35" s="411"/>
      <c r="F35" s="16" t="str" cm="1">
        <f t="array" ref="F35">IF($BE35=1,"-",IF($G35="Spare",IF($BD35&lt;&gt;"",$BD35,20),IF(OR($G35="",$G35="Space",$AW35&lt;=0),"",IFERROR(INDEX(OCPD_List,MATCH($AW35,OCPD_List,1)+IF(INDEX(OCPD_List,MATCH($AW35,OCPD_List,1))&gt;=$AW35,0,1)),15))))</f>
        <v/>
      </c>
      <c r="G35" s="412" t="str" cm="1">
        <f t="array" ref="G35">IF($BE35=1,"-",IF(COUNT($AF35:$AN35)=0,IF(UPPER(TRIM($C35))="SPARE","Spare","Space"),IF(COUNTIF($AF35:$AN35,"&gt;0")&gt;1,"COMB",CHOOSE(MATCH(TRUE,INDEX($AF35:$AN35&lt;&gt;"",0),0),"Lighting","Receptacle","Motor","HVAC","Electric Heat","Kitchen Equip","Continuous (Other)","Non-Continuous","Panel"))))</f>
        <v>Space</v>
      </c>
      <c r="H35" s="237" t="str">
        <f t="shared" si="0"/>
        <v/>
      </c>
      <c r="I35" s="411"/>
      <c r="J35" s="411"/>
      <c r="K35" s="320" t="str" cm="1">
        <f t="array" ref="K35">IF(OR(Tog_VD&lt;&gt;"ON",$AU35=0,$AX35=0,$J35=0,$J35="",$AS35=0),"",(IF($E35=3,SQRT3,2)*BranchK*$AU35*$J35/(INDEX(INDEX(Cond_Table,0,2),$AX35)*MAX(1,$BF35)))/$AS35)</f>
        <v/>
      </c>
      <c r="L35" s="456" t="str" cm="1">
        <f t="array" ref="L35">IF(OR(Tog_Wire&lt;&gt;"ON",$AX35=0),"",IFERROR(IF($BF35&gt;1,"("&amp;$BF35&amp;") ","")&amp;"#"&amp;INDEX(Cond_Size,$AX35)&amp;" | #"&amp;INDEX(Cond_Size,MIN($AX35,MAX(Min_Cond_Pos,MATCH(TRUE,INDEX(Cond_Table,0,2)&gt;=INDEX(INDEX(Cond_Table,0,2),MATCH(INDEX(INDEX(EGC_Table,0,IF(Cfg_BranchMat="Cu",2,3)),MATCH(TRUE,INDEX(EGC_Table,0,1)&gt;=$F35,0)),Cond_Size,0))*INDEX(INDEX(Cond_Table,0,2),$AX35)/INDEX(INDEX(Cond_Table,0,2),MAX(Min_Cond_Pos,MATCH(TRUE,INDEX(Cond_Table,0,IF($AV35&lt;=100,BranchCol60,BranchAmpCol))&gt;=$AV35/MAX(1,$BF35),0))),0))))&amp;"G",""))</f>
        <v/>
      </c>
      <c r="M35" s="457"/>
      <c r="N35" s="458"/>
      <c r="O35" s="458"/>
      <c r="P35" s="458"/>
      <c r="Q35" s="458"/>
      <c r="R35" s="229"/>
      <c r="S35" s="248" t="str">
        <f t="shared" si="11"/>
        <v/>
      </c>
      <c r="T35" s="248" t="str">
        <f>IF($S35="","",ROUND($S35*IF($R35&gt;=$H$25,$H$26,$H$27),1))</f>
        <v/>
      </c>
      <c r="U35" s="459" t="str" cm="1">
        <f t="array" ref="U35">IF($S35="","",IF($R35&gt;=$H$25,(NECREF("430.32")&amp;"(A)(1) @ ")&amp;TEXT($H$26,"0%"),(NECREF("430.32")&amp;"(A)(1) @ ")&amp;TEXT($H$27,"0%")))</f>
        <v/>
      </c>
      <c r="V35" s="458"/>
      <c r="W35" s="458"/>
      <c r="X35" s="458"/>
      <c r="Y35" s="458"/>
      <c r="Z35" s="458"/>
      <c r="AA35" s="458"/>
      <c r="AB35" s="458"/>
      <c r="AC35" s="230"/>
      <c r="AD35" s="413"/>
      <c r="AE35" s="10"/>
      <c r="AF35" s="214"/>
      <c r="AG35" s="215"/>
      <c r="AH35" s="215"/>
      <c r="AI35" s="215"/>
      <c r="AJ35" s="215"/>
      <c r="AK35" s="215"/>
      <c r="AL35" s="215"/>
      <c r="AM35" s="215"/>
      <c r="AN35" s="216"/>
      <c r="AP35" s="31">
        <f t="shared" si="1"/>
        <v>0</v>
      </c>
      <c r="AQ35" s="415">
        <f t="shared" si="2"/>
        <v>0</v>
      </c>
      <c r="AR35" s="31" t="str">
        <f t="shared" si="3"/>
        <v>NONE</v>
      </c>
      <c r="AS35" s="31" t="str">
        <f t="shared" si="4"/>
        <v/>
      </c>
      <c r="AT35" s="526">
        <f t="shared" si="5"/>
        <v>0</v>
      </c>
      <c r="AU35" s="415">
        <f t="shared" si="6"/>
        <v>0</v>
      </c>
      <c r="AV35" s="415">
        <f t="shared" si="12"/>
        <v>0</v>
      </c>
      <c r="AW35" s="415">
        <f t="shared" si="13"/>
        <v>0</v>
      </c>
      <c r="AX35" s="31" cm="1">
        <f t="array" ref="AX35">IF($AV35&lt;=0,0,IFERROR(_xlfn.LET(_xlpm.n,MAX(1,$BF35),_xlpm.i,$AV35/_xlpm.n,MIN(Max_Cond_Pos,MAX(Min_Cond_Pos,IF(_xlpm.n&gt;1,Par_Min_Pos,1),MATCH(TRUE,INDEX(Cond_Table,0,IF(_xlpm.i&lt;=100,BranchCol60,BranchAmpCol))&gt;=_xlpm.i,0),IF(OR(Tog_VD&lt;&gt;"ON",$J35=0,$J35="",$AS35=0),0,MATCH(TRUE,INDEX(Cond_Table,0,2)&gt;=IF($E35=3,SQRT3,2)*BranchK*$AU35*$J35/($BH$22*$AS35*_xlpm.n),0))))),0))</f>
        <v>0</v>
      </c>
      <c r="AY35" s="415">
        <f t="shared" si="7"/>
        <v>0</v>
      </c>
      <c r="AZ35" s="31">
        <f t="shared" si="14"/>
        <v>2</v>
      </c>
      <c r="BA35" s="415">
        <f t="shared" si="8"/>
        <v>0</v>
      </c>
      <c r="BB35" s="415">
        <f t="shared" si="9"/>
        <v>0</v>
      </c>
      <c r="BC35" s="415">
        <f t="shared" si="10"/>
        <v>0</v>
      </c>
      <c r="BD35" s="31"/>
      <c r="BE35" s="31">
        <v>0</v>
      </c>
      <c r="BF35" s="563" cm="1">
        <f t="array" ref="BF35">IF($AV35&lt;=0,0,IFERROR(_xlfn.LET(_xlpm.col,IF($AV35&lt;=100,BranchCol60,BranchAmpCol),_xlpm.nA,ROUNDUP($AV35/INDEX(Cond_Table,Max_Cond_Pos,_xlpm.col),0),_xlpm.cm,IF(OR(Tog_VD&lt;&gt;"ON",$J35=0,$J35="",$AS35=0),0,IF($E35=3,SQRT3,2)*BranchK*$AU35*$J35/($BH$22*$AS35)),_xlpm.nV,ROUNDUP(_xlpm.cm/INDEX(Cond_Table,Max_Cond_Pos,2),0),MAX(1,_xlpm.nA,_xlpm.nV)),1))</f>
        <v>0</v>
      </c>
      <c r="BG35" s="31"/>
      <c r="BH35" s="526" t="str">
        <f>IF(OR($BH$31="",$BH$34=""),"",$L$16*1000/($BH$31*$BH$34))</f>
        <v/>
      </c>
      <c r="BJ35" s="31" t="s">
        <v>1174</v>
      </c>
      <c r="BK35" s="31" t="s">
        <v>1176</v>
      </c>
      <c r="BL35" s="31"/>
      <c r="BM35" s="31"/>
      <c r="BN35" s="31"/>
      <c r="BO35" s="31"/>
    </row>
    <row r="36" spans="2:67" ht="15" customHeight="1" x14ac:dyDescent="0.45">
      <c r="B36" s="410">
        <f>ROW()-32</f>
        <v>4</v>
      </c>
      <c r="C36" s="663"/>
      <c r="D36" s="664"/>
      <c r="E36" s="411"/>
      <c r="F36" s="16" t="str" cm="1">
        <f t="array" ref="F36">IF($BE36=1,"-",IF($G36="Spare",IF($BD36&lt;&gt;"",$BD36,20),IF(OR($G36="",$G36="Space",$AW36&lt;=0),"",IFERROR(INDEX(OCPD_List,MATCH($AW36,OCPD_List,1)+IF(INDEX(OCPD_List,MATCH($AW36,OCPD_List,1))&gt;=$AW36,0,1)),15))))</f>
        <v/>
      </c>
      <c r="G36" s="412" t="str" cm="1">
        <f t="array" ref="G36">IF($BE36=1,"-",IF(COUNT($AF36:$AN36)=0,IF(UPPER(TRIM($C36))="SPARE","Spare","Space"),IF(COUNTIF($AF36:$AN36,"&gt;0")&gt;1,"COMB",CHOOSE(MATCH(TRUE,INDEX($AF36:$AN36&lt;&gt;"",0),0),"Lighting","Receptacle","Motor","HVAC","Electric Heat","Kitchen Equip","Continuous (Other)","Non-Continuous","Panel"))))</f>
        <v>Space</v>
      </c>
      <c r="H36" s="237" t="str">
        <f t="shared" si="0"/>
        <v/>
      </c>
      <c r="I36" s="411"/>
      <c r="J36" s="411"/>
      <c r="K36" s="320" t="str" cm="1">
        <f t="array" ref="K36">IF(OR(Tog_VD&lt;&gt;"ON",$AU36=0,$AX36=0,$J36=0,$J36="",$AS36=0),"",(IF($E36=3,SQRT3,2)*BranchK*$AU36*$J36/(INDEX(INDEX(Cond_Table,0,2),$AX36)*MAX(1,$BF36)))/$AS36)</f>
        <v/>
      </c>
      <c r="L36" s="456" t="str" cm="1">
        <f t="array" ref="L36">IF(OR(Tog_Wire&lt;&gt;"ON",$AX36=0),"",IFERROR(IF($BF36&gt;1,"("&amp;$BF36&amp;") ","")&amp;"#"&amp;INDEX(Cond_Size,$AX36)&amp;" | #"&amp;INDEX(Cond_Size,MIN($AX36,MAX(Min_Cond_Pos,MATCH(TRUE,INDEX(Cond_Table,0,2)&gt;=INDEX(INDEX(Cond_Table,0,2),MATCH(INDEX(INDEX(EGC_Table,0,IF(Cfg_BranchMat="Cu",2,3)),MATCH(TRUE,INDEX(EGC_Table,0,1)&gt;=$F36,0)),Cond_Size,0))*INDEX(INDEX(Cond_Table,0,2),$AX36)/INDEX(INDEX(Cond_Table,0,2),MAX(Min_Cond_Pos,MATCH(TRUE,INDEX(Cond_Table,0,IF($AV36&lt;=100,BranchCol60,BranchAmpCol))&gt;=$AV36/MAX(1,$BF36),0))),0))))&amp;"G",""))</f>
        <v/>
      </c>
      <c r="M36" s="457"/>
      <c r="N36" s="458"/>
      <c r="O36" s="458"/>
      <c r="P36" s="458"/>
      <c r="Q36" s="458"/>
      <c r="R36" s="229"/>
      <c r="S36" s="248" t="str">
        <f t="shared" si="11"/>
        <v/>
      </c>
      <c r="T36" s="248" t="str">
        <f>IF($S36="","",ROUND($S36*IF($R36&gt;=$H$25,$H$26,$H$27),1))</f>
        <v/>
      </c>
      <c r="U36" s="459" t="str" cm="1">
        <f t="array" ref="U36">IF($S36="","",IF($R36&gt;=$H$25,(NECREF("430.32")&amp;"(A)(1) @ ")&amp;TEXT($H$26,"0%"),(NECREF("430.32")&amp;"(A)(1) @ ")&amp;TEXT($H$27,"0%")))</f>
        <v/>
      </c>
      <c r="V36" s="458"/>
      <c r="W36" s="458"/>
      <c r="X36" s="458"/>
      <c r="Y36" s="458"/>
      <c r="Z36" s="458"/>
      <c r="AA36" s="458"/>
      <c r="AB36" s="458"/>
      <c r="AC36" s="230"/>
      <c r="AD36" s="413"/>
      <c r="AE36" s="10"/>
      <c r="AF36" s="214"/>
      <c r="AG36" s="215"/>
      <c r="AH36" s="215"/>
      <c r="AI36" s="215"/>
      <c r="AJ36" s="215"/>
      <c r="AK36" s="215"/>
      <c r="AL36" s="215"/>
      <c r="AM36" s="215"/>
      <c r="AN36" s="216"/>
      <c r="AP36" s="31">
        <f t="shared" si="1"/>
        <v>0</v>
      </c>
      <c r="AQ36" s="415">
        <f t="shared" si="2"/>
        <v>0</v>
      </c>
      <c r="AR36" s="31" t="str">
        <f t="shared" si="3"/>
        <v>NONE</v>
      </c>
      <c r="AS36" s="31" t="str">
        <f t="shared" si="4"/>
        <v/>
      </c>
      <c r="AT36" s="526">
        <f t="shared" si="5"/>
        <v>0</v>
      </c>
      <c r="AU36" s="415">
        <f t="shared" si="6"/>
        <v>0</v>
      </c>
      <c r="AV36" s="415">
        <f t="shared" si="12"/>
        <v>0</v>
      </c>
      <c r="AW36" s="415">
        <f t="shared" si="13"/>
        <v>0</v>
      </c>
      <c r="AX36" s="31" cm="1">
        <f t="array" ref="AX36">IF($AV36&lt;=0,0,IFERROR(_xlfn.LET(_xlpm.n,MAX(1,$BF36),_xlpm.i,$AV36/_xlpm.n,MIN(Max_Cond_Pos,MAX(Min_Cond_Pos,IF(_xlpm.n&gt;1,Par_Min_Pos,1),MATCH(TRUE,INDEX(Cond_Table,0,IF(_xlpm.i&lt;=100,BranchCol60,BranchAmpCol))&gt;=_xlpm.i,0),IF(OR(Tog_VD&lt;&gt;"ON",$J36=0,$J36="",$AS36=0),0,MATCH(TRUE,INDEX(Cond_Table,0,2)&gt;=IF($E36=3,SQRT3,2)*BranchK*$AU36*$J36/($BH$22*$AS36*_xlpm.n),0))))),0))</f>
        <v>0</v>
      </c>
      <c r="AY36" s="415">
        <f t="shared" si="7"/>
        <v>0</v>
      </c>
      <c r="AZ36" s="31">
        <f t="shared" si="14"/>
        <v>0</v>
      </c>
      <c r="BA36" s="415">
        <f t="shared" si="8"/>
        <v>0</v>
      </c>
      <c r="BB36" s="415">
        <f t="shared" si="9"/>
        <v>0</v>
      </c>
      <c r="BC36" s="415">
        <f t="shared" si="10"/>
        <v>0</v>
      </c>
      <c r="BD36" s="31"/>
      <c r="BE36" s="31">
        <v>0</v>
      </c>
      <c r="BF36" s="563" cm="1">
        <f t="array" ref="BF36">IF($AV36&lt;=0,0,IFERROR(_xlfn.LET(_xlpm.col,IF($AV36&lt;=100,BranchCol60,BranchAmpCol),_xlpm.nA,ROUNDUP($AV36/INDEX(Cond_Table,Max_Cond_Pos,_xlpm.col),0),_xlpm.cm,IF(OR(Tog_VD&lt;&gt;"ON",$J36=0,$J36="",$AS36=0),0,IF($E36=3,SQRT3,2)*BranchK*$AU36*$J36/($BH$22*$AS36)),_xlpm.nV,ROUNDUP(_xlpm.cm/INDEX(Cond_Table,Max_Cond_Pos,2),0),MAX(1,_xlpm.nA,_xlpm.nV)),1))</f>
        <v>0</v>
      </c>
      <c r="BG36" s="31"/>
      <c r="BH36" s="31" cm="1">
        <f t="array" ref="BH36">IF($BH$35="",0,IF($BH$35&lt;=0,0,IFERROR(_xlfn.LET(_xlpm.n,MAX(1,$BH$44),_xlpm.i,$BH$35/_xlpm.n,MIN(Max_Cond_Pos,MAX(Min_Cond_Pos,IF(_xlpm.n&gt;1,Par_Min_Pos,1),MATCH(TRUE,INDEX(Cond_Table,0,IF(_xlpm.i&lt;=100,FeederCol60,FeederAmpCol))&gt;=_xlpm.i,0),IF(OR(Tog_VD&lt;&gt;"ON",N($H$13)=0,N($H$13)=""),0,MATCH(TRUE,INDEX(Cond_Table,0,2)&gt;=IF($BH$33=3,SQRT3,2)*FeederK*$BH$35*N($H$13)/(Cfg_VDFeeder*$BH$31*_xlpm.n),0))))),0)))</f>
        <v>0</v>
      </c>
      <c r="BJ36" s="31" t="s">
        <v>1185</v>
      </c>
      <c r="BK36" s="31">
        <v>33</v>
      </c>
      <c r="BL36" s="31"/>
      <c r="BM36" s="31"/>
      <c r="BN36" s="31"/>
      <c r="BO36" s="31"/>
    </row>
    <row r="37" spans="2:67" ht="15" customHeight="1" x14ac:dyDescent="0.45">
      <c r="B37" s="410">
        <f>ROW()-32</f>
        <v>5</v>
      </c>
      <c r="C37" s="663"/>
      <c r="D37" s="664"/>
      <c r="E37" s="411"/>
      <c r="F37" s="16" t="str" cm="1">
        <f t="array" ref="F37">IF($BE37=1,"-",IF($G37="Spare",IF($BD37&lt;&gt;"",$BD37,20),IF(OR($G37="",$G37="Space",$AW37&lt;=0),"",IFERROR(INDEX(OCPD_List,MATCH($AW37,OCPD_List,1)+IF(INDEX(OCPD_List,MATCH($AW37,OCPD_List,1))&gt;=$AW37,0,1)),15))))</f>
        <v/>
      </c>
      <c r="G37" s="412" t="str" cm="1">
        <f t="array" ref="G37">IF($BE37=1,"-",IF(COUNT($AF37:$AN37)=0,IF(UPPER(TRIM($C37))="SPARE","Spare","Space"),IF(COUNTIF($AF37:$AN37,"&gt;0")&gt;1,"COMB",CHOOSE(MATCH(TRUE,INDEX($AF37:$AN37&lt;&gt;"",0),0),"Lighting","Receptacle","Motor","HVAC","Electric Heat","Kitchen Equip","Continuous (Other)","Non-Continuous","Panel"))))</f>
        <v>Space</v>
      </c>
      <c r="H37" s="237" t="str">
        <f t="shared" si="0"/>
        <v/>
      </c>
      <c r="I37" s="411"/>
      <c r="J37" s="411"/>
      <c r="K37" s="320" t="str" cm="1">
        <f t="array" ref="K37">IF(OR(Tog_VD&lt;&gt;"ON",$AU37=0,$AX37=0,$J37=0,$J37="",$AS37=0),"",(IF($E37=3,SQRT3,2)*BranchK*$AU37*$J37/(INDEX(INDEX(Cond_Table,0,2),$AX37)*MAX(1,$BF37)))/$AS37)</f>
        <v/>
      </c>
      <c r="L37" s="456" t="str" cm="1">
        <f t="array" ref="L37">IF(OR(Tog_Wire&lt;&gt;"ON",$AX37=0),"",IFERROR(IF($BF37&gt;1,"("&amp;$BF37&amp;") ","")&amp;"#"&amp;INDEX(Cond_Size,$AX37)&amp;" | #"&amp;INDEX(Cond_Size,MIN($AX37,MAX(Min_Cond_Pos,MATCH(TRUE,INDEX(Cond_Table,0,2)&gt;=INDEX(INDEX(Cond_Table,0,2),MATCH(INDEX(INDEX(EGC_Table,0,IF(Cfg_BranchMat="Cu",2,3)),MATCH(TRUE,INDEX(EGC_Table,0,1)&gt;=$F37,0)),Cond_Size,0))*INDEX(INDEX(Cond_Table,0,2),$AX37)/INDEX(INDEX(Cond_Table,0,2),MAX(Min_Cond_Pos,MATCH(TRUE,INDEX(Cond_Table,0,IF($AV37&lt;=100,BranchCol60,BranchAmpCol))&gt;=$AV37/MAX(1,$BF37),0))),0))))&amp;"G",""))</f>
        <v/>
      </c>
      <c r="M37" s="457"/>
      <c r="N37" s="458"/>
      <c r="O37" s="458"/>
      <c r="P37" s="458"/>
      <c r="Q37" s="458"/>
      <c r="R37" s="229"/>
      <c r="S37" s="248" t="str">
        <f t="shared" si="11"/>
        <v/>
      </c>
      <c r="T37" s="248" t="str">
        <f>IF($S37="","",ROUND($S37*IF($R37&gt;=$H$25,$H$26,$H$27),1))</f>
        <v/>
      </c>
      <c r="U37" s="459" t="str" cm="1">
        <f t="array" ref="U37">IF($S37="","",IF($R37&gt;=$H$25,(NECREF("430.32")&amp;"(A)(1) @ ")&amp;TEXT($H$26,"0%"),(NECREF("430.32")&amp;"(A)(1) @ ")&amp;TEXT($H$27,"0%")))</f>
        <v/>
      </c>
      <c r="V37" s="458"/>
      <c r="W37" s="458"/>
      <c r="X37" s="458"/>
      <c r="Y37" s="458"/>
      <c r="Z37" s="458"/>
      <c r="AA37" s="458"/>
      <c r="AB37" s="458"/>
      <c r="AC37" s="230"/>
      <c r="AD37" s="413"/>
      <c r="AE37" s="10"/>
      <c r="AF37" s="214"/>
      <c r="AG37" s="215"/>
      <c r="AH37" s="215"/>
      <c r="AI37" s="215"/>
      <c r="AJ37" s="215"/>
      <c r="AK37" s="215"/>
      <c r="AL37" s="215"/>
      <c r="AM37" s="215"/>
      <c r="AN37" s="216"/>
      <c r="AP37" s="31">
        <f t="shared" si="1"/>
        <v>0</v>
      </c>
      <c r="AQ37" s="415">
        <f t="shared" si="2"/>
        <v>0</v>
      </c>
      <c r="AR37" s="31" t="str">
        <f t="shared" si="3"/>
        <v>NONE</v>
      </c>
      <c r="AS37" s="31" t="str">
        <f t="shared" si="4"/>
        <v/>
      </c>
      <c r="AT37" s="526">
        <f t="shared" si="5"/>
        <v>0</v>
      </c>
      <c r="AU37" s="415">
        <f t="shared" si="6"/>
        <v>0</v>
      </c>
      <c r="AV37" s="415">
        <f t="shared" si="12"/>
        <v>0</v>
      </c>
      <c r="AW37" s="415">
        <f t="shared" si="13"/>
        <v>0</v>
      </c>
      <c r="AX37" s="31" cm="1">
        <f t="array" ref="AX37">IF($AV37&lt;=0,0,IFERROR(_xlfn.LET(_xlpm.n,MAX(1,$BF37),_xlpm.i,$AV37/_xlpm.n,MIN(Max_Cond_Pos,MAX(Min_Cond_Pos,IF(_xlpm.n&gt;1,Par_Min_Pos,1),MATCH(TRUE,INDEX(Cond_Table,0,IF(_xlpm.i&lt;=100,BranchCol60,BranchAmpCol))&gt;=_xlpm.i,0),IF(OR(Tog_VD&lt;&gt;"ON",$J37=0,$J37="",$AS37=0),0,MATCH(TRUE,INDEX(Cond_Table,0,2)&gt;=IF($E37=3,SQRT3,2)*BranchK*$AU37*$J37/($BH$22*$AS37*_xlpm.n),0))))),0))</f>
        <v>0</v>
      </c>
      <c r="AY37" s="415">
        <f t="shared" si="7"/>
        <v>0</v>
      </c>
      <c r="AZ37" s="31">
        <f t="shared" si="14"/>
        <v>1</v>
      </c>
      <c r="BA37" s="415">
        <f t="shared" si="8"/>
        <v>0</v>
      </c>
      <c r="BB37" s="415">
        <f t="shared" si="9"/>
        <v>0</v>
      </c>
      <c r="BC37" s="415">
        <f t="shared" si="10"/>
        <v>0</v>
      </c>
      <c r="BD37" s="31"/>
      <c r="BE37" s="31">
        <v>0</v>
      </c>
      <c r="BF37" s="563" cm="1">
        <f t="array" ref="BF37">IF($AV37&lt;=0,0,IFERROR(_xlfn.LET(_xlpm.col,IF($AV37&lt;=100,BranchCol60,BranchAmpCol),_xlpm.nA,ROUNDUP($AV37/INDEX(Cond_Table,Max_Cond_Pos,_xlpm.col),0),_xlpm.cm,IF(OR(Tog_VD&lt;&gt;"ON",$J37=0,$J37="",$AS37=0),0,IF($E37=3,SQRT3,2)*BranchK*$AU37*$J37/($BH$22*$AS37)),_xlpm.nV,ROUNDUP(_xlpm.cm/INDEX(Cond_Table,Max_Cond_Pos,2),0),MAX(1,_xlpm.nA,_xlpm.nV)),1))</f>
        <v>0</v>
      </c>
      <c r="BG37" s="31"/>
      <c r="BH37" s="31" cm="1">
        <f t="array" ref="BH37">IF($D$12&lt;=0,0,IFERROR(MAX(Min_Cond_Pos,MATCH(TRUE,INDEX(Cond_Table,0,IF($D$12&lt;=100,FeederCol60,FeederAmpCol))&gt;=$D$12,0)),0))</f>
        <v>0</v>
      </c>
      <c r="BJ37" s="31" t="s">
        <v>1186</v>
      </c>
      <c r="BK37" s="31">
        <v>52</v>
      </c>
      <c r="BL37" s="31"/>
      <c r="BM37" s="31"/>
      <c r="BN37" s="31"/>
      <c r="BO37" s="31"/>
    </row>
    <row r="38" spans="2:67" ht="15" customHeight="1" x14ac:dyDescent="0.45">
      <c r="B38" s="410">
        <f>ROW()-32</f>
        <v>6</v>
      </c>
      <c r="C38" s="663"/>
      <c r="D38" s="664"/>
      <c r="E38" s="411"/>
      <c r="F38" s="16" t="str" cm="1">
        <f t="array" ref="F38">IF($BE38=1,"-",IF($G38="Spare",IF($BD38&lt;&gt;"",$BD38,20),IF(OR($G38="",$G38="Space",$AW38&lt;=0),"",IFERROR(INDEX(OCPD_List,MATCH($AW38,OCPD_List,1)+IF(INDEX(OCPD_List,MATCH($AW38,OCPD_List,1))&gt;=$AW38,0,1)),15))))</f>
        <v/>
      </c>
      <c r="G38" s="412" t="str" cm="1">
        <f t="array" ref="G38">IF($BE38=1,"-",IF(COUNT($AF38:$AN38)=0,IF(UPPER(TRIM($C38))="SPARE","Spare","Space"),IF(COUNTIF($AF38:$AN38,"&gt;0")&gt;1,"COMB",CHOOSE(MATCH(TRUE,INDEX($AF38:$AN38&lt;&gt;"",0),0),"Lighting","Receptacle","Motor","HVAC","Electric Heat","Kitchen Equip","Continuous (Other)","Non-Continuous","Panel"))))</f>
        <v>Space</v>
      </c>
      <c r="H38" s="237" t="str">
        <f t="shared" si="0"/>
        <v/>
      </c>
      <c r="I38" s="411"/>
      <c r="J38" s="411"/>
      <c r="K38" s="320" t="str" cm="1">
        <f t="array" ref="K38">IF(OR(Tog_VD&lt;&gt;"ON",$AU38=0,$AX38=0,$J38=0,$J38="",$AS38=0),"",(IF($E38=3,SQRT3,2)*BranchK*$AU38*$J38/(INDEX(INDEX(Cond_Table,0,2),$AX38)*MAX(1,$BF38)))/$AS38)</f>
        <v/>
      </c>
      <c r="L38" s="456" t="str" cm="1">
        <f t="array" ref="L38">IF(OR(Tog_Wire&lt;&gt;"ON",$AX38=0),"",IFERROR(IF($BF38&gt;1,"("&amp;$BF38&amp;") ","")&amp;"#"&amp;INDEX(Cond_Size,$AX38)&amp;" | #"&amp;INDEX(Cond_Size,MIN($AX38,MAX(Min_Cond_Pos,MATCH(TRUE,INDEX(Cond_Table,0,2)&gt;=INDEX(INDEX(Cond_Table,0,2),MATCH(INDEX(INDEX(EGC_Table,0,IF(Cfg_BranchMat="Cu",2,3)),MATCH(TRUE,INDEX(EGC_Table,0,1)&gt;=$F38,0)),Cond_Size,0))*INDEX(INDEX(Cond_Table,0,2),$AX38)/INDEX(INDEX(Cond_Table,0,2),MAX(Min_Cond_Pos,MATCH(TRUE,INDEX(Cond_Table,0,IF($AV38&lt;=100,BranchCol60,BranchAmpCol))&gt;=$AV38/MAX(1,$BF38),0))),0))))&amp;"G",""))</f>
        <v/>
      </c>
      <c r="M38" s="457"/>
      <c r="N38" s="458"/>
      <c r="O38" s="458"/>
      <c r="P38" s="458"/>
      <c r="Q38" s="458"/>
      <c r="R38" s="229"/>
      <c r="S38" s="248" t="str">
        <f t="shared" si="11"/>
        <v/>
      </c>
      <c r="T38" s="248" t="str">
        <f>IF($S38="","",ROUND($S38*IF($R38&gt;=$H$25,$H$26,$H$27),1))</f>
        <v/>
      </c>
      <c r="U38" s="459" t="str" cm="1">
        <f t="array" ref="U38">IF($S38="","",IF($R38&gt;=$H$25,(NECREF("430.32")&amp;"(A)(1) @ ")&amp;TEXT($H$26,"0%"),(NECREF("430.32")&amp;"(A)(1) @ ")&amp;TEXT($H$27,"0%")))</f>
        <v/>
      </c>
      <c r="V38" s="458"/>
      <c r="W38" s="458"/>
      <c r="X38" s="458"/>
      <c r="Y38" s="458"/>
      <c r="Z38" s="458"/>
      <c r="AA38" s="458"/>
      <c r="AB38" s="458"/>
      <c r="AC38" s="230"/>
      <c r="AD38" s="413"/>
      <c r="AE38" s="10"/>
      <c r="AF38" s="214"/>
      <c r="AG38" s="215"/>
      <c r="AH38" s="215"/>
      <c r="AI38" s="215"/>
      <c r="AJ38" s="215"/>
      <c r="AK38" s="215"/>
      <c r="AL38" s="215"/>
      <c r="AM38" s="215"/>
      <c r="AN38" s="216"/>
      <c r="AP38" s="31">
        <f t="shared" si="1"/>
        <v>0</v>
      </c>
      <c r="AQ38" s="415">
        <f t="shared" si="2"/>
        <v>0</v>
      </c>
      <c r="AR38" s="31" t="str">
        <f t="shared" si="3"/>
        <v>NONE</v>
      </c>
      <c r="AS38" s="31" t="str">
        <f t="shared" si="4"/>
        <v/>
      </c>
      <c r="AT38" s="526">
        <f t="shared" si="5"/>
        <v>0</v>
      </c>
      <c r="AU38" s="415">
        <f t="shared" si="6"/>
        <v>0</v>
      </c>
      <c r="AV38" s="415">
        <f t="shared" si="12"/>
        <v>0</v>
      </c>
      <c r="AW38" s="415">
        <f t="shared" si="13"/>
        <v>0</v>
      </c>
      <c r="AX38" s="31" cm="1">
        <f t="array" ref="AX38">IF($AV38&lt;=0,0,IFERROR(_xlfn.LET(_xlpm.n,MAX(1,$BF38),_xlpm.i,$AV38/_xlpm.n,MIN(Max_Cond_Pos,MAX(Min_Cond_Pos,IF(_xlpm.n&gt;1,Par_Min_Pos,1),MATCH(TRUE,INDEX(Cond_Table,0,IF(_xlpm.i&lt;=100,BranchCol60,BranchAmpCol))&gt;=_xlpm.i,0),IF(OR(Tog_VD&lt;&gt;"ON",$J38=0,$J38="",$AS38=0),0,MATCH(TRUE,INDEX(Cond_Table,0,2)&gt;=IF($E38=3,SQRT3,2)*BranchK*$AU38*$J38/($BH$22*$AS38*_xlpm.n),0))))),0))</f>
        <v>0</v>
      </c>
      <c r="AY38" s="415">
        <f t="shared" si="7"/>
        <v>0</v>
      </c>
      <c r="AZ38" s="31">
        <f t="shared" si="14"/>
        <v>2</v>
      </c>
      <c r="BA38" s="415">
        <f t="shared" si="8"/>
        <v>0</v>
      </c>
      <c r="BB38" s="415">
        <f t="shared" si="9"/>
        <v>0</v>
      </c>
      <c r="BC38" s="415">
        <f t="shared" si="10"/>
        <v>0</v>
      </c>
      <c r="BD38" s="31"/>
      <c r="BE38" s="31">
        <v>0</v>
      </c>
      <c r="BF38" s="563" cm="1">
        <f t="array" ref="BF38">IF($AV38&lt;=0,0,IFERROR(_xlfn.LET(_xlpm.col,IF($AV38&lt;=100,BranchCol60,BranchAmpCol),_xlpm.nA,ROUNDUP($AV38/INDEX(Cond_Table,Max_Cond_Pos,_xlpm.col),0),_xlpm.cm,IF(OR(Tog_VD&lt;&gt;"ON",$J38=0,$J38="",$AS38=0),0,IF($E38=3,SQRT3,2)*BranchK*$AU38*$J38/($BH$22*$AS38)),_xlpm.nV,ROUNDUP(_xlpm.cm/INDEX(Cond_Table,Max_Cond_Pos,2),0),MAX(1,_xlpm.nA,_xlpm.nV)),1))</f>
        <v>0</v>
      </c>
      <c r="BG38" s="31"/>
      <c r="BH38" s="31">
        <f>COUNTIFS($AK$33:$AK$52,"&gt;0")</f>
        <v>0</v>
      </c>
      <c r="BJ38" s="31" t="s">
        <v>1187</v>
      </c>
      <c r="BK38" s="31" t="s">
        <v>1175</v>
      </c>
      <c r="BL38" s="31"/>
      <c r="BM38" s="31"/>
      <c r="BN38" s="31"/>
      <c r="BO38" s="31"/>
    </row>
    <row r="39" spans="2:67" ht="15" customHeight="1" x14ac:dyDescent="0.45">
      <c r="B39" s="410">
        <f>ROW()-32</f>
        <v>7</v>
      </c>
      <c r="C39" s="663"/>
      <c r="D39" s="664"/>
      <c r="E39" s="411"/>
      <c r="F39" s="16" t="str" cm="1">
        <f t="array" ref="F39">IF($BE39=1,"-",IF($G39="Spare",IF($BD39&lt;&gt;"",$BD39,20),IF(OR($G39="",$G39="Space",$AW39&lt;=0),"",IFERROR(INDEX(OCPD_List,MATCH($AW39,OCPD_List,1)+IF(INDEX(OCPD_List,MATCH($AW39,OCPD_List,1))&gt;=$AW39,0,1)),15))))</f>
        <v/>
      </c>
      <c r="G39" s="412" t="str" cm="1">
        <f t="array" ref="G39">IF($BE39=1,"-",IF(COUNT($AF39:$AN39)=0,IF(UPPER(TRIM($C39))="SPARE","Spare","Space"),IF(COUNTIF($AF39:$AN39,"&gt;0")&gt;1,"COMB",CHOOSE(MATCH(TRUE,INDEX($AF39:$AN39&lt;&gt;"",0),0),"Lighting","Receptacle","Motor","HVAC","Electric Heat","Kitchen Equip","Continuous (Other)","Non-Continuous","Panel"))))</f>
        <v>Space</v>
      </c>
      <c r="H39" s="237" t="str">
        <f t="shared" si="0"/>
        <v/>
      </c>
      <c r="I39" s="411"/>
      <c r="J39" s="411"/>
      <c r="K39" s="320" t="str" cm="1">
        <f t="array" ref="K39">IF(OR(Tog_VD&lt;&gt;"ON",$AU39=0,$AX39=0,$J39=0,$J39="",$AS39=0),"",(IF($E39=3,SQRT3,2)*BranchK*$AU39*$J39/(INDEX(INDEX(Cond_Table,0,2),$AX39)*MAX(1,$BF39)))/$AS39)</f>
        <v/>
      </c>
      <c r="L39" s="456" t="str" cm="1">
        <f t="array" ref="L39">IF(OR(Tog_Wire&lt;&gt;"ON",$AX39=0),"",IFERROR(IF($BF39&gt;1,"("&amp;$BF39&amp;") ","")&amp;"#"&amp;INDEX(Cond_Size,$AX39)&amp;" | #"&amp;INDEX(Cond_Size,MIN($AX39,MAX(Min_Cond_Pos,MATCH(TRUE,INDEX(Cond_Table,0,2)&gt;=INDEX(INDEX(Cond_Table,0,2),MATCH(INDEX(INDEX(EGC_Table,0,IF(Cfg_BranchMat="Cu",2,3)),MATCH(TRUE,INDEX(EGC_Table,0,1)&gt;=$F39,0)),Cond_Size,0))*INDEX(INDEX(Cond_Table,0,2),$AX39)/INDEX(INDEX(Cond_Table,0,2),MAX(Min_Cond_Pos,MATCH(TRUE,INDEX(Cond_Table,0,IF($AV39&lt;=100,BranchCol60,BranchAmpCol))&gt;=$AV39/MAX(1,$BF39),0))),0))))&amp;"G",""))</f>
        <v/>
      </c>
      <c r="M39" s="457"/>
      <c r="N39" s="458"/>
      <c r="O39" s="458"/>
      <c r="P39" s="458"/>
      <c r="Q39" s="458"/>
      <c r="R39" s="229"/>
      <c r="S39" s="248" t="str">
        <f t="shared" si="11"/>
        <v/>
      </c>
      <c r="T39" s="248" t="str">
        <f>IF($S39="","",ROUND($S39*IF($R39&gt;=$H$25,$H$26,$H$27),1))</f>
        <v/>
      </c>
      <c r="U39" s="459" t="str" cm="1">
        <f t="array" ref="U39">IF($S39="","",IF($R39&gt;=$H$25,(NECREF("430.32")&amp;"(A)(1) @ ")&amp;TEXT($H$26,"0%"),(NECREF("430.32")&amp;"(A)(1) @ ")&amp;TEXT($H$27,"0%")))</f>
        <v/>
      </c>
      <c r="V39" s="458"/>
      <c r="W39" s="458"/>
      <c r="X39" s="458"/>
      <c r="Y39" s="458"/>
      <c r="Z39" s="458"/>
      <c r="AA39" s="458"/>
      <c r="AB39" s="458"/>
      <c r="AC39" s="230"/>
      <c r="AD39" s="413"/>
      <c r="AE39" s="10"/>
      <c r="AF39" s="214"/>
      <c r="AG39" s="215"/>
      <c r="AH39" s="215"/>
      <c r="AI39" s="215"/>
      <c r="AJ39" s="215"/>
      <c r="AK39" s="215"/>
      <c r="AL39" s="215"/>
      <c r="AM39" s="215"/>
      <c r="AN39" s="216"/>
      <c r="AP39" s="31">
        <f t="shared" si="1"/>
        <v>0</v>
      </c>
      <c r="AQ39" s="415">
        <f t="shared" si="2"/>
        <v>0</v>
      </c>
      <c r="AR39" s="31" t="str">
        <f t="shared" si="3"/>
        <v>NONE</v>
      </c>
      <c r="AS39" s="31" t="str">
        <f t="shared" si="4"/>
        <v/>
      </c>
      <c r="AT39" s="526">
        <f t="shared" si="5"/>
        <v>0</v>
      </c>
      <c r="AU39" s="415">
        <f t="shared" si="6"/>
        <v>0</v>
      </c>
      <c r="AV39" s="415">
        <f t="shared" si="12"/>
        <v>0</v>
      </c>
      <c r="AW39" s="415">
        <f t="shared" si="13"/>
        <v>0</v>
      </c>
      <c r="AX39" s="31" cm="1">
        <f t="array" ref="AX39">IF($AV39&lt;=0,0,IFERROR(_xlfn.LET(_xlpm.n,MAX(1,$BF39),_xlpm.i,$AV39/_xlpm.n,MIN(Max_Cond_Pos,MAX(Min_Cond_Pos,IF(_xlpm.n&gt;1,Par_Min_Pos,1),MATCH(TRUE,INDEX(Cond_Table,0,IF(_xlpm.i&lt;=100,BranchCol60,BranchAmpCol))&gt;=_xlpm.i,0),IF(OR(Tog_VD&lt;&gt;"ON",$J39=0,$J39="",$AS39=0),0,MATCH(TRUE,INDEX(Cond_Table,0,2)&gt;=IF($E39=3,SQRT3,2)*BranchK*$AU39*$J39/($BH$22*$AS39*_xlpm.n),0))))),0))</f>
        <v>0</v>
      </c>
      <c r="AY39" s="415">
        <f t="shared" si="7"/>
        <v>0</v>
      </c>
      <c r="AZ39" s="31">
        <f t="shared" si="14"/>
        <v>0</v>
      </c>
      <c r="BA39" s="415">
        <f t="shared" si="8"/>
        <v>0</v>
      </c>
      <c r="BB39" s="415">
        <f t="shared" si="9"/>
        <v>0</v>
      </c>
      <c r="BC39" s="415">
        <f t="shared" si="10"/>
        <v>0</v>
      </c>
      <c r="BD39" s="31"/>
      <c r="BE39" s="31">
        <v>0</v>
      </c>
      <c r="BF39" s="563" cm="1">
        <f t="array" ref="BF39">IF($AV39&lt;=0,0,IFERROR(_xlfn.LET(_xlpm.col,IF($AV39&lt;=100,BranchCol60,BranchAmpCol),_xlpm.nA,ROUNDUP($AV39/INDEX(Cond_Table,Max_Cond_Pos,_xlpm.col),0),_xlpm.cm,IF(OR(Tog_VD&lt;&gt;"ON",$J39=0,$J39="",$AS39=0),0,IF($E39=3,SQRT3,2)*BranchK*$AU39*$J39/($BH$22*$AS39)),_xlpm.nV,ROUNDUP(_xlpm.cm/INDEX(Cond_Table,Max_Cond_Pos,2),0),MAX(1,_xlpm.nA,_xlpm.nV)),1))</f>
        <v>0</v>
      </c>
      <c r="BG39" s="31"/>
      <c r="BH39" s="527">
        <f>MAX(0,_xlfn.MAXIFS($H$33:$H$52,$AP$33:$AP$52,1))</f>
        <v>0</v>
      </c>
      <c r="BJ39" s="31" t="s">
        <v>1188</v>
      </c>
      <c r="BK39" s="31" t="s">
        <v>1175</v>
      </c>
      <c r="BL39" s="31"/>
      <c r="BM39" s="31"/>
      <c r="BN39" s="31"/>
      <c r="BO39" s="31"/>
    </row>
    <row r="40" spans="2:67" ht="15" customHeight="1" x14ac:dyDescent="0.45">
      <c r="B40" s="410">
        <f>ROW()-32</f>
        <v>8</v>
      </c>
      <c r="C40" s="663"/>
      <c r="D40" s="664"/>
      <c r="E40" s="411"/>
      <c r="F40" s="16" t="str" cm="1">
        <f t="array" ref="F40">IF($BE40=1,"-",IF($G40="Spare",IF($BD40&lt;&gt;"",$BD40,20),IF(OR($G40="",$G40="Space",$AW40&lt;=0),"",IFERROR(INDEX(OCPD_List,MATCH($AW40,OCPD_List,1)+IF(INDEX(OCPD_List,MATCH($AW40,OCPD_List,1))&gt;=$AW40,0,1)),15))))</f>
        <v/>
      </c>
      <c r="G40" s="412" t="str" cm="1">
        <f t="array" ref="G40">IF($BE40=1,"-",IF(COUNT($AF40:$AN40)=0,IF(UPPER(TRIM($C40))="SPARE","Spare","Space"),IF(COUNTIF($AF40:$AN40,"&gt;0")&gt;1,"COMB",CHOOSE(MATCH(TRUE,INDEX($AF40:$AN40&lt;&gt;"",0),0),"Lighting","Receptacle","Motor","HVAC","Electric Heat","Kitchen Equip","Continuous (Other)","Non-Continuous","Panel"))))</f>
        <v>Space</v>
      </c>
      <c r="H40" s="237" t="str">
        <f t="shared" si="0"/>
        <v/>
      </c>
      <c r="I40" s="411"/>
      <c r="J40" s="411"/>
      <c r="K40" s="320" t="str" cm="1">
        <f t="array" ref="K40">IF(OR(Tog_VD&lt;&gt;"ON",$AU40=0,$AX40=0,$J40=0,$J40="",$AS40=0),"",(IF($E40=3,SQRT3,2)*BranchK*$AU40*$J40/(INDEX(INDEX(Cond_Table,0,2),$AX40)*MAX(1,$BF40)))/$AS40)</f>
        <v/>
      </c>
      <c r="L40" s="456" t="str" cm="1">
        <f t="array" ref="L40">IF(OR(Tog_Wire&lt;&gt;"ON",$AX40=0),"",IFERROR(IF($BF40&gt;1,"("&amp;$BF40&amp;") ","")&amp;"#"&amp;INDEX(Cond_Size,$AX40)&amp;" | #"&amp;INDEX(Cond_Size,MIN($AX40,MAX(Min_Cond_Pos,MATCH(TRUE,INDEX(Cond_Table,0,2)&gt;=INDEX(INDEX(Cond_Table,0,2),MATCH(INDEX(INDEX(EGC_Table,0,IF(Cfg_BranchMat="Cu",2,3)),MATCH(TRUE,INDEX(EGC_Table,0,1)&gt;=$F40,0)),Cond_Size,0))*INDEX(INDEX(Cond_Table,0,2),$AX40)/INDEX(INDEX(Cond_Table,0,2),MAX(Min_Cond_Pos,MATCH(TRUE,INDEX(Cond_Table,0,IF($AV40&lt;=100,BranchCol60,BranchAmpCol))&gt;=$AV40/MAX(1,$BF40),0))),0))))&amp;"G",""))</f>
        <v/>
      </c>
      <c r="M40" s="457"/>
      <c r="N40" s="458"/>
      <c r="O40" s="458"/>
      <c r="P40" s="458"/>
      <c r="Q40" s="458"/>
      <c r="R40" s="229"/>
      <c r="S40" s="248" t="str">
        <f t="shared" si="11"/>
        <v/>
      </c>
      <c r="T40" s="248" t="str">
        <f>IF($S40="","",ROUND($S40*IF($R40&gt;=$H$25,$H$26,$H$27),1))</f>
        <v/>
      </c>
      <c r="U40" s="459" t="str" cm="1">
        <f t="array" ref="U40">IF($S40="","",IF($R40&gt;=$H$25,(NECREF("430.32")&amp;"(A)(1) @ ")&amp;TEXT($H$26,"0%"),(NECREF("430.32")&amp;"(A)(1) @ ")&amp;TEXT($H$27,"0%")))</f>
        <v/>
      </c>
      <c r="V40" s="458"/>
      <c r="W40" s="458"/>
      <c r="X40" s="458"/>
      <c r="Y40" s="458"/>
      <c r="Z40" s="458"/>
      <c r="AA40" s="458"/>
      <c r="AB40" s="458"/>
      <c r="AC40" s="230"/>
      <c r="AD40" s="413"/>
      <c r="AE40" s="10"/>
      <c r="AF40" s="214"/>
      <c r="AG40" s="215"/>
      <c r="AH40" s="215"/>
      <c r="AI40" s="215"/>
      <c r="AJ40" s="215"/>
      <c r="AK40" s="215"/>
      <c r="AL40" s="215"/>
      <c r="AM40" s="215"/>
      <c r="AN40" s="216"/>
      <c r="AP40" s="31">
        <f t="shared" si="1"/>
        <v>0</v>
      </c>
      <c r="AQ40" s="415">
        <f t="shared" si="2"/>
        <v>0</v>
      </c>
      <c r="AR40" s="31" t="str">
        <f t="shared" si="3"/>
        <v>NONE</v>
      </c>
      <c r="AS40" s="31" t="str">
        <f t="shared" si="4"/>
        <v/>
      </c>
      <c r="AT40" s="526">
        <f t="shared" si="5"/>
        <v>0</v>
      </c>
      <c r="AU40" s="415">
        <f t="shared" si="6"/>
        <v>0</v>
      </c>
      <c r="AV40" s="415">
        <f t="shared" si="12"/>
        <v>0</v>
      </c>
      <c r="AW40" s="415">
        <f t="shared" si="13"/>
        <v>0</v>
      </c>
      <c r="AX40" s="31" cm="1">
        <f t="array" ref="AX40">IF($AV40&lt;=0,0,IFERROR(_xlfn.LET(_xlpm.n,MAX(1,$BF40),_xlpm.i,$AV40/_xlpm.n,MIN(Max_Cond_Pos,MAX(Min_Cond_Pos,IF(_xlpm.n&gt;1,Par_Min_Pos,1),MATCH(TRUE,INDEX(Cond_Table,0,IF(_xlpm.i&lt;=100,BranchCol60,BranchAmpCol))&gt;=_xlpm.i,0),IF(OR(Tog_VD&lt;&gt;"ON",$J40=0,$J40="",$AS40=0),0,MATCH(TRUE,INDEX(Cond_Table,0,2)&gt;=IF($E40=3,SQRT3,2)*BranchK*$AU40*$J40/($BH$22*$AS40*_xlpm.n),0))))),0))</f>
        <v>0</v>
      </c>
      <c r="AY40" s="415">
        <f t="shared" si="7"/>
        <v>0</v>
      </c>
      <c r="AZ40" s="31">
        <f t="shared" si="14"/>
        <v>1</v>
      </c>
      <c r="BA40" s="415">
        <f t="shared" si="8"/>
        <v>0</v>
      </c>
      <c r="BB40" s="415">
        <f t="shared" si="9"/>
        <v>0</v>
      </c>
      <c r="BC40" s="415">
        <f t="shared" si="10"/>
        <v>0</v>
      </c>
      <c r="BD40" s="31"/>
      <c r="BE40" s="31">
        <v>0</v>
      </c>
      <c r="BF40" s="563" cm="1">
        <f t="array" ref="BF40">IF($AV40&lt;=0,0,IFERROR(_xlfn.LET(_xlpm.col,IF($AV40&lt;=100,BranchCol60,BranchAmpCol),_xlpm.nA,ROUNDUP($AV40/INDEX(Cond_Table,Max_Cond_Pos,_xlpm.col),0),_xlpm.cm,IF(OR(Tog_VD&lt;&gt;"ON",$J40=0,$J40="",$AS40=0),0,IF($E40=3,SQRT3,2)*BranchK*$AU40*$J40/($BH$22*$AS40)),_xlpm.nV,ROUNDUP(_xlpm.cm/INDEX(Cond_Table,Max_Cond_Pos,2),0),MAX(1,_xlpm.nA,_xlpm.nV)),1))</f>
        <v>0</v>
      </c>
      <c r="BG40" s="235" t="s">
        <v>1864</v>
      </c>
      <c r="BH40" s="241" t="str" cm="1">
        <f t="array" ref="BH40">_xlfn.LET(_xlpm.study,IFERROR(_xlfn.XLOOKUP($D$5,'Short Circuit'!$A$6:$A$255,'Short Circuit'!$Q$6:$Q$255),""),_xlpm.worst,MAX(IF(ISNUMBER($H$6),$H$6,0),IF(ISNUMBER(_xlpm.study),_xlpm.study,0))/1000,IF(_xlpm.worst&lt;=0,"",IFERROR(INDEX(Brace_List,MATCH(TRUE,INDEX(Brace_List&gt;=_xlpm.worst,0),0)),"&gt;"&amp;MAX(Brace_List))))</f>
        <v/>
      </c>
      <c r="BJ40" s="31" t="s">
        <v>1189</v>
      </c>
      <c r="BK40" s="31" t="s">
        <v>1215</v>
      </c>
      <c r="BL40" s="31"/>
      <c r="BM40" s="31"/>
      <c r="BN40" s="31"/>
      <c r="BO40" s="31"/>
    </row>
    <row r="41" spans="2:67" ht="15" customHeight="1" x14ac:dyDescent="0.45">
      <c r="B41" s="410">
        <f>ROW()-32</f>
        <v>9</v>
      </c>
      <c r="C41" s="663"/>
      <c r="D41" s="664"/>
      <c r="E41" s="411"/>
      <c r="F41" s="16" t="str" cm="1">
        <f t="array" ref="F41">IF($BE41=1,"-",IF($G41="Spare",IF($BD41&lt;&gt;"",$BD41,20),IF(OR($G41="",$G41="Space",$AW41&lt;=0),"",IFERROR(INDEX(OCPD_List,MATCH($AW41,OCPD_List,1)+IF(INDEX(OCPD_List,MATCH($AW41,OCPD_List,1))&gt;=$AW41,0,1)),15))))</f>
        <v/>
      </c>
      <c r="G41" s="412" t="str" cm="1">
        <f t="array" ref="G41">IF($BE41=1,"-",IF(COUNT($AF41:$AN41)=0,IF(UPPER(TRIM($C41))="SPARE","Spare","Space"),IF(COUNTIF($AF41:$AN41,"&gt;0")&gt;1,"COMB",CHOOSE(MATCH(TRUE,INDEX($AF41:$AN41&lt;&gt;"",0),0),"Lighting","Receptacle","Motor","HVAC","Electric Heat","Kitchen Equip","Continuous (Other)","Non-Continuous","Panel"))))</f>
        <v>Space</v>
      </c>
      <c r="H41" s="237" t="str">
        <f t="shared" si="0"/>
        <v/>
      </c>
      <c r="I41" s="411"/>
      <c r="J41" s="411"/>
      <c r="K41" s="320" t="str" cm="1">
        <f t="array" ref="K41">IF(OR(Tog_VD&lt;&gt;"ON",$AU41=0,$AX41=0,$J41=0,$J41="",$AS41=0),"",(IF($E41=3,SQRT3,2)*BranchK*$AU41*$J41/(INDEX(INDEX(Cond_Table,0,2),$AX41)*MAX(1,$BF41)))/$AS41)</f>
        <v/>
      </c>
      <c r="L41" s="456" t="str" cm="1">
        <f t="array" ref="L41">IF(OR(Tog_Wire&lt;&gt;"ON",$AX41=0),"",IFERROR(IF($BF41&gt;1,"("&amp;$BF41&amp;") ","")&amp;"#"&amp;INDEX(Cond_Size,$AX41)&amp;" | #"&amp;INDEX(Cond_Size,MIN($AX41,MAX(Min_Cond_Pos,MATCH(TRUE,INDEX(Cond_Table,0,2)&gt;=INDEX(INDEX(Cond_Table,0,2),MATCH(INDEX(INDEX(EGC_Table,0,IF(Cfg_BranchMat="Cu",2,3)),MATCH(TRUE,INDEX(EGC_Table,0,1)&gt;=$F41,0)),Cond_Size,0))*INDEX(INDEX(Cond_Table,0,2),$AX41)/INDEX(INDEX(Cond_Table,0,2),MAX(Min_Cond_Pos,MATCH(TRUE,INDEX(Cond_Table,0,IF($AV41&lt;=100,BranchCol60,BranchAmpCol))&gt;=$AV41/MAX(1,$BF41),0))),0))))&amp;"G",""))</f>
        <v/>
      </c>
      <c r="M41" s="457"/>
      <c r="N41" s="458"/>
      <c r="O41" s="458"/>
      <c r="P41" s="458"/>
      <c r="Q41" s="458"/>
      <c r="R41" s="229"/>
      <c r="S41" s="248" t="str">
        <f t="shared" si="11"/>
        <v/>
      </c>
      <c r="T41" s="248" t="str">
        <f>IF($S41="","",ROUND($S41*IF($R41&gt;=$H$25,$H$26,$H$27),1))</f>
        <v/>
      </c>
      <c r="U41" s="459" t="str" cm="1">
        <f t="array" ref="U41">IF($S41="","",IF($R41&gt;=$H$25,(NECREF("430.32")&amp;"(A)(1) @ ")&amp;TEXT($H$26,"0%"),(NECREF("430.32")&amp;"(A)(1) @ ")&amp;TEXT($H$27,"0%")))</f>
        <v/>
      </c>
      <c r="V41" s="458"/>
      <c r="W41" s="458"/>
      <c r="X41" s="458"/>
      <c r="Y41" s="458"/>
      <c r="Z41" s="458"/>
      <c r="AA41" s="458"/>
      <c r="AB41" s="458"/>
      <c r="AC41" s="230"/>
      <c r="AD41" s="413"/>
      <c r="AE41" s="10"/>
      <c r="AF41" s="214"/>
      <c r="AG41" s="215"/>
      <c r="AH41" s="215"/>
      <c r="AI41" s="215"/>
      <c r="AJ41" s="215"/>
      <c r="AK41" s="215"/>
      <c r="AL41" s="215"/>
      <c r="AM41" s="215"/>
      <c r="AN41" s="216"/>
      <c r="AP41" s="31">
        <f t="shared" si="1"/>
        <v>0</v>
      </c>
      <c r="AQ41" s="415">
        <f t="shared" si="2"/>
        <v>0</v>
      </c>
      <c r="AR41" s="31" t="str">
        <f t="shared" si="3"/>
        <v>NONE</v>
      </c>
      <c r="AS41" s="31" t="str">
        <f t="shared" si="4"/>
        <v/>
      </c>
      <c r="AT41" s="526">
        <f t="shared" si="5"/>
        <v>0</v>
      </c>
      <c r="AU41" s="415">
        <f t="shared" si="6"/>
        <v>0</v>
      </c>
      <c r="AV41" s="415">
        <f t="shared" si="12"/>
        <v>0</v>
      </c>
      <c r="AW41" s="415">
        <f t="shared" si="13"/>
        <v>0</v>
      </c>
      <c r="AX41" s="31" cm="1">
        <f t="array" ref="AX41">IF($AV41&lt;=0,0,IFERROR(_xlfn.LET(_xlpm.n,MAX(1,$BF41),_xlpm.i,$AV41/_xlpm.n,MIN(Max_Cond_Pos,MAX(Min_Cond_Pos,IF(_xlpm.n&gt;1,Par_Min_Pos,1),MATCH(TRUE,INDEX(Cond_Table,0,IF(_xlpm.i&lt;=100,BranchCol60,BranchAmpCol))&gt;=_xlpm.i,0),IF(OR(Tog_VD&lt;&gt;"ON",$J41=0,$J41="",$AS41=0),0,MATCH(TRUE,INDEX(Cond_Table,0,2)&gt;=IF($E41=3,SQRT3,2)*BranchK*$AU41*$J41/($BH$22*$AS41*_xlpm.n),0))))),0))</f>
        <v>0</v>
      </c>
      <c r="AY41" s="415">
        <f t="shared" si="7"/>
        <v>0</v>
      </c>
      <c r="AZ41" s="31">
        <f t="shared" si="14"/>
        <v>2</v>
      </c>
      <c r="BA41" s="415">
        <f t="shared" si="8"/>
        <v>0</v>
      </c>
      <c r="BB41" s="415">
        <f t="shared" si="9"/>
        <v>0</v>
      </c>
      <c r="BC41" s="415">
        <f t="shared" si="10"/>
        <v>0</v>
      </c>
      <c r="BD41" s="31"/>
      <c r="BE41" s="31">
        <v>0</v>
      </c>
      <c r="BF41" s="563" cm="1">
        <f t="array" ref="BF41">IF($AV41&lt;=0,0,IFERROR(_xlfn.LET(_xlpm.col,IF($AV41&lt;=100,BranchCol60,BranchAmpCol),_xlpm.nA,ROUNDUP($AV41/INDEX(Cond_Table,Max_Cond_Pos,_xlpm.col),0),_xlpm.cm,IF(OR(Tog_VD&lt;&gt;"ON",$J41=0,$J41="",$AS41=0),0,IF($E41=3,SQRT3,2)*BranchK*$AU41*$J41/($BH$22*$AS41)),_xlpm.nV,ROUNDUP(_xlpm.cm/INDEX(Cond_Table,Max_Cond_Pos,2),0),MAX(1,_xlpm.nA,_xlpm.nV)),1))</f>
        <v>0</v>
      </c>
      <c r="BG41" s="235" t="s">
        <v>1865</v>
      </c>
      <c r="BH41" s="538" t="str" cm="1">
        <f t="array" ref="BH41">IF(N($D$12)&lt;=0,"",IFERROR(INDEX(Bus_List,MATCH(TRUE,INDEX(Bus_List&gt;=$D$12,0),0)),"&gt;"&amp;MAX(Bus_List)))</f>
        <v/>
      </c>
      <c r="BJ41" s="31"/>
      <c r="BK41" s="31"/>
      <c r="BL41" s="31"/>
      <c r="BM41" s="31"/>
      <c r="BN41" s="31"/>
      <c r="BO41" s="31"/>
    </row>
    <row r="42" spans="2:67" ht="15" customHeight="1" x14ac:dyDescent="0.45">
      <c r="B42" s="410">
        <f>ROW()-32</f>
        <v>10</v>
      </c>
      <c r="C42" s="663"/>
      <c r="D42" s="664"/>
      <c r="E42" s="411"/>
      <c r="F42" s="16" t="str" cm="1">
        <f t="array" ref="F42">IF($BE42=1,"-",IF($G42="Spare",IF($BD42&lt;&gt;"",$BD42,20),IF(OR($G42="",$G42="Space",$AW42&lt;=0),"",IFERROR(INDEX(OCPD_List,MATCH($AW42,OCPD_List,1)+IF(INDEX(OCPD_List,MATCH($AW42,OCPD_List,1))&gt;=$AW42,0,1)),15))))</f>
        <v/>
      </c>
      <c r="G42" s="412" t="str" cm="1">
        <f t="array" ref="G42">IF($BE42=1,"-",IF(COUNT($AF42:$AN42)=0,IF(UPPER(TRIM($C42))="SPARE","Spare","Space"),IF(COUNTIF($AF42:$AN42,"&gt;0")&gt;1,"COMB",CHOOSE(MATCH(TRUE,INDEX($AF42:$AN42&lt;&gt;"",0),0),"Lighting","Receptacle","Motor","HVAC","Electric Heat","Kitchen Equip","Continuous (Other)","Non-Continuous","Panel"))))</f>
        <v>Space</v>
      </c>
      <c r="H42" s="237" t="str">
        <f t="shared" si="0"/>
        <v/>
      </c>
      <c r="I42" s="411"/>
      <c r="J42" s="411"/>
      <c r="K42" s="320" t="str" cm="1">
        <f t="array" ref="K42">IF(OR(Tog_VD&lt;&gt;"ON",$AU42=0,$AX42=0,$J42=0,$J42="",$AS42=0),"",(IF($E42=3,SQRT3,2)*BranchK*$AU42*$J42/(INDEX(INDEX(Cond_Table,0,2),$AX42)*MAX(1,$BF42)))/$AS42)</f>
        <v/>
      </c>
      <c r="L42" s="456" t="str" cm="1">
        <f t="array" ref="L42">IF(OR(Tog_Wire&lt;&gt;"ON",$AX42=0),"",IFERROR(IF($BF42&gt;1,"("&amp;$BF42&amp;") ","")&amp;"#"&amp;INDEX(Cond_Size,$AX42)&amp;" | #"&amp;INDEX(Cond_Size,MIN($AX42,MAX(Min_Cond_Pos,MATCH(TRUE,INDEX(Cond_Table,0,2)&gt;=INDEX(INDEX(Cond_Table,0,2),MATCH(INDEX(INDEX(EGC_Table,0,IF(Cfg_BranchMat="Cu",2,3)),MATCH(TRUE,INDEX(EGC_Table,0,1)&gt;=$F42,0)),Cond_Size,0))*INDEX(INDEX(Cond_Table,0,2),$AX42)/INDEX(INDEX(Cond_Table,0,2),MAX(Min_Cond_Pos,MATCH(TRUE,INDEX(Cond_Table,0,IF($AV42&lt;=100,BranchCol60,BranchAmpCol))&gt;=$AV42/MAX(1,$BF42),0))),0))))&amp;"G",""))</f>
        <v/>
      </c>
      <c r="M42" s="457"/>
      <c r="N42" s="458"/>
      <c r="O42" s="458"/>
      <c r="P42" s="458"/>
      <c r="Q42" s="458"/>
      <c r="R42" s="229"/>
      <c r="S42" s="248" t="str">
        <f t="shared" si="11"/>
        <v/>
      </c>
      <c r="T42" s="248" t="str">
        <f>IF($S42="","",ROUND($S42*IF($R42&gt;=$H$25,$H$26,$H$27),1))</f>
        <v/>
      </c>
      <c r="U42" s="459" t="str" cm="1">
        <f t="array" ref="U42">IF($S42="","",IF($R42&gt;=$H$25,(NECREF("430.32")&amp;"(A)(1) @ ")&amp;TEXT($H$26,"0%"),(NECREF("430.32")&amp;"(A)(1) @ ")&amp;TEXT($H$27,"0%")))</f>
        <v/>
      </c>
      <c r="V42" s="458"/>
      <c r="W42" s="458"/>
      <c r="X42" s="458"/>
      <c r="Y42" s="458"/>
      <c r="Z42" s="458"/>
      <c r="AA42" s="458"/>
      <c r="AB42" s="458"/>
      <c r="AC42" s="230"/>
      <c r="AD42" s="413"/>
      <c r="AE42" s="10"/>
      <c r="AF42" s="214"/>
      <c r="AG42" s="215"/>
      <c r="AH42" s="215"/>
      <c r="AI42" s="215"/>
      <c r="AJ42" s="215"/>
      <c r="AK42" s="215"/>
      <c r="AL42" s="215"/>
      <c r="AM42" s="215"/>
      <c r="AN42" s="216"/>
      <c r="AP42" s="31">
        <f t="shared" si="1"/>
        <v>0</v>
      </c>
      <c r="AQ42" s="415">
        <f t="shared" si="2"/>
        <v>0</v>
      </c>
      <c r="AR42" s="31" t="str">
        <f t="shared" si="3"/>
        <v>NONE</v>
      </c>
      <c r="AS42" s="31" t="str">
        <f t="shared" si="4"/>
        <v/>
      </c>
      <c r="AT42" s="526">
        <f t="shared" si="5"/>
        <v>0</v>
      </c>
      <c r="AU42" s="415">
        <f t="shared" si="6"/>
        <v>0</v>
      </c>
      <c r="AV42" s="415">
        <f t="shared" si="12"/>
        <v>0</v>
      </c>
      <c r="AW42" s="415">
        <f t="shared" si="13"/>
        <v>0</v>
      </c>
      <c r="AX42" s="31" cm="1">
        <f t="array" ref="AX42">IF($AV42&lt;=0,0,IFERROR(_xlfn.LET(_xlpm.n,MAX(1,$BF42),_xlpm.i,$AV42/_xlpm.n,MIN(Max_Cond_Pos,MAX(Min_Cond_Pos,IF(_xlpm.n&gt;1,Par_Min_Pos,1),MATCH(TRUE,INDEX(Cond_Table,0,IF(_xlpm.i&lt;=100,BranchCol60,BranchAmpCol))&gt;=_xlpm.i,0),IF(OR(Tog_VD&lt;&gt;"ON",$J42=0,$J42="",$AS42=0),0,MATCH(TRUE,INDEX(Cond_Table,0,2)&gt;=IF($E42=3,SQRT3,2)*BranchK*$AU42*$J42/($BH$22*$AS42*_xlpm.n),0))))),0))</f>
        <v>0</v>
      </c>
      <c r="AY42" s="415">
        <f t="shared" si="7"/>
        <v>0</v>
      </c>
      <c r="AZ42" s="31">
        <f t="shared" si="14"/>
        <v>0</v>
      </c>
      <c r="BA42" s="415">
        <f t="shared" si="8"/>
        <v>0</v>
      </c>
      <c r="BB42" s="415">
        <f t="shared" si="9"/>
        <v>0</v>
      </c>
      <c r="BC42" s="415">
        <f t="shared" si="10"/>
        <v>0</v>
      </c>
      <c r="BD42" s="31"/>
      <c r="BE42" s="31">
        <v>0</v>
      </c>
      <c r="BF42" s="563" cm="1">
        <f t="array" ref="BF42">IF($AV42&lt;=0,0,IFERROR(_xlfn.LET(_xlpm.col,IF($AV42&lt;=100,BranchCol60,BranchAmpCol),_xlpm.nA,ROUNDUP($AV42/INDEX(Cond_Table,Max_Cond_Pos,_xlpm.col),0),_xlpm.cm,IF(OR(Tog_VD&lt;&gt;"ON",$J42=0,$J42="",$AS42=0),0,IF($E42=3,SQRT3,2)*BranchK*$AU42*$J42/($BH$22*$AS42)),_xlpm.nV,ROUNDUP(_xlpm.cm/INDEX(Cond_Table,Max_Cond_Pos,2),0),MAX(1,_xlpm.nA,_xlpm.nV)),1))</f>
        <v>0</v>
      </c>
      <c r="BG42" s="235" t="s">
        <v>1874</v>
      </c>
      <c r="BH42" s="541">
        <f>$K$7+$BV$25</f>
        <v>0</v>
      </c>
    </row>
    <row r="43" spans="2:67" ht="15" customHeight="1" x14ac:dyDescent="0.45">
      <c r="B43" s="410">
        <f>ROW()-32</f>
        <v>11</v>
      </c>
      <c r="C43" s="663"/>
      <c r="D43" s="664"/>
      <c r="E43" s="411"/>
      <c r="F43" s="16" t="str" cm="1">
        <f t="array" ref="F43">IF($BE43=1,"-",IF($G43="Spare",IF($BD43&lt;&gt;"",$BD43,20),IF(OR($G43="",$G43="Space",$AW43&lt;=0),"",IFERROR(INDEX(OCPD_List,MATCH($AW43,OCPD_List,1)+IF(INDEX(OCPD_List,MATCH($AW43,OCPD_List,1))&gt;=$AW43,0,1)),15))))</f>
        <v/>
      </c>
      <c r="G43" s="412" t="str" cm="1">
        <f t="array" ref="G43">IF($BE43=1,"-",IF(COUNT($AF43:$AN43)=0,IF(UPPER(TRIM($C43))="SPARE","Spare","Space"),IF(COUNTIF($AF43:$AN43,"&gt;0")&gt;1,"COMB",CHOOSE(MATCH(TRUE,INDEX($AF43:$AN43&lt;&gt;"",0),0),"Lighting","Receptacle","Motor","HVAC","Electric Heat","Kitchen Equip","Continuous (Other)","Non-Continuous","Panel"))))</f>
        <v>Space</v>
      </c>
      <c r="H43" s="237" t="str">
        <f t="shared" si="0"/>
        <v/>
      </c>
      <c r="I43" s="411"/>
      <c r="J43" s="411"/>
      <c r="K43" s="320" t="str" cm="1">
        <f t="array" ref="K43">IF(OR(Tog_VD&lt;&gt;"ON",$AU43=0,$AX43=0,$J43=0,$J43="",$AS43=0),"",(IF($E43=3,SQRT3,2)*BranchK*$AU43*$J43/(INDEX(INDEX(Cond_Table,0,2),$AX43)*MAX(1,$BF43)))/$AS43)</f>
        <v/>
      </c>
      <c r="L43" s="456" t="str" cm="1">
        <f t="array" ref="L43">IF(OR(Tog_Wire&lt;&gt;"ON",$AX43=0),"",IFERROR(IF($BF43&gt;1,"("&amp;$BF43&amp;") ","")&amp;"#"&amp;INDEX(Cond_Size,$AX43)&amp;" | #"&amp;INDEX(Cond_Size,MIN($AX43,MAX(Min_Cond_Pos,MATCH(TRUE,INDEX(Cond_Table,0,2)&gt;=INDEX(INDEX(Cond_Table,0,2),MATCH(INDEX(INDEX(EGC_Table,0,IF(Cfg_BranchMat="Cu",2,3)),MATCH(TRUE,INDEX(EGC_Table,0,1)&gt;=$F43,0)),Cond_Size,0))*INDEX(INDEX(Cond_Table,0,2),$AX43)/INDEX(INDEX(Cond_Table,0,2),MAX(Min_Cond_Pos,MATCH(TRUE,INDEX(Cond_Table,0,IF($AV43&lt;=100,BranchCol60,BranchAmpCol))&gt;=$AV43/MAX(1,$BF43),0))),0))))&amp;"G",""))</f>
        <v/>
      </c>
      <c r="M43" s="457"/>
      <c r="N43" s="458"/>
      <c r="O43" s="458"/>
      <c r="P43" s="458"/>
      <c r="Q43" s="458"/>
      <c r="R43" s="229"/>
      <c r="S43" s="248" t="str">
        <f t="shared" si="11"/>
        <v/>
      </c>
      <c r="T43" s="248" t="str">
        <f>IF($S43="","",ROUND($S43*IF($R43&gt;=$H$25,$H$26,$H$27),1))</f>
        <v/>
      </c>
      <c r="U43" s="459" t="str" cm="1">
        <f t="array" ref="U43">IF($S43="","",IF($R43&gt;=$H$25,(NECREF("430.32")&amp;"(A)(1) @ ")&amp;TEXT($H$26,"0%"),(NECREF("430.32")&amp;"(A)(1) @ ")&amp;TEXT($H$27,"0%")))</f>
        <v/>
      </c>
      <c r="V43" s="458"/>
      <c r="W43" s="458"/>
      <c r="X43" s="458"/>
      <c r="Y43" s="458"/>
      <c r="Z43" s="458"/>
      <c r="AA43" s="458"/>
      <c r="AB43" s="458"/>
      <c r="AC43" s="230"/>
      <c r="AD43" s="413"/>
      <c r="AE43" s="10"/>
      <c r="AF43" s="214"/>
      <c r="AG43" s="215"/>
      <c r="AH43" s="215"/>
      <c r="AI43" s="215"/>
      <c r="AJ43" s="215"/>
      <c r="AK43" s="215"/>
      <c r="AL43" s="215"/>
      <c r="AM43" s="215"/>
      <c r="AN43" s="216"/>
      <c r="AP43" s="31">
        <f t="shared" si="1"/>
        <v>0</v>
      </c>
      <c r="AQ43" s="415">
        <f t="shared" si="2"/>
        <v>0</v>
      </c>
      <c r="AR43" s="31" t="str">
        <f t="shared" si="3"/>
        <v>NONE</v>
      </c>
      <c r="AS43" s="31" t="str">
        <f t="shared" si="4"/>
        <v/>
      </c>
      <c r="AT43" s="526">
        <f t="shared" si="5"/>
        <v>0</v>
      </c>
      <c r="AU43" s="415">
        <f t="shared" si="6"/>
        <v>0</v>
      </c>
      <c r="AV43" s="415">
        <f t="shared" si="12"/>
        <v>0</v>
      </c>
      <c r="AW43" s="415">
        <f t="shared" si="13"/>
        <v>0</v>
      </c>
      <c r="AX43" s="31" cm="1">
        <f t="array" ref="AX43">IF($AV43&lt;=0,0,IFERROR(_xlfn.LET(_xlpm.n,MAX(1,$BF43),_xlpm.i,$AV43/_xlpm.n,MIN(Max_Cond_Pos,MAX(Min_Cond_Pos,IF(_xlpm.n&gt;1,Par_Min_Pos,1),MATCH(TRUE,INDEX(Cond_Table,0,IF(_xlpm.i&lt;=100,BranchCol60,BranchAmpCol))&gt;=_xlpm.i,0),IF(OR(Tog_VD&lt;&gt;"ON",$J43=0,$J43="",$AS43=0),0,MATCH(TRUE,INDEX(Cond_Table,0,2)&gt;=IF($E43=3,SQRT3,2)*BranchK*$AU43*$J43/($BH$22*$AS43*_xlpm.n),0))))),0))</f>
        <v>0</v>
      </c>
      <c r="AY43" s="415">
        <f t="shared" si="7"/>
        <v>0</v>
      </c>
      <c r="AZ43" s="31">
        <f t="shared" si="14"/>
        <v>1</v>
      </c>
      <c r="BA43" s="415">
        <f t="shared" si="8"/>
        <v>0</v>
      </c>
      <c r="BB43" s="415">
        <f t="shared" si="9"/>
        <v>0</v>
      </c>
      <c r="BC43" s="415">
        <f t="shared" si="10"/>
        <v>0</v>
      </c>
      <c r="BD43" s="31"/>
      <c r="BE43" s="31">
        <v>0</v>
      </c>
      <c r="BF43" s="563" cm="1">
        <f t="array" ref="BF43">IF($AV43&lt;=0,0,IFERROR(_xlfn.LET(_xlpm.col,IF($AV43&lt;=100,BranchCol60,BranchAmpCol),_xlpm.nA,ROUNDUP($AV43/INDEX(Cond_Table,Max_Cond_Pos,_xlpm.col),0),_xlpm.cm,IF(OR(Tog_VD&lt;&gt;"ON",$J43=0,$J43="",$AS43=0),0,IF($E43=3,SQRT3,2)*BranchK*$AU43*$J43/($BH$22*$AS43)),_xlpm.nV,ROUNDUP(_xlpm.cm/INDEX(Cond_Table,Max_Cond_Pos,2),0),MAX(1,_xlpm.nA,_xlpm.nV)),1))</f>
        <v>0</v>
      </c>
      <c r="BG43" s="235" t="s">
        <v>1875</v>
      </c>
      <c r="BH43" s="541">
        <f>MIN($BH$42,10)+MAX($BH$42-10,0)*0.5</f>
        <v>0</v>
      </c>
    </row>
    <row r="44" spans="2:67" ht="15" customHeight="1" x14ac:dyDescent="0.45">
      <c r="B44" s="410">
        <f>ROW()-32</f>
        <v>12</v>
      </c>
      <c r="C44" s="663"/>
      <c r="D44" s="664"/>
      <c r="E44" s="411"/>
      <c r="F44" s="16" t="str" cm="1">
        <f t="array" ref="F44">IF($BE44=1,"-",IF($G44="Spare",IF($BD44&lt;&gt;"",$BD44,20),IF(OR($G44="",$G44="Space",$AW44&lt;=0),"",IFERROR(INDEX(OCPD_List,MATCH($AW44,OCPD_List,1)+IF(INDEX(OCPD_List,MATCH($AW44,OCPD_List,1))&gt;=$AW44,0,1)),15))))</f>
        <v/>
      </c>
      <c r="G44" s="412" t="str" cm="1">
        <f t="array" ref="G44">IF($BE44=1,"-",IF(COUNT($AF44:$AN44)=0,IF(UPPER(TRIM($C44))="SPARE","Spare","Space"),IF(COUNTIF($AF44:$AN44,"&gt;0")&gt;1,"COMB",CHOOSE(MATCH(TRUE,INDEX($AF44:$AN44&lt;&gt;"",0),0),"Lighting","Receptacle","Motor","HVAC","Electric Heat","Kitchen Equip","Continuous (Other)","Non-Continuous","Panel"))))</f>
        <v>Space</v>
      </c>
      <c r="H44" s="237" t="str">
        <f t="shared" si="0"/>
        <v/>
      </c>
      <c r="I44" s="411"/>
      <c r="J44" s="411"/>
      <c r="K44" s="320" t="str" cm="1">
        <f t="array" ref="K44">IF(OR(Tog_VD&lt;&gt;"ON",$AU44=0,$AX44=0,$J44=0,$J44="",$AS44=0),"",(IF($E44=3,SQRT3,2)*BranchK*$AU44*$J44/(INDEX(INDEX(Cond_Table,0,2),$AX44)*MAX(1,$BF44)))/$AS44)</f>
        <v/>
      </c>
      <c r="L44" s="456" t="str" cm="1">
        <f t="array" ref="L44">IF(OR(Tog_Wire&lt;&gt;"ON",$AX44=0),"",IFERROR(IF($BF44&gt;1,"("&amp;$BF44&amp;") ","")&amp;"#"&amp;INDEX(Cond_Size,$AX44)&amp;" | #"&amp;INDEX(Cond_Size,MIN($AX44,MAX(Min_Cond_Pos,MATCH(TRUE,INDEX(Cond_Table,0,2)&gt;=INDEX(INDEX(Cond_Table,0,2),MATCH(INDEX(INDEX(EGC_Table,0,IF(Cfg_BranchMat="Cu",2,3)),MATCH(TRUE,INDEX(EGC_Table,0,1)&gt;=$F44,0)),Cond_Size,0))*INDEX(INDEX(Cond_Table,0,2),$AX44)/INDEX(INDEX(Cond_Table,0,2),MAX(Min_Cond_Pos,MATCH(TRUE,INDEX(Cond_Table,0,IF($AV44&lt;=100,BranchCol60,BranchAmpCol))&gt;=$AV44/MAX(1,$BF44),0))),0))))&amp;"G",""))</f>
        <v/>
      </c>
      <c r="M44" s="457"/>
      <c r="N44" s="458"/>
      <c r="O44" s="458"/>
      <c r="P44" s="458"/>
      <c r="Q44" s="458"/>
      <c r="R44" s="229"/>
      <c r="S44" s="248" t="str">
        <f t="shared" si="11"/>
        <v/>
      </c>
      <c r="T44" s="248" t="str">
        <f>IF($S44="","",ROUND($S44*IF($R44&gt;=$H$25,$H$26,$H$27),1))</f>
        <v/>
      </c>
      <c r="U44" s="459" t="str" cm="1">
        <f t="array" ref="U44">IF($S44="","",IF($R44&gt;=$H$25,(NECREF("430.32")&amp;"(A)(1) @ ")&amp;TEXT($H$26,"0%"),(NECREF("430.32")&amp;"(A)(1) @ ")&amp;TEXT($H$27,"0%")))</f>
        <v/>
      </c>
      <c r="V44" s="458"/>
      <c r="W44" s="458"/>
      <c r="X44" s="458"/>
      <c r="Y44" s="458"/>
      <c r="Z44" s="458"/>
      <c r="AA44" s="458"/>
      <c r="AB44" s="458"/>
      <c r="AC44" s="230"/>
      <c r="AD44" s="413"/>
      <c r="AE44" s="10"/>
      <c r="AF44" s="214"/>
      <c r="AG44" s="215"/>
      <c r="AH44" s="215"/>
      <c r="AI44" s="215"/>
      <c r="AJ44" s="215"/>
      <c r="AK44" s="215"/>
      <c r="AL44" s="215"/>
      <c r="AM44" s="215"/>
      <c r="AN44" s="216"/>
      <c r="AP44" s="31">
        <f t="shared" si="1"/>
        <v>0</v>
      </c>
      <c r="AQ44" s="415">
        <f t="shared" si="2"/>
        <v>0</v>
      </c>
      <c r="AR44" s="31" t="str">
        <f t="shared" si="3"/>
        <v>NONE</v>
      </c>
      <c r="AS44" s="31" t="str">
        <f t="shared" si="4"/>
        <v/>
      </c>
      <c r="AT44" s="526">
        <f t="shared" si="5"/>
        <v>0</v>
      </c>
      <c r="AU44" s="415">
        <f t="shared" si="6"/>
        <v>0</v>
      </c>
      <c r="AV44" s="415">
        <f t="shared" si="12"/>
        <v>0</v>
      </c>
      <c r="AW44" s="415">
        <f t="shared" si="13"/>
        <v>0</v>
      </c>
      <c r="AX44" s="31" cm="1">
        <f t="array" ref="AX44">IF($AV44&lt;=0,0,IFERROR(_xlfn.LET(_xlpm.n,MAX(1,$BF44),_xlpm.i,$AV44/_xlpm.n,MIN(Max_Cond_Pos,MAX(Min_Cond_Pos,IF(_xlpm.n&gt;1,Par_Min_Pos,1),MATCH(TRUE,INDEX(Cond_Table,0,IF(_xlpm.i&lt;=100,BranchCol60,BranchAmpCol))&gt;=_xlpm.i,0),IF(OR(Tog_VD&lt;&gt;"ON",$J44=0,$J44="",$AS44=0),0,MATCH(TRUE,INDEX(Cond_Table,0,2)&gt;=IF($E44=3,SQRT3,2)*BranchK*$AU44*$J44/($BH$22*$AS44*_xlpm.n),0))))),0))</f>
        <v>0</v>
      </c>
      <c r="AY44" s="415">
        <f t="shared" si="7"/>
        <v>0</v>
      </c>
      <c r="AZ44" s="31">
        <f t="shared" si="14"/>
        <v>2</v>
      </c>
      <c r="BA44" s="415">
        <f t="shared" si="8"/>
        <v>0</v>
      </c>
      <c r="BB44" s="415">
        <f t="shared" si="9"/>
        <v>0</v>
      </c>
      <c r="BC44" s="415">
        <f t="shared" si="10"/>
        <v>0</v>
      </c>
      <c r="BD44" s="31"/>
      <c r="BE44" s="31">
        <v>0</v>
      </c>
      <c r="BF44" s="563" cm="1">
        <f t="array" ref="BF44">IF($AV44&lt;=0,0,IFERROR(_xlfn.LET(_xlpm.col,IF($AV44&lt;=100,BranchCol60,BranchAmpCol),_xlpm.nA,ROUNDUP($AV44/INDEX(Cond_Table,Max_Cond_Pos,_xlpm.col),0),_xlpm.cm,IF(OR(Tog_VD&lt;&gt;"ON",$J44=0,$J44="",$AS44=0),0,IF($E44=3,SQRT3,2)*BranchK*$AU44*$J44/($BH$22*$AS44)),_xlpm.nV,ROUNDUP(_xlpm.cm/INDEX(Cond_Table,Max_Cond_Pos,2),0),MAX(1,_xlpm.nA,_xlpm.nV)),1))</f>
        <v>0</v>
      </c>
      <c r="BG44" s="235" t="s">
        <v>1893</v>
      </c>
      <c r="BH44" s="235" cm="1">
        <f t="array" ref="BH44">IF(OR($BH$35="",N($BH$35)&lt;=0),0,IFERROR(_xlfn.LET(_xlpm.col,IF($BH$35&lt;=100,FeederCol60,FeederAmpCol),_xlpm.nA,ROUNDUP($BH$35/INDEX(Cond_Table,Max_Cond_Pos,_xlpm.col),0),_xlpm.cm,IF(OR(Tog_VD&lt;&gt;"ON",N($H$13)=0,N($H$13)=""),0,IF($BH$33=3,SQRT3,2)*FeederK*$BH$35*N($H$13)/(Cfg_VDFeeder*$BH$31)),_xlpm.nV,ROUNDUP(_xlpm.cm/INDEX(Cond_Table,Max_Cond_Pos,2),0),MAX(1,_xlpm.nA,_xlpm.nV)),1))</f>
        <v>0</v>
      </c>
    </row>
    <row r="45" spans="2:67" ht="15" customHeight="1" x14ac:dyDescent="0.45">
      <c r="B45" s="410">
        <f>ROW()-32</f>
        <v>13</v>
      </c>
      <c r="C45" s="663"/>
      <c r="D45" s="664"/>
      <c r="E45" s="411"/>
      <c r="F45" s="16" t="str" cm="1">
        <f t="array" ref="F45">IF($BE45=1,"-",IF($G45="Spare",IF($BD45&lt;&gt;"",$BD45,20),IF(OR($G45="",$G45="Space",$AW45&lt;=0),"",IFERROR(INDEX(OCPD_List,MATCH($AW45,OCPD_List,1)+IF(INDEX(OCPD_List,MATCH($AW45,OCPD_List,1))&gt;=$AW45,0,1)),15))))</f>
        <v/>
      </c>
      <c r="G45" s="412" t="str" cm="1">
        <f t="array" ref="G45">IF($BE45=1,"-",IF(COUNT($AF45:$AN45)=0,IF(UPPER(TRIM($C45))="SPARE","Spare","Space"),IF(COUNTIF($AF45:$AN45,"&gt;0")&gt;1,"COMB",CHOOSE(MATCH(TRUE,INDEX($AF45:$AN45&lt;&gt;"",0),0),"Lighting","Receptacle","Motor","HVAC","Electric Heat","Kitchen Equip","Continuous (Other)","Non-Continuous","Panel"))))</f>
        <v>Space</v>
      </c>
      <c r="H45" s="237" t="str">
        <f t="shared" si="0"/>
        <v/>
      </c>
      <c r="I45" s="411"/>
      <c r="J45" s="411"/>
      <c r="K45" s="320" t="str" cm="1">
        <f t="array" ref="K45">IF(OR(Tog_VD&lt;&gt;"ON",$AU45=0,$AX45=0,$J45=0,$J45="",$AS45=0),"",(IF($E45=3,SQRT3,2)*BranchK*$AU45*$J45/(INDEX(INDEX(Cond_Table,0,2),$AX45)*MAX(1,$BF45)))/$AS45)</f>
        <v/>
      </c>
      <c r="L45" s="456" t="str" cm="1">
        <f t="array" ref="L45">IF(OR(Tog_Wire&lt;&gt;"ON",$AX45=0),"",IFERROR(IF($BF45&gt;1,"("&amp;$BF45&amp;") ","")&amp;"#"&amp;INDEX(Cond_Size,$AX45)&amp;" | #"&amp;INDEX(Cond_Size,MIN($AX45,MAX(Min_Cond_Pos,MATCH(TRUE,INDEX(Cond_Table,0,2)&gt;=INDEX(INDEX(Cond_Table,0,2),MATCH(INDEX(INDEX(EGC_Table,0,IF(Cfg_BranchMat="Cu",2,3)),MATCH(TRUE,INDEX(EGC_Table,0,1)&gt;=$F45,0)),Cond_Size,0))*INDEX(INDEX(Cond_Table,0,2),$AX45)/INDEX(INDEX(Cond_Table,0,2),MAX(Min_Cond_Pos,MATCH(TRUE,INDEX(Cond_Table,0,IF($AV45&lt;=100,BranchCol60,BranchAmpCol))&gt;=$AV45/MAX(1,$BF45),0))),0))))&amp;"G",""))</f>
        <v/>
      </c>
      <c r="M45" s="457"/>
      <c r="N45" s="458"/>
      <c r="O45" s="458"/>
      <c r="P45" s="458"/>
      <c r="Q45" s="458"/>
      <c r="R45" s="229"/>
      <c r="S45" s="248" t="str">
        <f t="shared" si="11"/>
        <v/>
      </c>
      <c r="T45" s="248" t="str">
        <f>IF($S45="","",ROUND($S45*IF($R45&gt;=$H$25,$H$26,$H$27),1))</f>
        <v/>
      </c>
      <c r="U45" s="459" t="str" cm="1">
        <f t="array" ref="U45">IF($S45="","",IF($R45&gt;=$H$25,(NECREF("430.32")&amp;"(A)(1) @ ")&amp;TEXT($H$26,"0%"),(NECREF("430.32")&amp;"(A)(1) @ ")&amp;TEXT($H$27,"0%")))</f>
        <v/>
      </c>
      <c r="V45" s="458"/>
      <c r="W45" s="458"/>
      <c r="X45" s="458"/>
      <c r="Y45" s="458"/>
      <c r="Z45" s="458"/>
      <c r="AA45" s="458"/>
      <c r="AB45" s="458"/>
      <c r="AC45" s="230"/>
      <c r="AD45" s="413"/>
      <c r="AE45" s="10"/>
      <c r="AF45" s="214"/>
      <c r="AG45" s="215"/>
      <c r="AH45" s="215"/>
      <c r="AI45" s="215"/>
      <c r="AJ45" s="215"/>
      <c r="AK45" s="215"/>
      <c r="AL45" s="215"/>
      <c r="AM45" s="215"/>
      <c r="AN45" s="216"/>
      <c r="AP45" s="31">
        <f t="shared" si="1"/>
        <v>0</v>
      </c>
      <c r="AQ45" s="415">
        <f t="shared" si="2"/>
        <v>0</v>
      </c>
      <c r="AR45" s="31" t="str">
        <f t="shared" si="3"/>
        <v>NONE</v>
      </c>
      <c r="AS45" s="31" t="str">
        <f t="shared" si="4"/>
        <v/>
      </c>
      <c r="AT45" s="526">
        <f t="shared" si="5"/>
        <v>0</v>
      </c>
      <c r="AU45" s="415">
        <f t="shared" si="6"/>
        <v>0</v>
      </c>
      <c r="AV45" s="415">
        <f t="shared" si="12"/>
        <v>0</v>
      </c>
      <c r="AW45" s="415">
        <f t="shared" si="13"/>
        <v>0</v>
      </c>
      <c r="AX45" s="31" cm="1">
        <f t="array" ref="AX45">IF($AV45&lt;=0,0,IFERROR(_xlfn.LET(_xlpm.n,MAX(1,$BF45),_xlpm.i,$AV45/_xlpm.n,MIN(Max_Cond_Pos,MAX(Min_Cond_Pos,IF(_xlpm.n&gt;1,Par_Min_Pos,1),MATCH(TRUE,INDEX(Cond_Table,0,IF(_xlpm.i&lt;=100,BranchCol60,BranchAmpCol))&gt;=_xlpm.i,0),IF(OR(Tog_VD&lt;&gt;"ON",$J45=0,$J45="",$AS45=0),0,MATCH(TRUE,INDEX(Cond_Table,0,2)&gt;=IF($E45=3,SQRT3,2)*BranchK*$AU45*$J45/($BH$22*$AS45*_xlpm.n),0))))),0))</f>
        <v>0</v>
      </c>
      <c r="AY45" s="415">
        <f t="shared" si="7"/>
        <v>0</v>
      </c>
      <c r="AZ45" s="31">
        <f t="shared" si="14"/>
        <v>0</v>
      </c>
      <c r="BA45" s="415">
        <f t="shared" si="8"/>
        <v>0</v>
      </c>
      <c r="BB45" s="415">
        <f t="shared" si="9"/>
        <v>0</v>
      </c>
      <c r="BC45" s="415">
        <f t="shared" si="10"/>
        <v>0</v>
      </c>
      <c r="BD45" s="31"/>
      <c r="BE45" s="31">
        <v>0</v>
      </c>
      <c r="BF45" s="563" cm="1">
        <f t="array" ref="BF45">IF($AV45&lt;=0,0,IFERROR(_xlfn.LET(_xlpm.col,IF($AV45&lt;=100,BranchCol60,BranchAmpCol),_xlpm.nA,ROUNDUP($AV45/INDEX(Cond_Table,Max_Cond_Pos,_xlpm.col),0),_xlpm.cm,IF(OR(Tog_VD&lt;&gt;"ON",$J45=0,$J45="",$AS45=0),0,IF($E45=3,SQRT3,2)*BranchK*$AU45*$J45/($BH$22*$AS45)),_xlpm.nV,ROUNDUP(_xlpm.cm/INDEX(Cond_Table,Max_Cond_Pos,2),0),MAX(1,_xlpm.nA,_xlpm.nV)),1))</f>
        <v>0</v>
      </c>
      <c r="BG45" s="235" t="s">
        <v>1894</v>
      </c>
      <c r="BH45" s="235" cm="1">
        <f t="array" ref="BH45">_xlfn.LET(_xlpm.v,N($BH$31),_xlpm.floor,IF(_xlpm.v&gt;=380,14000,10000),_xlpm.study,IFERROR(_xlfn.XLOOKUP($D$5,'Short Circuit'!$A$6:$A$255,'Short Circuit'!$Q$6:$Q$255),""),_xlpm.worst,MAX(IF(ISNUMBER($H$6),$H$6,0),IF(ISNUMBER(_xlpm.study),_xlpm.study,0),_xlpm.floor),IFERROR(INDEX(AIC_List,MATCH(TRUE,INDEX(AIC_List&gt;=_xlpm.worst,0),0)),"&gt;"&amp;TEXT(MAX(AIC_List),"#,##0")))</f>
        <v>10000</v>
      </c>
    </row>
    <row r="46" spans="2:67" ht="15" customHeight="1" x14ac:dyDescent="0.45">
      <c r="B46" s="410">
        <f>ROW()-32</f>
        <v>14</v>
      </c>
      <c r="C46" s="663"/>
      <c r="D46" s="664"/>
      <c r="E46" s="411"/>
      <c r="F46" s="16" t="str" cm="1">
        <f t="array" ref="F46">IF($BE46=1,"-",IF($G46="Spare",IF($BD46&lt;&gt;"",$BD46,20),IF(OR($G46="",$G46="Space",$AW46&lt;=0),"",IFERROR(INDEX(OCPD_List,MATCH($AW46,OCPD_List,1)+IF(INDEX(OCPD_List,MATCH($AW46,OCPD_List,1))&gt;=$AW46,0,1)),15))))</f>
        <v/>
      </c>
      <c r="G46" s="412" t="str" cm="1">
        <f t="array" ref="G46">IF($BE46=1,"-",IF(COUNT($AF46:$AN46)=0,IF(UPPER(TRIM($C46))="SPARE","Spare","Space"),IF(COUNTIF($AF46:$AN46,"&gt;0")&gt;1,"COMB",CHOOSE(MATCH(TRUE,INDEX($AF46:$AN46&lt;&gt;"",0),0),"Lighting","Receptacle","Motor","HVAC","Electric Heat","Kitchen Equip","Continuous (Other)","Non-Continuous","Panel"))))</f>
        <v>Space</v>
      </c>
      <c r="H46" s="237" t="str">
        <f t="shared" si="0"/>
        <v/>
      </c>
      <c r="I46" s="411"/>
      <c r="J46" s="411"/>
      <c r="K46" s="320" t="str" cm="1">
        <f t="array" ref="K46">IF(OR(Tog_VD&lt;&gt;"ON",$AU46=0,$AX46=0,$J46=0,$J46="",$AS46=0),"",(IF($E46=3,SQRT3,2)*BranchK*$AU46*$J46/(INDEX(INDEX(Cond_Table,0,2),$AX46)*MAX(1,$BF46)))/$AS46)</f>
        <v/>
      </c>
      <c r="L46" s="456" t="str" cm="1">
        <f t="array" ref="L46">IF(OR(Tog_Wire&lt;&gt;"ON",$AX46=0),"",IFERROR(IF($BF46&gt;1,"("&amp;$BF46&amp;") ","")&amp;"#"&amp;INDEX(Cond_Size,$AX46)&amp;" | #"&amp;INDEX(Cond_Size,MIN($AX46,MAX(Min_Cond_Pos,MATCH(TRUE,INDEX(Cond_Table,0,2)&gt;=INDEX(INDEX(Cond_Table,0,2),MATCH(INDEX(INDEX(EGC_Table,0,IF(Cfg_BranchMat="Cu",2,3)),MATCH(TRUE,INDEX(EGC_Table,0,1)&gt;=$F46,0)),Cond_Size,0))*INDEX(INDEX(Cond_Table,0,2),$AX46)/INDEX(INDEX(Cond_Table,0,2),MAX(Min_Cond_Pos,MATCH(TRUE,INDEX(Cond_Table,0,IF($AV46&lt;=100,BranchCol60,BranchAmpCol))&gt;=$AV46/MAX(1,$BF46),0))),0))))&amp;"G",""))</f>
        <v/>
      </c>
      <c r="M46" s="457"/>
      <c r="N46" s="458"/>
      <c r="O46" s="458"/>
      <c r="P46" s="458"/>
      <c r="Q46" s="458"/>
      <c r="R46" s="229"/>
      <c r="S46" s="248" t="str">
        <f t="shared" si="11"/>
        <v/>
      </c>
      <c r="T46" s="248" t="str">
        <f>IF($S46="","",ROUND($S46*IF($R46&gt;=$H$25,$H$26,$H$27),1))</f>
        <v/>
      </c>
      <c r="U46" s="459" t="str" cm="1">
        <f t="array" ref="U46">IF($S46="","",IF($R46&gt;=$H$25,(NECREF("430.32")&amp;"(A)(1) @ ")&amp;TEXT($H$26,"0%"),(NECREF("430.32")&amp;"(A)(1) @ ")&amp;TEXT($H$27,"0%")))</f>
        <v/>
      </c>
      <c r="V46" s="458"/>
      <c r="W46" s="458"/>
      <c r="X46" s="458"/>
      <c r="Y46" s="458"/>
      <c r="Z46" s="458"/>
      <c r="AA46" s="458"/>
      <c r="AB46" s="458"/>
      <c r="AC46" s="230"/>
      <c r="AD46" s="413"/>
      <c r="AE46" s="10"/>
      <c r="AF46" s="214"/>
      <c r="AG46" s="215"/>
      <c r="AH46" s="215"/>
      <c r="AI46" s="215"/>
      <c r="AJ46" s="215"/>
      <c r="AK46" s="215"/>
      <c r="AL46" s="215"/>
      <c r="AM46" s="215"/>
      <c r="AN46" s="216"/>
      <c r="AP46" s="31">
        <f t="shared" si="1"/>
        <v>0</v>
      </c>
      <c r="AQ46" s="415">
        <f t="shared" si="2"/>
        <v>0</v>
      </c>
      <c r="AR46" s="31" t="str">
        <f t="shared" si="3"/>
        <v>NONE</v>
      </c>
      <c r="AS46" s="31" t="str">
        <f t="shared" si="4"/>
        <v/>
      </c>
      <c r="AT46" s="526">
        <f t="shared" si="5"/>
        <v>0</v>
      </c>
      <c r="AU46" s="415">
        <f t="shared" si="6"/>
        <v>0</v>
      </c>
      <c r="AV46" s="415">
        <f t="shared" si="12"/>
        <v>0</v>
      </c>
      <c r="AW46" s="415">
        <f t="shared" si="13"/>
        <v>0</v>
      </c>
      <c r="AX46" s="31" cm="1">
        <f t="array" ref="AX46">IF($AV46&lt;=0,0,IFERROR(_xlfn.LET(_xlpm.n,MAX(1,$BF46),_xlpm.i,$AV46/_xlpm.n,MIN(Max_Cond_Pos,MAX(Min_Cond_Pos,IF(_xlpm.n&gt;1,Par_Min_Pos,1),MATCH(TRUE,INDEX(Cond_Table,0,IF(_xlpm.i&lt;=100,BranchCol60,BranchAmpCol))&gt;=_xlpm.i,0),IF(OR(Tog_VD&lt;&gt;"ON",$J46=0,$J46="",$AS46=0),0,MATCH(TRUE,INDEX(Cond_Table,0,2)&gt;=IF($E46=3,SQRT3,2)*BranchK*$AU46*$J46/($BH$22*$AS46*_xlpm.n),0))))),0))</f>
        <v>0</v>
      </c>
      <c r="AY46" s="415">
        <f t="shared" si="7"/>
        <v>0</v>
      </c>
      <c r="AZ46" s="31">
        <f t="shared" si="14"/>
        <v>1</v>
      </c>
      <c r="BA46" s="415">
        <f t="shared" si="8"/>
        <v>0</v>
      </c>
      <c r="BB46" s="415">
        <f t="shared" si="9"/>
        <v>0</v>
      </c>
      <c r="BC46" s="415">
        <f t="shared" si="10"/>
        <v>0</v>
      </c>
      <c r="BD46" s="31"/>
      <c r="BE46" s="31">
        <v>0</v>
      </c>
      <c r="BF46" s="563" cm="1">
        <f t="array" ref="BF46">IF($AV46&lt;=0,0,IFERROR(_xlfn.LET(_xlpm.col,IF($AV46&lt;=100,BranchCol60,BranchAmpCol),_xlpm.nA,ROUNDUP($AV46/INDEX(Cond_Table,Max_Cond_Pos,_xlpm.col),0),_xlpm.cm,IF(OR(Tog_VD&lt;&gt;"ON",$J46=0,$J46="",$AS46=0),0,IF($E46=3,SQRT3,2)*BranchK*$AU46*$J46/($BH$22*$AS46)),_xlpm.nV,ROUNDUP(_xlpm.cm/INDEX(Cond_Table,Max_Cond_Pos,2),0),MAX(1,_xlpm.nA,_xlpm.nV)),1))</f>
        <v>0</v>
      </c>
      <c r="BG46" s="235" t="s">
        <v>1952</v>
      </c>
      <c r="BH46" s="235" t="str" cm="1">
        <f t="array" ref="BH46">IF($BH$35="","",MAX(100,IFERROR(INDEX(OCPD_List,MATCH(TRUE,INDEX(OCPD_List,0)&gt;=$BH$35,0)),MAX(OCPD_List))))</f>
        <v/>
      </c>
    </row>
    <row r="47" spans="2:67" ht="15" customHeight="1" x14ac:dyDescent="0.45">
      <c r="B47" s="410">
        <f>ROW()-32</f>
        <v>15</v>
      </c>
      <c r="C47" s="663"/>
      <c r="D47" s="664"/>
      <c r="E47" s="411"/>
      <c r="F47" s="16" t="str" cm="1">
        <f t="array" ref="F47">IF($BE47=1,"-",IF($G47="Spare",IF($BD47&lt;&gt;"",$BD47,20),IF(OR($G47="",$G47="Space",$AW47&lt;=0),"",IFERROR(INDEX(OCPD_List,MATCH($AW47,OCPD_List,1)+IF(INDEX(OCPD_List,MATCH($AW47,OCPD_List,1))&gt;=$AW47,0,1)),15))))</f>
        <v/>
      </c>
      <c r="G47" s="412" t="str" cm="1">
        <f t="array" ref="G47">IF($BE47=1,"-",IF(COUNT($AF47:$AN47)=0,IF(UPPER(TRIM($C47))="SPARE","Spare","Space"),IF(COUNTIF($AF47:$AN47,"&gt;0")&gt;1,"COMB",CHOOSE(MATCH(TRUE,INDEX($AF47:$AN47&lt;&gt;"",0),0),"Lighting","Receptacle","Motor","HVAC","Electric Heat","Kitchen Equip","Continuous (Other)","Non-Continuous","Panel"))))</f>
        <v>Space</v>
      </c>
      <c r="H47" s="237" t="str">
        <f t="shared" si="0"/>
        <v/>
      </c>
      <c r="I47" s="411"/>
      <c r="J47" s="411"/>
      <c r="K47" s="320" t="str" cm="1">
        <f t="array" ref="K47">IF(OR(Tog_VD&lt;&gt;"ON",$AU47=0,$AX47=0,$J47=0,$J47="",$AS47=0),"",(IF($E47=3,SQRT3,2)*BranchK*$AU47*$J47/(INDEX(INDEX(Cond_Table,0,2),$AX47)*MAX(1,$BF47)))/$AS47)</f>
        <v/>
      </c>
      <c r="L47" s="456" t="str" cm="1">
        <f t="array" ref="L47">IF(OR(Tog_Wire&lt;&gt;"ON",$AX47=0),"",IFERROR(IF($BF47&gt;1,"("&amp;$BF47&amp;") ","")&amp;"#"&amp;INDEX(Cond_Size,$AX47)&amp;" | #"&amp;INDEX(Cond_Size,MIN($AX47,MAX(Min_Cond_Pos,MATCH(TRUE,INDEX(Cond_Table,0,2)&gt;=INDEX(INDEX(Cond_Table,0,2),MATCH(INDEX(INDEX(EGC_Table,0,IF(Cfg_BranchMat="Cu",2,3)),MATCH(TRUE,INDEX(EGC_Table,0,1)&gt;=$F47,0)),Cond_Size,0))*INDEX(INDEX(Cond_Table,0,2),$AX47)/INDEX(INDEX(Cond_Table,0,2),MAX(Min_Cond_Pos,MATCH(TRUE,INDEX(Cond_Table,0,IF($AV47&lt;=100,BranchCol60,BranchAmpCol))&gt;=$AV47/MAX(1,$BF47),0))),0))))&amp;"G",""))</f>
        <v/>
      </c>
      <c r="M47" s="457"/>
      <c r="N47" s="458"/>
      <c r="O47" s="458"/>
      <c r="P47" s="458"/>
      <c r="Q47" s="458"/>
      <c r="R47" s="229"/>
      <c r="S47" s="248" t="str">
        <f t="shared" si="11"/>
        <v/>
      </c>
      <c r="T47" s="248" t="str">
        <f>IF($S47="","",ROUND($S47*IF($R47&gt;=$H$25,$H$26,$H$27),1))</f>
        <v/>
      </c>
      <c r="U47" s="459" t="str" cm="1">
        <f t="array" ref="U47">IF($S47="","",IF($R47&gt;=$H$25,(NECREF("430.32")&amp;"(A)(1) @ ")&amp;TEXT($H$26,"0%"),(NECREF("430.32")&amp;"(A)(1) @ ")&amp;TEXT($H$27,"0%")))</f>
        <v/>
      </c>
      <c r="V47" s="458"/>
      <c r="W47" s="458"/>
      <c r="X47" s="458"/>
      <c r="Y47" s="458"/>
      <c r="Z47" s="458"/>
      <c r="AA47" s="458"/>
      <c r="AB47" s="458"/>
      <c r="AC47" s="230"/>
      <c r="AD47" s="413"/>
      <c r="AE47" s="10"/>
      <c r="AF47" s="214"/>
      <c r="AG47" s="215"/>
      <c r="AH47" s="215"/>
      <c r="AI47" s="215"/>
      <c r="AJ47" s="215"/>
      <c r="AK47" s="215"/>
      <c r="AL47" s="215"/>
      <c r="AM47" s="215"/>
      <c r="AN47" s="216"/>
      <c r="AP47" s="31">
        <f t="shared" si="1"/>
        <v>0</v>
      </c>
      <c r="AQ47" s="415">
        <f t="shared" si="2"/>
        <v>0</v>
      </c>
      <c r="AR47" s="31" t="str">
        <f t="shared" si="3"/>
        <v>NONE</v>
      </c>
      <c r="AS47" s="31" t="str">
        <f t="shared" si="4"/>
        <v/>
      </c>
      <c r="AT47" s="526">
        <f t="shared" si="5"/>
        <v>0</v>
      </c>
      <c r="AU47" s="415">
        <f t="shared" si="6"/>
        <v>0</v>
      </c>
      <c r="AV47" s="415">
        <f t="shared" si="12"/>
        <v>0</v>
      </c>
      <c r="AW47" s="415">
        <f t="shared" si="13"/>
        <v>0</v>
      </c>
      <c r="AX47" s="31" cm="1">
        <f t="array" ref="AX47">IF($AV47&lt;=0,0,IFERROR(_xlfn.LET(_xlpm.n,MAX(1,$BF47),_xlpm.i,$AV47/_xlpm.n,MIN(Max_Cond_Pos,MAX(Min_Cond_Pos,IF(_xlpm.n&gt;1,Par_Min_Pos,1),MATCH(TRUE,INDEX(Cond_Table,0,IF(_xlpm.i&lt;=100,BranchCol60,BranchAmpCol))&gt;=_xlpm.i,0),IF(OR(Tog_VD&lt;&gt;"ON",$J47=0,$J47="",$AS47=0),0,MATCH(TRUE,INDEX(Cond_Table,0,2)&gt;=IF($E47=3,SQRT3,2)*BranchK*$AU47*$J47/($BH$22*$AS47*_xlpm.n),0))))),0))</f>
        <v>0</v>
      </c>
      <c r="AY47" s="415">
        <f t="shared" si="7"/>
        <v>0</v>
      </c>
      <c r="AZ47" s="31">
        <f t="shared" si="14"/>
        <v>2</v>
      </c>
      <c r="BA47" s="415">
        <f t="shared" si="8"/>
        <v>0</v>
      </c>
      <c r="BB47" s="415">
        <f t="shared" si="9"/>
        <v>0</v>
      </c>
      <c r="BC47" s="415">
        <f t="shared" si="10"/>
        <v>0</v>
      </c>
      <c r="BD47" s="31"/>
      <c r="BE47" s="31">
        <v>0</v>
      </c>
      <c r="BF47" s="563" cm="1">
        <f t="array" ref="BF47">IF($AV47&lt;=0,0,IFERROR(_xlfn.LET(_xlpm.col,IF($AV47&lt;=100,BranchCol60,BranchAmpCol),_xlpm.nA,ROUNDUP($AV47/INDEX(Cond_Table,Max_Cond_Pos,_xlpm.col),0),_xlpm.cm,IF(OR(Tog_VD&lt;&gt;"ON",$J47=0,$J47="",$AS47=0),0,IF($E47=3,SQRT3,2)*BranchK*$AU47*$J47/($BH$22*$AS47)),_xlpm.nV,ROUNDUP(_xlpm.cm/INDEX(Cond_Table,Max_Cond_Pos,2),0),MAX(1,_xlpm.nA,_xlpm.nV)),1))</f>
        <v>0</v>
      </c>
    </row>
    <row r="48" spans="2:67" ht="15" customHeight="1" x14ac:dyDescent="0.45">
      <c r="B48" s="410">
        <f>ROW()-32</f>
        <v>16</v>
      </c>
      <c r="C48" s="663"/>
      <c r="D48" s="664"/>
      <c r="E48" s="411"/>
      <c r="F48" s="16" t="str" cm="1">
        <f t="array" ref="F48">IF($BE48=1,"-",IF($G48="Spare",IF($BD48&lt;&gt;"",$BD48,20),IF(OR($G48="",$G48="Space",$AW48&lt;=0),"",IFERROR(INDEX(OCPD_List,MATCH($AW48,OCPD_List,1)+IF(INDEX(OCPD_List,MATCH($AW48,OCPD_List,1))&gt;=$AW48,0,1)),15))))</f>
        <v/>
      </c>
      <c r="G48" s="412" t="str" cm="1">
        <f t="array" ref="G48">IF($BE48=1,"-",IF(COUNT($AF48:$AN48)=0,IF(UPPER(TRIM($C48))="SPARE","Spare","Space"),IF(COUNTIF($AF48:$AN48,"&gt;0")&gt;1,"COMB",CHOOSE(MATCH(TRUE,INDEX($AF48:$AN48&lt;&gt;"",0),0),"Lighting","Receptacle","Motor","HVAC","Electric Heat","Kitchen Equip","Continuous (Other)","Non-Continuous","Panel"))))</f>
        <v>Space</v>
      </c>
      <c r="H48" s="237" t="str">
        <f t="shared" si="0"/>
        <v/>
      </c>
      <c r="I48" s="411"/>
      <c r="J48" s="411"/>
      <c r="K48" s="320" t="str" cm="1">
        <f t="array" ref="K48">IF(OR(Tog_VD&lt;&gt;"ON",$AU48=0,$AX48=0,$J48=0,$J48="",$AS48=0),"",(IF($E48=3,SQRT3,2)*BranchK*$AU48*$J48/(INDEX(INDEX(Cond_Table,0,2),$AX48)*MAX(1,$BF48)))/$AS48)</f>
        <v/>
      </c>
      <c r="L48" s="456" t="str" cm="1">
        <f t="array" ref="L48">IF(OR(Tog_Wire&lt;&gt;"ON",$AX48=0),"",IFERROR(IF($BF48&gt;1,"("&amp;$BF48&amp;") ","")&amp;"#"&amp;INDEX(Cond_Size,$AX48)&amp;" | #"&amp;INDEX(Cond_Size,MIN($AX48,MAX(Min_Cond_Pos,MATCH(TRUE,INDEX(Cond_Table,0,2)&gt;=INDEX(INDEX(Cond_Table,0,2),MATCH(INDEX(INDEX(EGC_Table,0,IF(Cfg_BranchMat="Cu",2,3)),MATCH(TRUE,INDEX(EGC_Table,0,1)&gt;=$F48,0)),Cond_Size,0))*INDEX(INDEX(Cond_Table,0,2),$AX48)/INDEX(INDEX(Cond_Table,0,2),MAX(Min_Cond_Pos,MATCH(TRUE,INDEX(Cond_Table,0,IF($AV48&lt;=100,BranchCol60,BranchAmpCol))&gt;=$AV48/MAX(1,$BF48),0))),0))))&amp;"G",""))</f>
        <v/>
      </c>
      <c r="M48" s="457"/>
      <c r="N48" s="458"/>
      <c r="O48" s="458"/>
      <c r="P48" s="458"/>
      <c r="Q48" s="458"/>
      <c r="R48" s="229"/>
      <c r="S48" s="248" t="str">
        <f t="shared" si="11"/>
        <v/>
      </c>
      <c r="T48" s="248" t="str">
        <f>IF($S48="","",ROUND($S48*IF($R48&gt;=$H$25,$H$26,$H$27),1))</f>
        <v/>
      </c>
      <c r="U48" s="459" t="str" cm="1">
        <f t="array" ref="U48">IF($S48="","",IF($R48&gt;=$H$25,(NECREF("430.32")&amp;"(A)(1) @ ")&amp;TEXT($H$26,"0%"),(NECREF("430.32")&amp;"(A)(1) @ ")&amp;TEXT($H$27,"0%")))</f>
        <v/>
      </c>
      <c r="V48" s="458"/>
      <c r="W48" s="458"/>
      <c r="X48" s="458"/>
      <c r="Y48" s="458"/>
      <c r="Z48" s="458"/>
      <c r="AA48" s="458"/>
      <c r="AB48" s="458"/>
      <c r="AC48" s="230"/>
      <c r="AD48" s="413"/>
      <c r="AE48" s="10"/>
      <c r="AF48" s="214"/>
      <c r="AG48" s="215"/>
      <c r="AH48" s="215"/>
      <c r="AI48" s="215"/>
      <c r="AJ48" s="215"/>
      <c r="AK48" s="215"/>
      <c r="AL48" s="215"/>
      <c r="AM48" s="215"/>
      <c r="AN48" s="216"/>
      <c r="AP48" s="31">
        <f t="shared" si="1"/>
        <v>0</v>
      </c>
      <c r="AQ48" s="415">
        <f t="shared" si="2"/>
        <v>0</v>
      </c>
      <c r="AR48" s="31" t="str">
        <f t="shared" si="3"/>
        <v>NONE</v>
      </c>
      <c r="AS48" s="31" t="str">
        <f t="shared" si="4"/>
        <v/>
      </c>
      <c r="AT48" s="526">
        <f t="shared" si="5"/>
        <v>0</v>
      </c>
      <c r="AU48" s="415">
        <f t="shared" si="6"/>
        <v>0</v>
      </c>
      <c r="AV48" s="415">
        <f t="shared" si="12"/>
        <v>0</v>
      </c>
      <c r="AW48" s="415">
        <f t="shared" si="13"/>
        <v>0</v>
      </c>
      <c r="AX48" s="31" cm="1">
        <f t="array" ref="AX48">IF($AV48&lt;=0,0,IFERROR(_xlfn.LET(_xlpm.n,MAX(1,$BF48),_xlpm.i,$AV48/_xlpm.n,MIN(Max_Cond_Pos,MAX(Min_Cond_Pos,IF(_xlpm.n&gt;1,Par_Min_Pos,1),MATCH(TRUE,INDEX(Cond_Table,0,IF(_xlpm.i&lt;=100,BranchCol60,BranchAmpCol))&gt;=_xlpm.i,0),IF(OR(Tog_VD&lt;&gt;"ON",$J48=0,$J48="",$AS48=0),0,MATCH(TRUE,INDEX(Cond_Table,0,2)&gt;=IF($E48=3,SQRT3,2)*BranchK*$AU48*$J48/($BH$22*$AS48*_xlpm.n),0))))),0))</f>
        <v>0</v>
      </c>
      <c r="AY48" s="415">
        <f t="shared" si="7"/>
        <v>0</v>
      </c>
      <c r="AZ48" s="31">
        <f t="shared" si="14"/>
        <v>0</v>
      </c>
      <c r="BA48" s="415">
        <f t="shared" si="8"/>
        <v>0</v>
      </c>
      <c r="BB48" s="415">
        <f t="shared" si="9"/>
        <v>0</v>
      </c>
      <c r="BC48" s="415">
        <f t="shared" si="10"/>
        <v>0</v>
      </c>
      <c r="BD48" s="31"/>
      <c r="BE48" s="31">
        <v>0</v>
      </c>
      <c r="BF48" s="563" cm="1">
        <f t="array" ref="BF48">IF($AV48&lt;=0,0,IFERROR(_xlfn.LET(_xlpm.col,IF($AV48&lt;=100,BranchCol60,BranchAmpCol),_xlpm.nA,ROUNDUP($AV48/INDEX(Cond_Table,Max_Cond_Pos,_xlpm.col),0),_xlpm.cm,IF(OR(Tog_VD&lt;&gt;"ON",$J48=0,$J48="",$AS48=0),0,IF($E48=3,SQRT3,2)*BranchK*$AU48*$J48/($BH$22*$AS48)),_xlpm.nV,ROUNDUP(_xlpm.cm/INDEX(Cond_Table,Max_Cond_Pos,2),0),MAX(1,_xlpm.nA,_xlpm.nV)),1))</f>
        <v>0</v>
      </c>
    </row>
    <row r="49" spans="2:58" ht="15" customHeight="1" x14ac:dyDescent="0.45">
      <c r="B49" s="410">
        <f>ROW()-32</f>
        <v>17</v>
      </c>
      <c r="C49" s="663"/>
      <c r="D49" s="664"/>
      <c r="E49" s="411"/>
      <c r="F49" s="16" t="str" cm="1">
        <f t="array" ref="F49">IF($BE49=1,"-",IF($G49="Spare",IF($BD49&lt;&gt;"",$BD49,20),IF(OR($G49="",$G49="Space",$AW49&lt;=0),"",IFERROR(INDEX(OCPD_List,MATCH($AW49,OCPD_List,1)+IF(INDEX(OCPD_List,MATCH($AW49,OCPD_List,1))&gt;=$AW49,0,1)),15))))</f>
        <v/>
      </c>
      <c r="G49" s="412" t="str" cm="1">
        <f t="array" ref="G49">IF($BE49=1,"-",IF(COUNT($AF49:$AN49)=0,IF(UPPER(TRIM($C49))="SPARE","Spare","Space"),IF(COUNTIF($AF49:$AN49,"&gt;0")&gt;1,"COMB",CHOOSE(MATCH(TRUE,INDEX($AF49:$AN49&lt;&gt;"",0),0),"Lighting","Receptacle","Motor","HVAC","Electric Heat","Kitchen Equip","Continuous (Other)","Non-Continuous","Panel"))))</f>
        <v>Space</v>
      </c>
      <c r="H49" s="237" t="str">
        <f t="shared" si="0"/>
        <v/>
      </c>
      <c r="I49" s="411"/>
      <c r="J49" s="411"/>
      <c r="K49" s="320" t="str" cm="1">
        <f t="array" ref="K49">IF(OR(Tog_VD&lt;&gt;"ON",$AU49=0,$AX49=0,$J49=0,$J49="",$AS49=0),"",(IF($E49=3,SQRT3,2)*BranchK*$AU49*$J49/(INDEX(INDEX(Cond_Table,0,2),$AX49)*MAX(1,$BF49)))/$AS49)</f>
        <v/>
      </c>
      <c r="L49" s="456" t="str" cm="1">
        <f t="array" ref="L49">IF(OR(Tog_Wire&lt;&gt;"ON",$AX49=0),"",IFERROR(IF($BF49&gt;1,"("&amp;$BF49&amp;") ","")&amp;"#"&amp;INDEX(Cond_Size,$AX49)&amp;" | #"&amp;INDEX(Cond_Size,MIN($AX49,MAX(Min_Cond_Pos,MATCH(TRUE,INDEX(Cond_Table,0,2)&gt;=INDEX(INDEX(Cond_Table,0,2),MATCH(INDEX(INDEX(EGC_Table,0,IF(Cfg_BranchMat="Cu",2,3)),MATCH(TRUE,INDEX(EGC_Table,0,1)&gt;=$F49,0)),Cond_Size,0))*INDEX(INDEX(Cond_Table,0,2),$AX49)/INDEX(INDEX(Cond_Table,0,2),MAX(Min_Cond_Pos,MATCH(TRUE,INDEX(Cond_Table,0,IF($AV49&lt;=100,BranchCol60,BranchAmpCol))&gt;=$AV49/MAX(1,$BF49),0))),0))))&amp;"G",""))</f>
        <v/>
      </c>
      <c r="M49" s="457"/>
      <c r="N49" s="458"/>
      <c r="O49" s="458"/>
      <c r="P49" s="458"/>
      <c r="Q49" s="458"/>
      <c r="R49" s="229"/>
      <c r="S49" s="248" t="str">
        <f t="shared" si="11"/>
        <v/>
      </c>
      <c r="T49" s="248" t="str">
        <f>IF($S49="","",ROUND($S49*IF($R49&gt;=$H$25,$H$26,$H$27),1))</f>
        <v/>
      </c>
      <c r="U49" s="459" t="str" cm="1">
        <f t="array" ref="U49">IF($S49="","",IF($R49&gt;=$H$25,(NECREF("430.32")&amp;"(A)(1) @ ")&amp;TEXT($H$26,"0%"),(NECREF("430.32")&amp;"(A)(1) @ ")&amp;TEXT($H$27,"0%")))</f>
        <v/>
      </c>
      <c r="V49" s="458"/>
      <c r="W49" s="458"/>
      <c r="X49" s="458"/>
      <c r="Y49" s="458"/>
      <c r="Z49" s="458"/>
      <c r="AA49" s="458"/>
      <c r="AB49" s="458"/>
      <c r="AC49" s="230"/>
      <c r="AD49" s="413"/>
      <c r="AE49" s="10"/>
      <c r="AF49" s="214"/>
      <c r="AG49" s="215"/>
      <c r="AH49" s="215"/>
      <c r="AI49" s="215"/>
      <c r="AJ49" s="215"/>
      <c r="AK49" s="215"/>
      <c r="AL49" s="215"/>
      <c r="AM49" s="215"/>
      <c r="AN49" s="216"/>
      <c r="AP49" s="31">
        <f t="shared" si="1"/>
        <v>0</v>
      </c>
      <c r="AQ49" s="415">
        <f t="shared" si="2"/>
        <v>0</v>
      </c>
      <c r="AR49" s="31" t="str">
        <f t="shared" si="3"/>
        <v>NONE</v>
      </c>
      <c r="AS49" s="31" t="str">
        <f t="shared" si="4"/>
        <v/>
      </c>
      <c r="AT49" s="526">
        <f t="shared" si="5"/>
        <v>0</v>
      </c>
      <c r="AU49" s="415">
        <f t="shared" si="6"/>
        <v>0</v>
      </c>
      <c r="AV49" s="415">
        <f t="shared" si="12"/>
        <v>0</v>
      </c>
      <c r="AW49" s="415">
        <f t="shared" si="13"/>
        <v>0</v>
      </c>
      <c r="AX49" s="31" cm="1">
        <f t="array" ref="AX49">IF($AV49&lt;=0,0,IFERROR(_xlfn.LET(_xlpm.n,MAX(1,$BF49),_xlpm.i,$AV49/_xlpm.n,MIN(Max_Cond_Pos,MAX(Min_Cond_Pos,IF(_xlpm.n&gt;1,Par_Min_Pos,1),MATCH(TRUE,INDEX(Cond_Table,0,IF(_xlpm.i&lt;=100,BranchCol60,BranchAmpCol))&gt;=_xlpm.i,0),IF(OR(Tog_VD&lt;&gt;"ON",$J49=0,$J49="",$AS49=0),0,MATCH(TRUE,INDEX(Cond_Table,0,2)&gt;=IF($E49=3,SQRT3,2)*BranchK*$AU49*$J49/($BH$22*$AS49*_xlpm.n),0))))),0))</f>
        <v>0</v>
      </c>
      <c r="AY49" s="415">
        <f t="shared" si="7"/>
        <v>0</v>
      </c>
      <c r="AZ49" s="31">
        <f t="shared" si="14"/>
        <v>1</v>
      </c>
      <c r="BA49" s="415">
        <f t="shared" si="8"/>
        <v>0</v>
      </c>
      <c r="BB49" s="415">
        <f t="shared" si="9"/>
        <v>0</v>
      </c>
      <c r="BC49" s="415">
        <f t="shared" si="10"/>
        <v>0</v>
      </c>
      <c r="BD49" s="31"/>
      <c r="BE49" s="31">
        <v>0</v>
      </c>
      <c r="BF49" s="563" cm="1">
        <f t="array" ref="BF49">IF($AV49&lt;=0,0,IFERROR(_xlfn.LET(_xlpm.col,IF($AV49&lt;=100,BranchCol60,BranchAmpCol),_xlpm.nA,ROUNDUP($AV49/INDEX(Cond_Table,Max_Cond_Pos,_xlpm.col),0),_xlpm.cm,IF(OR(Tog_VD&lt;&gt;"ON",$J49=0,$J49="",$AS49=0),0,IF($E49=3,SQRT3,2)*BranchK*$AU49*$J49/($BH$22*$AS49)),_xlpm.nV,ROUNDUP(_xlpm.cm/INDEX(Cond_Table,Max_Cond_Pos,2),0),MAX(1,_xlpm.nA,_xlpm.nV)),1))</f>
        <v>0</v>
      </c>
    </row>
    <row r="50" spans="2:58" ht="15" customHeight="1" x14ac:dyDescent="0.45">
      <c r="B50" s="410">
        <f>ROW()-32</f>
        <v>18</v>
      </c>
      <c r="C50" s="663"/>
      <c r="D50" s="664"/>
      <c r="E50" s="411"/>
      <c r="F50" s="16" t="str" cm="1">
        <f t="array" ref="F50">IF($BE50=1,"-",IF($G50="Spare",IF($BD50&lt;&gt;"",$BD50,20),IF(OR($G50="",$G50="Space",$AW50&lt;=0),"",IFERROR(INDEX(OCPD_List,MATCH($AW50,OCPD_List,1)+IF(INDEX(OCPD_List,MATCH($AW50,OCPD_List,1))&gt;=$AW50,0,1)),15))))</f>
        <v/>
      </c>
      <c r="G50" s="412" t="str" cm="1">
        <f t="array" ref="G50">IF($BE50=1,"-",IF(COUNT($AF50:$AN50)=0,IF(UPPER(TRIM($C50))="SPARE","Spare","Space"),IF(COUNTIF($AF50:$AN50,"&gt;0")&gt;1,"COMB",CHOOSE(MATCH(TRUE,INDEX($AF50:$AN50&lt;&gt;"",0),0),"Lighting","Receptacle","Motor","HVAC","Electric Heat","Kitchen Equip","Continuous (Other)","Non-Continuous","Panel"))))</f>
        <v>Space</v>
      </c>
      <c r="H50" s="237" t="str">
        <f t="shared" si="0"/>
        <v/>
      </c>
      <c r="I50" s="411"/>
      <c r="J50" s="411"/>
      <c r="K50" s="320" t="str" cm="1">
        <f t="array" ref="K50">IF(OR(Tog_VD&lt;&gt;"ON",$AU50=0,$AX50=0,$J50=0,$J50="",$AS50=0),"",(IF($E50=3,SQRT3,2)*BranchK*$AU50*$J50/(INDEX(INDEX(Cond_Table,0,2),$AX50)*MAX(1,$BF50)))/$AS50)</f>
        <v/>
      </c>
      <c r="L50" s="456" t="str" cm="1">
        <f t="array" ref="L50">IF(OR(Tog_Wire&lt;&gt;"ON",$AX50=0),"",IFERROR(IF($BF50&gt;1,"("&amp;$BF50&amp;") ","")&amp;"#"&amp;INDEX(Cond_Size,$AX50)&amp;" | #"&amp;INDEX(Cond_Size,MIN($AX50,MAX(Min_Cond_Pos,MATCH(TRUE,INDEX(Cond_Table,0,2)&gt;=INDEX(INDEX(Cond_Table,0,2),MATCH(INDEX(INDEX(EGC_Table,0,IF(Cfg_BranchMat="Cu",2,3)),MATCH(TRUE,INDEX(EGC_Table,0,1)&gt;=$F50,0)),Cond_Size,0))*INDEX(INDEX(Cond_Table,0,2),$AX50)/INDEX(INDEX(Cond_Table,0,2),MAX(Min_Cond_Pos,MATCH(TRUE,INDEX(Cond_Table,0,IF($AV50&lt;=100,BranchCol60,BranchAmpCol))&gt;=$AV50/MAX(1,$BF50),0))),0))))&amp;"G",""))</f>
        <v/>
      </c>
      <c r="M50" s="457"/>
      <c r="N50" s="458"/>
      <c r="O50" s="458"/>
      <c r="P50" s="458"/>
      <c r="Q50" s="458"/>
      <c r="R50" s="229"/>
      <c r="S50" s="248" t="str">
        <f t="shared" si="11"/>
        <v/>
      </c>
      <c r="T50" s="248" t="str">
        <f>IF($S50="","",ROUND($S50*IF($R50&gt;=$H$25,$H$26,$H$27),1))</f>
        <v/>
      </c>
      <c r="U50" s="459" t="str" cm="1">
        <f t="array" ref="U50">IF($S50="","",IF($R50&gt;=$H$25,(NECREF("430.32")&amp;"(A)(1) @ ")&amp;TEXT($H$26,"0%"),(NECREF("430.32")&amp;"(A)(1) @ ")&amp;TEXT($H$27,"0%")))</f>
        <v/>
      </c>
      <c r="V50" s="458"/>
      <c r="W50" s="458"/>
      <c r="X50" s="458"/>
      <c r="Y50" s="458"/>
      <c r="Z50" s="458"/>
      <c r="AA50" s="458"/>
      <c r="AB50" s="458"/>
      <c r="AC50" s="230"/>
      <c r="AD50" s="413"/>
      <c r="AE50" s="10"/>
      <c r="AF50" s="214"/>
      <c r="AG50" s="215"/>
      <c r="AH50" s="215"/>
      <c r="AI50" s="215"/>
      <c r="AJ50" s="215"/>
      <c r="AK50" s="215"/>
      <c r="AL50" s="215"/>
      <c r="AM50" s="215"/>
      <c r="AN50" s="216"/>
      <c r="AP50" s="31">
        <f t="shared" si="1"/>
        <v>0</v>
      </c>
      <c r="AQ50" s="415">
        <f t="shared" si="2"/>
        <v>0</v>
      </c>
      <c r="AR50" s="31" t="str">
        <f t="shared" si="3"/>
        <v>NONE</v>
      </c>
      <c r="AS50" s="31" t="str">
        <f t="shared" si="4"/>
        <v/>
      </c>
      <c r="AT50" s="526">
        <f t="shared" si="5"/>
        <v>0</v>
      </c>
      <c r="AU50" s="415">
        <f t="shared" si="6"/>
        <v>0</v>
      </c>
      <c r="AV50" s="415">
        <f t="shared" si="12"/>
        <v>0</v>
      </c>
      <c r="AW50" s="415">
        <f t="shared" si="13"/>
        <v>0</v>
      </c>
      <c r="AX50" s="31" cm="1">
        <f t="array" ref="AX50">IF($AV50&lt;=0,0,IFERROR(_xlfn.LET(_xlpm.n,MAX(1,$BF50),_xlpm.i,$AV50/_xlpm.n,MIN(Max_Cond_Pos,MAX(Min_Cond_Pos,IF(_xlpm.n&gt;1,Par_Min_Pos,1),MATCH(TRUE,INDEX(Cond_Table,0,IF(_xlpm.i&lt;=100,BranchCol60,BranchAmpCol))&gt;=_xlpm.i,0),IF(OR(Tog_VD&lt;&gt;"ON",$J50=0,$J50="",$AS50=0),0,MATCH(TRUE,INDEX(Cond_Table,0,2)&gt;=IF($E50=3,SQRT3,2)*BranchK*$AU50*$J50/($BH$22*$AS50*_xlpm.n),0))))),0))</f>
        <v>0</v>
      </c>
      <c r="AY50" s="415">
        <f t="shared" si="7"/>
        <v>0</v>
      </c>
      <c r="AZ50" s="31">
        <f t="shared" si="14"/>
        <v>2</v>
      </c>
      <c r="BA50" s="415">
        <f t="shared" si="8"/>
        <v>0</v>
      </c>
      <c r="BB50" s="415">
        <f t="shared" si="9"/>
        <v>0</v>
      </c>
      <c r="BC50" s="415">
        <f t="shared" si="10"/>
        <v>0</v>
      </c>
      <c r="BD50" s="31"/>
      <c r="BE50" s="31">
        <v>0</v>
      </c>
      <c r="BF50" s="563" cm="1">
        <f t="array" ref="BF50">IF($AV50&lt;=0,0,IFERROR(_xlfn.LET(_xlpm.col,IF($AV50&lt;=100,BranchCol60,BranchAmpCol),_xlpm.nA,ROUNDUP($AV50/INDEX(Cond_Table,Max_Cond_Pos,_xlpm.col),0),_xlpm.cm,IF(OR(Tog_VD&lt;&gt;"ON",$J50=0,$J50="",$AS50=0),0,IF($E50=3,SQRT3,2)*BranchK*$AU50*$J50/($BH$22*$AS50)),_xlpm.nV,ROUNDUP(_xlpm.cm/INDEX(Cond_Table,Max_Cond_Pos,2),0),MAX(1,_xlpm.nA,_xlpm.nV)),1))</f>
        <v>0</v>
      </c>
    </row>
    <row r="51" spans="2:58" ht="15" customHeight="1" x14ac:dyDescent="0.45">
      <c r="B51" s="410">
        <f>ROW()-32</f>
        <v>19</v>
      </c>
      <c r="C51" s="663"/>
      <c r="D51" s="664"/>
      <c r="E51" s="411"/>
      <c r="F51" s="16" t="str" cm="1">
        <f t="array" ref="F51">IF($BE51=1,"-",IF($G51="Spare",IF($BD51&lt;&gt;"",$BD51,20),IF(OR($G51="",$G51="Space",$AW51&lt;=0),"",IFERROR(INDEX(OCPD_List,MATCH($AW51,OCPD_List,1)+IF(INDEX(OCPD_List,MATCH($AW51,OCPD_List,1))&gt;=$AW51,0,1)),15))))</f>
        <v/>
      </c>
      <c r="G51" s="412" t="str" cm="1">
        <f t="array" ref="G51">IF($BE51=1,"-",IF(COUNT($AF51:$AN51)=0,IF(UPPER(TRIM($C51))="SPARE","Spare","Space"),IF(COUNTIF($AF51:$AN51,"&gt;0")&gt;1,"COMB",CHOOSE(MATCH(TRUE,INDEX($AF51:$AN51&lt;&gt;"",0),0),"Lighting","Receptacle","Motor","HVAC","Electric Heat","Kitchen Equip","Continuous (Other)","Non-Continuous","Panel"))))</f>
        <v>Space</v>
      </c>
      <c r="H51" s="237" t="str">
        <f t="shared" si="0"/>
        <v/>
      </c>
      <c r="I51" s="411"/>
      <c r="J51" s="411"/>
      <c r="K51" s="320" t="str" cm="1">
        <f t="array" ref="K51">IF(OR(Tog_VD&lt;&gt;"ON",$AU51=0,$AX51=0,$J51=0,$J51="",$AS51=0),"",(IF($E51=3,SQRT3,2)*BranchK*$AU51*$J51/(INDEX(INDEX(Cond_Table,0,2),$AX51)*MAX(1,$BF51)))/$AS51)</f>
        <v/>
      </c>
      <c r="L51" s="456" t="str" cm="1">
        <f t="array" ref="L51">IF(OR(Tog_Wire&lt;&gt;"ON",$AX51=0),"",IFERROR(IF($BF51&gt;1,"("&amp;$BF51&amp;") ","")&amp;"#"&amp;INDEX(Cond_Size,$AX51)&amp;" | #"&amp;INDEX(Cond_Size,MIN($AX51,MAX(Min_Cond_Pos,MATCH(TRUE,INDEX(Cond_Table,0,2)&gt;=INDEX(INDEX(Cond_Table,0,2),MATCH(INDEX(INDEX(EGC_Table,0,IF(Cfg_BranchMat="Cu",2,3)),MATCH(TRUE,INDEX(EGC_Table,0,1)&gt;=$F51,0)),Cond_Size,0))*INDEX(INDEX(Cond_Table,0,2),$AX51)/INDEX(INDEX(Cond_Table,0,2),MAX(Min_Cond_Pos,MATCH(TRUE,INDEX(Cond_Table,0,IF($AV51&lt;=100,BranchCol60,BranchAmpCol))&gt;=$AV51/MAX(1,$BF51),0))),0))))&amp;"G",""))</f>
        <v/>
      </c>
      <c r="M51" s="457"/>
      <c r="N51" s="458"/>
      <c r="O51" s="458"/>
      <c r="P51" s="458"/>
      <c r="Q51" s="458"/>
      <c r="R51" s="229"/>
      <c r="S51" s="248" t="str">
        <f t="shared" si="11"/>
        <v/>
      </c>
      <c r="T51" s="248" t="str">
        <f>IF($S51="","",ROUND($S51*IF($R51&gt;=$H$25,$H$26,$H$27),1))</f>
        <v/>
      </c>
      <c r="U51" s="459" t="str" cm="1">
        <f t="array" ref="U51">IF($S51="","",IF($R51&gt;=$H$25,(NECREF("430.32")&amp;"(A)(1) @ ")&amp;TEXT($H$26,"0%"),(NECREF("430.32")&amp;"(A)(1) @ ")&amp;TEXT($H$27,"0%")))</f>
        <v/>
      </c>
      <c r="V51" s="458"/>
      <c r="W51" s="458"/>
      <c r="X51" s="458"/>
      <c r="Y51" s="458"/>
      <c r="Z51" s="458"/>
      <c r="AA51" s="458"/>
      <c r="AB51" s="458"/>
      <c r="AC51" s="230"/>
      <c r="AD51" s="413"/>
      <c r="AE51" s="10"/>
      <c r="AF51" s="214"/>
      <c r="AG51" s="215"/>
      <c r="AH51" s="215"/>
      <c r="AI51" s="215"/>
      <c r="AJ51" s="215"/>
      <c r="AK51" s="215"/>
      <c r="AL51" s="215"/>
      <c r="AM51" s="215"/>
      <c r="AN51" s="216"/>
      <c r="AP51" s="31">
        <f t="shared" si="1"/>
        <v>0</v>
      </c>
      <c r="AQ51" s="415">
        <f t="shared" si="2"/>
        <v>0</v>
      </c>
      <c r="AR51" s="31" t="str">
        <f t="shared" si="3"/>
        <v>NONE</v>
      </c>
      <c r="AS51" s="31" t="str">
        <f t="shared" si="4"/>
        <v/>
      </c>
      <c r="AT51" s="526">
        <f t="shared" si="5"/>
        <v>0</v>
      </c>
      <c r="AU51" s="415">
        <f t="shared" si="6"/>
        <v>0</v>
      </c>
      <c r="AV51" s="415">
        <f t="shared" si="12"/>
        <v>0</v>
      </c>
      <c r="AW51" s="415">
        <f t="shared" si="13"/>
        <v>0</v>
      </c>
      <c r="AX51" s="31" cm="1">
        <f t="array" ref="AX51">IF($AV51&lt;=0,0,IFERROR(_xlfn.LET(_xlpm.n,MAX(1,$BF51),_xlpm.i,$AV51/_xlpm.n,MIN(Max_Cond_Pos,MAX(Min_Cond_Pos,IF(_xlpm.n&gt;1,Par_Min_Pos,1),MATCH(TRUE,INDEX(Cond_Table,0,IF(_xlpm.i&lt;=100,BranchCol60,BranchAmpCol))&gt;=_xlpm.i,0),IF(OR(Tog_VD&lt;&gt;"ON",$J51=0,$J51="",$AS51=0),0,MATCH(TRUE,INDEX(Cond_Table,0,2)&gt;=IF($E51=3,SQRT3,2)*BranchK*$AU51*$J51/($BH$22*$AS51*_xlpm.n),0))))),0))</f>
        <v>0</v>
      </c>
      <c r="AY51" s="415">
        <f t="shared" si="7"/>
        <v>0</v>
      </c>
      <c r="AZ51" s="31">
        <f t="shared" si="14"/>
        <v>0</v>
      </c>
      <c r="BA51" s="415">
        <f t="shared" si="8"/>
        <v>0</v>
      </c>
      <c r="BB51" s="415">
        <f t="shared" si="9"/>
        <v>0</v>
      </c>
      <c r="BC51" s="415">
        <f t="shared" si="10"/>
        <v>0</v>
      </c>
      <c r="BD51" s="31"/>
      <c r="BE51" s="31">
        <v>0</v>
      </c>
      <c r="BF51" s="563" cm="1">
        <f t="array" ref="BF51">IF($AV51&lt;=0,0,IFERROR(_xlfn.LET(_xlpm.col,IF($AV51&lt;=100,BranchCol60,BranchAmpCol),_xlpm.nA,ROUNDUP($AV51/INDEX(Cond_Table,Max_Cond_Pos,_xlpm.col),0),_xlpm.cm,IF(OR(Tog_VD&lt;&gt;"ON",$J51=0,$J51="",$AS51=0),0,IF($E51=3,SQRT3,2)*BranchK*$AU51*$J51/($BH$22*$AS51)),_xlpm.nV,ROUNDUP(_xlpm.cm/INDEX(Cond_Table,Max_Cond_Pos,2),0),MAX(1,_xlpm.nA,_xlpm.nV)),1))</f>
        <v>0</v>
      </c>
    </row>
    <row r="52" spans="2:58" ht="15" customHeight="1" x14ac:dyDescent="0.45">
      <c r="B52" s="410">
        <f>ROW()-32</f>
        <v>20</v>
      </c>
      <c r="C52" s="663"/>
      <c r="D52" s="664"/>
      <c r="E52" s="411"/>
      <c r="F52" s="16" t="str" cm="1">
        <f t="array" ref="F52">IF($BE52=1,"-",IF($G52="Spare",IF($BD52&lt;&gt;"",$BD52,20),IF(OR($G52="",$G52="Space",$AW52&lt;=0),"",IFERROR(INDEX(OCPD_List,MATCH($AW52,OCPD_List,1)+IF(INDEX(OCPD_List,MATCH($AW52,OCPD_List,1))&gt;=$AW52,0,1)),15))))</f>
        <v/>
      </c>
      <c r="G52" s="412" t="str" cm="1">
        <f t="array" ref="G52">IF($BE52=1,"-",IF(COUNT($AF52:$AN52)=0,IF(UPPER(TRIM($C52))="SPARE","Spare","Space"),IF(COUNTIF($AF52:$AN52,"&gt;0")&gt;1,"COMB",CHOOSE(MATCH(TRUE,INDEX($AF52:$AN52&lt;&gt;"",0),0),"Lighting","Receptacle","Motor","HVAC","Electric Heat","Kitchen Equip","Continuous (Other)","Non-Continuous","Panel"))))</f>
        <v>Space</v>
      </c>
      <c r="H52" s="237" t="str">
        <f t="shared" si="0"/>
        <v/>
      </c>
      <c r="I52" s="411"/>
      <c r="J52" s="411"/>
      <c r="K52" s="320" t="str" cm="1">
        <f t="array" ref="K52">IF(OR(Tog_VD&lt;&gt;"ON",$AU52=0,$AX52=0,$J52=0,$J52="",$AS52=0),"",(IF($E52=3,SQRT3,2)*BranchK*$AU52*$J52/(INDEX(INDEX(Cond_Table,0,2),$AX52)*MAX(1,$BF52)))/$AS52)</f>
        <v/>
      </c>
      <c r="L52" s="456" t="str" cm="1">
        <f t="array" ref="L52">IF(OR(Tog_Wire&lt;&gt;"ON",$AX52=0),"",IFERROR(IF($BF52&gt;1,"("&amp;$BF52&amp;") ","")&amp;"#"&amp;INDEX(Cond_Size,$AX52)&amp;" | #"&amp;INDEX(Cond_Size,MIN($AX52,MAX(Min_Cond_Pos,MATCH(TRUE,INDEX(Cond_Table,0,2)&gt;=INDEX(INDEX(Cond_Table,0,2),MATCH(INDEX(INDEX(EGC_Table,0,IF(Cfg_BranchMat="Cu",2,3)),MATCH(TRUE,INDEX(EGC_Table,0,1)&gt;=$F52,0)),Cond_Size,0))*INDEX(INDEX(Cond_Table,0,2),$AX52)/INDEX(INDEX(Cond_Table,0,2),MAX(Min_Cond_Pos,MATCH(TRUE,INDEX(Cond_Table,0,IF($AV52&lt;=100,BranchCol60,BranchAmpCol))&gt;=$AV52/MAX(1,$BF52),0))),0))))&amp;"G",""))</f>
        <v/>
      </c>
      <c r="M52" s="457"/>
      <c r="N52" s="458"/>
      <c r="O52" s="458"/>
      <c r="P52" s="458"/>
      <c r="Q52" s="458"/>
      <c r="R52" s="229"/>
      <c r="S52" s="248" t="str">
        <f t="shared" si="11"/>
        <v/>
      </c>
      <c r="T52" s="248" t="str">
        <f>IF($S52="","",ROUND($S52*IF($R52&gt;=$H$25,$H$26,$H$27),1))</f>
        <v/>
      </c>
      <c r="U52" s="459" t="str" cm="1">
        <f t="array" ref="U52">IF($S52="","",IF($R52&gt;=$H$25,(NECREF("430.32")&amp;"(A)(1) @ ")&amp;TEXT($H$26,"0%"),(NECREF("430.32")&amp;"(A)(1) @ ")&amp;TEXT($H$27,"0%")))</f>
        <v/>
      </c>
      <c r="V52" s="458"/>
      <c r="W52" s="458"/>
      <c r="X52" s="458"/>
      <c r="Y52" s="458"/>
      <c r="Z52" s="458"/>
      <c r="AA52" s="458"/>
      <c r="AB52" s="458"/>
      <c r="AC52" s="230"/>
      <c r="AD52" s="413"/>
      <c r="AE52" s="10"/>
      <c r="AF52" s="231"/>
      <c r="AG52" s="232"/>
      <c r="AH52" s="232"/>
      <c r="AI52" s="232"/>
      <c r="AJ52" s="232"/>
      <c r="AK52" s="232"/>
      <c r="AL52" s="232"/>
      <c r="AM52" s="232"/>
      <c r="AN52" s="233"/>
      <c r="AP52" s="31">
        <f t="shared" si="1"/>
        <v>0</v>
      </c>
      <c r="AQ52" s="415">
        <f t="shared" si="2"/>
        <v>0</v>
      </c>
      <c r="AR52" s="31" t="str">
        <f t="shared" si="3"/>
        <v>NONE</v>
      </c>
      <c r="AS52" s="31" t="str">
        <f t="shared" si="4"/>
        <v/>
      </c>
      <c r="AT52" s="526">
        <f t="shared" si="5"/>
        <v>0</v>
      </c>
      <c r="AU52" s="415">
        <f t="shared" si="6"/>
        <v>0</v>
      </c>
      <c r="AV52" s="415">
        <f t="shared" si="12"/>
        <v>0</v>
      </c>
      <c r="AW52" s="415">
        <f t="shared" si="13"/>
        <v>0</v>
      </c>
      <c r="AX52" s="31" cm="1">
        <f t="array" ref="AX52">IF($AV52&lt;=0,0,IFERROR(_xlfn.LET(_xlpm.n,MAX(1,$BF52),_xlpm.i,$AV52/_xlpm.n,MIN(Max_Cond_Pos,MAX(Min_Cond_Pos,IF(_xlpm.n&gt;1,Par_Min_Pos,1),MATCH(TRUE,INDEX(Cond_Table,0,IF(_xlpm.i&lt;=100,BranchCol60,BranchAmpCol))&gt;=_xlpm.i,0),IF(OR(Tog_VD&lt;&gt;"ON",$J52=0,$J52="",$AS52=0),0,MATCH(TRUE,INDEX(Cond_Table,0,2)&gt;=IF($E52=3,SQRT3,2)*BranchK*$AU52*$J52/($BH$22*$AS52*_xlpm.n),0))))),0))</f>
        <v>0</v>
      </c>
      <c r="AY52" s="415">
        <f t="shared" si="7"/>
        <v>0</v>
      </c>
      <c r="AZ52" s="31">
        <f t="shared" si="14"/>
        <v>1</v>
      </c>
      <c r="BA52" s="415">
        <f t="shared" si="8"/>
        <v>0</v>
      </c>
      <c r="BB52" s="415">
        <f t="shared" si="9"/>
        <v>0</v>
      </c>
      <c r="BC52" s="415">
        <f t="shared" si="10"/>
        <v>0</v>
      </c>
      <c r="BD52" s="31"/>
      <c r="BE52" s="31">
        <v>0</v>
      </c>
      <c r="BF52" s="563" cm="1">
        <f t="array" ref="BF52">IF($AV52&lt;=0,0,IFERROR(_xlfn.LET(_xlpm.col,IF($AV52&lt;=100,BranchCol60,BranchAmpCol),_xlpm.nA,ROUNDUP($AV52/INDEX(Cond_Table,Max_Cond_Pos,_xlpm.col),0),_xlpm.cm,IF(OR(Tog_VD&lt;&gt;"ON",$J52=0,$J52="",$AS52=0),0,IF($E52=3,SQRT3,2)*BranchK*$AU52*$J52/($BH$22*$AS52)),_xlpm.nV,ROUNDUP(_xlpm.cm/INDEX(Cond_Table,Max_Cond_Pos,2),0),MAX(1,_xlpm.nA,_xlpm.nV)),1))</f>
        <v>0</v>
      </c>
    </row>
    <row r="53" spans="2:58" ht="15" customHeight="1" x14ac:dyDescent="0.35">
      <c r="B53" s="399"/>
      <c r="AD53" s="400"/>
    </row>
    <row r="54" spans="2:58" ht="30" customHeight="1" x14ac:dyDescent="0.35">
      <c r="B54" s="591" t="s">
        <v>1198</v>
      </c>
      <c r="C54" s="592"/>
      <c r="D54" s="592"/>
      <c r="E54" s="592"/>
      <c r="F54" s="592"/>
      <c r="G54" s="592"/>
      <c r="H54" s="592"/>
      <c r="I54" s="592"/>
      <c r="J54" s="592"/>
      <c r="K54" s="592"/>
      <c r="L54" s="592"/>
      <c r="M54" s="592"/>
      <c r="N54" s="592"/>
      <c r="O54" s="592"/>
      <c r="P54" s="592"/>
      <c r="Q54" s="592"/>
      <c r="R54" s="592"/>
      <c r="S54" s="592"/>
      <c r="T54" s="592"/>
      <c r="U54" s="592"/>
      <c r="V54" s="592"/>
      <c r="W54" s="592"/>
      <c r="X54" s="592"/>
      <c r="Y54" s="592"/>
      <c r="Z54" s="592"/>
      <c r="AA54" s="592"/>
      <c r="AB54" s="592"/>
      <c r="AC54" s="592"/>
      <c r="AD54" s="665"/>
    </row>
    <row r="55" spans="2:58" ht="15" customHeight="1" x14ac:dyDescent="0.35">
      <c r="B55" s="432"/>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9"/>
    </row>
    <row r="56" spans="2:58" ht="16" x14ac:dyDescent="0.35">
      <c r="B56" s="410">
        <v>1</v>
      </c>
      <c r="C56" s="744" t="s">
        <v>1235</v>
      </c>
      <c r="D56" s="744"/>
      <c r="E56" s="744"/>
      <c r="F56" s="744"/>
      <c r="G56" s="744"/>
      <c r="H56" s="744"/>
      <c r="I56" s="744"/>
      <c r="J56" s="744"/>
      <c r="K56" s="744"/>
      <c r="L56" s="744"/>
      <c r="M56" s="744"/>
      <c r="N56" s="744"/>
      <c r="O56" s="744"/>
      <c r="P56" s="744"/>
      <c r="Q56" s="744"/>
      <c r="R56" s="744"/>
      <c r="S56" s="744"/>
      <c r="T56" s="744"/>
      <c r="U56" s="744"/>
      <c r="V56" s="744"/>
      <c r="W56" s="744"/>
      <c r="X56" s="744"/>
      <c r="Y56" s="744"/>
      <c r="Z56" s="744"/>
      <c r="AA56" s="744"/>
      <c r="AB56" s="744"/>
      <c r="AC56" s="744"/>
      <c r="AD56" s="400"/>
    </row>
    <row r="57" spans="2:58" ht="15" customHeight="1" x14ac:dyDescent="0.35">
      <c r="B57" s="410">
        <v>2</v>
      </c>
      <c r="C57" s="744" t="s">
        <v>1235</v>
      </c>
      <c r="D57" s="744"/>
      <c r="E57" s="744"/>
      <c r="F57" s="744"/>
      <c r="G57" s="744"/>
      <c r="H57" s="744"/>
      <c r="I57" s="744"/>
      <c r="J57" s="744"/>
      <c r="K57" s="744"/>
      <c r="L57" s="744"/>
      <c r="M57" s="744"/>
      <c r="N57" s="744"/>
      <c r="O57" s="744"/>
      <c r="P57" s="744"/>
      <c r="Q57" s="744"/>
      <c r="R57" s="744"/>
      <c r="S57" s="744"/>
      <c r="T57" s="744"/>
      <c r="U57" s="744"/>
      <c r="V57" s="744"/>
      <c r="W57" s="744"/>
      <c r="X57" s="744"/>
      <c r="Y57" s="744"/>
      <c r="Z57" s="744"/>
      <c r="AA57" s="744"/>
      <c r="AB57" s="744"/>
      <c r="AC57" s="744"/>
      <c r="AD57" s="400"/>
    </row>
    <row r="58" spans="2:58" ht="15" customHeight="1" x14ac:dyDescent="0.35">
      <c r="B58" s="410">
        <v>3</v>
      </c>
      <c r="C58" s="744" t="s">
        <v>1235</v>
      </c>
      <c r="D58" s="744"/>
      <c r="E58" s="744"/>
      <c r="F58" s="744"/>
      <c r="G58" s="744"/>
      <c r="H58" s="744"/>
      <c r="I58" s="744"/>
      <c r="J58" s="744"/>
      <c r="K58" s="744"/>
      <c r="L58" s="744"/>
      <c r="M58" s="744"/>
      <c r="N58" s="744"/>
      <c r="O58" s="744"/>
      <c r="P58" s="744"/>
      <c r="Q58" s="744"/>
      <c r="R58" s="744"/>
      <c r="S58" s="744"/>
      <c r="T58" s="744"/>
      <c r="U58" s="744"/>
      <c r="V58" s="744"/>
      <c r="W58" s="744"/>
      <c r="X58" s="744"/>
      <c r="Y58" s="744"/>
      <c r="Z58" s="744"/>
      <c r="AA58" s="744"/>
      <c r="AB58" s="744"/>
      <c r="AC58" s="744"/>
      <c r="AD58" s="400"/>
    </row>
    <row r="59" spans="2:58" ht="15" customHeight="1" x14ac:dyDescent="0.35">
      <c r="B59" s="410">
        <v>4</v>
      </c>
      <c r="C59" s="744" t="s">
        <v>1235</v>
      </c>
      <c r="D59" s="744"/>
      <c r="E59" s="744"/>
      <c r="F59" s="744"/>
      <c r="G59" s="744"/>
      <c r="H59" s="744"/>
      <c r="I59" s="744"/>
      <c r="J59" s="744"/>
      <c r="K59" s="744"/>
      <c r="L59" s="744"/>
      <c r="M59" s="744"/>
      <c r="N59" s="744"/>
      <c r="O59" s="744"/>
      <c r="P59" s="744"/>
      <c r="Q59" s="744"/>
      <c r="R59" s="744"/>
      <c r="S59" s="744"/>
      <c r="T59" s="744"/>
      <c r="U59" s="744"/>
      <c r="V59" s="744"/>
      <c r="W59" s="744"/>
      <c r="X59" s="744"/>
      <c r="Y59" s="744"/>
      <c r="Z59" s="744"/>
      <c r="AA59" s="744"/>
      <c r="AB59" s="744"/>
      <c r="AC59" s="744"/>
      <c r="AD59" s="400"/>
    </row>
    <row r="60" spans="2:58" ht="15" customHeight="1" x14ac:dyDescent="0.35">
      <c r="B60" s="410">
        <v>5</v>
      </c>
      <c r="C60" s="744" t="s">
        <v>1235</v>
      </c>
      <c r="D60" s="744"/>
      <c r="E60" s="744"/>
      <c r="F60" s="744"/>
      <c r="G60" s="744"/>
      <c r="H60" s="744"/>
      <c r="I60" s="744"/>
      <c r="J60" s="744"/>
      <c r="K60" s="744"/>
      <c r="L60" s="744"/>
      <c r="M60" s="744"/>
      <c r="N60" s="744"/>
      <c r="O60" s="744"/>
      <c r="P60" s="744"/>
      <c r="Q60" s="744"/>
      <c r="R60" s="744"/>
      <c r="S60" s="744"/>
      <c r="T60" s="744"/>
      <c r="U60" s="744"/>
      <c r="V60" s="744"/>
      <c r="W60" s="744"/>
      <c r="X60" s="744"/>
      <c r="Y60" s="744"/>
      <c r="Z60" s="744"/>
      <c r="AA60" s="744"/>
      <c r="AB60" s="744"/>
      <c r="AC60" s="744"/>
      <c r="AD60" s="400"/>
    </row>
    <row r="61" spans="2:58" ht="15" customHeight="1" x14ac:dyDescent="0.35">
      <c r="B61" s="410">
        <v>6</v>
      </c>
      <c r="C61" s="744" t="s">
        <v>1235</v>
      </c>
      <c r="D61" s="744"/>
      <c r="E61" s="744"/>
      <c r="F61" s="744"/>
      <c r="G61" s="744"/>
      <c r="H61" s="744"/>
      <c r="I61" s="744"/>
      <c r="J61" s="744"/>
      <c r="K61" s="744"/>
      <c r="L61" s="744"/>
      <c r="M61" s="744"/>
      <c r="N61" s="744"/>
      <c r="O61" s="744"/>
      <c r="P61" s="744"/>
      <c r="Q61" s="744"/>
      <c r="R61" s="744"/>
      <c r="S61" s="744"/>
      <c r="T61" s="744"/>
      <c r="U61" s="744"/>
      <c r="V61" s="744"/>
      <c r="W61" s="744"/>
      <c r="X61" s="744"/>
      <c r="Y61" s="744"/>
      <c r="Z61" s="744"/>
      <c r="AA61" s="744"/>
      <c r="AB61" s="744"/>
      <c r="AC61" s="744"/>
      <c r="AD61" s="400"/>
    </row>
    <row r="62" spans="2:58" ht="15" customHeight="1" x14ac:dyDescent="0.35">
      <c r="B62" s="410">
        <v>7</v>
      </c>
      <c r="C62" s="744" t="s">
        <v>1235</v>
      </c>
      <c r="D62" s="744"/>
      <c r="E62" s="744"/>
      <c r="F62" s="744"/>
      <c r="G62" s="744"/>
      <c r="H62" s="744"/>
      <c r="I62" s="744"/>
      <c r="J62" s="744"/>
      <c r="K62" s="744"/>
      <c r="L62" s="744"/>
      <c r="M62" s="744"/>
      <c r="N62" s="744"/>
      <c r="O62" s="744"/>
      <c r="P62" s="744"/>
      <c r="Q62" s="744"/>
      <c r="R62" s="744"/>
      <c r="S62" s="744"/>
      <c r="T62" s="744"/>
      <c r="U62" s="744"/>
      <c r="V62" s="744"/>
      <c r="W62" s="744"/>
      <c r="X62" s="744"/>
      <c r="Y62" s="744"/>
      <c r="Z62" s="744"/>
      <c r="AA62" s="744"/>
      <c r="AB62" s="744"/>
      <c r="AC62" s="744"/>
      <c r="AD62" s="400"/>
    </row>
    <row r="63" spans="2:58" ht="15" customHeight="1" x14ac:dyDescent="0.35">
      <c r="B63" s="410">
        <v>8</v>
      </c>
      <c r="C63" s="744" t="s">
        <v>1235</v>
      </c>
      <c r="D63" s="744"/>
      <c r="E63" s="744"/>
      <c r="F63" s="744"/>
      <c r="G63" s="744"/>
      <c r="H63" s="744"/>
      <c r="I63" s="744"/>
      <c r="J63" s="744"/>
      <c r="K63" s="744"/>
      <c r="L63" s="744"/>
      <c r="M63" s="744"/>
      <c r="N63" s="744"/>
      <c r="O63" s="744"/>
      <c r="P63" s="744"/>
      <c r="Q63" s="744"/>
      <c r="R63" s="744"/>
      <c r="S63" s="744"/>
      <c r="T63" s="744"/>
      <c r="U63" s="744"/>
      <c r="V63" s="744"/>
      <c r="W63" s="744"/>
      <c r="X63" s="744"/>
      <c r="Y63" s="744"/>
      <c r="Z63" s="744"/>
      <c r="AA63" s="744"/>
      <c r="AB63" s="744"/>
      <c r="AC63" s="744"/>
      <c r="AD63" s="400"/>
    </row>
    <row r="64" spans="2:58" ht="15" customHeight="1" x14ac:dyDescent="0.35">
      <c r="B64" s="410">
        <v>9</v>
      </c>
      <c r="C64" s="744" t="s">
        <v>1235</v>
      </c>
      <c r="D64" s="744"/>
      <c r="E64" s="744"/>
      <c r="F64" s="744"/>
      <c r="G64" s="744"/>
      <c r="H64" s="744"/>
      <c r="I64" s="744"/>
      <c r="J64" s="744"/>
      <c r="K64" s="744"/>
      <c r="L64" s="744"/>
      <c r="M64" s="744"/>
      <c r="N64" s="744"/>
      <c r="O64" s="744"/>
      <c r="P64" s="744"/>
      <c r="Q64" s="744"/>
      <c r="R64" s="744"/>
      <c r="S64" s="744"/>
      <c r="T64" s="744"/>
      <c r="U64" s="744"/>
      <c r="V64" s="744"/>
      <c r="W64" s="744"/>
      <c r="X64" s="744"/>
      <c r="Y64" s="744"/>
      <c r="Z64" s="744"/>
      <c r="AA64" s="744"/>
      <c r="AB64" s="744"/>
      <c r="AC64" s="744"/>
      <c r="AD64" s="400"/>
    </row>
    <row r="65" spans="2:30" ht="15" customHeight="1" x14ac:dyDescent="0.35">
      <c r="B65" s="410">
        <v>10</v>
      </c>
      <c r="C65" s="744" t="s">
        <v>1235</v>
      </c>
      <c r="D65" s="744"/>
      <c r="E65" s="744"/>
      <c r="F65" s="744"/>
      <c r="G65" s="744"/>
      <c r="H65" s="744"/>
      <c r="I65" s="744"/>
      <c r="J65" s="744"/>
      <c r="K65" s="744"/>
      <c r="L65" s="744"/>
      <c r="M65" s="744"/>
      <c r="N65" s="744"/>
      <c r="O65" s="744"/>
      <c r="P65" s="744"/>
      <c r="Q65" s="744"/>
      <c r="R65" s="744"/>
      <c r="S65" s="744"/>
      <c r="T65" s="744"/>
      <c r="U65" s="744"/>
      <c r="V65" s="744"/>
      <c r="W65" s="744"/>
      <c r="X65" s="744"/>
      <c r="Y65" s="744"/>
      <c r="Z65" s="744"/>
      <c r="AA65" s="744"/>
      <c r="AB65" s="744"/>
      <c r="AC65" s="744"/>
      <c r="AD65" s="400"/>
    </row>
    <row r="66" spans="2:30" ht="15" customHeight="1" x14ac:dyDescent="0.35">
      <c r="B66" s="432"/>
      <c r="C66" s="381"/>
      <c r="D66" s="381"/>
      <c r="E66" s="381"/>
      <c r="F66" s="381"/>
      <c r="G66" s="381"/>
      <c r="H66" s="381"/>
      <c r="I66" s="381"/>
      <c r="J66" s="381"/>
      <c r="K66" s="381"/>
      <c r="L66" s="381"/>
      <c r="M66" s="381"/>
      <c r="N66" s="381"/>
      <c r="O66" s="381"/>
      <c r="P66" s="381"/>
      <c r="Q66" s="381"/>
      <c r="R66" s="381"/>
      <c r="S66" s="381"/>
      <c r="T66" s="381"/>
      <c r="U66" s="381"/>
      <c r="V66" s="381"/>
      <c r="W66" s="381"/>
      <c r="X66" s="381"/>
      <c r="Y66" s="381"/>
      <c r="Z66" s="381"/>
      <c r="AA66" s="381"/>
      <c r="AB66" s="381"/>
      <c r="AC66" s="381"/>
      <c r="AD66" s="442"/>
    </row>
    <row r="67" spans="2:30" ht="15" customHeight="1" x14ac:dyDescent="0.35"/>
    <row r="68" spans="2:30" ht="15" customHeight="1" x14ac:dyDescent="0.35"/>
    <row r="69" spans="2:30" ht="15" customHeight="1" x14ac:dyDescent="0.35"/>
    <row r="70" spans="2:30" ht="15" customHeight="1" x14ac:dyDescent="0.35"/>
    <row r="71" spans="2:30" ht="15" customHeight="1" x14ac:dyDescent="0.35"/>
    <row r="72" spans="2:30" ht="15" customHeight="1" x14ac:dyDescent="0.35"/>
    <row r="73" spans="2:30" ht="15" customHeight="1" x14ac:dyDescent="0.35"/>
    <row r="74" spans="2:30" ht="15" customHeight="1" x14ac:dyDescent="0.35"/>
    <row r="75" spans="2:30" ht="15" customHeight="1" x14ac:dyDescent="0.35"/>
    <row r="76" spans="2:30" ht="15" customHeight="1" x14ac:dyDescent="0.35"/>
    <row r="77" spans="2:30" ht="15" customHeight="1" x14ac:dyDescent="0.35"/>
    <row r="78" spans="2:30" ht="15" customHeight="1" x14ac:dyDescent="0.35"/>
    <row r="79" spans="2:30" ht="15" customHeight="1" x14ac:dyDescent="0.35"/>
    <row r="80" spans="2:3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sheetData>
  <sheetProtection sheet="1" objects="1" scenarios="1"/>
  <mergeCells count="50">
    <mergeCell ref="E18:F18"/>
    <mergeCell ref="E19:F19"/>
    <mergeCell ref="C37:D37"/>
    <mergeCell ref="C40:D40"/>
    <mergeCell ref="B2:AD2"/>
    <mergeCell ref="C4:D4"/>
    <mergeCell ref="G4:H4"/>
    <mergeCell ref="J4:L4"/>
    <mergeCell ref="G18:H18"/>
    <mergeCell ref="E12:F12"/>
    <mergeCell ref="E13:F13"/>
    <mergeCell ref="G9:H9"/>
    <mergeCell ref="E11:F11"/>
    <mergeCell ref="AF31:AN31"/>
    <mergeCell ref="M31:AD31"/>
    <mergeCell ref="B31:L31"/>
    <mergeCell ref="E20:F20"/>
    <mergeCell ref="G24:H24"/>
    <mergeCell ref="G29:H29"/>
    <mergeCell ref="C60:AC60"/>
    <mergeCell ref="C59:AC59"/>
    <mergeCell ref="C58:AC58"/>
    <mergeCell ref="J19:L19"/>
    <mergeCell ref="C48:D48"/>
    <mergeCell ref="C47:D47"/>
    <mergeCell ref="C46:D46"/>
    <mergeCell ref="C45:D45"/>
    <mergeCell ref="C36:D36"/>
    <mergeCell ref="C35:D35"/>
    <mergeCell ref="C34:D34"/>
    <mergeCell ref="C33:D33"/>
    <mergeCell ref="C32:D32"/>
    <mergeCell ref="C44:D44"/>
    <mergeCell ref="C43:D43"/>
    <mergeCell ref="C65:AC65"/>
    <mergeCell ref="C64:AC64"/>
    <mergeCell ref="C63:AC63"/>
    <mergeCell ref="C62:AC62"/>
    <mergeCell ref="C61:AC61"/>
    <mergeCell ref="C57:AC57"/>
    <mergeCell ref="C56:AC56"/>
    <mergeCell ref="B54:AD54"/>
    <mergeCell ref="C39:D39"/>
    <mergeCell ref="C38:D38"/>
    <mergeCell ref="C42:D42"/>
    <mergeCell ref="C41:D41"/>
    <mergeCell ref="C52:D52"/>
    <mergeCell ref="C51:D51"/>
    <mergeCell ref="C50:D50"/>
    <mergeCell ref="C49:D49"/>
  </mergeCells>
  <conditionalFormatting sqref="C56:C65">
    <cfRule type="expression" dxfId="21" priority="1">
      <formula>$AO56=1</formula>
    </cfRule>
  </conditionalFormatting>
  <conditionalFormatting sqref="C33:C52 E33:AC52">
    <cfRule type="expression" dxfId="20" priority="4">
      <formula>$BE33=1</formula>
    </cfRule>
  </conditionalFormatting>
  <conditionalFormatting sqref="H7">
    <cfRule type="containsText" dxfId="19" priority="6" operator="containsText" text="UNDER">
      <formula>NOT(ISERROR(SEARCH("UNDER",H7)))</formula>
    </cfRule>
  </conditionalFormatting>
  <conditionalFormatting sqref="AE33:AN52">
    <cfRule type="expression" dxfId="18" priority="5">
      <formula>$BE33=1</formula>
    </cfRule>
  </conditionalFormatting>
  <conditionalFormatting sqref="D19">
    <cfRule type="expression" dxfId="17" priority="7">
      <formula>AND(N($E$19)&gt;0,ISNUMBER($BH$40),N($E$19)&lt;$BH$40)</formula>
    </cfRule>
  </conditionalFormatting>
  <conditionalFormatting sqref="D19">
    <cfRule type="expression" dxfId="16" priority="8">
      <formula>N($E$19)&gt;0</formula>
    </cfRule>
  </conditionalFormatting>
  <conditionalFormatting sqref="D20">
    <cfRule type="expression" dxfId="15" priority="9">
      <formula>AND(N($E$20)&gt;0,ISNUMBER($BH$41),N($E$20)&lt;$BH$41)</formula>
    </cfRule>
  </conditionalFormatting>
  <conditionalFormatting sqref="D20">
    <cfRule type="expression" dxfId="14" priority="10">
      <formula>N($E$20)&gt;0</formula>
    </cfRule>
  </conditionalFormatting>
  <conditionalFormatting sqref="D13">
    <cfRule type="expression" dxfId="13" priority="11">
      <formula>AND(N($E$13)&gt;0,ISNUMBER($BH$45),N($E$13)&lt;$BH$45)</formula>
    </cfRule>
  </conditionalFormatting>
  <conditionalFormatting sqref="D13">
    <cfRule type="expression" dxfId="12" priority="12">
      <formula>N($E$13)&gt;0</formula>
    </cfRule>
  </conditionalFormatting>
  <conditionalFormatting sqref="E12:F12">
    <cfRule type="expression" dxfId="11" priority="13">
      <formula>AND(N($E$12)&gt;0,N($E$12)&lt;N($BH$46))</formula>
    </cfRule>
  </conditionalFormatting>
  <dataValidations count="18">
    <dataValidation type="list" allowBlank="1" showInputMessage="1" showErrorMessage="1" sqref="E33:E52" xr:uid="{EF6B610A-1077-4565-B7F7-AB96C58554BF}">
      <formula1>"1,2,3"</formula1>
    </dataValidation>
    <dataValidation type="list" allowBlank="1" showInputMessage="1" showErrorMessage="1" sqref="D8" xr:uid="{F9B2085A-4CD8-45D5-B48A-6B1EFD0ED88A}">
      <formula1>Volt_Sys</formula1>
    </dataValidation>
    <dataValidation type="list" allowBlank="1" showInputMessage="1" showErrorMessage="1" sqref="M33:M52" xr:uid="{EA7B1765-BE2F-44A5-9759-D7F76DCA0290}">
      <formula1>"FVNR,FVR,Two-Speed,Soft Start,VFD,Feeder,Lighting Xfmr,Spare,Space"</formula1>
    </dataValidation>
    <dataValidation type="list" allowBlank="1" showInputMessage="1" showErrorMessage="1" sqref="N33:N52" xr:uid="{A6CE8DE4-4DBC-4B0E-8A03-319DB22281B0}">
      <formula1>"00,0,1,2,3,4,5,6"</formula1>
    </dataValidation>
    <dataValidation type="list" allowBlank="1" showInputMessage="1" showErrorMessage="1" sqref="P33:Q52 Z33:Z52" xr:uid="{AC7444B3-04D7-4B3E-95AD-18840D52B022}">
      <formula1>"Yes,No"</formula1>
    </dataValidation>
    <dataValidation type="list" allowBlank="1" showInputMessage="1" showErrorMessage="1" sqref="V33:V52" xr:uid="{BCF2A90F-7492-4CCF-B192-EFA8AABF7FC7}">
      <formula1>"MCP,MCCB,Fusible Switch"</formula1>
    </dataValidation>
    <dataValidation type="list" allowBlank="1" showInputMessage="1" showErrorMessage="1" sqref="O33:O52" xr:uid="{AA4D8334-BA6B-4544-947B-BC1F40D93B9F}">
      <formula1>"None,VFD,Soft Start"</formula1>
    </dataValidation>
    <dataValidation type="list" allowBlank="1" showInputMessage="1" showErrorMessage="1" errorTitle="Invalid entry" error="Pick a value from the dropdown list." sqref="D14" xr:uid="{7043DC1F-33DA-40B1-86F0-3106C7DF4857}">
      <formula1>"Surface,Flush,Free-standing,Pad-mounted"</formula1>
    </dataValidation>
    <dataValidation type="list" allowBlank="1" showInputMessage="1" showErrorMessage="1" errorTitle="Invalid entry" error="Pick a value from the dropdown list." sqref="D15" xr:uid="{8BE5EEF6-57B4-4215-9230-9D29FAC34795}">
      <formula1>"NEMA 1,NEMA 1 Gasketed,NEMA 3R,NEMA 4,NEMA 4X,NEMA 12"</formula1>
    </dataValidation>
    <dataValidation type="list" allowBlank="1" showInputMessage="1" showErrorMessage="1" errorTitle="Invalid entry" error="Pick a value from the dropdown list." sqref="H12" xr:uid="{8534F718-13E3-4B97-B99E-486EE58057F5}">
      <formula1>"Top,Bottom,Top &amp; Bottom,End"</formula1>
    </dataValidation>
    <dataValidation type="list" allowBlank="1" showInputMessage="1" showErrorMessage="1" errorTitle="Invalid entry" error="Pick a standard control transformer size from the list." sqref="X33:X52" xr:uid="{ECCE4933-7A8F-4F76-8782-2C1FD34BDAD1}">
      <formula1>"None,50,75,100,150,200,250,350,500"</formula1>
    </dataValidation>
    <dataValidation type="list" errorStyle="warning" allowBlank="1" showInputMessage="1" showErrorMessage="1" errorTitle="Non-standard pilot devices" error="Not a standard combination - custom entry accepted." sqref="Y33:Y52" xr:uid="{5E0E3B08-9124-480E-8032-E6660F867F67}">
      <formula1>$BQ$2:$BQ$9</formula1>
    </dataValidation>
    <dataValidation type="list" allowBlank="1" showInputMessage="1" showErrorMessage="1" errorTitle="Invalid service factor" error="Use a NEMA MG 1 nameplate service factor: 1.00, 1.15, 1.25 or 1.35." sqref="R33:R52" xr:uid="{4D412900-12B4-4C7F-AB38-DA41BD92A913}">
      <formula1>"1,1.15,1.25,1.35"</formula1>
    </dataValidation>
    <dataValidation type="list" allowBlank="1" showInputMessage="1" showErrorMessage="1" errorTitle="Standard rating" error="Pick a standard rating from the list, or clear the cell to use the calculated value." sqref="E19" xr:uid="{9CA0EEC0-7B80-4167-9EAE-13A8DB1EA014}">
      <formula1>Brace_List</formula1>
    </dataValidation>
    <dataValidation type="list" allowBlank="1" showInputMessage="1" showErrorMessage="1" errorTitle="Standard rating" error="Pick a standard rating from the list, or clear the cell to use the calculated value." sqref="E20" xr:uid="{23BD637B-CCBA-46CC-815B-97F0A96F47C6}">
      <formula1>Bus_List</formula1>
    </dataValidation>
    <dataValidation type="list" allowBlank="1" showInputMessage="1" showErrorMessage="1" sqref="E13" xr:uid="{813ED509-C1AD-485B-AD93-BB9A4D0406C4}">
      <formula1>AIC_List</formula1>
    </dataValidation>
    <dataValidation type="list" allowBlank="1" showInputMessage="1" sqref="E12" xr:uid="{843BA95F-13B3-44CD-B126-AEB89568C835}">
      <formula1>OCPD_List</formula1>
    </dataValidation>
    <dataValidation type="list" allowBlank="1" showInputMessage="1" showErrorMessage="1" errorTitle="Invalid entry" error="Pick a value from the dropdown list." sqref="D24 D21" xr:uid="{43E04151-73F6-4AFD-B193-EE93153BD95B}">
      <formula1>"Class I Type A,Class I Type B,Class II Type B,Class II Type C,Class III Type C"</formula1>
    </dataValidation>
  </dataValidations>
  <pageMargins left="0.7" right="0.7" top="0.75" bottom="0.75" header="0.3" footer="0.3"/>
  <pageSetup scale="30"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37BB-1E3A-41C6-92E8-819AA5386F5C}">
  <sheetPr codeName="Sheet6">
    <tabColor rgb="FFC00000"/>
    <pageSetUpPr fitToPage="1"/>
  </sheetPr>
  <dimension ref="A1:BD126"/>
  <sheetViews>
    <sheetView showGridLines="0" showRowColHeaders="0" workbookViewId="0">
      <selection activeCell="D7" sqref="D7"/>
    </sheetView>
  </sheetViews>
  <sheetFormatPr defaultColWidth="8.7265625" defaultRowHeight="16" outlineLevelCol="1" x14ac:dyDescent="0.35"/>
  <cols>
    <col min="1" max="1" width="2.7265625" style="10" customWidth="1"/>
    <col min="2" max="2" width="5.7265625" style="10" customWidth="1"/>
    <col min="3" max="4" width="23.26953125" style="10" customWidth="1"/>
    <col min="5" max="6" width="6.26953125" style="10" customWidth="1"/>
    <col min="7" max="8" width="23.26953125" style="10" customWidth="1"/>
    <col min="9" max="9" width="12" style="10" customWidth="1"/>
    <col min="10" max="11" width="23.26953125" style="10" customWidth="1"/>
    <col min="12" max="12" width="23.26953125" style="10" customWidth="1" collapsed="1"/>
    <col min="13" max="13" width="5.7265625" style="10" customWidth="1"/>
    <col min="14" max="14" width="2.7265625" style="10" customWidth="1"/>
    <col min="15" max="23" width="9.1796875" style="10" customWidth="1" outlineLevel="1"/>
    <col min="24" max="24" width="4.7265625" style="10" customWidth="1"/>
    <col min="25" max="25" width="5.81640625" style="10" hidden="1" customWidth="1" outlineLevel="1"/>
    <col min="26" max="41" width="5.81640625" style="31" hidden="1" customWidth="1" outlineLevel="1"/>
    <col min="42" max="42" width="8.7265625" style="31" hidden="1" customWidth="1" outlineLevel="1" collapsed="1"/>
    <col min="43" max="44" width="8.7265625" style="31" hidden="1" customWidth="1" outlineLevel="1"/>
    <col min="45" max="50" width="12.1796875" style="31" hidden="1" customWidth="1" outlineLevel="1"/>
    <col min="51" max="51" width="8.7265625" style="31" hidden="1" customWidth="1" outlineLevel="1"/>
    <col min="52" max="52" width="8.7265625" style="10" hidden="1" customWidth="1" outlineLevel="1"/>
    <col min="53" max="55" width="0" style="10" hidden="1" customWidth="1" outlineLevel="1"/>
    <col min="56" max="56" width="8.7265625" style="10" collapsed="1"/>
    <col min="57" max="16384" width="8.7265625" style="10"/>
  </cols>
  <sheetData>
    <row r="1" spans="1:50" x14ac:dyDescent="0.35">
      <c r="AS1" s="31" t="s">
        <v>895</v>
      </c>
      <c r="AU1" s="31" t="s">
        <v>1206</v>
      </c>
      <c r="AV1" s="31" t="s">
        <v>1207</v>
      </c>
      <c r="AW1" s="31" t="s">
        <v>1208</v>
      </c>
      <c r="AX1" s="31" t="s">
        <v>1209</v>
      </c>
    </row>
    <row r="2" spans="1:50" ht="30" customHeight="1" x14ac:dyDescent="0.35">
      <c r="A2"/>
      <c r="B2" s="754" t="s">
        <v>102</v>
      </c>
      <c r="C2" s="755"/>
      <c r="D2" s="755"/>
      <c r="E2" s="755"/>
      <c r="F2" s="755"/>
      <c r="G2" s="755"/>
      <c r="H2" s="755"/>
      <c r="I2" s="755"/>
      <c r="J2" s="755"/>
      <c r="K2" s="755"/>
      <c r="L2" s="755"/>
      <c r="M2" s="756"/>
      <c r="N2" s="344"/>
      <c r="O2" s="344"/>
      <c r="P2" s="344"/>
      <c r="Q2" s="344"/>
      <c r="R2" s="344"/>
      <c r="S2" s="344"/>
      <c r="T2" s="344"/>
      <c r="U2" s="344"/>
      <c r="V2" s="344"/>
      <c r="W2" s="344"/>
      <c r="X2" s="391"/>
      <c r="AS2" s="392" t="s">
        <v>896</v>
      </c>
      <c r="AT2" s="393" t="s">
        <v>1199</v>
      </c>
      <c r="AU2" s="31" t="s">
        <v>103</v>
      </c>
      <c r="AV2" s="31" t="s">
        <v>1181</v>
      </c>
      <c r="AW2" s="31" t="s">
        <v>1182</v>
      </c>
      <c r="AX2" s="31">
        <v>0</v>
      </c>
    </row>
    <row r="3" spans="1:50" ht="15" customHeight="1" x14ac:dyDescent="0.35">
      <c r="A3"/>
      <c r="B3" s="394"/>
      <c r="C3" s="391"/>
      <c r="D3" s="391"/>
      <c r="E3" s="391"/>
      <c r="F3" s="391"/>
      <c r="G3" s="391"/>
      <c r="H3" s="391"/>
      <c r="I3" s="391"/>
      <c r="J3" s="391"/>
      <c r="K3" s="391"/>
      <c r="L3" s="391"/>
      <c r="M3" s="395"/>
      <c r="N3" s="344"/>
      <c r="O3" s="344"/>
      <c r="P3" s="344"/>
      <c r="Q3" s="344"/>
      <c r="R3" s="344"/>
      <c r="S3" s="344"/>
      <c r="T3" s="344"/>
      <c r="U3" s="344"/>
      <c r="V3" s="344"/>
      <c r="W3" s="344"/>
      <c r="X3" s="391"/>
      <c r="AS3" s="392" t="s">
        <v>1164</v>
      </c>
      <c r="AT3" s="393" t="s">
        <v>1175</v>
      </c>
    </row>
    <row r="4" spans="1:50" ht="15" customHeight="1" x14ac:dyDescent="0.35">
      <c r="A4"/>
      <c r="B4" s="394"/>
      <c r="C4" s="757" t="s">
        <v>1183</v>
      </c>
      <c r="D4" s="757"/>
      <c r="E4" s="391"/>
      <c r="F4" s="391"/>
      <c r="G4" s="790" t="s">
        <v>1898</v>
      </c>
      <c r="H4" s="790"/>
      <c r="I4" s="391"/>
      <c r="J4" s="758" t="str" cm="1">
        <f t="array" ref="J4">"LOAD SUMMARY &amp; NEC "&amp;NECREF("220")&amp;" DEMAND"</f>
        <v>LOAD SUMMARY &amp; NEC 220 DEMAND</v>
      </c>
      <c r="K4" s="758"/>
      <c r="L4" s="758"/>
      <c r="M4" s="395"/>
      <c r="N4" s="344"/>
      <c r="O4" s="344"/>
      <c r="P4" s="344"/>
      <c r="Q4" s="344"/>
      <c r="R4" s="344"/>
      <c r="S4" s="344"/>
      <c r="T4" s="344"/>
      <c r="U4" s="344"/>
      <c r="V4" s="344"/>
      <c r="W4" s="344"/>
      <c r="X4" s="391"/>
      <c r="AS4" s="392" t="s">
        <v>897</v>
      </c>
      <c r="AT4" s="393" t="s">
        <v>1200</v>
      </c>
      <c r="AU4" s="31" t="s">
        <v>164</v>
      </c>
      <c r="AV4" s="31" t="s">
        <v>1181</v>
      </c>
      <c r="AW4" s="31" t="s">
        <v>1182</v>
      </c>
      <c r="AX4" s="31">
        <v>0</v>
      </c>
    </row>
    <row r="5" spans="1:50" ht="15" customHeight="1" x14ac:dyDescent="0.45">
      <c r="A5"/>
      <c r="B5" s="394"/>
      <c r="C5" s="396" t="s">
        <v>103</v>
      </c>
      <c r="D5" s="261"/>
      <c r="E5" s="391"/>
      <c r="F5" s="391"/>
      <c r="G5" s="782" t="s">
        <v>169</v>
      </c>
      <c r="H5" s="784" t="str">
        <f>IF(Cfg_SCA="","",Cfg_SCA)</f>
        <v/>
      </c>
      <c r="I5" s="788"/>
      <c r="J5" s="794" t="s">
        <v>193</v>
      </c>
      <c r="K5" s="795" t="s">
        <v>1249</v>
      </c>
      <c r="L5" s="795" t="s">
        <v>1250</v>
      </c>
      <c r="M5" s="397"/>
      <c r="N5" s="344"/>
      <c r="O5" s="344"/>
      <c r="P5" s="344"/>
      <c r="Q5" s="344"/>
      <c r="R5" s="344"/>
      <c r="S5" s="344"/>
      <c r="T5" s="344"/>
      <c r="U5" s="344"/>
      <c r="V5" s="344"/>
      <c r="W5" s="344"/>
      <c r="X5" s="391"/>
      <c r="AS5" s="392" t="s">
        <v>898</v>
      </c>
      <c r="AT5" s="393" t="s">
        <v>1201</v>
      </c>
      <c r="AU5" s="31" t="s">
        <v>168</v>
      </c>
      <c r="AV5" s="31" t="s">
        <v>1181</v>
      </c>
      <c r="AW5" s="31" t="s">
        <v>1182</v>
      </c>
      <c r="AX5" s="31">
        <v>0</v>
      </c>
    </row>
    <row r="6" spans="1:50" ht="15" customHeight="1" x14ac:dyDescent="0.35">
      <c r="A6"/>
      <c r="B6" s="394"/>
      <c r="C6" s="396" t="s">
        <v>104</v>
      </c>
      <c r="D6" s="261" t="str" cm="1">
        <f t="array" ref="D6">IFERROR(_xlfn.LET(_xlpm.f,SUBSTITUTE(_xlfn.XLOOKUP($D$5,Equip_List,Equip_FedFrom,"")&amp;"","(unassigned)",""),_xlpm.t,"T-"&amp;$D$5,_xlpm.src,IF(_xlpm.f="",IF(ROWS(Util_TagList)=1,INDEX(Util_TagList,1),"—"),_xlpm.f),IF(COUNTIF(Transformers!$A$1:$A$400,_xlpm.t)&gt;0,_xlpm.src&amp;" via "&amp;_xlpm.t,_xlpm.src)),"—")</f>
        <v>Utility Service</v>
      </c>
      <c r="E6" s="391"/>
      <c r="F6" s="391"/>
      <c r="G6" s="782" t="s">
        <v>170</v>
      </c>
      <c r="H6" s="784" t="str" cm="1">
        <f t="array" ref="H6">IF(Tog_SC&lt;&gt;"ON","",IF(OR($H$5="",$AQ$27="",$AQ$33=""),"",IF($AQ$33=0,$H$5,$H$5/(1+(IF($AQ$29=3,SQRT3,2)*N($H$13)*$H$5)/(INDEX(INDEX(Cond_Table,0,FeederCcol),$AQ$33)*$AQ$27)))))</f>
        <v/>
      </c>
      <c r="I6" s="788"/>
      <c r="J6" s="796" t="s">
        <v>87</v>
      </c>
      <c r="K6" s="797">
        <f>SUM($O$29:$O$112)</f>
        <v>0</v>
      </c>
      <c r="L6" s="797">
        <f>$K6*1.25</f>
        <v>0</v>
      </c>
      <c r="M6" s="398"/>
      <c r="N6" s="344"/>
      <c r="O6" s="344"/>
      <c r="P6" s="344"/>
      <c r="Q6" s="344"/>
      <c r="R6" s="344"/>
      <c r="S6" s="344"/>
      <c r="T6" s="344"/>
      <c r="U6" s="344"/>
      <c r="V6" s="344"/>
      <c r="W6" s="344"/>
      <c r="X6" s="391"/>
      <c r="AS6" s="392" t="s">
        <v>899</v>
      </c>
      <c r="AT6" s="393" t="s">
        <v>1194</v>
      </c>
      <c r="AU6" s="31" t="s">
        <v>169</v>
      </c>
      <c r="AV6" s="31" t="s">
        <v>1195</v>
      </c>
      <c r="AW6" s="31" t="s">
        <v>1184</v>
      </c>
      <c r="AX6" s="31">
        <v>0</v>
      </c>
    </row>
    <row r="7" spans="1:50" ht="15" customHeight="1" x14ac:dyDescent="0.35">
      <c r="A7"/>
      <c r="B7" s="394"/>
      <c r="C7" s="396" t="s">
        <v>55</v>
      </c>
      <c r="D7" s="131"/>
      <c r="E7" s="391"/>
      <c r="F7" s="391"/>
      <c r="G7" s="782" t="s">
        <v>171</v>
      </c>
      <c r="H7" s="517" t="str">
        <f>IF(Tog_SC&lt;&gt;"ON","—",IF($D$13="","enter AIC",_xlfn.LET(_xlpm.study,IFERROR(_xlfn.XLOOKUP($D$5,'Short Circuit'!$A$6:$A$255,'Short Circuit'!$Q$6:$Q$255),""),_xlpm.worst,MAX(IF(ISNUMBER($H$6),$H$6,0),IF(ISNUMBER(_xlpm.study),_xlpm.study,0)),IF(_xlpm.worst=0,"—",IF($D$13&gt;=_xlpm.worst,"OK","UNDER-RATED")))))</f>
        <v>—</v>
      </c>
      <c r="I7" s="788"/>
      <c r="J7" s="796" t="s">
        <v>86</v>
      </c>
      <c r="K7" s="797">
        <f>SUM($P$29:$P$112)</f>
        <v>0</v>
      </c>
      <c r="L7" s="797">
        <f>$AQ$39-$BC$25</f>
        <v>0</v>
      </c>
      <c r="M7" s="398"/>
      <c r="N7" s="344"/>
      <c r="O7" s="344"/>
      <c r="P7" s="344"/>
      <c r="Q7" s="344"/>
      <c r="R7" s="344"/>
      <c r="S7" s="344"/>
      <c r="T7" s="344"/>
      <c r="U7" s="344"/>
      <c r="V7" s="344"/>
      <c r="W7" s="344"/>
      <c r="X7" s="391"/>
      <c r="AS7" s="392" t="s">
        <v>900</v>
      </c>
      <c r="AT7" s="393" t="s">
        <v>1202</v>
      </c>
      <c r="AU7" s="31" t="s">
        <v>170</v>
      </c>
      <c r="AV7" s="31" t="s">
        <v>1195</v>
      </c>
      <c r="AW7" s="31" t="s">
        <v>1184</v>
      </c>
      <c r="AX7" s="31">
        <v>0</v>
      </c>
    </row>
    <row r="8" spans="1:50" ht="15" customHeight="1" x14ac:dyDescent="0.35">
      <c r="A8"/>
      <c r="B8" s="394"/>
      <c r="C8" s="396" t="s">
        <v>164</v>
      </c>
      <c r="D8" s="131"/>
      <c r="E8" s="391"/>
      <c r="F8" s="391"/>
      <c r="I8" s="788"/>
      <c r="J8" s="796" t="s">
        <v>88</v>
      </c>
      <c r="K8" s="797">
        <f>SUM($Q$29:$Q$112)</f>
        <v>0</v>
      </c>
      <c r="L8" s="797">
        <f>$K8+0.25*$AQ$35</f>
        <v>0</v>
      </c>
      <c r="M8" s="398"/>
      <c r="N8" s="344"/>
      <c r="O8" s="344"/>
      <c r="P8" s="344"/>
      <c r="Q8" s="344"/>
      <c r="R8" s="344"/>
      <c r="S8" s="344"/>
      <c r="T8" s="344"/>
      <c r="U8" s="344"/>
      <c r="V8" s="344"/>
      <c r="W8" s="344"/>
      <c r="X8" s="391"/>
      <c r="AS8" s="392" t="s">
        <v>901</v>
      </c>
      <c r="AT8" s="393" t="s">
        <v>2125</v>
      </c>
      <c r="AU8" s="31" t="s">
        <v>174</v>
      </c>
      <c r="AV8" s="31" t="s">
        <v>1195</v>
      </c>
      <c r="AW8" s="31" t="s">
        <v>1184</v>
      </c>
      <c r="AX8" s="31">
        <v>0</v>
      </c>
    </row>
    <row r="9" spans="1:50" ht="15" customHeight="1" x14ac:dyDescent="0.35">
      <c r="A9"/>
      <c r="B9" s="394"/>
      <c r="C9" s="396" t="s">
        <v>165</v>
      </c>
      <c r="D9" s="261" t="str">
        <f>IF($D$8="","",$AQ$27&amp;" / "&amp;IF($AQ$28="","—",$AQ$28)&amp;" V")</f>
        <v/>
      </c>
      <c r="E9" s="391"/>
      <c r="F9" s="391"/>
      <c r="G9" s="781" t="s">
        <v>1897</v>
      </c>
      <c r="H9" s="787"/>
      <c r="I9" s="788"/>
      <c r="J9" s="796" t="s">
        <v>89</v>
      </c>
      <c r="K9" s="797">
        <f>SUM($R$29:$R$112)</f>
        <v>0</v>
      </c>
      <c r="L9" s="797">
        <f>$K9</f>
        <v>0</v>
      </c>
      <c r="M9" s="238"/>
      <c r="N9" s="344"/>
      <c r="O9" s="344"/>
      <c r="P9" s="344"/>
      <c r="Q9" s="344"/>
      <c r="R9" s="344"/>
      <c r="S9" s="344"/>
      <c r="T9" s="344"/>
      <c r="U9" s="344"/>
      <c r="V9" s="344"/>
      <c r="W9" s="344"/>
      <c r="X9" s="391"/>
      <c r="AS9" s="392" t="s">
        <v>902</v>
      </c>
      <c r="AT9" s="393" t="s">
        <v>2132</v>
      </c>
      <c r="AU9" s="31" t="s">
        <v>1196</v>
      </c>
      <c r="AV9" s="31" t="s">
        <v>1177</v>
      </c>
      <c r="AW9" s="31" t="s">
        <v>224</v>
      </c>
      <c r="AX9" s="31">
        <v>0</v>
      </c>
    </row>
    <row r="10" spans="1:50" ht="15" customHeight="1" x14ac:dyDescent="0.35">
      <c r="A10"/>
      <c r="B10" s="394"/>
      <c r="C10" s="396" t="s">
        <v>166</v>
      </c>
      <c r="D10" s="261" t="str">
        <f>IF($D$8="","",$AQ$29&amp;"Ø "&amp;IFERROR(VLOOKUP($D$8,Volt_Table,4,FALSE),"")&amp;"W")</f>
        <v/>
      </c>
      <c r="E10" s="391"/>
      <c r="F10" s="391"/>
      <c r="G10" s="782" t="s">
        <v>174</v>
      </c>
      <c r="H10" s="783">
        <f>$L$16</f>
        <v>0</v>
      </c>
      <c r="I10" s="788"/>
      <c r="J10" s="796" t="s">
        <v>90</v>
      </c>
      <c r="K10" s="797">
        <f>SUM($S$29:$S$112)</f>
        <v>0</v>
      </c>
      <c r="L10" s="797">
        <f>$K10</f>
        <v>0</v>
      </c>
      <c r="M10" s="395"/>
      <c r="N10" s="344"/>
      <c r="O10" s="344"/>
      <c r="P10" s="344"/>
      <c r="Q10" s="344"/>
      <c r="R10" s="344"/>
      <c r="S10" s="344"/>
      <c r="T10" s="344"/>
      <c r="U10" s="344"/>
      <c r="V10" s="344"/>
      <c r="W10" s="344"/>
      <c r="X10" s="391"/>
      <c r="AS10" s="392" t="s">
        <v>903</v>
      </c>
      <c r="AT10" s="393" t="s">
        <v>2140</v>
      </c>
      <c r="AU10" s="31" t="s">
        <v>1191</v>
      </c>
      <c r="AV10" s="31" t="s">
        <v>1210</v>
      </c>
      <c r="AW10" s="31" t="s">
        <v>1211</v>
      </c>
      <c r="AX10" s="31">
        <v>1</v>
      </c>
    </row>
    <row r="11" spans="1:50" ht="15" customHeight="1" x14ac:dyDescent="0.35">
      <c r="A11"/>
      <c r="B11" s="394"/>
      <c r="C11" s="396" t="s">
        <v>108</v>
      </c>
      <c r="D11" s="539" t="str" cm="1">
        <f t="array" ref="D11">_xlfn.LET(_xlpm.m,IFERROR(_xlfn.XLOOKUP($D$5,Equip_List,INDEX(Equip_Registry,0,5),"")&amp;"",""),_xlpm.f,IFERROR(SUBSTITUTE(_xlfn.XLOOKUP($D$5,Equip_List,Equip_FedFrom,"")&amp;"","(unassigned)",""),""),IF(_xlpm.m&lt;&gt;"",_xlpm.m,IF(OR(_xlpm.f="",ISNUMBER(MATCH(_xlpm.f,Util_Tags,0))),"MCB","MLO")))</f>
        <v>MCB</v>
      </c>
      <c r="E11" s="751" t="s">
        <v>1866</v>
      </c>
      <c r="F11" s="752"/>
      <c r="G11" s="782" t="s">
        <v>175</v>
      </c>
      <c r="H11" s="784" t="str">
        <f>IF($L$17="","",$L$17)</f>
        <v/>
      </c>
      <c r="I11" s="788"/>
      <c r="J11" s="796" t="s">
        <v>91</v>
      </c>
      <c r="K11" s="797">
        <f>SUM($T$29:$T$112)</f>
        <v>0</v>
      </c>
      <c r="L11" s="797">
        <f>$K11*IFERROR(VLOOKUP(MAX($AQ$34,1),Kitchen_Table,2,TRUE),1)</f>
        <v>0</v>
      </c>
      <c r="M11" s="395"/>
      <c r="N11" s="344"/>
      <c r="O11" s="344"/>
      <c r="P11" s="344"/>
      <c r="Q11" s="344"/>
      <c r="R11" s="344"/>
      <c r="S11" s="344"/>
      <c r="T11" s="344"/>
      <c r="U11" s="344"/>
      <c r="V11" s="344"/>
      <c r="W11" s="344"/>
      <c r="X11" s="391"/>
      <c r="AS11" s="392" t="s">
        <v>904</v>
      </c>
      <c r="AT11" s="393" t="s">
        <v>2141</v>
      </c>
      <c r="AU11" s="31" t="s">
        <v>1191</v>
      </c>
      <c r="AV11" s="31" t="s">
        <v>1210</v>
      </c>
      <c r="AW11" s="31" t="s">
        <v>1211</v>
      </c>
      <c r="AX11" s="31">
        <v>3</v>
      </c>
    </row>
    <row r="12" spans="1:50" ht="15" customHeight="1" x14ac:dyDescent="0.35">
      <c r="A12"/>
      <c r="B12" s="394"/>
      <c r="C12" s="396" t="s">
        <v>167</v>
      </c>
      <c r="D12" s="539" t="str">
        <f>IF(N($E$12)&gt;0,$E$12,$AQ$42)</f>
        <v/>
      </c>
      <c r="E12" s="760"/>
      <c r="F12" s="779"/>
      <c r="G12" s="782" t="s">
        <v>163</v>
      </c>
      <c r="H12" s="785"/>
      <c r="I12" s="788"/>
      <c r="J12" s="796" t="s">
        <v>217</v>
      </c>
      <c r="K12" s="797">
        <f>SUM($U$29:$U$112)</f>
        <v>0</v>
      </c>
      <c r="L12" s="797">
        <f>$K12</f>
        <v>0</v>
      </c>
      <c r="M12" s="395"/>
      <c r="N12" s="344"/>
      <c r="O12" s="344"/>
      <c r="P12" s="344"/>
      <c r="Q12" s="344"/>
      <c r="R12" s="344"/>
      <c r="S12" s="344"/>
      <c r="T12" s="344"/>
      <c r="U12" s="344"/>
      <c r="V12" s="344"/>
      <c r="W12" s="344"/>
      <c r="X12" s="391"/>
      <c r="AS12" s="392" t="s">
        <v>905</v>
      </c>
      <c r="AT12" s="393" t="s">
        <v>2144</v>
      </c>
    </row>
    <row r="13" spans="1:50" ht="15" customHeight="1" x14ac:dyDescent="0.35">
      <c r="A13"/>
      <c r="B13" s="394"/>
      <c r="C13" s="396" t="s">
        <v>168</v>
      </c>
      <c r="D13" s="67">
        <f>IF(N($E$13)&gt;0,$E$13,$AQ$41)</f>
        <v>10000</v>
      </c>
      <c r="E13" s="745"/>
      <c r="F13" s="780"/>
      <c r="G13" s="782" t="s">
        <v>109</v>
      </c>
      <c r="H13" s="786" t="str">
        <f>IF($D$5="","",_xlfn.LET(_xlpm.v,_xlfn.XLOOKUP($D$5,Equip_List,Equip_FdrLen,""),IF(_xlpm.v="","",_xlpm.v)))</f>
        <v/>
      </c>
      <c r="I13" s="788"/>
      <c r="J13" s="796" t="s">
        <v>218</v>
      </c>
      <c r="K13" s="797">
        <f>SUM($V$29:$V$112)</f>
        <v>0</v>
      </c>
      <c r="L13" s="797">
        <f>$K13</f>
        <v>0</v>
      </c>
      <c r="M13" s="395"/>
      <c r="N13" s="344"/>
      <c r="O13" s="344"/>
      <c r="P13" s="344"/>
      <c r="Q13" s="344"/>
      <c r="R13" s="344"/>
      <c r="S13" s="344"/>
      <c r="T13" s="344"/>
      <c r="U13" s="344"/>
      <c r="V13" s="344"/>
      <c r="W13" s="344"/>
      <c r="X13" s="391"/>
      <c r="AS13" s="392" t="s">
        <v>906</v>
      </c>
      <c r="AT13" s="393">
        <v>29</v>
      </c>
      <c r="AU13" s="31" t="s">
        <v>111</v>
      </c>
      <c r="AV13" s="31" t="s">
        <v>1179</v>
      </c>
      <c r="AX13" s="31">
        <v>1</v>
      </c>
    </row>
    <row r="14" spans="1:50" ht="15" customHeight="1" x14ac:dyDescent="0.35">
      <c r="A14"/>
      <c r="B14" s="394"/>
      <c r="C14" s="396" t="s">
        <v>105</v>
      </c>
      <c r="D14" s="131"/>
      <c r="E14" s="391"/>
      <c r="F14" s="391"/>
      <c r="G14" s="782" t="s">
        <v>1895</v>
      </c>
      <c r="H14" s="517" t="str">
        <f>IF($D$8="","",_xlfn.LET(_xlpm.fs,IFERROR(_xlfn.XLOOKUP("F-"&amp;$D$5,'Feeder Schedule'!$B$5:$B$254,'Feeder Schedule'!$O$5:$O$254),""),IF(_xlpm.fs&lt;&gt;"",_xlpm.fs,IF($AQ$32=0,"—",MAX(1,$AQ$40)))))</f>
        <v/>
      </c>
      <c r="I14" s="788"/>
      <c r="J14" s="796" t="s">
        <v>1892</v>
      </c>
      <c r="K14" s="797">
        <f>SUM($W$29:$W$112)+$K$25</f>
        <v>0</v>
      </c>
      <c r="L14" s="797">
        <f>SUM($W$29:$W$112)+$L$25</f>
        <v>0</v>
      </c>
      <c r="M14" s="395"/>
      <c r="N14" s="344"/>
      <c r="O14" s="344"/>
      <c r="P14" s="344"/>
      <c r="Q14" s="344"/>
      <c r="R14" s="344"/>
      <c r="S14" s="344"/>
      <c r="T14" s="344"/>
      <c r="U14" s="344"/>
      <c r="V14" s="344"/>
      <c r="W14" s="344"/>
      <c r="X14" s="391"/>
      <c r="AS14" s="392" t="s">
        <v>907</v>
      </c>
      <c r="AT14" s="393">
        <v>112</v>
      </c>
    </row>
    <row r="15" spans="1:50" ht="15" customHeight="1" x14ac:dyDescent="0.35">
      <c r="A15"/>
      <c r="B15" s="394"/>
      <c r="C15" s="396" t="s">
        <v>106</v>
      </c>
      <c r="D15" s="131"/>
      <c r="E15" s="391"/>
      <c r="F15" s="391"/>
      <c r="G15" s="782" t="s">
        <v>172</v>
      </c>
      <c r="H15" s="517" t="str" cm="1">
        <f t="array" ref="H15">IF($D$8="","",_xlfn.LET(_xlpm.fs,IFERROR(_xlfn.XLOOKUP("F-"&amp;$D$5,'Feeder Schedule'!$B$5:$B$254,'Feeder Schedule'!$P$5:$P$254),""),IF(_xlpm.fs&lt;&gt;"",_xlpm.fs,IF($AQ$32=0,"—",IF($AQ$40&gt;1,"("&amp;$AQ$40&amp;") ","")&amp;"#"&amp;INDEX(Cond_Size,$AQ$32)))))</f>
        <v/>
      </c>
      <c r="I15" s="788"/>
      <c r="J15" s="796" t="str" cm="1">
        <f t="array" ref="J15">"Existing Load (NEC "&amp;NECREF("220.87")&amp;")"</f>
        <v>Existing Load (NEC 220.87)</v>
      </c>
      <c r="K15" s="797" cm="1">
        <f t="array" ref="K15">IF($D$5="",0,SUMIFS('Utility Demand'!$M:$M,'Utility Demand'!$B:$B,"METER PEAK",'Utility Demand'!$O:$O,$D$5)+IF(Exist_LogBoard=$D$5,N('Logging Demand'!$C$47),0))</f>
        <v>0</v>
      </c>
      <c r="L15" s="797">
        <f>$K15*NEC_ExistFactor</f>
        <v>0</v>
      </c>
      <c r="M15" s="395"/>
      <c r="N15" s="344"/>
      <c r="O15" s="344"/>
      <c r="P15" s="344"/>
      <c r="Q15" s="344"/>
      <c r="R15" s="344"/>
      <c r="S15" s="344"/>
      <c r="T15" s="344"/>
      <c r="U15" s="344"/>
      <c r="V15" s="344"/>
      <c r="W15" s="344"/>
      <c r="X15" s="391"/>
      <c r="AS15" s="392" t="s">
        <v>1165</v>
      </c>
      <c r="AT15" s="393">
        <v>1</v>
      </c>
    </row>
    <row r="16" spans="1:50" ht="15" customHeight="1" x14ac:dyDescent="0.35">
      <c r="A16"/>
      <c r="B16" s="394"/>
      <c r="C16" s="396" t="s">
        <v>160</v>
      </c>
      <c r="D16" s="131"/>
      <c r="E16" s="391"/>
      <c r="F16" s="391"/>
      <c r="G16" s="782" t="s">
        <v>173</v>
      </c>
      <c r="H16" s="517" t="str" cm="1">
        <f t="array" ref="H16">IF($D$8="","",_xlfn.LET(_xlpm.fs,IFERROR(_xlfn.XLOOKUP("F-"&amp;$D$5,'Feeder Schedule'!$B$5:$B$254,'Feeder Schedule'!$R$5:$R$254),""),IF(ISNUMBER(_xlpm.fs),_xlpm.fs,IF(OR($D$8="",$AQ$31=""),"",IF($AQ$31&lt;=0,"—",IFERROR(INDEX(OCPD_List,MATCH($AQ$31,OCPD_List,1)+IF(INDEX(OCPD_List,MATCH($AQ$31,OCPD_List,1))&gt;=$AQ$31,0,1)),15))))))</f>
        <v/>
      </c>
      <c r="I16" s="788"/>
      <c r="J16" s="796" t="s">
        <v>1196</v>
      </c>
      <c r="K16" s="797">
        <f>SUM(K6:K15)</f>
        <v>0</v>
      </c>
      <c r="L16" s="797">
        <f>SUM(L6:L15)</f>
        <v>0</v>
      </c>
      <c r="M16" s="395"/>
      <c r="N16" s="344"/>
      <c r="O16" s="344"/>
      <c r="P16" s="344"/>
      <c r="Q16" s="344"/>
      <c r="R16" s="344"/>
      <c r="S16" s="344"/>
      <c r="T16" s="344"/>
      <c r="U16" s="344"/>
      <c r="V16" s="344"/>
      <c r="W16" s="344"/>
      <c r="X16" s="391"/>
      <c r="AS16" s="392" t="s">
        <v>1166</v>
      </c>
      <c r="AT16" s="393" t="s">
        <v>1181</v>
      </c>
    </row>
    <row r="17" spans="1:55" ht="15" customHeight="1" x14ac:dyDescent="0.35">
      <c r="A17"/>
      <c r="B17" s="394"/>
      <c r="C17" s="396" t="s">
        <v>161</v>
      </c>
      <c r="D17" s="131"/>
      <c r="E17" s="391"/>
      <c r="F17" s="391"/>
      <c r="I17" s="788"/>
      <c r="J17" s="796" t="s">
        <v>1197</v>
      </c>
      <c r="K17" s="798" t="str">
        <f>IF(OR($AQ$27="",$AQ$27=0),"",K16*1000/($AQ$27*$AQ$30))</f>
        <v/>
      </c>
      <c r="L17" s="798" t="str">
        <f>IF(OR($AQ$27="",$AQ$27=0),"",L16*1000/($AQ$27*$AQ$30))</f>
        <v/>
      </c>
      <c r="M17" s="395"/>
      <c r="N17" s="344"/>
      <c r="O17" s="344"/>
      <c r="P17" s="344"/>
      <c r="Q17" s="344"/>
      <c r="R17" s="344"/>
      <c r="S17" s="344"/>
      <c r="T17" s="344"/>
      <c r="U17" s="344"/>
      <c r="V17" s="344"/>
      <c r="W17" s="344"/>
      <c r="X17" s="391"/>
      <c r="AS17" s="392" t="s">
        <v>1167</v>
      </c>
      <c r="AT17" s="393" t="s">
        <v>1175</v>
      </c>
    </row>
    <row r="18" spans="1:55" ht="15" customHeight="1" x14ac:dyDescent="0.35">
      <c r="A18"/>
      <c r="B18" s="394"/>
      <c r="C18" s="396" t="s">
        <v>162</v>
      </c>
      <c r="D18" s="131"/>
      <c r="E18" s="751" t="s">
        <v>1866</v>
      </c>
      <c r="F18" s="752"/>
      <c r="G18" s="790" t="s">
        <v>219</v>
      </c>
      <c r="H18" s="792"/>
      <c r="I18" s="788"/>
      <c r="M18" s="395"/>
      <c r="N18" s="344"/>
      <c r="O18" s="344"/>
      <c r="P18" s="344"/>
      <c r="Q18" s="344"/>
      <c r="R18" s="344"/>
      <c r="S18" s="344"/>
      <c r="T18" s="344"/>
      <c r="U18" s="344"/>
      <c r="V18" s="344"/>
      <c r="W18" s="344"/>
      <c r="X18" s="391"/>
      <c r="AS18" s="392" t="s">
        <v>1168</v>
      </c>
      <c r="AT18" s="393" t="s">
        <v>1175</v>
      </c>
    </row>
    <row r="19" spans="1:55" ht="15" customHeight="1" x14ac:dyDescent="0.35">
      <c r="A19"/>
      <c r="B19" s="394"/>
      <c r="C19" s="396" t="s">
        <v>1218</v>
      </c>
      <c r="D19" s="539" t="str">
        <f>IF($E$19&lt;&gt;"",$E$19,IF($AQ$36="","—",$AQ$36))</f>
        <v>—</v>
      </c>
      <c r="E19" s="753"/>
      <c r="F19" s="791"/>
      <c r="G19" s="782" t="s">
        <v>214</v>
      </c>
      <c r="H19" s="783">
        <f>SUM($AJ$29:$AJ$112)+$AY$25</f>
        <v>0</v>
      </c>
      <c r="I19" s="788"/>
      <c r="J19" s="799" t="s">
        <v>1192</v>
      </c>
      <c r="K19" s="799"/>
      <c r="L19" s="800"/>
      <c r="M19" s="395"/>
      <c r="N19" s="344"/>
      <c r="O19" s="344"/>
      <c r="P19" s="344"/>
      <c r="Q19" s="344"/>
      <c r="R19" s="344"/>
      <c r="S19" s="344"/>
      <c r="T19" s="344"/>
      <c r="U19" s="344"/>
      <c r="V19" s="344"/>
      <c r="W19" s="344"/>
      <c r="X19" s="391"/>
      <c r="AS19" s="392" t="s">
        <v>1169</v>
      </c>
      <c r="AT19" s="393" t="s">
        <v>1251</v>
      </c>
      <c r="AY19" s="543" t="s">
        <v>1868</v>
      </c>
      <c r="AZ19" s="337"/>
      <c r="BA19" s="337"/>
      <c r="BB19" s="337"/>
      <c r="BC19" s="337"/>
    </row>
    <row r="20" spans="1:55" ht="15" customHeight="1" x14ac:dyDescent="0.45">
      <c r="A20"/>
      <c r="B20" s="394"/>
      <c r="C20" s="396" t="s">
        <v>1219</v>
      </c>
      <c r="D20" s="539" t="str">
        <f>IF($E$20&lt;&gt;"",$E$20,IF($AQ$37="","—",$AQ$37))</f>
        <v>—</v>
      </c>
      <c r="E20" s="753"/>
      <c r="F20" s="791"/>
      <c r="G20" s="782" t="s">
        <v>215</v>
      </c>
      <c r="H20" s="783">
        <f>SUM($AK$29:$AK$112)+$AZ$25</f>
        <v>0</v>
      </c>
      <c r="I20" s="788"/>
      <c r="J20" s="794" t="s">
        <v>195</v>
      </c>
      <c r="K20" s="795" t="s">
        <v>212</v>
      </c>
      <c r="L20" s="795" t="s">
        <v>210</v>
      </c>
      <c r="M20" s="395"/>
      <c r="N20" s="344"/>
      <c r="O20" s="344"/>
      <c r="P20" s="344"/>
      <c r="Q20" s="344"/>
      <c r="R20" s="344"/>
      <c r="S20" s="344"/>
      <c r="T20" s="344"/>
      <c r="U20" s="344"/>
      <c r="V20" s="344"/>
      <c r="W20" s="344"/>
      <c r="X20" s="391"/>
      <c r="AS20" s="392" t="s">
        <v>1170</v>
      </c>
      <c r="AT20" s="393" t="s">
        <v>1180</v>
      </c>
      <c r="AY20" s="543" t="s">
        <v>1869</v>
      </c>
      <c r="AZ20" s="337" t="s">
        <v>1870</v>
      </c>
      <c r="BA20" s="337" t="s">
        <v>1871</v>
      </c>
      <c r="BB20" s="337" t="s">
        <v>1872</v>
      </c>
      <c r="BC20" s="337" t="s">
        <v>1873</v>
      </c>
    </row>
    <row r="21" spans="1:55" ht="15" customHeight="1" x14ac:dyDescent="0.35">
      <c r="A21"/>
      <c r="B21" s="394"/>
      <c r="C21" s="396" t="s">
        <v>1220</v>
      </c>
      <c r="D21" s="131"/>
      <c r="E21" s="391"/>
      <c r="F21" s="391"/>
      <c r="G21" s="782" t="s">
        <v>216</v>
      </c>
      <c r="H21" s="783">
        <f>SUM($AL$29:$AL$112)+$BA$25</f>
        <v>0</v>
      </c>
      <c r="I21" s="788"/>
      <c r="J21" s="801"/>
      <c r="K21" s="797"/>
      <c r="L21" s="797"/>
      <c r="M21" s="395"/>
      <c r="N21" s="344"/>
      <c r="O21" s="344"/>
      <c r="P21" s="344"/>
      <c r="Q21" s="344"/>
      <c r="R21" s="344"/>
      <c r="S21" s="344"/>
      <c r="T21" s="344"/>
      <c r="U21" s="344"/>
      <c r="V21" s="344"/>
      <c r="W21" s="344"/>
      <c r="X21" s="391"/>
      <c r="AP21" s="474" t="s">
        <v>1724</v>
      </c>
      <c r="AQ21" s="476">
        <f>IF($D$5="",0,IFERROR(_xlfn.XLOOKUP($D$5,'Voltage Drop'!$A$6:$A$255,'Voltage Drop'!$H$6:$H$255),0))</f>
        <v>0</v>
      </c>
      <c r="AS21" s="392" t="s">
        <v>1171</v>
      </c>
      <c r="AT21" s="393">
        <v>21</v>
      </c>
      <c r="AU21" s="31" t="s">
        <v>195</v>
      </c>
      <c r="AV21" s="31" t="s">
        <v>1177</v>
      </c>
      <c r="AX21" s="31">
        <v>1</v>
      </c>
      <c r="AY21" s="415"/>
      <c r="AZ21" s="540"/>
      <c r="BA21" s="540"/>
      <c r="BB21" s="540"/>
      <c r="BC21" s="540"/>
    </row>
    <row r="22" spans="1:55" ht="15" customHeight="1" x14ac:dyDescent="0.35">
      <c r="A22"/>
      <c r="B22" s="394"/>
      <c r="G22" s="782" t="s">
        <v>220</v>
      </c>
      <c r="H22" s="793">
        <f>IF(SUM(H19:H21)=0,0,(MAX(H19:H21)-MIN(H19:H21))/AVERAGE(H19:H21))</f>
        <v>0</v>
      </c>
      <c r="I22" s="788"/>
      <c r="J22" s="801"/>
      <c r="K22" s="797"/>
      <c r="L22" s="797"/>
      <c r="M22" s="395"/>
      <c r="N22" s="344"/>
      <c r="O22" s="344"/>
      <c r="P22" s="344"/>
      <c r="Q22" s="344"/>
      <c r="R22" s="344"/>
      <c r="S22" s="344"/>
      <c r="T22" s="344"/>
      <c r="U22" s="344"/>
      <c r="V22" s="344"/>
      <c r="W22" s="344"/>
      <c r="X22" s="391"/>
      <c r="AP22" s="474" t="s">
        <v>1725</v>
      </c>
      <c r="AQ22" s="476">
        <f>IF($AQ$21&gt;=Cfg_VDTotal,VD_Branch,MIN(VD_Branch,Cfg_VDTotal-$AQ$21))</f>
        <v>0.03</v>
      </c>
      <c r="AS22" s="392" t="s">
        <v>1172</v>
      </c>
      <c r="AT22" s="393">
        <v>23</v>
      </c>
      <c r="AY22" s="415"/>
      <c r="AZ22" s="540"/>
      <c r="BA22" s="540"/>
      <c r="BB22" s="540"/>
      <c r="BC22" s="540"/>
    </row>
    <row r="23" spans="1:55" ht="15" customHeight="1" x14ac:dyDescent="0.35">
      <c r="A23"/>
      <c r="B23" s="394"/>
      <c r="G23" s="391"/>
      <c r="H23" s="391"/>
      <c r="I23" s="788"/>
      <c r="J23" s="801"/>
      <c r="K23" s="797"/>
      <c r="L23" s="797"/>
      <c r="M23" s="395"/>
      <c r="N23" s="344"/>
      <c r="O23" s="344"/>
      <c r="P23" s="344"/>
      <c r="Q23" s="344"/>
      <c r="R23" s="344"/>
      <c r="S23" s="344"/>
      <c r="T23" s="344"/>
      <c r="U23" s="344"/>
      <c r="V23" s="344"/>
      <c r="W23" s="344"/>
      <c r="X23" s="391"/>
      <c r="AP23" s="474" t="s">
        <v>1726</v>
      </c>
      <c r="AQ23" s="476">
        <f>$AQ$21+IFERROR(MAX($K$29:$K$112),0)</f>
        <v>0</v>
      </c>
      <c r="AS23" s="392" t="s">
        <v>1173</v>
      </c>
      <c r="AT23" s="393" t="s">
        <v>1177</v>
      </c>
      <c r="AY23" s="415"/>
      <c r="AZ23" s="540"/>
      <c r="BA23" s="540"/>
      <c r="BB23" s="540"/>
      <c r="BC23" s="540"/>
    </row>
    <row r="24" spans="1:55" customFormat="1" ht="15" customHeight="1" x14ac:dyDescent="0.45">
      <c r="B24" s="399"/>
      <c r="I24" s="810"/>
      <c r="J24" s="802"/>
      <c r="K24" s="803"/>
      <c r="L24" s="803"/>
      <c r="M24" s="400"/>
      <c r="Z24" s="235"/>
      <c r="AA24" s="235"/>
      <c r="AB24" s="235"/>
      <c r="AC24" s="235"/>
      <c r="AD24" s="235"/>
      <c r="AE24" s="235"/>
      <c r="AF24" s="235"/>
      <c r="AG24" s="235"/>
      <c r="AH24" s="235"/>
      <c r="AI24" s="235"/>
      <c r="AJ24" s="235"/>
      <c r="AK24" s="235"/>
      <c r="AL24" s="235"/>
      <c r="AM24" s="235"/>
      <c r="AN24" s="235"/>
      <c r="AO24" s="235"/>
      <c r="AP24" s="475" t="s">
        <v>1727</v>
      </c>
      <c r="AQ24" s="477" t="str">
        <f>IF($D$5="","",IF($AQ$21&gt;=Cfg_VDTotal,"⚠ upstream alone "&amp;TEXT($AQ$21,"0.00%")&amp;" ≥ "&amp;TEXT(Cfg_VDTotal,"0.0%")&amp;" — fix feeders",IF($AQ$23&gt;Cfg_VDTotal,"⚠ combined "&amp;TEXT($AQ$23,"0.00%")&amp;" exceeds "&amp;TEXT(Cfg_VDTotal,"0.0%"),"OK — combined "&amp;TEXT($AQ$23,"0.00%"))))</f>
        <v/>
      </c>
      <c r="AR24" s="235"/>
      <c r="AS24" s="235" t="s">
        <v>1876</v>
      </c>
      <c r="AT24" s="235" t="s">
        <v>2126</v>
      </c>
      <c r="AU24" s="235"/>
      <c r="AV24" s="235"/>
      <c r="AW24" s="235"/>
      <c r="AX24" s="235"/>
      <c r="AY24" s="415">
        <f>IF(N($K$24)=0,0,$K$24/IF($AQ$29=3,3,2))</f>
        <v>0</v>
      </c>
      <c r="AZ24" s="540">
        <f>IF(N($K$24)=0,0,$K$24/IF($AQ$29=3,3,2))</f>
        <v>0</v>
      </c>
      <c r="BA24" s="540">
        <f>IF(AND(N($K$24)&lt;&gt;0,$AQ$29=3),$K$24/3,0)</f>
        <v>0</v>
      </c>
      <c r="BB24" s="540">
        <f>0</f>
        <v>0</v>
      </c>
      <c r="BC24" s="540">
        <f>0</f>
        <v>0</v>
      </c>
    </row>
    <row r="25" spans="1:55" ht="15" customHeight="1" x14ac:dyDescent="0.35">
      <c r="A25"/>
      <c r="B25" s="394"/>
      <c r="C25" s="401"/>
      <c r="D25" s="240"/>
      <c r="E25" s="391"/>
      <c r="F25" s="391"/>
      <c r="G25" s="391"/>
      <c r="H25" s="391"/>
      <c r="I25" s="788"/>
      <c r="J25" s="804" t="s">
        <v>1867</v>
      </c>
      <c r="K25" s="805">
        <f>SUM(K21:K24)</f>
        <v>0</v>
      </c>
      <c r="L25" s="805">
        <f>SUM(L21:L24)</f>
        <v>0</v>
      </c>
      <c r="M25" s="395"/>
      <c r="N25" s="344"/>
      <c r="O25" s="344"/>
      <c r="P25" s="344"/>
      <c r="Q25" s="344"/>
      <c r="R25" s="344"/>
      <c r="S25" s="344"/>
      <c r="T25" s="344"/>
      <c r="U25" s="344"/>
      <c r="V25" s="344"/>
      <c r="W25" s="344"/>
      <c r="X25" s="391"/>
      <c r="Z25" s="466">
        <f>VLOOKUP("Lighting",Class_Table,2,FALSE)</f>
        <v>1.25</v>
      </c>
      <c r="AA25" s="402">
        <f>VLOOKUP("Receptacle",Class_Table,2,FALSE)</f>
        <v>1</v>
      </c>
      <c r="AB25" s="466">
        <f>VLOOKUP("Motor",Class_Table,2,FALSE)</f>
        <v>1.25</v>
      </c>
      <c r="AC25" s="466">
        <f>VLOOKUP("HVAC",Class_Table,2,FALSE)</f>
        <v>1.25</v>
      </c>
      <c r="AD25" s="466">
        <f>VLOOKUP("Electric Heat",Class_Table,2,FALSE)</f>
        <v>1.25</v>
      </c>
      <c r="AE25" s="402">
        <f>VLOOKUP("Kitchen Equip",Class_Table,2,FALSE)</f>
        <v>1</v>
      </c>
      <c r="AF25" s="466">
        <f>VLOOKUP("Continuous (Other)",Class_Table,2,FALSE)</f>
        <v>1.25</v>
      </c>
      <c r="AG25" s="402">
        <f>VLOOKUP("Non-Continuous",Class_Table,2,FALSE)</f>
        <v>1</v>
      </c>
      <c r="AH25" s="402">
        <f>VLOOKUP("Panel",Class_Table,2,FALSE)</f>
        <v>1</v>
      </c>
      <c r="AP25" s="31" t="s">
        <v>1191</v>
      </c>
      <c r="AQ25" s="31" t="s">
        <v>176</v>
      </c>
      <c r="AS25" s="392" t="s">
        <v>1877</v>
      </c>
      <c r="AT25" s="393" t="s">
        <v>2127</v>
      </c>
      <c r="AY25" s="541">
        <f>SUM(AY21:AY24)</f>
        <v>0</v>
      </c>
      <c r="AZ25" s="542">
        <f>SUM(AZ21:AZ24)</f>
        <v>0</v>
      </c>
      <c r="BA25" s="542">
        <f>SUM(BA21:BA24)</f>
        <v>0</v>
      </c>
      <c r="BB25" s="542">
        <f>SUM(BB21:BB24)</f>
        <v>0</v>
      </c>
      <c r="BC25" s="542">
        <f>SUM(BC21:BC24)</f>
        <v>0</v>
      </c>
    </row>
    <row r="26" spans="1:55" ht="15" customHeight="1" x14ac:dyDescent="0.35">
      <c r="A26"/>
      <c r="B26" s="394"/>
      <c r="G26" s="391"/>
      <c r="H26" s="391"/>
      <c r="I26" s="788"/>
      <c r="M26" s="395"/>
      <c r="N26" s="344"/>
      <c r="O26" s="344"/>
      <c r="P26" s="344"/>
      <c r="Q26" s="344"/>
      <c r="R26" s="344"/>
      <c r="S26" s="344"/>
      <c r="T26" s="344"/>
      <c r="U26" s="344"/>
      <c r="V26" s="344"/>
      <c r="W26" s="344"/>
      <c r="X26" s="391"/>
      <c r="AP26" s="474"/>
      <c r="AQ26" s="476"/>
      <c r="AS26" s="392" t="s">
        <v>1878</v>
      </c>
      <c r="AT26" s="393" t="s">
        <v>2128</v>
      </c>
      <c r="AY26" s="415"/>
      <c r="AZ26" s="540"/>
      <c r="BA26" s="540"/>
      <c r="BB26" s="540"/>
      <c r="BC26" s="540"/>
    </row>
    <row r="27" spans="1:55" s="22" customFormat="1" ht="30" customHeight="1" x14ac:dyDescent="0.55000000000000004">
      <c r="A27" s="242"/>
      <c r="B27" s="615" t="s">
        <v>110</v>
      </c>
      <c r="C27" s="616"/>
      <c r="D27" s="616"/>
      <c r="E27" s="616"/>
      <c r="F27" s="616"/>
      <c r="G27" s="616"/>
      <c r="H27" s="616"/>
      <c r="I27" s="616"/>
      <c r="J27" s="616"/>
      <c r="K27" s="616"/>
      <c r="L27" s="616"/>
      <c r="M27" s="743"/>
      <c r="N27" s="403"/>
      <c r="O27" s="746" t="s">
        <v>1193</v>
      </c>
      <c r="P27" s="747"/>
      <c r="Q27" s="747"/>
      <c r="R27" s="747"/>
      <c r="S27" s="747"/>
      <c r="T27" s="747"/>
      <c r="U27" s="747"/>
      <c r="V27" s="747"/>
      <c r="W27" s="748"/>
      <c r="X27" s="404"/>
      <c r="Z27" s="58"/>
      <c r="AA27" s="58"/>
      <c r="AB27" s="58"/>
      <c r="AC27" s="58"/>
      <c r="AD27" s="58"/>
      <c r="AE27" s="58"/>
      <c r="AF27" s="58"/>
      <c r="AG27" s="58"/>
      <c r="AH27" s="58"/>
      <c r="AI27" s="58"/>
      <c r="AJ27" s="58"/>
      <c r="AK27" s="58"/>
      <c r="AL27" s="58"/>
      <c r="AM27" s="58"/>
      <c r="AN27" s="58"/>
      <c r="AO27" s="58"/>
      <c r="AP27" s="58"/>
      <c r="AQ27" s="58" t="str">
        <f>IF($D$8="","",IFERROR(VLOOKUP($D$8,Volt_Table,2,FALSE),""))</f>
        <v/>
      </c>
      <c r="AR27" s="58"/>
      <c r="AS27" s="236" t="s">
        <v>1879</v>
      </c>
      <c r="AT27" s="236" t="s">
        <v>1881</v>
      </c>
      <c r="AU27" s="236"/>
      <c r="AV27" s="236"/>
      <c r="AW27" s="236"/>
      <c r="AX27" s="236"/>
      <c r="AY27" s="58"/>
    </row>
    <row r="28" spans="1:55" s="24" customFormat="1" ht="30" customHeight="1" x14ac:dyDescent="0.45">
      <c r="A28"/>
      <c r="B28" s="405" t="s">
        <v>111</v>
      </c>
      <c r="C28" s="749" t="s">
        <v>112</v>
      </c>
      <c r="D28" s="750"/>
      <c r="E28" s="406" t="s">
        <v>180</v>
      </c>
      <c r="F28" s="406" t="s">
        <v>179</v>
      </c>
      <c r="G28" s="406" t="s">
        <v>83</v>
      </c>
      <c r="H28" s="406" t="s">
        <v>212</v>
      </c>
      <c r="I28" s="406" t="s">
        <v>76</v>
      </c>
      <c r="J28" s="406" t="s">
        <v>232</v>
      </c>
      <c r="K28" s="406" t="s">
        <v>114</v>
      </c>
      <c r="L28" s="406" t="s">
        <v>178</v>
      </c>
      <c r="M28" s="406" t="s">
        <v>206</v>
      </c>
      <c r="O28" s="407" t="s">
        <v>144</v>
      </c>
      <c r="P28" s="408" t="s">
        <v>143</v>
      </c>
      <c r="Q28" s="408" t="s">
        <v>145</v>
      </c>
      <c r="R28" s="408" t="s">
        <v>146</v>
      </c>
      <c r="S28" s="408" t="s">
        <v>147</v>
      </c>
      <c r="T28" s="408" t="s">
        <v>148</v>
      </c>
      <c r="U28" s="408" t="s">
        <v>149</v>
      </c>
      <c r="V28" s="408" t="s">
        <v>150</v>
      </c>
      <c r="W28" s="409" t="s">
        <v>153</v>
      </c>
      <c r="X28"/>
      <c r="Y28" s="236" t="s">
        <v>181</v>
      </c>
      <c r="Z28" s="236" t="s">
        <v>182</v>
      </c>
      <c r="AA28" s="236" t="s">
        <v>183</v>
      </c>
      <c r="AB28" s="236" t="s">
        <v>184</v>
      </c>
      <c r="AC28" s="236" t="s">
        <v>185</v>
      </c>
      <c r="AD28" s="236" t="s">
        <v>113</v>
      </c>
      <c r="AE28" s="236" t="s">
        <v>115</v>
      </c>
      <c r="AF28" s="236" t="s">
        <v>186</v>
      </c>
      <c r="AG28" s="236" t="s">
        <v>187</v>
      </c>
      <c r="AH28" s="236" t="s">
        <v>116</v>
      </c>
      <c r="AI28" s="236" t="s">
        <v>188</v>
      </c>
      <c r="AJ28" s="236" t="s">
        <v>189</v>
      </c>
      <c r="AK28" s="236" t="s">
        <v>190</v>
      </c>
      <c r="AL28" s="236" t="s">
        <v>191</v>
      </c>
      <c r="AM28" s="236" t="s">
        <v>192</v>
      </c>
      <c r="AN28" s="236" t="s">
        <v>213</v>
      </c>
      <c r="AO28" s="235" t="s">
        <v>571</v>
      </c>
      <c r="AP28" s="236"/>
      <c r="AQ28" s="236" t="str">
        <f>IF($D$8="","",IFERROR(VLOOKUP($D$8,Volt_Table,5,FALSE),""))</f>
        <v/>
      </c>
      <c r="AR28" s="236"/>
      <c r="AS28" s="31" t="s">
        <v>1880</v>
      </c>
      <c r="AT28" s="31" t="s">
        <v>2143</v>
      </c>
      <c r="AU28" s="31"/>
      <c r="AV28" s="31"/>
      <c r="AW28" s="31"/>
      <c r="AX28" s="31"/>
      <c r="AY28" s="236"/>
    </row>
    <row r="29" spans="1:55" ht="15" customHeight="1" x14ac:dyDescent="0.35">
      <c r="A29"/>
      <c r="B29" s="410">
        <f>2*(ROW()-29)+1</f>
        <v>1</v>
      </c>
      <c r="C29" s="663"/>
      <c r="D29" s="664"/>
      <c r="E29" s="411"/>
      <c r="F29" s="16" t="str" cm="1">
        <f t="array" ref="F29">IF($AN29=1,"-",IF($G29="Spare",IF($AM29&lt;&gt;"",$AM29,20),IF(OR($G29="",$G29="Space",$AF29&lt;=0),"",IFERROR(INDEX(OCPD_List,MATCH($AF29,OCPD_List,1)+IF(INDEX(OCPD_List,MATCH($AF29,OCPD_List,1))&gt;=$AF29,0,1)),15))))</f>
        <v/>
      </c>
      <c r="G29" s="412" t="str" cm="1">
        <f t="array" ref="G29">IF($AN29=1,"-",IF(COUNT($O29:$W29)=0,IF(UPPER(TRIM($C29))="SPARE","Spare","Space"),IF(COUNTIF($O29:$W29,"&gt;0")&gt;1,"COMB",CHOOSE(MATCH(TRUE,INDEX($O29:$W29&lt;&gt;"",0),0),"Lighting","Receptacle","Motor","HVAC","Electric Heat","Kitchen Equip","Continuous (Other)","Non-Continuous","Panel"))))</f>
        <v>Space</v>
      </c>
      <c r="H29" s="30" t="str">
        <f>IF($AN29=1,H28,IF(COUNT($O29:$W29)=0,"",SUM($O29:$W29)/MAX(1,N($E29))))</f>
        <v/>
      </c>
      <c r="I29" s="411"/>
      <c r="J29" s="411"/>
      <c r="K29" s="320" t="str" cm="1">
        <f t="array" ref="K29">IF(OR(Tog_VD&lt;&gt;"ON",$AD29=0,$AG29=0,$J29=0,$J29="",$AB29=0),"",(IF($E29=3,SQRT3,2)*BranchK*$AD29*$J29/(INDEX(INDEX(Cond_Table,0,2),$AG29)*MAX(1,$AO29)))/$AB29)</f>
        <v/>
      </c>
      <c r="L29" s="16" t="str" cm="1">
        <f t="array" ref="L29">IF(OR(Tog_Wire&lt;&gt;"ON",$AG29=0),"",IFERROR(IF($AO29&gt;1,"("&amp;$AO29&amp;") ","")&amp;"#"&amp;INDEX(Cond_Size,$AG29)&amp;" | #"&amp;INDEX(Cond_Size,MIN($AG29,MAX(Min_Cond_Pos,MATCH(TRUE,INDEX(Cond_Table,0,2)&gt;=INDEX(INDEX(Cond_Table,0,2),MATCH(INDEX(INDEX(EGC_Table,0,IF(Cfg_BranchMat="Cu",2,3)),MATCH(TRUE,INDEX(EGC_Table,0,1)&gt;=$F29,0)),Cond_Size,0))*INDEX(INDEX(Cond_Table,0,2),$AG29)/INDEX(INDEX(Cond_Table,0,2),MAX(Min_Cond_Pos,MATCH(TRUE,INDEX(Cond_Table,0,IF($AE29&lt;=100,BranchCol60,BranchAmpCol))&gt;=$AE29/MAX(1,$AO29),0))),0))))&amp;"G",""))</f>
        <v/>
      </c>
      <c r="M29" s="413"/>
      <c r="O29" s="214"/>
      <c r="P29" s="215"/>
      <c r="Q29" s="215"/>
      <c r="R29" s="215"/>
      <c r="S29" s="215"/>
      <c r="T29" s="215"/>
      <c r="U29" s="215"/>
      <c r="V29" s="215"/>
      <c r="W29" s="216"/>
      <c r="X29"/>
      <c r="Y29" s="414">
        <f t="shared" ref="Y29:Y60" si="0">IF($G29="",0,IFERROR(VLOOKUP($G29,Class_Table,3,FALSE),0))</f>
        <v>0</v>
      </c>
      <c r="Z29" s="415">
        <f t="shared" ref="Z29:Z60" si="1">IF($G29="COMB",IFERROR(SUMPRODUCT($O29:$W29,$Z$25:$AH$25)/SUM($O29:$W29),1),IF($G29="",0,IFERROR(VLOOKUP($G29,Class_Table,2,FALSE),0)))</f>
        <v>0</v>
      </c>
      <c r="AA29" s="31" t="str">
        <f t="shared" ref="AA29:AA60" si="2">IF($G29="","NONE",IFERROR(VLOOKUP($G29,Class_Table,4,FALSE),"NONE"))</f>
        <v>NONE</v>
      </c>
      <c r="AB29" s="31" t="str">
        <f>IF($E29=1,IF($AQ$28="",0,$AQ$28),$AQ$27)</f>
        <v/>
      </c>
      <c r="AC29" s="526">
        <f t="shared" ref="AC29:AC60" si="3">IF($Y29=1,IF($AQ$29=1,IFERROR(VLOOKUP($I29,Motor1_Table,IF($AB29&lt;=120,2,3),FALSE),0),IFERROR(VLOOKUP($I29,Motor3_Table,IF($AQ$27&lt;=208,2,IF($AQ$27&lt;=240,3,IF($AQ$27&lt;=480,4,5))),FALSE),0)),0)</f>
        <v>0</v>
      </c>
      <c r="AD29" s="415">
        <f t="shared" ref="AD29:AD60" si="4">IF(OR($AN29=1,$G29="-",$G29="",$G29="Space",$G29="Spare"),0,IF($AM29&lt;&gt;"",$AM29,IF(AND($Y29=1,$AC29&gt;0),$AC29,IF($AB29=0,0,SUM($O29:$W29)*1000/($AB29*IF($E29=3,SQRT3,1))))))</f>
        <v>0</v>
      </c>
      <c r="AE29" s="415">
        <f>$Z29*$AD29</f>
        <v>0</v>
      </c>
      <c r="AF29" s="415">
        <f>IF($Y29=1,2.5*$AD29,$AE29)</f>
        <v>0</v>
      </c>
      <c r="AG29" s="31" cm="1">
        <f t="array" ref="AG29">IF($AE29&lt;=0,0,IFERROR(_xlfn.LET(_xlpm.n,MAX(1,$AO29),_xlpm.i,$AE29/_xlpm.n,MIN(Max_Cond_Pos,MAX(Min_Cond_Pos,IF(_xlpm.n&gt;1,Par_Min_Pos,1),MATCH(TRUE,INDEX(Cond_Table,0,IF(_xlpm.i&lt;=100,BranchCol60,BranchAmpCol))&gt;=_xlpm.i,0),IF(OR(Tog_VD&lt;&gt;"ON",$J29=0,$J29="",$AB29=0),0,MATCH(TRUE,INDEX(Cond_Table,0,2)&gt;=IF($E29=3,SQRT3,2)*BranchK*$AD29*$J29/($AQ$22*$AB29*_xlpm.n),0))))),0))</f>
        <v>0</v>
      </c>
      <c r="AH29" s="415">
        <f t="shared" ref="AH29:AH60" si="5">IF(OR($AN29=1,$AD29=0),0,IF($Y29=1,$AD29*$AB29*IF($E29=3,SQRT3,1)/1000,SUM($O29:$W29)))</f>
        <v>0</v>
      </c>
      <c r="AI29" s="31">
        <f t="shared" ref="AI29:AI60" si="6">MOD(CEILING($B29/2,1)-1,3)</f>
        <v>0</v>
      </c>
      <c r="AJ29" s="415">
        <f t="shared" ref="AJ29:AJ60" si="7">$AH29*IF($E29=3,1/3,IF($E29=2,IF(OR($AI29=0,MOD($AI29+1,3)=0),0.5,0),IF($AI29=0,1,0)))</f>
        <v>0</v>
      </c>
      <c r="AK29" s="415">
        <f t="shared" ref="AK29:AK60" si="8">$AH29*IF($E29=3,1/3,IF($E29=2,IF(OR($AI29=1,MOD($AI29+1,3)=1),0.5,0),IF($AI29=1,1,0)))</f>
        <v>0</v>
      </c>
      <c r="AL29" s="415">
        <f t="shared" ref="AL29:AL60" si="9">$AH29*IF($E29=3,1/3,IF($E29=2,IF(OR($AI29=2,MOD($AI29+1,3)=2),0.5,0),IF($AI29=2,1,0)))</f>
        <v>0</v>
      </c>
      <c r="AN29" s="31">
        <v>0</v>
      </c>
      <c r="AO29" s="563" cm="1">
        <f t="array" ref="AO29">IF($AE29&lt;=0,0,IFERROR(_xlfn.LET(_xlpm.col,IF($AE29&lt;=100,BranchCol60,BranchAmpCol),_xlpm.nA,ROUNDUP($AE29/INDEX(Cond_Table,Max_Cond_Pos,_xlpm.col),0),_xlpm.cm,IF(OR(Tog_VD&lt;&gt;"ON",$J29=0,$J29="",$AB29=0),0,IF($E29=3,SQRT3,2)*BranchK*$AD29*$J29/($AQ$22*$AB29)),_xlpm.nV,ROUNDUP(_xlpm.cm/INDEX(Cond_Table,Max_Cond_Pos,2),0),MAX(1,_xlpm.nA,_xlpm.nV)),1))</f>
        <v>0</v>
      </c>
      <c r="AQ29" s="31" t="str">
        <f>IF($D$8="","",IFERROR(VLOOKUP($D$8,Volt_Table,3,FALSE),""))</f>
        <v/>
      </c>
      <c r="AS29" s="31" t="s">
        <v>1882</v>
      </c>
      <c r="AT29" s="31" t="s">
        <v>224</v>
      </c>
    </row>
    <row r="30" spans="1:55" ht="15" customHeight="1" x14ac:dyDescent="0.35">
      <c r="A30"/>
      <c r="B30" s="410">
        <f>2*(ROW()-29)+1</f>
        <v>3</v>
      </c>
      <c r="C30" s="663"/>
      <c r="D30" s="664"/>
      <c r="E30" s="411"/>
      <c r="F30" s="16" t="str" cm="1">
        <f t="array" ref="F30">IF($AN30=1,"-",IF($G30="Spare",IF($AM30&lt;&gt;"",$AM30,20),IF(OR($G30="",$G30="Space",$AF30&lt;=0),"",IFERROR(INDEX(OCPD_List,MATCH($AF30,OCPD_List,1)+IF(INDEX(OCPD_List,MATCH($AF30,OCPD_List,1))&gt;=$AF30,0,1)),15))))</f>
        <v/>
      </c>
      <c r="G30" s="412" t="str" cm="1">
        <f t="array" ref="G30">IF($AN30=1,"-",IF(COUNT($O30:$W30)=0,IF(UPPER(TRIM($C30))="SPARE","Spare","Space"),IF(COUNTIF($O30:$W30,"&gt;0")&gt;1,"COMB",CHOOSE(MATCH(TRUE,INDEX($O30:$W30&lt;&gt;"",0),0),"Lighting","Receptacle","Motor","HVAC","Electric Heat","Kitchen Equip","Continuous (Other)","Non-Continuous","Panel"))))</f>
        <v>Space</v>
      </c>
      <c r="H30" s="30" t="str">
        <f t="shared" ref="H30:H93" si="10">IF($AN30=1,H29,IF(COUNT($O30:$W30)=0,"",SUM($O30:$W30)/MAX(1,N($E30))))</f>
        <v/>
      </c>
      <c r="I30" s="411"/>
      <c r="J30" s="411"/>
      <c r="K30" s="320" t="str" cm="1">
        <f t="array" ref="K30">IF(OR(Tog_VD&lt;&gt;"ON",$AD30=0,$AG30=0,$J30=0,$J30="",$AB30=0),"",(IF($E30=3,SQRT3,2)*BranchK*$AD30*$J30/(INDEX(INDEX(Cond_Table,0,2),$AG30)*MAX(1,$AO30)))/$AB30)</f>
        <v/>
      </c>
      <c r="L30" s="16" t="str" cm="1">
        <f t="array" ref="L30">IF(OR(Tog_Wire&lt;&gt;"ON",$AG30=0),"",IFERROR(IF($AO30&gt;1,"("&amp;$AO30&amp;") ","")&amp;"#"&amp;INDEX(Cond_Size,$AG30)&amp;" | #"&amp;INDEX(Cond_Size,MIN($AG30,MAX(Min_Cond_Pos,MATCH(TRUE,INDEX(Cond_Table,0,2)&gt;=INDEX(INDEX(Cond_Table,0,2),MATCH(INDEX(INDEX(EGC_Table,0,IF(Cfg_BranchMat="Cu",2,3)),MATCH(TRUE,INDEX(EGC_Table,0,1)&gt;=$F30,0)),Cond_Size,0))*INDEX(INDEX(Cond_Table,0,2),$AG30)/INDEX(INDEX(Cond_Table,0,2),MAX(Min_Cond_Pos,MATCH(TRUE,INDEX(Cond_Table,0,IF($AE30&lt;=100,BranchCol60,BranchAmpCol))&gt;=$AE30/MAX(1,$AO30),0))),0))))&amp;"G",""))</f>
        <v/>
      </c>
      <c r="M30" s="413"/>
      <c r="O30" s="217"/>
      <c r="P30" s="218"/>
      <c r="Q30" s="218"/>
      <c r="R30" s="218"/>
      <c r="S30" s="218"/>
      <c r="T30" s="218"/>
      <c r="U30" s="218"/>
      <c r="V30" s="218"/>
      <c r="W30" s="219"/>
      <c r="X30"/>
      <c r="Y30" s="414">
        <f t="shared" si="0"/>
        <v>0</v>
      </c>
      <c r="Z30" s="415">
        <f t="shared" si="1"/>
        <v>0</v>
      </c>
      <c r="AA30" s="31" t="str">
        <f t="shared" si="2"/>
        <v>NONE</v>
      </c>
      <c r="AB30" s="31" t="str">
        <f t="shared" ref="AB30:AB93" si="11">IF($E30=1,IF($AQ$28="",0,$AQ$28),$AQ$27)</f>
        <v/>
      </c>
      <c r="AC30" s="526">
        <f t="shared" si="3"/>
        <v>0</v>
      </c>
      <c r="AD30" s="415">
        <f t="shared" si="4"/>
        <v>0</v>
      </c>
      <c r="AE30" s="415">
        <f t="shared" ref="AE30:AE112" si="12">$Z30*$AD30</f>
        <v>0</v>
      </c>
      <c r="AF30" s="415">
        <f t="shared" ref="AF30:AF112" si="13">IF($Y30=1,2.5*$AD30,$AE30)</f>
        <v>0</v>
      </c>
      <c r="AG30" s="31" cm="1">
        <f t="array" ref="AG30">IF($AE30&lt;=0,0,IFERROR(_xlfn.LET(_xlpm.n,MAX(1,$AO30),_xlpm.i,$AE30/_xlpm.n,MIN(Max_Cond_Pos,MAX(Min_Cond_Pos,IF(_xlpm.n&gt;1,Par_Min_Pos,1),MATCH(TRUE,INDEX(Cond_Table,0,IF(_xlpm.i&lt;=100,BranchCol60,BranchAmpCol))&gt;=_xlpm.i,0),IF(OR(Tog_VD&lt;&gt;"ON",$J30=0,$J30="",$AB30=0),0,MATCH(TRUE,INDEX(Cond_Table,0,2)&gt;=IF($E30=3,SQRT3,2)*BranchK*$AD30*$J30/($AQ$22*$AB30*_xlpm.n),0))))),0))</f>
        <v>0</v>
      </c>
      <c r="AH30" s="415">
        <f t="shared" si="5"/>
        <v>0</v>
      </c>
      <c r="AI30" s="31">
        <f t="shared" si="6"/>
        <v>1</v>
      </c>
      <c r="AJ30" s="415">
        <f t="shared" si="7"/>
        <v>0</v>
      </c>
      <c r="AK30" s="415">
        <f t="shared" si="8"/>
        <v>0</v>
      </c>
      <c r="AL30" s="415">
        <f t="shared" si="9"/>
        <v>0</v>
      </c>
      <c r="AN30" s="31">
        <f>IF(AND($E29&gt;=2,$AN29=0),1,0)</f>
        <v>0</v>
      </c>
      <c r="AO30" s="563" cm="1">
        <f t="array" ref="AO30">IF($AE30&lt;=0,0,IFERROR(_xlfn.LET(_xlpm.col,IF($AE30&lt;=100,BranchCol60,BranchAmpCol),_xlpm.nA,ROUNDUP($AE30/INDEX(Cond_Table,Max_Cond_Pos,_xlpm.col),0),_xlpm.cm,IF(OR(Tog_VD&lt;&gt;"ON",$J30=0,$J30="",$AB30=0),0,IF($E30=3,SQRT3,2)*BranchK*$AD30*$J30/($AQ$22*$AB30)),_xlpm.nV,ROUNDUP(_xlpm.cm/INDEX(Cond_Table,Max_Cond_Pos,2),0),MAX(1,_xlpm.nA,_xlpm.nV)),1))</f>
        <v>0</v>
      </c>
      <c r="AQ30" s="415" t="str">
        <f>IF($AQ$29="","",IF($AQ$29=3,SQRT3,1))</f>
        <v/>
      </c>
      <c r="AS30" s="31" t="s">
        <v>1883</v>
      </c>
      <c r="AT30" s="31" t="s">
        <v>1884</v>
      </c>
    </row>
    <row r="31" spans="1:55" ht="15" customHeight="1" x14ac:dyDescent="0.35">
      <c r="A31"/>
      <c r="B31" s="410">
        <f>2*(ROW()-29)+1</f>
        <v>5</v>
      </c>
      <c r="C31" s="663"/>
      <c r="D31" s="664"/>
      <c r="E31" s="411"/>
      <c r="F31" s="16" t="str" cm="1">
        <f t="array" ref="F31">IF($AN31=1,"-",IF($G31="Spare",IF($AM31&lt;&gt;"",$AM31,20),IF(OR($G31="",$G31="Space",$AF31&lt;=0),"",IFERROR(INDEX(OCPD_List,MATCH($AF31,OCPD_List,1)+IF(INDEX(OCPD_List,MATCH($AF31,OCPD_List,1))&gt;=$AF31,0,1)),15))))</f>
        <v/>
      </c>
      <c r="G31" s="412" t="str" cm="1">
        <f t="array" ref="G31">IF($AN31=1,"-",IF(COUNT($O31:$W31)=0,IF(UPPER(TRIM($C31))="SPARE","Spare","Space"),IF(COUNTIF($O31:$W31,"&gt;0")&gt;1,"COMB",CHOOSE(MATCH(TRUE,INDEX($O31:$W31&lt;&gt;"",0),0),"Lighting","Receptacle","Motor","HVAC","Electric Heat","Kitchen Equip","Continuous (Other)","Non-Continuous","Panel"))))</f>
        <v>Space</v>
      </c>
      <c r="H31" s="30" t="str">
        <f t="shared" si="10"/>
        <v/>
      </c>
      <c r="I31" s="411"/>
      <c r="J31" s="411"/>
      <c r="K31" s="320" t="str" cm="1">
        <f t="array" ref="K31">IF(OR(Tog_VD&lt;&gt;"ON",$AD31=0,$AG31=0,$J31=0,$J31="",$AB31=0),"",(IF($E31=3,SQRT3,2)*BranchK*$AD31*$J31/(INDEX(INDEX(Cond_Table,0,2),$AG31)*MAX(1,$AO31)))/$AB31)</f>
        <v/>
      </c>
      <c r="L31" s="16" t="str" cm="1">
        <f t="array" ref="L31">IF(OR(Tog_Wire&lt;&gt;"ON",$AG31=0),"",IFERROR(IF($AO31&gt;1,"("&amp;$AO31&amp;") ","")&amp;"#"&amp;INDEX(Cond_Size,$AG31)&amp;" | #"&amp;INDEX(Cond_Size,MIN($AG31,MAX(Min_Cond_Pos,MATCH(TRUE,INDEX(Cond_Table,0,2)&gt;=INDEX(INDEX(Cond_Table,0,2),MATCH(INDEX(INDEX(EGC_Table,0,IF(Cfg_BranchMat="Cu",2,3)),MATCH(TRUE,INDEX(EGC_Table,0,1)&gt;=$F31,0)),Cond_Size,0))*INDEX(INDEX(Cond_Table,0,2),$AG31)/INDEX(INDEX(Cond_Table,0,2),MAX(Min_Cond_Pos,MATCH(TRUE,INDEX(Cond_Table,0,IF($AE31&lt;=100,BranchCol60,BranchAmpCol))&gt;=$AE31/MAX(1,$AO31),0))),0))))&amp;"G",""))</f>
        <v/>
      </c>
      <c r="M31" s="413"/>
      <c r="O31" s="217"/>
      <c r="P31" s="218"/>
      <c r="Q31" s="218"/>
      <c r="R31" s="218"/>
      <c r="S31" s="218"/>
      <c r="T31" s="218"/>
      <c r="U31" s="218"/>
      <c r="V31" s="218"/>
      <c r="W31" s="219"/>
      <c r="X31"/>
      <c r="Y31" s="414">
        <f t="shared" si="0"/>
        <v>0</v>
      </c>
      <c r="Z31" s="415">
        <f t="shared" si="1"/>
        <v>0</v>
      </c>
      <c r="AA31" s="31" t="str">
        <f t="shared" si="2"/>
        <v>NONE</v>
      </c>
      <c r="AB31" s="31" t="str">
        <f t="shared" si="11"/>
        <v/>
      </c>
      <c r="AC31" s="526">
        <f t="shared" si="3"/>
        <v>0</v>
      </c>
      <c r="AD31" s="415">
        <f t="shared" si="4"/>
        <v>0</v>
      </c>
      <c r="AE31" s="415">
        <f t="shared" si="12"/>
        <v>0</v>
      </c>
      <c r="AF31" s="415">
        <f t="shared" si="13"/>
        <v>0</v>
      </c>
      <c r="AG31" s="31" cm="1">
        <f t="array" ref="AG31">IF($AE31&lt;=0,0,IFERROR(_xlfn.LET(_xlpm.n,MAX(1,$AO31),_xlpm.i,$AE31/_xlpm.n,MIN(Max_Cond_Pos,MAX(Min_Cond_Pos,IF(_xlpm.n&gt;1,Par_Min_Pos,1),MATCH(TRUE,INDEX(Cond_Table,0,IF(_xlpm.i&lt;=100,BranchCol60,BranchAmpCol))&gt;=_xlpm.i,0),IF(OR(Tog_VD&lt;&gt;"ON",$J31=0,$J31="",$AB31=0),0,MATCH(TRUE,INDEX(Cond_Table,0,2)&gt;=IF($E31=3,SQRT3,2)*BranchK*$AD31*$J31/($AQ$22*$AB31*_xlpm.n),0))))),0))</f>
        <v>0</v>
      </c>
      <c r="AH31" s="415">
        <f t="shared" si="5"/>
        <v>0</v>
      </c>
      <c r="AI31" s="31">
        <f t="shared" si="6"/>
        <v>2</v>
      </c>
      <c r="AJ31" s="415">
        <f t="shared" si="7"/>
        <v>0</v>
      </c>
      <c r="AK31" s="415">
        <f t="shared" si="8"/>
        <v>0</v>
      </c>
      <c r="AL31" s="415">
        <f t="shared" si="9"/>
        <v>0</v>
      </c>
      <c r="AN31" s="31">
        <f t="shared" ref="AN31:AN70" si="14">IF(OR(AND($E30&gt;=2,$AN30=0),AND($E29&gt;=3,$AN29=0)),1,0)</f>
        <v>0</v>
      </c>
      <c r="AO31" s="563" cm="1">
        <f t="array" ref="AO31">IF($AE31&lt;=0,0,IFERROR(_xlfn.LET(_xlpm.col,IF($AE31&lt;=100,BranchCol60,BranchAmpCol),_xlpm.nA,ROUNDUP($AE31/INDEX(Cond_Table,Max_Cond_Pos,_xlpm.col),0),_xlpm.cm,IF(OR(Tog_VD&lt;&gt;"ON",$J31=0,$J31="",$AB31=0),0,IF($E31=3,SQRT3,2)*BranchK*$AD31*$J31/($AQ$22*$AB31)),_xlpm.nV,ROUNDUP(_xlpm.cm/INDEX(Cond_Table,Max_Cond_Pos,2),0),MAX(1,_xlpm.nA,_xlpm.nV)),1))</f>
        <v>0</v>
      </c>
      <c r="AQ31" s="526" t="str">
        <f>IF(OR($AQ$27="",$AQ$30=""),"",$L$16*1000/($AQ$27*$AQ$30))</f>
        <v/>
      </c>
      <c r="AS31" s="31" t="s">
        <v>1203</v>
      </c>
      <c r="AT31" s="31">
        <v>42</v>
      </c>
    </row>
    <row r="32" spans="1:55" ht="15" customHeight="1" x14ac:dyDescent="0.35">
      <c r="A32"/>
      <c r="B32" s="410">
        <f>2*(ROW()-29)+1</f>
        <v>7</v>
      </c>
      <c r="C32" s="663"/>
      <c r="D32" s="664"/>
      <c r="E32" s="411"/>
      <c r="F32" s="16" t="str" cm="1">
        <f t="array" ref="F32">IF($AN32=1,"-",IF($G32="Spare",IF($AM32&lt;&gt;"",$AM32,20),IF(OR($G32="",$G32="Space",$AF32&lt;=0),"",IFERROR(INDEX(OCPD_List,MATCH($AF32,OCPD_List,1)+IF(INDEX(OCPD_List,MATCH($AF32,OCPD_List,1))&gt;=$AF32,0,1)),15))))</f>
        <v/>
      </c>
      <c r="G32" s="412" t="str" cm="1">
        <f t="array" ref="G32">IF($AN32=1,"-",IF(COUNT($O32:$W32)=0,IF(UPPER(TRIM($C32))="SPARE","Spare","Space"),IF(COUNTIF($O32:$W32,"&gt;0")&gt;1,"COMB",CHOOSE(MATCH(TRUE,INDEX($O32:$W32&lt;&gt;"",0),0),"Lighting","Receptacle","Motor","HVAC","Electric Heat","Kitchen Equip","Continuous (Other)","Non-Continuous","Panel"))))</f>
        <v>Space</v>
      </c>
      <c r="H32" s="30" t="str">
        <f t="shared" si="10"/>
        <v/>
      </c>
      <c r="I32" s="411"/>
      <c r="J32" s="411"/>
      <c r="K32" s="320" t="str" cm="1">
        <f t="array" ref="K32">IF(OR(Tog_VD&lt;&gt;"ON",$AD32=0,$AG32=0,$J32=0,$J32="",$AB32=0),"",(IF($E32=3,SQRT3,2)*BranchK*$AD32*$J32/(INDEX(INDEX(Cond_Table,0,2),$AG32)*MAX(1,$AO32)))/$AB32)</f>
        <v/>
      </c>
      <c r="L32" s="16" t="str" cm="1">
        <f t="array" ref="L32">IF(OR(Tog_Wire&lt;&gt;"ON",$AG32=0),"",IFERROR(IF($AO32&gt;1,"("&amp;$AO32&amp;") ","")&amp;"#"&amp;INDEX(Cond_Size,$AG32)&amp;" | #"&amp;INDEX(Cond_Size,MIN($AG32,MAX(Min_Cond_Pos,MATCH(TRUE,INDEX(Cond_Table,0,2)&gt;=INDEX(INDEX(Cond_Table,0,2),MATCH(INDEX(INDEX(EGC_Table,0,IF(Cfg_BranchMat="Cu",2,3)),MATCH(TRUE,INDEX(EGC_Table,0,1)&gt;=$F32,0)),Cond_Size,0))*INDEX(INDEX(Cond_Table,0,2),$AG32)/INDEX(INDEX(Cond_Table,0,2),MAX(Min_Cond_Pos,MATCH(TRUE,INDEX(Cond_Table,0,IF($AE32&lt;=100,BranchCol60,BranchAmpCol))&gt;=$AE32/MAX(1,$AO32),0))),0))))&amp;"G",""))</f>
        <v/>
      </c>
      <c r="M32" s="413"/>
      <c r="O32" s="217"/>
      <c r="P32" s="218"/>
      <c r="Q32" s="218"/>
      <c r="R32" s="218"/>
      <c r="S32" s="218"/>
      <c r="T32" s="218"/>
      <c r="U32" s="218"/>
      <c r="V32" s="218"/>
      <c r="W32" s="219"/>
      <c r="X32"/>
      <c r="Y32" s="414">
        <f t="shared" si="0"/>
        <v>0</v>
      </c>
      <c r="Z32" s="415">
        <f t="shared" si="1"/>
        <v>0</v>
      </c>
      <c r="AA32" s="31" t="str">
        <f t="shared" si="2"/>
        <v>NONE</v>
      </c>
      <c r="AB32" s="31" t="str">
        <f t="shared" si="11"/>
        <v/>
      </c>
      <c r="AC32" s="526">
        <f t="shared" si="3"/>
        <v>0</v>
      </c>
      <c r="AD32" s="415">
        <f t="shared" si="4"/>
        <v>0</v>
      </c>
      <c r="AE32" s="415">
        <f t="shared" si="12"/>
        <v>0</v>
      </c>
      <c r="AF32" s="415">
        <f t="shared" si="13"/>
        <v>0</v>
      </c>
      <c r="AG32" s="31" cm="1">
        <f t="array" ref="AG32">IF($AE32&lt;=0,0,IFERROR(_xlfn.LET(_xlpm.n,MAX(1,$AO32),_xlpm.i,$AE32/_xlpm.n,MIN(Max_Cond_Pos,MAX(Min_Cond_Pos,IF(_xlpm.n&gt;1,Par_Min_Pos,1),MATCH(TRUE,INDEX(Cond_Table,0,IF(_xlpm.i&lt;=100,BranchCol60,BranchAmpCol))&gt;=_xlpm.i,0),IF(OR(Tog_VD&lt;&gt;"ON",$J32=0,$J32="",$AB32=0),0,MATCH(TRUE,INDEX(Cond_Table,0,2)&gt;=IF($E32=3,SQRT3,2)*BranchK*$AD32*$J32/($AQ$22*$AB32*_xlpm.n),0))))),0))</f>
        <v>0</v>
      </c>
      <c r="AH32" s="415">
        <f t="shared" si="5"/>
        <v>0</v>
      </c>
      <c r="AI32" s="31">
        <f t="shared" si="6"/>
        <v>0</v>
      </c>
      <c r="AJ32" s="415">
        <f t="shared" si="7"/>
        <v>0</v>
      </c>
      <c r="AK32" s="415">
        <f t="shared" si="8"/>
        <v>0</v>
      </c>
      <c r="AL32" s="415">
        <f t="shared" si="9"/>
        <v>0</v>
      </c>
      <c r="AN32" s="31">
        <f t="shared" si="14"/>
        <v>0</v>
      </c>
      <c r="AO32" s="563" cm="1">
        <f t="array" ref="AO32">IF($AE32&lt;=0,0,IFERROR(_xlfn.LET(_xlpm.col,IF($AE32&lt;=100,BranchCol60,BranchAmpCol),_xlpm.nA,ROUNDUP($AE32/INDEX(Cond_Table,Max_Cond_Pos,_xlpm.col),0),_xlpm.cm,IF(OR(Tog_VD&lt;&gt;"ON",$J32=0,$J32="",$AB32=0),0,IF($E32=3,SQRT3,2)*BranchK*$AD32*$J32/($AQ$22*$AB32)),_xlpm.nV,ROUNDUP(_xlpm.cm/INDEX(Cond_Table,Max_Cond_Pos,2),0),MAX(1,_xlpm.nA,_xlpm.nV)),1))</f>
        <v>0</v>
      </c>
      <c r="AQ32" s="31" cm="1">
        <f t="array" ref="AQ32">IF($AQ$31="",0,IF($AQ$31&lt;=0,0,IFERROR(_xlfn.LET(_xlpm.n,MAX(1,$AQ$40),_xlpm.i,$AQ$31/_xlpm.n,MIN(Max_Cond_Pos,MAX(Min_Cond_Pos,IF(_xlpm.n&gt;1,Par_Min_Pos,1),MATCH(TRUE,INDEX(Cond_Table,0,IF(_xlpm.i&lt;=100,FeederCol60,FeederAmpCol))&gt;=_xlpm.i,0),IF(OR(Tog_VD&lt;&gt;"ON",N($H$13)=0,N($H$13)=""),0,MATCH(TRUE,INDEX(Cond_Table,0,2)&gt;=IF($AQ$29=3,SQRT3,2)*FeederK*$AQ$31*N($H$13)/(Cfg_VDFeeder*$AQ$27*_xlpm.n),0))))),0)))</f>
        <v>0</v>
      </c>
      <c r="AS32" s="31" t="s">
        <v>1204</v>
      </c>
      <c r="AT32" s="31">
        <v>3</v>
      </c>
    </row>
    <row r="33" spans="1:46" ht="15" customHeight="1" x14ac:dyDescent="0.35">
      <c r="A33"/>
      <c r="B33" s="410">
        <f>2*(ROW()-29)+1</f>
        <v>9</v>
      </c>
      <c r="C33" s="663"/>
      <c r="D33" s="664"/>
      <c r="E33" s="411"/>
      <c r="F33" s="16" t="str" cm="1">
        <f t="array" ref="F33">IF($AN33=1,"-",IF($G33="Spare",IF($AM33&lt;&gt;"",$AM33,20),IF(OR($G33="",$G33="Space",$AF33&lt;=0),"",IFERROR(INDEX(OCPD_List,MATCH($AF33,OCPD_List,1)+IF(INDEX(OCPD_List,MATCH($AF33,OCPD_List,1))&gt;=$AF33,0,1)),15))))</f>
        <v/>
      </c>
      <c r="G33" s="412" t="str" cm="1">
        <f t="array" ref="G33">IF($AN33=1,"-",IF(COUNT($O33:$W33)=0,IF(UPPER(TRIM($C33))="SPARE","Spare","Space"),IF(COUNTIF($O33:$W33,"&gt;0")&gt;1,"COMB",CHOOSE(MATCH(TRUE,INDEX($O33:$W33&lt;&gt;"",0),0),"Lighting","Receptacle","Motor","HVAC","Electric Heat","Kitchen Equip","Continuous (Other)","Non-Continuous","Panel"))))</f>
        <v>Space</v>
      </c>
      <c r="H33" s="30" t="str">
        <f t="shared" si="10"/>
        <v/>
      </c>
      <c r="I33" s="411"/>
      <c r="J33" s="411"/>
      <c r="K33" s="320" t="str" cm="1">
        <f t="array" ref="K33">IF(OR(Tog_VD&lt;&gt;"ON",$AD33=0,$AG33=0,$J33=0,$J33="",$AB33=0),"",(IF($E33=3,SQRT3,2)*BranchK*$AD33*$J33/(INDEX(INDEX(Cond_Table,0,2),$AG33)*MAX(1,$AO33)))/$AB33)</f>
        <v/>
      </c>
      <c r="L33" s="16" t="str" cm="1">
        <f t="array" ref="L33">IF(OR(Tog_Wire&lt;&gt;"ON",$AG33=0),"",IFERROR(IF($AO33&gt;1,"("&amp;$AO33&amp;") ","")&amp;"#"&amp;INDEX(Cond_Size,$AG33)&amp;" | #"&amp;INDEX(Cond_Size,MIN($AG33,MAX(Min_Cond_Pos,MATCH(TRUE,INDEX(Cond_Table,0,2)&gt;=INDEX(INDEX(Cond_Table,0,2),MATCH(INDEX(INDEX(EGC_Table,0,IF(Cfg_BranchMat="Cu",2,3)),MATCH(TRUE,INDEX(EGC_Table,0,1)&gt;=$F33,0)),Cond_Size,0))*INDEX(INDEX(Cond_Table,0,2),$AG33)/INDEX(INDEX(Cond_Table,0,2),MAX(Min_Cond_Pos,MATCH(TRUE,INDEX(Cond_Table,0,IF($AE33&lt;=100,BranchCol60,BranchAmpCol))&gt;=$AE33/MAX(1,$AO33),0))),0))))&amp;"G",""))</f>
        <v/>
      </c>
      <c r="M33" s="413"/>
      <c r="O33" s="217"/>
      <c r="P33" s="218"/>
      <c r="Q33" s="218"/>
      <c r="R33" s="218"/>
      <c r="S33" s="218"/>
      <c r="T33" s="218"/>
      <c r="U33" s="218"/>
      <c r="V33" s="218"/>
      <c r="W33" s="219"/>
      <c r="X33"/>
      <c r="Y33" s="414">
        <f t="shared" si="0"/>
        <v>0</v>
      </c>
      <c r="Z33" s="415">
        <f t="shared" si="1"/>
        <v>0</v>
      </c>
      <c r="AA33" s="31" t="str">
        <f t="shared" si="2"/>
        <v>NONE</v>
      </c>
      <c r="AB33" s="31" t="str">
        <f t="shared" si="11"/>
        <v/>
      </c>
      <c r="AC33" s="526">
        <f t="shared" si="3"/>
        <v>0</v>
      </c>
      <c r="AD33" s="415">
        <f t="shared" si="4"/>
        <v>0</v>
      </c>
      <c r="AE33" s="415">
        <f t="shared" si="12"/>
        <v>0</v>
      </c>
      <c r="AF33" s="415">
        <f t="shared" si="13"/>
        <v>0</v>
      </c>
      <c r="AG33" s="31" cm="1">
        <f t="array" ref="AG33">IF($AE33&lt;=0,0,IFERROR(_xlfn.LET(_xlpm.n,MAX(1,$AO33),_xlpm.i,$AE33/_xlpm.n,MIN(Max_Cond_Pos,MAX(Min_Cond_Pos,IF(_xlpm.n&gt;1,Par_Min_Pos,1),MATCH(TRUE,INDEX(Cond_Table,0,IF(_xlpm.i&lt;=100,BranchCol60,BranchAmpCol))&gt;=_xlpm.i,0),IF(OR(Tog_VD&lt;&gt;"ON",$J33=0,$J33="",$AB33=0),0,MATCH(TRUE,INDEX(Cond_Table,0,2)&gt;=IF($E33=3,SQRT3,2)*BranchK*$AD33*$J33/($AQ$22*$AB33*_xlpm.n),0))))),0))</f>
        <v>0</v>
      </c>
      <c r="AH33" s="415">
        <f t="shared" si="5"/>
        <v>0</v>
      </c>
      <c r="AI33" s="31">
        <f t="shared" si="6"/>
        <v>1</v>
      </c>
      <c r="AJ33" s="415">
        <f t="shared" si="7"/>
        <v>0</v>
      </c>
      <c r="AK33" s="415">
        <f t="shared" si="8"/>
        <v>0</v>
      </c>
      <c r="AL33" s="415">
        <f t="shared" si="9"/>
        <v>0</v>
      </c>
      <c r="AN33" s="31">
        <f t="shared" si="14"/>
        <v>0</v>
      </c>
      <c r="AO33" s="563" cm="1">
        <f t="array" ref="AO33">IF($AE33&lt;=0,0,IFERROR(_xlfn.LET(_xlpm.col,IF($AE33&lt;=100,BranchCol60,BranchAmpCol),_xlpm.nA,ROUNDUP($AE33/INDEX(Cond_Table,Max_Cond_Pos,_xlpm.col),0),_xlpm.cm,IF(OR(Tog_VD&lt;&gt;"ON",$J33=0,$J33="",$AB33=0),0,IF($E33=3,SQRT3,2)*BranchK*$AD33*$J33/($AQ$22*$AB33)),_xlpm.nV,ROUNDUP(_xlpm.cm/INDEX(Cond_Table,Max_Cond_Pos,2),0),MAX(1,_xlpm.nA,_xlpm.nV)),1))</f>
        <v>0</v>
      </c>
      <c r="AQ33" s="31" cm="1">
        <f t="array" ref="AQ33">IF($D$12&lt;=0,0,IFERROR(MAX(Min_Cond_Pos,MATCH(TRUE,INDEX(Cond_Table,0,IF($D$12&lt;=100,FeederCol60,FeederAmpCol))&gt;=$D$12,0)),0))</f>
        <v>0</v>
      </c>
      <c r="AS33" s="31" t="s">
        <v>1205</v>
      </c>
      <c r="AT33" s="31" t="s">
        <v>224</v>
      </c>
    </row>
    <row r="34" spans="1:46" ht="15" customHeight="1" x14ac:dyDescent="0.35">
      <c r="A34"/>
      <c r="B34" s="410">
        <f>2*(ROW()-29)+1</f>
        <v>11</v>
      </c>
      <c r="C34" s="663"/>
      <c r="D34" s="664"/>
      <c r="E34" s="411"/>
      <c r="F34" s="16" t="str" cm="1">
        <f t="array" ref="F34">IF($AN34=1,"-",IF($G34="Spare",IF($AM34&lt;&gt;"",$AM34,20),IF(OR($G34="",$G34="Space",$AF34&lt;=0),"",IFERROR(INDEX(OCPD_List,MATCH($AF34,OCPD_List,1)+IF(INDEX(OCPD_List,MATCH($AF34,OCPD_List,1))&gt;=$AF34,0,1)),15))))</f>
        <v/>
      </c>
      <c r="G34" s="412" t="str" cm="1">
        <f t="array" ref="G34">IF($AN34=1,"-",IF(COUNT($O34:$W34)=0,IF(UPPER(TRIM($C34))="SPARE","Spare","Space"),IF(COUNTIF($O34:$W34,"&gt;0")&gt;1,"COMB",CHOOSE(MATCH(TRUE,INDEX($O34:$W34&lt;&gt;"",0),0),"Lighting","Receptacle","Motor","HVAC","Electric Heat","Kitchen Equip","Continuous (Other)","Non-Continuous","Panel"))))</f>
        <v>Space</v>
      </c>
      <c r="H34" s="30" t="str">
        <f t="shared" si="10"/>
        <v/>
      </c>
      <c r="I34" s="411"/>
      <c r="J34" s="411"/>
      <c r="K34" s="320" t="str" cm="1">
        <f t="array" ref="K34">IF(OR(Tog_VD&lt;&gt;"ON",$AD34=0,$AG34=0,$J34=0,$J34="",$AB34=0),"",(IF($E34=3,SQRT3,2)*BranchK*$AD34*$J34/(INDEX(INDEX(Cond_Table,0,2),$AG34)*MAX(1,$AO34)))/$AB34)</f>
        <v/>
      </c>
      <c r="L34" s="16" t="str" cm="1">
        <f t="array" ref="L34">IF(OR(Tog_Wire&lt;&gt;"ON",$AG34=0),"",IFERROR(IF($AO34&gt;1,"("&amp;$AO34&amp;") ","")&amp;"#"&amp;INDEX(Cond_Size,$AG34)&amp;" | #"&amp;INDEX(Cond_Size,MIN($AG34,MAX(Min_Cond_Pos,MATCH(TRUE,INDEX(Cond_Table,0,2)&gt;=INDEX(INDEX(Cond_Table,0,2),MATCH(INDEX(INDEX(EGC_Table,0,IF(Cfg_BranchMat="Cu",2,3)),MATCH(TRUE,INDEX(EGC_Table,0,1)&gt;=$F34,0)),Cond_Size,0))*INDEX(INDEX(Cond_Table,0,2),$AG34)/INDEX(INDEX(Cond_Table,0,2),MAX(Min_Cond_Pos,MATCH(TRUE,INDEX(Cond_Table,0,IF($AE34&lt;=100,BranchCol60,BranchAmpCol))&gt;=$AE34/MAX(1,$AO34),0))),0))))&amp;"G",""))</f>
        <v/>
      </c>
      <c r="M34" s="413"/>
      <c r="O34" s="217"/>
      <c r="P34" s="218"/>
      <c r="Q34" s="218"/>
      <c r="R34" s="218"/>
      <c r="S34" s="218"/>
      <c r="T34" s="218"/>
      <c r="U34" s="218"/>
      <c r="V34" s="218"/>
      <c r="W34" s="219"/>
      <c r="X34"/>
      <c r="Y34" s="414">
        <f t="shared" si="0"/>
        <v>0</v>
      </c>
      <c r="Z34" s="415">
        <f t="shared" si="1"/>
        <v>0</v>
      </c>
      <c r="AA34" s="31" t="str">
        <f t="shared" si="2"/>
        <v>NONE</v>
      </c>
      <c r="AB34" s="31" t="str">
        <f t="shared" si="11"/>
        <v/>
      </c>
      <c r="AC34" s="526">
        <f t="shared" si="3"/>
        <v>0</v>
      </c>
      <c r="AD34" s="415">
        <f t="shared" si="4"/>
        <v>0</v>
      </c>
      <c r="AE34" s="415">
        <f t="shared" si="12"/>
        <v>0</v>
      </c>
      <c r="AF34" s="415">
        <f t="shared" si="13"/>
        <v>0</v>
      </c>
      <c r="AG34" s="31" cm="1">
        <f t="array" ref="AG34">IF($AE34&lt;=0,0,IFERROR(_xlfn.LET(_xlpm.n,MAX(1,$AO34),_xlpm.i,$AE34/_xlpm.n,MIN(Max_Cond_Pos,MAX(Min_Cond_Pos,IF(_xlpm.n&gt;1,Par_Min_Pos,1),MATCH(TRUE,INDEX(Cond_Table,0,IF(_xlpm.i&lt;=100,BranchCol60,BranchAmpCol))&gt;=_xlpm.i,0),IF(OR(Tog_VD&lt;&gt;"ON",$J34=0,$J34="",$AB34=0),0,MATCH(TRUE,INDEX(Cond_Table,0,2)&gt;=IF($E34=3,SQRT3,2)*BranchK*$AD34*$J34/($AQ$22*$AB34*_xlpm.n),0))))),0))</f>
        <v>0</v>
      </c>
      <c r="AH34" s="415">
        <f t="shared" si="5"/>
        <v>0</v>
      </c>
      <c r="AI34" s="31">
        <f t="shared" si="6"/>
        <v>2</v>
      </c>
      <c r="AJ34" s="415">
        <f t="shared" si="7"/>
        <v>0</v>
      </c>
      <c r="AK34" s="415">
        <f t="shared" si="8"/>
        <v>0</v>
      </c>
      <c r="AL34" s="415">
        <f t="shared" si="9"/>
        <v>0</v>
      </c>
      <c r="AN34" s="31">
        <f t="shared" si="14"/>
        <v>0</v>
      </c>
      <c r="AO34" s="563" cm="1">
        <f t="array" ref="AO34">IF($AE34&lt;=0,0,IFERROR(_xlfn.LET(_xlpm.col,IF($AE34&lt;=100,BranchCol60,BranchAmpCol),_xlpm.nA,ROUNDUP($AE34/INDEX(Cond_Table,Max_Cond_Pos,_xlpm.col),0),_xlpm.cm,IF(OR(Tog_VD&lt;&gt;"ON",$J34=0,$J34="",$AB34=0),0,IF($E34=3,SQRT3,2)*BranchK*$AD34*$J34/($AQ$22*$AB34)),_xlpm.nV,ROUNDUP(_xlpm.cm/INDEX(Cond_Table,Max_Cond_Pos,2),0),MAX(1,_xlpm.nA,_xlpm.nV)),1))</f>
        <v>0</v>
      </c>
      <c r="AQ34" s="31">
        <f>COUNTIFS($T$29:$T$112,"&gt;0")</f>
        <v>0</v>
      </c>
      <c r="AS34" s="416" t="s">
        <v>1253</v>
      </c>
      <c r="AT34" s="31" t="s">
        <v>1179</v>
      </c>
    </row>
    <row r="35" spans="1:46" ht="15" customHeight="1" x14ac:dyDescent="0.35">
      <c r="A35"/>
      <c r="B35" s="410">
        <f>2*(ROW()-29)+1</f>
        <v>13</v>
      </c>
      <c r="C35" s="663"/>
      <c r="D35" s="664"/>
      <c r="E35" s="411"/>
      <c r="F35" s="16" t="str" cm="1">
        <f t="array" ref="F35">IF($AN35=1,"-",IF($G35="Spare",IF($AM35&lt;&gt;"",$AM35,20),IF(OR($G35="",$G35="Space",$AF35&lt;=0),"",IFERROR(INDEX(OCPD_List,MATCH($AF35,OCPD_List,1)+IF(INDEX(OCPD_List,MATCH($AF35,OCPD_List,1))&gt;=$AF35,0,1)),15))))</f>
        <v/>
      </c>
      <c r="G35" s="412" t="str" cm="1">
        <f t="array" ref="G35">IF($AN35=1,"-",IF(COUNT($O35:$W35)=0,IF(UPPER(TRIM($C35))="SPARE","Spare","Space"),IF(COUNTIF($O35:$W35,"&gt;0")&gt;1,"COMB",CHOOSE(MATCH(TRUE,INDEX($O35:$W35&lt;&gt;"",0),0),"Lighting","Receptacle","Motor","HVAC","Electric Heat","Kitchen Equip","Continuous (Other)","Non-Continuous","Panel"))))</f>
        <v>Space</v>
      </c>
      <c r="H35" s="30" t="str">
        <f t="shared" si="10"/>
        <v/>
      </c>
      <c r="I35" s="411"/>
      <c r="J35" s="411"/>
      <c r="K35" s="320" t="str" cm="1">
        <f t="array" ref="K35">IF(OR(Tog_VD&lt;&gt;"ON",$AD35=0,$AG35=0,$J35=0,$J35="",$AB35=0),"",(IF($E35=3,SQRT3,2)*BranchK*$AD35*$J35/(INDEX(INDEX(Cond_Table,0,2),$AG35)*MAX(1,$AO35)))/$AB35)</f>
        <v/>
      </c>
      <c r="L35" s="16" t="str" cm="1">
        <f t="array" ref="L35">IF(OR(Tog_Wire&lt;&gt;"ON",$AG35=0),"",IFERROR(IF($AO35&gt;1,"("&amp;$AO35&amp;") ","")&amp;"#"&amp;INDEX(Cond_Size,$AG35)&amp;" | #"&amp;INDEX(Cond_Size,MIN($AG35,MAX(Min_Cond_Pos,MATCH(TRUE,INDEX(Cond_Table,0,2)&gt;=INDEX(INDEX(Cond_Table,0,2),MATCH(INDEX(INDEX(EGC_Table,0,IF(Cfg_BranchMat="Cu",2,3)),MATCH(TRUE,INDEX(EGC_Table,0,1)&gt;=$F35,0)),Cond_Size,0))*INDEX(INDEX(Cond_Table,0,2),$AG35)/INDEX(INDEX(Cond_Table,0,2),MAX(Min_Cond_Pos,MATCH(TRUE,INDEX(Cond_Table,0,IF($AE35&lt;=100,BranchCol60,BranchAmpCol))&gt;=$AE35/MAX(1,$AO35),0))),0))))&amp;"G",""))</f>
        <v/>
      </c>
      <c r="M35" s="413"/>
      <c r="O35" s="217"/>
      <c r="P35" s="218"/>
      <c r="Q35" s="218"/>
      <c r="R35" s="218"/>
      <c r="S35" s="218"/>
      <c r="T35" s="218"/>
      <c r="U35" s="218"/>
      <c r="V35" s="218"/>
      <c r="W35" s="219"/>
      <c r="X35"/>
      <c r="Y35" s="414">
        <f t="shared" si="0"/>
        <v>0</v>
      </c>
      <c r="Z35" s="415">
        <f t="shared" si="1"/>
        <v>0</v>
      </c>
      <c r="AA35" s="31" t="str">
        <f t="shared" si="2"/>
        <v>NONE</v>
      </c>
      <c r="AB35" s="31" t="str">
        <f t="shared" si="11"/>
        <v/>
      </c>
      <c r="AC35" s="526">
        <f t="shared" si="3"/>
        <v>0</v>
      </c>
      <c r="AD35" s="415">
        <f t="shared" si="4"/>
        <v>0</v>
      </c>
      <c r="AE35" s="415">
        <f t="shared" si="12"/>
        <v>0</v>
      </c>
      <c r="AF35" s="415">
        <f t="shared" si="13"/>
        <v>0</v>
      </c>
      <c r="AG35" s="31" cm="1">
        <f t="array" ref="AG35">IF($AE35&lt;=0,0,IFERROR(_xlfn.LET(_xlpm.n,MAX(1,$AO35),_xlpm.i,$AE35/_xlpm.n,MIN(Max_Cond_Pos,MAX(Min_Cond_Pos,IF(_xlpm.n&gt;1,Par_Min_Pos,1),MATCH(TRUE,INDEX(Cond_Table,0,IF(_xlpm.i&lt;=100,BranchCol60,BranchAmpCol))&gt;=_xlpm.i,0),IF(OR(Tog_VD&lt;&gt;"ON",$J35=0,$J35="",$AB35=0),0,MATCH(TRUE,INDEX(Cond_Table,0,2)&gt;=IF($E35=3,SQRT3,2)*BranchK*$AD35*$J35/($AQ$22*$AB35*_xlpm.n),0))))),0))</f>
        <v>0</v>
      </c>
      <c r="AH35" s="415">
        <f t="shared" si="5"/>
        <v>0</v>
      </c>
      <c r="AI35" s="31">
        <f t="shared" si="6"/>
        <v>0</v>
      </c>
      <c r="AJ35" s="415">
        <f t="shared" si="7"/>
        <v>0</v>
      </c>
      <c r="AK35" s="415">
        <f t="shared" si="8"/>
        <v>0</v>
      </c>
      <c r="AL35" s="415">
        <f t="shared" si="9"/>
        <v>0</v>
      </c>
      <c r="AN35" s="31">
        <f t="shared" si="14"/>
        <v>0</v>
      </c>
      <c r="AO35" s="563" cm="1">
        <f t="array" ref="AO35">IF($AE35&lt;=0,0,IFERROR(_xlfn.LET(_xlpm.col,IF($AE35&lt;=100,BranchCol60,BranchAmpCol),_xlpm.nA,ROUNDUP($AE35/INDEX(Cond_Table,Max_Cond_Pos,_xlpm.col),0),_xlpm.cm,IF(OR(Tog_VD&lt;&gt;"ON",$J35=0,$J35="",$AB35=0),0,IF($E35=3,SQRT3,2)*BranchK*$AD35*$J35/($AQ$22*$AB35)),_xlpm.nV,ROUNDUP(_xlpm.cm/INDEX(Cond_Table,Max_Cond_Pos,2),0),MAX(1,_xlpm.nA,_xlpm.nV)),1))</f>
        <v>0</v>
      </c>
      <c r="AQ35" s="527">
        <f>MAX(0,_xlfn.MAXIFS($AH$29:$AH$112,$Y$29:$Y$112,1))</f>
        <v>0</v>
      </c>
      <c r="AS35" s="31" t="s">
        <v>1174</v>
      </c>
      <c r="AT35" s="31" t="s">
        <v>1176</v>
      </c>
    </row>
    <row r="36" spans="1:46" ht="15" customHeight="1" x14ac:dyDescent="0.35">
      <c r="A36"/>
      <c r="B36" s="410">
        <f>2*(ROW()-29)+1</f>
        <v>15</v>
      </c>
      <c r="C36" s="663"/>
      <c r="D36" s="664"/>
      <c r="E36" s="411"/>
      <c r="F36" s="16" t="str" cm="1">
        <f t="array" ref="F36">IF($AN36=1,"-",IF($G36="Spare",IF($AM36&lt;&gt;"",$AM36,20),IF(OR($G36="",$G36="Space",$AF36&lt;=0),"",IFERROR(INDEX(OCPD_List,MATCH($AF36,OCPD_List,1)+IF(INDEX(OCPD_List,MATCH($AF36,OCPD_List,1))&gt;=$AF36,0,1)),15))))</f>
        <v/>
      </c>
      <c r="G36" s="412" t="str" cm="1">
        <f t="array" ref="G36">IF($AN36=1,"-",IF(COUNT($O36:$W36)=0,IF(UPPER(TRIM($C36))="SPARE","Spare","Space"),IF(COUNTIF($O36:$W36,"&gt;0")&gt;1,"COMB",CHOOSE(MATCH(TRUE,INDEX($O36:$W36&lt;&gt;"",0),0),"Lighting","Receptacle","Motor","HVAC","Electric Heat","Kitchen Equip","Continuous (Other)","Non-Continuous","Panel"))))</f>
        <v>Space</v>
      </c>
      <c r="H36" s="30" t="str">
        <f t="shared" si="10"/>
        <v/>
      </c>
      <c r="I36" s="411"/>
      <c r="J36" s="411"/>
      <c r="K36" s="320" t="str" cm="1">
        <f t="array" ref="K36">IF(OR(Tog_VD&lt;&gt;"ON",$AD36=0,$AG36=0,$J36=0,$J36="",$AB36=0),"",(IF($E36=3,SQRT3,2)*BranchK*$AD36*$J36/(INDEX(INDEX(Cond_Table,0,2),$AG36)*MAX(1,$AO36)))/$AB36)</f>
        <v/>
      </c>
      <c r="L36" s="16" t="str" cm="1">
        <f t="array" ref="L36">IF(OR(Tog_Wire&lt;&gt;"ON",$AG36=0),"",IFERROR(IF($AO36&gt;1,"("&amp;$AO36&amp;") ","")&amp;"#"&amp;INDEX(Cond_Size,$AG36)&amp;" | #"&amp;INDEX(Cond_Size,MIN($AG36,MAX(Min_Cond_Pos,MATCH(TRUE,INDEX(Cond_Table,0,2)&gt;=INDEX(INDEX(Cond_Table,0,2),MATCH(INDEX(INDEX(EGC_Table,0,IF(Cfg_BranchMat="Cu",2,3)),MATCH(TRUE,INDEX(EGC_Table,0,1)&gt;=$F36,0)),Cond_Size,0))*INDEX(INDEX(Cond_Table,0,2),$AG36)/INDEX(INDEX(Cond_Table,0,2),MAX(Min_Cond_Pos,MATCH(TRUE,INDEX(Cond_Table,0,IF($AE36&lt;=100,BranchCol60,BranchAmpCol))&gt;=$AE36/MAX(1,$AO36),0))),0))))&amp;"G",""))</f>
        <v/>
      </c>
      <c r="M36" s="413"/>
      <c r="O36" s="217"/>
      <c r="P36" s="218"/>
      <c r="Q36" s="218"/>
      <c r="R36" s="218"/>
      <c r="S36" s="218"/>
      <c r="T36" s="218"/>
      <c r="U36" s="218"/>
      <c r="V36" s="218"/>
      <c r="W36" s="219"/>
      <c r="X36"/>
      <c r="Y36" s="414">
        <f t="shared" si="0"/>
        <v>0</v>
      </c>
      <c r="Z36" s="415">
        <f t="shared" si="1"/>
        <v>0</v>
      </c>
      <c r="AA36" s="31" t="str">
        <f t="shared" si="2"/>
        <v>NONE</v>
      </c>
      <c r="AB36" s="31" t="str">
        <f t="shared" si="11"/>
        <v/>
      </c>
      <c r="AC36" s="526">
        <f t="shared" si="3"/>
        <v>0</v>
      </c>
      <c r="AD36" s="415">
        <f t="shared" si="4"/>
        <v>0</v>
      </c>
      <c r="AE36" s="415">
        <f t="shared" si="12"/>
        <v>0</v>
      </c>
      <c r="AF36" s="415">
        <f t="shared" si="13"/>
        <v>0</v>
      </c>
      <c r="AG36" s="31" cm="1">
        <f t="array" ref="AG36">IF($AE36&lt;=0,0,IFERROR(_xlfn.LET(_xlpm.n,MAX(1,$AO36),_xlpm.i,$AE36/_xlpm.n,MIN(Max_Cond_Pos,MAX(Min_Cond_Pos,IF(_xlpm.n&gt;1,Par_Min_Pos,1),MATCH(TRUE,INDEX(Cond_Table,0,IF(_xlpm.i&lt;=100,BranchCol60,BranchAmpCol))&gt;=_xlpm.i,0),IF(OR(Tog_VD&lt;&gt;"ON",$J36=0,$J36="",$AB36=0),0,MATCH(TRUE,INDEX(Cond_Table,0,2)&gt;=IF($E36=3,SQRT3,2)*BranchK*$AD36*$J36/($AQ$22*$AB36*_xlpm.n),0))))),0))</f>
        <v>0</v>
      </c>
      <c r="AH36" s="415">
        <f t="shared" si="5"/>
        <v>0</v>
      </c>
      <c r="AI36" s="31">
        <f t="shared" si="6"/>
        <v>1</v>
      </c>
      <c r="AJ36" s="415">
        <f t="shared" si="7"/>
        <v>0</v>
      </c>
      <c r="AK36" s="415">
        <f t="shared" si="8"/>
        <v>0</v>
      </c>
      <c r="AL36" s="415">
        <f t="shared" si="9"/>
        <v>0</v>
      </c>
      <c r="AN36" s="31">
        <f t="shared" si="14"/>
        <v>0</v>
      </c>
      <c r="AO36" s="563" cm="1">
        <f t="array" ref="AO36">IF($AE36&lt;=0,0,IFERROR(_xlfn.LET(_xlpm.col,IF($AE36&lt;=100,BranchCol60,BranchAmpCol),_xlpm.nA,ROUNDUP($AE36/INDEX(Cond_Table,Max_Cond_Pos,_xlpm.col),0),_xlpm.cm,IF(OR(Tog_VD&lt;&gt;"ON",$J36=0,$J36="",$AB36=0),0,IF($E36=3,SQRT3,2)*BranchK*$AD36*$J36/($AQ$22*$AB36)),_xlpm.nV,ROUNDUP(_xlpm.cm/INDEX(Cond_Table,Max_Cond_Pos,2),0),MAX(1,_xlpm.nA,_xlpm.nV)),1))</f>
        <v>0</v>
      </c>
      <c r="AP36" s="31" t="s">
        <v>1864</v>
      </c>
      <c r="AQ36" s="241" t="str" cm="1">
        <f t="array" ref="AQ36">_xlfn.LET(_xlpm.study,IFERROR(_xlfn.XLOOKUP($D$5,'Short Circuit'!$A$6:$A$255,'Short Circuit'!$Q$6:$Q$255),""),_xlpm.worst,MAX(IF(ISNUMBER($H$6),$H$6,0),IF(ISNUMBER(_xlpm.study),_xlpm.study,0))/1000,IF(_xlpm.worst&lt;=0,"",IFERROR(INDEX(Brace_List,MATCH(TRUE,INDEX(Brace_List&gt;=_xlpm.worst,0),0)),"&gt;"&amp;MAX(Brace_List))))</f>
        <v/>
      </c>
      <c r="AS36" s="31" t="s">
        <v>1185</v>
      </c>
      <c r="AT36" s="31">
        <v>29</v>
      </c>
    </row>
    <row r="37" spans="1:46" ht="15" customHeight="1" x14ac:dyDescent="0.35">
      <c r="A37"/>
      <c r="B37" s="410">
        <f>2*(ROW()-29)+1</f>
        <v>17</v>
      </c>
      <c r="C37" s="663"/>
      <c r="D37" s="664"/>
      <c r="E37" s="411"/>
      <c r="F37" s="16" t="str" cm="1">
        <f t="array" ref="F37">IF($AN37=1,"-",IF($G37="Spare",IF($AM37&lt;&gt;"",$AM37,20),IF(OR($G37="",$G37="Space",$AF37&lt;=0),"",IFERROR(INDEX(OCPD_List,MATCH($AF37,OCPD_List,1)+IF(INDEX(OCPD_List,MATCH($AF37,OCPD_List,1))&gt;=$AF37,0,1)),15))))</f>
        <v/>
      </c>
      <c r="G37" s="412" t="str" cm="1">
        <f t="array" ref="G37">IF($AN37=1,"-",IF(COUNT($O37:$W37)=0,IF(UPPER(TRIM($C37))="SPARE","Spare","Space"),IF(COUNTIF($O37:$W37,"&gt;0")&gt;1,"COMB",CHOOSE(MATCH(TRUE,INDEX($O37:$W37&lt;&gt;"",0),0),"Lighting","Receptacle","Motor","HVAC","Electric Heat","Kitchen Equip","Continuous (Other)","Non-Continuous","Panel"))))</f>
        <v>Space</v>
      </c>
      <c r="H37" s="30" t="str">
        <f t="shared" si="10"/>
        <v/>
      </c>
      <c r="I37" s="411"/>
      <c r="J37" s="411"/>
      <c r="K37" s="320" t="str" cm="1">
        <f t="array" ref="K37">IF(OR(Tog_VD&lt;&gt;"ON",$AD37=0,$AG37=0,$J37=0,$J37="",$AB37=0),"",(IF($E37=3,SQRT3,2)*BranchK*$AD37*$J37/(INDEX(INDEX(Cond_Table,0,2),$AG37)*MAX(1,$AO37)))/$AB37)</f>
        <v/>
      </c>
      <c r="L37" s="16" t="str" cm="1">
        <f t="array" ref="L37">IF(OR(Tog_Wire&lt;&gt;"ON",$AG37=0),"",IFERROR(IF($AO37&gt;1,"("&amp;$AO37&amp;") ","")&amp;"#"&amp;INDEX(Cond_Size,$AG37)&amp;" | #"&amp;INDEX(Cond_Size,MIN($AG37,MAX(Min_Cond_Pos,MATCH(TRUE,INDEX(Cond_Table,0,2)&gt;=INDEX(INDEX(Cond_Table,0,2),MATCH(INDEX(INDEX(EGC_Table,0,IF(Cfg_BranchMat="Cu",2,3)),MATCH(TRUE,INDEX(EGC_Table,0,1)&gt;=$F37,0)),Cond_Size,0))*INDEX(INDEX(Cond_Table,0,2),$AG37)/INDEX(INDEX(Cond_Table,0,2),MAX(Min_Cond_Pos,MATCH(TRUE,INDEX(Cond_Table,0,IF($AE37&lt;=100,BranchCol60,BranchAmpCol))&gt;=$AE37/MAX(1,$AO37),0))),0))))&amp;"G",""))</f>
        <v/>
      </c>
      <c r="M37" s="413"/>
      <c r="O37" s="217"/>
      <c r="P37" s="218"/>
      <c r="Q37" s="218"/>
      <c r="R37" s="218"/>
      <c r="S37" s="218"/>
      <c r="T37" s="218"/>
      <c r="U37" s="218"/>
      <c r="V37" s="218"/>
      <c r="W37" s="219"/>
      <c r="X37"/>
      <c r="Y37" s="414">
        <f t="shared" si="0"/>
        <v>0</v>
      </c>
      <c r="Z37" s="415">
        <f t="shared" si="1"/>
        <v>0</v>
      </c>
      <c r="AA37" s="31" t="str">
        <f t="shared" si="2"/>
        <v>NONE</v>
      </c>
      <c r="AB37" s="31" t="str">
        <f t="shared" si="11"/>
        <v/>
      </c>
      <c r="AC37" s="526">
        <f t="shared" si="3"/>
        <v>0</v>
      </c>
      <c r="AD37" s="415">
        <f t="shared" si="4"/>
        <v>0</v>
      </c>
      <c r="AE37" s="415">
        <f t="shared" si="12"/>
        <v>0</v>
      </c>
      <c r="AF37" s="415">
        <f t="shared" si="13"/>
        <v>0</v>
      </c>
      <c r="AG37" s="31" cm="1">
        <f t="array" ref="AG37">IF($AE37&lt;=0,0,IFERROR(_xlfn.LET(_xlpm.n,MAX(1,$AO37),_xlpm.i,$AE37/_xlpm.n,MIN(Max_Cond_Pos,MAX(Min_Cond_Pos,IF(_xlpm.n&gt;1,Par_Min_Pos,1),MATCH(TRUE,INDEX(Cond_Table,0,IF(_xlpm.i&lt;=100,BranchCol60,BranchAmpCol))&gt;=_xlpm.i,0),IF(OR(Tog_VD&lt;&gt;"ON",$J37=0,$J37="",$AB37=0),0,MATCH(TRUE,INDEX(Cond_Table,0,2)&gt;=IF($E37=3,SQRT3,2)*BranchK*$AD37*$J37/($AQ$22*$AB37*_xlpm.n),0))))),0))</f>
        <v>0</v>
      </c>
      <c r="AH37" s="415">
        <f t="shared" si="5"/>
        <v>0</v>
      </c>
      <c r="AI37" s="31">
        <f t="shared" si="6"/>
        <v>2</v>
      </c>
      <c r="AJ37" s="415">
        <f t="shared" si="7"/>
        <v>0</v>
      </c>
      <c r="AK37" s="415">
        <f t="shared" si="8"/>
        <v>0</v>
      </c>
      <c r="AL37" s="415">
        <f t="shared" si="9"/>
        <v>0</v>
      </c>
      <c r="AN37" s="31">
        <f t="shared" si="14"/>
        <v>0</v>
      </c>
      <c r="AO37" s="563" cm="1">
        <f t="array" ref="AO37">IF($AE37&lt;=0,0,IFERROR(_xlfn.LET(_xlpm.col,IF($AE37&lt;=100,BranchCol60,BranchAmpCol),_xlpm.nA,ROUNDUP($AE37/INDEX(Cond_Table,Max_Cond_Pos,_xlpm.col),0),_xlpm.cm,IF(OR(Tog_VD&lt;&gt;"ON",$J37=0,$J37="",$AB37=0),0,IF($E37=3,SQRT3,2)*BranchK*$AD37*$J37/($AQ$22*$AB37)),_xlpm.nV,ROUNDUP(_xlpm.cm/INDEX(Cond_Table,Max_Cond_Pos,2),0),MAX(1,_xlpm.nA,_xlpm.nV)),1))</f>
        <v>0</v>
      </c>
      <c r="AP37" s="31" t="s">
        <v>1865</v>
      </c>
      <c r="AQ37" s="538" t="str" cm="1">
        <f t="array" ref="AQ37">IF(N($D$12)&lt;=0,"",IFERROR(INDEX(Bus_List,MATCH(TRUE,INDEX(Bus_List&gt;=$D$12,0),0)),"&gt;"&amp;MAX(Bus_List)))</f>
        <v/>
      </c>
      <c r="AS37" s="31" t="s">
        <v>1186</v>
      </c>
      <c r="AT37" s="31">
        <v>70</v>
      </c>
    </row>
    <row r="38" spans="1:46" ht="15" customHeight="1" x14ac:dyDescent="0.35">
      <c r="A38"/>
      <c r="B38" s="410">
        <f>2*(ROW()-29)+1</f>
        <v>19</v>
      </c>
      <c r="C38" s="663"/>
      <c r="D38" s="664"/>
      <c r="E38" s="411"/>
      <c r="F38" s="16" t="str" cm="1">
        <f t="array" ref="F38">IF($AN38=1,"-",IF($G38="Spare",IF($AM38&lt;&gt;"",$AM38,20),IF(OR($G38="",$G38="Space",$AF38&lt;=0),"",IFERROR(INDEX(OCPD_List,MATCH($AF38,OCPD_List,1)+IF(INDEX(OCPD_List,MATCH($AF38,OCPD_List,1))&gt;=$AF38,0,1)),15))))</f>
        <v/>
      </c>
      <c r="G38" s="412" t="str" cm="1">
        <f t="array" ref="G38">IF($AN38=1,"-",IF(COUNT($O38:$W38)=0,IF(UPPER(TRIM($C38))="SPARE","Spare","Space"),IF(COUNTIF($O38:$W38,"&gt;0")&gt;1,"COMB",CHOOSE(MATCH(TRUE,INDEX($O38:$W38&lt;&gt;"",0),0),"Lighting","Receptacle","Motor","HVAC","Electric Heat","Kitchen Equip","Continuous (Other)","Non-Continuous","Panel"))))</f>
        <v>Space</v>
      </c>
      <c r="H38" s="30" t="str">
        <f t="shared" si="10"/>
        <v/>
      </c>
      <c r="I38" s="411"/>
      <c r="J38" s="411"/>
      <c r="K38" s="320" t="str" cm="1">
        <f t="array" ref="K38">IF(OR(Tog_VD&lt;&gt;"ON",$AD38=0,$AG38=0,$J38=0,$J38="",$AB38=0),"",(IF($E38=3,SQRT3,2)*BranchK*$AD38*$J38/(INDEX(INDEX(Cond_Table,0,2),$AG38)*MAX(1,$AO38)))/$AB38)</f>
        <v/>
      </c>
      <c r="L38" s="16" t="str" cm="1">
        <f t="array" ref="L38">IF(OR(Tog_Wire&lt;&gt;"ON",$AG38=0),"",IFERROR(IF($AO38&gt;1,"("&amp;$AO38&amp;") ","")&amp;"#"&amp;INDEX(Cond_Size,$AG38)&amp;" | #"&amp;INDEX(Cond_Size,MIN($AG38,MAX(Min_Cond_Pos,MATCH(TRUE,INDEX(Cond_Table,0,2)&gt;=INDEX(INDEX(Cond_Table,0,2),MATCH(INDEX(INDEX(EGC_Table,0,IF(Cfg_BranchMat="Cu",2,3)),MATCH(TRUE,INDEX(EGC_Table,0,1)&gt;=$F38,0)),Cond_Size,0))*INDEX(INDEX(Cond_Table,0,2),$AG38)/INDEX(INDEX(Cond_Table,0,2),MAX(Min_Cond_Pos,MATCH(TRUE,INDEX(Cond_Table,0,IF($AE38&lt;=100,BranchCol60,BranchAmpCol))&gt;=$AE38/MAX(1,$AO38),0))),0))))&amp;"G",""))</f>
        <v/>
      </c>
      <c r="M38" s="413"/>
      <c r="O38" s="217"/>
      <c r="P38" s="218"/>
      <c r="Q38" s="218"/>
      <c r="R38" s="218"/>
      <c r="S38" s="218"/>
      <c r="T38" s="218"/>
      <c r="U38" s="218"/>
      <c r="V38" s="218"/>
      <c r="W38" s="219"/>
      <c r="X38"/>
      <c r="Y38" s="414">
        <f t="shared" si="0"/>
        <v>0</v>
      </c>
      <c r="Z38" s="415">
        <f t="shared" si="1"/>
        <v>0</v>
      </c>
      <c r="AA38" s="31" t="str">
        <f t="shared" si="2"/>
        <v>NONE</v>
      </c>
      <c r="AB38" s="31" t="str">
        <f t="shared" si="11"/>
        <v/>
      </c>
      <c r="AC38" s="526">
        <f t="shared" si="3"/>
        <v>0</v>
      </c>
      <c r="AD38" s="415">
        <f t="shared" si="4"/>
        <v>0</v>
      </c>
      <c r="AE38" s="415">
        <f t="shared" si="12"/>
        <v>0</v>
      </c>
      <c r="AF38" s="415">
        <f t="shared" si="13"/>
        <v>0</v>
      </c>
      <c r="AG38" s="31" cm="1">
        <f t="array" ref="AG38">IF($AE38&lt;=0,0,IFERROR(_xlfn.LET(_xlpm.n,MAX(1,$AO38),_xlpm.i,$AE38/_xlpm.n,MIN(Max_Cond_Pos,MAX(Min_Cond_Pos,IF(_xlpm.n&gt;1,Par_Min_Pos,1),MATCH(TRUE,INDEX(Cond_Table,0,IF(_xlpm.i&lt;=100,BranchCol60,BranchAmpCol))&gt;=_xlpm.i,0),IF(OR(Tog_VD&lt;&gt;"ON",$J38=0,$J38="",$AB38=0),0,MATCH(TRUE,INDEX(Cond_Table,0,2)&gt;=IF($E38=3,SQRT3,2)*BranchK*$AD38*$J38/($AQ$22*$AB38*_xlpm.n),0))))),0))</f>
        <v>0</v>
      </c>
      <c r="AH38" s="415">
        <f t="shared" si="5"/>
        <v>0</v>
      </c>
      <c r="AI38" s="31">
        <f t="shared" si="6"/>
        <v>0</v>
      </c>
      <c r="AJ38" s="415">
        <f t="shared" si="7"/>
        <v>0</v>
      </c>
      <c r="AK38" s="415">
        <f t="shared" si="8"/>
        <v>0</v>
      </c>
      <c r="AL38" s="415">
        <f t="shared" si="9"/>
        <v>0</v>
      </c>
      <c r="AN38" s="31">
        <f t="shared" si="14"/>
        <v>0</v>
      </c>
      <c r="AO38" s="563" cm="1">
        <f t="array" ref="AO38">IF($AE38&lt;=0,0,IFERROR(_xlfn.LET(_xlpm.col,IF($AE38&lt;=100,BranchCol60,BranchAmpCol),_xlpm.nA,ROUNDUP($AE38/INDEX(Cond_Table,Max_Cond_Pos,_xlpm.col),0),_xlpm.cm,IF(OR(Tog_VD&lt;&gt;"ON",$J38=0,$J38="",$AB38=0),0,IF($E38=3,SQRT3,2)*BranchK*$AD38*$J38/($AQ$22*$AB38)),_xlpm.nV,ROUNDUP(_xlpm.cm/INDEX(Cond_Table,Max_Cond_Pos,2),0),MAX(1,_xlpm.nA,_xlpm.nV)),1))</f>
        <v>0</v>
      </c>
      <c r="AP38" s="31" t="s">
        <v>1874</v>
      </c>
      <c r="AQ38" s="415">
        <f>$K$7+$BB$25</f>
        <v>0</v>
      </c>
      <c r="AS38" s="31" t="s">
        <v>1187</v>
      </c>
      <c r="AT38" s="31">
        <v>71</v>
      </c>
    </row>
    <row r="39" spans="1:46" ht="15" customHeight="1" x14ac:dyDescent="0.35">
      <c r="A39"/>
      <c r="B39" s="410">
        <f>2*(ROW()-29)+1</f>
        <v>21</v>
      </c>
      <c r="C39" s="663"/>
      <c r="D39" s="664"/>
      <c r="E39" s="411"/>
      <c r="F39" s="16" t="str" cm="1">
        <f t="array" ref="F39">IF($AN39=1,"-",IF($G39="Spare",IF($AM39&lt;&gt;"",$AM39,20),IF(OR($G39="",$G39="Space",$AF39&lt;=0),"",IFERROR(INDEX(OCPD_List,MATCH($AF39,OCPD_List,1)+IF(INDEX(OCPD_List,MATCH($AF39,OCPD_List,1))&gt;=$AF39,0,1)),15))))</f>
        <v/>
      </c>
      <c r="G39" s="412" t="str" cm="1">
        <f t="array" ref="G39">IF($AN39=1,"-",IF(COUNT($O39:$W39)=0,IF(UPPER(TRIM($C39))="SPARE","Spare","Space"),IF(COUNTIF($O39:$W39,"&gt;0")&gt;1,"COMB",CHOOSE(MATCH(TRUE,INDEX($O39:$W39&lt;&gt;"",0),0),"Lighting","Receptacle","Motor","HVAC","Electric Heat","Kitchen Equip","Continuous (Other)","Non-Continuous","Panel"))))</f>
        <v>Space</v>
      </c>
      <c r="H39" s="30" t="str">
        <f t="shared" si="10"/>
        <v/>
      </c>
      <c r="I39" s="411"/>
      <c r="J39" s="411"/>
      <c r="K39" s="320" t="str" cm="1">
        <f t="array" ref="K39">IF(OR(Tog_VD&lt;&gt;"ON",$AD39=0,$AG39=0,$J39=0,$J39="",$AB39=0),"",(IF($E39=3,SQRT3,2)*BranchK*$AD39*$J39/(INDEX(INDEX(Cond_Table,0,2),$AG39)*MAX(1,$AO39)))/$AB39)</f>
        <v/>
      </c>
      <c r="L39" s="16" t="str" cm="1">
        <f t="array" ref="L39">IF(OR(Tog_Wire&lt;&gt;"ON",$AG39=0),"",IFERROR(IF($AO39&gt;1,"("&amp;$AO39&amp;") ","")&amp;"#"&amp;INDEX(Cond_Size,$AG39)&amp;" | #"&amp;INDEX(Cond_Size,MIN($AG39,MAX(Min_Cond_Pos,MATCH(TRUE,INDEX(Cond_Table,0,2)&gt;=INDEX(INDEX(Cond_Table,0,2),MATCH(INDEX(INDEX(EGC_Table,0,IF(Cfg_BranchMat="Cu",2,3)),MATCH(TRUE,INDEX(EGC_Table,0,1)&gt;=$F39,0)),Cond_Size,0))*INDEX(INDEX(Cond_Table,0,2),$AG39)/INDEX(INDEX(Cond_Table,0,2),MAX(Min_Cond_Pos,MATCH(TRUE,INDEX(Cond_Table,0,IF($AE39&lt;=100,BranchCol60,BranchAmpCol))&gt;=$AE39/MAX(1,$AO39),0))),0))))&amp;"G",""))</f>
        <v/>
      </c>
      <c r="M39" s="413"/>
      <c r="O39" s="217"/>
      <c r="P39" s="218"/>
      <c r="Q39" s="218"/>
      <c r="R39" s="218"/>
      <c r="S39" s="218"/>
      <c r="T39" s="218"/>
      <c r="U39" s="218"/>
      <c r="V39" s="218"/>
      <c r="W39" s="219"/>
      <c r="X39"/>
      <c r="Y39" s="414">
        <f t="shared" si="0"/>
        <v>0</v>
      </c>
      <c r="Z39" s="415">
        <f t="shared" si="1"/>
        <v>0</v>
      </c>
      <c r="AA39" s="31" t="str">
        <f t="shared" si="2"/>
        <v>NONE</v>
      </c>
      <c r="AB39" s="31" t="str">
        <f t="shared" si="11"/>
        <v/>
      </c>
      <c r="AC39" s="526">
        <f t="shared" si="3"/>
        <v>0</v>
      </c>
      <c r="AD39" s="415">
        <f t="shared" si="4"/>
        <v>0</v>
      </c>
      <c r="AE39" s="415">
        <f t="shared" si="12"/>
        <v>0</v>
      </c>
      <c r="AF39" s="415">
        <f t="shared" si="13"/>
        <v>0</v>
      </c>
      <c r="AG39" s="31" cm="1">
        <f t="array" ref="AG39">IF($AE39&lt;=0,0,IFERROR(_xlfn.LET(_xlpm.n,MAX(1,$AO39),_xlpm.i,$AE39/_xlpm.n,MIN(Max_Cond_Pos,MAX(Min_Cond_Pos,IF(_xlpm.n&gt;1,Par_Min_Pos,1),MATCH(TRUE,INDEX(Cond_Table,0,IF(_xlpm.i&lt;=100,BranchCol60,BranchAmpCol))&gt;=_xlpm.i,0),IF(OR(Tog_VD&lt;&gt;"ON",$J39=0,$J39="",$AB39=0),0,MATCH(TRUE,INDEX(Cond_Table,0,2)&gt;=IF($E39=3,SQRT3,2)*BranchK*$AD39*$J39/($AQ$22*$AB39*_xlpm.n),0))))),0))</f>
        <v>0</v>
      </c>
      <c r="AH39" s="415">
        <f t="shared" si="5"/>
        <v>0</v>
      </c>
      <c r="AI39" s="31">
        <f t="shared" si="6"/>
        <v>1</v>
      </c>
      <c r="AJ39" s="415">
        <f t="shared" si="7"/>
        <v>0</v>
      </c>
      <c r="AK39" s="415">
        <f t="shared" si="8"/>
        <v>0</v>
      </c>
      <c r="AL39" s="415">
        <f t="shared" si="9"/>
        <v>0</v>
      </c>
      <c r="AN39" s="31">
        <f t="shared" si="14"/>
        <v>0</v>
      </c>
      <c r="AO39" s="563" cm="1">
        <f t="array" ref="AO39">IF($AE39&lt;=0,0,IFERROR(_xlfn.LET(_xlpm.col,IF($AE39&lt;=100,BranchCol60,BranchAmpCol),_xlpm.nA,ROUNDUP($AE39/INDEX(Cond_Table,Max_Cond_Pos,_xlpm.col),0),_xlpm.cm,IF(OR(Tog_VD&lt;&gt;"ON",$J39=0,$J39="",$AB39=0),0,IF($E39=3,SQRT3,2)*BranchK*$AD39*$J39/($AQ$22*$AB39)),_xlpm.nV,ROUNDUP(_xlpm.cm/INDEX(Cond_Table,Max_Cond_Pos,2),0),MAX(1,_xlpm.nA,_xlpm.nV)),1))</f>
        <v>0</v>
      </c>
      <c r="AP39" s="31" t="s">
        <v>1875</v>
      </c>
      <c r="AQ39" s="415">
        <f>MIN($AQ$38,10)+MAX($AQ$38-10,0)*0.5</f>
        <v>0</v>
      </c>
      <c r="AS39" s="31" t="s">
        <v>1188</v>
      </c>
      <c r="AT39" s="31">
        <v>112</v>
      </c>
    </row>
    <row r="40" spans="1:46" ht="15" customHeight="1" x14ac:dyDescent="0.35">
      <c r="A40"/>
      <c r="B40" s="410">
        <f>2*(ROW()-29)+1</f>
        <v>23</v>
      </c>
      <c r="C40" s="663"/>
      <c r="D40" s="664"/>
      <c r="E40" s="411"/>
      <c r="F40" s="16" t="str" cm="1">
        <f t="array" ref="F40">IF($AN40=1,"-",IF($G40="Spare",IF($AM40&lt;&gt;"",$AM40,20),IF(OR($G40="",$G40="Space",$AF40&lt;=0),"",IFERROR(INDEX(OCPD_List,MATCH($AF40,OCPD_List,1)+IF(INDEX(OCPD_List,MATCH($AF40,OCPD_List,1))&gt;=$AF40,0,1)),15))))</f>
        <v/>
      </c>
      <c r="G40" s="412" t="str" cm="1">
        <f t="array" ref="G40">IF($AN40=1,"-",IF(COUNT($O40:$W40)=0,IF(UPPER(TRIM($C40))="SPARE","Spare","Space"),IF(COUNTIF($O40:$W40,"&gt;0")&gt;1,"COMB",CHOOSE(MATCH(TRUE,INDEX($O40:$W40&lt;&gt;"",0),0),"Lighting","Receptacle","Motor","HVAC","Electric Heat","Kitchen Equip","Continuous (Other)","Non-Continuous","Panel"))))</f>
        <v>Space</v>
      </c>
      <c r="H40" s="30" t="str">
        <f t="shared" si="10"/>
        <v/>
      </c>
      <c r="I40" s="411"/>
      <c r="J40" s="411"/>
      <c r="K40" s="320" t="str" cm="1">
        <f t="array" ref="K40">IF(OR(Tog_VD&lt;&gt;"ON",$AD40=0,$AG40=0,$J40=0,$J40="",$AB40=0),"",(IF($E40=3,SQRT3,2)*BranchK*$AD40*$J40/(INDEX(INDEX(Cond_Table,0,2),$AG40)*MAX(1,$AO40)))/$AB40)</f>
        <v/>
      </c>
      <c r="L40" s="16" t="str" cm="1">
        <f t="array" ref="L40">IF(OR(Tog_Wire&lt;&gt;"ON",$AG40=0),"",IFERROR(IF($AO40&gt;1,"("&amp;$AO40&amp;") ","")&amp;"#"&amp;INDEX(Cond_Size,$AG40)&amp;" | #"&amp;INDEX(Cond_Size,MIN($AG40,MAX(Min_Cond_Pos,MATCH(TRUE,INDEX(Cond_Table,0,2)&gt;=INDEX(INDEX(Cond_Table,0,2),MATCH(INDEX(INDEX(EGC_Table,0,IF(Cfg_BranchMat="Cu",2,3)),MATCH(TRUE,INDEX(EGC_Table,0,1)&gt;=$F40,0)),Cond_Size,0))*INDEX(INDEX(Cond_Table,0,2),$AG40)/INDEX(INDEX(Cond_Table,0,2),MAX(Min_Cond_Pos,MATCH(TRUE,INDEX(Cond_Table,0,IF($AE40&lt;=100,BranchCol60,BranchAmpCol))&gt;=$AE40/MAX(1,$AO40),0))),0))))&amp;"G",""))</f>
        <v/>
      </c>
      <c r="M40" s="413"/>
      <c r="O40" s="217"/>
      <c r="P40" s="218"/>
      <c r="Q40" s="218"/>
      <c r="R40" s="218"/>
      <c r="S40" s="218"/>
      <c r="T40" s="218"/>
      <c r="U40" s="218"/>
      <c r="V40" s="218"/>
      <c r="W40" s="219"/>
      <c r="X40"/>
      <c r="Y40" s="414">
        <f t="shared" si="0"/>
        <v>0</v>
      </c>
      <c r="Z40" s="415">
        <f t="shared" si="1"/>
        <v>0</v>
      </c>
      <c r="AA40" s="31" t="str">
        <f t="shared" si="2"/>
        <v>NONE</v>
      </c>
      <c r="AB40" s="31" t="str">
        <f t="shared" si="11"/>
        <v/>
      </c>
      <c r="AC40" s="526">
        <f t="shared" si="3"/>
        <v>0</v>
      </c>
      <c r="AD40" s="415">
        <f t="shared" si="4"/>
        <v>0</v>
      </c>
      <c r="AE40" s="415">
        <f t="shared" si="12"/>
        <v>0</v>
      </c>
      <c r="AF40" s="415">
        <f t="shared" si="13"/>
        <v>0</v>
      </c>
      <c r="AG40" s="31" cm="1">
        <f t="array" ref="AG40">IF($AE40&lt;=0,0,IFERROR(_xlfn.LET(_xlpm.n,MAX(1,$AO40),_xlpm.i,$AE40/_xlpm.n,MIN(Max_Cond_Pos,MAX(Min_Cond_Pos,IF(_xlpm.n&gt;1,Par_Min_Pos,1),MATCH(TRUE,INDEX(Cond_Table,0,IF(_xlpm.i&lt;=100,BranchCol60,BranchAmpCol))&gt;=_xlpm.i,0),IF(OR(Tog_VD&lt;&gt;"ON",$J40=0,$J40="",$AB40=0),0,MATCH(TRUE,INDEX(Cond_Table,0,2)&gt;=IF($E40=3,SQRT3,2)*BranchK*$AD40*$J40/($AQ$22*$AB40*_xlpm.n),0))))),0))</f>
        <v>0</v>
      </c>
      <c r="AH40" s="415">
        <f t="shared" si="5"/>
        <v>0</v>
      </c>
      <c r="AI40" s="31">
        <f t="shared" si="6"/>
        <v>2</v>
      </c>
      <c r="AJ40" s="415">
        <f t="shared" si="7"/>
        <v>0</v>
      </c>
      <c r="AK40" s="415">
        <f t="shared" si="8"/>
        <v>0</v>
      </c>
      <c r="AL40" s="415">
        <f t="shared" si="9"/>
        <v>0</v>
      </c>
      <c r="AN40" s="31">
        <f t="shared" si="14"/>
        <v>0</v>
      </c>
      <c r="AO40" s="563" cm="1">
        <f t="array" ref="AO40">IF($AE40&lt;=0,0,IFERROR(_xlfn.LET(_xlpm.col,IF($AE40&lt;=100,BranchCol60,BranchAmpCol),_xlpm.nA,ROUNDUP($AE40/INDEX(Cond_Table,Max_Cond_Pos,_xlpm.col),0),_xlpm.cm,IF(OR(Tog_VD&lt;&gt;"ON",$J40=0,$J40="",$AB40=0),0,IF($E40=3,SQRT3,2)*BranchK*$AD40*$J40/($AQ$22*$AB40)),_xlpm.nV,ROUNDUP(_xlpm.cm/INDEX(Cond_Table,Max_Cond_Pos,2),0),MAX(1,_xlpm.nA,_xlpm.nV)),1))</f>
        <v>0</v>
      </c>
      <c r="AP40" s="31" t="s">
        <v>1893</v>
      </c>
      <c r="AQ40" s="31" cm="1">
        <f t="array" ref="AQ40">IF(OR($AQ$31="",N($AQ$31)&lt;=0),0,IFERROR(_xlfn.LET(_xlpm.col,IF($AQ$31&lt;=100,FeederCol60,FeederAmpCol),_xlpm.nA,ROUNDUP($AQ$31/INDEX(Cond_Table,Max_Cond_Pos,_xlpm.col),0),_xlpm.cm,IF(OR(Tog_VD&lt;&gt;"ON",N($H$13)=0,N($H$13)=""),0,IF($AQ$29=3,SQRT3,2)*FeederK*$AQ$31*N($H$13)/(Cfg_VDFeeder*$AQ$27)),_xlpm.nV,ROUNDUP(_xlpm.cm/INDEX(Cond_Table,Max_Cond_Pos,2),0),MAX(1,_xlpm.nA,_xlpm.nV)),1))</f>
        <v>0</v>
      </c>
      <c r="AS40" s="31" t="s">
        <v>1189</v>
      </c>
      <c r="AT40" s="31" t="s">
        <v>1190</v>
      </c>
    </row>
    <row r="41" spans="1:46" ht="15" customHeight="1" x14ac:dyDescent="0.35">
      <c r="A41"/>
      <c r="B41" s="410">
        <f>2*(ROW()-29)+1</f>
        <v>25</v>
      </c>
      <c r="C41" s="663"/>
      <c r="D41" s="664"/>
      <c r="E41" s="411"/>
      <c r="F41" s="16" t="str" cm="1">
        <f t="array" ref="F41">IF($AN41=1,"-",IF($G41="Spare",IF($AM41&lt;&gt;"",$AM41,20),IF(OR($G41="",$G41="Space",$AF41&lt;=0),"",IFERROR(INDEX(OCPD_List,MATCH($AF41,OCPD_List,1)+IF(INDEX(OCPD_List,MATCH($AF41,OCPD_List,1))&gt;=$AF41,0,1)),15))))</f>
        <v/>
      </c>
      <c r="G41" s="412" t="str" cm="1">
        <f t="array" ref="G41">IF($AN41=1,"-",IF(COUNT($O41:$W41)=0,IF(UPPER(TRIM($C41))="SPARE","Spare","Space"),IF(COUNTIF($O41:$W41,"&gt;0")&gt;1,"COMB",CHOOSE(MATCH(TRUE,INDEX($O41:$W41&lt;&gt;"",0),0),"Lighting","Receptacle","Motor","HVAC","Electric Heat","Kitchen Equip","Continuous (Other)","Non-Continuous","Panel"))))</f>
        <v>Space</v>
      </c>
      <c r="H41" s="30" t="str">
        <f t="shared" si="10"/>
        <v/>
      </c>
      <c r="I41" s="411"/>
      <c r="J41" s="411"/>
      <c r="K41" s="320" t="str" cm="1">
        <f t="array" ref="K41">IF(OR(Tog_VD&lt;&gt;"ON",$AD41=0,$AG41=0,$J41=0,$J41="",$AB41=0),"",(IF($E41=3,SQRT3,2)*BranchK*$AD41*$J41/(INDEX(INDEX(Cond_Table,0,2),$AG41)*MAX(1,$AO41)))/$AB41)</f>
        <v/>
      </c>
      <c r="L41" s="16" t="str" cm="1">
        <f t="array" ref="L41">IF(OR(Tog_Wire&lt;&gt;"ON",$AG41=0),"",IFERROR(IF($AO41&gt;1,"("&amp;$AO41&amp;") ","")&amp;"#"&amp;INDEX(Cond_Size,$AG41)&amp;" | #"&amp;INDEX(Cond_Size,MIN($AG41,MAX(Min_Cond_Pos,MATCH(TRUE,INDEX(Cond_Table,0,2)&gt;=INDEX(INDEX(Cond_Table,0,2),MATCH(INDEX(INDEX(EGC_Table,0,IF(Cfg_BranchMat="Cu",2,3)),MATCH(TRUE,INDEX(EGC_Table,0,1)&gt;=$F41,0)),Cond_Size,0))*INDEX(INDEX(Cond_Table,0,2),$AG41)/INDEX(INDEX(Cond_Table,0,2),MAX(Min_Cond_Pos,MATCH(TRUE,INDEX(Cond_Table,0,IF($AE41&lt;=100,BranchCol60,BranchAmpCol))&gt;=$AE41/MAX(1,$AO41),0))),0))))&amp;"G",""))</f>
        <v/>
      </c>
      <c r="M41" s="413"/>
      <c r="O41" s="217"/>
      <c r="P41" s="218"/>
      <c r="Q41" s="218"/>
      <c r="R41" s="218"/>
      <c r="S41" s="218"/>
      <c r="T41" s="218"/>
      <c r="U41" s="218"/>
      <c r="V41" s="218"/>
      <c r="W41" s="219"/>
      <c r="X41"/>
      <c r="Y41" s="414">
        <f t="shared" si="0"/>
        <v>0</v>
      </c>
      <c r="Z41" s="415">
        <f t="shared" si="1"/>
        <v>0</v>
      </c>
      <c r="AA41" s="31" t="str">
        <f t="shared" si="2"/>
        <v>NONE</v>
      </c>
      <c r="AB41" s="31" t="str">
        <f t="shared" si="11"/>
        <v/>
      </c>
      <c r="AC41" s="526">
        <f t="shared" si="3"/>
        <v>0</v>
      </c>
      <c r="AD41" s="415">
        <f t="shared" si="4"/>
        <v>0</v>
      </c>
      <c r="AE41" s="415">
        <f t="shared" si="12"/>
        <v>0</v>
      </c>
      <c r="AF41" s="415">
        <f t="shared" si="13"/>
        <v>0</v>
      </c>
      <c r="AG41" s="31" cm="1">
        <f t="array" ref="AG41">IF($AE41&lt;=0,0,IFERROR(_xlfn.LET(_xlpm.n,MAX(1,$AO41),_xlpm.i,$AE41/_xlpm.n,MIN(Max_Cond_Pos,MAX(Min_Cond_Pos,IF(_xlpm.n&gt;1,Par_Min_Pos,1),MATCH(TRUE,INDEX(Cond_Table,0,IF(_xlpm.i&lt;=100,BranchCol60,BranchAmpCol))&gt;=_xlpm.i,0),IF(OR(Tog_VD&lt;&gt;"ON",$J41=0,$J41="",$AB41=0),0,MATCH(TRUE,INDEX(Cond_Table,0,2)&gt;=IF($E41=3,SQRT3,2)*BranchK*$AD41*$J41/($AQ$22*$AB41*_xlpm.n),0))))),0))</f>
        <v>0</v>
      </c>
      <c r="AH41" s="415">
        <f t="shared" si="5"/>
        <v>0</v>
      </c>
      <c r="AI41" s="31">
        <f t="shared" si="6"/>
        <v>0</v>
      </c>
      <c r="AJ41" s="415">
        <f t="shared" si="7"/>
        <v>0</v>
      </c>
      <c r="AK41" s="415">
        <f t="shared" si="8"/>
        <v>0</v>
      </c>
      <c r="AL41" s="415">
        <f t="shared" si="9"/>
        <v>0</v>
      </c>
      <c r="AN41" s="31">
        <f t="shared" si="14"/>
        <v>0</v>
      </c>
      <c r="AO41" s="563" cm="1">
        <f t="array" ref="AO41">IF($AE41&lt;=0,0,IFERROR(_xlfn.LET(_xlpm.col,IF($AE41&lt;=100,BranchCol60,BranchAmpCol),_xlpm.nA,ROUNDUP($AE41/INDEX(Cond_Table,Max_Cond_Pos,_xlpm.col),0),_xlpm.cm,IF(OR(Tog_VD&lt;&gt;"ON",$J41=0,$J41="",$AB41=0),0,IF($E41=3,SQRT3,2)*BranchK*$AD41*$J41/($AQ$22*$AB41)),_xlpm.nV,ROUNDUP(_xlpm.cm/INDEX(Cond_Table,Max_Cond_Pos,2),0),MAX(1,_xlpm.nA,_xlpm.nV)),1))</f>
        <v>0</v>
      </c>
      <c r="AP41" s="31" t="s">
        <v>1894</v>
      </c>
      <c r="AQ41" s="31" cm="1">
        <f t="array" ref="AQ41">_xlfn.LET(_xlpm.v,N($AQ$27),_xlpm.floor,IF(_xlpm.v&gt;=380,14000,10000),_xlpm.study,IFERROR(_xlfn.XLOOKUP($D$5,'Short Circuit'!$A$6:$A$255,'Short Circuit'!$Q$6:$Q$255),""),_xlpm.worst,MAX(IF(ISNUMBER($H$6),$H$6,0),IF(ISNUMBER(_xlpm.study),_xlpm.study,0),_xlpm.floor),IFERROR(INDEX(AIC_List,MATCH(TRUE,INDEX(AIC_List&gt;=_xlpm.worst,0),0)),"&gt;"&amp;TEXT(MAX(AIC_List),"#,##0")))</f>
        <v>10000</v>
      </c>
    </row>
    <row r="42" spans="1:46" ht="15" customHeight="1" x14ac:dyDescent="0.35">
      <c r="A42"/>
      <c r="B42" s="410">
        <f>2*(ROW()-29)+1</f>
        <v>27</v>
      </c>
      <c r="C42" s="663"/>
      <c r="D42" s="664"/>
      <c r="E42" s="411"/>
      <c r="F42" s="16" t="str" cm="1">
        <f t="array" ref="F42">IF($AN42=1,"-",IF($G42="Spare",IF($AM42&lt;&gt;"",$AM42,20),IF(OR($G42="",$G42="Space",$AF42&lt;=0),"",IFERROR(INDEX(OCPD_List,MATCH($AF42,OCPD_List,1)+IF(INDEX(OCPD_List,MATCH($AF42,OCPD_List,1))&gt;=$AF42,0,1)),15))))</f>
        <v/>
      </c>
      <c r="G42" s="412" t="str" cm="1">
        <f t="array" ref="G42">IF($AN42=1,"-",IF(COUNT($O42:$W42)=0,IF(UPPER(TRIM($C42))="SPARE","Spare","Space"),IF(COUNTIF($O42:$W42,"&gt;0")&gt;1,"COMB",CHOOSE(MATCH(TRUE,INDEX($O42:$W42&lt;&gt;"",0),0),"Lighting","Receptacle","Motor","HVAC","Electric Heat","Kitchen Equip","Continuous (Other)","Non-Continuous","Panel"))))</f>
        <v>Space</v>
      </c>
      <c r="H42" s="30" t="str">
        <f t="shared" si="10"/>
        <v/>
      </c>
      <c r="I42" s="411"/>
      <c r="J42" s="411"/>
      <c r="K42" s="320" t="str" cm="1">
        <f t="array" ref="K42">IF(OR(Tog_VD&lt;&gt;"ON",$AD42=0,$AG42=0,$J42=0,$J42="",$AB42=0),"",(IF($E42=3,SQRT3,2)*BranchK*$AD42*$J42/(INDEX(INDEX(Cond_Table,0,2),$AG42)*MAX(1,$AO42)))/$AB42)</f>
        <v/>
      </c>
      <c r="L42" s="16" t="str" cm="1">
        <f t="array" ref="L42">IF(OR(Tog_Wire&lt;&gt;"ON",$AG42=0),"",IFERROR(IF($AO42&gt;1,"("&amp;$AO42&amp;") ","")&amp;"#"&amp;INDEX(Cond_Size,$AG42)&amp;" | #"&amp;INDEX(Cond_Size,MIN($AG42,MAX(Min_Cond_Pos,MATCH(TRUE,INDEX(Cond_Table,0,2)&gt;=INDEX(INDEX(Cond_Table,0,2),MATCH(INDEX(INDEX(EGC_Table,0,IF(Cfg_BranchMat="Cu",2,3)),MATCH(TRUE,INDEX(EGC_Table,0,1)&gt;=$F42,0)),Cond_Size,0))*INDEX(INDEX(Cond_Table,0,2),$AG42)/INDEX(INDEX(Cond_Table,0,2),MAX(Min_Cond_Pos,MATCH(TRUE,INDEX(Cond_Table,0,IF($AE42&lt;=100,BranchCol60,BranchAmpCol))&gt;=$AE42/MAX(1,$AO42),0))),0))))&amp;"G",""))</f>
        <v/>
      </c>
      <c r="M42" s="413"/>
      <c r="O42" s="217"/>
      <c r="P42" s="218"/>
      <c r="Q42" s="218"/>
      <c r="R42" s="218"/>
      <c r="S42" s="218"/>
      <c r="T42" s="218"/>
      <c r="U42" s="218"/>
      <c r="V42" s="218"/>
      <c r="W42" s="219"/>
      <c r="X42"/>
      <c r="Y42" s="414">
        <f t="shared" si="0"/>
        <v>0</v>
      </c>
      <c r="Z42" s="415">
        <f t="shared" si="1"/>
        <v>0</v>
      </c>
      <c r="AA42" s="31" t="str">
        <f t="shared" si="2"/>
        <v>NONE</v>
      </c>
      <c r="AB42" s="31" t="str">
        <f t="shared" si="11"/>
        <v/>
      </c>
      <c r="AC42" s="526">
        <f t="shared" si="3"/>
        <v>0</v>
      </c>
      <c r="AD42" s="415">
        <f t="shared" si="4"/>
        <v>0</v>
      </c>
      <c r="AE42" s="415">
        <f t="shared" si="12"/>
        <v>0</v>
      </c>
      <c r="AF42" s="415">
        <f t="shared" si="13"/>
        <v>0</v>
      </c>
      <c r="AG42" s="31" cm="1">
        <f t="array" ref="AG42">IF($AE42&lt;=0,0,IFERROR(_xlfn.LET(_xlpm.n,MAX(1,$AO42),_xlpm.i,$AE42/_xlpm.n,MIN(Max_Cond_Pos,MAX(Min_Cond_Pos,IF(_xlpm.n&gt;1,Par_Min_Pos,1),MATCH(TRUE,INDEX(Cond_Table,0,IF(_xlpm.i&lt;=100,BranchCol60,BranchAmpCol))&gt;=_xlpm.i,0),IF(OR(Tog_VD&lt;&gt;"ON",$J42=0,$J42="",$AB42=0),0,MATCH(TRUE,INDEX(Cond_Table,0,2)&gt;=IF($E42=3,SQRT3,2)*BranchK*$AD42*$J42/($AQ$22*$AB42*_xlpm.n),0))))),0))</f>
        <v>0</v>
      </c>
      <c r="AH42" s="415">
        <f t="shared" si="5"/>
        <v>0</v>
      </c>
      <c r="AI42" s="31">
        <f t="shared" si="6"/>
        <v>1</v>
      </c>
      <c r="AJ42" s="415">
        <f t="shared" si="7"/>
        <v>0</v>
      </c>
      <c r="AK42" s="415">
        <f t="shared" si="8"/>
        <v>0</v>
      </c>
      <c r="AL42" s="415">
        <f t="shared" si="9"/>
        <v>0</v>
      </c>
      <c r="AN42" s="31">
        <f t="shared" si="14"/>
        <v>0</v>
      </c>
      <c r="AO42" s="563" cm="1">
        <f t="array" ref="AO42">IF($AE42&lt;=0,0,IFERROR(_xlfn.LET(_xlpm.col,IF($AE42&lt;=100,BranchCol60,BranchAmpCol),_xlpm.nA,ROUNDUP($AE42/INDEX(Cond_Table,Max_Cond_Pos,_xlpm.col),0),_xlpm.cm,IF(OR(Tog_VD&lt;&gt;"ON",$J42=0,$J42="",$AB42=0),0,IF($E42=3,SQRT3,2)*BranchK*$AD42*$J42/($AQ$22*$AB42)),_xlpm.nV,ROUNDUP(_xlpm.cm/INDEX(Cond_Table,Max_Cond_Pos,2),0),MAX(1,_xlpm.nA,_xlpm.nV)),1))</f>
        <v>0</v>
      </c>
      <c r="AP42" s="31" t="s">
        <v>1952</v>
      </c>
      <c r="AQ42" s="31" t="str" cm="1">
        <f t="array" ref="AQ42">IF($AQ$31="","",MAX(100,IFERROR(INDEX(OCPD_List,MATCH(TRUE,INDEX(OCPD_List,0)&gt;=$AQ$31,0)),MAX(OCPD_List))))</f>
        <v/>
      </c>
    </row>
    <row r="43" spans="1:46" ht="15" customHeight="1" x14ac:dyDescent="0.35">
      <c r="A43"/>
      <c r="B43" s="410">
        <f>2*(ROW()-29)+1</f>
        <v>29</v>
      </c>
      <c r="C43" s="663"/>
      <c r="D43" s="664"/>
      <c r="E43" s="411"/>
      <c r="F43" s="16" t="str" cm="1">
        <f t="array" ref="F43">IF($AN43=1,"-",IF($G43="Spare",IF($AM43&lt;&gt;"",$AM43,20),IF(OR($G43="",$G43="Space",$AF43&lt;=0),"",IFERROR(INDEX(OCPD_List,MATCH($AF43,OCPD_List,1)+IF(INDEX(OCPD_List,MATCH($AF43,OCPD_List,1))&gt;=$AF43,0,1)),15))))</f>
        <v/>
      </c>
      <c r="G43" s="412" t="str" cm="1">
        <f t="array" ref="G43">IF($AN43=1,"-",IF(COUNT($O43:$W43)=0,IF(UPPER(TRIM($C43))="SPARE","Spare","Space"),IF(COUNTIF($O43:$W43,"&gt;0")&gt;1,"COMB",CHOOSE(MATCH(TRUE,INDEX($O43:$W43&lt;&gt;"",0),0),"Lighting","Receptacle","Motor","HVAC","Electric Heat","Kitchen Equip","Continuous (Other)","Non-Continuous","Panel"))))</f>
        <v>Space</v>
      </c>
      <c r="H43" s="30" t="str">
        <f t="shared" si="10"/>
        <v/>
      </c>
      <c r="I43" s="411"/>
      <c r="J43" s="411"/>
      <c r="K43" s="320" t="str" cm="1">
        <f t="array" ref="K43">IF(OR(Tog_VD&lt;&gt;"ON",$AD43=0,$AG43=0,$J43=0,$J43="",$AB43=0),"",(IF($E43=3,SQRT3,2)*BranchK*$AD43*$J43/(INDEX(INDEX(Cond_Table,0,2),$AG43)*MAX(1,$AO43)))/$AB43)</f>
        <v/>
      </c>
      <c r="L43" s="16" t="str" cm="1">
        <f t="array" ref="L43">IF(OR(Tog_Wire&lt;&gt;"ON",$AG43=0),"",IFERROR(IF($AO43&gt;1,"("&amp;$AO43&amp;") ","")&amp;"#"&amp;INDEX(Cond_Size,$AG43)&amp;" | #"&amp;INDEX(Cond_Size,MIN($AG43,MAX(Min_Cond_Pos,MATCH(TRUE,INDEX(Cond_Table,0,2)&gt;=INDEX(INDEX(Cond_Table,0,2),MATCH(INDEX(INDEX(EGC_Table,0,IF(Cfg_BranchMat="Cu",2,3)),MATCH(TRUE,INDEX(EGC_Table,0,1)&gt;=$F43,0)),Cond_Size,0))*INDEX(INDEX(Cond_Table,0,2),$AG43)/INDEX(INDEX(Cond_Table,0,2),MAX(Min_Cond_Pos,MATCH(TRUE,INDEX(Cond_Table,0,IF($AE43&lt;=100,BranchCol60,BranchAmpCol))&gt;=$AE43/MAX(1,$AO43),0))),0))))&amp;"G",""))</f>
        <v/>
      </c>
      <c r="M43" s="413"/>
      <c r="O43" s="217"/>
      <c r="P43" s="218"/>
      <c r="Q43" s="218"/>
      <c r="R43" s="218"/>
      <c r="S43" s="218"/>
      <c r="T43" s="218"/>
      <c r="U43" s="218"/>
      <c r="V43" s="218"/>
      <c r="W43" s="219"/>
      <c r="X43"/>
      <c r="Y43" s="414">
        <f t="shared" si="0"/>
        <v>0</v>
      </c>
      <c r="Z43" s="415">
        <f t="shared" si="1"/>
        <v>0</v>
      </c>
      <c r="AA43" s="31" t="str">
        <f t="shared" si="2"/>
        <v>NONE</v>
      </c>
      <c r="AB43" s="31" t="str">
        <f t="shared" si="11"/>
        <v/>
      </c>
      <c r="AC43" s="526">
        <f t="shared" si="3"/>
        <v>0</v>
      </c>
      <c r="AD43" s="415">
        <f t="shared" si="4"/>
        <v>0</v>
      </c>
      <c r="AE43" s="415">
        <f t="shared" si="12"/>
        <v>0</v>
      </c>
      <c r="AF43" s="415">
        <f t="shared" si="13"/>
        <v>0</v>
      </c>
      <c r="AG43" s="31" cm="1">
        <f t="array" ref="AG43">IF($AE43&lt;=0,0,IFERROR(_xlfn.LET(_xlpm.n,MAX(1,$AO43),_xlpm.i,$AE43/_xlpm.n,MIN(Max_Cond_Pos,MAX(Min_Cond_Pos,IF(_xlpm.n&gt;1,Par_Min_Pos,1),MATCH(TRUE,INDEX(Cond_Table,0,IF(_xlpm.i&lt;=100,BranchCol60,BranchAmpCol))&gt;=_xlpm.i,0),IF(OR(Tog_VD&lt;&gt;"ON",$J43=0,$J43="",$AB43=0),0,MATCH(TRUE,INDEX(Cond_Table,0,2)&gt;=IF($E43=3,SQRT3,2)*BranchK*$AD43*$J43/($AQ$22*$AB43*_xlpm.n),0))))),0))</f>
        <v>0</v>
      </c>
      <c r="AH43" s="415">
        <f t="shared" si="5"/>
        <v>0</v>
      </c>
      <c r="AI43" s="31">
        <f t="shared" si="6"/>
        <v>2</v>
      </c>
      <c r="AJ43" s="415">
        <f t="shared" si="7"/>
        <v>0</v>
      </c>
      <c r="AK43" s="415">
        <f t="shared" si="8"/>
        <v>0</v>
      </c>
      <c r="AL43" s="415">
        <f t="shared" si="9"/>
        <v>0</v>
      </c>
      <c r="AN43" s="31">
        <f t="shared" si="14"/>
        <v>0</v>
      </c>
      <c r="AO43" s="563" cm="1">
        <f t="array" ref="AO43">IF($AE43&lt;=0,0,IFERROR(_xlfn.LET(_xlpm.col,IF($AE43&lt;=100,BranchCol60,BranchAmpCol),_xlpm.nA,ROUNDUP($AE43/INDEX(Cond_Table,Max_Cond_Pos,_xlpm.col),0),_xlpm.cm,IF(OR(Tog_VD&lt;&gt;"ON",$J43=0,$J43="",$AB43=0),0,IF($E43=3,SQRT3,2)*BranchK*$AD43*$J43/($AQ$22*$AB43)),_xlpm.nV,ROUNDUP(_xlpm.cm/INDEX(Cond_Table,Max_Cond_Pos,2),0),MAX(1,_xlpm.nA,_xlpm.nV)),1))</f>
        <v>0</v>
      </c>
    </row>
    <row r="44" spans="1:46" ht="15" customHeight="1" x14ac:dyDescent="0.35">
      <c r="A44"/>
      <c r="B44" s="410">
        <f>2*(ROW()-29)+1</f>
        <v>31</v>
      </c>
      <c r="C44" s="663"/>
      <c r="D44" s="664"/>
      <c r="E44" s="411"/>
      <c r="F44" s="16" t="str" cm="1">
        <f t="array" ref="F44">IF($AN44=1,"-",IF($G44="Spare",IF($AM44&lt;&gt;"",$AM44,20),IF(OR($G44="",$G44="Space",$AF44&lt;=0),"",IFERROR(INDEX(OCPD_List,MATCH($AF44,OCPD_List,1)+IF(INDEX(OCPD_List,MATCH($AF44,OCPD_List,1))&gt;=$AF44,0,1)),15))))</f>
        <v/>
      </c>
      <c r="G44" s="412" t="str" cm="1">
        <f t="array" ref="G44">IF($AN44=1,"-",IF(COUNT($O44:$W44)=0,IF(UPPER(TRIM($C44))="SPARE","Spare","Space"),IF(COUNTIF($O44:$W44,"&gt;0")&gt;1,"COMB",CHOOSE(MATCH(TRUE,INDEX($O44:$W44&lt;&gt;"",0),0),"Lighting","Receptacle","Motor","HVAC","Electric Heat","Kitchen Equip","Continuous (Other)","Non-Continuous","Panel"))))</f>
        <v>Space</v>
      </c>
      <c r="H44" s="30" t="str">
        <f t="shared" si="10"/>
        <v/>
      </c>
      <c r="I44" s="411"/>
      <c r="J44" s="411"/>
      <c r="K44" s="320" t="str" cm="1">
        <f t="array" ref="K44">IF(OR(Tog_VD&lt;&gt;"ON",$AD44=0,$AG44=0,$J44=0,$J44="",$AB44=0),"",(IF($E44=3,SQRT3,2)*BranchK*$AD44*$J44/(INDEX(INDEX(Cond_Table,0,2),$AG44)*MAX(1,$AO44)))/$AB44)</f>
        <v/>
      </c>
      <c r="L44" s="16" t="str" cm="1">
        <f t="array" ref="L44">IF(OR(Tog_Wire&lt;&gt;"ON",$AG44=0),"",IFERROR(IF($AO44&gt;1,"("&amp;$AO44&amp;") ","")&amp;"#"&amp;INDEX(Cond_Size,$AG44)&amp;" | #"&amp;INDEX(Cond_Size,MIN($AG44,MAX(Min_Cond_Pos,MATCH(TRUE,INDEX(Cond_Table,0,2)&gt;=INDEX(INDEX(Cond_Table,0,2),MATCH(INDEX(INDEX(EGC_Table,0,IF(Cfg_BranchMat="Cu",2,3)),MATCH(TRUE,INDEX(EGC_Table,0,1)&gt;=$F44,0)),Cond_Size,0))*INDEX(INDEX(Cond_Table,0,2),$AG44)/INDEX(INDEX(Cond_Table,0,2),MAX(Min_Cond_Pos,MATCH(TRUE,INDEX(Cond_Table,0,IF($AE44&lt;=100,BranchCol60,BranchAmpCol))&gt;=$AE44/MAX(1,$AO44),0))),0))))&amp;"G",""))</f>
        <v/>
      </c>
      <c r="M44" s="413"/>
      <c r="O44" s="217"/>
      <c r="P44" s="218"/>
      <c r="Q44" s="218"/>
      <c r="R44" s="218"/>
      <c r="S44" s="218"/>
      <c r="T44" s="218"/>
      <c r="U44" s="218"/>
      <c r="V44" s="218"/>
      <c r="W44" s="219"/>
      <c r="X44"/>
      <c r="Y44" s="414">
        <f t="shared" si="0"/>
        <v>0</v>
      </c>
      <c r="Z44" s="415">
        <f t="shared" si="1"/>
        <v>0</v>
      </c>
      <c r="AA44" s="31" t="str">
        <f t="shared" si="2"/>
        <v>NONE</v>
      </c>
      <c r="AB44" s="31" t="str">
        <f t="shared" si="11"/>
        <v/>
      </c>
      <c r="AC44" s="526">
        <f t="shared" si="3"/>
        <v>0</v>
      </c>
      <c r="AD44" s="415">
        <f t="shared" si="4"/>
        <v>0</v>
      </c>
      <c r="AE44" s="415">
        <f t="shared" si="12"/>
        <v>0</v>
      </c>
      <c r="AF44" s="415">
        <f t="shared" si="13"/>
        <v>0</v>
      </c>
      <c r="AG44" s="31" cm="1">
        <f t="array" ref="AG44">IF($AE44&lt;=0,0,IFERROR(_xlfn.LET(_xlpm.n,MAX(1,$AO44),_xlpm.i,$AE44/_xlpm.n,MIN(Max_Cond_Pos,MAX(Min_Cond_Pos,IF(_xlpm.n&gt;1,Par_Min_Pos,1),MATCH(TRUE,INDEX(Cond_Table,0,IF(_xlpm.i&lt;=100,BranchCol60,BranchAmpCol))&gt;=_xlpm.i,0),IF(OR(Tog_VD&lt;&gt;"ON",$J44=0,$J44="",$AB44=0),0,MATCH(TRUE,INDEX(Cond_Table,0,2)&gt;=IF($E44=3,SQRT3,2)*BranchK*$AD44*$J44/($AQ$22*$AB44*_xlpm.n),0))))),0))</f>
        <v>0</v>
      </c>
      <c r="AH44" s="415">
        <f t="shared" si="5"/>
        <v>0</v>
      </c>
      <c r="AI44" s="31">
        <f t="shared" si="6"/>
        <v>0</v>
      </c>
      <c r="AJ44" s="415">
        <f t="shared" si="7"/>
        <v>0</v>
      </c>
      <c r="AK44" s="415">
        <f t="shared" si="8"/>
        <v>0</v>
      </c>
      <c r="AL44" s="415">
        <f t="shared" si="9"/>
        <v>0</v>
      </c>
      <c r="AN44" s="31">
        <f t="shared" si="14"/>
        <v>0</v>
      </c>
      <c r="AO44" s="563" cm="1">
        <f t="array" ref="AO44">IF($AE44&lt;=0,0,IFERROR(_xlfn.LET(_xlpm.col,IF($AE44&lt;=100,BranchCol60,BranchAmpCol),_xlpm.nA,ROUNDUP($AE44/INDEX(Cond_Table,Max_Cond_Pos,_xlpm.col),0),_xlpm.cm,IF(OR(Tog_VD&lt;&gt;"ON",$J44=0,$J44="",$AB44=0),0,IF($E44=3,SQRT3,2)*BranchK*$AD44*$J44/($AQ$22*$AB44)),_xlpm.nV,ROUNDUP(_xlpm.cm/INDEX(Cond_Table,Max_Cond_Pos,2),0),MAX(1,_xlpm.nA,_xlpm.nV)),1))</f>
        <v>0</v>
      </c>
    </row>
    <row r="45" spans="1:46" ht="15" customHeight="1" x14ac:dyDescent="0.35">
      <c r="A45"/>
      <c r="B45" s="410">
        <f>2*(ROW()-29)+1</f>
        <v>33</v>
      </c>
      <c r="C45" s="663"/>
      <c r="D45" s="664"/>
      <c r="E45" s="411"/>
      <c r="F45" s="16" t="str" cm="1">
        <f t="array" ref="F45">IF($AN45=1,"-",IF($G45="Spare",IF($AM45&lt;&gt;"",$AM45,20),IF(OR($G45="",$G45="Space",$AF45&lt;=0),"",IFERROR(INDEX(OCPD_List,MATCH($AF45,OCPD_List,1)+IF(INDEX(OCPD_List,MATCH($AF45,OCPD_List,1))&gt;=$AF45,0,1)),15))))</f>
        <v/>
      </c>
      <c r="G45" s="412" t="str" cm="1">
        <f t="array" ref="G45">IF($AN45=1,"-",IF(COUNT($O45:$W45)=0,IF(UPPER(TRIM($C45))="SPARE","Spare","Space"),IF(COUNTIF($O45:$W45,"&gt;0")&gt;1,"COMB",CHOOSE(MATCH(TRUE,INDEX($O45:$W45&lt;&gt;"",0),0),"Lighting","Receptacle","Motor","HVAC","Electric Heat","Kitchen Equip","Continuous (Other)","Non-Continuous","Panel"))))</f>
        <v>Space</v>
      </c>
      <c r="H45" s="30" t="str">
        <f t="shared" si="10"/>
        <v/>
      </c>
      <c r="I45" s="411"/>
      <c r="J45" s="411"/>
      <c r="K45" s="320" t="str" cm="1">
        <f t="array" ref="K45">IF(OR(Tog_VD&lt;&gt;"ON",$AD45=0,$AG45=0,$J45=0,$J45="",$AB45=0),"",(IF($E45=3,SQRT3,2)*BranchK*$AD45*$J45/(INDEX(INDEX(Cond_Table,0,2),$AG45)*MAX(1,$AO45)))/$AB45)</f>
        <v/>
      </c>
      <c r="L45" s="16" t="str" cm="1">
        <f t="array" ref="L45">IF(OR(Tog_Wire&lt;&gt;"ON",$AG45=0),"",IFERROR(IF($AO45&gt;1,"("&amp;$AO45&amp;") ","")&amp;"#"&amp;INDEX(Cond_Size,$AG45)&amp;" | #"&amp;INDEX(Cond_Size,MIN($AG45,MAX(Min_Cond_Pos,MATCH(TRUE,INDEX(Cond_Table,0,2)&gt;=INDEX(INDEX(Cond_Table,0,2),MATCH(INDEX(INDEX(EGC_Table,0,IF(Cfg_BranchMat="Cu",2,3)),MATCH(TRUE,INDEX(EGC_Table,0,1)&gt;=$F45,0)),Cond_Size,0))*INDEX(INDEX(Cond_Table,0,2),$AG45)/INDEX(INDEX(Cond_Table,0,2),MAX(Min_Cond_Pos,MATCH(TRUE,INDEX(Cond_Table,0,IF($AE45&lt;=100,BranchCol60,BranchAmpCol))&gt;=$AE45/MAX(1,$AO45),0))),0))))&amp;"G",""))</f>
        <v/>
      </c>
      <c r="M45" s="413"/>
      <c r="O45" s="217"/>
      <c r="P45" s="218"/>
      <c r="Q45" s="218"/>
      <c r="R45" s="218"/>
      <c r="S45" s="218"/>
      <c r="T45" s="218"/>
      <c r="U45" s="218"/>
      <c r="V45" s="218"/>
      <c r="W45" s="219"/>
      <c r="X45"/>
      <c r="Y45" s="414">
        <f t="shared" si="0"/>
        <v>0</v>
      </c>
      <c r="Z45" s="415">
        <f t="shared" si="1"/>
        <v>0</v>
      </c>
      <c r="AA45" s="31" t="str">
        <f t="shared" si="2"/>
        <v>NONE</v>
      </c>
      <c r="AB45" s="31" t="str">
        <f t="shared" si="11"/>
        <v/>
      </c>
      <c r="AC45" s="526">
        <f t="shared" si="3"/>
        <v>0</v>
      </c>
      <c r="AD45" s="415">
        <f t="shared" si="4"/>
        <v>0</v>
      </c>
      <c r="AE45" s="415">
        <f t="shared" si="12"/>
        <v>0</v>
      </c>
      <c r="AF45" s="415">
        <f t="shared" si="13"/>
        <v>0</v>
      </c>
      <c r="AG45" s="31" cm="1">
        <f t="array" ref="AG45">IF($AE45&lt;=0,0,IFERROR(_xlfn.LET(_xlpm.n,MAX(1,$AO45),_xlpm.i,$AE45/_xlpm.n,MIN(Max_Cond_Pos,MAX(Min_Cond_Pos,IF(_xlpm.n&gt;1,Par_Min_Pos,1),MATCH(TRUE,INDEX(Cond_Table,0,IF(_xlpm.i&lt;=100,BranchCol60,BranchAmpCol))&gt;=_xlpm.i,0),IF(OR(Tog_VD&lt;&gt;"ON",$J45=0,$J45="",$AB45=0),0,MATCH(TRUE,INDEX(Cond_Table,0,2)&gt;=IF($E45=3,SQRT3,2)*BranchK*$AD45*$J45/($AQ$22*$AB45*_xlpm.n),0))))),0))</f>
        <v>0</v>
      </c>
      <c r="AH45" s="415">
        <f t="shared" si="5"/>
        <v>0</v>
      </c>
      <c r="AI45" s="31">
        <f t="shared" si="6"/>
        <v>1</v>
      </c>
      <c r="AJ45" s="415">
        <f t="shared" si="7"/>
        <v>0</v>
      </c>
      <c r="AK45" s="415">
        <f t="shared" si="8"/>
        <v>0</v>
      </c>
      <c r="AL45" s="415">
        <f t="shared" si="9"/>
        <v>0</v>
      </c>
      <c r="AN45" s="31">
        <f t="shared" si="14"/>
        <v>0</v>
      </c>
      <c r="AO45" s="563" cm="1">
        <f t="array" ref="AO45">IF($AE45&lt;=0,0,IFERROR(_xlfn.LET(_xlpm.col,IF($AE45&lt;=100,BranchCol60,BranchAmpCol),_xlpm.nA,ROUNDUP($AE45/INDEX(Cond_Table,Max_Cond_Pos,_xlpm.col),0),_xlpm.cm,IF(OR(Tog_VD&lt;&gt;"ON",$J45=0,$J45="",$AB45=0),0,IF($E45=3,SQRT3,2)*BranchK*$AD45*$J45/($AQ$22*$AB45)),_xlpm.nV,ROUNDUP(_xlpm.cm/INDEX(Cond_Table,Max_Cond_Pos,2),0),MAX(1,_xlpm.nA,_xlpm.nV)),1))</f>
        <v>0</v>
      </c>
    </row>
    <row r="46" spans="1:46" ht="15" customHeight="1" x14ac:dyDescent="0.35">
      <c r="A46"/>
      <c r="B46" s="410">
        <f>2*(ROW()-29)+1</f>
        <v>35</v>
      </c>
      <c r="C46" s="663"/>
      <c r="D46" s="664"/>
      <c r="E46" s="411"/>
      <c r="F46" s="16" t="str" cm="1">
        <f t="array" ref="F46">IF($AN46=1,"-",IF($G46="Spare",IF($AM46&lt;&gt;"",$AM46,20),IF(OR($G46="",$G46="Space",$AF46&lt;=0),"",IFERROR(INDEX(OCPD_List,MATCH($AF46,OCPD_List,1)+IF(INDEX(OCPD_List,MATCH($AF46,OCPD_List,1))&gt;=$AF46,0,1)),15))))</f>
        <v/>
      </c>
      <c r="G46" s="412" t="str" cm="1">
        <f t="array" ref="G46">IF($AN46=1,"-",IF(COUNT($O46:$W46)=0,IF(UPPER(TRIM($C46))="SPARE","Spare","Space"),IF(COUNTIF($O46:$W46,"&gt;0")&gt;1,"COMB",CHOOSE(MATCH(TRUE,INDEX($O46:$W46&lt;&gt;"",0),0),"Lighting","Receptacle","Motor","HVAC","Electric Heat","Kitchen Equip","Continuous (Other)","Non-Continuous","Panel"))))</f>
        <v>Space</v>
      </c>
      <c r="H46" s="30" t="str">
        <f t="shared" si="10"/>
        <v/>
      </c>
      <c r="I46" s="411"/>
      <c r="J46" s="411"/>
      <c r="K46" s="320" t="str" cm="1">
        <f t="array" ref="K46">IF(OR(Tog_VD&lt;&gt;"ON",$AD46=0,$AG46=0,$J46=0,$J46="",$AB46=0),"",(IF($E46=3,SQRT3,2)*BranchK*$AD46*$J46/(INDEX(INDEX(Cond_Table,0,2),$AG46)*MAX(1,$AO46)))/$AB46)</f>
        <v/>
      </c>
      <c r="L46" s="16" t="str" cm="1">
        <f t="array" ref="L46">IF(OR(Tog_Wire&lt;&gt;"ON",$AG46=0),"",IFERROR(IF($AO46&gt;1,"("&amp;$AO46&amp;") ","")&amp;"#"&amp;INDEX(Cond_Size,$AG46)&amp;" | #"&amp;INDEX(Cond_Size,MIN($AG46,MAX(Min_Cond_Pos,MATCH(TRUE,INDEX(Cond_Table,0,2)&gt;=INDEX(INDEX(Cond_Table,0,2),MATCH(INDEX(INDEX(EGC_Table,0,IF(Cfg_BranchMat="Cu",2,3)),MATCH(TRUE,INDEX(EGC_Table,0,1)&gt;=$F46,0)),Cond_Size,0))*INDEX(INDEX(Cond_Table,0,2),$AG46)/INDEX(INDEX(Cond_Table,0,2),MAX(Min_Cond_Pos,MATCH(TRUE,INDEX(Cond_Table,0,IF($AE46&lt;=100,BranchCol60,BranchAmpCol))&gt;=$AE46/MAX(1,$AO46),0))),0))))&amp;"G",""))</f>
        <v/>
      </c>
      <c r="M46" s="413"/>
      <c r="O46" s="217"/>
      <c r="P46" s="218"/>
      <c r="Q46" s="218"/>
      <c r="R46" s="218"/>
      <c r="S46" s="218"/>
      <c r="T46" s="218"/>
      <c r="U46" s="218"/>
      <c r="V46" s="218"/>
      <c r="W46" s="219"/>
      <c r="X46"/>
      <c r="Y46" s="414">
        <f t="shared" si="0"/>
        <v>0</v>
      </c>
      <c r="Z46" s="415">
        <f t="shared" si="1"/>
        <v>0</v>
      </c>
      <c r="AA46" s="31" t="str">
        <f t="shared" si="2"/>
        <v>NONE</v>
      </c>
      <c r="AB46" s="31" t="str">
        <f t="shared" si="11"/>
        <v/>
      </c>
      <c r="AC46" s="526">
        <f t="shared" si="3"/>
        <v>0</v>
      </c>
      <c r="AD46" s="415">
        <f t="shared" si="4"/>
        <v>0</v>
      </c>
      <c r="AE46" s="415">
        <f t="shared" si="12"/>
        <v>0</v>
      </c>
      <c r="AF46" s="415">
        <f t="shared" si="13"/>
        <v>0</v>
      </c>
      <c r="AG46" s="31" cm="1">
        <f t="array" ref="AG46">IF($AE46&lt;=0,0,IFERROR(_xlfn.LET(_xlpm.n,MAX(1,$AO46),_xlpm.i,$AE46/_xlpm.n,MIN(Max_Cond_Pos,MAX(Min_Cond_Pos,IF(_xlpm.n&gt;1,Par_Min_Pos,1),MATCH(TRUE,INDEX(Cond_Table,0,IF(_xlpm.i&lt;=100,BranchCol60,BranchAmpCol))&gt;=_xlpm.i,0),IF(OR(Tog_VD&lt;&gt;"ON",$J46=0,$J46="",$AB46=0),0,MATCH(TRUE,INDEX(Cond_Table,0,2)&gt;=IF($E46=3,SQRT3,2)*BranchK*$AD46*$J46/($AQ$22*$AB46*_xlpm.n),0))))),0))</f>
        <v>0</v>
      </c>
      <c r="AH46" s="415">
        <f t="shared" si="5"/>
        <v>0</v>
      </c>
      <c r="AI46" s="31">
        <f t="shared" si="6"/>
        <v>2</v>
      </c>
      <c r="AJ46" s="415">
        <f t="shared" si="7"/>
        <v>0</v>
      </c>
      <c r="AK46" s="415">
        <f t="shared" si="8"/>
        <v>0</v>
      </c>
      <c r="AL46" s="415">
        <f t="shared" si="9"/>
        <v>0</v>
      </c>
      <c r="AN46" s="31">
        <f t="shared" si="14"/>
        <v>0</v>
      </c>
      <c r="AO46" s="563" cm="1">
        <f t="array" ref="AO46">IF($AE46&lt;=0,0,IFERROR(_xlfn.LET(_xlpm.col,IF($AE46&lt;=100,BranchCol60,BranchAmpCol),_xlpm.nA,ROUNDUP($AE46/INDEX(Cond_Table,Max_Cond_Pos,_xlpm.col),0),_xlpm.cm,IF(OR(Tog_VD&lt;&gt;"ON",$J46=0,$J46="",$AB46=0),0,IF($E46=3,SQRT3,2)*BranchK*$AD46*$J46/($AQ$22*$AB46)),_xlpm.nV,ROUNDUP(_xlpm.cm/INDEX(Cond_Table,Max_Cond_Pos,2),0),MAX(1,_xlpm.nA,_xlpm.nV)),1))</f>
        <v>0</v>
      </c>
    </row>
    <row r="47" spans="1:46" ht="15" customHeight="1" x14ac:dyDescent="0.35">
      <c r="A47"/>
      <c r="B47" s="410">
        <f>2*(ROW()-29)+1</f>
        <v>37</v>
      </c>
      <c r="C47" s="663"/>
      <c r="D47" s="664"/>
      <c r="E47" s="411"/>
      <c r="F47" s="16" t="str" cm="1">
        <f t="array" ref="F47">IF($AN47=1,"-",IF($G47="Spare",IF($AM47&lt;&gt;"",$AM47,20),IF(OR($G47="",$G47="Space",$AF47&lt;=0),"",IFERROR(INDEX(OCPD_List,MATCH($AF47,OCPD_List,1)+IF(INDEX(OCPD_List,MATCH($AF47,OCPD_List,1))&gt;=$AF47,0,1)),15))))</f>
        <v/>
      </c>
      <c r="G47" s="412" t="str" cm="1">
        <f t="array" ref="G47">IF($AN47=1,"-",IF(COUNT($O47:$W47)=0,IF(UPPER(TRIM($C47))="SPARE","Spare","Space"),IF(COUNTIF($O47:$W47,"&gt;0")&gt;1,"COMB",CHOOSE(MATCH(TRUE,INDEX($O47:$W47&lt;&gt;"",0),0),"Lighting","Receptacle","Motor","HVAC","Electric Heat","Kitchen Equip","Continuous (Other)","Non-Continuous","Panel"))))</f>
        <v>Space</v>
      </c>
      <c r="H47" s="30" t="str">
        <f t="shared" si="10"/>
        <v/>
      </c>
      <c r="I47" s="411"/>
      <c r="J47" s="411"/>
      <c r="K47" s="320" t="str" cm="1">
        <f t="array" ref="K47">IF(OR(Tog_VD&lt;&gt;"ON",$AD47=0,$AG47=0,$J47=0,$J47="",$AB47=0),"",(IF($E47=3,SQRT3,2)*BranchK*$AD47*$J47/(INDEX(INDEX(Cond_Table,0,2),$AG47)*MAX(1,$AO47)))/$AB47)</f>
        <v/>
      </c>
      <c r="L47" s="16" t="str" cm="1">
        <f t="array" ref="L47">IF(OR(Tog_Wire&lt;&gt;"ON",$AG47=0),"",IFERROR(IF($AO47&gt;1,"("&amp;$AO47&amp;") ","")&amp;"#"&amp;INDEX(Cond_Size,$AG47)&amp;" | #"&amp;INDEX(Cond_Size,MIN($AG47,MAX(Min_Cond_Pos,MATCH(TRUE,INDEX(Cond_Table,0,2)&gt;=INDEX(INDEX(Cond_Table,0,2),MATCH(INDEX(INDEX(EGC_Table,0,IF(Cfg_BranchMat="Cu",2,3)),MATCH(TRUE,INDEX(EGC_Table,0,1)&gt;=$F47,0)),Cond_Size,0))*INDEX(INDEX(Cond_Table,0,2),$AG47)/INDEX(INDEX(Cond_Table,0,2),MAX(Min_Cond_Pos,MATCH(TRUE,INDEX(Cond_Table,0,IF($AE47&lt;=100,BranchCol60,BranchAmpCol))&gt;=$AE47/MAX(1,$AO47),0))),0))))&amp;"G",""))</f>
        <v/>
      </c>
      <c r="M47" s="413"/>
      <c r="O47" s="217"/>
      <c r="P47" s="218"/>
      <c r="Q47" s="218"/>
      <c r="R47" s="218"/>
      <c r="S47" s="218"/>
      <c r="T47" s="218"/>
      <c r="U47" s="218"/>
      <c r="V47" s="218"/>
      <c r="W47" s="219"/>
      <c r="X47"/>
      <c r="Y47" s="414">
        <f t="shared" si="0"/>
        <v>0</v>
      </c>
      <c r="Z47" s="415">
        <f t="shared" si="1"/>
        <v>0</v>
      </c>
      <c r="AA47" s="31" t="str">
        <f t="shared" si="2"/>
        <v>NONE</v>
      </c>
      <c r="AB47" s="31" t="str">
        <f t="shared" si="11"/>
        <v/>
      </c>
      <c r="AC47" s="526">
        <f t="shared" si="3"/>
        <v>0</v>
      </c>
      <c r="AD47" s="415">
        <f t="shared" si="4"/>
        <v>0</v>
      </c>
      <c r="AE47" s="415">
        <f t="shared" si="12"/>
        <v>0</v>
      </c>
      <c r="AF47" s="415">
        <f t="shared" si="13"/>
        <v>0</v>
      </c>
      <c r="AG47" s="31" cm="1">
        <f t="array" ref="AG47">IF($AE47&lt;=0,0,IFERROR(_xlfn.LET(_xlpm.n,MAX(1,$AO47),_xlpm.i,$AE47/_xlpm.n,MIN(Max_Cond_Pos,MAX(Min_Cond_Pos,IF(_xlpm.n&gt;1,Par_Min_Pos,1),MATCH(TRUE,INDEX(Cond_Table,0,IF(_xlpm.i&lt;=100,BranchCol60,BranchAmpCol))&gt;=_xlpm.i,0),IF(OR(Tog_VD&lt;&gt;"ON",$J47=0,$J47="",$AB47=0),0,MATCH(TRUE,INDEX(Cond_Table,0,2)&gt;=IF($E47=3,SQRT3,2)*BranchK*$AD47*$J47/($AQ$22*$AB47*_xlpm.n),0))))),0))</f>
        <v>0</v>
      </c>
      <c r="AH47" s="415">
        <f t="shared" si="5"/>
        <v>0</v>
      </c>
      <c r="AI47" s="31">
        <f t="shared" si="6"/>
        <v>0</v>
      </c>
      <c r="AJ47" s="415">
        <f t="shared" si="7"/>
        <v>0</v>
      </c>
      <c r="AK47" s="415">
        <f t="shared" si="8"/>
        <v>0</v>
      </c>
      <c r="AL47" s="415">
        <f t="shared" si="9"/>
        <v>0</v>
      </c>
      <c r="AN47" s="31">
        <f t="shared" si="14"/>
        <v>0</v>
      </c>
      <c r="AO47" s="563" cm="1">
        <f t="array" ref="AO47">IF($AE47&lt;=0,0,IFERROR(_xlfn.LET(_xlpm.col,IF($AE47&lt;=100,BranchCol60,BranchAmpCol),_xlpm.nA,ROUNDUP($AE47/INDEX(Cond_Table,Max_Cond_Pos,_xlpm.col),0),_xlpm.cm,IF(OR(Tog_VD&lt;&gt;"ON",$J47=0,$J47="",$AB47=0),0,IF($E47=3,SQRT3,2)*BranchK*$AD47*$J47/($AQ$22*$AB47)),_xlpm.nV,ROUNDUP(_xlpm.cm/INDEX(Cond_Table,Max_Cond_Pos,2),0),MAX(1,_xlpm.nA,_xlpm.nV)),1))</f>
        <v>0</v>
      </c>
    </row>
    <row r="48" spans="1:46" ht="15" customHeight="1" x14ac:dyDescent="0.35">
      <c r="A48"/>
      <c r="B48" s="410">
        <f>2*(ROW()-29)+1</f>
        <v>39</v>
      </c>
      <c r="C48" s="663"/>
      <c r="D48" s="664"/>
      <c r="E48" s="411"/>
      <c r="F48" s="16" t="str" cm="1">
        <f t="array" ref="F48">IF($AN48=1,"-",IF($G48="Spare",IF($AM48&lt;&gt;"",$AM48,20),IF(OR($G48="",$G48="Space",$AF48&lt;=0),"",IFERROR(INDEX(OCPD_List,MATCH($AF48,OCPD_List,1)+IF(INDEX(OCPD_List,MATCH($AF48,OCPD_List,1))&gt;=$AF48,0,1)),15))))</f>
        <v/>
      </c>
      <c r="G48" s="412" t="str" cm="1">
        <f t="array" ref="G48">IF($AN48=1,"-",IF(COUNT($O48:$W48)=0,IF(UPPER(TRIM($C48))="SPARE","Spare","Space"),IF(COUNTIF($O48:$W48,"&gt;0")&gt;1,"COMB",CHOOSE(MATCH(TRUE,INDEX($O48:$W48&lt;&gt;"",0),0),"Lighting","Receptacle","Motor","HVAC","Electric Heat","Kitchen Equip","Continuous (Other)","Non-Continuous","Panel"))))</f>
        <v>Space</v>
      </c>
      <c r="H48" s="30" t="str">
        <f t="shared" si="10"/>
        <v/>
      </c>
      <c r="I48" s="411"/>
      <c r="J48" s="411"/>
      <c r="K48" s="320" t="str" cm="1">
        <f t="array" ref="K48">IF(OR(Tog_VD&lt;&gt;"ON",$AD48=0,$AG48=0,$J48=0,$J48="",$AB48=0),"",(IF($E48=3,SQRT3,2)*BranchK*$AD48*$J48/(INDEX(INDEX(Cond_Table,0,2),$AG48)*MAX(1,$AO48)))/$AB48)</f>
        <v/>
      </c>
      <c r="L48" s="16" t="str" cm="1">
        <f t="array" ref="L48">IF(OR(Tog_Wire&lt;&gt;"ON",$AG48=0),"",IFERROR(IF($AO48&gt;1,"("&amp;$AO48&amp;") ","")&amp;"#"&amp;INDEX(Cond_Size,$AG48)&amp;" | #"&amp;INDEX(Cond_Size,MIN($AG48,MAX(Min_Cond_Pos,MATCH(TRUE,INDEX(Cond_Table,0,2)&gt;=INDEX(INDEX(Cond_Table,0,2),MATCH(INDEX(INDEX(EGC_Table,0,IF(Cfg_BranchMat="Cu",2,3)),MATCH(TRUE,INDEX(EGC_Table,0,1)&gt;=$F48,0)),Cond_Size,0))*INDEX(INDEX(Cond_Table,0,2),$AG48)/INDEX(INDEX(Cond_Table,0,2),MAX(Min_Cond_Pos,MATCH(TRUE,INDEX(Cond_Table,0,IF($AE48&lt;=100,BranchCol60,BranchAmpCol))&gt;=$AE48/MAX(1,$AO48),0))),0))))&amp;"G",""))</f>
        <v/>
      </c>
      <c r="M48" s="413"/>
      <c r="O48" s="217"/>
      <c r="P48" s="218"/>
      <c r="Q48" s="218"/>
      <c r="R48" s="218"/>
      <c r="S48" s="218"/>
      <c r="T48" s="218"/>
      <c r="U48" s="218"/>
      <c r="V48" s="218"/>
      <c r="W48" s="219"/>
      <c r="X48"/>
      <c r="Y48" s="414">
        <f t="shared" si="0"/>
        <v>0</v>
      </c>
      <c r="Z48" s="415">
        <f t="shared" si="1"/>
        <v>0</v>
      </c>
      <c r="AA48" s="31" t="str">
        <f t="shared" si="2"/>
        <v>NONE</v>
      </c>
      <c r="AB48" s="31" t="str">
        <f t="shared" si="11"/>
        <v/>
      </c>
      <c r="AC48" s="526">
        <f t="shared" si="3"/>
        <v>0</v>
      </c>
      <c r="AD48" s="415">
        <f t="shared" si="4"/>
        <v>0</v>
      </c>
      <c r="AE48" s="415">
        <f t="shared" si="12"/>
        <v>0</v>
      </c>
      <c r="AF48" s="415">
        <f t="shared" si="13"/>
        <v>0</v>
      </c>
      <c r="AG48" s="31" cm="1">
        <f t="array" ref="AG48">IF($AE48&lt;=0,0,IFERROR(_xlfn.LET(_xlpm.n,MAX(1,$AO48),_xlpm.i,$AE48/_xlpm.n,MIN(Max_Cond_Pos,MAX(Min_Cond_Pos,IF(_xlpm.n&gt;1,Par_Min_Pos,1),MATCH(TRUE,INDEX(Cond_Table,0,IF(_xlpm.i&lt;=100,BranchCol60,BranchAmpCol))&gt;=_xlpm.i,0),IF(OR(Tog_VD&lt;&gt;"ON",$J48=0,$J48="",$AB48=0),0,MATCH(TRUE,INDEX(Cond_Table,0,2)&gt;=IF($E48=3,SQRT3,2)*BranchK*$AD48*$J48/($AQ$22*$AB48*_xlpm.n),0))))),0))</f>
        <v>0</v>
      </c>
      <c r="AH48" s="415">
        <f t="shared" si="5"/>
        <v>0</v>
      </c>
      <c r="AI48" s="31">
        <f t="shared" si="6"/>
        <v>1</v>
      </c>
      <c r="AJ48" s="415">
        <f t="shared" si="7"/>
        <v>0</v>
      </c>
      <c r="AK48" s="415">
        <f t="shared" si="8"/>
        <v>0</v>
      </c>
      <c r="AL48" s="415">
        <f t="shared" si="9"/>
        <v>0</v>
      </c>
      <c r="AN48" s="31">
        <f t="shared" si="14"/>
        <v>0</v>
      </c>
      <c r="AO48" s="563" cm="1">
        <f t="array" ref="AO48">IF($AE48&lt;=0,0,IFERROR(_xlfn.LET(_xlpm.col,IF($AE48&lt;=100,BranchCol60,BranchAmpCol),_xlpm.nA,ROUNDUP($AE48/INDEX(Cond_Table,Max_Cond_Pos,_xlpm.col),0),_xlpm.cm,IF(OR(Tog_VD&lt;&gt;"ON",$J48=0,$J48="",$AB48=0),0,IF($E48=3,SQRT3,2)*BranchK*$AD48*$J48/($AQ$22*$AB48)),_xlpm.nV,ROUNDUP(_xlpm.cm/INDEX(Cond_Table,Max_Cond_Pos,2),0),MAX(1,_xlpm.nA,_xlpm.nV)),1))</f>
        <v>0</v>
      </c>
    </row>
    <row r="49" spans="1:41" ht="15" customHeight="1" x14ac:dyDescent="0.35">
      <c r="A49"/>
      <c r="B49" s="410">
        <f>2*(ROW()-29)+1</f>
        <v>41</v>
      </c>
      <c r="C49" s="663"/>
      <c r="D49" s="664"/>
      <c r="E49" s="411"/>
      <c r="F49" s="16" t="str" cm="1">
        <f t="array" ref="F49">IF($AN49=1,"-",IF($G49="Spare",IF($AM49&lt;&gt;"",$AM49,20),IF(OR($G49="",$G49="Space",$AF49&lt;=0),"",IFERROR(INDEX(OCPD_List,MATCH($AF49,OCPD_List,1)+IF(INDEX(OCPD_List,MATCH($AF49,OCPD_List,1))&gt;=$AF49,0,1)),15))))</f>
        <v/>
      </c>
      <c r="G49" s="412" t="str" cm="1">
        <f t="array" ref="G49">IF($AN49=1,"-",IF(COUNT($O49:$W49)=0,IF(UPPER(TRIM($C49))="SPARE","Spare","Space"),IF(COUNTIF($O49:$W49,"&gt;0")&gt;1,"COMB",CHOOSE(MATCH(TRUE,INDEX($O49:$W49&lt;&gt;"",0),0),"Lighting","Receptacle","Motor","HVAC","Electric Heat","Kitchen Equip","Continuous (Other)","Non-Continuous","Panel"))))</f>
        <v>Space</v>
      </c>
      <c r="H49" s="30" t="str">
        <f t="shared" si="10"/>
        <v/>
      </c>
      <c r="I49" s="411"/>
      <c r="J49" s="411"/>
      <c r="K49" s="320" t="str" cm="1">
        <f t="array" ref="K49">IF(OR(Tog_VD&lt;&gt;"ON",$AD49=0,$AG49=0,$J49=0,$J49="",$AB49=0),"",(IF($E49=3,SQRT3,2)*BranchK*$AD49*$J49/(INDEX(INDEX(Cond_Table,0,2),$AG49)*MAX(1,$AO49)))/$AB49)</f>
        <v/>
      </c>
      <c r="L49" s="16" t="str" cm="1">
        <f t="array" ref="L49">IF(OR(Tog_Wire&lt;&gt;"ON",$AG49=0),"",IFERROR(IF($AO49&gt;1,"("&amp;$AO49&amp;") ","")&amp;"#"&amp;INDEX(Cond_Size,$AG49)&amp;" | #"&amp;INDEX(Cond_Size,MIN($AG49,MAX(Min_Cond_Pos,MATCH(TRUE,INDEX(Cond_Table,0,2)&gt;=INDEX(INDEX(Cond_Table,0,2),MATCH(INDEX(INDEX(EGC_Table,0,IF(Cfg_BranchMat="Cu",2,3)),MATCH(TRUE,INDEX(EGC_Table,0,1)&gt;=$F49,0)),Cond_Size,0))*INDEX(INDEX(Cond_Table,0,2),$AG49)/INDEX(INDEX(Cond_Table,0,2),MAX(Min_Cond_Pos,MATCH(TRUE,INDEX(Cond_Table,0,IF($AE49&lt;=100,BranchCol60,BranchAmpCol))&gt;=$AE49/MAX(1,$AO49),0))),0))))&amp;"G",""))</f>
        <v/>
      </c>
      <c r="M49" s="413"/>
      <c r="O49" s="217"/>
      <c r="P49" s="218"/>
      <c r="Q49" s="218"/>
      <c r="R49" s="218"/>
      <c r="S49" s="218"/>
      <c r="T49" s="218"/>
      <c r="U49" s="218"/>
      <c r="V49" s="218"/>
      <c r="W49" s="219"/>
      <c r="X49"/>
      <c r="Y49" s="414">
        <f t="shared" si="0"/>
        <v>0</v>
      </c>
      <c r="Z49" s="415">
        <f t="shared" si="1"/>
        <v>0</v>
      </c>
      <c r="AA49" s="31" t="str">
        <f t="shared" si="2"/>
        <v>NONE</v>
      </c>
      <c r="AB49" s="31" t="str">
        <f t="shared" si="11"/>
        <v/>
      </c>
      <c r="AC49" s="526">
        <f t="shared" si="3"/>
        <v>0</v>
      </c>
      <c r="AD49" s="415">
        <f t="shared" si="4"/>
        <v>0</v>
      </c>
      <c r="AE49" s="415">
        <f t="shared" si="12"/>
        <v>0</v>
      </c>
      <c r="AF49" s="415">
        <f t="shared" si="13"/>
        <v>0</v>
      </c>
      <c r="AG49" s="31" cm="1">
        <f t="array" ref="AG49">IF($AE49&lt;=0,0,IFERROR(_xlfn.LET(_xlpm.n,MAX(1,$AO49),_xlpm.i,$AE49/_xlpm.n,MIN(Max_Cond_Pos,MAX(Min_Cond_Pos,IF(_xlpm.n&gt;1,Par_Min_Pos,1),MATCH(TRUE,INDEX(Cond_Table,0,IF(_xlpm.i&lt;=100,BranchCol60,BranchAmpCol))&gt;=_xlpm.i,0),IF(OR(Tog_VD&lt;&gt;"ON",$J49=0,$J49="",$AB49=0),0,MATCH(TRUE,INDEX(Cond_Table,0,2)&gt;=IF($E49=3,SQRT3,2)*BranchK*$AD49*$J49/($AQ$22*$AB49*_xlpm.n),0))))),0))</f>
        <v>0</v>
      </c>
      <c r="AH49" s="415">
        <f t="shared" si="5"/>
        <v>0</v>
      </c>
      <c r="AI49" s="31">
        <f t="shared" si="6"/>
        <v>2</v>
      </c>
      <c r="AJ49" s="415">
        <f t="shared" si="7"/>
        <v>0</v>
      </c>
      <c r="AK49" s="415">
        <f t="shared" si="8"/>
        <v>0</v>
      </c>
      <c r="AL49" s="415">
        <f t="shared" si="9"/>
        <v>0</v>
      </c>
      <c r="AN49" s="31">
        <f t="shared" si="14"/>
        <v>0</v>
      </c>
      <c r="AO49" s="563" cm="1">
        <f t="array" ref="AO49">IF($AE49&lt;=0,0,IFERROR(_xlfn.LET(_xlpm.col,IF($AE49&lt;=100,BranchCol60,BranchAmpCol),_xlpm.nA,ROUNDUP($AE49/INDEX(Cond_Table,Max_Cond_Pos,_xlpm.col),0),_xlpm.cm,IF(OR(Tog_VD&lt;&gt;"ON",$J49=0,$J49="",$AB49=0),0,IF($E49=3,SQRT3,2)*BranchK*$AD49*$J49/($AQ$22*$AB49)),_xlpm.nV,ROUNDUP(_xlpm.cm/INDEX(Cond_Table,Max_Cond_Pos,2),0),MAX(1,_xlpm.nA,_xlpm.nV)),1))</f>
        <v>0</v>
      </c>
    </row>
    <row r="50" spans="1:41" ht="15" customHeight="1" x14ac:dyDescent="0.35">
      <c r="A50"/>
      <c r="B50" s="410">
        <f>2*(ROW()-29)+1</f>
        <v>43</v>
      </c>
      <c r="C50" s="663"/>
      <c r="D50" s="664"/>
      <c r="E50" s="411"/>
      <c r="F50" s="16" t="str" cm="1">
        <f t="array" ref="F50">IF($AN50=1,"-",IF($G50="Spare",IF($AM50&lt;&gt;"",$AM50,20),IF(OR($G50="",$G50="Space",$AF50&lt;=0),"",IFERROR(INDEX(OCPD_List,MATCH($AF50,OCPD_List,1)+IF(INDEX(OCPD_List,MATCH($AF50,OCPD_List,1))&gt;=$AF50,0,1)),15))))</f>
        <v/>
      </c>
      <c r="G50" s="412" t="str" cm="1">
        <f t="array" ref="G50">IF($AN50=1,"-",IF(COUNT($O50:$W50)=0,IF(UPPER(TRIM($C50))="SPARE","Spare","Space"),IF(COUNTIF($O50:$W50,"&gt;0")&gt;1,"COMB",CHOOSE(MATCH(TRUE,INDEX($O50:$W50&lt;&gt;"",0),0),"Lighting","Receptacle","Motor","HVAC","Electric Heat","Kitchen Equip","Continuous (Other)","Non-Continuous","Panel"))))</f>
        <v>Space</v>
      </c>
      <c r="H50" s="30" t="str">
        <f t="shared" si="10"/>
        <v/>
      </c>
      <c r="I50" s="411"/>
      <c r="J50" s="411"/>
      <c r="K50" s="320" t="str" cm="1">
        <f t="array" ref="K50">IF(OR(Tog_VD&lt;&gt;"ON",$AD50=0,$AG50=0,$J50=0,$J50="",$AB50=0),"",(IF($E50=3,SQRT3,2)*BranchK*$AD50*$J50/(INDEX(INDEX(Cond_Table,0,2),$AG50)*MAX(1,$AO50)))/$AB50)</f>
        <v/>
      </c>
      <c r="L50" s="16" t="str" cm="1">
        <f t="array" ref="L50">IF(OR(Tog_Wire&lt;&gt;"ON",$AG50=0),"",IFERROR(IF($AO50&gt;1,"("&amp;$AO50&amp;") ","")&amp;"#"&amp;INDEX(Cond_Size,$AG50)&amp;" | #"&amp;INDEX(Cond_Size,MIN($AG50,MAX(Min_Cond_Pos,MATCH(TRUE,INDEX(Cond_Table,0,2)&gt;=INDEX(INDEX(Cond_Table,0,2),MATCH(INDEX(INDEX(EGC_Table,0,IF(Cfg_BranchMat="Cu",2,3)),MATCH(TRUE,INDEX(EGC_Table,0,1)&gt;=$F50,0)),Cond_Size,0))*INDEX(INDEX(Cond_Table,0,2),$AG50)/INDEX(INDEX(Cond_Table,0,2),MAX(Min_Cond_Pos,MATCH(TRUE,INDEX(Cond_Table,0,IF($AE50&lt;=100,BranchCol60,BranchAmpCol))&gt;=$AE50/MAX(1,$AO50),0))),0))))&amp;"G",""))</f>
        <v/>
      </c>
      <c r="M50" s="413"/>
      <c r="O50" s="217"/>
      <c r="P50" s="218"/>
      <c r="Q50" s="218"/>
      <c r="R50" s="218"/>
      <c r="S50" s="218"/>
      <c r="T50" s="218"/>
      <c r="U50" s="218"/>
      <c r="V50" s="218"/>
      <c r="W50" s="219"/>
      <c r="X50"/>
      <c r="Y50" s="414">
        <f t="shared" si="0"/>
        <v>0</v>
      </c>
      <c r="Z50" s="415">
        <f t="shared" si="1"/>
        <v>0</v>
      </c>
      <c r="AA50" s="31" t="str">
        <f t="shared" si="2"/>
        <v>NONE</v>
      </c>
      <c r="AB50" s="31" t="str">
        <f t="shared" si="11"/>
        <v/>
      </c>
      <c r="AC50" s="526">
        <f t="shared" si="3"/>
        <v>0</v>
      </c>
      <c r="AD50" s="415">
        <f t="shared" si="4"/>
        <v>0</v>
      </c>
      <c r="AE50" s="415">
        <f t="shared" si="12"/>
        <v>0</v>
      </c>
      <c r="AF50" s="415">
        <f t="shared" si="13"/>
        <v>0</v>
      </c>
      <c r="AG50" s="31" cm="1">
        <f t="array" ref="AG50">IF($AE50&lt;=0,0,IFERROR(_xlfn.LET(_xlpm.n,MAX(1,$AO50),_xlpm.i,$AE50/_xlpm.n,MIN(Max_Cond_Pos,MAX(Min_Cond_Pos,IF(_xlpm.n&gt;1,Par_Min_Pos,1),MATCH(TRUE,INDEX(Cond_Table,0,IF(_xlpm.i&lt;=100,BranchCol60,BranchAmpCol))&gt;=_xlpm.i,0),IF(OR(Tog_VD&lt;&gt;"ON",$J50=0,$J50="",$AB50=0),0,MATCH(TRUE,INDEX(Cond_Table,0,2)&gt;=IF($E50=3,SQRT3,2)*BranchK*$AD50*$J50/($AQ$22*$AB50*_xlpm.n),0))))),0))</f>
        <v>0</v>
      </c>
      <c r="AH50" s="415">
        <f t="shared" si="5"/>
        <v>0</v>
      </c>
      <c r="AI50" s="31">
        <f t="shared" si="6"/>
        <v>0</v>
      </c>
      <c r="AJ50" s="415">
        <f t="shared" si="7"/>
        <v>0</v>
      </c>
      <c r="AK50" s="415">
        <f t="shared" si="8"/>
        <v>0</v>
      </c>
      <c r="AL50" s="415">
        <f t="shared" si="9"/>
        <v>0</v>
      </c>
      <c r="AN50" s="31">
        <f t="shared" si="14"/>
        <v>0</v>
      </c>
      <c r="AO50" s="563" cm="1">
        <f t="array" ref="AO50">IF($AE50&lt;=0,0,IFERROR(_xlfn.LET(_xlpm.col,IF($AE50&lt;=100,BranchCol60,BranchAmpCol),_xlpm.nA,ROUNDUP($AE50/INDEX(Cond_Table,Max_Cond_Pos,_xlpm.col),0),_xlpm.cm,IF(OR(Tog_VD&lt;&gt;"ON",$J50=0,$J50="",$AB50=0),0,IF($E50=3,SQRT3,2)*BranchK*$AD50*$J50/($AQ$22*$AB50)),_xlpm.nV,ROUNDUP(_xlpm.cm/INDEX(Cond_Table,Max_Cond_Pos,2),0),MAX(1,_xlpm.nA,_xlpm.nV)),1))</f>
        <v>0</v>
      </c>
    </row>
    <row r="51" spans="1:41" ht="15" customHeight="1" x14ac:dyDescent="0.35">
      <c r="A51"/>
      <c r="B51" s="410">
        <f>2*(ROW()-29)+1</f>
        <v>45</v>
      </c>
      <c r="C51" s="663"/>
      <c r="D51" s="664"/>
      <c r="E51" s="411"/>
      <c r="F51" s="16" t="str" cm="1">
        <f t="array" ref="F51">IF($AN51=1,"-",IF($G51="Spare",IF($AM51&lt;&gt;"",$AM51,20),IF(OR($G51="",$G51="Space",$AF51&lt;=0),"",IFERROR(INDEX(OCPD_List,MATCH($AF51,OCPD_List,1)+IF(INDEX(OCPD_List,MATCH($AF51,OCPD_List,1))&gt;=$AF51,0,1)),15))))</f>
        <v/>
      </c>
      <c r="G51" s="412" t="str" cm="1">
        <f t="array" ref="G51">IF($AN51=1,"-",IF(COUNT($O51:$W51)=0,IF(UPPER(TRIM($C51))="SPARE","Spare","Space"),IF(COUNTIF($O51:$W51,"&gt;0")&gt;1,"COMB",CHOOSE(MATCH(TRUE,INDEX($O51:$W51&lt;&gt;"",0),0),"Lighting","Receptacle","Motor","HVAC","Electric Heat","Kitchen Equip","Continuous (Other)","Non-Continuous","Panel"))))</f>
        <v>Space</v>
      </c>
      <c r="H51" s="30" t="str">
        <f t="shared" si="10"/>
        <v/>
      </c>
      <c r="I51" s="411"/>
      <c r="J51" s="411"/>
      <c r="K51" s="320" t="str" cm="1">
        <f t="array" ref="K51">IF(OR(Tog_VD&lt;&gt;"ON",$AD51=0,$AG51=0,$J51=0,$J51="",$AB51=0),"",(IF($E51=3,SQRT3,2)*BranchK*$AD51*$J51/(INDEX(INDEX(Cond_Table,0,2),$AG51)*MAX(1,$AO51)))/$AB51)</f>
        <v/>
      </c>
      <c r="L51" s="16" t="str" cm="1">
        <f t="array" ref="L51">IF(OR(Tog_Wire&lt;&gt;"ON",$AG51=0),"",IFERROR(IF($AO51&gt;1,"("&amp;$AO51&amp;") ","")&amp;"#"&amp;INDEX(Cond_Size,$AG51)&amp;" | #"&amp;INDEX(Cond_Size,MIN($AG51,MAX(Min_Cond_Pos,MATCH(TRUE,INDEX(Cond_Table,0,2)&gt;=INDEX(INDEX(Cond_Table,0,2),MATCH(INDEX(INDEX(EGC_Table,0,IF(Cfg_BranchMat="Cu",2,3)),MATCH(TRUE,INDEX(EGC_Table,0,1)&gt;=$F51,0)),Cond_Size,0))*INDEX(INDEX(Cond_Table,0,2),$AG51)/INDEX(INDEX(Cond_Table,0,2),MAX(Min_Cond_Pos,MATCH(TRUE,INDEX(Cond_Table,0,IF($AE51&lt;=100,BranchCol60,BranchAmpCol))&gt;=$AE51/MAX(1,$AO51),0))),0))))&amp;"G",""))</f>
        <v/>
      </c>
      <c r="M51" s="413"/>
      <c r="O51" s="217"/>
      <c r="P51" s="218"/>
      <c r="Q51" s="218"/>
      <c r="R51" s="218"/>
      <c r="S51" s="218"/>
      <c r="T51" s="218"/>
      <c r="U51" s="218"/>
      <c r="V51" s="218"/>
      <c r="W51" s="219"/>
      <c r="X51"/>
      <c r="Y51" s="414">
        <f t="shared" si="0"/>
        <v>0</v>
      </c>
      <c r="Z51" s="415">
        <f t="shared" si="1"/>
        <v>0</v>
      </c>
      <c r="AA51" s="31" t="str">
        <f t="shared" si="2"/>
        <v>NONE</v>
      </c>
      <c r="AB51" s="31" t="str">
        <f t="shared" si="11"/>
        <v/>
      </c>
      <c r="AC51" s="526">
        <f t="shared" si="3"/>
        <v>0</v>
      </c>
      <c r="AD51" s="415">
        <f t="shared" si="4"/>
        <v>0</v>
      </c>
      <c r="AE51" s="415">
        <f t="shared" si="12"/>
        <v>0</v>
      </c>
      <c r="AF51" s="415">
        <f t="shared" si="13"/>
        <v>0</v>
      </c>
      <c r="AG51" s="31" cm="1">
        <f t="array" ref="AG51">IF($AE51&lt;=0,0,IFERROR(_xlfn.LET(_xlpm.n,MAX(1,$AO51),_xlpm.i,$AE51/_xlpm.n,MIN(Max_Cond_Pos,MAX(Min_Cond_Pos,IF(_xlpm.n&gt;1,Par_Min_Pos,1),MATCH(TRUE,INDEX(Cond_Table,0,IF(_xlpm.i&lt;=100,BranchCol60,BranchAmpCol))&gt;=_xlpm.i,0),IF(OR(Tog_VD&lt;&gt;"ON",$J51=0,$J51="",$AB51=0),0,MATCH(TRUE,INDEX(Cond_Table,0,2)&gt;=IF($E51=3,SQRT3,2)*BranchK*$AD51*$J51/($AQ$22*$AB51*_xlpm.n),0))))),0))</f>
        <v>0</v>
      </c>
      <c r="AH51" s="415">
        <f t="shared" si="5"/>
        <v>0</v>
      </c>
      <c r="AI51" s="31">
        <f t="shared" si="6"/>
        <v>1</v>
      </c>
      <c r="AJ51" s="415">
        <f t="shared" si="7"/>
        <v>0</v>
      </c>
      <c r="AK51" s="415">
        <f t="shared" si="8"/>
        <v>0</v>
      </c>
      <c r="AL51" s="415">
        <f t="shared" si="9"/>
        <v>0</v>
      </c>
      <c r="AN51" s="31">
        <f t="shared" si="14"/>
        <v>0</v>
      </c>
      <c r="AO51" s="563" cm="1">
        <f t="array" ref="AO51">IF($AE51&lt;=0,0,IFERROR(_xlfn.LET(_xlpm.col,IF($AE51&lt;=100,BranchCol60,BranchAmpCol),_xlpm.nA,ROUNDUP($AE51/INDEX(Cond_Table,Max_Cond_Pos,_xlpm.col),0),_xlpm.cm,IF(OR(Tog_VD&lt;&gt;"ON",$J51=0,$J51="",$AB51=0),0,IF($E51=3,SQRT3,2)*BranchK*$AD51*$J51/($AQ$22*$AB51)),_xlpm.nV,ROUNDUP(_xlpm.cm/INDEX(Cond_Table,Max_Cond_Pos,2),0),MAX(1,_xlpm.nA,_xlpm.nV)),1))</f>
        <v>0</v>
      </c>
    </row>
    <row r="52" spans="1:41" ht="15" customHeight="1" x14ac:dyDescent="0.35">
      <c r="A52"/>
      <c r="B52" s="410">
        <f>2*(ROW()-29)+1</f>
        <v>47</v>
      </c>
      <c r="C52" s="663"/>
      <c r="D52" s="664"/>
      <c r="E52" s="411"/>
      <c r="F52" s="16" t="str" cm="1">
        <f t="array" ref="F52">IF($AN52=1,"-",IF($G52="Spare",IF($AM52&lt;&gt;"",$AM52,20),IF(OR($G52="",$G52="Space",$AF52&lt;=0),"",IFERROR(INDEX(OCPD_List,MATCH($AF52,OCPD_List,1)+IF(INDEX(OCPD_List,MATCH($AF52,OCPD_List,1))&gt;=$AF52,0,1)),15))))</f>
        <v/>
      </c>
      <c r="G52" s="412" t="str" cm="1">
        <f t="array" ref="G52">IF($AN52=1,"-",IF(COUNT($O52:$W52)=0,IF(UPPER(TRIM($C52))="SPARE","Spare","Space"),IF(COUNTIF($O52:$W52,"&gt;0")&gt;1,"COMB",CHOOSE(MATCH(TRUE,INDEX($O52:$W52&lt;&gt;"",0),0),"Lighting","Receptacle","Motor","HVAC","Electric Heat","Kitchen Equip","Continuous (Other)","Non-Continuous","Panel"))))</f>
        <v>Space</v>
      </c>
      <c r="H52" s="30" t="str">
        <f t="shared" si="10"/>
        <v/>
      </c>
      <c r="I52" s="411"/>
      <c r="J52" s="411"/>
      <c r="K52" s="320" t="str" cm="1">
        <f t="array" ref="K52">IF(OR(Tog_VD&lt;&gt;"ON",$AD52=0,$AG52=0,$J52=0,$J52="",$AB52=0),"",(IF($E52=3,SQRT3,2)*BranchK*$AD52*$J52/(INDEX(INDEX(Cond_Table,0,2),$AG52)*MAX(1,$AO52)))/$AB52)</f>
        <v/>
      </c>
      <c r="L52" s="16" t="str" cm="1">
        <f t="array" ref="L52">IF(OR(Tog_Wire&lt;&gt;"ON",$AG52=0),"",IFERROR(IF($AO52&gt;1,"("&amp;$AO52&amp;") ","")&amp;"#"&amp;INDEX(Cond_Size,$AG52)&amp;" | #"&amp;INDEX(Cond_Size,MIN($AG52,MAX(Min_Cond_Pos,MATCH(TRUE,INDEX(Cond_Table,0,2)&gt;=INDEX(INDEX(Cond_Table,0,2),MATCH(INDEX(INDEX(EGC_Table,0,IF(Cfg_BranchMat="Cu",2,3)),MATCH(TRUE,INDEX(EGC_Table,0,1)&gt;=$F52,0)),Cond_Size,0))*INDEX(INDEX(Cond_Table,0,2),$AG52)/INDEX(INDEX(Cond_Table,0,2),MAX(Min_Cond_Pos,MATCH(TRUE,INDEX(Cond_Table,0,IF($AE52&lt;=100,BranchCol60,BranchAmpCol))&gt;=$AE52/MAX(1,$AO52),0))),0))))&amp;"G",""))</f>
        <v/>
      </c>
      <c r="M52" s="413"/>
      <c r="O52" s="217"/>
      <c r="P52" s="218"/>
      <c r="Q52" s="218"/>
      <c r="R52" s="218"/>
      <c r="S52" s="218"/>
      <c r="T52" s="218"/>
      <c r="U52" s="218"/>
      <c r="V52" s="218"/>
      <c r="W52" s="219"/>
      <c r="X52"/>
      <c r="Y52" s="414">
        <f t="shared" si="0"/>
        <v>0</v>
      </c>
      <c r="Z52" s="415">
        <f t="shared" si="1"/>
        <v>0</v>
      </c>
      <c r="AA52" s="31" t="str">
        <f t="shared" si="2"/>
        <v>NONE</v>
      </c>
      <c r="AB52" s="31" t="str">
        <f t="shared" si="11"/>
        <v/>
      </c>
      <c r="AC52" s="526">
        <f t="shared" si="3"/>
        <v>0</v>
      </c>
      <c r="AD52" s="415">
        <f t="shared" si="4"/>
        <v>0</v>
      </c>
      <c r="AE52" s="415">
        <f t="shared" si="12"/>
        <v>0</v>
      </c>
      <c r="AF52" s="415">
        <f t="shared" si="13"/>
        <v>0</v>
      </c>
      <c r="AG52" s="31" cm="1">
        <f t="array" ref="AG52">IF($AE52&lt;=0,0,IFERROR(_xlfn.LET(_xlpm.n,MAX(1,$AO52),_xlpm.i,$AE52/_xlpm.n,MIN(Max_Cond_Pos,MAX(Min_Cond_Pos,IF(_xlpm.n&gt;1,Par_Min_Pos,1),MATCH(TRUE,INDEX(Cond_Table,0,IF(_xlpm.i&lt;=100,BranchCol60,BranchAmpCol))&gt;=_xlpm.i,0),IF(OR(Tog_VD&lt;&gt;"ON",$J52=0,$J52="",$AB52=0),0,MATCH(TRUE,INDEX(Cond_Table,0,2)&gt;=IF($E52=3,SQRT3,2)*BranchK*$AD52*$J52/($AQ$22*$AB52*_xlpm.n),0))))),0))</f>
        <v>0</v>
      </c>
      <c r="AH52" s="415">
        <f t="shared" si="5"/>
        <v>0</v>
      </c>
      <c r="AI52" s="31">
        <f t="shared" si="6"/>
        <v>2</v>
      </c>
      <c r="AJ52" s="415">
        <f t="shared" si="7"/>
        <v>0</v>
      </c>
      <c r="AK52" s="415">
        <f t="shared" si="8"/>
        <v>0</v>
      </c>
      <c r="AL52" s="415">
        <f t="shared" si="9"/>
        <v>0</v>
      </c>
      <c r="AN52" s="31">
        <f t="shared" si="14"/>
        <v>0</v>
      </c>
      <c r="AO52" s="563" cm="1">
        <f t="array" ref="AO52">IF($AE52&lt;=0,0,IFERROR(_xlfn.LET(_xlpm.col,IF($AE52&lt;=100,BranchCol60,BranchAmpCol),_xlpm.nA,ROUNDUP($AE52/INDEX(Cond_Table,Max_Cond_Pos,_xlpm.col),0),_xlpm.cm,IF(OR(Tog_VD&lt;&gt;"ON",$J52=0,$J52="",$AB52=0),0,IF($E52=3,SQRT3,2)*BranchK*$AD52*$J52/($AQ$22*$AB52)),_xlpm.nV,ROUNDUP(_xlpm.cm/INDEX(Cond_Table,Max_Cond_Pos,2),0),MAX(1,_xlpm.nA,_xlpm.nV)),1))</f>
        <v>0</v>
      </c>
    </row>
    <row r="53" spans="1:41" ht="15" customHeight="1" x14ac:dyDescent="0.35">
      <c r="A53"/>
      <c r="B53" s="410">
        <f>2*(ROW()-29)+1</f>
        <v>49</v>
      </c>
      <c r="C53" s="663"/>
      <c r="D53" s="664"/>
      <c r="E53" s="411"/>
      <c r="F53" s="16" t="str" cm="1">
        <f t="array" ref="F53">IF($AN53=1,"-",IF($G53="Spare",IF($AM53&lt;&gt;"",$AM53,20),IF(OR($G53="",$G53="Space",$AF53&lt;=0),"",IFERROR(INDEX(OCPD_List,MATCH($AF53,OCPD_List,1)+IF(INDEX(OCPD_List,MATCH($AF53,OCPD_List,1))&gt;=$AF53,0,1)),15))))</f>
        <v/>
      </c>
      <c r="G53" s="412" t="str" cm="1">
        <f t="array" ref="G53">IF($AN53=1,"-",IF(COUNT($O53:$W53)=0,IF(UPPER(TRIM($C53))="SPARE","Spare","Space"),IF(COUNTIF($O53:$W53,"&gt;0")&gt;1,"COMB",CHOOSE(MATCH(TRUE,INDEX($O53:$W53&lt;&gt;"",0),0),"Lighting","Receptacle","Motor","HVAC","Electric Heat","Kitchen Equip","Continuous (Other)","Non-Continuous","Panel"))))</f>
        <v>Space</v>
      </c>
      <c r="H53" s="30" t="str">
        <f t="shared" si="10"/>
        <v/>
      </c>
      <c r="I53" s="411"/>
      <c r="J53" s="411"/>
      <c r="K53" s="320" t="str" cm="1">
        <f t="array" ref="K53">IF(OR(Tog_VD&lt;&gt;"ON",$AD53=0,$AG53=0,$J53=0,$J53="",$AB53=0),"",(IF($E53=3,SQRT3,2)*BranchK*$AD53*$J53/(INDEX(INDEX(Cond_Table,0,2),$AG53)*MAX(1,$AO53)))/$AB53)</f>
        <v/>
      </c>
      <c r="L53" s="16" t="str" cm="1">
        <f t="array" ref="L53">IF(OR(Tog_Wire&lt;&gt;"ON",$AG53=0),"",IFERROR(IF($AO53&gt;1,"("&amp;$AO53&amp;") ","")&amp;"#"&amp;INDEX(Cond_Size,$AG53)&amp;" | #"&amp;INDEX(Cond_Size,MIN($AG53,MAX(Min_Cond_Pos,MATCH(TRUE,INDEX(Cond_Table,0,2)&gt;=INDEX(INDEX(Cond_Table,0,2),MATCH(INDEX(INDEX(EGC_Table,0,IF(Cfg_BranchMat="Cu",2,3)),MATCH(TRUE,INDEX(EGC_Table,0,1)&gt;=$F53,0)),Cond_Size,0))*INDEX(INDEX(Cond_Table,0,2),$AG53)/INDEX(INDEX(Cond_Table,0,2),MAX(Min_Cond_Pos,MATCH(TRUE,INDEX(Cond_Table,0,IF($AE53&lt;=100,BranchCol60,BranchAmpCol))&gt;=$AE53/MAX(1,$AO53),0))),0))))&amp;"G",""))</f>
        <v/>
      </c>
      <c r="M53" s="413"/>
      <c r="O53" s="217"/>
      <c r="P53" s="218"/>
      <c r="Q53" s="218"/>
      <c r="R53" s="218"/>
      <c r="S53" s="218"/>
      <c r="T53" s="218"/>
      <c r="U53" s="218"/>
      <c r="V53" s="218"/>
      <c r="W53" s="219"/>
      <c r="X53"/>
      <c r="Y53" s="414">
        <f t="shared" si="0"/>
        <v>0</v>
      </c>
      <c r="Z53" s="415">
        <f t="shared" si="1"/>
        <v>0</v>
      </c>
      <c r="AA53" s="31" t="str">
        <f t="shared" si="2"/>
        <v>NONE</v>
      </c>
      <c r="AB53" s="31" t="str">
        <f t="shared" si="11"/>
        <v/>
      </c>
      <c r="AC53" s="526">
        <f t="shared" si="3"/>
        <v>0</v>
      </c>
      <c r="AD53" s="415">
        <f t="shared" si="4"/>
        <v>0</v>
      </c>
      <c r="AE53" s="415">
        <f t="shared" si="12"/>
        <v>0</v>
      </c>
      <c r="AF53" s="415">
        <f t="shared" si="13"/>
        <v>0</v>
      </c>
      <c r="AG53" s="31" cm="1">
        <f t="array" ref="AG53">IF($AE53&lt;=0,0,IFERROR(_xlfn.LET(_xlpm.n,MAX(1,$AO53),_xlpm.i,$AE53/_xlpm.n,MIN(Max_Cond_Pos,MAX(Min_Cond_Pos,IF(_xlpm.n&gt;1,Par_Min_Pos,1),MATCH(TRUE,INDEX(Cond_Table,0,IF(_xlpm.i&lt;=100,BranchCol60,BranchAmpCol))&gt;=_xlpm.i,0),IF(OR(Tog_VD&lt;&gt;"ON",$J53=0,$J53="",$AB53=0),0,MATCH(TRUE,INDEX(Cond_Table,0,2)&gt;=IF($E53=3,SQRT3,2)*BranchK*$AD53*$J53/($AQ$22*$AB53*_xlpm.n),0))))),0))</f>
        <v>0</v>
      </c>
      <c r="AH53" s="415">
        <f t="shared" si="5"/>
        <v>0</v>
      </c>
      <c r="AI53" s="31">
        <f t="shared" si="6"/>
        <v>0</v>
      </c>
      <c r="AJ53" s="415">
        <f t="shared" si="7"/>
        <v>0</v>
      </c>
      <c r="AK53" s="415">
        <f t="shared" si="8"/>
        <v>0</v>
      </c>
      <c r="AL53" s="415">
        <f t="shared" si="9"/>
        <v>0</v>
      </c>
      <c r="AN53" s="31">
        <f t="shared" si="14"/>
        <v>0</v>
      </c>
      <c r="AO53" s="563" cm="1">
        <f t="array" ref="AO53">IF($AE53&lt;=0,0,IFERROR(_xlfn.LET(_xlpm.col,IF($AE53&lt;=100,BranchCol60,BranchAmpCol),_xlpm.nA,ROUNDUP($AE53/INDEX(Cond_Table,Max_Cond_Pos,_xlpm.col),0),_xlpm.cm,IF(OR(Tog_VD&lt;&gt;"ON",$J53=0,$J53="",$AB53=0),0,IF($E53=3,SQRT3,2)*BranchK*$AD53*$J53/($AQ$22*$AB53)),_xlpm.nV,ROUNDUP(_xlpm.cm/INDEX(Cond_Table,Max_Cond_Pos,2),0),MAX(1,_xlpm.nA,_xlpm.nV)),1))</f>
        <v>0</v>
      </c>
    </row>
    <row r="54" spans="1:41" ht="15" customHeight="1" x14ac:dyDescent="0.35">
      <c r="A54"/>
      <c r="B54" s="410">
        <f>2*(ROW()-29)+1</f>
        <v>51</v>
      </c>
      <c r="C54" s="663"/>
      <c r="D54" s="664"/>
      <c r="E54" s="411"/>
      <c r="F54" s="16" t="str" cm="1">
        <f t="array" ref="F54">IF($AN54=1,"-",IF($G54="Spare",IF($AM54&lt;&gt;"",$AM54,20),IF(OR($G54="",$G54="Space",$AF54&lt;=0),"",IFERROR(INDEX(OCPD_List,MATCH($AF54,OCPD_List,1)+IF(INDEX(OCPD_List,MATCH($AF54,OCPD_List,1))&gt;=$AF54,0,1)),15))))</f>
        <v/>
      </c>
      <c r="G54" s="412" t="str" cm="1">
        <f t="array" ref="G54">IF($AN54=1,"-",IF(COUNT($O54:$W54)=0,IF(UPPER(TRIM($C54))="SPARE","Spare","Space"),IF(COUNTIF($O54:$W54,"&gt;0")&gt;1,"COMB",CHOOSE(MATCH(TRUE,INDEX($O54:$W54&lt;&gt;"",0),0),"Lighting","Receptacle","Motor","HVAC","Electric Heat","Kitchen Equip","Continuous (Other)","Non-Continuous","Panel"))))</f>
        <v>Space</v>
      </c>
      <c r="H54" s="30" t="str">
        <f t="shared" si="10"/>
        <v/>
      </c>
      <c r="I54" s="411"/>
      <c r="J54" s="411"/>
      <c r="K54" s="320" t="str" cm="1">
        <f t="array" ref="K54">IF(OR(Tog_VD&lt;&gt;"ON",$AD54=0,$AG54=0,$J54=0,$J54="",$AB54=0),"",(IF($E54=3,SQRT3,2)*BranchK*$AD54*$J54/(INDEX(INDEX(Cond_Table,0,2),$AG54)*MAX(1,$AO54)))/$AB54)</f>
        <v/>
      </c>
      <c r="L54" s="16" t="str" cm="1">
        <f t="array" ref="L54">IF(OR(Tog_Wire&lt;&gt;"ON",$AG54=0),"",IFERROR(IF($AO54&gt;1,"("&amp;$AO54&amp;") ","")&amp;"#"&amp;INDEX(Cond_Size,$AG54)&amp;" | #"&amp;INDEX(Cond_Size,MIN($AG54,MAX(Min_Cond_Pos,MATCH(TRUE,INDEX(Cond_Table,0,2)&gt;=INDEX(INDEX(Cond_Table,0,2),MATCH(INDEX(INDEX(EGC_Table,0,IF(Cfg_BranchMat="Cu",2,3)),MATCH(TRUE,INDEX(EGC_Table,0,1)&gt;=$F54,0)),Cond_Size,0))*INDEX(INDEX(Cond_Table,0,2),$AG54)/INDEX(INDEX(Cond_Table,0,2),MAX(Min_Cond_Pos,MATCH(TRUE,INDEX(Cond_Table,0,IF($AE54&lt;=100,BranchCol60,BranchAmpCol))&gt;=$AE54/MAX(1,$AO54),0))),0))))&amp;"G",""))</f>
        <v/>
      </c>
      <c r="M54" s="413"/>
      <c r="O54" s="217"/>
      <c r="P54" s="218"/>
      <c r="Q54" s="218"/>
      <c r="R54" s="218"/>
      <c r="S54" s="218"/>
      <c r="T54" s="218"/>
      <c r="U54" s="218"/>
      <c r="V54" s="218"/>
      <c r="W54" s="219"/>
      <c r="X54"/>
      <c r="Y54" s="414">
        <f t="shared" si="0"/>
        <v>0</v>
      </c>
      <c r="Z54" s="415">
        <f t="shared" si="1"/>
        <v>0</v>
      </c>
      <c r="AA54" s="31" t="str">
        <f t="shared" si="2"/>
        <v>NONE</v>
      </c>
      <c r="AB54" s="31" t="str">
        <f t="shared" si="11"/>
        <v/>
      </c>
      <c r="AC54" s="526">
        <f t="shared" si="3"/>
        <v>0</v>
      </c>
      <c r="AD54" s="415">
        <f t="shared" si="4"/>
        <v>0</v>
      </c>
      <c r="AE54" s="415">
        <f t="shared" si="12"/>
        <v>0</v>
      </c>
      <c r="AF54" s="415">
        <f t="shared" si="13"/>
        <v>0</v>
      </c>
      <c r="AG54" s="31" cm="1">
        <f t="array" ref="AG54">IF($AE54&lt;=0,0,IFERROR(_xlfn.LET(_xlpm.n,MAX(1,$AO54),_xlpm.i,$AE54/_xlpm.n,MIN(Max_Cond_Pos,MAX(Min_Cond_Pos,IF(_xlpm.n&gt;1,Par_Min_Pos,1),MATCH(TRUE,INDEX(Cond_Table,0,IF(_xlpm.i&lt;=100,BranchCol60,BranchAmpCol))&gt;=_xlpm.i,0),IF(OR(Tog_VD&lt;&gt;"ON",$J54=0,$J54="",$AB54=0),0,MATCH(TRUE,INDEX(Cond_Table,0,2)&gt;=IF($E54=3,SQRT3,2)*BranchK*$AD54*$J54/($AQ$22*$AB54*_xlpm.n),0))))),0))</f>
        <v>0</v>
      </c>
      <c r="AH54" s="415">
        <f t="shared" si="5"/>
        <v>0</v>
      </c>
      <c r="AI54" s="31">
        <f t="shared" si="6"/>
        <v>1</v>
      </c>
      <c r="AJ54" s="415">
        <f t="shared" si="7"/>
        <v>0</v>
      </c>
      <c r="AK54" s="415">
        <f t="shared" si="8"/>
        <v>0</v>
      </c>
      <c r="AL54" s="415">
        <f t="shared" si="9"/>
        <v>0</v>
      </c>
      <c r="AN54" s="31">
        <f t="shared" si="14"/>
        <v>0</v>
      </c>
      <c r="AO54" s="563" cm="1">
        <f t="array" ref="AO54">IF($AE54&lt;=0,0,IFERROR(_xlfn.LET(_xlpm.col,IF($AE54&lt;=100,BranchCol60,BranchAmpCol),_xlpm.nA,ROUNDUP($AE54/INDEX(Cond_Table,Max_Cond_Pos,_xlpm.col),0),_xlpm.cm,IF(OR(Tog_VD&lt;&gt;"ON",$J54=0,$J54="",$AB54=0),0,IF($E54=3,SQRT3,2)*BranchK*$AD54*$J54/($AQ$22*$AB54)),_xlpm.nV,ROUNDUP(_xlpm.cm/INDEX(Cond_Table,Max_Cond_Pos,2),0),MAX(1,_xlpm.nA,_xlpm.nV)),1))</f>
        <v>0</v>
      </c>
    </row>
    <row r="55" spans="1:41" ht="15" customHeight="1" x14ac:dyDescent="0.35">
      <c r="A55"/>
      <c r="B55" s="410">
        <f>2*(ROW()-29)+1</f>
        <v>53</v>
      </c>
      <c r="C55" s="663"/>
      <c r="D55" s="664"/>
      <c r="E55" s="411"/>
      <c r="F55" s="16" t="str" cm="1">
        <f t="array" ref="F55">IF($AN55=1,"-",IF($G55="Spare",IF($AM55&lt;&gt;"",$AM55,20),IF(OR($G55="",$G55="Space",$AF55&lt;=0),"",IFERROR(INDEX(OCPD_List,MATCH($AF55,OCPD_List,1)+IF(INDEX(OCPD_List,MATCH($AF55,OCPD_List,1))&gt;=$AF55,0,1)),15))))</f>
        <v/>
      </c>
      <c r="G55" s="412" t="str" cm="1">
        <f t="array" ref="G55">IF($AN55=1,"-",IF(COUNT($O55:$W55)=0,IF(UPPER(TRIM($C55))="SPARE","Spare","Space"),IF(COUNTIF($O55:$W55,"&gt;0")&gt;1,"COMB",CHOOSE(MATCH(TRUE,INDEX($O55:$W55&lt;&gt;"",0),0),"Lighting","Receptacle","Motor","HVAC","Electric Heat","Kitchen Equip","Continuous (Other)","Non-Continuous","Panel"))))</f>
        <v>Space</v>
      </c>
      <c r="H55" s="30" t="str">
        <f t="shared" si="10"/>
        <v/>
      </c>
      <c r="I55" s="411"/>
      <c r="J55" s="411"/>
      <c r="K55" s="320" t="str" cm="1">
        <f t="array" ref="K55">IF(OR(Tog_VD&lt;&gt;"ON",$AD55=0,$AG55=0,$J55=0,$J55="",$AB55=0),"",(IF($E55=3,SQRT3,2)*BranchK*$AD55*$J55/(INDEX(INDEX(Cond_Table,0,2),$AG55)*MAX(1,$AO55)))/$AB55)</f>
        <v/>
      </c>
      <c r="L55" s="16" t="str" cm="1">
        <f t="array" ref="L55">IF(OR(Tog_Wire&lt;&gt;"ON",$AG55=0),"",IFERROR(IF($AO55&gt;1,"("&amp;$AO55&amp;") ","")&amp;"#"&amp;INDEX(Cond_Size,$AG55)&amp;" | #"&amp;INDEX(Cond_Size,MIN($AG55,MAX(Min_Cond_Pos,MATCH(TRUE,INDEX(Cond_Table,0,2)&gt;=INDEX(INDEX(Cond_Table,0,2),MATCH(INDEX(INDEX(EGC_Table,0,IF(Cfg_BranchMat="Cu",2,3)),MATCH(TRUE,INDEX(EGC_Table,0,1)&gt;=$F55,0)),Cond_Size,0))*INDEX(INDEX(Cond_Table,0,2),$AG55)/INDEX(INDEX(Cond_Table,0,2),MAX(Min_Cond_Pos,MATCH(TRUE,INDEX(Cond_Table,0,IF($AE55&lt;=100,BranchCol60,BranchAmpCol))&gt;=$AE55/MAX(1,$AO55),0))),0))))&amp;"G",""))</f>
        <v/>
      </c>
      <c r="M55" s="413"/>
      <c r="O55" s="217"/>
      <c r="P55" s="218"/>
      <c r="Q55" s="218"/>
      <c r="R55" s="218"/>
      <c r="S55" s="218"/>
      <c r="T55" s="218"/>
      <c r="U55" s="218"/>
      <c r="V55" s="218"/>
      <c r="W55" s="219"/>
      <c r="X55"/>
      <c r="Y55" s="414">
        <f t="shared" si="0"/>
        <v>0</v>
      </c>
      <c r="Z55" s="415">
        <f t="shared" si="1"/>
        <v>0</v>
      </c>
      <c r="AA55" s="31" t="str">
        <f t="shared" si="2"/>
        <v>NONE</v>
      </c>
      <c r="AB55" s="31" t="str">
        <f t="shared" si="11"/>
        <v/>
      </c>
      <c r="AC55" s="526">
        <f t="shared" si="3"/>
        <v>0</v>
      </c>
      <c r="AD55" s="415">
        <f t="shared" si="4"/>
        <v>0</v>
      </c>
      <c r="AE55" s="415">
        <f t="shared" si="12"/>
        <v>0</v>
      </c>
      <c r="AF55" s="415">
        <f t="shared" si="13"/>
        <v>0</v>
      </c>
      <c r="AG55" s="31" cm="1">
        <f t="array" ref="AG55">IF($AE55&lt;=0,0,IFERROR(_xlfn.LET(_xlpm.n,MAX(1,$AO55),_xlpm.i,$AE55/_xlpm.n,MIN(Max_Cond_Pos,MAX(Min_Cond_Pos,IF(_xlpm.n&gt;1,Par_Min_Pos,1),MATCH(TRUE,INDEX(Cond_Table,0,IF(_xlpm.i&lt;=100,BranchCol60,BranchAmpCol))&gt;=_xlpm.i,0),IF(OR(Tog_VD&lt;&gt;"ON",$J55=0,$J55="",$AB55=0),0,MATCH(TRUE,INDEX(Cond_Table,0,2)&gt;=IF($E55=3,SQRT3,2)*BranchK*$AD55*$J55/($AQ$22*$AB55*_xlpm.n),0))))),0))</f>
        <v>0</v>
      </c>
      <c r="AH55" s="415">
        <f t="shared" si="5"/>
        <v>0</v>
      </c>
      <c r="AI55" s="31">
        <f t="shared" si="6"/>
        <v>2</v>
      </c>
      <c r="AJ55" s="415">
        <f t="shared" si="7"/>
        <v>0</v>
      </c>
      <c r="AK55" s="415">
        <f t="shared" si="8"/>
        <v>0</v>
      </c>
      <c r="AL55" s="415">
        <f t="shared" si="9"/>
        <v>0</v>
      </c>
      <c r="AN55" s="31">
        <f t="shared" si="14"/>
        <v>0</v>
      </c>
      <c r="AO55" s="563" cm="1">
        <f t="array" ref="AO55">IF($AE55&lt;=0,0,IFERROR(_xlfn.LET(_xlpm.col,IF($AE55&lt;=100,BranchCol60,BranchAmpCol),_xlpm.nA,ROUNDUP($AE55/INDEX(Cond_Table,Max_Cond_Pos,_xlpm.col),0),_xlpm.cm,IF(OR(Tog_VD&lt;&gt;"ON",$J55=0,$J55="",$AB55=0),0,IF($E55=3,SQRT3,2)*BranchK*$AD55*$J55/($AQ$22*$AB55)),_xlpm.nV,ROUNDUP(_xlpm.cm/INDEX(Cond_Table,Max_Cond_Pos,2),0),MAX(1,_xlpm.nA,_xlpm.nV)),1))</f>
        <v>0</v>
      </c>
    </row>
    <row r="56" spans="1:41" ht="15" customHeight="1" x14ac:dyDescent="0.35">
      <c r="A56"/>
      <c r="B56" s="410">
        <f>2*(ROW()-29)+1</f>
        <v>55</v>
      </c>
      <c r="C56" s="663"/>
      <c r="D56" s="664"/>
      <c r="E56" s="411"/>
      <c r="F56" s="16" t="str" cm="1">
        <f t="array" ref="F56">IF($AN56=1,"-",IF($G56="Spare",IF($AM56&lt;&gt;"",$AM56,20),IF(OR($G56="",$G56="Space",$AF56&lt;=0),"",IFERROR(INDEX(OCPD_List,MATCH($AF56,OCPD_List,1)+IF(INDEX(OCPD_List,MATCH($AF56,OCPD_List,1))&gt;=$AF56,0,1)),15))))</f>
        <v/>
      </c>
      <c r="G56" s="412" t="str" cm="1">
        <f t="array" ref="G56">IF($AN56=1,"-",IF(COUNT($O56:$W56)=0,IF(UPPER(TRIM($C56))="SPARE","Spare","Space"),IF(COUNTIF($O56:$W56,"&gt;0")&gt;1,"COMB",CHOOSE(MATCH(TRUE,INDEX($O56:$W56&lt;&gt;"",0),0),"Lighting","Receptacle","Motor","HVAC","Electric Heat","Kitchen Equip","Continuous (Other)","Non-Continuous","Panel"))))</f>
        <v>Space</v>
      </c>
      <c r="H56" s="30" t="str">
        <f t="shared" si="10"/>
        <v/>
      </c>
      <c r="I56" s="411"/>
      <c r="J56" s="411"/>
      <c r="K56" s="320" t="str" cm="1">
        <f t="array" ref="K56">IF(OR(Tog_VD&lt;&gt;"ON",$AD56=0,$AG56=0,$J56=0,$J56="",$AB56=0),"",(IF($E56=3,SQRT3,2)*BranchK*$AD56*$J56/(INDEX(INDEX(Cond_Table,0,2),$AG56)*MAX(1,$AO56)))/$AB56)</f>
        <v/>
      </c>
      <c r="L56" s="16" t="str" cm="1">
        <f t="array" ref="L56">IF(OR(Tog_Wire&lt;&gt;"ON",$AG56=0),"",IFERROR(IF($AO56&gt;1,"("&amp;$AO56&amp;") ","")&amp;"#"&amp;INDEX(Cond_Size,$AG56)&amp;" | #"&amp;INDEX(Cond_Size,MIN($AG56,MAX(Min_Cond_Pos,MATCH(TRUE,INDEX(Cond_Table,0,2)&gt;=INDEX(INDEX(Cond_Table,0,2),MATCH(INDEX(INDEX(EGC_Table,0,IF(Cfg_BranchMat="Cu",2,3)),MATCH(TRUE,INDEX(EGC_Table,0,1)&gt;=$F56,0)),Cond_Size,0))*INDEX(INDEX(Cond_Table,0,2),$AG56)/INDEX(INDEX(Cond_Table,0,2),MAX(Min_Cond_Pos,MATCH(TRUE,INDEX(Cond_Table,0,IF($AE56&lt;=100,BranchCol60,BranchAmpCol))&gt;=$AE56/MAX(1,$AO56),0))),0))))&amp;"G",""))</f>
        <v/>
      </c>
      <c r="M56" s="413"/>
      <c r="O56" s="217"/>
      <c r="P56" s="218"/>
      <c r="Q56" s="218"/>
      <c r="R56" s="218"/>
      <c r="S56" s="218"/>
      <c r="T56" s="218"/>
      <c r="U56" s="218"/>
      <c r="V56" s="218"/>
      <c r="W56" s="219"/>
      <c r="X56"/>
      <c r="Y56" s="414">
        <f t="shared" si="0"/>
        <v>0</v>
      </c>
      <c r="Z56" s="415">
        <f t="shared" si="1"/>
        <v>0</v>
      </c>
      <c r="AA56" s="31" t="str">
        <f t="shared" si="2"/>
        <v>NONE</v>
      </c>
      <c r="AB56" s="31" t="str">
        <f t="shared" si="11"/>
        <v/>
      </c>
      <c r="AC56" s="526">
        <f t="shared" si="3"/>
        <v>0</v>
      </c>
      <c r="AD56" s="415">
        <f t="shared" si="4"/>
        <v>0</v>
      </c>
      <c r="AE56" s="415">
        <f t="shared" si="12"/>
        <v>0</v>
      </c>
      <c r="AF56" s="415">
        <f t="shared" si="13"/>
        <v>0</v>
      </c>
      <c r="AG56" s="31" cm="1">
        <f t="array" ref="AG56">IF($AE56&lt;=0,0,IFERROR(_xlfn.LET(_xlpm.n,MAX(1,$AO56),_xlpm.i,$AE56/_xlpm.n,MIN(Max_Cond_Pos,MAX(Min_Cond_Pos,IF(_xlpm.n&gt;1,Par_Min_Pos,1),MATCH(TRUE,INDEX(Cond_Table,0,IF(_xlpm.i&lt;=100,BranchCol60,BranchAmpCol))&gt;=_xlpm.i,0),IF(OR(Tog_VD&lt;&gt;"ON",$J56=0,$J56="",$AB56=0),0,MATCH(TRUE,INDEX(Cond_Table,0,2)&gt;=IF($E56=3,SQRT3,2)*BranchK*$AD56*$J56/($AQ$22*$AB56*_xlpm.n),0))))),0))</f>
        <v>0</v>
      </c>
      <c r="AH56" s="415">
        <f t="shared" si="5"/>
        <v>0</v>
      </c>
      <c r="AI56" s="31">
        <f t="shared" si="6"/>
        <v>0</v>
      </c>
      <c r="AJ56" s="415">
        <f t="shared" si="7"/>
        <v>0</v>
      </c>
      <c r="AK56" s="415">
        <f t="shared" si="8"/>
        <v>0</v>
      </c>
      <c r="AL56" s="415">
        <f t="shared" si="9"/>
        <v>0</v>
      </c>
      <c r="AN56" s="31">
        <f t="shared" si="14"/>
        <v>0</v>
      </c>
      <c r="AO56" s="563" cm="1">
        <f t="array" ref="AO56">IF($AE56&lt;=0,0,IFERROR(_xlfn.LET(_xlpm.col,IF($AE56&lt;=100,BranchCol60,BranchAmpCol),_xlpm.nA,ROUNDUP($AE56/INDEX(Cond_Table,Max_Cond_Pos,_xlpm.col),0),_xlpm.cm,IF(OR(Tog_VD&lt;&gt;"ON",$J56=0,$J56="",$AB56=0),0,IF($E56=3,SQRT3,2)*BranchK*$AD56*$J56/($AQ$22*$AB56)),_xlpm.nV,ROUNDUP(_xlpm.cm/INDEX(Cond_Table,Max_Cond_Pos,2),0),MAX(1,_xlpm.nA,_xlpm.nV)),1))</f>
        <v>0</v>
      </c>
    </row>
    <row r="57" spans="1:41" ht="15" customHeight="1" x14ac:dyDescent="0.35">
      <c r="A57"/>
      <c r="B57" s="410">
        <f>2*(ROW()-29)+1</f>
        <v>57</v>
      </c>
      <c r="C57" s="663"/>
      <c r="D57" s="664"/>
      <c r="E57" s="411"/>
      <c r="F57" s="16" t="str" cm="1">
        <f t="array" ref="F57">IF($AN57=1,"-",IF($G57="Spare",IF($AM57&lt;&gt;"",$AM57,20),IF(OR($G57="",$G57="Space",$AF57&lt;=0),"",IFERROR(INDEX(OCPD_List,MATCH($AF57,OCPD_List,1)+IF(INDEX(OCPD_List,MATCH($AF57,OCPD_List,1))&gt;=$AF57,0,1)),15))))</f>
        <v/>
      </c>
      <c r="G57" s="412" t="str" cm="1">
        <f t="array" ref="G57">IF($AN57=1,"-",IF(COUNT($O57:$W57)=0,IF(UPPER(TRIM($C57))="SPARE","Spare","Space"),IF(COUNTIF($O57:$W57,"&gt;0")&gt;1,"COMB",CHOOSE(MATCH(TRUE,INDEX($O57:$W57&lt;&gt;"",0),0),"Lighting","Receptacle","Motor","HVAC","Electric Heat","Kitchen Equip","Continuous (Other)","Non-Continuous","Panel"))))</f>
        <v>Space</v>
      </c>
      <c r="H57" s="30" t="str">
        <f t="shared" si="10"/>
        <v/>
      </c>
      <c r="I57" s="411"/>
      <c r="J57" s="411"/>
      <c r="K57" s="320" t="str" cm="1">
        <f t="array" ref="K57">IF(OR(Tog_VD&lt;&gt;"ON",$AD57=0,$AG57=0,$J57=0,$J57="",$AB57=0),"",(IF($E57=3,SQRT3,2)*BranchK*$AD57*$J57/(INDEX(INDEX(Cond_Table,0,2),$AG57)*MAX(1,$AO57)))/$AB57)</f>
        <v/>
      </c>
      <c r="L57" s="16" t="str" cm="1">
        <f t="array" ref="L57">IF(OR(Tog_Wire&lt;&gt;"ON",$AG57=0),"",IFERROR(IF($AO57&gt;1,"("&amp;$AO57&amp;") ","")&amp;"#"&amp;INDEX(Cond_Size,$AG57)&amp;" | #"&amp;INDEX(Cond_Size,MIN($AG57,MAX(Min_Cond_Pos,MATCH(TRUE,INDEX(Cond_Table,0,2)&gt;=INDEX(INDEX(Cond_Table,0,2),MATCH(INDEX(INDEX(EGC_Table,0,IF(Cfg_BranchMat="Cu",2,3)),MATCH(TRUE,INDEX(EGC_Table,0,1)&gt;=$F57,0)),Cond_Size,0))*INDEX(INDEX(Cond_Table,0,2),$AG57)/INDEX(INDEX(Cond_Table,0,2),MAX(Min_Cond_Pos,MATCH(TRUE,INDEX(Cond_Table,0,IF($AE57&lt;=100,BranchCol60,BranchAmpCol))&gt;=$AE57/MAX(1,$AO57),0))),0))))&amp;"G",""))</f>
        <v/>
      </c>
      <c r="M57" s="413"/>
      <c r="O57" s="217"/>
      <c r="P57" s="218"/>
      <c r="Q57" s="218"/>
      <c r="R57" s="218"/>
      <c r="S57" s="218"/>
      <c r="T57" s="218"/>
      <c r="U57" s="218"/>
      <c r="V57" s="218"/>
      <c r="W57" s="219"/>
      <c r="X57"/>
      <c r="Y57" s="414">
        <f t="shared" si="0"/>
        <v>0</v>
      </c>
      <c r="Z57" s="415">
        <f t="shared" si="1"/>
        <v>0</v>
      </c>
      <c r="AA57" s="31" t="str">
        <f t="shared" si="2"/>
        <v>NONE</v>
      </c>
      <c r="AB57" s="31" t="str">
        <f t="shared" si="11"/>
        <v/>
      </c>
      <c r="AC57" s="526">
        <f t="shared" si="3"/>
        <v>0</v>
      </c>
      <c r="AD57" s="415">
        <f t="shared" si="4"/>
        <v>0</v>
      </c>
      <c r="AE57" s="415">
        <f t="shared" si="12"/>
        <v>0</v>
      </c>
      <c r="AF57" s="415">
        <f t="shared" si="13"/>
        <v>0</v>
      </c>
      <c r="AG57" s="31" cm="1">
        <f t="array" ref="AG57">IF($AE57&lt;=0,0,IFERROR(_xlfn.LET(_xlpm.n,MAX(1,$AO57),_xlpm.i,$AE57/_xlpm.n,MIN(Max_Cond_Pos,MAX(Min_Cond_Pos,IF(_xlpm.n&gt;1,Par_Min_Pos,1),MATCH(TRUE,INDEX(Cond_Table,0,IF(_xlpm.i&lt;=100,BranchCol60,BranchAmpCol))&gt;=_xlpm.i,0),IF(OR(Tog_VD&lt;&gt;"ON",$J57=0,$J57="",$AB57=0),0,MATCH(TRUE,INDEX(Cond_Table,0,2)&gt;=IF($E57=3,SQRT3,2)*BranchK*$AD57*$J57/($AQ$22*$AB57*_xlpm.n),0))))),0))</f>
        <v>0</v>
      </c>
      <c r="AH57" s="415">
        <f t="shared" si="5"/>
        <v>0</v>
      </c>
      <c r="AI57" s="31">
        <f t="shared" si="6"/>
        <v>1</v>
      </c>
      <c r="AJ57" s="415">
        <f t="shared" si="7"/>
        <v>0</v>
      </c>
      <c r="AK57" s="415">
        <f t="shared" si="8"/>
        <v>0</v>
      </c>
      <c r="AL57" s="415">
        <f t="shared" si="9"/>
        <v>0</v>
      </c>
      <c r="AN57" s="31">
        <f t="shared" si="14"/>
        <v>0</v>
      </c>
      <c r="AO57" s="563" cm="1">
        <f t="array" ref="AO57">IF($AE57&lt;=0,0,IFERROR(_xlfn.LET(_xlpm.col,IF($AE57&lt;=100,BranchCol60,BranchAmpCol),_xlpm.nA,ROUNDUP($AE57/INDEX(Cond_Table,Max_Cond_Pos,_xlpm.col),0),_xlpm.cm,IF(OR(Tog_VD&lt;&gt;"ON",$J57=0,$J57="",$AB57=0),0,IF($E57=3,SQRT3,2)*BranchK*$AD57*$J57/($AQ$22*$AB57)),_xlpm.nV,ROUNDUP(_xlpm.cm/INDEX(Cond_Table,Max_Cond_Pos,2),0),MAX(1,_xlpm.nA,_xlpm.nV)),1))</f>
        <v>0</v>
      </c>
    </row>
    <row r="58" spans="1:41" ht="15" customHeight="1" x14ac:dyDescent="0.35">
      <c r="A58"/>
      <c r="B58" s="410">
        <f>2*(ROW()-29)+1</f>
        <v>59</v>
      </c>
      <c r="C58" s="663"/>
      <c r="D58" s="664"/>
      <c r="E58" s="411"/>
      <c r="F58" s="16" t="str" cm="1">
        <f t="array" ref="F58">IF($AN58=1,"-",IF($G58="Spare",IF($AM58&lt;&gt;"",$AM58,20),IF(OR($G58="",$G58="Space",$AF58&lt;=0),"",IFERROR(INDEX(OCPD_List,MATCH($AF58,OCPD_List,1)+IF(INDEX(OCPD_List,MATCH($AF58,OCPD_List,1))&gt;=$AF58,0,1)),15))))</f>
        <v/>
      </c>
      <c r="G58" s="412" t="str" cm="1">
        <f t="array" ref="G58">IF($AN58=1,"-",IF(COUNT($O58:$W58)=0,IF(UPPER(TRIM($C58))="SPARE","Spare","Space"),IF(COUNTIF($O58:$W58,"&gt;0")&gt;1,"COMB",CHOOSE(MATCH(TRUE,INDEX($O58:$W58&lt;&gt;"",0),0),"Lighting","Receptacle","Motor","HVAC","Electric Heat","Kitchen Equip","Continuous (Other)","Non-Continuous","Panel"))))</f>
        <v>Space</v>
      </c>
      <c r="H58" s="30" t="str">
        <f t="shared" si="10"/>
        <v/>
      </c>
      <c r="I58" s="411"/>
      <c r="J58" s="411"/>
      <c r="K58" s="320" t="str" cm="1">
        <f t="array" ref="K58">IF(OR(Tog_VD&lt;&gt;"ON",$AD58=0,$AG58=0,$J58=0,$J58="",$AB58=0),"",(IF($E58=3,SQRT3,2)*BranchK*$AD58*$J58/(INDEX(INDEX(Cond_Table,0,2),$AG58)*MAX(1,$AO58)))/$AB58)</f>
        <v/>
      </c>
      <c r="L58" s="16" t="str" cm="1">
        <f t="array" ref="L58">IF(OR(Tog_Wire&lt;&gt;"ON",$AG58=0),"",IFERROR(IF($AO58&gt;1,"("&amp;$AO58&amp;") ","")&amp;"#"&amp;INDEX(Cond_Size,$AG58)&amp;" | #"&amp;INDEX(Cond_Size,MIN($AG58,MAX(Min_Cond_Pos,MATCH(TRUE,INDEX(Cond_Table,0,2)&gt;=INDEX(INDEX(Cond_Table,0,2),MATCH(INDEX(INDEX(EGC_Table,0,IF(Cfg_BranchMat="Cu",2,3)),MATCH(TRUE,INDEX(EGC_Table,0,1)&gt;=$F58,0)),Cond_Size,0))*INDEX(INDEX(Cond_Table,0,2),$AG58)/INDEX(INDEX(Cond_Table,0,2),MAX(Min_Cond_Pos,MATCH(TRUE,INDEX(Cond_Table,0,IF($AE58&lt;=100,BranchCol60,BranchAmpCol))&gt;=$AE58/MAX(1,$AO58),0))),0))))&amp;"G",""))</f>
        <v/>
      </c>
      <c r="M58" s="413"/>
      <c r="O58" s="217"/>
      <c r="P58" s="218"/>
      <c r="Q58" s="218"/>
      <c r="R58" s="218"/>
      <c r="S58" s="218"/>
      <c r="T58" s="218"/>
      <c r="U58" s="218"/>
      <c r="V58" s="218"/>
      <c r="W58" s="219"/>
      <c r="X58"/>
      <c r="Y58" s="414">
        <f t="shared" si="0"/>
        <v>0</v>
      </c>
      <c r="Z58" s="415">
        <f t="shared" si="1"/>
        <v>0</v>
      </c>
      <c r="AA58" s="31" t="str">
        <f t="shared" si="2"/>
        <v>NONE</v>
      </c>
      <c r="AB58" s="31" t="str">
        <f t="shared" si="11"/>
        <v/>
      </c>
      <c r="AC58" s="526">
        <f t="shared" si="3"/>
        <v>0</v>
      </c>
      <c r="AD58" s="415">
        <f t="shared" si="4"/>
        <v>0</v>
      </c>
      <c r="AE58" s="415">
        <f t="shared" si="12"/>
        <v>0</v>
      </c>
      <c r="AF58" s="415">
        <f t="shared" si="13"/>
        <v>0</v>
      </c>
      <c r="AG58" s="31" cm="1">
        <f t="array" ref="AG58">IF($AE58&lt;=0,0,IFERROR(_xlfn.LET(_xlpm.n,MAX(1,$AO58),_xlpm.i,$AE58/_xlpm.n,MIN(Max_Cond_Pos,MAX(Min_Cond_Pos,IF(_xlpm.n&gt;1,Par_Min_Pos,1),MATCH(TRUE,INDEX(Cond_Table,0,IF(_xlpm.i&lt;=100,BranchCol60,BranchAmpCol))&gt;=_xlpm.i,0),IF(OR(Tog_VD&lt;&gt;"ON",$J58=0,$J58="",$AB58=0),0,MATCH(TRUE,INDEX(Cond_Table,0,2)&gt;=IF($E58=3,SQRT3,2)*BranchK*$AD58*$J58/($AQ$22*$AB58*_xlpm.n),0))))),0))</f>
        <v>0</v>
      </c>
      <c r="AH58" s="415">
        <f t="shared" si="5"/>
        <v>0</v>
      </c>
      <c r="AI58" s="31">
        <f t="shared" si="6"/>
        <v>2</v>
      </c>
      <c r="AJ58" s="415">
        <f t="shared" si="7"/>
        <v>0</v>
      </c>
      <c r="AK58" s="415">
        <f t="shared" si="8"/>
        <v>0</v>
      </c>
      <c r="AL58" s="415">
        <f t="shared" si="9"/>
        <v>0</v>
      </c>
      <c r="AN58" s="31">
        <f t="shared" si="14"/>
        <v>0</v>
      </c>
      <c r="AO58" s="563" cm="1">
        <f t="array" ref="AO58">IF($AE58&lt;=0,0,IFERROR(_xlfn.LET(_xlpm.col,IF($AE58&lt;=100,BranchCol60,BranchAmpCol),_xlpm.nA,ROUNDUP($AE58/INDEX(Cond_Table,Max_Cond_Pos,_xlpm.col),0),_xlpm.cm,IF(OR(Tog_VD&lt;&gt;"ON",$J58=0,$J58="",$AB58=0),0,IF($E58=3,SQRT3,2)*BranchK*$AD58*$J58/($AQ$22*$AB58)),_xlpm.nV,ROUNDUP(_xlpm.cm/INDEX(Cond_Table,Max_Cond_Pos,2),0),MAX(1,_xlpm.nA,_xlpm.nV)),1))</f>
        <v>0</v>
      </c>
    </row>
    <row r="59" spans="1:41" ht="15" customHeight="1" x14ac:dyDescent="0.35">
      <c r="A59"/>
      <c r="B59" s="410">
        <f>2*(ROW()-29)+1</f>
        <v>61</v>
      </c>
      <c r="C59" s="663"/>
      <c r="D59" s="664"/>
      <c r="E59" s="411"/>
      <c r="F59" s="16" t="str" cm="1">
        <f t="array" ref="F59">IF($AN59=1,"-",IF($G59="Spare",IF($AM59&lt;&gt;"",$AM59,20),IF(OR($G59="",$G59="Space",$AF59&lt;=0),"",IFERROR(INDEX(OCPD_List,MATCH($AF59,OCPD_List,1)+IF(INDEX(OCPD_List,MATCH($AF59,OCPD_List,1))&gt;=$AF59,0,1)),15))))</f>
        <v/>
      </c>
      <c r="G59" s="412" t="str" cm="1">
        <f t="array" ref="G59">IF($AN59=1,"-",IF(COUNT($O59:$W59)=0,IF(UPPER(TRIM($C59))="SPARE","Spare","Space"),IF(COUNTIF($O59:$W59,"&gt;0")&gt;1,"COMB",CHOOSE(MATCH(TRUE,INDEX($O59:$W59&lt;&gt;"",0),0),"Lighting","Receptacle","Motor","HVAC","Electric Heat","Kitchen Equip","Continuous (Other)","Non-Continuous","Panel"))))</f>
        <v>Space</v>
      </c>
      <c r="H59" s="30" t="str">
        <f t="shared" si="10"/>
        <v/>
      </c>
      <c r="I59" s="411"/>
      <c r="J59" s="411"/>
      <c r="K59" s="320" t="str" cm="1">
        <f t="array" ref="K59">IF(OR(Tog_VD&lt;&gt;"ON",$AD59=0,$AG59=0,$J59=0,$J59="",$AB59=0),"",(IF($E59=3,SQRT3,2)*BranchK*$AD59*$J59/(INDEX(INDEX(Cond_Table,0,2),$AG59)*MAX(1,$AO59)))/$AB59)</f>
        <v/>
      </c>
      <c r="L59" s="16" t="str" cm="1">
        <f t="array" ref="L59">IF(OR(Tog_Wire&lt;&gt;"ON",$AG59=0),"",IFERROR(IF($AO59&gt;1,"("&amp;$AO59&amp;") ","")&amp;"#"&amp;INDEX(Cond_Size,$AG59)&amp;" | #"&amp;INDEX(Cond_Size,MIN($AG59,MAX(Min_Cond_Pos,MATCH(TRUE,INDEX(Cond_Table,0,2)&gt;=INDEX(INDEX(Cond_Table,0,2),MATCH(INDEX(INDEX(EGC_Table,0,IF(Cfg_BranchMat="Cu",2,3)),MATCH(TRUE,INDEX(EGC_Table,0,1)&gt;=$F59,0)),Cond_Size,0))*INDEX(INDEX(Cond_Table,0,2),$AG59)/INDEX(INDEX(Cond_Table,0,2),MAX(Min_Cond_Pos,MATCH(TRUE,INDEX(Cond_Table,0,IF($AE59&lt;=100,BranchCol60,BranchAmpCol))&gt;=$AE59/MAX(1,$AO59),0))),0))))&amp;"G",""))</f>
        <v/>
      </c>
      <c r="M59" s="413"/>
      <c r="O59" s="217"/>
      <c r="P59" s="218"/>
      <c r="Q59" s="218"/>
      <c r="R59" s="218"/>
      <c r="S59" s="218"/>
      <c r="T59" s="218"/>
      <c r="U59" s="218"/>
      <c r="V59" s="218"/>
      <c r="W59" s="219"/>
      <c r="X59"/>
      <c r="Y59" s="414">
        <f t="shared" si="0"/>
        <v>0</v>
      </c>
      <c r="Z59" s="415">
        <f t="shared" si="1"/>
        <v>0</v>
      </c>
      <c r="AA59" s="31" t="str">
        <f t="shared" si="2"/>
        <v>NONE</v>
      </c>
      <c r="AB59" s="31" t="str">
        <f t="shared" si="11"/>
        <v/>
      </c>
      <c r="AC59" s="526">
        <f t="shared" si="3"/>
        <v>0</v>
      </c>
      <c r="AD59" s="415">
        <f t="shared" si="4"/>
        <v>0</v>
      </c>
      <c r="AE59" s="415">
        <f t="shared" si="12"/>
        <v>0</v>
      </c>
      <c r="AF59" s="415">
        <f t="shared" si="13"/>
        <v>0</v>
      </c>
      <c r="AG59" s="31" cm="1">
        <f t="array" ref="AG59">IF($AE59&lt;=0,0,IFERROR(_xlfn.LET(_xlpm.n,MAX(1,$AO59),_xlpm.i,$AE59/_xlpm.n,MIN(Max_Cond_Pos,MAX(Min_Cond_Pos,IF(_xlpm.n&gt;1,Par_Min_Pos,1),MATCH(TRUE,INDEX(Cond_Table,0,IF(_xlpm.i&lt;=100,BranchCol60,BranchAmpCol))&gt;=_xlpm.i,0),IF(OR(Tog_VD&lt;&gt;"ON",$J59=0,$J59="",$AB59=0),0,MATCH(TRUE,INDEX(Cond_Table,0,2)&gt;=IF($E59=3,SQRT3,2)*BranchK*$AD59*$J59/($AQ$22*$AB59*_xlpm.n),0))))),0))</f>
        <v>0</v>
      </c>
      <c r="AH59" s="415">
        <f t="shared" si="5"/>
        <v>0</v>
      </c>
      <c r="AI59" s="31">
        <f t="shared" si="6"/>
        <v>0</v>
      </c>
      <c r="AJ59" s="415">
        <f t="shared" si="7"/>
        <v>0</v>
      </c>
      <c r="AK59" s="415">
        <f t="shared" si="8"/>
        <v>0</v>
      </c>
      <c r="AL59" s="415">
        <f t="shared" si="9"/>
        <v>0</v>
      </c>
      <c r="AN59" s="31">
        <f t="shared" si="14"/>
        <v>0</v>
      </c>
      <c r="AO59" s="563" cm="1">
        <f t="array" ref="AO59">IF($AE59&lt;=0,0,IFERROR(_xlfn.LET(_xlpm.col,IF($AE59&lt;=100,BranchCol60,BranchAmpCol),_xlpm.nA,ROUNDUP($AE59/INDEX(Cond_Table,Max_Cond_Pos,_xlpm.col),0),_xlpm.cm,IF(OR(Tog_VD&lt;&gt;"ON",$J59=0,$J59="",$AB59=0),0,IF($E59=3,SQRT3,2)*BranchK*$AD59*$J59/($AQ$22*$AB59)),_xlpm.nV,ROUNDUP(_xlpm.cm/INDEX(Cond_Table,Max_Cond_Pos,2),0),MAX(1,_xlpm.nA,_xlpm.nV)),1))</f>
        <v>0</v>
      </c>
    </row>
    <row r="60" spans="1:41" ht="15" customHeight="1" x14ac:dyDescent="0.35">
      <c r="A60"/>
      <c r="B60" s="410">
        <f>2*(ROW()-29)+1</f>
        <v>63</v>
      </c>
      <c r="C60" s="663"/>
      <c r="D60" s="664"/>
      <c r="E60" s="411"/>
      <c r="F60" s="16" t="str" cm="1">
        <f t="array" ref="F60">IF($AN60=1,"-",IF($G60="Spare",IF($AM60&lt;&gt;"",$AM60,20),IF(OR($G60="",$G60="Space",$AF60&lt;=0),"",IFERROR(INDEX(OCPD_List,MATCH($AF60,OCPD_List,1)+IF(INDEX(OCPD_List,MATCH($AF60,OCPD_List,1))&gt;=$AF60,0,1)),15))))</f>
        <v/>
      </c>
      <c r="G60" s="412" t="str" cm="1">
        <f t="array" ref="G60">IF($AN60=1,"-",IF(COUNT($O60:$W60)=0,IF(UPPER(TRIM($C60))="SPARE","Spare","Space"),IF(COUNTIF($O60:$W60,"&gt;0")&gt;1,"COMB",CHOOSE(MATCH(TRUE,INDEX($O60:$W60&lt;&gt;"",0),0),"Lighting","Receptacle","Motor","HVAC","Electric Heat","Kitchen Equip","Continuous (Other)","Non-Continuous","Panel"))))</f>
        <v>Space</v>
      </c>
      <c r="H60" s="30" t="str">
        <f t="shared" si="10"/>
        <v/>
      </c>
      <c r="I60" s="411"/>
      <c r="J60" s="411"/>
      <c r="K60" s="320" t="str" cm="1">
        <f t="array" ref="K60">IF(OR(Tog_VD&lt;&gt;"ON",$AD60=0,$AG60=0,$J60=0,$J60="",$AB60=0),"",(IF($E60=3,SQRT3,2)*BranchK*$AD60*$J60/(INDEX(INDEX(Cond_Table,0,2),$AG60)*MAX(1,$AO60)))/$AB60)</f>
        <v/>
      </c>
      <c r="L60" s="16" t="str" cm="1">
        <f t="array" ref="L60">IF(OR(Tog_Wire&lt;&gt;"ON",$AG60=0),"",IFERROR(IF($AO60&gt;1,"("&amp;$AO60&amp;") ","")&amp;"#"&amp;INDEX(Cond_Size,$AG60)&amp;" | #"&amp;INDEX(Cond_Size,MIN($AG60,MAX(Min_Cond_Pos,MATCH(TRUE,INDEX(Cond_Table,0,2)&gt;=INDEX(INDEX(Cond_Table,0,2),MATCH(INDEX(INDEX(EGC_Table,0,IF(Cfg_BranchMat="Cu",2,3)),MATCH(TRUE,INDEX(EGC_Table,0,1)&gt;=$F60,0)),Cond_Size,0))*INDEX(INDEX(Cond_Table,0,2),$AG60)/INDEX(INDEX(Cond_Table,0,2),MAX(Min_Cond_Pos,MATCH(TRUE,INDEX(Cond_Table,0,IF($AE60&lt;=100,BranchCol60,BranchAmpCol))&gt;=$AE60/MAX(1,$AO60),0))),0))))&amp;"G",""))</f>
        <v/>
      </c>
      <c r="M60" s="413"/>
      <c r="O60" s="217"/>
      <c r="P60" s="218"/>
      <c r="Q60" s="218"/>
      <c r="R60" s="218"/>
      <c r="S60" s="218"/>
      <c r="T60" s="218"/>
      <c r="U60" s="218"/>
      <c r="V60" s="218"/>
      <c r="W60" s="219"/>
      <c r="X60"/>
      <c r="Y60" s="414">
        <f t="shared" si="0"/>
        <v>0</v>
      </c>
      <c r="Z60" s="415">
        <f t="shared" si="1"/>
        <v>0</v>
      </c>
      <c r="AA60" s="31" t="str">
        <f t="shared" si="2"/>
        <v>NONE</v>
      </c>
      <c r="AB60" s="31" t="str">
        <f t="shared" si="11"/>
        <v/>
      </c>
      <c r="AC60" s="526">
        <f t="shared" si="3"/>
        <v>0</v>
      </c>
      <c r="AD60" s="415">
        <f t="shared" si="4"/>
        <v>0</v>
      </c>
      <c r="AE60" s="415">
        <f t="shared" si="12"/>
        <v>0</v>
      </c>
      <c r="AF60" s="415">
        <f t="shared" si="13"/>
        <v>0</v>
      </c>
      <c r="AG60" s="31" cm="1">
        <f t="array" ref="AG60">IF($AE60&lt;=0,0,IFERROR(_xlfn.LET(_xlpm.n,MAX(1,$AO60),_xlpm.i,$AE60/_xlpm.n,MIN(Max_Cond_Pos,MAX(Min_Cond_Pos,IF(_xlpm.n&gt;1,Par_Min_Pos,1),MATCH(TRUE,INDEX(Cond_Table,0,IF(_xlpm.i&lt;=100,BranchCol60,BranchAmpCol))&gt;=_xlpm.i,0),IF(OR(Tog_VD&lt;&gt;"ON",$J60=0,$J60="",$AB60=0),0,MATCH(TRUE,INDEX(Cond_Table,0,2)&gt;=IF($E60=3,SQRT3,2)*BranchK*$AD60*$J60/($AQ$22*$AB60*_xlpm.n),0))))),0))</f>
        <v>0</v>
      </c>
      <c r="AH60" s="415">
        <f t="shared" si="5"/>
        <v>0</v>
      </c>
      <c r="AI60" s="31">
        <f t="shared" si="6"/>
        <v>1</v>
      </c>
      <c r="AJ60" s="415">
        <f t="shared" si="7"/>
        <v>0</v>
      </c>
      <c r="AK60" s="415">
        <f t="shared" si="8"/>
        <v>0</v>
      </c>
      <c r="AL60" s="415">
        <f t="shared" si="9"/>
        <v>0</v>
      </c>
      <c r="AN60" s="31">
        <f t="shared" si="14"/>
        <v>0</v>
      </c>
      <c r="AO60" s="563" cm="1">
        <f t="array" ref="AO60">IF($AE60&lt;=0,0,IFERROR(_xlfn.LET(_xlpm.col,IF($AE60&lt;=100,BranchCol60,BranchAmpCol),_xlpm.nA,ROUNDUP($AE60/INDEX(Cond_Table,Max_Cond_Pos,_xlpm.col),0),_xlpm.cm,IF(OR(Tog_VD&lt;&gt;"ON",$J60=0,$J60="",$AB60=0),0,IF($E60=3,SQRT3,2)*BranchK*$AD60*$J60/($AQ$22*$AB60)),_xlpm.nV,ROUNDUP(_xlpm.cm/INDEX(Cond_Table,Max_Cond_Pos,2),0),MAX(1,_xlpm.nA,_xlpm.nV)),1))</f>
        <v>0</v>
      </c>
    </row>
    <row r="61" spans="1:41" ht="15" customHeight="1" x14ac:dyDescent="0.35">
      <c r="A61"/>
      <c r="B61" s="410">
        <f>2*(ROW()-29)+1</f>
        <v>65</v>
      </c>
      <c r="C61" s="663"/>
      <c r="D61" s="664"/>
      <c r="E61" s="411"/>
      <c r="F61" s="16" t="str" cm="1">
        <f t="array" ref="F61">IF($AN61=1,"-",IF($G61="Spare",IF($AM61&lt;&gt;"",$AM61,20),IF(OR($G61="",$G61="Space",$AF61&lt;=0),"",IFERROR(INDEX(OCPD_List,MATCH($AF61,OCPD_List,1)+IF(INDEX(OCPD_List,MATCH($AF61,OCPD_List,1))&gt;=$AF61,0,1)),15))))</f>
        <v/>
      </c>
      <c r="G61" s="412" t="str" cm="1">
        <f t="array" ref="G61">IF($AN61=1,"-",IF(COUNT($O61:$W61)=0,IF(UPPER(TRIM($C61))="SPARE","Spare","Space"),IF(COUNTIF($O61:$W61,"&gt;0")&gt;1,"COMB",CHOOSE(MATCH(TRUE,INDEX($O61:$W61&lt;&gt;"",0),0),"Lighting","Receptacle","Motor","HVAC","Electric Heat","Kitchen Equip","Continuous (Other)","Non-Continuous","Panel"))))</f>
        <v>Space</v>
      </c>
      <c r="H61" s="30" t="str">
        <f t="shared" si="10"/>
        <v/>
      </c>
      <c r="I61" s="411"/>
      <c r="J61" s="411"/>
      <c r="K61" s="320" t="str" cm="1">
        <f t="array" ref="K61">IF(OR(Tog_VD&lt;&gt;"ON",$AD61=0,$AG61=0,$J61=0,$J61="",$AB61=0),"",(IF($E61=3,SQRT3,2)*BranchK*$AD61*$J61/(INDEX(INDEX(Cond_Table,0,2),$AG61)*MAX(1,$AO61)))/$AB61)</f>
        <v/>
      </c>
      <c r="L61" s="16" t="str" cm="1">
        <f t="array" ref="L61">IF(OR(Tog_Wire&lt;&gt;"ON",$AG61=0),"",IFERROR(IF($AO61&gt;1,"("&amp;$AO61&amp;") ","")&amp;"#"&amp;INDEX(Cond_Size,$AG61)&amp;" | #"&amp;INDEX(Cond_Size,MIN($AG61,MAX(Min_Cond_Pos,MATCH(TRUE,INDEX(Cond_Table,0,2)&gt;=INDEX(INDEX(Cond_Table,0,2),MATCH(INDEX(INDEX(EGC_Table,0,IF(Cfg_BranchMat="Cu",2,3)),MATCH(TRUE,INDEX(EGC_Table,0,1)&gt;=$F61,0)),Cond_Size,0))*INDEX(INDEX(Cond_Table,0,2),$AG61)/INDEX(INDEX(Cond_Table,0,2),MAX(Min_Cond_Pos,MATCH(TRUE,INDEX(Cond_Table,0,IF($AE61&lt;=100,BranchCol60,BranchAmpCol))&gt;=$AE61/MAX(1,$AO61),0))),0))))&amp;"G",""))</f>
        <v/>
      </c>
      <c r="M61" s="413"/>
      <c r="O61" s="217"/>
      <c r="P61" s="218"/>
      <c r="Q61" s="218"/>
      <c r="R61" s="218"/>
      <c r="S61" s="218"/>
      <c r="T61" s="218"/>
      <c r="U61" s="218"/>
      <c r="V61" s="218"/>
      <c r="W61" s="219"/>
      <c r="X61"/>
      <c r="Y61" s="414">
        <f t="shared" ref="Y61:Y92" si="15">IF($G61="",0,IFERROR(VLOOKUP($G61,Class_Table,3,FALSE),0))</f>
        <v>0</v>
      </c>
      <c r="Z61" s="415">
        <f t="shared" ref="Z61:Z92" si="16">IF($G61="COMB",IFERROR(SUMPRODUCT($O61:$W61,$Z$25:$AH$25)/SUM($O61:$W61),1),IF($G61="",0,IFERROR(VLOOKUP($G61,Class_Table,2,FALSE),0)))</f>
        <v>0</v>
      </c>
      <c r="AA61" s="31" t="str">
        <f t="shared" ref="AA61:AA92" si="17">IF($G61="","NONE",IFERROR(VLOOKUP($G61,Class_Table,4,FALSE),"NONE"))</f>
        <v>NONE</v>
      </c>
      <c r="AB61" s="31" t="str">
        <f t="shared" si="11"/>
        <v/>
      </c>
      <c r="AC61" s="526">
        <f t="shared" ref="AC61:AC92" si="18">IF($Y61=1,IF($AQ$29=1,IFERROR(VLOOKUP($I61,Motor1_Table,IF($AB61&lt;=120,2,3),FALSE),0),IFERROR(VLOOKUP($I61,Motor3_Table,IF($AQ$27&lt;=208,2,IF($AQ$27&lt;=240,3,IF($AQ$27&lt;=480,4,5))),FALSE),0)),0)</f>
        <v>0</v>
      </c>
      <c r="AD61" s="415">
        <f t="shared" ref="AD61:AD92" si="19">IF(OR($AN61=1,$G61="-",$G61="",$G61="Space",$G61="Spare"),0,IF($AM61&lt;&gt;"",$AM61,IF(AND($Y61=1,$AC61&gt;0),$AC61,IF($AB61=0,0,SUM($O61:$W61)*1000/($AB61*IF($E61=3,SQRT3,1))))))</f>
        <v>0</v>
      </c>
      <c r="AE61" s="415">
        <f t="shared" si="12"/>
        <v>0</v>
      </c>
      <c r="AF61" s="415">
        <f t="shared" si="13"/>
        <v>0</v>
      </c>
      <c r="AG61" s="31" cm="1">
        <f t="array" ref="AG61">IF($AE61&lt;=0,0,IFERROR(_xlfn.LET(_xlpm.n,MAX(1,$AO61),_xlpm.i,$AE61/_xlpm.n,MIN(Max_Cond_Pos,MAX(Min_Cond_Pos,IF(_xlpm.n&gt;1,Par_Min_Pos,1),MATCH(TRUE,INDEX(Cond_Table,0,IF(_xlpm.i&lt;=100,BranchCol60,BranchAmpCol))&gt;=_xlpm.i,0),IF(OR(Tog_VD&lt;&gt;"ON",$J61=0,$J61="",$AB61=0),0,MATCH(TRUE,INDEX(Cond_Table,0,2)&gt;=IF($E61=3,SQRT3,2)*BranchK*$AD61*$J61/($AQ$22*$AB61*_xlpm.n),0))))),0))</f>
        <v>0</v>
      </c>
      <c r="AH61" s="415">
        <f t="shared" ref="AH61:AH92" si="20">IF(OR($AN61=1,$AD61=0),0,IF($Y61=1,$AD61*$AB61*IF($E61=3,SQRT3,1)/1000,SUM($O61:$W61)))</f>
        <v>0</v>
      </c>
      <c r="AI61" s="31">
        <f t="shared" ref="AI61:AI92" si="21">MOD(CEILING($B61/2,1)-1,3)</f>
        <v>2</v>
      </c>
      <c r="AJ61" s="415">
        <f t="shared" ref="AJ61:AJ92" si="22">$AH61*IF($E61=3,1/3,IF($E61=2,IF(OR($AI61=0,MOD($AI61+1,3)=0),0.5,0),IF($AI61=0,1,0)))</f>
        <v>0</v>
      </c>
      <c r="AK61" s="415">
        <f t="shared" ref="AK61:AK92" si="23">$AH61*IF($E61=3,1/3,IF($E61=2,IF(OR($AI61=1,MOD($AI61+1,3)=1),0.5,0),IF($AI61=1,1,0)))</f>
        <v>0</v>
      </c>
      <c r="AL61" s="415">
        <f t="shared" ref="AL61:AL92" si="24">$AH61*IF($E61=3,1/3,IF($E61=2,IF(OR($AI61=2,MOD($AI61+1,3)=2),0.5,0),IF($AI61=2,1,0)))</f>
        <v>0</v>
      </c>
      <c r="AN61" s="31">
        <f t="shared" si="14"/>
        <v>0</v>
      </c>
      <c r="AO61" s="563" cm="1">
        <f t="array" ref="AO61">IF($AE61&lt;=0,0,IFERROR(_xlfn.LET(_xlpm.col,IF($AE61&lt;=100,BranchCol60,BranchAmpCol),_xlpm.nA,ROUNDUP($AE61/INDEX(Cond_Table,Max_Cond_Pos,_xlpm.col),0),_xlpm.cm,IF(OR(Tog_VD&lt;&gt;"ON",$J61=0,$J61="",$AB61=0),0,IF($E61=3,SQRT3,2)*BranchK*$AD61*$J61/($AQ$22*$AB61)),_xlpm.nV,ROUNDUP(_xlpm.cm/INDEX(Cond_Table,Max_Cond_Pos,2),0),MAX(1,_xlpm.nA,_xlpm.nV)),1))</f>
        <v>0</v>
      </c>
    </row>
    <row r="62" spans="1:41" ht="15" customHeight="1" x14ac:dyDescent="0.35">
      <c r="A62"/>
      <c r="B62" s="410">
        <f>2*(ROW()-29)+1</f>
        <v>67</v>
      </c>
      <c r="C62" s="663"/>
      <c r="D62" s="664"/>
      <c r="E62" s="411"/>
      <c r="F62" s="16" t="str" cm="1">
        <f t="array" ref="F62">IF($AN62=1,"-",IF($G62="Spare",IF($AM62&lt;&gt;"",$AM62,20),IF(OR($G62="",$G62="Space",$AF62&lt;=0),"",IFERROR(INDEX(OCPD_List,MATCH($AF62,OCPD_List,1)+IF(INDEX(OCPD_List,MATCH($AF62,OCPD_List,1))&gt;=$AF62,0,1)),15))))</f>
        <v/>
      </c>
      <c r="G62" s="412" t="str" cm="1">
        <f t="array" ref="G62">IF($AN62=1,"-",IF(COUNT($O62:$W62)=0,IF(UPPER(TRIM($C62))="SPARE","Spare","Space"),IF(COUNTIF($O62:$W62,"&gt;0")&gt;1,"COMB",CHOOSE(MATCH(TRUE,INDEX($O62:$W62&lt;&gt;"",0),0),"Lighting","Receptacle","Motor","HVAC","Electric Heat","Kitchen Equip","Continuous (Other)","Non-Continuous","Panel"))))</f>
        <v>Space</v>
      </c>
      <c r="H62" s="30" t="str">
        <f t="shared" si="10"/>
        <v/>
      </c>
      <c r="I62" s="411"/>
      <c r="J62" s="411"/>
      <c r="K62" s="320" t="str" cm="1">
        <f t="array" ref="K62">IF(OR(Tog_VD&lt;&gt;"ON",$AD62=0,$AG62=0,$J62=0,$J62="",$AB62=0),"",(IF($E62=3,SQRT3,2)*BranchK*$AD62*$J62/(INDEX(INDEX(Cond_Table,0,2),$AG62)*MAX(1,$AO62)))/$AB62)</f>
        <v/>
      </c>
      <c r="L62" s="16" t="str" cm="1">
        <f t="array" ref="L62">IF(OR(Tog_Wire&lt;&gt;"ON",$AG62=0),"",IFERROR(IF($AO62&gt;1,"("&amp;$AO62&amp;") ","")&amp;"#"&amp;INDEX(Cond_Size,$AG62)&amp;" | #"&amp;INDEX(Cond_Size,MIN($AG62,MAX(Min_Cond_Pos,MATCH(TRUE,INDEX(Cond_Table,0,2)&gt;=INDEX(INDEX(Cond_Table,0,2),MATCH(INDEX(INDEX(EGC_Table,0,IF(Cfg_BranchMat="Cu",2,3)),MATCH(TRUE,INDEX(EGC_Table,0,1)&gt;=$F62,0)),Cond_Size,0))*INDEX(INDEX(Cond_Table,0,2),$AG62)/INDEX(INDEX(Cond_Table,0,2),MAX(Min_Cond_Pos,MATCH(TRUE,INDEX(Cond_Table,0,IF($AE62&lt;=100,BranchCol60,BranchAmpCol))&gt;=$AE62/MAX(1,$AO62),0))),0))))&amp;"G",""))</f>
        <v/>
      </c>
      <c r="M62" s="413"/>
      <c r="O62" s="217"/>
      <c r="P62" s="218"/>
      <c r="Q62" s="218"/>
      <c r="R62" s="218"/>
      <c r="S62" s="218"/>
      <c r="T62" s="218"/>
      <c r="U62" s="218"/>
      <c r="V62" s="218"/>
      <c r="W62" s="219"/>
      <c r="X62"/>
      <c r="Y62" s="414">
        <f t="shared" si="15"/>
        <v>0</v>
      </c>
      <c r="Z62" s="415">
        <f t="shared" si="16"/>
        <v>0</v>
      </c>
      <c r="AA62" s="31" t="str">
        <f t="shared" si="17"/>
        <v>NONE</v>
      </c>
      <c r="AB62" s="31" t="str">
        <f t="shared" si="11"/>
        <v/>
      </c>
      <c r="AC62" s="526">
        <f t="shared" si="18"/>
        <v>0</v>
      </c>
      <c r="AD62" s="415">
        <f t="shared" si="19"/>
        <v>0</v>
      </c>
      <c r="AE62" s="415">
        <f t="shared" si="12"/>
        <v>0</v>
      </c>
      <c r="AF62" s="415">
        <f t="shared" si="13"/>
        <v>0</v>
      </c>
      <c r="AG62" s="31" cm="1">
        <f t="array" ref="AG62">IF($AE62&lt;=0,0,IFERROR(_xlfn.LET(_xlpm.n,MAX(1,$AO62),_xlpm.i,$AE62/_xlpm.n,MIN(Max_Cond_Pos,MAX(Min_Cond_Pos,IF(_xlpm.n&gt;1,Par_Min_Pos,1),MATCH(TRUE,INDEX(Cond_Table,0,IF(_xlpm.i&lt;=100,BranchCol60,BranchAmpCol))&gt;=_xlpm.i,0),IF(OR(Tog_VD&lt;&gt;"ON",$J62=0,$J62="",$AB62=0),0,MATCH(TRUE,INDEX(Cond_Table,0,2)&gt;=IF($E62=3,SQRT3,2)*BranchK*$AD62*$J62/($AQ$22*$AB62*_xlpm.n),0))))),0))</f>
        <v>0</v>
      </c>
      <c r="AH62" s="415">
        <f t="shared" si="20"/>
        <v>0</v>
      </c>
      <c r="AI62" s="31">
        <f t="shared" si="21"/>
        <v>0</v>
      </c>
      <c r="AJ62" s="415">
        <f t="shared" si="22"/>
        <v>0</v>
      </c>
      <c r="AK62" s="415">
        <f t="shared" si="23"/>
        <v>0</v>
      </c>
      <c r="AL62" s="415">
        <f t="shared" si="24"/>
        <v>0</v>
      </c>
      <c r="AN62" s="31">
        <f t="shared" si="14"/>
        <v>0</v>
      </c>
      <c r="AO62" s="563" cm="1">
        <f t="array" ref="AO62">IF($AE62&lt;=0,0,IFERROR(_xlfn.LET(_xlpm.col,IF($AE62&lt;=100,BranchCol60,BranchAmpCol),_xlpm.nA,ROUNDUP($AE62/INDEX(Cond_Table,Max_Cond_Pos,_xlpm.col),0),_xlpm.cm,IF(OR(Tog_VD&lt;&gt;"ON",$J62=0,$J62="",$AB62=0),0,IF($E62=3,SQRT3,2)*BranchK*$AD62*$J62/($AQ$22*$AB62)),_xlpm.nV,ROUNDUP(_xlpm.cm/INDEX(Cond_Table,Max_Cond_Pos,2),0),MAX(1,_xlpm.nA,_xlpm.nV)),1))</f>
        <v>0</v>
      </c>
    </row>
    <row r="63" spans="1:41" ht="15" customHeight="1" x14ac:dyDescent="0.35">
      <c r="A63"/>
      <c r="B63" s="410">
        <f>2*(ROW()-29)+1</f>
        <v>69</v>
      </c>
      <c r="C63" s="663"/>
      <c r="D63" s="664"/>
      <c r="E63" s="411"/>
      <c r="F63" s="16" t="str" cm="1">
        <f t="array" ref="F63">IF($AN63=1,"-",IF($G63="Spare",IF($AM63&lt;&gt;"",$AM63,20),IF(OR($G63="",$G63="Space",$AF63&lt;=0),"",IFERROR(INDEX(OCPD_List,MATCH($AF63,OCPD_List,1)+IF(INDEX(OCPD_List,MATCH($AF63,OCPD_List,1))&gt;=$AF63,0,1)),15))))</f>
        <v/>
      </c>
      <c r="G63" s="412" t="str" cm="1">
        <f t="array" ref="G63">IF($AN63=1,"-",IF(COUNT($O63:$W63)=0,IF(UPPER(TRIM($C63))="SPARE","Spare","Space"),IF(COUNTIF($O63:$W63,"&gt;0")&gt;1,"COMB",CHOOSE(MATCH(TRUE,INDEX($O63:$W63&lt;&gt;"",0),0),"Lighting","Receptacle","Motor","HVAC","Electric Heat","Kitchen Equip","Continuous (Other)","Non-Continuous","Panel"))))</f>
        <v>Space</v>
      </c>
      <c r="H63" s="30" t="str">
        <f t="shared" si="10"/>
        <v/>
      </c>
      <c r="I63" s="411"/>
      <c r="J63" s="411"/>
      <c r="K63" s="320" t="str" cm="1">
        <f t="array" ref="K63">IF(OR(Tog_VD&lt;&gt;"ON",$AD63=0,$AG63=0,$J63=0,$J63="",$AB63=0),"",(IF($E63=3,SQRT3,2)*BranchK*$AD63*$J63/(INDEX(INDEX(Cond_Table,0,2),$AG63)*MAX(1,$AO63)))/$AB63)</f>
        <v/>
      </c>
      <c r="L63" s="16" t="str" cm="1">
        <f t="array" ref="L63">IF(OR(Tog_Wire&lt;&gt;"ON",$AG63=0),"",IFERROR(IF($AO63&gt;1,"("&amp;$AO63&amp;") ","")&amp;"#"&amp;INDEX(Cond_Size,$AG63)&amp;" | #"&amp;INDEX(Cond_Size,MIN($AG63,MAX(Min_Cond_Pos,MATCH(TRUE,INDEX(Cond_Table,0,2)&gt;=INDEX(INDEX(Cond_Table,0,2),MATCH(INDEX(INDEX(EGC_Table,0,IF(Cfg_BranchMat="Cu",2,3)),MATCH(TRUE,INDEX(EGC_Table,0,1)&gt;=$F63,0)),Cond_Size,0))*INDEX(INDEX(Cond_Table,0,2),$AG63)/INDEX(INDEX(Cond_Table,0,2),MAX(Min_Cond_Pos,MATCH(TRUE,INDEX(Cond_Table,0,IF($AE63&lt;=100,BranchCol60,BranchAmpCol))&gt;=$AE63/MAX(1,$AO63),0))),0))))&amp;"G",""))</f>
        <v/>
      </c>
      <c r="M63" s="413"/>
      <c r="O63" s="217"/>
      <c r="P63" s="218"/>
      <c r="Q63" s="218"/>
      <c r="R63" s="218"/>
      <c r="S63" s="218"/>
      <c r="T63" s="218"/>
      <c r="U63" s="218"/>
      <c r="V63" s="218"/>
      <c r="W63" s="219"/>
      <c r="X63"/>
      <c r="Y63" s="414">
        <f t="shared" si="15"/>
        <v>0</v>
      </c>
      <c r="Z63" s="415">
        <f t="shared" si="16"/>
        <v>0</v>
      </c>
      <c r="AA63" s="31" t="str">
        <f t="shared" si="17"/>
        <v>NONE</v>
      </c>
      <c r="AB63" s="31" t="str">
        <f t="shared" si="11"/>
        <v/>
      </c>
      <c r="AC63" s="526">
        <f t="shared" si="18"/>
        <v>0</v>
      </c>
      <c r="AD63" s="415">
        <f t="shared" si="19"/>
        <v>0</v>
      </c>
      <c r="AE63" s="415">
        <f t="shared" si="12"/>
        <v>0</v>
      </c>
      <c r="AF63" s="415">
        <f t="shared" si="13"/>
        <v>0</v>
      </c>
      <c r="AG63" s="31" cm="1">
        <f t="array" ref="AG63">IF($AE63&lt;=0,0,IFERROR(_xlfn.LET(_xlpm.n,MAX(1,$AO63),_xlpm.i,$AE63/_xlpm.n,MIN(Max_Cond_Pos,MAX(Min_Cond_Pos,IF(_xlpm.n&gt;1,Par_Min_Pos,1),MATCH(TRUE,INDEX(Cond_Table,0,IF(_xlpm.i&lt;=100,BranchCol60,BranchAmpCol))&gt;=_xlpm.i,0),IF(OR(Tog_VD&lt;&gt;"ON",$J63=0,$J63="",$AB63=0),0,MATCH(TRUE,INDEX(Cond_Table,0,2)&gt;=IF($E63=3,SQRT3,2)*BranchK*$AD63*$J63/($AQ$22*$AB63*_xlpm.n),0))))),0))</f>
        <v>0</v>
      </c>
      <c r="AH63" s="415">
        <f t="shared" si="20"/>
        <v>0</v>
      </c>
      <c r="AI63" s="31">
        <f t="shared" si="21"/>
        <v>1</v>
      </c>
      <c r="AJ63" s="415">
        <f t="shared" si="22"/>
        <v>0</v>
      </c>
      <c r="AK63" s="415">
        <f t="shared" si="23"/>
        <v>0</v>
      </c>
      <c r="AL63" s="415">
        <f t="shared" si="24"/>
        <v>0</v>
      </c>
      <c r="AN63" s="31">
        <f t="shared" si="14"/>
        <v>0</v>
      </c>
      <c r="AO63" s="563" cm="1">
        <f t="array" ref="AO63">IF($AE63&lt;=0,0,IFERROR(_xlfn.LET(_xlpm.col,IF($AE63&lt;=100,BranchCol60,BranchAmpCol),_xlpm.nA,ROUNDUP($AE63/INDEX(Cond_Table,Max_Cond_Pos,_xlpm.col),0),_xlpm.cm,IF(OR(Tog_VD&lt;&gt;"ON",$J63=0,$J63="",$AB63=0),0,IF($E63=3,SQRT3,2)*BranchK*$AD63*$J63/($AQ$22*$AB63)),_xlpm.nV,ROUNDUP(_xlpm.cm/INDEX(Cond_Table,Max_Cond_Pos,2),0),MAX(1,_xlpm.nA,_xlpm.nV)),1))</f>
        <v>0</v>
      </c>
    </row>
    <row r="64" spans="1:41" ht="15" customHeight="1" x14ac:dyDescent="0.35">
      <c r="A64"/>
      <c r="B64" s="410">
        <f>2*(ROW()-29)+1</f>
        <v>71</v>
      </c>
      <c r="C64" s="663"/>
      <c r="D64" s="664"/>
      <c r="E64" s="411"/>
      <c r="F64" s="16" t="str" cm="1">
        <f t="array" ref="F64">IF($AN64=1,"-",IF($G64="Spare",IF($AM64&lt;&gt;"",$AM64,20),IF(OR($G64="",$G64="Space",$AF64&lt;=0),"",IFERROR(INDEX(OCPD_List,MATCH($AF64,OCPD_List,1)+IF(INDEX(OCPD_List,MATCH($AF64,OCPD_List,1))&gt;=$AF64,0,1)),15))))</f>
        <v/>
      </c>
      <c r="G64" s="412" t="str" cm="1">
        <f t="array" ref="G64">IF($AN64=1,"-",IF(COUNT($O64:$W64)=0,IF(UPPER(TRIM($C64))="SPARE","Spare","Space"),IF(COUNTIF($O64:$W64,"&gt;0")&gt;1,"COMB",CHOOSE(MATCH(TRUE,INDEX($O64:$W64&lt;&gt;"",0),0),"Lighting","Receptacle","Motor","HVAC","Electric Heat","Kitchen Equip","Continuous (Other)","Non-Continuous","Panel"))))</f>
        <v>Space</v>
      </c>
      <c r="H64" s="30" t="str">
        <f t="shared" si="10"/>
        <v/>
      </c>
      <c r="I64" s="411"/>
      <c r="J64" s="411"/>
      <c r="K64" s="320" t="str" cm="1">
        <f t="array" ref="K64">IF(OR(Tog_VD&lt;&gt;"ON",$AD64=0,$AG64=0,$J64=0,$J64="",$AB64=0),"",(IF($E64=3,SQRT3,2)*BranchK*$AD64*$J64/(INDEX(INDEX(Cond_Table,0,2),$AG64)*MAX(1,$AO64)))/$AB64)</f>
        <v/>
      </c>
      <c r="L64" s="16" t="str" cm="1">
        <f t="array" ref="L64">IF(OR(Tog_Wire&lt;&gt;"ON",$AG64=0),"",IFERROR(IF($AO64&gt;1,"("&amp;$AO64&amp;") ","")&amp;"#"&amp;INDEX(Cond_Size,$AG64)&amp;" | #"&amp;INDEX(Cond_Size,MIN($AG64,MAX(Min_Cond_Pos,MATCH(TRUE,INDEX(Cond_Table,0,2)&gt;=INDEX(INDEX(Cond_Table,0,2),MATCH(INDEX(INDEX(EGC_Table,0,IF(Cfg_BranchMat="Cu",2,3)),MATCH(TRUE,INDEX(EGC_Table,0,1)&gt;=$F64,0)),Cond_Size,0))*INDEX(INDEX(Cond_Table,0,2),$AG64)/INDEX(INDEX(Cond_Table,0,2),MAX(Min_Cond_Pos,MATCH(TRUE,INDEX(Cond_Table,0,IF($AE64&lt;=100,BranchCol60,BranchAmpCol))&gt;=$AE64/MAX(1,$AO64),0))),0))))&amp;"G",""))</f>
        <v/>
      </c>
      <c r="M64" s="413"/>
      <c r="O64" s="217"/>
      <c r="P64" s="218"/>
      <c r="Q64" s="218"/>
      <c r="R64" s="218"/>
      <c r="S64" s="218"/>
      <c r="T64" s="218"/>
      <c r="U64" s="218"/>
      <c r="V64" s="218"/>
      <c r="W64" s="219"/>
      <c r="X64"/>
      <c r="Y64" s="414">
        <f t="shared" si="15"/>
        <v>0</v>
      </c>
      <c r="Z64" s="415">
        <f t="shared" si="16"/>
        <v>0</v>
      </c>
      <c r="AA64" s="31" t="str">
        <f t="shared" si="17"/>
        <v>NONE</v>
      </c>
      <c r="AB64" s="31" t="str">
        <f t="shared" si="11"/>
        <v/>
      </c>
      <c r="AC64" s="526">
        <f t="shared" si="18"/>
        <v>0</v>
      </c>
      <c r="AD64" s="415">
        <f t="shared" si="19"/>
        <v>0</v>
      </c>
      <c r="AE64" s="415">
        <f t="shared" si="12"/>
        <v>0</v>
      </c>
      <c r="AF64" s="415">
        <f t="shared" si="13"/>
        <v>0</v>
      </c>
      <c r="AG64" s="31" cm="1">
        <f t="array" ref="AG64">IF($AE64&lt;=0,0,IFERROR(_xlfn.LET(_xlpm.n,MAX(1,$AO64),_xlpm.i,$AE64/_xlpm.n,MIN(Max_Cond_Pos,MAX(Min_Cond_Pos,IF(_xlpm.n&gt;1,Par_Min_Pos,1),MATCH(TRUE,INDEX(Cond_Table,0,IF(_xlpm.i&lt;=100,BranchCol60,BranchAmpCol))&gt;=_xlpm.i,0),IF(OR(Tog_VD&lt;&gt;"ON",$J64=0,$J64="",$AB64=0),0,MATCH(TRUE,INDEX(Cond_Table,0,2)&gt;=IF($E64=3,SQRT3,2)*BranchK*$AD64*$J64/($AQ$22*$AB64*_xlpm.n),0))))),0))</f>
        <v>0</v>
      </c>
      <c r="AH64" s="415">
        <f t="shared" si="20"/>
        <v>0</v>
      </c>
      <c r="AI64" s="31">
        <f t="shared" si="21"/>
        <v>2</v>
      </c>
      <c r="AJ64" s="415">
        <f t="shared" si="22"/>
        <v>0</v>
      </c>
      <c r="AK64" s="415">
        <f t="shared" si="23"/>
        <v>0</v>
      </c>
      <c r="AL64" s="415">
        <f t="shared" si="24"/>
        <v>0</v>
      </c>
      <c r="AN64" s="31">
        <f t="shared" si="14"/>
        <v>0</v>
      </c>
      <c r="AO64" s="563" cm="1">
        <f t="array" ref="AO64">IF($AE64&lt;=0,0,IFERROR(_xlfn.LET(_xlpm.col,IF($AE64&lt;=100,BranchCol60,BranchAmpCol),_xlpm.nA,ROUNDUP($AE64/INDEX(Cond_Table,Max_Cond_Pos,_xlpm.col),0),_xlpm.cm,IF(OR(Tog_VD&lt;&gt;"ON",$J64=0,$J64="",$AB64=0),0,IF($E64=3,SQRT3,2)*BranchK*$AD64*$J64/($AQ$22*$AB64)),_xlpm.nV,ROUNDUP(_xlpm.cm/INDEX(Cond_Table,Max_Cond_Pos,2),0),MAX(1,_xlpm.nA,_xlpm.nV)),1))</f>
        <v>0</v>
      </c>
    </row>
    <row r="65" spans="1:51" ht="15" customHeight="1" x14ac:dyDescent="0.35">
      <c r="A65"/>
      <c r="B65" s="410">
        <f>2*(ROW()-29)+1</f>
        <v>73</v>
      </c>
      <c r="C65" s="663"/>
      <c r="D65" s="664"/>
      <c r="E65" s="411"/>
      <c r="F65" s="16" t="str" cm="1">
        <f t="array" ref="F65">IF($AN65=1,"-",IF($G65="Spare",IF($AM65&lt;&gt;"",$AM65,20),IF(OR($G65="",$G65="Space",$AF65&lt;=0),"",IFERROR(INDEX(OCPD_List,MATCH($AF65,OCPD_List,1)+IF(INDEX(OCPD_List,MATCH($AF65,OCPD_List,1))&gt;=$AF65,0,1)),15))))</f>
        <v/>
      </c>
      <c r="G65" s="412" t="str" cm="1">
        <f t="array" ref="G65">IF($AN65=1,"-",IF(COUNT($O65:$W65)=0,IF(UPPER(TRIM($C65))="SPARE","Spare","Space"),IF(COUNTIF($O65:$W65,"&gt;0")&gt;1,"COMB",CHOOSE(MATCH(TRUE,INDEX($O65:$W65&lt;&gt;"",0),0),"Lighting","Receptacle","Motor","HVAC","Electric Heat","Kitchen Equip","Continuous (Other)","Non-Continuous","Panel"))))</f>
        <v>Space</v>
      </c>
      <c r="H65" s="30" t="str">
        <f t="shared" si="10"/>
        <v/>
      </c>
      <c r="I65" s="411"/>
      <c r="J65" s="411"/>
      <c r="K65" s="320" t="str" cm="1">
        <f t="array" ref="K65">IF(OR(Tog_VD&lt;&gt;"ON",$AD65=0,$AG65=0,$J65=0,$J65="",$AB65=0),"",(IF($E65=3,SQRT3,2)*BranchK*$AD65*$J65/(INDEX(INDEX(Cond_Table,0,2),$AG65)*MAX(1,$AO65)))/$AB65)</f>
        <v/>
      </c>
      <c r="L65" s="16" t="str" cm="1">
        <f t="array" ref="L65">IF(OR(Tog_Wire&lt;&gt;"ON",$AG65=0),"",IFERROR(IF($AO65&gt;1,"("&amp;$AO65&amp;") ","")&amp;"#"&amp;INDEX(Cond_Size,$AG65)&amp;" | #"&amp;INDEX(Cond_Size,MIN($AG65,MAX(Min_Cond_Pos,MATCH(TRUE,INDEX(Cond_Table,0,2)&gt;=INDEX(INDEX(Cond_Table,0,2),MATCH(INDEX(INDEX(EGC_Table,0,IF(Cfg_BranchMat="Cu",2,3)),MATCH(TRUE,INDEX(EGC_Table,0,1)&gt;=$F65,0)),Cond_Size,0))*INDEX(INDEX(Cond_Table,0,2),$AG65)/INDEX(INDEX(Cond_Table,0,2),MAX(Min_Cond_Pos,MATCH(TRUE,INDEX(Cond_Table,0,IF($AE65&lt;=100,BranchCol60,BranchAmpCol))&gt;=$AE65/MAX(1,$AO65),0))),0))))&amp;"G",""))</f>
        <v/>
      </c>
      <c r="M65" s="413"/>
      <c r="O65" s="217"/>
      <c r="P65" s="218"/>
      <c r="Q65" s="218"/>
      <c r="R65" s="218"/>
      <c r="S65" s="218"/>
      <c r="T65" s="218"/>
      <c r="U65" s="218"/>
      <c r="V65" s="218"/>
      <c r="W65" s="219"/>
      <c r="X65"/>
      <c r="Y65" s="414">
        <f t="shared" si="15"/>
        <v>0</v>
      </c>
      <c r="Z65" s="415">
        <f t="shared" si="16"/>
        <v>0</v>
      </c>
      <c r="AA65" s="31" t="str">
        <f t="shared" si="17"/>
        <v>NONE</v>
      </c>
      <c r="AB65" s="31" t="str">
        <f t="shared" si="11"/>
        <v/>
      </c>
      <c r="AC65" s="526">
        <f t="shared" si="18"/>
        <v>0</v>
      </c>
      <c r="AD65" s="415">
        <f t="shared" si="19"/>
        <v>0</v>
      </c>
      <c r="AE65" s="415">
        <f t="shared" si="12"/>
        <v>0</v>
      </c>
      <c r="AF65" s="415">
        <f t="shared" si="13"/>
        <v>0</v>
      </c>
      <c r="AG65" s="31" cm="1">
        <f t="array" ref="AG65">IF($AE65&lt;=0,0,IFERROR(_xlfn.LET(_xlpm.n,MAX(1,$AO65),_xlpm.i,$AE65/_xlpm.n,MIN(Max_Cond_Pos,MAX(Min_Cond_Pos,IF(_xlpm.n&gt;1,Par_Min_Pos,1),MATCH(TRUE,INDEX(Cond_Table,0,IF(_xlpm.i&lt;=100,BranchCol60,BranchAmpCol))&gt;=_xlpm.i,0),IF(OR(Tog_VD&lt;&gt;"ON",$J65=0,$J65="",$AB65=0),0,MATCH(TRUE,INDEX(Cond_Table,0,2)&gt;=IF($E65=3,SQRT3,2)*BranchK*$AD65*$J65/($AQ$22*$AB65*_xlpm.n),0))))),0))</f>
        <v>0</v>
      </c>
      <c r="AH65" s="415">
        <f t="shared" si="20"/>
        <v>0</v>
      </c>
      <c r="AI65" s="31">
        <f t="shared" si="21"/>
        <v>0</v>
      </c>
      <c r="AJ65" s="415">
        <f t="shared" si="22"/>
        <v>0</v>
      </c>
      <c r="AK65" s="415">
        <f t="shared" si="23"/>
        <v>0</v>
      </c>
      <c r="AL65" s="415">
        <f t="shared" si="24"/>
        <v>0</v>
      </c>
      <c r="AN65" s="31">
        <f t="shared" si="14"/>
        <v>0</v>
      </c>
      <c r="AO65" s="563" cm="1">
        <f t="array" ref="AO65">IF($AE65&lt;=0,0,IFERROR(_xlfn.LET(_xlpm.col,IF($AE65&lt;=100,BranchCol60,BranchAmpCol),_xlpm.nA,ROUNDUP($AE65/INDEX(Cond_Table,Max_Cond_Pos,_xlpm.col),0),_xlpm.cm,IF(OR(Tog_VD&lt;&gt;"ON",$J65=0,$J65="",$AB65=0),0,IF($E65=3,SQRT3,2)*BranchK*$AD65*$J65/($AQ$22*$AB65)),_xlpm.nV,ROUNDUP(_xlpm.cm/INDEX(Cond_Table,Max_Cond_Pos,2),0),MAX(1,_xlpm.nA,_xlpm.nV)),1))</f>
        <v>0</v>
      </c>
    </row>
    <row r="66" spans="1:51" ht="15" customHeight="1" x14ac:dyDescent="0.35">
      <c r="A66"/>
      <c r="B66" s="410">
        <f>2*(ROW()-29)+1</f>
        <v>75</v>
      </c>
      <c r="C66" s="663"/>
      <c r="D66" s="664"/>
      <c r="E66" s="411"/>
      <c r="F66" s="16" t="str" cm="1">
        <f t="array" ref="F66">IF($AN66=1,"-",IF($G66="Spare",IF($AM66&lt;&gt;"",$AM66,20),IF(OR($G66="",$G66="Space",$AF66&lt;=0),"",IFERROR(INDEX(OCPD_List,MATCH($AF66,OCPD_List,1)+IF(INDEX(OCPD_List,MATCH($AF66,OCPD_List,1))&gt;=$AF66,0,1)),15))))</f>
        <v/>
      </c>
      <c r="G66" s="412" t="str" cm="1">
        <f t="array" ref="G66">IF($AN66=1,"-",IF(COUNT($O66:$W66)=0,IF(UPPER(TRIM($C66))="SPARE","Spare","Space"),IF(COUNTIF($O66:$W66,"&gt;0")&gt;1,"COMB",CHOOSE(MATCH(TRUE,INDEX($O66:$W66&lt;&gt;"",0),0),"Lighting","Receptacle","Motor","HVAC","Electric Heat","Kitchen Equip","Continuous (Other)","Non-Continuous","Panel"))))</f>
        <v>Space</v>
      </c>
      <c r="H66" s="30" t="str">
        <f t="shared" si="10"/>
        <v/>
      </c>
      <c r="I66" s="411"/>
      <c r="J66" s="411"/>
      <c r="K66" s="320" t="str" cm="1">
        <f t="array" ref="K66">IF(OR(Tog_VD&lt;&gt;"ON",$AD66=0,$AG66=0,$J66=0,$J66="",$AB66=0),"",(IF($E66=3,SQRT3,2)*BranchK*$AD66*$J66/(INDEX(INDEX(Cond_Table,0,2),$AG66)*MAX(1,$AO66)))/$AB66)</f>
        <v/>
      </c>
      <c r="L66" s="16" t="str" cm="1">
        <f t="array" ref="L66">IF(OR(Tog_Wire&lt;&gt;"ON",$AG66=0),"",IFERROR(IF($AO66&gt;1,"("&amp;$AO66&amp;") ","")&amp;"#"&amp;INDEX(Cond_Size,$AG66)&amp;" | #"&amp;INDEX(Cond_Size,MIN($AG66,MAX(Min_Cond_Pos,MATCH(TRUE,INDEX(Cond_Table,0,2)&gt;=INDEX(INDEX(Cond_Table,0,2),MATCH(INDEX(INDEX(EGC_Table,0,IF(Cfg_BranchMat="Cu",2,3)),MATCH(TRUE,INDEX(EGC_Table,0,1)&gt;=$F66,0)),Cond_Size,0))*INDEX(INDEX(Cond_Table,0,2),$AG66)/INDEX(INDEX(Cond_Table,0,2),MAX(Min_Cond_Pos,MATCH(TRUE,INDEX(Cond_Table,0,IF($AE66&lt;=100,BranchCol60,BranchAmpCol))&gt;=$AE66/MAX(1,$AO66),0))),0))))&amp;"G",""))</f>
        <v/>
      </c>
      <c r="M66" s="413"/>
      <c r="O66" s="217"/>
      <c r="P66" s="218"/>
      <c r="Q66" s="218"/>
      <c r="R66" s="218"/>
      <c r="S66" s="218"/>
      <c r="T66" s="218"/>
      <c r="U66" s="218"/>
      <c r="V66" s="218"/>
      <c r="W66" s="219"/>
      <c r="X66"/>
      <c r="Y66" s="414">
        <f t="shared" si="15"/>
        <v>0</v>
      </c>
      <c r="Z66" s="415">
        <f t="shared" si="16"/>
        <v>0</v>
      </c>
      <c r="AA66" s="31" t="str">
        <f t="shared" si="17"/>
        <v>NONE</v>
      </c>
      <c r="AB66" s="31" t="str">
        <f t="shared" si="11"/>
        <v/>
      </c>
      <c r="AC66" s="526">
        <f t="shared" si="18"/>
        <v>0</v>
      </c>
      <c r="AD66" s="415">
        <f t="shared" si="19"/>
        <v>0</v>
      </c>
      <c r="AE66" s="415">
        <f t="shared" si="12"/>
        <v>0</v>
      </c>
      <c r="AF66" s="415">
        <f t="shared" si="13"/>
        <v>0</v>
      </c>
      <c r="AG66" s="31" cm="1">
        <f t="array" ref="AG66">IF($AE66&lt;=0,0,IFERROR(_xlfn.LET(_xlpm.n,MAX(1,$AO66),_xlpm.i,$AE66/_xlpm.n,MIN(Max_Cond_Pos,MAX(Min_Cond_Pos,IF(_xlpm.n&gt;1,Par_Min_Pos,1),MATCH(TRUE,INDEX(Cond_Table,0,IF(_xlpm.i&lt;=100,BranchCol60,BranchAmpCol))&gt;=_xlpm.i,0),IF(OR(Tog_VD&lt;&gt;"ON",$J66=0,$J66="",$AB66=0),0,MATCH(TRUE,INDEX(Cond_Table,0,2)&gt;=IF($E66=3,SQRT3,2)*BranchK*$AD66*$J66/($AQ$22*$AB66*_xlpm.n),0))))),0))</f>
        <v>0</v>
      </c>
      <c r="AH66" s="415">
        <f t="shared" si="20"/>
        <v>0</v>
      </c>
      <c r="AI66" s="31">
        <f t="shared" si="21"/>
        <v>1</v>
      </c>
      <c r="AJ66" s="415">
        <f t="shared" si="22"/>
        <v>0</v>
      </c>
      <c r="AK66" s="415">
        <f t="shared" si="23"/>
        <v>0</v>
      </c>
      <c r="AL66" s="415">
        <f t="shared" si="24"/>
        <v>0</v>
      </c>
      <c r="AN66" s="31">
        <f t="shared" si="14"/>
        <v>0</v>
      </c>
      <c r="AO66" s="563" cm="1">
        <f t="array" ref="AO66">IF($AE66&lt;=0,0,IFERROR(_xlfn.LET(_xlpm.col,IF($AE66&lt;=100,BranchCol60,BranchAmpCol),_xlpm.nA,ROUNDUP($AE66/INDEX(Cond_Table,Max_Cond_Pos,_xlpm.col),0),_xlpm.cm,IF(OR(Tog_VD&lt;&gt;"ON",$J66=0,$J66="",$AB66=0),0,IF($E66=3,SQRT3,2)*BranchK*$AD66*$J66/($AQ$22*$AB66)),_xlpm.nV,ROUNDUP(_xlpm.cm/INDEX(Cond_Table,Max_Cond_Pos,2),0),MAX(1,_xlpm.nA,_xlpm.nV)),1))</f>
        <v>0</v>
      </c>
    </row>
    <row r="67" spans="1:51" ht="15" customHeight="1" x14ac:dyDescent="0.35">
      <c r="A67"/>
      <c r="B67" s="410">
        <f>2*(ROW()-29)+1</f>
        <v>77</v>
      </c>
      <c r="C67" s="663"/>
      <c r="D67" s="664"/>
      <c r="E67" s="411"/>
      <c r="F67" s="16" t="str" cm="1">
        <f t="array" ref="F67">IF($AN67=1,"-",IF($G67="Spare",IF($AM67&lt;&gt;"",$AM67,20),IF(OR($G67="",$G67="Space",$AF67&lt;=0),"",IFERROR(INDEX(OCPD_List,MATCH($AF67,OCPD_List,1)+IF(INDEX(OCPD_List,MATCH($AF67,OCPD_List,1))&gt;=$AF67,0,1)),15))))</f>
        <v/>
      </c>
      <c r="G67" s="412" t="str" cm="1">
        <f t="array" ref="G67">IF($AN67=1,"-",IF(COUNT($O67:$W67)=0,IF(UPPER(TRIM($C67))="SPARE","Spare","Space"),IF(COUNTIF($O67:$W67,"&gt;0")&gt;1,"COMB",CHOOSE(MATCH(TRUE,INDEX($O67:$W67&lt;&gt;"",0),0),"Lighting","Receptacle","Motor","HVAC","Electric Heat","Kitchen Equip","Continuous (Other)","Non-Continuous","Panel"))))</f>
        <v>Space</v>
      </c>
      <c r="H67" s="30" t="str">
        <f t="shared" si="10"/>
        <v/>
      </c>
      <c r="I67" s="411"/>
      <c r="J67" s="411"/>
      <c r="K67" s="320" t="str" cm="1">
        <f t="array" ref="K67">IF(OR(Tog_VD&lt;&gt;"ON",$AD67=0,$AG67=0,$J67=0,$J67="",$AB67=0),"",(IF($E67=3,SQRT3,2)*BranchK*$AD67*$J67/(INDEX(INDEX(Cond_Table,0,2),$AG67)*MAX(1,$AO67)))/$AB67)</f>
        <v/>
      </c>
      <c r="L67" s="16" t="str" cm="1">
        <f t="array" ref="L67">IF(OR(Tog_Wire&lt;&gt;"ON",$AG67=0),"",IFERROR(IF($AO67&gt;1,"("&amp;$AO67&amp;") ","")&amp;"#"&amp;INDEX(Cond_Size,$AG67)&amp;" | #"&amp;INDEX(Cond_Size,MIN($AG67,MAX(Min_Cond_Pos,MATCH(TRUE,INDEX(Cond_Table,0,2)&gt;=INDEX(INDEX(Cond_Table,0,2),MATCH(INDEX(INDEX(EGC_Table,0,IF(Cfg_BranchMat="Cu",2,3)),MATCH(TRUE,INDEX(EGC_Table,0,1)&gt;=$F67,0)),Cond_Size,0))*INDEX(INDEX(Cond_Table,0,2),$AG67)/INDEX(INDEX(Cond_Table,0,2),MAX(Min_Cond_Pos,MATCH(TRUE,INDEX(Cond_Table,0,IF($AE67&lt;=100,BranchCol60,BranchAmpCol))&gt;=$AE67/MAX(1,$AO67),0))),0))))&amp;"G",""))</f>
        <v/>
      </c>
      <c r="M67" s="413"/>
      <c r="O67" s="217"/>
      <c r="P67" s="218"/>
      <c r="Q67" s="218"/>
      <c r="R67" s="218"/>
      <c r="S67" s="218"/>
      <c r="T67" s="218"/>
      <c r="U67" s="218"/>
      <c r="V67" s="218"/>
      <c r="W67" s="219"/>
      <c r="X67"/>
      <c r="Y67" s="414">
        <f t="shared" si="15"/>
        <v>0</v>
      </c>
      <c r="Z67" s="415">
        <f t="shared" si="16"/>
        <v>0</v>
      </c>
      <c r="AA67" s="31" t="str">
        <f t="shared" si="17"/>
        <v>NONE</v>
      </c>
      <c r="AB67" s="31" t="str">
        <f t="shared" si="11"/>
        <v/>
      </c>
      <c r="AC67" s="526">
        <f t="shared" si="18"/>
        <v>0</v>
      </c>
      <c r="AD67" s="415">
        <f t="shared" si="19"/>
        <v>0</v>
      </c>
      <c r="AE67" s="415">
        <f t="shared" si="12"/>
        <v>0</v>
      </c>
      <c r="AF67" s="415">
        <f t="shared" si="13"/>
        <v>0</v>
      </c>
      <c r="AG67" s="31" cm="1">
        <f t="array" ref="AG67">IF($AE67&lt;=0,0,IFERROR(_xlfn.LET(_xlpm.n,MAX(1,$AO67),_xlpm.i,$AE67/_xlpm.n,MIN(Max_Cond_Pos,MAX(Min_Cond_Pos,IF(_xlpm.n&gt;1,Par_Min_Pos,1),MATCH(TRUE,INDEX(Cond_Table,0,IF(_xlpm.i&lt;=100,BranchCol60,BranchAmpCol))&gt;=_xlpm.i,0),IF(OR(Tog_VD&lt;&gt;"ON",$J67=0,$J67="",$AB67=0),0,MATCH(TRUE,INDEX(Cond_Table,0,2)&gt;=IF($E67=3,SQRT3,2)*BranchK*$AD67*$J67/($AQ$22*$AB67*_xlpm.n),0))))),0))</f>
        <v>0</v>
      </c>
      <c r="AH67" s="415">
        <f t="shared" si="20"/>
        <v>0</v>
      </c>
      <c r="AI67" s="31">
        <f t="shared" si="21"/>
        <v>2</v>
      </c>
      <c r="AJ67" s="415">
        <f t="shared" si="22"/>
        <v>0</v>
      </c>
      <c r="AK67" s="415">
        <f t="shared" si="23"/>
        <v>0</v>
      </c>
      <c r="AL67" s="415">
        <f t="shared" si="24"/>
        <v>0</v>
      </c>
      <c r="AN67" s="31">
        <f t="shared" si="14"/>
        <v>0</v>
      </c>
      <c r="AO67" s="563" cm="1">
        <f t="array" ref="AO67">IF($AE67&lt;=0,0,IFERROR(_xlfn.LET(_xlpm.col,IF($AE67&lt;=100,BranchCol60,BranchAmpCol),_xlpm.nA,ROUNDUP($AE67/INDEX(Cond_Table,Max_Cond_Pos,_xlpm.col),0),_xlpm.cm,IF(OR(Tog_VD&lt;&gt;"ON",$J67=0,$J67="",$AB67=0),0,IF($E67=3,SQRT3,2)*BranchK*$AD67*$J67/($AQ$22*$AB67)),_xlpm.nV,ROUNDUP(_xlpm.cm/INDEX(Cond_Table,Max_Cond_Pos,2),0),MAX(1,_xlpm.nA,_xlpm.nV)),1))</f>
        <v>0</v>
      </c>
    </row>
    <row r="68" spans="1:51" ht="15" customHeight="1" x14ac:dyDescent="0.35">
      <c r="A68"/>
      <c r="B68" s="410">
        <f>2*(ROW()-29)+1</f>
        <v>79</v>
      </c>
      <c r="C68" s="663"/>
      <c r="D68" s="664"/>
      <c r="E68" s="411"/>
      <c r="F68" s="16" t="str" cm="1">
        <f t="array" ref="F68">IF($AN68=1,"-",IF($G68="Spare",IF($AM68&lt;&gt;"",$AM68,20),IF(OR($G68="",$G68="Space",$AF68&lt;=0),"",IFERROR(INDEX(OCPD_List,MATCH($AF68,OCPD_List,1)+IF(INDEX(OCPD_List,MATCH($AF68,OCPD_List,1))&gt;=$AF68,0,1)),15))))</f>
        <v/>
      </c>
      <c r="G68" s="412" t="str" cm="1">
        <f t="array" ref="G68">IF($AN68=1,"-",IF(COUNT($O68:$W68)=0,IF(UPPER(TRIM($C68))="SPARE","Spare","Space"),IF(COUNTIF($O68:$W68,"&gt;0")&gt;1,"COMB",CHOOSE(MATCH(TRUE,INDEX($O68:$W68&lt;&gt;"",0),0),"Lighting","Receptacle","Motor","HVAC","Electric Heat","Kitchen Equip","Continuous (Other)","Non-Continuous","Panel"))))</f>
        <v>Space</v>
      </c>
      <c r="H68" s="30" t="str">
        <f t="shared" si="10"/>
        <v/>
      </c>
      <c r="I68" s="411"/>
      <c r="J68" s="411"/>
      <c r="K68" s="320" t="str" cm="1">
        <f t="array" ref="K68">IF(OR(Tog_VD&lt;&gt;"ON",$AD68=0,$AG68=0,$J68=0,$J68="",$AB68=0),"",(IF($E68=3,SQRT3,2)*BranchK*$AD68*$J68/(INDEX(INDEX(Cond_Table,0,2),$AG68)*MAX(1,$AO68)))/$AB68)</f>
        <v/>
      </c>
      <c r="L68" s="16" t="str" cm="1">
        <f t="array" ref="L68">IF(OR(Tog_Wire&lt;&gt;"ON",$AG68=0),"",IFERROR(IF($AO68&gt;1,"("&amp;$AO68&amp;") ","")&amp;"#"&amp;INDEX(Cond_Size,$AG68)&amp;" | #"&amp;INDEX(Cond_Size,MIN($AG68,MAX(Min_Cond_Pos,MATCH(TRUE,INDEX(Cond_Table,0,2)&gt;=INDEX(INDEX(Cond_Table,0,2),MATCH(INDEX(INDEX(EGC_Table,0,IF(Cfg_BranchMat="Cu",2,3)),MATCH(TRUE,INDEX(EGC_Table,0,1)&gt;=$F68,0)),Cond_Size,0))*INDEX(INDEX(Cond_Table,0,2),$AG68)/INDEX(INDEX(Cond_Table,0,2),MAX(Min_Cond_Pos,MATCH(TRUE,INDEX(Cond_Table,0,IF($AE68&lt;=100,BranchCol60,BranchAmpCol))&gt;=$AE68/MAX(1,$AO68),0))),0))))&amp;"G",""))</f>
        <v/>
      </c>
      <c r="M68" s="413"/>
      <c r="O68" s="217"/>
      <c r="P68" s="218"/>
      <c r="Q68" s="218"/>
      <c r="R68" s="218"/>
      <c r="S68" s="218"/>
      <c r="T68" s="218"/>
      <c r="U68" s="218"/>
      <c r="V68" s="218"/>
      <c r="W68" s="219"/>
      <c r="X68"/>
      <c r="Y68" s="414">
        <f t="shared" si="15"/>
        <v>0</v>
      </c>
      <c r="Z68" s="415">
        <f t="shared" si="16"/>
        <v>0</v>
      </c>
      <c r="AA68" s="31" t="str">
        <f t="shared" si="17"/>
        <v>NONE</v>
      </c>
      <c r="AB68" s="31" t="str">
        <f t="shared" si="11"/>
        <v/>
      </c>
      <c r="AC68" s="526">
        <f t="shared" si="18"/>
        <v>0</v>
      </c>
      <c r="AD68" s="415">
        <f t="shared" si="19"/>
        <v>0</v>
      </c>
      <c r="AE68" s="415">
        <f t="shared" si="12"/>
        <v>0</v>
      </c>
      <c r="AF68" s="415">
        <f t="shared" si="13"/>
        <v>0</v>
      </c>
      <c r="AG68" s="31" cm="1">
        <f t="array" ref="AG68">IF($AE68&lt;=0,0,IFERROR(_xlfn.LET(_xlpm.n,MAX(1,$AO68),_xlpm.i,$AE68/_xlpm.n,MIN(Max_Cond_Pos,MAX(Min_Cond_Pos,IF(_xlpm.n&gt;1,Par_Min_Pos,1),MATCH(TRUE,INDEX(Cond_Table,0,IF(_xlpm.i&lt;=100,BranchCol60,BranchAmpCol))&gt;=_xlpm.i,0),IF(OR(Tog_VD&lt;&gt;"ON",$J68=0,$J68="",$AB68=0),0,MATCH(TRUE,INDEX(Cond_Table,0,2)&gt;=IF($E68=3,SQRT3,2)*BranchK*$AD68*$J68/($AQ$22*$AB68*_xlpm.n),0))))),0))</f>
        <v>0</v>
      </c>
      <c r="AH68" s="415">
        <f t="shared" si="20"/>
        <v>0</v>
      </c>
      <c r="AI68" s="31">
        <f t="shared" si="21"/>
        <v>0</v>
      </c>
      <c r="AJ68" s="415">
        <f t="shared" si="22"/>
        <v>0</v>
      </c>
      <c r="AK68" s="415">
        <f t="shared" si="23"/>
        <v>0</v>
      </c>
      <c r="AL68" s="415">
        <f t="shared" si="24"/>
        <v>0</v>
      </c>
      <c r="AN68" s="31">
        <f t="shared" si="14"/>
        <v>0</v>
      </c>
      <c r="AO68" s="563" cm="1">
        <f t="array" ref="AO68">IF($AE68&lt;=0,0,IFERROR(_xlfn.LET(_xlpm.col,IF($AE68&lt;=100,BranchCol60,BranchAmpCol),_xlpm.nA,ROUNDUP($AE68/INDEX(Cond_Table,Max_Cond_Pos,_xlpm.col),0),_xlpm.cm,IF(OR(Tog_VD&lt;&gt;"ON",$J68=0,$J68="",$AB68=0),0,IF($E68=3,SQRT3,2)*BranchK*$AD68*$J68/($AQ$22*$AB68)),_xlpm.nV,ROUNDUP(_xlpm.cm/INDEX(Cond_Table,Max_Cond_Pos,2),0),MAX(1,_xlpm.nA,_xlpm.nV)),1))</f>
        <v>0</v>
      </c>
    </row>
    <row r="69" spans="1:51" ht="15" customHeight="1" x14ac:dyDescent="0.35">
      <c r="A69"/>
      <c r="B69" s="410">
        <f>2*(ROW()-29)+1</f>
        <v>81</v>
      </c>
      <c r="C69" s="663"/>
      <c r="D69" s="664"/>
      <c r="E69" s="411"/>
      <c r="F69" s="16" t="str" cm="1">
        <f t="array" ref="F69">IF($AN69=1,"-",IF($G69="Spare",IF($AM69&lt;&gt;"",$AM69,20),IF(OR($G69="",$G69="Space",$AF69&lt;=0),"",IFERROR(INDEX(OCPD_List,MATCH($AF69,OCPD_List,1)+IF(INDEX(OCPD_List,MATCH($AF69,OCPD_List,1))&gt;=$AF69,0,1)),15))))</f>
        <v/>
      </c>
      <c r="G69" s="412" t="str" cm="1">
        <f t="array" ref="G69">IF($AN69=1,"-",IF(COUNT($O69:$W69)=0,IF(UPPER(TRIM($C69))="SPARE","Spare","Space"),IF(COUNTIF($O69:$W69,"&gt;0")&gt;1,"COMB",CHOOSE(MATCH(TRUE,INDEX($O69:$W69&lt;&gt;"",0),0),"Lighting","Receptacle","Motor","HVAC","Electric Heat","Kitchen Equip","Continuous (Other)","Non-Continuous","Panel"))))</f>
        <v>Space</v>
      </c>
      <c r="H69" s="30" t="str">
        <f t="shared" si="10"/>
        <v/>
      </c>
      <c r="I69" s="411"/>
      <c r="J69" s="411"/>
      <c r="K69" s="320" t="str" cm="1">
        <f t="array" ref="K69">IF(OR(Tog_VD&lt;&gt;"ON",$AD69=0,$AG69=0,$J69=0,$J69="",$AB69=0),"",(IF($E69=3,SQRT3,2)*BranchK*$AD69*$J69/(INDEX(INDEX(Cond_Table,0,2),$AG69)*MAX(1,$AO69)))/$AB69)</f>
        <v/>
      </c>
      <c r="L69" s="16" t="str" cm="1">
        <f t="array" ref="L69">IF(OR(Tog_Wire&lt;&gt;"ON",$AG69=0),"",IFERROR(IF($AO69&gt;1,"("&amp;$AO69&amp;") ","")&amp;"#"&amp;INDEX(Cond_Size,$AG69)&amp;" | #"&amp;INDEX(Cond_Size,MIN($AG69,MAX(Min_Cond_Pos,MATCH(TRUE,INDEX(Cond_Table,0,2)&gt;=INDEX(INDEX(Cond_Table,0,2),MATCH(INDEX(INDEX(EGC_Table,0,IF(Cfg_BranchMat="Cu",2,3)),MATCH(TRUE,INDEX(EGC_Table,0,1)&gt;=$F69,0)),Cond_Size,0))*INDEX(INDEX(Cond_Table,0,2),$AG69)/INDEX(INDEX(Cond_Table,0,2),MAX(Min_Cond_Pos,MATCH(TRUE,INDEX(Cond_Table,0,IF($AE69&lt;=100,BranchCol60,BranchAmpCol))&gt;=$AE69/MAX(1,$AO69),0))),0))))&amp;"G",""))</f>
        <v/>
      </c>
      <c r="M69" s="413"/>
      <c r="O69" s="217"/>
      <c r="P69" s="218"/>
      <c r="Q69" s="218"/>
      <c r="R69" s="218"/>
      <c r="S69" s="218"/>
      <c r="T69" s="218"/>
      <c r="U69" s="218"/>
      <c r="V69" s="218"/>
      <c r="W69" s="219"/>
      <c r="X69"/>
      <c r="Y69" s="414">
        <f t="shared" si="15"/>
        <v>0</v>
      </c>
      <c r="Z69" s="415">
        <f t="shared" si="16"/>
        <v>0</v>
      </c>
      <c r="AA69" s="31" t="str">
        <f t="shared" si="17"/>
        <v>NONE</v>
      </c>
      <c r="AB69" s="31" t="str">
        <f t="shared" si="11"/>
        <v/>
      </c>
      <c r="AC69" s="526">
        <f t="shared" si="18"/>
        <v>0</v>
      </c>
      <c r="AD69" s="415">
        <f t="shared" si="19"/>
        <v>0</v>
      </c>
      <c r="AE69" s="415">
        <f t="shared" si="12"/>
        <v>0</v>
      </c>
      <c r="AF69" s="415">
        <f t="shared" si="13"/>
        <v>0</v>
      </c>
      <c r="AG69" s="31" cm="1">
        <f t="array" ref="AG69">IF($AE69&lt;=0,0,IFERROR(_xlfn.LET(_xlpm.n,MAX(1,$AO69),_xlpm.i,$AE69/_xlpm.n,MIN(Max_Cond_Pos,MAX(Min_Cond_Pos,IF(_xlpm.n&gt;1,Par_Min_Pos,1),MATCH(TRUE,INDEX(Cond_Table,0,IF(_xlpm.i&lt;=100,BranchCol60,BranchAmpCol))&gt;=_xlpm.i,0),IF(OR(Tog_VD&lt;&gt;"ON",$J69=0,$J69="",$AB69=0),0,MATCH(TRUE,INDEX(Cond_Table,0,2)&gt;=IF($E69=3,SQRT3,2)*BranchK*$AD69*$J69/($AQ$22*$AB69*_xlpm.n),0))))),0))</f>
        <v>0</v>
      </c>
      <c r="AH69" s="415">
        <f t="shared" si="20"/>
        <v>0</v>
      </c>
      <c r="AI69" s="31">
        <f t="shared" si="21"/>
        <v>1</v>
      </c>
      <c r="AJ69" s="415">
        <f t="shared" si="22"/>
        <v>0</v>
      </c>
      <c r="AK69" s="415">
        <f t="shared" si="23"/>
        <v>0</v>
      </c>
      <c r="AL69" s="415">
        <f t="shared" si="24"/>
        <v>0</v>
      </c>
      <c r="AN69" s="31">
        <f t="shared" si="14"/>
        <v>0</v>
      </c>
      <c r="AO69" s="563" cm="1">
        <f t="array" ref="AO69">IF($AE69&lt;=0,0,IFERROR(_xlfn.LET(_xlpm.col,IF($AE69&lt;=100,BranchCol60,BranchAmpCol),_xlpm.nA,ROUNDUP($AE69/INDEX(Cond_Table,Max_Cond_Pos,_xlpm.col),0),_xlpm.cm,IF(OR(Tog_VD&lt;&gt;"ON",$J69=0,$J69="",$AB69=0),0,IF($E69=3,SQRT3,2)*BranchK*$AD69*$J69/($AQ$22*$AB69)),_xlpm.nV,ROUNDUP(_xlpm.cm/INDEX(Cond_Table,Max_Cond_Pos,2),0),MAX(1,_xlpm.nA,_xlpm.nV)),1))</f>
        <v>0</v>
      </c>
    </row>
    <row r="70" spans="1:51" ht="15" customHeight="1" thickBot="1" x14ac:dyDescent="0.4">
      <c r="A70"/>
      <c r="B70" s="417">
        <f>2*(ROW()-29)+1</f>
        <v>83</v>
      </c>
      <c r="C70" s="766"/>
      <c r="D70" s="767"/>
      <c r="E70" s="418"/>
      <c r="F70" s="419" t="str" cm="1">
        <f t="array" ref="F70">IF($AN70=1,"-",IF($G70="Spare",IF($AM70&lt;&gt;"",$AM70,20),IF(OR($G70="",$G70="Space",$AF70&lt;=0),"",IFERROR(INDEX(OCPD_List,MATCH($AF70,OCPD_List,1)+IF(INDEX(OCPD_List,MATCH($AF70,OCPD_List,1))&gt;=$AF70,0,1)),15))))</f>
        <v/>
      </c>
      <c r="G70" s="420" t="str" cm="1">
        <f t="array" ref="G70">IF($AN70=1,"-",IF(COUNT($O70:$W70)=0,IF(UPPER(TRIM($C70))="SPARE","Spare","Space"),IF(COUNTIF($O70:$W70,"&gt;0")&gt;1,"COMB",CHOOSE(MATCH(TRUE,INDEX($O70:$W70&lt;&gt;"",0),0),"Lighting","Receptacle","Motor","HVAC","Electric Heat","Kitchen Equip","Continuous (Other)","Non-Continuous","Panel"))))</f>
        <v>Space</v>
      </c>
      <c r="H70" s="243" t="str">
        <f t="shared" si="10"/>
        <v/>
      </c>
      <c r="I70" s="418"/>
      <c r="J70" s="418"/>
      <c r="K70" s="421" t="str" cm="1">
        <f t="array" ref="K70">IF(OR(Tog_VD&lt;&gt;"ON",$AD70=0,$AG70=0,$J70=0,$J70="",$AB70=0),"",(IF($E70=3,SQRT3,2)*BranchK*$AD70*$J70/(INDEX(INDEX(Cond_Table,0,2),$AG70)*MAX(1,$AO70)))/$AB70)</f>
        <v/>
      </c>
      <c r="L70" s="419" t="str" cm="1">
        <f t="array" ref="L70">IF(OR(Tog_Wire&lt;&gt;"ON",$AG70=0),"",IFERROR(IF($AO70&gt;1,"("&amp;$AO70&amp;") ","")&amp;"#"&amp;INDEX(Cond_Size,$AG70)&amp;" | #"&amp;INDEX(Cond_Size,MIN($AG70,MAX(Min_Cond_Pos,MATCH(TRUE,INDEX(Cond_Table,0,2)&gt;=INDEX(INDEX(Cond_Table,0,2),MATCH(INDEX(INDEX(EGC_Table,0,IF(Cfg_BranchMat="Cu",2,3)),MATCH(TRUE,INDEX(EGC_Table,0,1)&gt;=$F70,0)),Cond_Size,0))*INDEX(INDEX(Cond_Table,0,2),$AG70)/INDEX(INDEX(Cond_Table,0,2),MAX(Min_Cond_Pos,MATCH(TRUE,INDEX(Cond_Table,0,IF($AE70&lt;=100,BranchCol60,BranchAmpCol))&gt;=$AE70/MAX(1,$AO70),0))),0))))&amp;"G",""))</f>
        <v/>
      </c>
      <c r="M70" s="422"/>
      <c r="N70" s="423"/>
      <c r="O70" s="220"/>
      <c r="P70" s="221"/>
      <c r="Q70" s="221"/>
      <c r="R70" s="221"/>
      <c r="S70" s="221"/>
      <c r="T70" s="221"/>
      <c r="U70" s="221"/>
      <c r="V70" s="221"/>
      <c r="W70" s="222"/>
      <c r="X70"/>
      <c r="Y70" s="414">
        <f t="shared" si="15"/>
        <v>0</v>
      </c>
      <c r="Z70" s="415">
        <f t="shared" si="16"/>
        <v>0</v>
      </c>
      <c r="AA70" s="31" t="str">
        <f t="shared" si="17"/>
        <v>NONE</v>
      </c>
      <c r="AB70" s="31" t="str">
        <f t="shared" si="11"/>
        <v/>
      </c>
      <c r="AC70" s="526">
        <f t="shared" si="18"/>
        <v>0</v>
      </c>
      <c r="AD70" s="415">
        <f t="shared" si="19"/>
        <v>0</v>
      </c>
      <c r="AE70" s="415">
        <f t="shared" si="12"/>
        <v>0</v>
      </c>
      <c r="AF70" s="415">
        <f t="shared" si="13"/>
        <v>0</v>
      </c>
      <c r="AG70" s="31" cm="1">
        <f t="array" ref="AG70">IF($AE70&lt;=0,0,IFERROR(_xlfn.LET(_xlpm.n,MAX(1,$AO70),_xlpm.i,$AE70/_xlpm.n,MIN(Max_Cond_Pos,MAX(Min_Cond_Pos,IF(_xlpm.n&gt;1,Par_Min_Pos,1),MATCH(TRUE,INDEX(Cond_Table,0,IF(_xlpm.i&lt;=100,BranchCol60,BranchAmpCol))&gt;=_xlpm.i,0),IF(OR(Tog_VD&lt;&gt;"ON",$J70=0,$J70="",$AB70=0),0,MATCH(TRUE,INDEX(Cond_Table,0,2)&gt;=IF($E70=3,SQRT3,2)*BranchK*$AD70*$J70/($AQ$22*$AB70*_xlpm.n),0))))),0))</f>
        <v>0</v>
      </c>
      <c r="AH70" s="415">
        <f t="shared" si="20"/>
        <v>0</v>
      </c>
      <c r="AI70" s="31">
        <f t="shared" si="21"/>
        <v>2</v>
      </c>
      <c r="AJ70" s="415">
        <f t="shared" si="22"/>
        <v>0</v>
      </c>
      <c r="AK70" s="415">
        <f t="shared" si="23"/>
        <v>0</v>
      </c>
      <c r="AL70" s="415">
        <f t="shared" si="24"/>
        <v>0</v>
      </c>
      <c r="AN70" s="31">
        <f t="shared" si="14"/>
        <v>0</v>
      </c>
      <c r="AO70" s="563" cm="1">
        <f t="array" ref="AO70">IF($AE70&lt;=0,0,IFERROR(_xlfn.LET(_xlpm.col,IF($AE70&lt;=100,BranchCol60,BranchAmpCol),_xlpm.nA,ROUNDUP($AE70/INDEX(Cond_Table,Max_Cond_Pos,_xlpm.col),0),_xlpm.cm,IF(OR(Tog_VD&lt;&gt;"ON",$J70=0,$J70="",$AB70=0),0,IF($E70=3,SQRT3,2)*BranchK*$AD70*$J70/($AQ$22*$AB70)),_xlpm.nV,ROUNDUP(_xlpm.cm/INDEX(Cond_Table,Max_Cond_Pos,2),0),MAX(1,_xlpm.nA,_xlpm.nV)),1))</f>
        <v>0</v>
      </c>
    </row>
    <row r="71" spans="1:51" ht="15" customHeight="1" x14ac:dyDescent="0.35">
      <c r="A71"/>
      <c r="B71" s="424">
        <f>2*(ROW()-71)+2</f>
        <v>2</v>
      </c>
      <c r="C71" s="768"/>
      <c r="D71" s="769"/>
      <c r="E71" s="425"/>
      <c r="F71" s="272" t="str" cm="1">
        <f t="array" ref="F71">IF($AN71=1,"-",IF($G71="Spare",IF($AM71&lt;&gt;"",$AM71,20),IF(OR($G71="",$G71="Space",$AF71&lt;=0),"",IFERROR(INDEX(OCPD_List,MATCH($AF71,OCPD_List,1)+IF(INDEX(OCPD_List,MATCH($AF71,OCPD_List,1))&gt;=$AF71,0,1)),15))))</f>
        <v/>
      </c>
      <c r="G71" s="426" t="str" cm="1">
        <f t="array" ref="G71">IF($AN71=1,"-",IF(COUNT($O71:$W71)=0,IF(UPPER(TRIM($C71))="SPARE","Spare","Space"),IF(COUNTIF($O71:$W71,"&gt;0")&gt;1,"COMB",CHOOSE(MATCH(TRUE,INDEX($O71:$W71&lt;&gt;"",0),0),"Lighting","Receptacle","Motor","HVAC","Electric Heat","Kitchen Equip","Continuous (Other)","Non-Continuous","Panel"))))</f>
        <v>Space</v>
      </c>
      <c r="H71" s="244" t="str">
        <f t="shared" si="10"/>
        <v/>
      </c>
      <c r="I71" s="425"/>
      <c r="J71" s="425"/>
      <c r="K71" s="427" t="str" cm="1">
        <f t="array" ref="K71">IF(OR(Tog_VD&lt;&gt;"ON",$AD71=0,$AG71=0,$J71=0,$J71="",$AB71=0),"",(IF($E71=3,SQRT3,2)*BranchK*$AD71*$J71/(INDEX(INDEX(Cond_Table,0,2),$AG71)*MAX(1,$AO71)))/$AB71)</f>
        <v/>
      </c>
      <c r="L71" s="272" t="str" cm="1">
        <f t="array" ref="L71">IF(OR(Tog_Wire&lt;&gt;"ON",$AG71=0),"",IFERROR(IF($AO71&gt;1,"("&amp;$AO71&amp;") ","")&amp;"#"&amp;INDEX(Cond_Size,$AG71)&amp;" | #"&amp;INDEX(Cond_Size,MIN($AG71,MAX(Min_Cond_Pos,MATCH(TRUE,INDEX(Cond_Table,0,2)&gt;=INDEX(INDEX(Cond_Table,0,2),MATCH(INDEX(INDEX(EGC_Table,0,IF(Cfg_BranchMat="Cu",2,3)),MATCH(TRUE,INDEX(EGC_Table,0,1)&gt;=$F71,0)),Cond_Size,0))*INDEX(INDEX(Cond_Table,0,2),$AG71)/INDEX(INDEX(Cond_Table,0,2),MAX(Min_Cond_Pos,MATCH(TRUE,INDEX(Cond_Table,0,IF($AE71&lt;=100,BranchCol60,BranchAmpCol))&gt;=$AE71/MAX(1,$AO71),0))),0))))&amp;"G",""))</f>
        <v/>
      </c>
      <c r="M71" s="428"/>
      <c r="O71" s="223"/>
      <c r="P71" s="224"/>
      <c r="Q71" s="224"/>
      <c r="R71" s="224"/>
      <c r="S71" s="224"/>
      <c r="T71" s="224"/>
      <c r="U71" s="224"/>
      <c r="V71" s="224"/>
      <c r="W71" s="225"/>
      <c r="X71"/>
      <c r="Y71" s="414">
        <f t="shared" si="15"/>
        <v>0</v>
      </c>
      <c r="Z71" s="415">
        <f t="shared" si="16"/>
        <v>0</v>
      </c>
      <c r="AA71" s="31" t="str">
        <f t="shared" si="17"/>
        <v>NONE</v>
      </c>
      <c r="AB71" s="31" t="str">
        <f t="shared" si="11"/>
        <v/>
      </c>
      <c r="AC71" s="526">
        <f t="shared" si="18"/>
        <v>0</v>
      </c>
      <c r="AD71" s="415">
        <f t="shared" si="19"/>
        <v>0</v>
      </c>
      <c r="AE71" s="415">
        <f>$Z71*$AD71</f>
        <v>0</v>
      </c>
      <c r="AF71" s="415">
        <f>IF($Y71=1,2.5*$AD71,$AE71)</f>
        <v>0</v>
      </c>
      <c r="AG71" s="31" cm="1">
        <f t="array" ref="AG71">IF($AE71&lt;=0,0,IFERROR(_xlfn.LET(_xlpm.n,MAX(1,$AO71),_xlpm.i,$AE71/_xlpm.n,MIN(Max_Cond_Pos,MAX(Min_Cond_Pos,IF(_xlpm.n&gt;1,Par_Min_Pos,1),MATCH(TRUE,INDEX(Cond_Table,0,IF(_xlpm.i&lt;=100,BranchCol60,BranchAmpCol))&gt;=_xlpm.i,0),IF(OR(Tog_VD&lt;&gt;"ON",$J71=0,$J71="",$AB71=0),0,MATCH(TRUE,INDEX(Cond_Table,0,2)&gt;=IF($E71=3,SQRT3,2)*BranchK*$AD71*$J71/($AQ$22*$AB71*_xlpm.n),0))))),0))</f>
        <v>0</v>
      </c>
      <c r="AH71" s="415">
        <f t="shared" si="20"/>
        <v>0</v>
      </c>
      <c r="AI71" s="31">
        <f t="shared" si="21"/>
        <v>0</v>
      </c>
      <c r="AJ71" s="415">
        <f t="shared" si="22"/>
        <v>0</v>
      </c>
      <c r="AK71" s="415">
        <f t="shared" si="23"/>
        <v>0</v>
      </c>
      <c r="AL71" s="415">
        <f t="shared" si="24"/>
        <v>0</v>
      </c>
      <c r="AN71" s="31">
        <v>0</v>
      </c>
      <c r="AO71" s="563" cm="1">
        <f t="array" ref="AO71">IF($AE71&lt;=0,0,IFERROR(_xlfn.LET(_xlpm.col,IF($AE71&lt;=100,BranchCol60,BranchAmpCol),_xlpm.nA,ROUNDUP($AE71/INDEX(Cond_Table,Max_Cond_Pos,_xlpm.col),0),_xlpm.cm,IF(OR(Tog_VD&lt;&gt;"ON",$J71=0,$J71="",$AB71=0),0,IF($E71=3,SQRT3,2)*BranchK*$AD71*$J71/($AQ$22*$AB71)),_xlpm.nV,ROUNDUP(_xlpm.cm/INDEX(Cond_Table,Max_Cond_Pos,2),0),MAX(1,_xlpm.nA,_xlpm.nV)),1))</f>
        <v>0</v>
      </c>
    </row>
    <row r="72" spans="1:51" ht="15" customHeight="1" x14ac:dyDescent="0.45">
      <c r="A72"/>
      <c r="B72" s="424">
        <f>2*(ROW()-71)+2</f>
        <v>4</v>
      </c>
      <c r="C72" s="663"/>
      <c r="D72" s="664"/>
      <c r="E72" s="411"/>
      <c r="F72" s="16" t="str" cm="1">
        <f t="array" ref="F72">IF($AN72=1,"-",IF($G72="Spare",IF($AM72&lt;&gt;"",$AM72,20),IF(OR($G72="",$G72="Space",$AF72&lt;=0),"",IFERROR(INDEX(OCPD_List,MATCH($AF72,OCPD_List,1)+IF(INDEX(OCPD_List,MATCH($AF72,OCPD_List,1))&gt;=$AF72,0,1)),15))))</f>
        <v/>
      </c>
      <c r="G72" s="412" t="str" cm="1">
        <f t="array" ref="G72">IF($AN72=1,"-",IF(COUNT($O72:$W72)=0,IF(UPPER(TRIM($C72))="SPARE","Spare","Space"),IF(COUNTIF($O72:$W72,"&gt;0")&gt;1,"COMB",CHOOSE(MATCH(TRUE,INDEX($O72:$W72&lt;&gt;"",0),0),"Lighting","Receptacle","Motor","HVAC","Electric Heat","Kitchen Equip","Continuous (Other)","Non-Continuous","Panel"))))</f>
        <v>Space</v>
      </c>
      <c r="H72" s="30" t="str">
        <f t="shared" si="10"/>
        <v/>
      </c>
      <c r="I72" s="411"/>
      <c r="J72" s="411"/>
      <c r="K72" s="320" t="str" cm="1">
        <f t="array" ref="K72">IF(OR(Tog_VD&lt;&gt;"ON",$AD72=0,$AG72=0,$J72=0,$J72="",$AB72=0),"",(IF($E72=3,SQRT3,2)*BranchK*$AD72*$J72/(INDEX(INDEX(Cond_Table,0,2),$AG72)*MAX(1,$AO72)))/$AB72)</f>
        <v/>
      </c>
      <c r="L72" s="16" t="str" cm="1">
        <f t="array" ref="L72">IF(OR(Tog_Wire&lt;&gt;"ON",$AG72=0),"",IFERROR(IF($AO72&gt;1,"("&amp;$AO72&amp;") ","")&amp;"#"&amp;INDEX(Cond_Size,$AG72)&amp;" | #"&amp;INDEX(Cond_Size,MIN($AG72,MAX(Min_Cond_Pos,MATCH(TRUE,INDEX(Cond_Table,0,2)&gt;=INDEX(INDEX(Cond_Table,0,2),MATCH(INDEX(INDEX(EGC_Table,0,IF(Cfg_BranchMat="Cu",2,3)),MATCH(TRUE,INDEX(EGC_Table,0,1)&gt;=$F72,0)),Cond_Size,0))*INDEX(INDEX(Cond_Table,0,2),$AG72)/INDEX(INDEX(Cond_Table,0,2),MAX(Min_Cond_Pos,MATCH(TRUE,INDEX(Cond_Table,0,IF($AE72&lt;=100,BranchCol60,BranchAmpCol))&gt;=$AE72/MAX(1,$AO72),0))),0))))&amp;"G",""))</f>
        <v/>
      </c>
      <c r="M72" s="428"/>
      <c r="O72" s="217"/>
      <c r="P72" s="218"/>
      <c r="Q72" s="218"/>
      <c r="R72" s="218"/>
      <c r="S72" s="218"/>
      <c r="T72" s="218"/>
      <c r="U72" s="218"/>
      <c r="V72" s="218"/>
      <c r="W72" s="219"/>
      <c r="X72"/>
      <c r="Y72" s="414">
        <f t="shared" si="15"/>
        <v>0</v>
      </c>
      <c r="Z72" s="415">
        <f t="shared" si="16"/>
        <v>0</v>
      </c>
      <c r="AA72" s="31" t="str">
        <f t="shared" si="17"/>
        <v>NONE</v>
      </c>
      <c r="AB72" s="31" t="str">
        <f t="shared" si="11"/>
        <v/>
      </c>
      <c r="AC72" s="526">
        <f t="shared" si="18"/>
        <v>0</v>
      </c>
      <c r="AD72" s="415">
        <f t="shared" si="19"/>
        <v>0</v>
      </c>
      <c r="AE72" s="415">
        <f t="shared" si="12"/>
        <v>0</v>
      </c>
      <c r="AF72" s="415">
        <f t="shared" si="13"/>
        <v>0</v>
      </c>
      <c r="AG72" s="31" cm="1">
        <f t="array" ref="AG72">IF($AE72&lt;=0,0,IFERROR(_xlfn.LET(_xlpm.n,MAX(1,$AO72),_xlpm.i,$AE72/_xlpm.n,MIN(Max_Cond_Pos,MAX(Min_Cond_Pos,IF(_xlpm.n&gt;1,Par_Min_Pos,1),MATCH(TRUE,INDEX(Cond_Table,0,IF(_xlpm.i&lt;=100,BranchCol60,BranchAmpCol))&gt;=_xlpm.i,0),IF(OR(Tog_VD&lt;&gt;"ON",$J72=0,$J72="",$AB72=0),0,MATCH(TRUE,INDEX(Cond_Table,0,2)&gt;=IF($E72=3,SQRT3,2)*BranchK*$AD72*$J72/($AQ$22*$AB72*_xlpm.n),0))))),0))</f>
        <v>0</v>
      </c>
      <c r="AH72" s="415">
        <f t="shared" si="20"/>
        <v>0</v>
      </c>
      <c r="AI72" s="31">
        <f t="shared" si="21"/>
        <v>1</v>
      </c>
      <c r="AJ72" s="415">
        <f t="shared" si="22"/>
        <v>0</v>
      </c>
      <c r="AK72" s="415">
        <f t="shared" si="23"/>
        <v>0</v>
      </c>
      <c r="AL72" s="415">
        <f t="shared" si="24"/>
        <v>0</v>
      </c>
      <c r="AN72" s="31">
        <f>IF(AND($E71&gt;=2,$AN71=0),1,0)</f>
        <v>0</v>
      </c>
      <c r="AO72" s="563" cm="1">
        <f t="array" ref="AO72">IF($AE72&lt;=0,0,IFERROR(_xlfn.LET(_xlpm.col,IF($AE72&lt;=100,BranchCol60,BranchAmpCol),_xlpm.nA,ROUNDUP($AE72/INDEX(Cond_Table,Max_Cond_Pos,_xlpm.col),0),_xlpm.cm,IF(OR(Tog_VD&lt;&gt;"ON",$J72=0,$J72="",$AB72=0),0,IF($E72=3,SQRT3,2)*BranchK*$AD72*$J72/($AQ$22*$AB72)),_xlpm.nV,ROUNDUP(_xlpm.cm/INDEX(Cond_Table,Max_Cond_Pos,2),0),MAX(1,_xlpm.nA,_xlpm.nV)),1))</f>
        <v>0</v>
      </c>
      <c r="AS72" s="236"/>
      <c r="AT72" s="236"/>
      <c r="AU72" s="236"/>
      <c r="AV72" s="236"/>
      <c r="AW72" s="236"/>
      <c r="AX72" s="236"/>
    </row>
    <row r="73" spans="1:51" s="24" customFormat="1" ht="15" customHeight="1" x14ac:dyDescent="0.45">
      <c r="A73"/>
      <c r="B73" s="424">
        <f>2*(ROW()-71)+2</f>
        <v>6</v>
      </c>
      <c r="C73" s="663"/>
      <c r="D73" s="664"/>
      <c r="E73" s="411"/>
      <c r="F73" s="16" t="str" cm="1">
        <f t="array" ref="F73">IF($AN73=1,"-",IF($G73="Spare",IF($AM73&lt;&gt;"",$AM73,20),IF(OR($G73="",$G73="Space",$AF73&lt;=0),"",IFERROR(INDEX(OCPD_List,MATCH($AF73,OCPD_List,1)+IF(INDEX(OCPD_List,MATCH($AF73,OCPD_List,1))&gt;=$AF73,0,1)),15))))</f>
        <v/>
      </c>
      <c r="G73" s="412" t="str" cm="1">
        <f t="array" ref="G73">IF($AN73=1,"-",IF(COUNT($O73:$W73)=0,IF(UPPER(TRIM($C73))="SPARE","Spare","Space"),IF(COUNTIF($O73:$W73,"&gt;0")&gt;1,"COMB",CHOOSE(MATCH(TRUE,INDEX($O73:$W73&lt;&gt;"",0),0),"Lighting","Receptacle","Motor","HVAC","Electric Heat","Kitchen Equip","Continuous (Other)","Non-Continuous","Panel"))))</f>
        <v>Space</v>
      </c>
      <c r="H73" s="30" t="str">
        <f t="shared" si="10"/>
        <v/>
      </c>
      <c r="I73" s="411"/>
      <c r="J73" s="411"/>
      <c r="K73" s="320" t="str" cm="1">
        <f t="array" ref="K73">IF(OR(Tog_VD&lt;&gt;"ON",$AD73=0,$AG73=0,$J73=0,$J73="",$AB73=0),"",(IF($E73=3,SQRT3,2)*BranchK*$AD73*$J73/(INDEX(INDEX(Cond_Table,0,2),$AG73)*MAX(1,$AO73)))/$AB73)</f>
        <v/>
      </c>
      <c r="L73" s="16" t="str" cm="1">
        <f t="array" ref="L73">IF(OR(Tog_Wire&lt;&gt;"ON",$AG73=0),"",IFERROR(IF($AO73&gt;1,"("&amp;$AO73&amp;") ","")&amp;"#"&amp;INDEX(Cond_Size,$AG73)&amp;" | #"&amp;INDEX(Cond_Size,MIN($AG73,MAX(Min_Cond_Pos,MATCH(TRUE,INDEX(Cond_Table,0,2)&gt;=INDEX(INDEX(Cond_Table,0,2),MATCH(INDEX(INDEX(EGC_Table,0,IF(Cfg_BranchMat="Cu",2,3)),MATCH(TRUE,INDEX(EGC_Table,0,1)&gt;=$F73,0)),Cond_Size,0))*INDEX(INDEX(Cond_Table,0,2),$AG73)/INDEX(INDEX(Cond_Table,0,2),MAX(Min_Cond_Pos,MATCH(TRUE,INDEX(Cond_Table,0,IF($AE73&lt;=100,BranchCol60,BranchAmpCol))&gt;=$AE73/MAX(1,$AO73),0))),0))))&amp;"G",""))</f>
        <v/>
      </c>
      <c r="M73" s="428"/>
      <c r="O73" s="217"/>
      <c r="P73" s="218"/>
      <c r="Q73" s="218"/>
      <c r="R73" s="218"/>
      <c r="S73" s="218"/>
      <c r="T73" s="218"/>
      <c r="U73" s="218"/>
      <c r="V73" s="218"/>
      <c r="W73" s="219"/>
      <c r="X73"/>
      <c r="Y73" s="414">
        <f t="shared" si="15"/>
        <v>0</v>
      </c>
      <c r="Z73" s="415">
        <f t="shared" si="16"/>
        <v>0</v>
      </c>
      <c r="AA73" s="31" t="str">
        <f t="shared" si="17"/>
        <v>NONE</v>
      </c>
      <c r="AB73" s="31" t="str">
        <f t="shared" si="11"/>
        <v/>
      </c>
      <c r="AC73" s="526">
        <f t="shared" si="18"/>
        <v>0</v>
      </c>
      <c r="AD73" s="415">
        <f t="shared" si="19"/>
        <v>0</v>
      </c>
      <c r="AE73" s="415">
        <f t="shared" si="12"/>
        <v>0</v>
      </c>
      <c r="AF73" s="415">
        <f t="shared" si="13"/>
        <v>0</v>
      </c>
      <c r="AG73" s="31" cm="1">
        <f t="array" ref="AG73">IF($AE73&lt;=0,0,IFERROR(_xlfn.LET(_xlpm.n,MAX(1,$AO73),_xlpm.i,$AE73/_xlpm.n,MIN(Max_Cond_Pos,MAX(Min_Cond_Pos,IF(_xlpm.n&gt;1,Par_Min_Pos,1),MATCH(TRUE,INDEX(Cond_Table,0,IF(_xlpm.i&lt;=100,BranchCol60,BranchAmpCol))&gt;=_xlpm.i,0),IF(OR(Tog_VD&lt;&gt;"ON",$J73=0,$J73="",$AB73=0),0,MATCH(TRUE,INDEX(Cond_Table,0,2)&gt;=IF($E73=3,SQRT3,2)*BranchK*$AD73*$J73/($AQ$22*$AB73*_xlpm.n),0))))),0))</f>
        <v>0</v>
      </c>
      <c r="AH73" s="415">
        <f t="shared" si="20"/>
        <v>0</v>
      </c>
      <c r="AI73" s="31">
        <f t="shared" si="21"/>
        <v>2</v>
      </c>
      <c r="AJ73" s="415">
        <f t="shared" si="22"/>
        <v>0</v>
      </c>
      <c r="AK73" s="415">
        <f t="shared" si="23"/>
        <v>0</v>
      </c>
      <c r="AL73" s="415">
        <f t="shared" si="24"/>
        <v>0</v>
      </c>
      <c r="AM73" s="31"/>
      <c r="AN73" s="31">
        <f t="shared" ref="AN73:AN112" si="25">IF(OR(AND($E72&gt;=2,$AN72=0),AND($E71&gt;=3,$AN71=0)),1,0)</f>
        <v>0</v>
      </c>
      <c r="AO73" s="563" cm="1">
        <f t="array" ref="AO73">IF($AE73&lt;=0,0,IFERROR(_xlfn.LET(_xlpm.col,IF($AE73&lt;=100,BranchCol60,BranchAmpCol),_xlpm.nA,ROUNDUP($AE73/INDEX(Cond_Table,Max_Cond_Pos,_xlpm.col),0),_xlpm.cm,IF(OR(Tog_VD&lt;&gt;"ON",$J73=0,$J73="",$AB73=0),0,IF($E73=3,SQRT3,2)*BranchK*$AD73*$J73/($AQ$22*$AB73)),_xlpm.nV,ROUNDUP(_xlpm.cm/INDEX(Cond_Table,Max_Cond_Pos,2),0),MAX(1,_xlpm.nA,_xlpm.nV)),1))</f>
        <v>0</v>
      </c>
      <c r="AP73" s="236"/>
      <c r="AQ73" s="236"/>
      <c r="AR73" s="236"/>
      <c r="AS73" s="31"/>
      <c r="AT73" s="31"/>
      <c r="AU73" s="31"/>
      <c r="AV73" s="31"/>
      <c r="AW73" s="31"/>
      <c r="AX73" s="31"/>
      <c r="AY73" s="236"/>
    </row>
    <row r="74" spans="1:51" ht="15" customHeight="1" x14ac:dyDescent="0.35">
      <c r="A74"/>
      <c r="B74" s="424">
        <f>2*(ROW()-71)+2</f>
        <v>8</v>
      </c>
      <c r="C74" s="663"/>
      <c r="D74" s="664"/>
      <c r="E74" s="411"/>
      <c r="F74" s="16" t="str" cm="1">
        <f t="array" ref="F74">IF($AN74=1,"-",IF($G74="Spare",IF($AM74&lt;&gt;"",$AM74,20),IF(OR($G74="",$G74="Space",$AF74&lt;=0),"",IFERROR(INDEX(OCPD_List,MATCH($AF74,OCPD_List,1)+IF(INDEX(OCPD_List,MATCH($AF74,OCPD_List,1))&gt;=$AF74,0,1)),15))))</f>
        <v/>
      </c>
      <c r="G74" s="412" t="str" cm="1">
        <f t="array" ref="G74">IF($AN74=1,"-",IF(COUNT($O74:$W74)=0,IF(UPPER(TRIM($C74))="SPARE","Spare","Space"),IF(COUNTIF($O74:$W74,"&gt;0")&gt;1,"COMB",CHOOSE(MATCH(TRUE,INDEX($O74:$W74&lt;&gt;"",0),0),"Lighting","Receptacle","Motor","HVAC","Electric Heat","Kitchen Equip","Continuous (Other)","Non-Continuous","Panel"))))</f>
        <v>Space</v>
      </c>
      <c r="H74" s="30" t="str">
        <f t="shared" si="10"/>
        <v/>
      </c>
      <c r="I74" s="411"/>
      <c r="J74" s="411"/>
      <c r="K74" s="320" t="str" cm="1">
        <f t="array" ref="K74">IF(OR(Tog_VD&lt;&gt;"ON",$AD74=0,$AG74=0,$J74=0,$J74="",$AB74=0),"",(IF($E74=3,SQRT3,2)*BranchK*$AD74*$J74/(INDEX(INDEX(Cond_Table,0,2),$AG74)*MAX(1,$AO74)))/$AB74)</f>
        <v/>
      </c>
      <c r="L74" s="16" t="str" cm="1">
        <f t="array" ref="L74">IF(OR(Tog_Wire&lt;&gt;"ON",$AG74=0),"",IFERROR(IF($AO74&gt;1,"("&amp;$AO74&amp;") ","")&amp;"#"&amp;INDEX(Cond_Size,$AG74)&amp;" | #"&amp;INDEX(Cond_Size,MIN($AG74,MAX(Min_Cond_Pos,MATCH(TRUE,INDEX(Cond_Table,0,2)&gt;=INDEX(INDEX(Cond_Table,0,2),MATCH(INDEX(INDEX(EGC_Table,0,IF(Cfg_BranchMat="Cu",2,3)),MATCH(TRUE,INDEX(EGC_Table,0,1)&gt;=$F74,0)),Cond_Size,0))*INDEX(INDEX(Cond_Table,0,2),$AG74)/INDEX(INDEX(Cond_Table,0,2),MAX(Min_Cond_Pos,MATCH(TRUE,INDEX(Cond_Table,0,IF($AE74&lt;=100,BranchCol60,BranchAmpCol))&gt;=$AE74/MAX(1,$AO74),0))),0))))&amp;"G",""))</f>
        <v/>
      </c>
      <c r="M74" s="428"/>
      <c r="O74" s="217"/>
      <c r="P74" s="218"/>
      <c r="Q74" s="218"/>
      <c r="R74" s="218"/>
      <c r="S74" s="218"/>
      <c r="T74" s="218"/>
      <c r="U74" s="218"/>
      <c r="V74" s="218"/>
      <c r="W74" s="219"/>
      <c r="X74"/>
      <c r="Y74" s="414">
        <f t="shared" si="15"/>
        <v>0</v>
      </c>
      <c r="Z74" s="415">
        <f t="shared" si="16"/>
        <v>0</v>
      </c>
      <c r="AA74" s="31" t="str">
        <f t="shared" si="17"/>
        <v>NONE</v>
      </c>
      <c r="AB74" s="31" t="str">
        <f t="shared" si="11"/>
        <v/>
      </c>
      <c r="AC74" s="526">
        <f t="shared" si="18"/>
        <v>0</v>
      </c>
      <c r="AD74" s="415">
        <f t="shared" si="19"/>
        <v>0</v>
      </c>
      <c r="AE74" s="415">
        <f t="shared" si="12"/>
        <v>0</v>
      </c>
      <c r="AF74" s="415">
        <f t="shared" si="13"/>
        <v>0</v>
      </c>
      <c r="AG74" s="31" cm="1">
        <f t="array" ref="AG74">IF($AE74&lt;=0,0,IFERROR(_xlfn.LET(_xlpm.n,MAX(1,$AO74),_xlpm.i,$AE74/_xlpm.n,MIN(Max_Cond_Pos,MAX(Min_Cond_Pos,IF(_xlpm.n&gt;1,Par_Min_Pos,1),MATCH(TRUE,INDEX(Cond_Table,0,IF(_xlpm.i&lt;=100,BranchCol60,BranchAmpCol))&gt;=_xlpm.i,0),IF(OR(Tog_VD&lt;&gt;"ON",$J74=0,$J74="",$AB74=0),0,MATCH(TRUE,INDEX(Cond_Table,0,2)&gt;=IF($E74=3,SQRT3,2)*BranchK*$AD74*$J74/($AQ$22*$AB74*_xlpm.n),0))))),0))</f>
        <v>0</v>
      </c>
      <c r="AH74" s="415">
        <f t="shared" si="20"/>
        <v>0</v>
      </c>
      <c r="AI74" s="31">
        <f t="shared" si="21"/>
        <v>0</v>
      </c>
      <c r="AJ74" s="415">
        <f t="shared" si="22"/>
        <v>0</v>
      </c>
      <c r="AK74" s="415">
        <f t="shared" si="23"/>
        <v>0</v>
      </c>
      <c r="AL74" s="415">
        <f t="shared" si="24"/>
        <v>0</v>
      </c>
      <c r="AN74" s="31">
        <f t="shared" si="25"/>
        <v>0</v>
      </c>
      <c r="AO74" s="563" cm="1">
        <f t="array" ref="AO74">IF($AE74&lt;=0,0,IFERROR(_xlfn.LET(_xlpm.col,IF($AE74&lt;=100,BranchCol60,BranchAmpCol),_xlpm.nA,ROUNDUP($AE74/INDEX(Cond_Table,Max_Cond_Pos,_xlpm.col),0),_xlpm.cm,IF(OR(Tog_VD&lt;&gt;"ON",$J74=0,$J74="",$AB74=0),0,IF($E74=3,SQRT3,2)*BranchK*$AD74*$J74/($AQ$22*$AB74)),_xlpm.nV,ROUNDUP(_xlpm.cm/INDEX(Cond_Table,Max_Cond_Pos,2),0),MAX(1,_xlpm.nA,_xlpm.nV)),1))</f>
        <v>0</v>
      </c>
    </row>
    <row r="75" spans="1:51" ht="15" customHeight="1" x14ac:dyDescent="0.35">
      <c r="A75"/>
      <c r="B75" s="424">
        <f>2*(ROW()-71)+2</f>
        <v>10</v>
      </c>
      <c r="C75" s="663"/>
      <c r="D75" s="664"/>
      <c r="E75" s="411"/>
      <c r="F75" s="16" t="str" cm="1">
        <f t="array" ref="F75">IF($AN75=1,"-",IF($G75="Spare",IF($AM75&lt;&gt;"",$AM75,20),IF(OR($G75="",$G75="Space",$AF75&lt;=0),"",IFERROR(INDEX(OCPD_List,MATCH($AF75,OCPD_List,1)+IF(INDEX(OCPD_List,MATCH($AF75,OCPD_List,1))&gt;=$AF75,0,1)),15))))</f>
        <v/>
      </c>
      <c r="G75" s="412" t="str" cm="1">
        <f t="array" ref="G75">IF($AN75=1,"-",IF(COUNT($O75:$W75)=0,IF(UPPER(TRIM($C75))="SPARE","Spare","Space"),IF(COUNTIF($O75:$W75,"&gt;0")&gt;1,"COMB",CHOOSE(MATCH(TRUE,INDEX($O75:$W75&lt;&gt;"",0),0),"Lighting","Receptacle","Motor","HVAC","Electric Heat","Kitchen Equip","Continuous (Other)","Non-Continuous","Panel"))))</f>
        <v>Space</v>
      </c>
      <c r="H75" s="30" t="str">
        <f t="shared" si="10"/>
        <v/>
      </c>
      <c r="I75" s="411"/>
      <c r="J75" s="411"/>
      <c r="K75" s="320" t="str" cm="1">
        <f t="array" ref="K75">IF(OR(Tog_VD&lt;&gt;"ON",$AD75=0,$AG75=0,$J75=0,$J75="",$AB75=0),"",(IF($E75=3,SQRT3,2)*BranchK*$AD75*$J75/(INDEX(INDEX(Cond_Table,0,2),$AG75)*MAX(1,$AO75)))/$AB75)</f>
        <v/>
      </c>
      <c r="L75" s="16" t="str" cm="1">
        <f t="array" ref="L75">IF(OR(Tog_Wire&lt;&gt;"ON",$AG75=0),"",IFERROR(IF($AO75&gt;1,"("&amp;$AO75&amp;") ","")&amp;"#"&amp;INDEX(Cond_Size,$AG75)&amp;" | #"&amp;INDEX(Cond_Size,MIN($AG75,MAX(Min_Cond_Pos,MATCH(TRUE,INDEX(Cond_Table,0,2)&gt;=INDEX(INDEX(Cond_Table,0,2),MATCH(INDEX(INDEX(EGC_Table,0,IF(Cfg_BranchMat="Cu",2,3)),MATCH(TRUE,INDEX(EGC_Table,0,1)&gt;=$F75,0)),Cond_Size,0))*INDEX(INDEX(Cond_Table,0,2),$AG75)/INDEX(INDEX(Cond_Table,0,2),MAX(Min_Cond_Pos,MATCH(TRUE,INDEX(Cond_Table,0,IF($AE75&lt;=100,BranchCol60,BranchAmpCol))&gt;=$AE75/MAX(1,$AO75),0))),0))))&amp;"G",""))</f>
        <v/>
      </c>
      <c r="M75" s="428"/>
      <c r="O75" s="217"/>
      <c r="P75" s="218"/>
      <c r="Q75" s="218"/>
      <c r="R75" s="218"/>
      <c r="S75" s="218"/>
      <c r="T75" s="218"/>
      <c r="U75" s="218"/>
      <c r="V75" s="218"/>
      <c r="W75" s="219"/>
      <c r="X75"/>
      <c r="Y75" s="414">
        <f t="shared" si="15"/>
        <v>0</v>
      </c>
      <c r="Z75" s="415">
        <f t="shared" si="16"/>
        <v>0</v>
      </c>
      <c r="AA75" s="31" t="str">
        <f t="shared" si="17"/>
        <v>NONE</v>
      </c>
      <c r="AB75" s="31" t="str">
        <f t="shared" si="11"/>
        <v/>
      </c>
      <c r="AC75" s="526">
        <f t="shared" si="18"/>
        <v>0</v>
      </c>
      <c r="AD75" s="415">
        <f t="shared" si="19"/>
        <v>0</v>
      </c>
      <c r="AE75" s="415">
        <f t="shared" si="12"/>
        <v>0</v>
      </c>
      <c r="AF75" s="415">
        <f t="shared" si="13"/>
        <v>0</v>
      </c>
      <c r="AG75" s="31" cm="1">
        <f t="array" ref="AG75">IF($AE75&lt;=0,0,IFERROR(_xlfn.LET(_xlpm.n,MAX(1,$AO75),_xlpm.i,$AE75/_xlpm.n,MIN(Max_Cond_Pos,MAX(Min_Cond_Pos,IF(_xlpm.n&gt;1,Par_Min_Pos,1),MATCH(TRUE,INDEX(Cond_Table,0,IF(_xlpm.i&lt;=100,BranchCol60,BranchAmpCol))&gt;=_xlpm.i,0),IF(OR(Tog_VD&lt;&gt;"ON",$J75=0,$J75="",$AB75=0),0,MATCH(TRUE,INDEX(Cond_Table,0,2)&gt;=IF($E75=3,SQRT3,2)*BranchK*$AD75*$J75/($AQ$22*$AB75*_xlpm.n),0))))),0))</f>
        <v>0</v>
      </c>
      <c r="AH75" s="415">
        <f t="shared" si="20"/>
        <v>0</v>
      </c>
      <c r="AI75" s="31">
        <f t="shared" si="21"/>
        <v>1</v>
      </c>
      <c r="AJ75" s="415">
        <f t="shared" si="22"/>
        <v>0</v>
      </c>
      <c r="AK75" s="415">
        <f t="shared" si="23"/>
        <v>0</v>
      </c>
      <c r="AL75" s="415">
        <f t="shared" si="24"/>
        <v>0</v>
      </c>
      <c r="AN75" s="31">
        <f t="shared" si="25"/>
        <v>0</v>
      </c>
      <c r="AO75" s="563" cm="1">
        <f t="array" ref="AO75">IF($AE75&lt;=0,0,IFERROR(_xlfn.LET(_xlpm.col,IF($AE75&lt;=100,BranchCol60,BranchAmpCol),_xlpm.nA,ROUNDUP($AE75/INDEX(Cond_Table,Max_Cond_Pos,_xlpm.col),0),_xlpm.cm,IF(OR(Tog_VD&lt;&gt;"ON",$J75=0,$J75="",$AB75=0),0,IF($E75=3,SQRT3,2)*BranchK*$AD75*$J75/($AQ$22*$AB75)),_xlpm.nV,ROUNDUP(_xlpm.cm/INDEX(Cond_Table,Max_Cond_Pos,2),0),MAX(1,_xlpm.nA,_xlpm.nV)),1))</f>
        <v>0</v>
      </c>
    </row>
    <row r="76" spans="1:51" ht="15" customHeight="1" x14ac:dyDescent="0.35">
      <c r="A76"/>
      <c r="B76" s="424">
        <f>2*(ROW()-71)+2</f>
        <v>12</v>
      </c>
      <c r="C76" s="663"/>
      <c r="D76" s="664"/>
      <c r="E76" s="411"/>
      <c r="F76" s="16" t="str" cm="1">
        <f t="array" ref="F76">IF($AN76=1,"-",IF($G76="Spare",IF($AM76&lt;&gt;"",$AM76,20),IF(OR($G76="",$G76="Space",$AF76&lt;=0),"",IFERROR(INDEX(OCPD_List,MATCH($AF76,OCPD_List,1)+IF(INDEX(OCPD_List,MATCH($AF76,OCPD_List,1))&gt;=$AF76,0,1)),15))))</f>
        <v/>
      </c>
      <c r="G76" s="412" t="str" cm="1">
        <f t="array" ref="G76">IF($AN76=1,"-",IF(COUNT($O76:$W76)=0,IF(UPPER(TRIM($C76))="SPARE","Spare","Space"),IF(COUNTIF($O76:$W76,"&gt;0")&gt;1,"COMB",CHOOSE(MATCH(TRUE,INDEX($O76:$W76&lt;&gt;"",0),0),"Lighting","Receptacle","Motor","HVAC","Electric Heat","Kitchen Equip","Continuous (Other)","Non-Continuous","Panel"))))</f>
        <v>Space</v>
      </c>
      <c r="H76" s="30" t="str">
        <f t="shared" si="10"/>
        <v/>
      </c>
      <c r="I76" s="411"/>
      <c r="J76" s="411"/>
      <c r="K76" s="320" t="str" cm="1">
        <f t="array" ref="K76">IF(OR(Tog_VD&lt;&gt;"ON",$AD76=0,$AG76=0,$J76=0,$J76="",$AB76=0),"",(IF($E76=3,SQRT3,2)*BranchK*$AD76*$J76/(INDEX(INDEX(Cond_Table,0,2),$AG76)*MAX(1,$AO76)))/$AB76)</f>
        <v/>
      </c>
      <c r="L76" s="16" t="str" cm="1">
        <f t="array" ref="L76">IF(OR(Tog_Wire&lt;&gt;"ON",$AG76=0),"",IFERROR(IF($AO76&gt;1,"("&amp;$AO76&amp;") ","")&amp;"#"&amp;INDEX(Cond_Size,$AG76)&amp;" | #"&amp;INDEX(Cond_Size,MIN($AG76,MAX(Min_Cond_Pos,MATCH(TRUE,INDEX(Cond_Table,0,2)&gt;=INDEX(INDEX(Cond_Table,0,2),MATCH(INDEX(INDEX(EGC_Table,0,IF(Cfg_BranchMat="Cu",2,3)),MATCH(TRUE,INDEX(EGC_Table,0,1)&gt;=$F76,0)),Cond_Size,0))*INDEX(INDEX(Cond_Table,0,2),$AG76)/INDEX(INDEX(Cond_Table,0,2),MAX(Min_Cond_Pos,MATCH(TRUE,INDEX(Cond_Table,0,IF($AE76&lt;=100,BranchCol60,BranchAmpCol))&gt;=$AE76/MAX(1,$AO76),0))),0))))&amp;"G",""))</f>
        <v/>
      </c>
      <c r="M76" s="428"/>
      <c r="O76" s="217"/>
      <c r="P76" s="218"/>
      <c r="Q76" s="218"/>
      <c r="R76" s="218"/>
      <c r="S76" s="218"/>
      <c r="T76" s="218"/>
      <c r="U76" s="218"/>
      <c r="V76" s="218"/>
      <c r="W76" s="219"/>
      <c r="X76"/>
      <c r="Y76" s="414">
        <f t="shared" si="15"/>
        <v>0</v>
      </c>
      <c r="Z76" s="415">
        <f t="shared" si="16"/>
        <v>0</v>
      </c>
      <c r="AA76" s="31" t="str">
        <f t="shared" si="17"/>
        <v>NONE</v>
      </c>
      <c r="AB76" s="31" t="str">
        <f t="shared" si="11"/>
        <v/>
      </c>
      <c r="AC76" s="526">
        <f t="shared" si="18"/>
        <v>0</v>
      </c>
      <c r="AD76" s="415">
        <f t="shared" si="19"/>
        <v>0</v>
      </c>
      <c r="AE76" s="415">
        <f t="shared" si="12"/>
        <v>0</v>
      </c>
      <c r="AF76" s="415">
        <f t="shared" si="13"/>
        <v>0</v>
      </c>
      <c r="AG76" s="31" cm="1">
        <f t="array" ref="AG76">IF($AE76&lt;=0,0,IFERROR(_xlfn.LET(_xlpm.n,MAX(1,$AO76),_xlpm.i,$AE76/_xlpm.n,MIN(Max_Cond_Pos,MAX(Min_Cond_Pos,IF(_xlpm.n&gt;1,Par_Min_Pos,1),MATCH(TRUE,INDEX(Cond_Table,0,IF(_xlpm.i&lt;=100,BranchCol60,BranchAmpCol))&gt;=_xlpm.i,0),IF(OR(Tog_VD&lt;&gt;"ON",$J76=0,$J76="",$AB76=0),0,MATCH(TRUE,INDEX(Cond_Table,0,2)&gt;=IF($E76=3,SQRT3,2)*BranchK*$AD76*$J76/($AQ$22*$AB76*_xlpm.n),0))))),0))</f>
        <v>0</v>
      </c>
      <c r="AH76" s="415">
        <f t="shared" si="20"/>
        <v>0</v>
      </c>
      <c r="AI76" s="31">
        <f t="shared" si="21"/>
        <v>2</v>
      </c>
      <c r="AJ76" s="415">
        <f t="shared" si="22"/>
        <v>0</v>
      </c>
      <c r="AK76" s="415">
        <f t="shared" si="23"/>
        <v>0</v>
      </c>
      <c r="AL76" s="415">
        <f t="shared" si="24"/>
        <v>0</v>
      </c>
      <c r="AN76" s="31">
        <f t="shared" si="25"/>
        <v>0</v>
      </c>
      <c r="AO76" s="563" cm="1">
        <f t="array" ref="AO76">IF($AE76&lt;=0,0,IFERROR(_xlfn.LET(_xlpm.col,IF($AE76&lt;=100,BranchCol60,BranchAmpCol),_xlpm.nA,ROUNDUP($AE76/INDEX(Cond_Table,Max_Cond_Pos,_xlpm.col),0),_xlpm.cm,IF(OR(Tog_VD&lt;&gt;"ON",$J76=0,$J76="",$AB76=0),0,IF($E76=3,SQRT3,2)*BranchK*$AD76*$J76/($AQ$22*$AB76)),_xlpm.nV,ROUNDUP(_xlpm.cm/INDEX(Cond_Table,Max_Cond_Pos,2),0),MAX(1,_xlpm.nA,_xlpm.nV)),1))</f>
        <v>0</v>
      </c>
    </row>
    <row r="77" spans="1:51" ht="15" customHeight="1" x14ac:dyDescent="0.35">
      <c r="A77"/>
      <c r="B77" s="424">
        <f>2*(ROW()-71)+2</f>
        <v>14</v>
      </c>
      <c r="C77" s="663"/>
      <c r="D77" s="664"/>
      <c r="E77" s="411"/>
      <c r="F77" s="16" t="str" cm="1">
        <f t="array" ref="F77">IF($AN77=1,"-",IF($G77="Spare",IF($AM77&lt;&gt;"",$AM77,20),IF(OR($G77="",$G77="Space",$AF77&lt;=0),"",IFERROR(INDEX(OCPD_List,MATCH($AF77,OCPD_List,1)+IF(INDEX(OCPD_List,MATCH($AF77,OCPD_List,1))&gt;=$AF77,0,1)),15))))</f>
        <v/>
      </c>
      <c r="G77" s="412" t="str" cm="1">
        <f t="array" ref="G77">IF($AN77=1,"-",IF(COUNT($O77:$W77)=0,IF(UPPER(TRIM($C77))="SPARE","Spare","Space"),IF(COUNTIF($O77:$W77,"&gt;0")&gt;1,"COMB",CHOOSE(MATCH(TRUE,INDEX($O77:$W77&lt;&gt;"",0),0),"Lighting","Receptacle","Motor","HVAC","Electric Heat","Kitchen Equip","Continuous (Other)","Non-Continuous","Panel"))))</f>
        <v>Space</v>
      </c>
      <c r="H77" s="30" t="str">
        <f t="shared" si="10"/>
        <v/>
      </c>
      <c r="I77" s="411"/>
      <c r="J77" s="411"/>
      <c r="K77" s="320" t="str" cm="1">
        <f t="array" ref="K77">IF(OR(Tog_VD&lt;&gt;"ON",$AD77=0,$AG77=0,$J77=0,$J77="",$AB77=0),"",(IF($E77=3,SQRT3,2)*BranchK*$AD77*$J77/(INDEX(INDEX(Cond_Table,0,2),$AG77)*MAX(1,$AO77)))/$AB77)</f>
        <v/>
      </c>
      <c r="L77" s="16" t="str" cm="1">
        <f t="array" ref="L77">IF(OR(Tog_Wire&lt;&gt;"ON",$AG77=0),"",IFERROR(IF($AO77&gt;1,"("&amp;$AO77&amp;") ","")&amp;"#"&amp;INDEX(Cond_Size,$AG77)&amp;" | #"&amp;INDEX(Cond_Size,MIN($AG77,MAX(Min_Cond_Pos,MATCH(TRUE,INDEX(Cond_Table,0,2)&gt;=INDEX(INDEX(Cond_Table,0,2),MATCH(INDEX(INDEX(EGC_Table,0,IF(Cfg_BranchMat="Cu",2,3)),MATCH(TRUE,INDEX(EGC_Table,0,1)&gt;=$F77,0)),Cond_Size,0))*INDEX(INDEX(Cond_Table,0,2),$AG77)/INDEX(INDEX(Cond_Table,0,2),MAX(Min_Cond_Pos,MATCH(TRUE,INDEX(Cond_Table,0,IF($AE77&lt;=100,BranchCol60,BranchAmpCol))&gt;=$AE77/MAX(1,$AO77),0))),0))))&amp;"G",""))</f>
        <v/>
      </c>
      <c r="M77" s="428"/>
      <c r="O77" s="217"/>
      <c r="P77" s="218"/>
      <c r="Q77" s="218"/>
      <c r="R77" s="218"/>
      <c r="S77" s="218"/>
      <c r="T77" s="218"/>
      <c r="U77" s="218"/>
      <c r="V77" s="218"/>
      <c r="W77" s="219"/>
      <c r="X77"/>
      <c r="Y77" s="414">
        <f t="shared" si="15"/>
        <v>0</v>
      </c>
      <c r="Z77" s="415">
        <f t="shared" si="16"/>
        <v>0</v>
      </c>
      <c r="AA77" s="31" t="str">
        <f t="shared" si="17"/>
        <v>NONE</v>
      </c>
      <c r="AB77" s="31" t="str">
        <f t="shared" si="11"/>
        <v/>
      </c>
      <c r="AC77" s="526">
        <f t="shared" si="18"/>
        <v>0</v>
      </c>
      <c r="AD77" s="415">
        <f t="shared" si="19"/>
        <v>0</v>
      </c>
      <c r="AE77" s="415">
        <f t="shared" si="12"/>
        <v>0</v>
      </c>
      <c r="AF77" s="415">
        <f t="shared" si="13"/>
        <v>0</v>
      </c>
      <c r="AG77" s="31" cm="1">
        <f t="array" ref="AG77">IF($AE77&lt;=0,0,IFERROR(_xlfn.LET(_xlpm.n,MAX(1,$AO77),_xlpm.i,$AE77/_xlpm.n,MIN(Max_Cond_Pos,MAX(Min_Cond_Pos,IF(_xlpm.n&gt;1,Par_Min_Pos,1),MATCH(TRUE,INDEX(Cond_Table,0,IF(_xlpm.i&lt;=100,BranchCol60,BranchAmpCol))&gt;=_xlpm.i,0),IF(OR(Tog_VD&lt;&gt;"ON",$J77=0,$J77="",$AB77=0),0,MATCH(TRUE,INDEX(Cond_Table,0,2)&gt;=IF($E77=3,SQRT3,2)*BranchK*$AD77*$J77/($AQ$22*$AB77*_xlpm.n),0))))),0))</f>
        <v>0</v>
      </c>
      <c r="AH77" s="415">
        <f t="shared" si="20"/>
        <v>0</v>
      </c>
      <c r="AI77" s="31">
        <f t="shared" si="21"/>
        <v>0</v>
      </c>
      <c r="AJ77" s="415">
        <f t="shared" si="22"/>
        <v>0</v>
      </c>
      <c r="AK77" s="415">
        <f t="shared" si="23"/>
        <v>0</v>
      </c>
      <c r="AL77" s="415">
        <f t="shared" si="24"/>
        <v>0</v>
      </c>
      <c r="AN77" s="31">
        <f t="shared" si="25"/>
        <v>0</v>
      </c>
      <c r="AO77" s="563" cm="1">
        <f t="array" ref="AO77">IF($AE77&lt;=0,0,IFERROR(_xlfn.LET(_xlpm.col,IF($AE77&lt;=100,BranchCol60,BranchAmpCol),_xlpm.nA,ROUNDUP($AE77/INDEX(Cond_Table,Max_Cond_Pos,_xlpm.col),0),_xlpm.cm,IF(OR(Tog_VD&lt;&gt;"ON",$J77=0,$J77="",$AB77=0),0,IF($E77=3,SQRT3,2)*BranchK*$AD77*$J77/($AQ$22*$AB77)),_xlpm.nV,ROUNDUP(_xlpm.cm/INDEX(Cond_Table,Max_Cond_Pos,2),0),MAX(1,_xlpm.nA,_xlpm.nV)),1))</f>
        <v>0</v>
      </c>
    </row>
    <row r="78" spans="1:51" ht="15" customHeight="1" x14ac:dyDescent="0.35">
      <c r="A78"/>
      <c r="B78" s="424">
        <f>2*(ROW()-71)+2</f>
        <v>16</v>
      </c>
      <c r="C78" s="663"/>
      <c r="D78" s="664"/>
      <c r="E78" s="411"/>
      <c r="F78" s="16" t="str" cm="1">
        <f t="array" ref="F78">IF($AN78=1,"-",IF($G78="Spare",IF($AM78&lt;&gt;"",$AM78,20),IF(OR($G78="",$G78="Space",$AF78&lt;=0),"",IFERROR(INDEX(OCPD_List,MATCH($AF78,OCPD_List,1)+IF(INDEX(OCPD_List,MATCH($AF78,OCPD_List,1))&gt;=$AF78,0,1)),15))))</f>
        <v/>
      </c>
      <c r="G78" s="412" t="str" cm="1">
        <f t="array" ref="G78">IF($AN78=1,"-",IF(COUNT($O78:$W78)=0,IF(UPPER(TRIM($C78))="SPARE","Spare","Space"),IF(COUNTIF($O78:$W78,"&gt;0")&gt;1,"COMB",CHOOSE(MATCH(TRUE,INDEX($O78:$W78&lt;&gt;"",0),0),"Lighting","Receptacle","Motor","HVAC","Electric Heat","Kitchen Equip","Continuous (Other)","Non-Continuous","Panel"))))</f>
        <v>Space</v>
      </c>
      <c r="H78" s="30" t="str">
        <f t="shared" si="10"/>
        <v/>
      </c>
      <c r="I78" s="411"/>
      <c r="J78" s="411"/>
      <c r="K78" s="320" t="str" cm="1">
        <f t="array" ref="K78">IF(OR(Tog_VD&lt;&gt;"ON",$AD78=0,$AG78=0,$J78=0,$J78="",$AB78=0),"",(IF($E78=3,SQRT3,2)*BranchK*$AD78*$J78/(INDEX(INDEX(Cond_Table,0,2),$AG78)*MAX(1,$AO78)))/$AB78)</f>
        <v/>
      </c>
      <c r="L78" s="16" t="str" cm="1">
        <f t="array" ref="L78">IF(OR(Tog_Wire&lt;&gt;"ON",$AG78=0),"",IFERROR(IF($AO78&gt;1,"("&amp;$AO78&amp;") ","")&amp;"#"&amp;INDEX(Cond_Size,$AG78)&amp;" | #"&amp;INDEX(Cond_Size,MIN($AG78,MAX(Min_Cond_Pos,MATCH(TRUE,INDEX(Cond_Table,0,2)&gt;=INDEX(INDEX(Cond_Table,0,2),MATCH(INDEX(INDEX(EGC_Table,0,IF(Cfg_BranchMat="Cu",2,3)),MATCH(TRUE,INDEX(EGC_Table,0,1)&gt;=$F78,0)),Cond_Size,0))*INDEX(INDEX(Cond_Table,0,2),$AG78)/INDEX(INDEX(Cond_Table,0,2),MAX(Min_Cond_Pos,MATCH(TRUE,INDEX(Cond_Table,0,IF($AE78&lt;=100,BranchCol60,BranchAmpCol))&gt;=$AE78/MAX(1,$AO78),0))),0))))&amp;"G",""))</f>
        <v/>
      </c>
      <c r="M78" s="428"/>
      <c r="O78" s="217"/>
      <c r="P78" s="218"/>
      <c r="Q78" s="218"/>
      <c r="R78" s="218"/>
      <c r="S78" s="218"/>
      <c r="T78" s="218"/>
      <c r="U78" s="218"/>
      <c r="V78" s="218"/>
      <c r="W78" s="219"/>
      <c r="X78"/>
      <c r="Y78" s="414">
        <f t="shared" si="15"/>
        <v>0</v>
      </c>
      <c r="Z78" s="415">
        <f t="shared" si="16"/>
        <v>0</v>
      </c>
      <c r="AA78" s="31" t="str">
        <f t="shared" si="17"/>
        <v>NONE</v>
      </c>
      <c r="AB78" s="31" t="str">
        <f t="shared" si="11"/>
        <v/>
      </c>
      <c r="AC78" s="526">
        <f t="shared" si="18"/>
        <v>0</v>
      </c>
      <c r="AD78" s="415">
        <f t="shared" si="19"/>
        <v>0</v>
      </c>
      <c r="AE78" s="415">
        <f t="shared" si="12"/>
        <v>0</v>
      </c>
      <c r="AF78" s="415">
        <f t="shared" si="13"/>
        <v>0</v>
      </c>
      <c r="AG78" s="31" cm="1">
        <f t="array" ref="AG78">IF($AE78&lt;=0,0,IFERROR(_xlfn.LET(_xlpm.n,MAX(1,$AO78),_xlpm.i,$AE78/_xlpm.n,MIN(Max_Cond_Pos,MAX(Min_Cond_Pos,IF(_xlpm.n&gt;1,Par_Min_Pos,1),MATCH(TRUE,INDEX(Cond_Table,0,IF(_xlpm.i&lt;=100,BranchCol60,BranchAmpCol))&gt;=_xlpm.i,0),IF(OR(Tog_VD&lt;&gt;"ON",$J78=0,$J78="",$AB78=0),0,MATCH(TRUE,INDEX(Cond_Table,0,2)&gt;=IF($E78=3,SQRT3,2)*BranchK*$AD78*$J78/($AQ$22*$AB78*_xlpm.n),0))))),0))</f>
        <v>0</v>
      </c>
      <c r="AH78" s="415">
        <f t="shared" si="20"/>
        <v>0</v>
      </c>
      <c r="AI78" s="31">
        <f t="shared" si="21"/>
        <v>1</v>
      </c>
      <c r="AJ78" s="415">
        <f t="shared" si="22"/>
        <v>0</v>
      </c>
      <c r="AK78" s="415">
        <f t="shared" si="23"/>
        <v>0</v>
      </c>
      <c r="AL78" s="415">
        <f t="shared" si="24"/>
        <v>0</v>
      </c>
      <c r="AN78" s="31">
        <f t="shared" si="25"/>
        <v>0</v>
      </c>
      <c r="AO78" s="563" cm="1">
        <f t="array" ref="AO78">IF($AE78&lt;=0,0,IFERROR(_xlfn.LET(_xlpm.col,IF($AE78&lt;=100,BranchCol60,BranchAmpCol),_xlpm.nA,ROUNDUP($AE78/INDEX(Cond_Table,Max_Cond_Pos,_xlpm.col),0),_xlpm.cm,IF(OR(Tog_VD&lt;&gt;"ON",$J78=0,$J78="",$AB78=0),0,IF($E78=3,SQRT3,2)*BranchK*$AD78*$J78/($AQ$22*$AB78)),_xlpm.nV,ROUNDUP(_xlpm.cm/INDEX(Cond_Table,Max_Cond_Pos,2),0),MAX(1,_xlpm.nA,_xlpm.nV)),1))</f>
        <v>0</v>
      </c>
    </row>
    <row r="79" spans="1:51" ht="15" customHeight="1" x14ac:dyDescent="0.35">
      <c r="A79"/>
      <c r="B79" s="424">
        <f>2*(ROW()-71)+2</f>
        <v>18</v>
      </c>
      <c r="C79" s="663"/>
      <c r="D79" s="664"/>
      <c r="E79" s="411"/>
      <c r="F79" s="16" t="str" cm="1">
        <f t="array" ref="F79">IF($AN79=1,"-",IF($G79="Spare",IF($AM79&lt;&gt;"",$AM79,20),IF(OR($G79="",$G79="Space",$AF79&lt;=0),"",IFERROR(INDEX(OCPD_List,MATCH($AF79,OCPD_List,1)+IF(INDEX(OCPD_List,MATCH($AF79,OCPD_List,1))&gt;=$AF79,0,1)),15))))</f>
        <v/>
      </c>
      <c r="G79" s="412" t="str" cm="1">
        <f t="array" ref="G79">IF($AN79=1,"-",IF(COUNT($O79:$W79)=0,IF(UPPER(TRIM($C79))="SPARE","Spare","Space"),IF(COUNTIF($O79:$W79,"&gt;0")&gt;1,"COMB",CHOOSE(MATCH(TRUE,INDEX($O79:$W79&lt;&gt;"",0),0),"Lighting","Receptacle","Motor","HVAC","Electric Heat","Kitchen Equip","Continuous (Other)","Non-Continuous","Panel"))))</f>
        <v>Space</v>
      </c>
      <c r="H79" s="30" t="str">
        <f t="shared" si="10"/>
        <v/>
      </c>
      <c r="I79" s="411"/>
      <c r="J79" s="411"/>
      <c r="K79" s="320" t="str" cm="1">
        <f t="array" ref="K79">IF(OR(Tog_VD&lt;&gt;"ON",$AD79=0,$AG79=0,$J79=0,$J79="",$AB79=0),"",(IF($E79=3,SQRT3,2)*BranchK*$AD79*$J79/(INDEX(INDEX(Cond_Table,0,2),$AG79)*MAX(1,$AO79)))/$AB79)</f>
        <v/>
      </c>
      <c r="L79" s="16" t="str" cm="1">
        <f t="array" ref="L79">IF(OR(Tog_Wire&lt;&gt;"ON",$AG79=0),"",IFERROR(IF($AO79&gt;1,"("&amp;$AO79&amp;") ","")&amp;"#"&amp;INDEX(Cond_Size,$AG79)&amp;" | #"&amp;INDEX(Cond_Size,MIN($AG79,MAX(Min_Cond_Pos,MATCH(TRUE,INDEX(Cond_Table,0,2)&gt;=INDEX(INDEX(Cond_Table,0,2),MATCH(INDEX(INDEX(EGC_Table,0,IF(Cfg_BranchMat="Cu",2,3)),MATCH(TRUE,INDEX(EGC_Table,0,1)&gt;=$F79,0)),Cond_Size,0))*INDEX(INDEX(Cond_Table,0,2),$AG79)/INDEX(INDEX(Cond_Table,0,2),MAX(Min_Cond_Pos,MATCH(TRUE,INDEX(Cond_Table,0,IF($AE79&lt;=100,BranchCol60,BranchAmpCol))&gt;=$AE79/MAX(1,$AO79),0))),0))))&amp;"G",""))</f>
        <v/>
      </c>
      <c r="M79" s="428"/>
      <c r="O79" s="217"/>
      <c r="P79" s="218"/>
      <c r="Q79" s="218"/>
      <c r="R79" s="218"/>
      <c r="S79" s="218"/>
      <c r="T79" s="218"/>
      <c r="U79" s="218"/>
      <c r="V79" s="218"/>
      <c r="W79" s="219"/>
      <c r="X79"/>
      <c r="Y79" s="414">
        <f t="shared" si="15"/>
        <v>0</v>
      </c>
      <c r="Z79" s="415">
        <f t="shared" si="16"/>
        <v>0</v>
      </c>
      <c r="AA79" s="31" t="str">
        <f t="shared" si="17"/>
        <v>NONE</v>
      </c>
      <c r="AB79" s="31" t="str">
        <f t="shared" si="11"/>
        <v/>
      </c>
      <c r="AC79" s="526">
        <f t="shared" si="18"/>
        <v>0</v>
      </c>
      <c r="AD79" s="415">
        <f t="shared" si="19"/>
        <v>0</v>
      </c>
      <c r="AE79" s="415">
        <f t="shared" si="12"/>
        <v>0</v>
      </c>
      <c r="AF79" s="415">
        <f t="shared" si="13"/>
        <v>0</v>
      </c>
      <c r="AG79" s="31" cm="1">
        <f t="array" ref="AG79">IF($AE79&lt;=0,0,IFERROR(_xlfn.LET(_xlpm.n,MAX(1,$AO79),_xlpm.i,$AE79/_xlpm.n,MIN(Max_Cond_Pos,MAX(Min_Cond_Pos,IF(_xlpm.n&gt;1,Par_Min_Pos,1),MATCH(TRUE,INDEX(Cond_Table,0,IF(_xlpm.i&lt;=100,BranchCol60,BranchAmpCol))&gt;=_xlpm.i,0),IF(OR(Tog_VD&lt;&gt;"ON",$J79=0,$J79="",$AB79=0),0,MATCH(TRUE,INDEX(Cond_Table,0,2)&gt;=IF($E79=3,SQRT3,2)*BranchK*$AD79*$J79/($AQ$22*$AB79*_xlpm.n),0))))),0))</f>
        <v>0</v>
      </c>
      <c r="AH79" s="415">
        <f t="shared" si="20"/>
        <v>0</v>
      </c>
      <c r="AI79" s="31">
        <f t="shared" si="21"/>
        <v>2</v>
      </c>
      <c r="AJ79" s="415">
        <f t="shared" si="22"/>
        <v>0</v>
      </c>
      <c r="AK79" s="415">
        <f t="shared" si="23"/>
        <v>0</v>
      </c>
      <c r="AL79" s="415">
        <f t="shared" si="24"/>
        <v>0</v>
      </c>
      <c r="AN79" s="31">
        <f t="shared" si="25"/>
        <v>0</v>
      </c>
      <c r="AO79" s="563" cm="1">
        <f t="array" ref="AO79">IF($AE79&lt;=0,0,IFERROR(_xlfn.LET(_xlpm.col,IF($AE79&lt;=100,BranchCol60,BranchAmpCol),_xlpm.nA,ROUNDUP($AE79/INDEX(Cond_Table,Max_Cond_Pos,_xlpm.col),0),_xlpm.cm,IF(OR(Tog_VD&lt;&gt;"ON",$J79=0,$J79="",$AB79=0),0,IF($E79=3,SQRT3,2)*BranchK*$AD79*$J79/($AQ$22*$AB79)),_xlpm.nV,ROUNDUP(_xlpm.cm/INDEX(Cond_Table,Max_Cond_Pos,2),0),MAX(1,_xlpm.nA,_xlpm.nV)),1))</f>
        <v>0</v>
      </c>
    </row>
    <row r="80" spans="1:51" ht="15" customHeight="1" x14ac:dyDescent="0.35">
      <c r="A80"/>
      <c r="B80" s="424">
        <f>2*(ROW()-71)+2</f>
        <v>20</v>
      </c>
      <c r="C80" s="663"/>
      <c r="D80" s="664"/>
      <c r="E80" s="411"/>
      <c r="F80" s="16" t="str" cm="1">
        <f t="array" ref="F80">IF($AN80=1,"-",IF($G80="Spare",IF($AM80&lt;&gt;"",$AM80,20),IF(OR($G80="",$G80="Space",$AF80&lt;=0),"",IFERROR(INDEX(OCPD_List,MATCH($AF80,OCPD_List,1)+IF(INDEX(OCPD_List,MATCH($AF80,OCPD_List,1))&gt;=$AF80,0,1)),15))))</f>
        <v/>
      </c>
      <c r="G80" s="412" t="str" cm="1">
        <f t="array" ref="G80">IF($AN80=1,"-",IF(COUNT($O80:$W80)=0,IF(UPPER(TRIM($C80))="SPARE","Spare","Space"),IF(COUNTIF($O80:$W80,"&gt;0")&gt;1,"COMB",CHOOSE(MATCH(TRUE,INDEX($O80:$W80&lt;&gt;"",0),0),"Lighting","Receptacle","Motor","HVAC","Electric Heat","Kitchen Equip","Continuous (Other)","Non-Continuous","Panel"))))</f>
        <v>Space</v>
      </c>
      <c r="H80" s="30" t="str">
        <f t="shared" si="10"/>
        <v/>
      </c>
      <c r="I80" s="411"/>
      <c r="J80" s="411"/>
      <c r="K80" s="320" t="str" cm="1">
        <f t="array" ref="K80">IF(OR(Tog_VD&lt;&gt;"ON",$AD80=0,$AG80=0,$J80=0,$J80="",$AB80=0),"",(IF($E80=3,SQRT3,2)*BranchK*$AD80*$J80/(INDEX(INDEX(Cond_Table,0,2),$AG80)*MAX(1,$AO80)))/$AB80)</f>
        <v/>
      </c>
      <c r="L80" s="16" t="str" cm="1">
        <f t="array" ref="L80">IF(OR(Tog_Wire&lt;&gt;"ON",$AG80=0),"",IFERROR(IF($AO80&gt;1,"("&amp;$AO80&amp;") ","")&amp;"#"&amp;INDEX(Cond_Size,$AG80)&amp;" | #"&amp;INDEX(Cond_Size,MIN($AG80,MAX(Min_Cond_Pos,MATCH(TRUE,INDEX(Cond_Table,0,2)&gt;=INDEX(INDEX(Cond_Table,0,2),MATCH(INDEX(INDEX(EGC_Table,0,IF(Cfg_BranchMat="Cu",2,3)),MATCH(TRUE,INDEX(EGC_Table,0,1)&gt;=$F80,0)),Cond_Size,0))*INDEX(INDEX(Cond_Table,0,2),$AG80)/INDEX(INDEX(Cond_Table,0,2),MAX(Min_Cond_Pos,MATCH(TRUE,INDEX(Cond_Table,0,IF($AE80&lt;=100,BranchCol60,BranchAmpCol))&gt;=$AE80/MAX(1,$AO80),0))),0))))&amp;"G",""))</f>
        <v/>
      </c>
      <c r="M80" s="428"/>
      <c r="O80" s="217"/>
      <c r="P80" s="218"/>
      <c r="Q80" s="218"/>
      <c r="R80" s="218"/>
      <c r="S80" s="218"/>
      <c r="T80" s="218"/>
      <c r="U80" s="218"/>
      <c r="V80" s="218"/>
      <c r="W80" s="219"/>
      <c r="X80"/>
      <c r="Y80" s="414">
        <f t="shared" si="15"/>
        <v>0</v>
      </c>
      <c r="Z80" s="415">
        <f t="shared" si="16"/>
        <v>0</v>
      </c>
      <c r="AA80" s="31" t="str">
        <f t="shared" si="17"/>
        <v>NONE</v>
      </c>
      <c r="AB80" s="31" t="str">
        <f t="shared" si="11"/>
        <v/>
      </c>
      <c r="AC80" s="526">
        <f t="shared" si="18"/>
        <v>0</v>
      </c>
      <c r="AD80" s="415">
        <f t="shared" si="19"/>
        <v>0</v>
      </c>
      <c r="AE80" s="415">
        <f t="shared" si="12"/>
        <v>0</v>
      </c>
      <c r="AF80" s="415">
        <f t="shared" si="13"/>
        <v>0</v>
      </c>
      <c r="AG80" s="31" cm="1">
        <f t="array" ref="AG80">IF($AE80&lt;=0,0,IFERROR(_xlfn.LET(_xlpm.n,MAX(1,$AO80),_xlpm.i,$AE80/_xlpm.n,MIN(Max_Cond_Pos,MAX(Min_Cond_Pos,IF(_xlpm.n&gt;1,Par_Min_Pos,1),MATCH(TRUE,INDEX(Cond_Table,0,IF(_xlpm.i&lt;=100,BranchCol60,BranchAmpCol))&gt;=_xlpm.i,0),IF(OR(Tog_VD&lt;&gt;"ON",$J80=0,$J80="",$AB80=0),0,MATCH(TRUE,INDEX(Cond_Table,0,2)&gt;=IF($E80=3,SQRT3,2)*BranchK*$AD80*$J80/($AQ$22*$AB80*_xlpm.n),0))))),0))</f>
        <v>0</v>
      </c>
      <c r="AH80" s="415">
        <f t="shared" si="20"/>
        <v>0</v>
      </c>
      <c r="AI80" s="31">
        <f t="shared" si="21"/>
        <v>0</v>
      </c>
      <c r="AJ80" s="415">
        <f t="shared" si="22"/>
        <v>0</v>
      </c>
      <c r="AK80" s="415">
        <f t="shared" si="23"/>
        <v>0</v>
      </c>
      <c r="AL80" s="415">
        <f t="shared" si="24"/>
        <v>0</v>
      </c>
      <c r="AN80" s="31">
        <f t="shared" si="25"/>
        <v>0</v>
      </c>
      <c r="AO80" s="563" cm="1">
        <f t="array" ref="AO80">IF($AE80&lt;=0,0,IFERROR(_xlfn.LET(_xlpm.col,IF($AE80&lt;=100,BranchCol60,BranchAmpCol),_xlpm.nA,ROUNDUP($AE80/INDEX(Cond_Table,Max_Cond_Pos,_xlpm.col),0),_xlpm.cm,IF(OR(Tog_VD&lt;&gt;"ON",$J80=0,$J80="",$AB80=0),0,IF($E80=3,SQRT3,2)*BranchK*$AD80*$J80/($AQ$22*$AB80)),_xlpm.nV,ROUNDUP(_xlpm.cm/INDEX(Cond_Table,Max_Cond_Pos,2),0),MAX(1,_xlpm.nA,_xlpm.nV)),1))</f>
        <v>0</v>
      </c>
    </row>
    <row r="81" spans="1:41" ht="15" customHeight="1" x14ac:dyDescent="0.35">
      <c r="A81"/>
      <c r="B81" s="424">
        <f>2*(ROW()-71)+2</f>
        <v>22</v>
      </c>
      <c r="C81" s="663"/>
      <c r="D81" s="664"/>
      <c r="E81" s="411"/>
      <c r="F81" s="16" t="str" cm="1">
        <f t="array" ref="F81">IF($AN81=1,"-",IF($G81="Spare",IF($AM81&lt;&gt;"",$AM81,20),IF(OR($G81="",$G81="Space",$AF81&lt;=0),"",IFERROR(INDEX(OCPD_List,MATCH($AF81,OCPD_List,1)+IF(INDEX(OCPD_List,MATCH($AF81,OCPD_List,1))&gt;=$AF81,0,1)),15))))</f>
        <v/>
      </c>
      <c r="G81" s="412" t="str" cm="1">
        <f t="array" ref="G81">IF($AN81=1,"-",IF(COUNT($O81:$W81)=0,IF(UPPER(TRIM($C81))="SPARE","Spare","Space"),IF(COUNTIF($O81:$W81,"&gt;0")&gt;1,"COMB",CHOOSE(MATCH(TRUE,INDEX($O81:$W81&lt;&gt;"",0),0),"Lighting","Receptacle","Motor","HVAC","Electric Heat","Kitchen Equip","Continuous (Other)","Non-Continuous","Panel"))))</f>
        <v>Space</v>
      </c>
      <c r="H81" s="30" t="str">
        <f t="shared" si="10"/>
        <v/>
      </c>
      <c r="I81" s="411"/>
      <c r="J81" s="411"/>
      <c r="K81" s="320" t="str" cm="1">
        <f t="array" ref="K81">IF(OR(Tog_VD&lt;&gt;"ON",$AD81=0,$AG81=0,$J81=0,$J81="",$AB81=0),"",(IF($E81=3,SQRT3,2)*BranchK*$AD81*$J81/(INDEX(INDEX(Cond_Table,0,2),$AG81)*MAX(1,$AO81)))/$AB81)</f>
        <v/>
      </c>
      <c r="L81" s="16" t="str" cm="1">
        <f t="array" ref="L81">IF(OR(Tog_Wire&lt;&gt;"ON",$AG81=0),"",IFERROR(IF($AO81&gt;1,"("&amp;$AO81&amp;") ","")&amp;"#"&amp;INDEX(Cond_Size,$AG81)&amp;" | #"&amp;INDEX(Cond_Size,MIN($AG81,MAX(Min_Cond_Pos,MATCH(TRUE,INDEX(Cond_Table,0,2)&gt;=INDEX(INDEX(Cond_Table,0,2),MATCH(INDEX(INDEX(EGC_Table,0,IF(Cfg_BranchMat="Cu",2,3)),MATCH(TRUE,INDEX(EGC_Table,0,1)&gt;=$F81,0)),Cond_Size,0))*INDEX(INDEX(Cond_Table,0,2),$AG81)/INDEX(INDEX(Cond_Table,0,2),MAX(Min_Cond_Pos,MATCH(TRUE,INDEX(Cond_Table,0,IF($AE81&lt;=100,BranchCol60,BranchAmpCol))&gt;=$AE81/MAX(1,$AO81),0))),0))))&amp;"G",""))</f>
        <v/>
      </c>
      <c r="M81" s="428"/>
      <c r="O81" s="217"/>
      <c r="P81" s="218"/>
      <c r="Q81" s="218"/>
      <c r="R81" s="218"/>
      <c r="S81" s="218"/>
      <c r="T81" s="218"/>
      <c r="U81" s="218"/>
      <c r="V81" s="218"/>
      <c r="W81" s="219"/>
      <c r="X81"/>
      <c r="Y81" s="414">
        <f t="shared" si="15"/>
        <v>0</v>
      </c>
      <c r="Z81" s="415">
        <f t="shared" si="16"/>
        <v>0</v>
      </c>
      <c r="AA81" s="31" t="str">
        <f t="shared" si="17"/>
        <v>NONE</v>
      </c>
      <c r="AB81" s="31" t="str">
        <f t="shared" si="11"/>
        <v/>
      </c>
      <c r="AC81" s="526">
        <f t="shared" si="18"/>
        <v>0</v>
      </c>
      <c r="AD81" s="415">
        <f t="shared" si="19"/>
        <v>0</v>
      </c>
      <c r="AE81" s="415">
        <f t="shared" si="12"/>
        <v>0</v>
      </c>
      <c r="AF81" s="415">
        <f t="shared" si="13"/>
        <v>0</v>
      </c>
      <c r="AG81" s="31" cm="1">
        <f t="array" ref="AG81">IF($AE81&lt;=0,0,IFERROR(_xlfn.LET(_xlpm.n,MAX(1,$AO81),_xlpm.i,$AE81/_xlpm.n,MIN(Max_Cond_Pos,MAX(Min_Cond_Pos,IF(_xlpm.n&gt;1,Par_Min_Pos,1),MATCH(TRUE,INDEX(Cond_Table,0,IF(_xlpm.i&lt;=100,BranchCol60,BranchAmpCol))&gt;=_xlpm.i,0),IF(OR(Tog_VD&lt;&gt;"ON",$J81=0,$J81="",$AB81=0),0,MATCH(TRUE,INDEX(Cond_Table,0,2)&gt;=IF($E81=3,SQRT3,2)*BranchK*$AD81*$J81/($AQ$22*$AB81*_xlpm.n),0))))),0))</f>
        <v>0</v>
      </c>
      <c r="AH81" s="415">
        <f t="shared" si="20"/>
        <v>0</v>
      </c>
      <c r="AI81" s="31">
        <f t="shared" si="21"/>
        <v>1</v>
      </c>
      <c r="AJ81" s="415">
        <f t="shared" si="22"/>
        <v>0</v>
      </c>
      <c r="AK81" s="415">
        <f t="shared" si="23"/>
        <v>0</v>
      </c>
      <c r="AL81" s="415">
        <f t="shared" si="24"/>
        <v>0</v>
      </c>
      <c r="AN81" s="31">
        <f t="shared" si="25"/>
        <v>0</v>
      </c>
      <c r="AO81" s="563" cm="1">
        <f t="array" ref="AO81">IF($AE81&lt;=0,0,IFERROR(_xlfn.LET(_xlpm.col,IF($AE81&lt;=100,BranchCol60,BranchAmpCol),_xlpm.nA,ROUNDUP($AE81/INDEX(Cond_Table,Max_Cond_Pos,_xlpm.col),0),_xlpm.cm,IF(OR(Tog_VD&lt;&gt;"ON",$J81=0,$J81="",$AB81=0),0,IF($E81=3,SQRT3,2)*BranchK*$AD81*$J81/($AQ$22*$AB81)),_xlpm.nV,ROUNDUP(_xlpm.cm/INDEX(Cond_Table,Max_Cond_Pos,2),0),MAX(1,_xlpm.nA,_xlpm.nV)),1))</f>
        <v>0</v>
      </c>
    </row>
    <row r="82" spans="1:41" ht="15" customHeight="1" x14ac:dyDescent="0.35">
      <c r="A82"/>
      <c r="B82" s="424">
        <f>2*(ROW()-71)+2</f>
        <v>24</v>
      </c>
      <c r="C82" s="663"/>
      <c r="D82" s="664"/>
      <c r="E82" s="411"/>
      <c r="F82" s="16" t="str" cm="1">
        <f t="array" ref="F82">IF($AN82=1,"-",IF($G82="Spare",IF($AM82&lt;&gt;"",$AM82,20),IF(OR($G82="",$G82="Space",$AF82&lt;=0),"",IFERROR(INDEX(OCPD_List,MATCH($AF82,OCPD_List,1)+IF(INDEX(OCPD_List,MATCH($AF82,OCPD_List,1))&gt;=$AF82,0,1)),15))))</f>
        <v/>
      </c>
      <c r="G82" s="412" t="str" cm="1">
        <f t="array" ref="G82">IF($AN82=1,"-",IF(COUNT($O82:$W82)=0,IF(UPPER(TRIM($C82))="SPARE","Spare","Space"),IF(COUNTIF($O82:$W82,"&gt;0")&gt;1,"COMB",CHOOSE(MATCH(TRUE,INDEX($O82:$W82&lt;&gt;"",0),0),"Lighting","Receptacle","Motor","HVAC","Electric Heat","Kitchen Equip","Continuous (Other)","Non-Continuous","Panel"))))</f>
        <v>Space</v>
      </c>
      <c r="H82" s="30" t="str">
        <f t="shared" si="10"/>
        <v/>
      </c>
      <c r="I82" s="411"/>
      <c r="J82" s="411"/>
      <c r="K82" s="320" t="str" cm="1">
        <f t="array" ref="K82">IF(OR(Tog_VD&lt;&gt;"ON",$AD82=0,$AG82=0,$J82=0,$J82="",$AB82=0),"",(IF($E82=3,SQRT3,2)*BranchK*$AD82*$J82/(INDEX(INDEX(Cond_Table,0,2),$AG82)*MAX(1,$AO82)))/$AB82)</f>
        <v/>
      </c>
      <c r="L82" s="16" t="str" cm="1">
        <f t="array" ref="L82">IF(OR(Tog_Wire&lt;&gt;"ON",$AG82=0),"",IFERROR(IF($AO82&gt;1,"("&amp;$AO82&amp;") ","")&amp;"#"&amp;INDEX(Cond_Size,$AG82)&amp;" | #"&amp;INDEX(Cond_Size,MIN($AG82,MAX(Min_Cond_Pos,MATCH(TRUE,INDEX(Cond_Table,0,2)&gt;=INDEX(INDEX(Cond_Table,0,2),MATCH(INDEX(INDEX(EGC_Table,0,IF(Cfg_BranchMat="Cu",2,3)),MATCH(TRUE,INDEX(EGC_Table,0,1)&gt;=$F82,0)),Cond_Size,0))*INDEX(INDEX(Cond_Table,0,2),$AG82)/INDEX(INDEX(Cond_Table,0,2),MAX(Min_Cond_Pos,MATCH(TRUE,INDEX(Cond_Table,0,IF($AE82&lt;=100,BranchCol60,BranchAmpCol))&gt;=$AE82/MAX(1,$AO82),0))),0))))&amp;"G",""))</f>
        <v/>
      </c>
      <c r="M82" s="428"/>
      <c r="O82" s="217"/>
      <c r="P82" s="218"/>
      <c r="Q82" s="218"/>
      <c r="R82" s="218"/>
      <c r="S82" s="218"/>
      <c r="T82" s="218"/>
      <c r="U82" s="218"/>
      <c r="V82" s="218"/>
      <c r="W82" s="219"/>
      <c r="X82"/>
      <c r="Y82" s="414">
        <f t="shared" si="15"/>
        <v>0</v>
      </c>
      <c r="Z82" s="415">
        <f t="shared" si="16"/>
        <v>0</v>
      </c>
      <c r="AA82" s="31" t="str">
        <f t="shared" si="17"/>
        <v>NONE</v>
      </c>
      <c r="AB82" s="31" t="str">
        <f t="shared" si="11"/>
        <v/>
      </c>
      <c r="AC82" s="526">
        <f t="shared" si="18"/>
        <v>0</v>
      </c>
      <c r="AD82" s="415">
        <f t="shared" si="19"/>
        <v>0</v>
      </c>
      <c r="AE82" s="415">
        <f t="shared" si="12"/>
        <v>0</v>
      </c>
      <c r="AF82" s="415">
        <f t="shared" si="13"/>
        <v>0</v>
      </c>
      <c r="AG82" s="31" cm="1">
        <f t="array" ref="AG82">IF($AE82&lt;=0,0,IFERROR(_xlfn.LET(_xlpm.n,MAX(1,$AO82),_xlpm.i,$AE82/_xlpm.n,MIN(Max_Cond_Pos,MAX(Min_Cond_Pos,IF(_xlpm.n&gt;1,Par_Min_Pos,1),MATCH(TRUE,INDEX(Cond_Table,0,IF(_xlpm.i&lt;=100,BranchCol60,BranchAmpCol))&gt;=_xlpm.i,0),IF(OR(Tog_VD&lt;&gt;"ON",$J82=0,$J82="",$AB82=0),0,MATCH(TRUE,INDEX(Cond_Table,0,2)&gt;=IF($E82=3,SQRT3,2)*BranchK*$AD82*$J82/($AQ$22*$AB82*_xlpm.n),0))))),0))</f>
        <v>0</v>
      </c>
      <c r="AH82" s="415">
        <f t="shared" si="20"/>
        <v>0</v>
      </c>
      <c r="AI82" s="31">
        <f t="shared" si="21"/>
        <v>2</v>
      </c>
      <c r="AJ82" s="415">
        <f t="shared" si="22"/>
        <v>0</v>
      </c>
      <c r="AK82" s="415">
        <f t="shared" si="23"/>
        <v>0</v>
      </c>
      <c r="AL82" s="415">
        <f t="shared" si="24"/>
        <v>0</v>
      </c>
      <c r="AN82" s="31">
        <f t="shared" si="25"/>
        <v>0</v>
      </c>
      <c r="AO82" s="563" cm="1">
        <f t="array" ref="AO82">IF($AE82&lt;=0,0,IFERROR(_xlfn.LET(_xlpm.col,IF($AE82&lt;=100,BranchCol60,BranchAmpCol),_xlpm.nA,ROUNDUP($AE82/INDEX(Cond_Table,Max_Cond_Pos,_xlpm.col),0),_xlpm.cm,IF(OR(Tog_VD&lt;&gt;"ON",$J82=0,$J82="",$AB82=0),0,IF($E82=3,SQRT3,2)*BranchK*$AD82*$J82/($AQ$22*$AB82)),_xlpm.nV,ROUNDUP(_xlpm.cm/INDEX(Cond_Table,Max_Cond_Pos,2),0),MAX(1,_xlpm.nA,_xlpm.nV)),1))</f>
        <v>0</v>
      </c>
    </row>
    <row r="83" spans="1:41" ht="15" customHeight="1" x14ac:dyDescent="0.35">
      <c r="A83"/>
      <c r="B83" s="424">
        <f>2*(ROW()-71)+2</f>
        <v>26</v>
      </c>
      <c r="C83" s="663"/>
      <c r="D83" s="664"/>
      <c r="E83" s="411"/>
      <c r="F83" s="16" t="str" cm="1">
        <f t="array" ref="F83">IF($AN83=1,"-",IF($G83="Spare",IF($AM83&lt;&gt;"",$AM83,20),IF(OR($G83="",$G83="Space",$AF83&lt;=0),"",IFERROR(INDEX(OCPD_List,MATCH($AF83,OCPD_List,1)+IF(INDEX(OCPD_List,MATCH($AF83,OCPD_List,1))&gt;=$AF83,0,1)),15))))</f>
        <v/>
      </c>
      <c r="G83" s="412" t="str" cm="1">
        <f t="array" ref="G83">IF($AN83=1,"-",IF(COUNT($O83:$W83)=0,IF(UPPER(TRIM($C83))="SPARE","Spare","Space"),IF(COUNTIF($O83:$W83,"&gt;0")&gt;1,"COMB",CHOOSE(MATCH(TRUE,INDEX($O83:$W83&lt;&gt;"",0),0),"Lighting","Receptacle","Motor","HVAC","Electric Heat","Kitchen Equip","Continuous (Other)","Non-Continuous","Panel"))))</f>
        <v>Space</v>
      </c>
      <c r="H83" s="30" t="str">
        <f t="shared" si="10"/>
        <v/>
      </c>
      <c r="I83" s="411"/>
      <c r="J83" s="411"/>
      <c r="K83" s="320" t="str" cm="1">
        <f t="array" ref="K83">IF(OR(Tog_VD&lt;&gt;"ON",$AD83=0,$AG83=0,$J83=0,$J83="",$AB83=0),"",(IF($E83=3,SQRT3,2)*BranchK*$AD83*$J83/(INDEX(INDEX(Cond_Table,0,2),$AG83)*MAX(1,$AO83)))/$AB83)</f>
        <v/>
      </c>
      <c r="L83" s="16" t="str" cm="1">
        <f t="array" ref="L83">IF(OR(Tog_Wire&lt;&gt;"ON",$AG83=0),"",IFERROR(IF($AO83&gt;1,"("&amp;$AO83&amp;") ","")&amp;"#"&amp;INDEX(Cond_Size,$AG83)&amp;" | #"&amp;INDEX(Cond_Size,MIN($AG83,MAX(Min_Cond_Pos,MATCH(TRUE,INDEX(Cond_Table,0,2)&gt;=INDEX(INDEX(Cond_Table,0,2),MATCH(INDEX(INDEX(EGC_Table,0,IF(Cfg_BranchMat="Cu",2,3)),MATCH(TRUE,INDEX(EGC_Table,0,1)&gt;=$F83,0)),Cond_Size,0))*INDEX(INDEX(Cond_Table,0,2),$AG83)/INDEX(INDEX(Cond_Table,0,2),MAX(Min_Cond_Pos,MATCH(TRUE,INDEX(Cond_Table,0,IF($AE83&lt;=100,BranchCol60,BranchAmpCol))&gt;=$AE83/MAX(1,$AO83),0))),0))))&amp;"G",""))</f>
        <v/>
      </c>
      <c r="M83" s="428"/>
      <c r="O83" s="217"/>
      <c r="P83" s="218"/>
      <c r="Q83" s="218"/>
      <c r="R83" s="218"/>
      <c r="S83" s="218"/>
      <c r="T83" s="218"/>
      <c r="U83" s="218"/>
      <c r="V83" s="218"/>
      <c r="W83" s="219"/>
      <c r="X83"/>
      <c r="Y83" s="414">
        <f t="shared" si="15"/>
        <v>0</v>
      </c>
      <c r="Z83" s="415">
        <f t="shared" si="16"/>
        <v>0</v>
      </c>
      <c r="AA83" s="31" t="str">
        <f t="shared" si="17"/>
        <v>NONE</v>
      </c>
      <c r="AB83" s="31" t="str">
        <f t="shared" si="11"/>
        <v/>
      </c>
      <c r="AC83" s="526">
        <f t="shared" si="18"/>
        <v>0</v>
      </c>
      <c r="AD83" s="415">
        <f t="shared" si="19"/>
        <v>0</v>
      </c>
      <c r="AE83" s="415">
        <f t="shared" si="12"/>
        <v>0</v>
      </c>
      <c r="AF83" s="415">
        <f t="shared" si="13"/>
        <v>0</v>
      </c>
      <c r="AG83" s="31" cm="1">
        <f t="array" ref="AG83">IF($AE83&lt;=0,0,IFERROR(_xlfn.LET(_xlpm.n,MAX(1,$AO83),_xlpm.i,$AE83/_xlpm.n,MIN(Max_Cond_Pos,MAX(Min_Cond_Pos,IF(_xlpm.n&gt;1,Par_Min_Pos,1),MATCH(TRUE,INDEX(Cond_Table,0,IF(_xlpm.i&lt;=100,BranchCol60,BranchAmpCol))&gt;=_xlpm.i,0),IF(OR(Tog_VD&lt;&gt;"ON",$J83=0,$J83="",$AB83=0),0,MATCH(TRUE,INDEX(Cond_Table,0,2)&gt;=IF($E83=3,SQRT3,2)*BranchK*$AD83*$J83/($AQ$22*$AB83*_xlpm.n),0))))),0))</f>
        <v>0</v>
      </c>
      <c r="AH83" s="415">
        <f t="shared" si="20"/>
        <v>0</v>
      </c>
      <c r="AI83" s="31">
        <f t="shared" si="21"/>
        <v>0</v>
      </c>
      <c r="AJ83" s="415">
        <f t="shared" si="22"/>
        <v>0</v>
      </c>
      <c r="AK83" s="415">
        <f t="shared" si="23"/>
        <v>0</v>
      </c>
      <c r="AL83" s="415">
        <f t="shared" si="24"/>
        <v>0</v>
      </c>
      <c r="AN83" s="31">
        <f t="shared" si="25"/>
        <v>0</v>
      </c>
      <c r="AO83" s="563" cm="1">
        <f t="array" ref="AO83">IF($AE83&lt;=0,0,IFERROR(_xlfn.LET(_xlpm.col,IF($AE83&lt;=100,BranchCol60,BranchAmpCol),_xlpm.nA,ROUNDUP($AE83/INDEX(Cond_Table,Max_Cond_Pos,_xlpm.col),0),_xlpm.cm,IF(OR(Tog_VD&lt;&gt;"ON",$J83=0,$J83="",$AB83=0),0,IF($E83=3,SQRT3,2)*BranchK*$AD83*$J83/($AQ$22*$AB83)),_xlpm.nV,ROUNDUP(_xlpm.cm/INDEX(Cond_Table,Max_Cond_Pos,2),0),MAX(1,_xlpm.nA,_xlpm.nV)),1))</f>
        <v>0</v>
      </c>
    </row>
    <row r="84" spans="1:41" ht="15" customHeight="1" x14ac:dyDescent="0.35">
      <c r="A84"/>
      <c r="B84" s="424">
        <f>2*(ROW()-71)+2</f>
        <v>28</v>
      </c>
      <c r="C84" s="663"/>
      <c r="D84" s="664"/>
      <c r="E84" s="411"/>
      <c r="F84" s="16" t="str" cm="1">
        <f t="array" ref="F84">IF($AN84=1,"-",IF($G84="Spare",IF($AM84&lt;&gt;"",$AM84,20),IF(OR($G84="",$G84="Space",$AF84&lt;=0),"",IFERROR(INDEX(OCPD_List,MATCH($AF84,OCPD_List,1)+IF(INDEX(OCPD_List,MATCH($AF84,OCPD_List,1))&gt;=$AF84,0,1)),15))))</f>
        <v/>
      </c>
      <c r="G84" s="412" t="str" cm="1">
        <f t="array" ref="G84">IF($AN84=1,"-",IF(COUNT($O84:$W84)=0,IF(UPPER(TRIM($C84))="SPARE","Spare","Space"),IF(COUNTIF($O84:$W84,"&gt;0")&gt;1,"COMB",CHOOSE(MATCH(TRUE,INDEX($O84:$W84&lt;&gt;"",0),0),"Lighting","Receptacle","Motor","HVAC","Electric Heat","Kitchen Equip","Continuous (Other)","Non-Continuous","Panel"))))</f>
        <v>Space</v>
      </c>
      <c r="H84" s="30" t="str">
        <f t="shared" si="10"/>
        <v/>
      </c>
      <c r="I84" s="411"/>
      <c r="J84" s="411"/>
      <c r="K84" s="320" t="str" cm="1">
        <f t="array" ref="K84">IF(OR(Tog_VD&lt;&gt;"ON",$AD84=0,$AG84=0,$J84=0,$J84="",$AB84=0),"",(IF($E84=3,SQRT3,2)*BranchK*$AD84*$J84/(INDEX(INDEX(Cond_Table,0,2),$AG84)*MAX(1,$AO84)))/$AB84)</f>
        <v/>
      </c>
      <c r="L84" s="16" t="str" cm="1">
        <f t="array" ref="L84">IF(OR(Tog_Wire&lt;&gt;"ON",$AG84=0),"",IFERROR(IF($AO84&gt;1,"("&amp;$AO84&amp;") ","")&amp;"#"&amp;INDEX(Cond_Size,$AG84)&amp;" | #"&amp;INDEX(Cond_Size,MIN($AG84,MAX(Min_Cond_Pos,MATCH(TRUE,INDEX(Cond_Table,0,2)&gt;=INDEX(INDEX(Cond_Table,0,2),MATCH(INDEX(INDEX(EGC_Table,0,IF(Cfg_BranchMat="Cu",2,3)),MATCH(TRUE,INDEX(EGC_Table,0,1)&gt;=$F84,0)),Cond_Size,0))*INDEX(INDEX(Cond_Table,0,2),$AG84)/INDEX(INDEX(Cond_Table,0,2),MAX(Min_Cond_Pos,MATCH(TRUE,INDEX(Cond_Table,0,IF($AE84&lt;=100,BranchCol60,BranchAmpCol))&gt;=$AE84/MAX(1,$AO84),0))),0))))&amp;"G",""))</f>
        <v/>
      </c>
      <c r="M84" s="428"/>
      <c r="O84" s="217"/>
      <c r="P84" s="218"/>
      <c r="Q84" s="218"/>
      <c r="R84" s="218"/>
      <c r="S84" s="218"/>
      <c r="T84" s="218"/>
      <c r="U84" s="218"/>
      <c r="V84" s="218"/>
      <c r="W84" s="219"/>
      <c r="X84"/>
      <c r="Y84" s="414">
        <f t="shared" si="15"/>
        <v>0</v>
      </c>
      <c r="Z84" s="415">
        <f t="shared" si="16"/>
        <v>0</v>
      </c>
      <c r="AA84" s="31" t="str">
        <f t="shared" si="17"/>
        <v>NONE</v>
      </c>
      <c r="AB84" s="31" t="str">
        <f t="shared" si="11"/>
        <v/>
      </c>
      <c r="AC84" s="526">
        <f t="shared" si="18"/>
        <v>0</v>
      </c>
      <c r="AD84" s="415">
        <f t="shared" si="19"/>
        <v>0</v>
      </c>
      <c r="AE84" s="415">
        <f t="shared" si="12"/>
        <v>0</v>
      </c>
      <c r="AF84" s="415">
        <f t="shared" si="13"/>
        <v>0</v>
      </c>
      <c r="AG84" s="31" cm="1">
        <f t="array" ref="AG84">IF($AE84&lt;=0,0,IFERROR(_xlfn.LET(_xlpm.n,MAX(1,$AO84),_xlpm.i,$AE84/_xlpm.n,MIN(Max_Cond_Pos,MAX(Min_Cond_Pos,IF(_xlpm.n&gt;1,Par_Min_Pos,1),MATCH(TRUE,INDEX(Cond_Table,0,IF(_xlpm.i&lt;=100,BranchCol60,BranchAmpCol))&gt;=_xlpm.i,0),IF(OR(Tog_VD&lt;&gt;"ON",$J84=0,$J84="",$AB84=0),0,MATCH(TRUE,INDEX(Cond_Table,0,2)&gt;=IF($E84=3,SQRT3,2)*BranchK*$AD84*$J84/($AQ$22*$AB84*_xlpm.n),0))))),0))</f>
        <v>0</v>
      </c>
      <c r="AH84" s="415">
        <f t="shared" si="20"/>
        <v>0</v>
      </c>
      <c r="AI84" s="31">
        <f t="shared" si="21"/>
        <v>1</v>
      </c>
      <c r="AJ84" s="415">
        <f t="shared" si="22"/>
        <v>0</v>
      </c>
      <c r="AK84" s="415">
        <f t="shared" si="23"/>
        <v>0</v>
      </c>
      <c r="AL84" s="415">
        <f t="shared" si="24"/>
        <v>0</v>
      </c>
      <c r="AN84" s="31">
        <f t="shared" si="25"/>
        <v>0</v>
      </c>
      <c r="AO84" s="563" cm="1">
        <f t="array" ref="AO84">IF($AE84&lt;=0,0,IFERROR(_xlfn.LET(_xlpm.col,IF($AE84&lt;=100,BranchCol60,BranchAmpCol),_xlpm.nA,ROUNDUP($AE84/INDEX(Cond_Table,Max_Cond_Pos,_xlpm.col),0),_xlpm.cm,IF(OR(Tog_VD&lt;&gt;"ON",$J84=0,$J84="",$AB84=0),0,IF($E84=3,SQRT3,2)*BranchK*$AD84*$J84/($AQ$22*$AB84)),_xlpm.nV,ROUNDUP(_xlpm.cm/INDEX(Cond_Table,Max_Cond_Pos,2),0),MAX(1,_xlpm.nA,_xlpm.nV)),1))</f>
        <v>0</v>
      </c>
    </row>
    <row r="85" spans="1:41" ht="15" customHeight="1" x14ac:dyDescent="0.35">
      <c r="A85"/>
      <c r="B85" s="424">
        <f>2*(ROW()-71)+2</f>
        <v>30</v>
      </c>
      <c r="C85" s="663"/>
      <c r="D85" s="664"/>
      <c r="E85" s="411"/>
      <c r="F85" s="16" t="str" cm="1">
        <f t="array" ref="F85">IF($AN85=1,"-",IF($G85="Spare",IF($AM85&lt;&gt;"",$AM85,20),IF(OR($G85="",$G85="Space",$AF85&lt;=0),"",IFERROR(INDEX(OCPD_List,MATCH($AF85,OCPD_List,1)+IF(INDEX(OCPD_List,MATCH($AF85,OCPD_List,1))&gt;=$AF85,0,1)),15))))</f>
        <v/>
      </c>
      <c r="G85" s="412" t="str" cm="1">
        <f t="array" ref="G85">IF($AN85=1,"-",IF(COUNT($O85:$W85)=0,IF(UPPER(TRIM($C85))="SPARE","Spare","Space"),IF(COUNTIF($O85:$W85,"&gt;0")&gt;1,"COMB",CHOOSE(MATCH(TRUE,INDEX($O85:$W85&lt;&gt;"",0),0),"Lighting","Receptacle","Motor","HVAC","Electric Heat","Kitchen Equip","Continuous (Other)","Non-Continuous","Panel"))))</f>
        <v>Space</v>
      </c>
      <c r="H85" s="30" t="str">
        <f t="shared" si="10"/>
        <v/>
      </c>
      <c r="I85" s="411"/>
      <c r="J85" s="411"/>
      <c r="K85" s="320" t="str" cm="1">
        <f t="array" ref="K85">IF(OR(Tog_VD&lt;&gt;"ON",$AD85=0,$AG85=0,$J85=0,$J85="",$AB85=0),"",(IF($E85=3,SQRT3,2)*BranchK*$AD85*$J85/(INDEX(INDEX(Cond_Table,0,2),$AG85)*MAX(1,$AO85)))/$AB85)</f>
        <v/>
      </c>
      <c r="L85" s="16" t="str" cm="1">
        <f t="array" ref="L85">IF(OR(Tog_Wire&lt;&gt;"ON",$AG85=0),"",IFERROR(IF($AO85&gt;1,"("&amp;$AO85&amp;") ","")&amp;"#"&amp;INDEX(Cond_Size,$AG85)&amp;" | #"&amp;INDEX(Cond_Size,MIN($AG85,MAX(Min_Cond_Pos,MATCH(TRUE,INDEX(Cond_Table,0,2)&gt;=INDEX(INDEX(Cond_Table,0,2),MATCH(INDEX(INDEX(EGC_Table,0,IF(Cfg_BranchMat="Cu",2,3)),MATCH(TRUE,INDEX(EGC_Table,0,1)&gt;=$F85,0)),Cond_Size,0))*INDEX(INDEX(Cond_Table,0,2),$AG85)/INDEX(INDEX(Cond_Table,0,2),MAX(Min_Cond_Pos,MATCH(TRUE,INDEX(Cond_Table,0,IF($AE85&lt;=100,BranchCol60,BranchAmpCol))&gt;=$AE85/MAX(1,$AO85),0))),0))))&amp;"G",""))</f>
        <v/>
      </c>
      <c r="M85" s="428"/>
      <c r="O85" s="217"/>
      <c r="P85" s="218"/>
      <c r="Q85" s="218"/>
      <c r="R85" s="218"/>
      <c r="S85" s="218"/>
      <c r="T85" s="218"/>
      <c r="U85" s="218"/>
      <c r="V85" s="218"/>
      <c r="W85" s="219"/>
      <c r="X85"/>
      <c r="Y85" s="414">
        <f t="shared" si="15"/>
        <v>0</v>
      </c>
      <c r="Z85" s="415">
        <f t="shared" si="16"/>
        <v>0</v>
      </c>
      <c r="AA85" s="31" t="str">
        <f t="shared" si="17"/>
        <v>NONE</v>
      </c>
      <c r="AB85" s="31" t="str">
        <f t="shared" si="11"/>
        <v/>
      </c>
      <c r="AC85" s="526">
        <f t="shared" si="18"/>
        <v>0</v>
      </c>
      <c r="AD85" s="415">
        <f t="shared" si="19"/>
        <v>0</v>
      </c>
      <c r="AE85" s="415">
        <f t="shared" si="12"/>
        <v>0</v>
      </c>
      <c r="AF85" s="415">
        <f t="shared" si="13"/>
        <v>0</v>
      </c>
      <c r="AG85" s="31" cm="1">
        <f t="array" ref="AG85">IF($AE85&lt;=0,0,IFERROR(_xlfn.LET(_xlpm.n,MAX(1,$AO85),_xlpm.i,$AE85/_xlpm.n,MIN(Max_Cond_Pos,MAX(Min_Cond_Pos,IF(_xlpm.n&gt;1,Par_Min_Pos,1),MATCH(TRUE,INDEX(Cond_Table,0,IF(_xlpm.i&lt;=100,BranchCol60,BranchAmpCol))&gt;=_xlpm.i,0),IF(OR(Tog_VD&lt;&gt;"ON",$J85=0,$J85="",$AB85=0),0,MATCH(TRUE,INDEX(Cond_Table,0,2)&gt;=IF($E85=3,SQRT3,2)*BranchK*$AD85*$J85/($AQ$22*$AB85*_xlpm.n),0))))),0))</f>
        <v>0</v>
      </c>
      <c r="AH85" s="415">
        <f t="shared" si="20"/>
        <v>0</v>
      </c>
      <c r="AI85" s="31">
        <f t="shared" si="21"/>
        <v>2</v>
      </c>
      <c r="AJ85" s="415">
        <f t="shared" si="22"/>
        <v>0</v>
      </c>
      <c r="AK85" s="415">
        <f t="shared" si="23"/>
        <v>0</v>
      </c>
      <c r="AL85" s="415">
        <f t="shared" si="24"/>
        <v>0</v>
      </c>
      <c r="AN85" s="31">
        <f t="shared" si="25"/>
        <v>0</v>
      </c>
      <c r="AO85" s="563" cm="1">
        <f t="array" ref="AO85">IF($AE85&lt;=0,0,IFERROR(_xlfn.LET(_xlpm.col,IF($AE85&lt;=100,BranchCol60,BranchAmpCol),_xlpm.nA,ROUNDUP($AE85/INDEX(Cond_Table,Max_Cond_Pos,_xlpm.col),0),_xlpm.cm,IF(OR(Tog_VD&lt;&gt;"ON",$J85=0,$J85="",$AB85=0),0,IF($E85=3,SQRT3,2)*BranchK*$AD85*$J85/($AQ$22*$AB85)),_xlpm.nV,ROUNDUP(_xlpm.cm/INDEX(Cond_Table,Max_Cond_Pos,2),0),MAX(1,_xlpm.nA,_xlpm.nV)),1))</f>
        <v>0</v>
      </c>
    </row>
    <row r="86" spans="1:41" ht="15" customHeight="1" x14ac:dyDescent="0.35">
      <c r="A86"/>
      <c r="B86" s="424">
        <f>2*(ROW()-71)+2</f>
        <v>32</v>
      </c>
      <c r="C86" s="663"/>
      <c r="D86" s="664"/>
      <c r="E86" s="411"/>
      <c r="F86" s="16" t="str" cm="1">
        <f t="array" ref="F86">IF($AN86=1,"-",IF($G86="Spare",IF($AM86&lt;&gt;"",$AM86,20),IF(OR($G86="",$G86="Space",$AF86&lt;=0),"",IFERROR(INDEX(OCPD_List,MATCH($AF86,OCPD_List,1)+IF(INDEX(OCPD_List,MATCH($AF86,OCPD_List,1))&gt;=$AF86,0,1)),15))))</f>
        <v/>
      </c>
      <c r="G86" s="412" t="str" cm="1">
        <f t="array" ref="G86">IF($AN86=1,"-",IF(COUNT($O86:$W86)=0,IF(UPPER(TRIM($C86))="SPARE","Spare","Space"),IF(COUNTIF($O86:$W86,"&gt;0")&gt;1,"COMB",CHOOSE(MATCH(TRUE,INDEX($O86:$W86&lt;&gt;"",0),0),"Lighting","Receptacle","Motor","HVAC","Electric Heat","Kitchen Equip","Continuous (Other)","Non-Continuous","Panel"))))</f>
        <v>Space</v>
      </c>
      <c r="H86" s="30" t="str">
        <f t="shared" si="10"/>
        <v/>
      </c>
      <c r="I86" s="411"/>
      <c r="J86" s="411"/>
      <c r="K86" s="320" t="str" cm="1">
        <f t="array" ref="K86">IF(OR(Tog_VD&lt;&gt;"ON",$AD86=0,$AG86=0,$J86=0,$J86="",$AB86=0),"",(IF($E86=3,SQRT3,2)*BranchK*$AD86*$J86/(INDEX(INDEX(Cond_Table,0,2),$AG86)*MAX(1,$AO86)))/$AB86)</f>
        <v/>
      </c>
      <c r="L86" s="16" t="str" cm="1">
        <f t="array" ref="L86">IF(OR(Tog_Wire&lt;&gt;"ON",$AG86=0),"",IFERROR(IF($AO86&gt;1,"("&amp;$AO86&amp;") ","")&amp;"#"&amp;INDEX(Cond_Size,$AG86)&amp;" | #"&amp;INDEX(Cond_Size,MIN($AG86,MAX(Min_Cond_Pos,MATCH(TRUE,INDEX(Cond_Table,0,2)&gt;=INDEX(INDEX(Cond_Table,0,2),MATCH(INDEX(INDEX(EGC_Table,0,IF(Cfg_BranchMat="Cu",2,3)),MATCH(TRUE,INDEX(EGC_Table,0,1)&gt;=$F86,0)),Cond_Size,0))*INDEX(INDEX(Cond_Table,0,2),$AG86)/INDEX(INDEX(Cond_Table,0,2),MAX(Min_Cond_Pos,MATCH(TRUE,INDEX(Cond_Table,0,IF($AE86&lt;=100,BranchCol60,BranchAmpCol))&gt;=$AE86/MAX(1,$AO86),0))),0))))&amp;"G",""))</f>
        <v/>
      </c>
      <c r="M86" s="428"/>
      <c r="O86" s="217"/>
      <c r="P86" s="218"/>
      <c r="Q86" s="218"/>
      <c r="R86" s="218"/>
      <c r="S86" s="218"/>
      <c r="T86" s="218"/>
      <c r="U86" s="218"/>
      <c r="V86" s="218"/>
      <c r="W86" s="219"/>
      <c r="X86"/>
      <c r="Y86" s="414">
        <f t="shared" si="15"/>
        <v>0</v>
      </c>
      <c r="Z86" s="415">
        <f t="shared" si="16"/>
        <v>0</v>
      </c>
      <c r="AA86" s="31" t="str">
        <f t="shared" si="17"/>
        <v>NONE</v>
      </c>
      <c r="AB86" s="31" t="str">
        <f t="shared" si="11"/>
        <v/>
      </c>
      <c r="AC86" s="526">
        <f t="shared" si="18"/>
        <v>0</v>
      </c>
      <c r="AD86" s="415">
        <f t="shared" si="19"/>
        <v>0</v>
      </c>
      <c r="AE86" s="415">
        <f t="shared" si="12"/>
        <v>0</v>
      </c>
      <c r="AF86" s="415">
        <f t="shared" si="13"/>
        <v>0</v>
      </c>
      <c r="AG86" s="31" cm="1">
        <f t="array" ref="AG86">IF($AE86&lt;=0,0,IFERROR(_xlfn.LET(_xlpm.n,MAX(1,$AO86),_xlpm.i,$AE86/_xlpm.n,MIN(Max_Cond_Pos,MAX(Min_Cond_Pos,IF(_xlpm.n&gt;1,Par_Min_Pos,1),MATCH(TRUE,INDEX(Cond_Table,0,IF(_xlpm.i&lt;=100,BranchCol60,BranchAmpCol))&gt;=_xlpm.i,0),IF(OR(Tog_VD&lt;&gt;"ON",$J86=0,$J86="",$AB86=0),0,MATCH(TRUE,INDEX(Cond_Table,0,2)&gt;=IF($E86=3,SQRT3,2)*BranchK*$AD86*$J86/($AQ$22*$AB86*_xlpm.n),0))))),0))</f>
        <v>0</v>
      </c>
      <c r="AH86" s="415">
        <f t="shared" si="20"/>
        <v>0</v>
      </c>
      <c r="AI86" s="31">
        <f t="shared" si="21"/>
        <v>0</v>
      </c>
      <c r="AJ86" s="415">
        <f t="shared" si="22"/>
        <v>0</v>
      </c>
      <c r="AK86" s="415">
        <f t="shared" si="23"/>
        <v>0</v>
      </c>
      <c r="AL86" s="415">
        <f t="shared" si="24"/>
        <v>0</v>
      </c>
      <c r="AN86" s="31">
        <f t="shared" si="25"/>
        <v>0</v>
      </c>
      <c r="AO86" s="563" cm="1">
        <f t="array" ref="AO86">IF($AE86&lt;=0,0,IFERROR(_xlfn.LET(_xlpm.col,IF($AE86&lt;=100,BranchCol60,BranchAmpCol),_xlpm.nA,ROUNDUP($AE86/INDEX(Cond_Table,Max_Cond_Pos,_xlpm.col),0),_xlpm.cm,IF(OR(Tog_VD&lt;&gt;"ON",$J86=0,$J86="",$AB86=0),0,IF($E86=3,SQRT3,2)*BranchK*$AD86*$J86/($AQ$22*$AB86)),_xlpm.nV,ROUNDUP(_xlpm.cm/INDEX(Cond_Table,Max_Cond_Pos,2),0),MAX(1,_xlpm.nA,_xlpm.nV)),1))</f>
        <v>0</v>
      </c>
    </row>
    <row r="87" spans="1:41" ht="15" customHeight="1" x14ac:dyDescent="0.35">
      <c r="A87"/>
      <c r="B87" s="424">
        <f>2*(ROW()-71)+2</f>
        <v>34</v>
      </c>
      <c r="C87" s="663"/>
      <c r="D87" s="664"/>
      <c r="E87" s="411"/>
      <c r="F87" s="16" t="str" cm="1">
        <f t="array" ref="F87">IF($AN87=1,"-",IF($G87="Spare",IF($AM87&lt;&gt;"",$AM87,20),IF(OR($G87="",$G87="Space",$AF87&lt;=0),"",IFERROR(INDEX(OCPD_List,MATCH($AF87,OCPD_List,1)+IF(INDEX(OCPD_List,MATCH($AF87,OCPD_List,1))&gt;=$AF87,0,1)),15))))</f>
        <v/>
      </c>
      <c r="G87" s="412" t="str" cm="1">
        <f t="array" ref="G87">IF($AN87=1,"-",IF(COUNT($O87:$W87)=0,IF(UPPER(TRIM($C87))="SPARE","Spare","Space"),IF(COUNTIF($O87:$W87,"&gt;0")&gt;1,"COMB",CHOOSE(MATCH(TRUE,INDEX($O87:$W87&lt;&gt;"",0),0),"Lighting","Receptacle","Motor","HVAC","Electric Heat","Kitchen Equip","Continuous (Other)","Non-Continuous","Panel"))))</f>
        <v>Space</v>
      </c>
      <c r="H87" s="30" t="str">
        <f t="shared" si="10"/>
        <v/>
      </c>
      <c r="I87" s="411"/>
      <c r="J87" s="411"/>
      <c r="K87" s="320" t="str" cm="1">
        <f t="array" ref="K87">IF(OR(Tog_VD&lt;&gt;"ON",$AD87=0,$AG87=0,$J87=0,$J87="",$AB87=0),"",(IF($E87=3,SQRT3,2)*BranchK*$AD87*$J87/(INDEX(INDEX(Cond_Table,0,2),$AG87)*MAX(1,$AO87)))/$AB87)</f>
        <v/>
      </c>
      <c r="L87" s="16" t="str" cm="1">
        <f t="array" ref="L87">IF(OR(Tog_Wire&lt;&gt;"ON",$AG87=0),"",IFERROR(IF($AO87&gt;1,"("&amp;$AO87&amp;") ","")&amp;"#"&amp;INDEX(Cond_Size,$AG87)&amp;" | #"&amp;INDEX(Cond_Size,MIN($AG87,MAX(Min_Cond_Pos,MATCH(TRUE,INDEX(Cond_Table,0,2)&gt;=INDEX(INDEX(Cond_Table,0,2),MATCH(INDEX(INDEX(EGC_Table,0,IF(Cfg_BranchMat="Cu",2,3)),MATCH(TRUE,INDEX(EGC_Table,0,1)&gt;=$F87,0)),Cond_Size,0))*INDEX(INDEX(Cond_Table,0,2),$AG87)/INDEX(INDEX(Cond_Table,0,2),MAX(Min_Cond_Pos,MATCH(TRUE,INDEX(Cond_Table,0,IF($AE87&lt;=100,BranchCol60,BranchAmpCol))&gt;=$AE87/MAX(1,$AO87),0))),0))))&amp;"G",""))</f>
        <v/>
      </c>
      <c r="M87" s="428"/>
      <c r="O87" s="217"/>
      <c r="P87" s="218"/>
      <c r="Q87" s="218"/>
      <c r="R87" s="218"/>
      <c r="S87" s="218"/>
      <c r="T87" s="218"/>
      <c r="U87" s="218"/>
      <c r="V87" s="218"/>
      <c r="W87" s="219"/>
      <c r="X87"/>
      <c r="Y87" s="414">
        <f t="shared" si="15"/>
        <v>0</v>
      </c>
      <c r="Z87" s="415">
        <f t="shared" si="16"/>
        <v>0</v>
      </c>
      <c r="AA87" s="31" t="str">
        <f t="shared" si="17"/>
        <v>NONE</v>
      </c>
      <c r="AB87" s="31" t="str">
        <f t="shared" si="11"/>
        <v/>
      </c>
      <c r="AC87" s="526">
        <f t="shared" si="18"/>
        <v>0</v>
      </c>
      <c r="AD87" s="415">
        <f t="shared" si="19"/>
        <v>0</v>
      </c>
      <c r="AE87" s="415">
        <f t="shared" si="12"/>
        <v>0</v>
      </c>
      <c r="AF87" s="415">
        <f t="shared" si="13"/>
        <v>0</v>
      </c>
      <c r="AG87" s="31" cm="1">
        <f t="array" ref="AG87">IF($AE87&lt;=0,0,IFERROR(_xlfn.LET(_xlpm.n,MAX(1,$AO87),_xlpm.i,$AE87/_xlpm.n,MIN(Max_Cond_Pos,MAX(Min_Cond_Pos,IF(_xlpm.n&gt;1,Par_Min_Pos,1),MATCH(TRUE,INDEX(Cond_Table,0,IF(_xlpm.i&lt;=100,BranchCol60,BranchAmpCol))&gt;=_xlpm.i,0),IF(OR(Tog_VD&lt;&gt;"ON",$J87=0,$J87="",$AB87=0),0,MATCH(TRUE,INDEX(Cond_Table,0,2)&gt;=IF($E87=3,SQRT3,2)*BranchK*$AD87*$J87/($AQ$22*$AB87*_xlpm.n),0))))),0))</f>
        <v>0</v>
      </c>
      <c r="AH87" s="415">
        <f t="shared" si="20"/>
        <v>0</v>
      </c>
      <c r="AI87" s="31">
        <f t="shared" si="21"/>
        <v>1</v>
      </c>
      <c r="AJ87" s="415">
        <f t="shared" si="22"/>
        <v>0</v>
      </c>
      <c r="AK87" s="415">
        <f t="shared" si="23"/>
        <v>0</v>
      </c>
      <c r="AL87" s="415">
        <f t="shared" si="24"/>
        <v>0</v>
      </c>
      <c r="AN87" s="31">
        <f t="shared" si="25"/>
        <v>0</v>
      </c>
      <c r="AO87" s="563" cm="1">
        <f t="array" ref="AO87">IF($AE87&lt;=0,0,IFERROR(_xlfn.LET(_xlpm.col,IF($AE87&lt;=100,BranchCol60,BranchAmpCol),_xlpm.nA,ROUNDUP($AE87/INDEX(Cond_Table,Max_Cond_Pos,_xlpm.col),0),_xlpm.cm,IF(OR(Tog_VD&lt;&gt;"ON",$J87=0,$J87="",$AB87=0),0,IF($E87=3,SQRT3,2)*BranchK*$AD87*$J87/($AQ$22*$AB87)),_xlpm.nV,ROUNDUP(_xlpm.cm/INDEX(Cond_Table,Max_Cond_Pos,2),0),MAX(1,_xlpm.nA,_xlpm.nV)),1))</f>
        <v>0</v>
      </c>
    </row>
    <row r="88" spans="1:41" ht="15" customHeight="1" x14ac:dyDescent="0.35">
      <c r="A88"/>
      <c r="B88" s="424">
        <f>2*(ROW()-71)+2</f>
        <v>36</v>
      </c>
      <c r="C88" s="663"/>
      <c r="D88" s="664"/>
      <c r="E88" s="411"/>
      <c r="F88" s="16" t="str" cm="1">
        <f t="array" ref="F88">IF($AN88=1,"-",IF($G88="Spare",IF($AM88&lt;&gt;"",$AM88,20),IF(OR($G88="",$G88="Space",$AF88&lt;=0),"",IFERROR(INDEX(OCPD_List,MATCH($AF88,OCPD_List,1)+IF(INDEX(OCPD_List,MATCH($AF88,OCPD_List,1))&gt;=$AF88,0,1)),15))))</f>
        <v/>
      </c>
      <c r="G88" s="412" t="str" cm="1">
        <f t="array" ref="G88">IF($AN88=1,"-",IF(COUNT($O88:$W88)=0,IF(UPPER(TRIM($C88))="SPARE","Spare","Space"),IF(COUNTIF($O88:$W88,"&gt;0")&gt;1,"COMB",CHOOSE(MATCH(TRUE,INDEX($O88:$W88&lt;&gt;"",0),0),"Lighting","Receptacle","Motor","HVAC","Electric Heat","Kitchen Equip","Continuous (Other)","Non-Continuous","Panel"))))</f>
        <v>Space</v>
      </c>
      <c r="H88" s="30" t="str">
        <f t="shared" si="10"/>
        <v/>
      </c>
      <c r="I88" s="411"/>
      <c r="J88" s="411"/>
      <c r="K88" s="320" t="str" cm="1">
        <f t="array" ref="K88">IF(OR(Tog_VD&lt;&gt;"ON",$AD88=0,$AG88=0,$J88=0,$J88="",$AB88=0),"",(IF($E88=3,SQRT3,2)*BranchK*$AD88*$J88/(INDEX(INDEX(Cond_Table,0,2),$AG88)*MAX(1,$AO88)))/$AB88)</f>
        <v/>
      </c>
      <c r="L88" s="16" t="str" cm="1">
        <f t="array" ref="L88">IF(OR(Tog_Wire&lt;&gt;"ON",$AG88=0),"",IFERROR(IF($AO88&gt;1,"("&amp;$AO88&amp;") ","")&amp;"#"&amp;INDEX(Cond_Size,$AG88)&amp;" | #"&amp;INDEX(Cond_Size,MIN($AG88,MAX(Min_Cond_Pos,MATCH(TRUE,INDEX(Cond_Table,0,2)&gt;=INDEX(INDEX(Cond_Table,0,2),MATCH(INDEX(INDEX(EGC_Table,0,IF(Cfg_BranchMat="Cu",2,3)),MATCH(TRUE,INDEX(EGC_Table,0,1)&gt;=$F88,0)),Cond_Size,0))*INDEX(INDEX(Cond_Table,0,2),$AG88)/INDEX(INDEX(Cond_Table,0,2),MAX(Min_Cond_Pos,MATCH(TRUE,INDEX(Cond_Table,0,IF($AE88&lt;=100,BranchCol60,BranchAmpCol))&gt;=$AE88/MAX(1,$AO88),0))),0))))&amp;"G",""))</f>
        <v/>
      </c>
      <c r="M88" s="428"/>
      <c r="O88" s="217"/>
      <c r="P88" s="218"/>
      <c r="Q88" s="218"/>
      <c r="R88" s="218"/>
      <c r="S88" s="218"/>
      <c r="T88" s="218"/>
      <c r="U88" s="218"/>
      <c r="V88" s="218"/>
      <c r="W88" s="219"/>
      <c r="X88"/>
      <c r="Y88" s="414">
        <f t="shared" si="15"/>
        <v>0</v>
      </c>
      <c r="Z88" s="415">
        <f t="shared" si="16"/>
        <v>0</v>
      </c>
      <c r="AA88" s="31" t="str">
        <f t="shared" si="17"/>
        <v>NONE</v>
      </c>
      <c r="AB88" s="31" t="str">
        <f t="shared" si="11"/>
        <v/>
      </c>
      <c r="AC88" s="526">
        <f t="shared" si="18"/>
        <v>0</v>
      </c>
      <c r="AD88" s="415">
        <f t="shared" si="19"/>
        <v>0</v>
      </c>
      <c r="AE88" s="415">
        <f t="shared" si="12"/>
        <v>0</v>
      </c>
      <c r="AF88" s="415">
        <f t="shared" si="13"/>
        <v>0</v>
      </c>
      <c r="AG88" s="31" cm="1">
        <f t="array" ref="AG88">IF($AE88&lt;=0,0,IFERROR(_xlfn.LET(_xlpm.n,MAX(1,$AO88),_xlpm.i,$AE88/_xlpm.n,MIN(Max_Cond_Pos,MAX(Min_Cond_Pos,IF(_xlpm.n&gt;1,Par_Min_Pos,1),MATCH(TRUE,INDEX(Cond_Table,0,IF(_xlpm.i&lt;=100,BranchCol60,BranchAmpCol))&gt;=_xlpm.i,0),IF(OR(Tog_VD&lt;&gt;"ON",$J88=0,$J88="",$AB88=0),0,MATCH(TRUE,INDEX(Cond_Table,0,2)&gt;=IF($E88=3,SQRT3,2)*BranchK*$AD88*$J88/($AQ$22*$AB88*_xlpm.n),0))))),0))</f>
        <v>0</v>
      </c>
      <c r="AH88" s="415">
        <f t="shared" si="20"/>
        <v>0</v>
      </c>
      <c r="AI88" s="31">
        <f t="shared" si="21"/>
        <v>2</v>
      </c>
      <c r="AJ88" s="415">
        <f t="shared" si="22"/>
        <v>0</v>
      </c>
      <c r="AK88" s="415">
        <f t="shared" si="23"/>
        <v>0</v>
      </c>
      <c r="AL88" s="415">
        <f t="shared" si="24"/>
        <v>0</v>
      </c>
      <c r="AN88" s="31">
        <f t="shared" si="25"/>
        <v>0</v>
      </c>
      <c r="AO88" s="563" cm="1">
        <f t="array" ref="AO88">IF($AE88&lt;=0,0,IFERROR(_xlfn.LET(_xlpm.col,IF($AE88&lt;=100,BranchCol60,BranchAmpCol),_xlpm.nA,ROUNDUP($AE88/INDEX(Cond_Table,Max_Cond_Pos,_xlpm.col),0),_xlpm.cm,IF(OR(Tog_VD&lt;&gt;"ON",$J88=0,$J88="",$AB88=0),0,IF($E88=3,SQRT3,2)*BranchK*$AD88*$J88/($AQ$22*$AB88)),_xlpm.nV,ROUNDUP(_xlpm.cm/INDEX(Cond_Table,Max_Cond_Pos,2),0),MAX(1,_xlpm.nA,_xlpm.nV)),1))</f>
        <v>0</v>
      </c>
    </row>
    <row r="89" spans="1:41" ht="15" customHeight="1" x14ac:dyDescent="0.35">
      <c r="A89"/>
      <c r="B89" s="424">
        <f>2*(ROW()-71)+2</f>
        <v>38</v>
      </c>
      <c r="C89" s="663"/>
      <c r="D89" s="664"/>
      <c r="E89" s="411"/>
      <c r="F89" s="16" t="str" cm="1">
        <f t="array" ref="F89">IF($AN89=1,"-",IF($G89="Spare",IF($AM89&lt;&gt;"",$AM89,20),IF(OR($G89="",$G89="Space",$AF89&lt;=0),"",IFERROR(INDEX(OCPD_List,MATCH($AF89,OCPD_List,1)+IF(INDEX(OCPD_List,MATCH($AF89,OCPD_List,1))&gt;=$AF89,0,1)),15))))</f>
        <v/>
      </c>
      <c r="G89" s="412" t="str" cm="1">
        <f t="array" ref="G89">IF($AN89=1,"-",IF(COUNT($O89:$W89)=0,IF(UPPER(TRIM($C89))="SPARE","Spare","Space"),IF(COUNTIF($O89:$W89,"&gt;0")&gt;1,"COMB",CHOOSE(MATCH(TRUE,INDEX($O89:$W89&lt;&gt;"",0),0),"Lighting","Receptacle","Motor","HVAC","Electric Heat","Kitchen Equip","Continuous (Other)","Non-Continuous","Panel"))))</f>
        <v>Space</v>
      </c>
      <c r="H89" s="30" t="str">
        <f t="shared" si="10"/>
        <v/>
      </c>
      <c r="I89" s="411"/>
      <c r="J89" s="411"/>
      <c r="K89" s="320" t="str" cm="1">
        <f t="array" ref="K89">IF(OR(Tog_VD&lt;&gt;"ON",$AD89=0,$AG89=0,$J89=0,$J89="",$AB89=0),"",(IF($E89=3,SQRT3,2)*BranchK*$AD89*$J89/(INDEX(INDEX(Cond_Table,0,2),$AG89)*MAX(1,$AO89)))/$AB89)</f>
        <v/>
      </c>
      <c r="L89" s="16" t="str" cm="1">
        <f t="array" ref="L89">IF(OR(Tog_Wire&lt;&gt;"ON",$AG89=0),"",IFERROR(IF($AO89&gt;1,"("&amp;$AO89&amp;") ","")&amp;"#"&amp;INDEX(Cond_Size,$AG89)&amp;" | #"&amp;INDEX(Cond_Size,MIN($AG89,MAX(Min_Cond_Pos,MATCH(TRUE,INDEX(Cond_Table,0,2)&gt;=INDEX(INDEX(Cond_Table,0,2),MATCH(INDEX(INDEX(EGC_Table,0,IF(Cfg_BranchMat="Cu",2,3)),MATCH(TRUE,INDEX(EGC_Table,0,1)&gt;=$F89,0)),Cond_Size,0))*INDEX(INDEX(Cond_Table,0,2),$AG89)/INDEX(INDEX(Cond_Table,0,2),MAX(Min_Cond_Pos,MATCH(TRUE,INDEX(Cond_Table,0,IF($AE89&lt;=100,BranchCol60,BranchAmpCol))&gt;=$AE89/MAX(1,$AO89),0))),0))))&amp;"G",""))</f>
        <v/>
      </c>
      <c r="M89" s="428"/>
      <c r="O89" s="217"/>
      <c r="P89" s="218"/>
      <c r="Q89" s="218"/>
      <c r="R89" s="218"/>
      <c r="S89" s="218"/>
      <c r="T89" s="218"/>
      <c r="U89" s="218"/>
      <c r="V89" s="218"/>
      <c r="W89" s="219"/>
      <c r="X89"/>
      <c r="Y89" s="414">
        <f t="shared" si="15"/>
        <v>0</v>
      </c>
      <c r="Z89" s="415">
        <f t="shared" si="16"/>
        <v>0</v>
      </c>
      <c r="AA89" s="31" t="str">
        <f t="shared" si="17"/>
        <v>NONE</v>
      </c>
      <c r="AB89" s="31" t="str">
        <f t="shared" si="11"/>
        <v/>
      </c>
      <c r="AC89" s="526">
        <f t="shared" si="18"/>
        <v>0</v>
      </c>
      <c r="AD89" s="415">
        <f t="shared" si="19"/>
        <v>0</v>
      </c>
      <c r="AE89" s="415">
        <f t="shared" si="12"/>
        <v>0</v>
      </c>
      <c r="AF89" s="415">
        <f t="shared" si="13"/>
        <v>0</v>
      </c>
      <c r="AG89" s="31" cm="1">
        <f t="array" ref="AG89">IF($AE89&lt;=0,0,IFERROR(_xlfn.LET(_xlpm.n,MAX(1,$AO89),_xlpm.i,$AE89/_xlpm.n,MIN(Max_Cond_Pos,MAX(Min_Cond_Pos,IF(_xlpm.n&gt;1,Par_Min_Pos,1),MATCH(TRUE,INDEX(Cond_Table,0,IF(_xlpm.i&lt;=100,BranchCol60,BranchAmpCol))&gt;=_xlpm.i,0),IF(OR(Tog_VD&lt;&gt;"ON",$J89=0,$J89="",$AB89=0),0,MATCH(TRUE,INDEX(Cond_Table,0,2)&gt;=IF($E89=3,SQRT3,2)*BranchK*$AD89*$J89/($AQ$22*$AB89*_xlpm.n),0))))),0))</f>
        <v>0</v>
      </c>
      <c r="AH89" s="415">
        <f t="shared" si="20"/>
        <v>0</v>
      </c>
      <c r="AI89" s="31">
        <f t="shared" si="21"/>
        <v>0</v>
      </c>
      <c r="AJ89" s="415">
        <f t="shared" si="22"/>
        <v>0</v>
      </c>
      <c r="AK89" s="415">
        <f t="shared" si="23"/>
        <v>0</v>
      </c>
      <c r="AL89" s="415">
        <f t="shared" si="24"/>
        <v>0</v>
      </c>
      <c r="AN89" s="31">
        <f t="shared" si="25"/>
        <v>0</v>
      </c>
      <c r="AO89" s="563" cm="1">
        <f t="array" ref="AO89">IF($AE89&lt;=0,0,IFERROR(_xlfn.LET(_xlpm.col,IF($AE89&lt;=100,BranchCol60,BranchAmpCol),_xlpm.nA,ROUNDUP($AE89/INDEX(Cond_Table,Max_Cond_Pos,_xlpm.col),0),_xlpm.cm,IF(OR(Tog_VD&lt;&gt;"ON",$J89=0,$J89="",$AB89=0),0,IF($E89=3,SQRT3,2)*BranchK*$AD89*$J89/($AQ$22*$AB89)),_xlpm.nV,ROUNDUP(_xlpm.cm/INDEX(Cond_Table,Max_Cond_Pos,2),0),MAX(1,_xlpm.nA,_xlpm.nV)),1))</f>
        <v>0</v>
      </c>
    </row>
    <row r="90" spans="1:41" ht="15" customHeight="1" x14ac:dyDescent="0.35">
      <c r="A90"/>
      <c r="B90" s="424">
        <f>2*(ROW()-71)+2</f>
        <v>40</v>
      </c>
      <c r="C90" s="663"/>
      <c r="D90" s="664"/>
      <c r="E90" s="411"/>
      <c r="F90" s="16" t="str" cm="1">
        <f t="array" ref="F90">IF($AN90=1,"-",IF($G90="Spare",IF($AM90&lt;&gt;"",$AM90,20),IF(OR($G90="",$G90="Space",$AF90&lt;=0),"",IFERROR(INDEX(OCPD_List,MATCH($AF90,OCPD_List,1)+IF(INDEX(OCPD_List,MATCH($AF90,OCPD_List,1))&gt;=$AF90,0,1)),15))))</f>
        <v/>
      </c>
      <c r="G90" s="412" t="str" cm="1">
        <f t="array" ref="G90">IF($AN90=1,"-",IF(COUNT($O90:$W90)=0,IF(UPPER(TRIM($C90))="SPARE","Spare","Space"),IF(COUNTIF($O90:$W90,"&gt;0")&gt;1,"COMB",CHOOSE(MATCH(TRUE,INDEX($O90:$W90&lt;&gt;"",0),0),"Lighting","Receptacle","Motor","HVAC","Electric Heat","Kitchen Equip","Continuous (Other)","Non-Continuous","Panel"))))</f>
        <v>Space</v>
      </c>
      <c r="H90" s="30" t="str">
        <f t="shared" si="10"/>
        <v/>
      </c>
      <c r="I90" s="411"/>
      <c r="J90" s="411"/>
      <c r="K90" s="320" t="str" cm="1">
        <f t="array" ref="K90">IF(OR(Tog_VD&lt;&gt;"ON",$AD90=0,$AG90=0,$J90=0,$J90="",$AB90=0),"",(IF($E90=3,SQRT3,2)*BranchK*$AD90*$J90/(INDEX(INDEX(Cond_Table,0,2),$AG90)*MAX(1,$AO90)))/$AB90)</f>
        <v/>
      </c>
      <c r="L90" s="16" t="str" cm="1">
        <f t="array" ref="L90">IF(OR(Tog_Wire&lt;&gt;"ON",$AG90=0),"",IFERROR(IF($AO90&gt;1,"("&amp;$AO90&amp;") ","")&amp;"#"&amp;INDEX(Cond_Size,$AG90)&amp;" | #"&amp;INDEX(Cond_Size,MIN($AG90,MAX(Min_Cond_Pos,MATCH(TRUE,INDEX(Cond_Table,0,2)&gt;=INDEX(INDEX(Cond_Table,0,2),MATCH(INDEX(INDEX(EGC_Table,0,IF(Cfg_BranchMat="Cu",2,3)),MATCH(TRUE,INDEX(EGC_Table,0,1)&gt;=$F90,0)),Cond_Size,0))*INDEX(INDEX(Cond_Table,0,2),$AG90)/INDEX(INDEX(Cond_Table,0,2),MAX(Min_Cond_Pos,MATCH(TRUE,INDEX(Cond_Table,0,IF($AE90&lt;=100,BranchCol60,BranchAmpCol))&gt;=$AE90/MAX(1,$AO90),0))),0))))&amp;"G",""))</f>
        <v/>
      </c>
      <c r="M90" s="428"/>
      <c r="O90" s="217"/>
      <c r="P90" s="218"/>
      <c r="Q90" s="218"/>
      <c r="R90" s="218"/>
      <c r="S90" s="218"/>
      <c r="T90" s="218"/>
      <c r="U90" s="218"/>
      <c r="V90" s="218"/>
      <c r="W90" s="219"/>
      <c r="X90"/>
      <c r="Y90" s="414">
        <f t="shared" si="15"/>
        <v>0</v>
      </c>
      <c r="Z90" s="415">
        <f t="shared" si="16"/>
        <v>0</v>
      </c>
      <c r="AA90" s="31" t="str">
        <f t="shared" si="17"/>
        <v>NONE</v>
      </c>
      <c r="AB90" s="31" t="str">
        <f t="shared" si="11"/>
        <v/>
      </c>
      <c r="AC90" s="526">
        <f t="shared" si="18"/>
        <v>0</v>
      </c>
      <c r="AD90" s="415">
        <f t="shared" si="19"/>
        <v>0</v>
      </c>
      <c r="AE90" s="415">
        <f t="shared" si="12"/>
        <v>0</v>
      </c>
      <c r="AF90" s="415">
        <f t="shared" si="13"/>
        <v>0</v>
      </c>
      <c r="AG90" s="31" cm="1">
        <f t="array" ref="AG90">IF($AE90&lt;=0,0,IFERROR(_xlfn.LET(_xlpm.n,MAX(1,$AO90),_xlpm.i,$AE90/_xlpm.n,MIN(Max_Cond_Pos,MAX(Min_Cond_Pos,IF(_xlpm.n&gt;1,Par_Min_Pos,1),MATCH(TRUE,INDEX(Cond_Table,0,IF(_xlpm.i&lt;=100,BranchCol60,BranchAmpCol))&gt;=_xlpm.i,0),IF(OR(Tog_VD&lt;&gt;"ON",$J90=0,$J90="",$AB90=0),0,MATCH(TRUE,INDEX(Cond_Table,0,2)&gt;=IF($E90=3,SQRT3,2)*BranchK*$AD90*$J90/($AQ$22*$AB90*_xlpm.n),0))))),0))</f>
        <v>0</v>
      </c>
      <c r="AH90" s="415">
        <f t="shared" si="20"/>
        <v>0</v>
      </c>
      <c r="AI90" s="31">
        <f t="shared" si="21"/>
        <v>1</v>
      </c>
      <c r="AJ90" s="415">
        <f t="shared" si="22"/>
        <v>0</v>
      </c>
      <c r="AK90" s="415">
        <f t="shared" si="23"/>
        <v>0</v>
      </c>
      <c r="AL90" s="415">
        <f t="shared" si="24"/>
        <v>0</v>
      </c>
      <c r="AN90" s="31">
        <f t="shared" si="25"/>
        <v>0</v>
      </c>
      <c r="AO90" s="563" cm="1">
        <f t="array" ref="AO90">IF($AE90&lt;=0,0,IFERROR(_xlfn.LET(_xlpm.col,IF($AE90&lt;=100,BranchCol60,BranchAmpCol),_xlpm.nA,ROUNDUP($AE90/INDEX(Cond_Table,Max_Cond_Pos,_xlpm.col),0),_xlpm.cm,IF(OR(Tog_VD&lt;&gt;"ON",$J90=0,$J90="",$AB90=0),0,IF($E90=3,SQRT3,2)*BranchK*$AD90*$J90/($AQ$22*$AB90)),_xlpm.nV,ROUNDUP(_xlpm.cm/INDEX(Cond_Table,Max_Cond_Pos,2),0),MAX(1,_xlpm.nA,_xlpm.nV)),1))</f>
        <v>0</v>
      </c>
    </row>
    <row r="91" spans="1:41" ht="15" customHeight="1" x14ac:dyDescent="0.35">
      <c r="A91"/>
      <c r="B91" s="424">
        <f>2*(ROW()-71)+2</f>
        <v>42</v>
      </c>
      <c r="C91" s="663"/>
      <c r="D91" s="664"/>
      <c r="E91" s="411"/>
      <c r="F91" s="16" t="str" cm="1">
        <f t="array" ref="F91">IF($AN91=1,"-",IF($G91="Spare",IF($AM91&lt;&gt;"",$AM91,20),IF(OR($G91="",$G91="Space",$AF91&lt;=0),"",IFERROR(INDEX(OCPD_List,MATCH($AF91,OCPD_List,1)+IF(INDEX(OCPD_List,MATCH($AF91,OCPD_List,1))&gt;=$AF91,0,1)),15))))</f>
        <v/>
      </c>
      <c r="G91" s="412" t="str" cm="1">
        <f t="array" ref="G91">IF($AN91=1,"-",IF(COUNT($O91:$W91)=0,IF(UPPER(TRIM($C91))="SPARE","Spare","Space"),IF(COUNTIF($O91:$W91,"&gt;0")&gt;1,"COMB",CHOOSE(MATCH(TRUE,INDEX($O91:$W91&lt;&gt;"",0),0),"Lighting","Receptacle","Motor","HVAC","Electric Heat","Kitchen Equip","Continuous (Other)","Non-Continuous","Panel"))))</f>
        <v>Space</v>
      </c>
      <c r="H91" s="30" t="str">
        <f t="shared" si="10"/>
        <v/>
      </c>
      <c r="I91" s="411"/>
      <c r="J91" s="411"/>
      <c r="K91" s="320" t="str" cm="1">
        <f t="array" ref="K91">IF(OR(Tog_VD&lt;&gt;"ON",$AD91=0,$AG91=0,$J91=0,$J91="",$AB91=0),"",(IF($E91=3,SQRT3,2)*BranchK*$AD91*$J91/(INDEX(INDEX(Cond_Table,0,2),$AG91)*MAX(1,$AO91)))/$AB91)</f>
        <v/>
      </c>
      <c r="L91" s="16" t="str" cm="1">
        <f t="array" ref="L91">IF(OR(Tog_Wire&lt;&gt;"ON",$AG91=0),"",IFERROR(IF($AO91&gt;1,"("&amp;$AO91&amp;") ","")&amp;"#"&amp;INDEX(Cond_Size,$AG91)&amp;" | #"&amp;INDEX(Cond_Size,MIN($AG91,MAX(Min_Cond_Pos,MATCH(TRUE,INDEX(Cond_Table,0,2)&gt;=INDEX(INDEX(Cond_Table,0,2),MATCH(INDEX(INDEX(EGC_Table,0,IF(Cfg_BranchMat="Cu",2,3)),MATCH(TRUE,INDEX(EGC_Table,0,1)&gt;=$F91,0)),Cond_Size,0))*INDEX(INDEX(Cond_Table,0,2),$AG91)/INDEX(INDEX(Cond_Table,0,2),MAX(Min_Cond_Pos,MATCH(TRUE,INDEX(Cond_Table,0,IF($AE91&lt;=100,BranchCol60,BranchAmpCol))&gt;=$AE91/MAX(1,$AO91),0))),0))))&amp;"G",""))</f>
        <v/>
      </c>
      <c r="M91" s="428"/>
      <c r="O91" s="217"/>
      <c r="P91" s="218"/>
      <c r="Q91" s="218"/>
      <c r="R91" s="218"/>
      <c r="S91" s="218"/>
      <c r="T91" s="218"/>
      <c r="U91" s="218"/>
      <c r="V91" s="218"/>
      <c r="W91" s="219"/>
      <c r="X91"/>
      <c r="Y91" s="414">
        <f t="shared" si="15"/>
        <v>0</v>
      </c>
      <c r="Z91" s="415">
        <f t="shared" si="16"/>
        <v>0</v>
      </c>
      <c r="AA91" s="31" t="str">
        <f t="shared" si="17"/>
        <v>NONE</v>
      </c>
      <c r="AB91" s="31" t="str">
        <f t="shared" si="11"/>
        <v/>
      </c>
      <c r="AC91" s="526">
        <f t="shared" si="18"/>
        <v>0</v>
      </c>
      <c r="AD91" s="415">
        <f t="shared" si="19"/>
        <v>0</v>
      </c>
      <c r="AE91" s="415">
        <f t="shared" si="12"/>
        <v>0</v>
      </c>
      <c r="AF91" s="415">
        <f t="shared" si="13"/>
        <v>0</v>
      </c>
      <c r="AG91" s="31" cm="1">
        <f t="array" ref="AG91">IF($AE91&lt;=0,0,IFERROR(_xlfn.LET(_xlpm.n,MAX(1,$AO91),_xlpm.i,$AE91/_xlpm.n,MIN(Max_Cond_Pos,MAX(Min_Cond_Pos,IF(_xlpm.n&gt;1,Par_Min_Pos,1),MATCH(TRUE,INDEX(Cond_Table,0,IF(_xlpm.i&lt;=100,BranchCol60,BranchAmpCol))&gt;=_xlpm.i,0),IF(OR(Tog_VD&lt;&gt;"ON",$J91=0,$J91="",$AB91=0),0,MATCH(TRUE,INDEX(Cond_Table,0,2)&gt;=IF($E91=3,SQRT3,2)*BranchK*$AD91*$J91/($AQ$22*$AB91*_xlpm.n),0))))),0))</f>
        <v>0</v>
      </c>
      <c r="AH91" s="415">
        <f t="shared" si="20"/>
        <v>0</v>
      </c>
      <c r="AI91" s="31">
        <f t="shared" si="21"/>
        <v>2</v>
      </c>
      <c r="AJ91" s="415">
        <f t="shared" si="22"/>
        <v>0</v>
      </c>
      <c r="AK91" s="415">
        <f t="shared" si="23"/>
        <v>0</v>
      </c>
      <c r="AL91" s="415">
        <f t="shared" si="24"/>
        <v>0</v>
      </c>
      <c r="AN91" s="31">
        <f t="shared" si="25"/>
        <v>0</v>
      </c>
      <c r="AO91" s="563" cm="1">
        <f t="array" ref="AO91">IF($AE91&lt;=0,0,IFERROR(_xlfn.LET(_xlpm.col,IF($AE91&lt;=100,BranchCol60,BranchAmpCol),_xlpm.nA,ROUNDUP($AE91/INDEX(Cond_Table,Max_Cond_Pos,_xlpm.col),0),_xlpm.cm,IF(OR(Tog_VD&lt;&gt;"ON",$J91=0,$J91="",$AB91=0),0,IF($E91=3,SQRT3,2)*BranchK*$AD91*$J91/($AQ$22*$AB91)),_xlpm.nV,ROUNDUP(_xlpm.cm/INDEX(Cond_Table,Max_Cond_Pos,2),0),MAX(1,_xlpm.nA,_xlpm.nV)),1))</f>
        <v>0</v>
      </c>
    </row>
    <row r="92" spans="1:41" ht="15" customHeight="1" x14ac:dyDescent="0.35">
      <c r="A92"/>
      <c r="B92" s="424">
        <f>2*(ROW()-71)+2</f>
        <v>44</v>
      </c>
      <c r="C92" s="663"/>
      <c r="D92" s="664"/>
      <c r="E92" s="411"/>
      <c r="F92" s="16" t="str" cm="1">
        <f t="array" ref="F92">IF($AN92=1,"-",IF($G92="Spare",IF($AM92&lt;&gt;"",$AM92,20),IF(OR($G92="",$G92="Space",$AF92&lt;=0),"",IFERROR(INDEX(OCPD_List,MATCH($AF92,OCPD_List,1)+IF(INDEX(OCPD_List,MATCH($AF92,OCPD_List,1))&gt;=$AF92,0,1)),15))))</f>
        <v/>
      </c>
      <c r="G92" s="412" t="str" cm="1">
        <f t="array" ref="G92">IF($AN92=1,"-",IF(COUNT($O92:$W92)=0,IF(UPPER(TRIM($C92))="SPARE","Spare","Space"),IF(COUNTIF($O92:$W92,"&gt;0")&gt;1,"COMB",CHOOSE(MATCH(TRUE,INDEX($O92:$W92&lt;&gt;"",0),0),"Lighting","Receptacle","Motor","HVAC","Electric Heat","Kitchen Equip","Continuous (Other)","Non-Continuous","Panel"))))</f>
        <v>Space</v>
      </c>
      <c r="H92" s="30" t="str">
        <f t="shared" si="10"/>
        <v/>
      </c>
      <c r="I92" s="411"/>
      <c r="J92" s="411"/>
      <c r="K92" s="320" t="str" cm="1">
        <f t="array" ref="K92">IF(OR(Tog_VD&lt;&gt;"ON",$AD92=0,$AG92=0,$J92=0,$J92="",$AB92=0),"",(IF($E92=3,SQRT3,2)*BranchK*$AD92*$J92/(INDEX(INDEX(Cond_Table,0,2),$AG92)*MAX(1,$AO92)))/$AB92)</f>
        <v/>
      </c>
      <c r="L92" s="16" t="str" cm="1">
        <f t="array" ref="L92">IF(OR(Tog_Wire&lt;&gt;"ON",$AG92=0),"",IFERROR(IF($AO92&gt;1,"("&amp;$AO92&amp;") ","")&amp;"#"&amp;INDEX(Cond_Size,$AG92)&amp;" | #"&amp;INDEX(Cond_Size,MIN($AG92,MAX(Min_Cond_Pos,MATCH(TRUE,INDEX(Cond_Table,0,2)&gt;=INDEX(INDEX(Cond_Table,0,2),MATCH(INDEX(INDEX(EGC_Table,0,IF(Cfg_BranchMat="Cu",2,3)),MATCH(TRUE,INDEX(EGC_Table,0,1)&gt;=$F92,0)),Cond_Size,0))*INDEX(INDEX(Cond_Table,0,2),$AG92)/INDEX(INDEX(Cond_Table,0,2),MAX(Min_Cond_Pos,MATCH(TRUE,INDEX(Cond_Table,0,IF($AE92&lt;=100,BranchCol60,BranchAmpCol))&gt;=$AE92/MAX(1,$AO92),0))),0))))&amp;"G",""))</f>
        <v/>
      </c>
      <c r="M92" s="428"/>
      <c r="O92" s="217"/>
      <c r="P92" s="218"/>
      <c r="Q92" s="218"/>
      <c r="R92" s="218"/>
      <c r="S92" s="218"/>
      <c r="T92" s="218"/>
      <c r="U92" s="218"/>
      <c r="V92" s="218"/>
      <c r="W92" s="219"/>
      <c r="X92"/>
      <c r="Y92" s="414">
        <f t="shared" si="15"/>
        <v>0</v>
      </c>
      <c r="Z92" s="415">
        <f t="shared" si="16"/>
        <v>0</v>
      </c>
      <c r="AA92" s="31" t="str">
        <f t="shared" si="17"/>
        <v>NONE</v>
      </c>
      <c r="AB92" s="31" t="str">
        <f t="shared" si="11"/>
        <v/>
      </c>
      <c r="AC92" s="526">
        <f t="shared" si="18"/>
        <v>0</v>
      </c>
      <c r="AD92" s="415">
        <f t="shared" si="19"/>
        <v>0</v>
      </c>
      <c r="AE92" s="415">
        <f t="shared" si="12"/>
        <v>0</v>
      </c>
      <c r="AF92" s="415">
        <f t="shared" si="13"/>
        <v>0</v>
      </c>
      <c r="AG92" s="31" cm="1">
        <f t="array" ref="AG92">IF($AE92&lt;=0,0,IFERROR(_xlfn.LET(_xlpm.n,MAX(1,$AO92),_xlpm.i,$AE92/_xlpm.n,MIN(Max_Cond_Pos,MAX(Min_Cond_Pos,IF(_xlpm.n&gt;1,Par_Min_Pos,1),MATCH(TRUE,INDEX(Cond_Table,0,IF(_xlpm.i&lt;=100,BranchCol60,BranchAmpCol))&gt;=_xlpm.i,0),IF(OR(Tog_VD&lt;&gt;"ON",$J92=0,$J92="",$AB92=0),0,MATCH(TRUE,INDEX(Cond_Table,0,2)&gt;=IF($E92=3,SQRT3,2)*BranchK*$AD92*$J92/($AQ$22*$AB92*_xlpm.n),0))))),0))</f>
        <v>0</v>
      </c>
      <c r="AH92" s="415">
        <f t="shared" si="20"/>
        <v>0</v>
      </c>
      <c r="AI92" s="31">
        <f t="shared" si="21"/>
        <v>0</v>
      </c>
      <c r="AJ92" s="415">
        <f t="shared" si="22"/>
        <v>0</v>
      </c>
      <c r="AK92" s="415">
        <f t="shared" si="23"/>
        <v>0</v>
      </c>
      <c r="AL92" s="415">
        <f t="shared" si="24"/>
        <v>0</v>
      </c>
      <c r="AN92" s="31">
        <f t="shared" si="25"/>
        <v>0</v>
      </c>
      <c r="AO92" s="563" cm="1">
        <f t="array" ref="AO92">IF($AE92&lt;=0,0,IFERROR(_xlfn.LET(_xlpm.col,IF($AE92&lt;=100,BranchCol60,BranchAmpCol),_xlpm.nA,ROUNDUP($AE92/INDEX(Cond_Table,Max_Cond_Pos,_xlpm.col),0),_xlpm.cm,IF(OR(Tog_VD&lt;&gt;"ON",$J92=0,$J92="",$AB92=0),0,IF($E92=3,SQRT3,2)*BranchK*$AD92*$J92/($AQ$22*$AB92)),_xlpm.nV,ROUNDUP(_xlpm.cm/INDEX(Cond_Table,Max_Cond_Pos,2),0),MAX(1,_xlpm.nA,_xlpm.nV)),1))</f>
        <v>0</v>
      </c>
    </row>
    <row r="93" spans="1:41" ht="15" customHeight="1" x14ac:dyDescent="0.35">
      <c r="A93"/>
      <c r="B93" s="424">
        <f>2*(ROW()-71)+2</f>
        <v>46</v>
      </c>
      <c r="C93" s="663"/>
      <c r="D93" s="664"/>
      <c r="E93" s="411"/>
      <c r="F93" s="16" t="str" cm="1">
        <f t="array" ref="F93">IF($AN93=1,"-",IF($G93="Spare",IF($AM93&lt;&gt;"",$AM93,20),IF(OR($G93="",$G93="Space",$AF93&lt;=0),"",IFERROR(INDEX(OCPD_List,MATCH($AF93,OCPD_List,1)+IF(INDEX(OCPD_List,MATCH($AF93,OCPD_List,1))&gt;=$AF93,0,1)),15))))</f>
        <v/>
      </c>
      <c r="G93" s="412" t="str" cm="1">
        <f t="array" ref="G93">IF($AN93=1,"-",IF(COUNT($O93:$W93)=0,IF(UPPER(TRIM($C93))="SPARE","Spare","Space"),IF(COUNTIF($O93:$W93,"&gt;0")&gt;1,"COMB",CHOOSE(MATCH(TRUE,INDEX($O93:$W93&lt;&gt;"",0),0),"Lighting","Receptacle","Motor","HVAC","Electric Heat","Kitchen Equip","Continuous (Other)","Non-Continuous","Panel"))))</f>
        <v>Space</v>
      </c>
      <c r="H93" s="30" t="str">
        <f t="shared" si="10"/>
        <v/>
      </c>
      <c r="I93" s="411"/>
      <c r="J93" s="411"/>
      <c r="K93" s="320" t="str" cm="1">
        <f t="array" ref="K93">IF(OR(Tog_VD&lt;&gt;"ON",$AD93=0,$AG93=0,$J93=0,$J93="",$AB93=0),"",(IF($E93=3,SQRT3,2)*BranchK*$AD93*$J93/(INDEX(INDEX(Cond_Table,0,2),$AG93)*MAX(1,$AO93)))/$AB93)</f>
        <v/>
      </c>
      <c r="L93" s="16" t="str" cm="1">
        <f t="array" ref="L93">IF(OR(Tog_Wire&lt;&gt;"ON",$AG93=0),"",IFERROR(IF($AO93&gt;1,"("&amp;$AO93&amp;") ","")&amp;"#"&amp;INDEX(Cond_Size,$AG93)&amp;" | #"&amp;INDEX(Cond_Size,MIN($AG93,MAX(Min_Cond_Pos,MATCH(TRUE,INDEX(Cond_Table,0,2)&gt;=INDEX(INDEX(Cond_Table,0,2),MATCH(INDEX(INDEX(EGC_Table,0,IF(Cfg_BranchMat="Cu",2,3)),MATCH(TRUE,INDEX(EGC_Table,0,1)&gt;=$F93,0)),Cond_Size,0))*INDEX(INDEX(Cond_Table,0,2),$AG93)/INDEX(INDEX(Cond_Table,0,2),MAX(Min_Cond_Pos,MATCH(TRUE,INDEX(Cond_Table,0,IF($AE93&lt;=100,BranchCol60,BranchAmpCol))&gt;=$AE93/MAX(1,$AO93),0))),0))))&amp;"G",""))</f>
        <v/>
      </c>
      <c r="M93" s="428"/>
      <c r="O93" s="217"/>
      <c r="P93" s="218"/>
      <c r="Q93" s="218"/>
      <c r="R93" s="218"/>
      <c r="S93" s="218"/>
      <c r="T93" s="218"/>
      <c r="U93" s="218"/>
      <c r="V93" s="218"/>
      <c r="W93" s="219"/>
      <c r="X93"/>
      <c r="Y93" s="414">
        <f t="shared" ref="Y93:Y112" si="26">IF($G93="",0,IFERROR(VLOOKUP($G93,Class_Table,3,FALSE),0))</f>
        <v>0</v>
      </c>
      <c r="Z93" s="415">
        <f t="shared" ref="Z93:Z112" si="27">IF($G93="COMB",IFERROR(SUMPRODUCT($O93:$W93,$Z$25:$AH$25)/SUM($O93:$W93),1),IF($G93="",0,IFERROR(VLOOKUP($G93,Class_Table,2,FALSE),0)))</f>
        <v>0</v>
      </c>
      <c r="AA93" s="31" t="str">
        <f t="shared" ref="AA93:AA112" si="28">IF($G93="","NONE",IFERROR(VLOOKUP($G93,Class_Table,4,FALSE),"NONE"))</f>
        <v>NONE</v>
      </c>
      <c r="AB93" s="31" t="str">
        <f t="shared" si="11"/>
        <v/>
      </c>
      <c r="AC93" s="526">
        <f t="shared" ref="AC93:AC112" si="29">IF($Y93=1,IF($AQ$29=1,IFERROR(VLOOKUP($I93,Motor1_Table,IF($AB93&lt;=120,2,3),FALSE),0),IFERROR(VLOOKUP($I93,Motor3_Table,IF($AQ$27&lt;=208,2,IF($AQ$27&lt;=240,3,IF($AQ$27&lt;=480,4,5))),FALSE),0)),0)</f>
        <v>0</v>
      </c>
      <c r="AD93" s="415">
        <f t="shared" ref="AD93:AD112" si="30">IF(OR($AN93=1,$G93="-",$G93="",$G93="Space",$G93="Spare"),0,IF($AM93&lt;&gt;"",$AM93,IF(AND($Y93=1,$AC93&gt;0),$AC93,IF($AB93=0,0,SUM($O93:$W93)*1000/($AB93*IF($E93=3,SQRT3,1))))))</f>
        <v>0</v>
      </c>
      <c r="AE93" s="415">
        <f t="shared" si="12"/>
        <v>0</v>
      </c>
      <c r="AF93" s="415">
        <f t="shared" si="13"/>
        <v>0</v>
      </c>
      <c r="AG93" s="31" cm="1">
        <f t="array" ref="AG93">IF($AE93&lt;=0,0,IFERROR(_xlfn.LET(_xlpm.n,MAX(1,$AO93),_xlpm.i,$AE93/_xlpm.n,MIN(Max_Cond_Pos,MAX(Min_Cond_Pos,IF(_xlpm.n&gt;1,Par_Min_Pos,1),MATCH(TRUE,INDEX(Cond_Table,0,IF(_xlpm.i&lt;=100,BranchCol60,BranchAmpCol))&gt;=_xlpm.i,0),IF(OR(Tog_VD&lt;&gt;"ON",$J93=0,$J93="",$AB93=0),0,MATCH(TRUE,INDEX(Cond_Table,0,2)&gt;=IF($E93=3,SQRT3,2)*BranchK*$AD93*$J93/($AQ$22*$AB93*_xlpm.n),0))))),0))</f>
        <v>0</v>
      </c>
      <c r="AH93" s="415">
        <f t="shared" ref="AH93:AH112" si="31">IF(OR($AN93=1,$AD93=0),0,IF($Y93=1,$AD93*$AB93*IF($E93=3,SQRT3,1)/1000,SUM($O93:$W93)))</f>
        <v>0</v>
      </c>
      <c r="AI93" s="31">
        <f t="shared" ref="AI93:AI112" si="32">MOD(CEILING($B93/2,1)-1,3)</f>
        <v>1</v>
      </c>
      <c r="AJ93" s="415">
        <f t="shared" ref="AJ93:AJ112" si="33">$AH93*IF($E93=3,1/3,IF($E93=2,IF(OR($AI93=0,MOD($AI93+1,3)=0),0.5,0),IF($AI93=0,1,0)))</f>
        <v>0</v>
      </c>
      <c r="AK93" s="415">
        <f t="shared" ref="AK93:AK112" si="34">$AH93*IF($E93=3,1/3,IF($E93=2,IF(OR($AI93=1,MOD($AI93+1,3)=1),0.5,0),IF($AI93=1,1,0)))</f>
        <v>0</v>
      </c>
      <c r="AL93" s="415">
        <f t="shared" ref="AL93:AL112" si="35">$AH93*IF($E93=3,1/3,IF($E93=2,IF(OR($AI93=2,MOD($AI93+1,3)=2),0.5,0),IF($AI93=2,1,0)))</f>
        <v>0</v>
      </c>
      <c r="AN93" s="31">
        <f t="shared" si="25"/>
        <v>0</v>
      </c>
      <c r="AO93" s="563" cm="1">
        <f t="array" ref="AO93">IF($AE93&lt;=0,0,IFERROR(_xlfn.LET(_xlpm.col,IF($AE93&lt;=100,BranchCol60,BranchAmpCol),_xlpm.nA,ROUNDUP($AE93/INDEX(Cond_Table,Max_Cond_Pos,_xlpm.col),0),_xlpm.cm,IF(OR(Tog_VD&lt;&gt;"ON",$J93=0,$J93="",$AB93=0),0,IF($E93=3,SQRT3,2)*BranchK*$AD93*$J93/($AQ$22*$AB93)),_xlpm.nV,ROUNDUP(_xlpm.cm/INDEX(Cond_Table,Max_Cond_Pos,2),0),MAX(1,_xlpm.nA,_xlpm.nV)),1))</f>
        <v>0</v>
      </c>
    </row>
    <row r="94" spans="1:41" ht="15" customHeight="1" x14ac:dyDescent="0.35">
      <c r="A94"/>
      <c r="B94" s="424">
        <f>2*(ROW()-71)+2</f>
        <v>48</v>
      </c>
      <c r="C94" s="663"/>
      <c r="D94" s="664"/>
      <c r="E94" s="411"/>
      <c r="F94" s="16" t="str" cm="1">
        <f t="array" ref="F94">IF($AN94=1,"-",IF($G94="Spare",IF($AM94&lt;&gt;"",$AM94,20),IF(OR($G94="",$G94="Space",$AF94&lt;=0),"",IFERROR(INDEX(OCPD_List,MATCH($AF94,OCPD_List,1)+IF(INDEX(OCPD_List,MATCH($AF94,OCPD_List,1))&gt;=$AF94,0,1)),15))))</f>
        <v/>
      </c>
      <c r="G94" s="412" t="str" cm="1">
        <f t="array" ref="G94">IF($AN94=1,"-",IF(COUNT($O94:$W94)=0,IF(UPPER(TRIM($C94))="SPARE","Spare","Space"),IF(COUNTIF($O94:$W94,"&gt;0")&gt;1,"COMB",CHOOSE(MATCH(TRUE,INDEX($O94:$W94&lt;&gt;"",0),0),"Lighting","Receptacle","Motor","HVAC","Electric Heat","Kitchen Equip","Continuous (Other)","Non-Continuous","Panel"))))</f>
        <v>Space</v>
      </c>
      <c r="H94" s="30" t="str">
        <f t="shared" ref="H94:H112" si="36">IF($AN94=1,H93,IF(COUNT($O94:$W94)=0,"",SUM($O94:$W94)/MAX(1,N($E94))))</f>
        <v/>
      </c>
      <c r="I94" s="411"/>
      <c r="J94" s="411"/>
      <c r="K94" s="320" t="str" cm="1">
        <f t="array" ref="K94">IF(OR(Tog_VD&lt;&gt;"ON",$AD94=0,$AG94=0,$J94=0,$J94="",$AB94=0),"",(IF($E94=3,SQRT3,2)*BranchK*$AD94*$J94/(INDEX(INDEX(Cond_Table,0,2),$AG94)*MAX(1,$AO94)))/$AB94)</f>
        <v/>
      </c>
      <c r="L94" s="16" t="str" cm="1">
        <f t="array" ref="L94">IF(OR(Tog_Wire&lt;&gt;"ON",$AG94=0),"",IFERROR(IF($AO94&gt;1,"("&amp;$AO94&amp;") ","")&amp;"#"&amp;INDEX(Cond_Size,$AG94)&amp;" | #"&amp;INDEX(Cond_Size,MIN($AG94,MAX(Min_Cond_Pos,MATCH(TRUE,INDEX(Cond_Table,0,2)&gt;=INDEX(INDEX(Cond_Table,0,2),MATCH(INDEX(INDEX(EGC_Table,0,IF(Cfg_BranchMat="Cu",2,3)),MATCH(TRUE,INDEX(EGC_Table,0,1)&gt;=$F94,0)),Cond_Size,0))*INDEX(INDEX(Cond_Table,0,2),$AG94)/INDEX(INDEX(Cond_Table,0,2),MAX(Min_Cond_Pos,MATCH(TRUE,INDEX(Cond_Table,0,IF($AE94&lt;=100,BranchCol60,BranchAmpCol))&gt;=$AE94/MAX(1,$AO94),0))),0))))&amp;"G",""))</f>
        <v/>
      </c>
      <c r="M94" s="428"/>
      <c r="O94" s="217"/>
      <c r="P94" s="218"/>
      <c r="Q94" s="218"/>
      <c r="R94" s="218"/>
      <c r="S94" s="218"/>
      <c r="T94" s="218"/>
      <c r="U94" s="218"/>
      <c r="V94" s="218"/>
      <c r="W94" s="219"/>
      <c r="X94"/>
      <c r="Y94" s="414">
        <f t="shared" si="26"/>
        <v>0</v>
      </c>
      <c r="Z94" s="415">
        <f t="shared" si="27"/>
        <v>0</v>
      </c>
      <c r="AA94" s="31" t="str">
        <f t="shared" si="28"/>
        <v>NONE</v>
      </c>
      <c r="AB94" s="31" t="str">
        <f t="shared" ref="AB94:AB112" si="37">IF($E94=1,IF($AQ$28="",0,$AQ$28),$AQ$27)</f>
        <v/>
      </c>
      <c r="AC94" s="526">
        <f t="shared" si="29"/>
        <v>0</v>
      </c>
      <c r="AD94" s="415">
        <f t="shared" si="30"/>
        <v>0</v>
      </c>
      <c r="AE94" s="415">
        <f t="shared" si="12"/>
        <v>0</v>
      </c>
      <c r="AF94" s="415">
        <f t="shared" si="13"/>
        <v>0</v>
      </c>
      <c r="AG94" s="31" cm="1">
        <f t="array" ref="AG94">IF($AE94&lt;=0,0,IFERROR(_xlfn.LET(_xlpm.n,MAX(1,$AO94),_xlpm.i,$AE94/_xlpm.n,MIN(Max_Cond_Pos,MAX(Min_Cond_Pos,IF(_xlpm.n&gt;1,Par_Min_Pos,1),MATCH(TRUE,INDEX(Cond_Table,0,IF(_xlpm.i&lt;=100,BranchCol60,BranchAmpCol))&gt;=_xlpm.i,0),IF(OR(Tog_VD&lt;&gt;"ON",$J94=0,$J94="",$AB94=0),0,MATCH(TRUE,INDEX(Cond_Table,0,2)&gt;=IF($E94=3,SQRT3,2)*BranchK*$AD94*$J94/($AQ$22*$AB94*_xlpm.n),0))))),0))</f>
        <v>0</v>
      </c>
      <c r="AH94" s="415">
        <f t="shared" si="31"/>
        <v>0</v>
      </c>
      <c r="AI94" s="31">
        <f t="shared" si="32"/>
        <v>2</v>
      </c>
      <c r="AJ94" s="415">
        <f t="shared" si="33"/>
        <v>0</v>
      </c>
      <c r="AK94" s="415">
        <f t="shared" si="34"/>
        <v>0</v>
      </c>
      <c r="AL94" s="415">
        <f t="shared" si="35"/>
        <v>0</v>
      </c>
      <c r="AN94" s="31">
        <f t="shared" si="25"/>
        <v>0</v>
      </c>
      <c r="AO94" s="563" cm="1">
        <f t="array" ref="AO94">IF($AE94&lt;=0,0,IFERROR(_xlfn.LET(_xlpm.col,IF($AE94&lt;=100,BranchCol60,BranchAmpCol),_xlpm.nA,ROUNDUP($AE94/INDEX(Cond_Table,Max_Cond_Pos,_xlpm.col),0),_xlpm.cm,IF(OR(Tog_VD&lt;&gt;"ON",$J94=0,$J94="",$AB94=0),0,IF($E94=3,SQRT3,2)*BranchK*$AD94*$J94/($AQ$22*$AB94)),_xlpm.nV,ROUNDUP(_xlpm.cm/INDEX(Cond_Table,Max_Cond_Pos,2),0),MAX(1,_xlpm.nA,_xlpm.nV)),1))</f>
        <v>0</v>
      </c>
    </row>
    <row r="95" spans="1:41" ht="15" customHeight="1" x14ac:dyDescent="0.35">
      <c r="A95"/>
      <c r="B95" s="424">
        <f>2*(ROW()-71)+2</f>
        <v>50</v>
      </c>
      <c r="C95" s="663"/>
      <c r="D95" s="664"/>
      <c r="E95" s="411"/>
      <c r="F95" s="16" t="str" cm="1">
        <f t="array" ref="F95">IF($AN95=1,"-",IF($G95="Spare",IF($AM95&lt;&gt;"",$AM95,20),IF(OR($G95="",$G95="Space",$AF95&lt;=0),"",IFERROR(INDEX(OCPD_List,MATCH($AF95,OCPD_List,1)+IF(INDEX(OCPD_List,MATCH($AF95,OCPD_List,1))&gt;=$AF95,0,1)),15))))</f>
        <v/>
      </c>
      <c r="G95" s="412" t="str" cm="1">
        <f t="array" ref="G95">IF($AN95=1,"-",IF(COUNT($O95:$W95)=0,IF(UPPER(TRIM($C95))="SPARE","Spare","Space"),IF(COUNTIF($O95:$W95,"&gt;0")&gt;1,"COMB",CHOOSE(MATCH(TRUE,INDEX($O95:$W95&lt;&gt;"",0),0),"Lighting","Receptacle","Motor","HVAC","Electric Heat","Kitchen Equip","Continuous (Other)","Non-Continuous","Panel"))))</f>
        <v>Space</v>
      </c>
      <c r="H95" s="30" t="str">
        <f t="shared" si="36"/>
        <v/>
      </c>
      <c r="I95" s="411"/>
      <c r="J95" s="411"/>
      <c r="K95" s="320" t="str" cm="1">
        <f t="array" ref="K95">IF(OR(Tog_VD&lt;&gt;"ON",$AD95=0,$AG95=0,$J95=0,$J95="",$AB95=0),"",(IF($E95=3,SQRT3,2)*BranchK*$AD95*$J95/(INDEX(INDEX(Cond_Table,0,2),$AG95)*MAX(1,$AO95)))/$AB95)</f>
        <v/>
      </c>
      <c r="L95" s="16" t="str" cm="1">
        <f t="array" ref="L95">IF(OR(Tog_Wire&lt;&gt;"ON",$AG95=0),"",IFERROR(IF($AO95&gt;1,"("&amp;$AO95&amp;") ","")&amp;"#"&amp;INDEX(Cond_Size,$AG95)&amp;" | #"&amp;INDEX(Cond_Size,MIN($AG95,MAX(Min_Cond_Pos,MATCH(TRUE,INDEX(Cond_Table,0,2)&gt;=INDEX(INDEX(Cond_Table,0,2),MATCH(INDEX(INDEX(EGC_Table,0,IF(Cfg_BranchMat="Cu",2,3)),MATCH(TRUE,INDEX(EGC_Table,0,1)&gt;=$F95,0)),Cond_Size,0))*INDEX(INDEX(Cond_Table,0,2),$AG95)/INDEX(INDEX(Cond_Table,0,2),MAX(Min_Cond_Pos,MATCH(TRUE,INDEX(Cond_Table,0,IF($AE95&lt;=100,BranchCol60,BranchAmpCol))&gt;=$AE95/MAX(1,$AO95),0))),0))))&amp;"G",""))</f>
        <v/>
      </c>
      <c r="M95" s="428"/>
      <c r="O95" s="217"/>
      <c r="P95" s="218"/>
      <c r="Q95" s="218"/>
      <c r="R95" s="218"/>
      <c r="S95" s="218"/>
      <c r="T95" s="218"/>
      <c r="U95" s="218"/>
      <c r="V95" s="218"/>
      <c r="W95" s="219"/>
      <c r="X95"/>
      <c r="Y95" s="414">
        <f t="shared" si="26"/>
        <v>0</v>
      </c>
      <c r="Z95" s="415">
        <f t="shared" si="27"/>
        <v>0</v>
      </c>
      <c r="AA95" s="31" t="str">
        <f t="shared" si="28"/>
        <v>NONE</v>
      </c>
      <c r="AB95" s="31" t="str">
        <f t="shared" si="37"/>
        <v/>
      </c>
      <c r="AC95" s="526">
        <f t="shared" si="29"/>
        <v>0</v>
      </c>
      <c r="AD95" s="415">
        <f t="shared" si="30"/>
        <v>0</v>
      </c>
      <c r="AE95" s="415">
        <f t="shared" si="12"/>
        <v>0</v>
      </c>
      <c r="AF95" s="415">
        <f t="shared" si="13"/>
        <v>0</v>
      </c>
      <c r="AG95" s="31" cm="1">
        <f t="array" ref="AG95">IF($AE95&lt;=0,0,IFERROR(_xlfn.LET(_xlpm.n,MAX(1,$AO95),_xlpm.i,$AE95/_xlpm.n,MIN(Max_Cond_Pos,MAX(Min_Cond_Pos,IF(_xlpm.n&gt;1,Par_Min_Pos,1),MATCH(TRUE,INDEX(Cond_Table,0,IF(_xlpm.i&lt;=100,BranchCol60,BranchAmpCol))&gt;=_xlpm.i,0),IF(OR(Tog_VD&lt;&gt;"ON",$J95=0,$J95="",$AB95=0),0,MATCH(TRUE,INDEX(Cond_Table,0,2)&gt;=IF($E95=3,SQRT3,2)*BranchK*$AD95*$J95/($AQ$22*$AB95*_xlpm.n),0))))),0))</f>
        <v>0</v>
      </c>
      <c r="AH95" s="415">
        <f t="shared" si="31"/>
        <v>0</v>
      </c>
      <c r="AI95" s="31">
        <f t="shared" si="32"/>
        <v>0</v>
      </c>
      <c r="AJ95" s="415">
        <f t="shared" si="33"/>
        <v>0</v>
      </c>
      <c r="AK95" s="415">
        <f t="shared" si="34"/>
        <v>0</v>
      </c>
      <c r="AL95" s="415">
        <f t="shared" si="35"/>
        <v>0</v>
      </c>
      <c r="AN95" s="31">
        <f t="shared" si="25"/>
        <v>0</v>
      </c>
      <c r="AO95" s="563" cm="1">
        <f t="array" ref="AO95">IF($AE95&lt;=0,0,IFERROR(_xlfn.LET(_xlpm.col,IF($AE95&lt;=100,BranchCol60,BranchAmpCol),_xlpm.nA,ROUNDUP($AE95/INDEX(Cond_Table,Max_Cond_Pos,_xlpm.col),0),_xlpm.cm,IF(OR(Tog_VD&lt;&gt;"ON",$J95=0,$J95="",$AB95=0),0,IF($E95=3,SQRT3,2)*BranchK*$AD95*$J95/($AQ$22*$AB95)),_xlpm.nV,ROUNDUP(_xlpm.cm/INDEX(Cond_Table,Max_Cond_Pos,2),0),MAX(1,_xlpm.nA,_xlpm.nV)),1))</f>
        <v>0</v>
      </c>
    </row>
    <row r="96" spans="1:41" ht="15" customHeight="1" x14ac:dyDescent="0.35">
      <c r="A96"/>
      <c r="B96" s="424">
        <f>2*(ROW()-71)+2</f>
        <v>52</v>
      </c>
      <c r="C96" s="663"/>
      <c r="D96" s="664"/>
      <c r="E96" s="411"/>
      <c r="F96" s="16" t="str" cm="1">
        <f t="array" ref="F96">IF($AN96=1,"-",IF($G96="Spare",IF($AM96&lt;&gt;"",$AM96,20),IF(OR($G96="",$G96="Space",$AF96&lt;=0),"",IFERROR(INDEX(OCPD_List,MATCH($AF96,OCPD_List,1)+IF(INDEX(OCPD_List,MATCH($AF96,OCPD_List,1))&gt;=$AF96,0,1)),15))))</f>
        <v/>
      </c>
      <c r="G96" s="412" t="str" cm="1">
        <f t="array" ref="G96">IF($AN96=1,"-",IF(COUNT($O96:$W96)=0,IF(UPPER(TRIM($C96))="SPARE","Spare","Space"),IF(COUNTIF($O96:$W96,"&gt;0")&gt;1,"COMB",CHOOSE(MATCH(TRUE,INDEX($O96:$W96&lt;&gt;"",0),0),"Lighting","Receptacle","Motor","HVAC","Electric Heat","Kitchen Equip","Continuous (Other)","Non-Continuous","Panel"))))</f>
        <v>Space</v>
      </c>
      <c r="H96" s="30" t="str">
        <f t="shared" si="36"/>
        <v/>
      </c>
      <c r="I96" s="411"/>
      <c r="J96" s="411"/>
      <c r="K96" s="320" t="str" cm="1">
        <f t="array" ref="K96">IF(OR(Tog_VD&lt;&gt;"ON",$AD96=0,$AG96=0,$J96=0,$J96="",$AB96=0),"",(IF($E96=3,SQRT3,2)*BranchK*$AD96*$J96/(INDEX(INDEX(Cond_Table,0,2),$AG96)*MAX(1,$AO96)))/$AB96)</f>
        <v/>
      </c>
      <c r="L96" s="16" t="str" cm="1">
        <f t="array" ref="L96">IF(OR(Tog_Wire&lt;&gt;"ON",$AG96=0),"",IFERROR(IF($AO96&gt;1,"("&amp;$AO96&amp;") ","")&amp;"#"&amp;INDEX(Cond_Size,$AG96)&amp;" | #"&amp;INDEX(Cond_Size,MIN($AG96,MAX(Min_Cond_Pos,MATCH(TRUE,INDEX(Cond_Table,0,2)&gt;=INDEX(INDEX(Cond_Table,0,2),MATCH(INDEX(INDEX(EGC_Table,0,IF(Cfg_BranchMat="Cu",2,3)),MATCH(TRUE,INDEX(EGC_Table,0,1)&gt;=$F96,0)),Cond_Size,0))*INDEX(INDEX(Cond_Table,0,2),$AG96)/INDEX(INDEX(Cond_Table,0,2),MAX(Min_Cond_Pos,MATCH(TRUE,INDEX(Cond_Table,0,IF($AE96&lt;=100,BranchCol60,BranchAmpCol))&gt;=$AE96/MAX(1,$AO96),0))),0))))&amp;"G",""))</f>
        <v/>
      </c>
      <c r="M96" s="428"/>
      <c r="O96" s="217"/>
      <c r="P96" s="218"/>
      <c r="Q96" s="218"/>
      <c r="R96" s="218"/>
      <c r="S96" s="218"/>
      <c r="T96" s="218"/>
      <c r="U96" s="218"/>
      <c r="V96" s="218"/>
      <c r="W96" s="219"/>
      <c r="X96"/>
      <c r="Y96" s="414">
        <f t="shared" si="26"/>
        <v>0</v>
      </c>
      <c r="Z96" s="415">
        <f t="shared" si="27"/>
        <v>0</v>
      </c>
      <c r="AA96" s="31" t="str">
        <f t="shared" si="28"/>
        <v>NONE</v>
      </c>
      <c r="AB96" s="31" t="str">
        <f t="shared" si="37"/>
        <v/>
      </c>
      <c r="AC96" s="526">
        <f t="shared" si="29"/>
        <v>0</v>
      </c>
      <c r="AD96" s="415">
        <f t="shared" si="30"/>
        <v>0</v>
      </c>
      <c r="AE96" s="415">
        <f t="shared" si="12"/>
        <v>0</v>
      </c>
      <c r="AF96" s="415">
        <f t="shared" si="13"/>
        <v>0</v>
      </c>
      <c r="AG96" s="31" cm="1">
        <f t="array" ref="AG96">IF($AE96&lt;=0,0,IFERROR(_xlfn.LET(_xlpm.n,MAX(1,$AO96),_xlpm.i,$AE96/_xlpm.n,MIN(Max_Cond_Pos,MAX(Min_Cond_Pos,IF(_xlpm.n&gt;1,Par_Min_Pos,1),MATCH(TRUE,INDEX(Cond_Table,0,IF(_xlpm.i&lt;=100,BranchCol60,BranchAmpCol))&gt;=_xlpm.i,0),IF(OR(Tog_VD&lt;&gt;"ON",$J96=0,$J96="",$AB96=0),0,MATCH(TRUE,INDEX(Cond_Table,0,2)&gt;=IF($E96=3,SQRT3,2)*BranchK*$AD96*$J96/($AQ$22*$AB96*_xlpm.n),0))))),0))</f>
        <v>0</v>
      </c>
      <c r="AH96" s="415">
        <f t="shared" si="31"/>
        <v>0</v>
      </c>
      <c r="AI96" s="31">
        <f t="shared" si="32"/>
        <v>1</v>
      </c>
      <c r="AJ96" s="415">
        <f t="shared" si="33"/>
        <v>0</v>
      </c>
      <c r="AK96" s="415">
        <f t="shared" si="34"/>
        <v>0</v>
      </c>
      <c r="AL96" s="415">
        <f t="shared" si="35"/>
        <v>0</v>
      </c>
      <c r="AN96" s="31">
        <f t="shared" si="25"/>
        <v>0</v>
      </c>
      <c r="AO96" s="563" cm="1">
        <f t="array" ref="AO96">IF($AE96&lt;=0,0,IFERROR(_xlfn.LET(_xlpm.col,IF($AE96&lt;=100,BranchCol60,BranchAmpCol),_xlpm.nA,ROUNDUP($AE96/INDEX(Cond_Table,Max_Cond_Pos,_xlpm.col),0),_xlpm.cm,IF(OR(Tog_VD&lt;&gt;"ON",$J96=0,$J96="",$AB96=0),0,IF($E96=3,SQRT3,2)*BranchK*$AD96*$J96/($AQ$22*$AB96)),_xlpm.nV,ROUNDUP(_xlpm.cm/INDEX(Cond_Table,Max_Cond_Pos,2),0),MAX(1,_xlpm.nA,_xlpm.nV)),1))</f>
        <v>0</v>
      </c>
    </row>
    <row r="97" spans="1:41" ht="15" customHeight="1" x14ac:dyDescent="0.35">
      <c r="A97"/>
      <c r="B97" s="424">
        <f>2*(ROW()-71)+2</f>
        <v>54</v>
      </c>
      <c r="C97" s="663"/>
      <c r="D97" s="664"/>
      <c r="E97" s="411"/>
      <c r="F97" s="16" t="str" cm="1">
        <f t="array" ref="F97">IF($AN97=1,"-",IF($G97="Spare",IF($AM97&lt;&gt;"",$AM97,20),IF(OR($G97="",$G97="Space",$AF97&lt;=0),"",IFERROR(INDEX(OCPD_List,MATCH($AF97,OCPD_List,1)+IF(INDEX(OCPD_List,MATCH($AF97,OCPD_List,1))&gt;=$AF97,0,1)),15))))</f>
        <v/>
      </c>
      <c r="G97" s="412" t="str" cm="1">
        <f t="array" ref="G97">IF($AN97=1,"-",IF(COUNT($O97:$W97)=0,IF(UPPER(TRIM($C97))="SPARE","Spare","Space"),IF(COUNTIF($O97:$W97,"&gt;0")&gt;1,"COMB",CHOOSE(MATCH(TRUE,INDEX($O97:$W97&lt;&gt;"",0),0),"Lighting","Receptacle","Motor","HVAC","Electric Heat","Kitchen Equip","Continuous (Other)","Non-Continuous","Panel"))))</f>
        <v>Space</v>
      </c>
      <c r="H97" s="30" t="str">
        <f t="shared" si="36"/>
        <v/>
      </c>
      <c r="I97" s="411"/>
      <c r="J97" s="411"/>
      <c r="K97" s="320" t="str" cm="1">
        <f t="array" ref="K97">IF(OR(Tog_VD&lt;&gt;"ON",$AD97=0,$AG97=0,$J97=0,$J97="",$AB97=0),"",(IF($E97=3,SQRT3,2)*BranchK*$AD97*$J97/(INDEX(INDEX(Cond_Table,0,2),$AG97)*MAX(1,$AO97)))/$AB97)</f>
        <v/>
      </c>
      <c r="L97" s="16" t="str" cm="1">
        <f t="array" ref="L97">IF(OR(Tog_Wire&lt;&gt;"ON",$AG97=0),"",IFERROR(IF($AO97&gt;1,"("&amp;$AO97&amp;") ","")&amp;"#"&amp;INDEX(Cond_Size,$AG97)&amp;" | #"&amp;INDEX(Cond_Size,MIN($AG97,MAX(Min_Cond_Pos,MATCH(TRUE,INDEX(Cond_Table,0,2)&gt;=INDEX(INDEX(Cond_Table,0,2),MATCH(INDEX(INDEX(EGC_Table,0,IF(Cfg_BranchMat="Cu",2,3)),MATCH(TRUE,INDEX(EGC_Table,0,1)&gt;=$F97,0)),Cond_Size,0))*INDEX(INDEX(Cond_Table,0,2),$AG97)/INDEX(INDEX(Cond_Table,0,2),MAX(Min_Cond_Pos,MATCH(TRUE,INDEX(Cond_Table,0,IF($AE97&lt;=100,BranchCol60,BranchAmpCol))&gt;=$AE97/MAX(1,$AO97),0))),0))))&amp;"G",""))</f>
        <v/>
      </c>
      <c r="M97" s="428"/>
      <c r="O97" s="217"/>
      <c r="P97" s="218"/>
      <c r="Q97" s="218"/>
      <c r="R97" s="218"/>
      <c r="S97" s="218"/>
      <c r="T97" s="218"/>
      <c r="U97" s="218"/>
      <c r="V97" s="218"/>
      <c r="W97" s="219"/>
      <c r="X97"/>
      <c r="Y97" s="414">
        <f t="shared" si="26"/>
        <v>0</v>
      </c>
      <c r="Z97" s="415">
        <f t="shared" si="27"/>
        <v>0</v>
      </c>
      <c r="AA97" s="31" t="str">
        <f t="shared" si="28"/>
        <v>NONE</v>
      </c>
      <c r="AB97" s="31" t="str">
        <f t="shared" si="37"/>
        <v/>
      </c>
      <c r="AC97" s="526">
        <f t="shared" si="29"/>
        <v>0</v>
      </c>
      <c r="AD97" s="415">
        <f t="shared" si="30"/>
        <v>0</v>
      </c>
      <c r="AE97" s="415">
        <f t="shared" si="12"/>
        <v>0</v>
      </c>
      <c r="AF97" s="415">
        <f t="shared" si="13"/>
        <v>0</v>
      </c>
      <c r="AG97" s="31" cm="1">
        <f t="array" ref="AG97">IF($AE97&lt;=0,0,IFERROR(_xlfn.LET(_xlpm.n,MAX(1,$AO97),_xlpm.i,$AE97/_xlpm.n,MIN(Max_Cond_Pos,MAX(Min_Cond_Pos,IF(_xlpm.n&gt;1,Par_Min_Pos,1),MATCH(TRUE,INDEX(Cond_Table,0,IF(_xlpm.i&lt;=100,BranchCol60,BranchAmpCol))&gt;=_xlpm.i,0),IF(OR(Tog_VD&lt;&gt;"ON",$J97=0,$J97="",$AB97=0),0,MATCH(TRUE,INDEX(Cond_Table,0,2)&gt;=IF($E97=3,SQRT3,2)*BranchK*$AD97*$J97/($AQ$22*$AB97*_xlpm.n),0))))),0))</f>
        <v>0</v>
      </c>
      <c r="AH97" s="415">
        <f t="shared" si="31"/>
        <v>0</v>
      </c>
      <c r="AI97" s="31">
        <f t="shared" si="32"/>
        <v>2</v>
      </c>
      <c r="AJ97" s="415">
        <f t="shared" si="33"/>
        <v>0</v>
      </c>
      <c r="AK97" s="415">
        <f t="shared" si="34"/>
        <v>0</v>
      </c>
      <c r="AL97" s="415">
        <f t="shared" si="35"/>
        <v>0</v>
      </c>
      <c r="AN97" s="31">
        <f t="shared" si="25"/>
        <v>0</v>
      </c>
      <c r="AO97" s="563" cm="1">
        <f t="array" ref="AO97">IF($AE97&lt;=0,0,IFERROR(_xlfn.LET(_xlpm.col,IF($AE97&lt;=100,BranchCol60,BranchAmpCol),_xlpm.nA,ROUNDUP($AE97/INDEX(Cond_Table,Max_Cond_Pos,_xlpm.col),0),_xlpm.cm,IF(OR(Tog_VD&lt;&gt;"ON",$J97=0,$J97="",$AB97=0),0,IF($E97=3,SQRT3,2)*BranchK*$AD97*$J97/($AQ$22*$AB97)),_xlpm.nV,ROUNDUP(_xlpm.cm/INDEX(Cond_Table,Max_Cond_Pos,2),0),MAX(1,_xlpm.nA,_xlpm.nV)),1))</f>
        <v>0</v>
      </c>
    </row>
    <row r="98" spans="1:41" ht="15" customHeight="1" x14ac:dyDescent="0.35">
      <c r="A98"/>
      <c r="B98" s="424">
        <f>2*(ROW()-71)+2</f>
        <v>56</v>
      </c>
      <c r="C98" s="663"/>
      <c r="D98" s="664"/>
      <c r="E98" s="411"/>
      <c r="F98" s="16" t="str" cm="1">
        <f t="array" ref="F98">IF($AN98=1,"-",IF($G98="Spare",IF($AM98&lt;&gt;"",$AM98,20),IF(OR($G98="",$G98="Space",$AF98&lt;=0),"",IFERROR(INDEX(OCPD_List,MATCH($AF98,OCPD_List,1)+IF(INDEX(OCPD_List,MATCH($AF98,OCPD_List,1))&gt;=$AF98,0,1)),15))))</f>
        <v/>
      </c>
      <c r="G98" s="412" t="str" cm="1">
        <f t="array" ref="G98">IF($AN98=1,"-",IF(COUNT($O98:$W98)=0,IF(UPPER(TRIM($C98))="SPARE","Spare","Space"),IF(COUNTIF($O98:$W98,"&gt;0")&gt;1,"COMB",CHOOSE(MATCH(TRUE,INDEX($O98:$W98&lt;&gt;"",0),0),"Lighting","Receptacle","Motor","HVAC","Electric Heat","Kitchen Equip","Continuous (Other)","Non-Continuous","Panel"))))</f>
        <v>Space</v>
      </c>
      <c r="H98" s="30" t="str">
        <f t="shared" si="36"/>
        <v/>
      </c>
      <c r="I98" s="411"/>
      <c r="J98" s="411"/>
      <c r="K98" s="320" t="str" cm="1">
        <f t="array" ref="K98">IF(OR(Tog_VD&lt;&gt;"ON",$AD98=0,$AG98=0,$J98=0,$J98="",$AB98=0),"",(IF($E98=3,SQRT3,2)*BranchK*$AD98*$J98/(INDEX(INDEX(Cond_Table,0,2),$AG98)*MAX(1,$AO98)))/$AB98)</f>
        <v/>
      </c>
      <c r="L98" s="16" t="str" cm="1">
        <f t="array" ref="L98">IF(OR(Tog_Wire&lt;&gt;"ON",$AG98=0),"",IFERROR(IF($AO98&gt;1,"("&amp;$AO98&amp;") ","")&amp;"#"&amp;INDEX(Cond_Size,$AG98)&amp;" | #"&amp;INDEX(Cond_Size,MIN($AG98,MAX(Min_Cond_Pos,MATCH(TRUE,INDEX(Cond_Table,0,2)&gt;=INDEX(INDEX(Cond_Table,0,2),MATCH(INDEX(INDEX(EGC_Table,0,IF(Cfg_BranchMat="Cu",2,3)),MATCH(TRUE,INDEX(EGC_Table,0,1)&gt;=$F98,0)),Cond_Size,0))*INDEX(INDEX(Cond_Table,0,2),$AG98)/INDEX(INDEX(Cond_Table,0,2),MAX(Min_Cond_Pos,MATCH(TRUE,INDEX(Cond_Table,0,IF($AE98&lt;=100,BranchCol60,BranchAmpCol))&gt;=$AE98/MAX(1,$AO98),0))),0))))&amp;"G",""))</f>
        <v/>
      </c>
      <c r="M98" s="428"/>
      <c r="O98" s="217"/>
      <c r="P98" s="218"/>
      <c r="Q98" s="218"/>
      <c r="R98" s="218"/>
      <c r="S98" s="218"/>
      <c r="T98" s="218"/>
      <c r="U98" s="218"/>
      <c r="V98" s="218"/>
      <c r="W98" s="219"/>
      <c r="X98"/>
      <c r="Y98" s="414">
        <f t="shared" si="26"/>
        <v>0</v>
      </c>
      <c r="Z98" s="415">
        <f t="shared" si="27"/>
        <v>0</v>
      </c>
      <c r="AA98" s="31" t="str">
        <f t="shared" si="28"/>
        <v>NONE</v>
      </c>
      <c r="AB98" s="31" t="str">
        <f t="shared" si="37"/>
        <v/>
      </c>
      <c r="AC98" s="526">
        <f t="shared" si="29"/>
        <v>0</v>
      </c>
      <c r="AD98" s="415">
        <f t="shared" si="30"/>
        <v>0</v>
      </c>
      <c r="AE98" s="415">
        <f t="shared" si="12"/>
        <v>0</v>
      </c>
      <c r="AF98" s="415">
        <f t="shared" si="13"/>
        <v>0</v>
      </c>
      <c r="AG98" s="31" cm="1">
        <f t="array" ref="AG98">IF($AE98&lt;=0,0,IFERROR(_xlfn.LET(_xlpm.n,MAX(1,$AO98),_xlpm.i,$AE98/_xlpm.n,MIN(Max_Cond_Pos,MAX(Min_Cond_Pos,IF(_xlpm.n&gt;1,Par_Min_Pos,1),MATCH(TRUE,INDEX(Cond_Table,0,IF(_xlpm.i&lt;=100,BranchCol60,BranchAmpCol))&gt;=_xlpm.i,0),IF(OR(Tog_VD&lt;&gt;"ON",$J98=0,$J98="",$AB98=0),0,MATCH(TRUE,INDEX(Cond_Table,0,2)&gt;=IF($E98=3,SQRT3,2)*BranchK*$AD98*$J98/($AQ$22*$AB98*_xlpm.n),0))))),0))</f>
        <v>0</v>
      </c>
      <c r="AH98" s="415">
        <f t="shared" si="31"/>
        <v>0</v>
      </c>
      <c r="AI98" s="31">
        <f t="shared" si="32"/>
        <v>0</v>
      </c>
      <c r="AJ98" s="415">
        <f t="shared" si="33"/>
        <v>0</v>
      </c>
      <c r="AK98" s="415">
        <f t="shared" si="34"/>
        <v>0</v>
      </c>
      <c r="AL98" s="415">
        <f t="shared" si="35"/>
        <v>0</v>
      </c>
      <c r="AN98" s="31">
        <f t="shared" si="25"/>
        <v>0</v>
      </c>
      <c r="AO98" s="563" cm="1">
        <f t="array" ref="AO98">IF($AE98&lt;=0,0,IFERROR(_xlfn.LET(_xlpm.col,IF($AE98&lt;=100,BranchCol60,BranchAmpCol),_xlpm.nA,ROUNDUP($AE98/INDEX(Cond_Table,Max_Cond_Pos,_xlpm.col),0),_xlpm.cm,IF(OR(Tog_VD&lt;&gt;"ON",$J98=0,$J98="",$AB98=0),0,IF($E98=3,SQRT3,2)*BranchK*$AD98*$J98/($AQ$22*$AB98)),_xlpm.nV,ROUNDUP(_xlpm.cm/INDEX(Cond_Table,Max_Cond_Pos,2),0),MAX(1,_xlpm.nA,_xlpm.nV)),1))</f>
        <v>0</v>
      </c>
    </row>
    <row r="99" spans="1:41" ht="15" customHeight="1" x14ac:dyDescent="0.35">
      <c r="A99"/>
      <c r="B99" s="424">
        <f>2*(ROW()-71)+2</f>
        <v>58</v>
      </c>
      <c r="C99" s="663"/>
      <c r="D99" s="664"/>
      <c r="E99" s="411"/>
      <c r="F99" s="16" t="str" cm="1">
        <f t="array" ref="F99">IF($AN99=1,"-",IF($G99="Spare",IF($AM99&lt;&gt;"",$AM99,20),IF(OR($G99="",$G99="Space",$AF99&lt;=0),"",IFERROR(INDEX(OCPD_List,MATCH($AF99,OCPD_List,1)+IF(INDEX(OCPD_List,MATCH($AF99,OCPD_List,1))&gt;=$AF99,0,1)),15))))</f>
        <v/>
      </c>
      <c r="G99" s="412" t="str" cm="1">
        <f t="array" ref="G99">IF($AN99=1,"-",IF(COUNT($O99:$W99)=0,IF(UPPER(TRIM($C99))="SPARE","Spare","Space"),IF(COUNTIF($O99:$W99,"&gt;0")&gt;1,"COMB",CHOOSE(MATCH(TRUE,INDEX($O99:$W99&lt;&gt;"",0),0),"Lighting","Receptacle","Motor","HVAC","Electric Heat","Kitchen Equip","Continuous (Other)","Non-Continuous","Panel"))))</f>
        <v>Space</v>
      </c>
      <c r="H99" s="30" t="str">
        <f t="shared" si="36"/>
        <v/>
      </c>
      <c r="I99" s="411"/>
      <c r="J99" s="411"/>
      <c r="K99" s="320" t="str" cm="1">
        <f t="array" ref="K99">IF(OR(Tog_VD&lt;&gt;"ON",$AD99=0,$AG99=0,$J99=0,$J99="",$AB99=0),"",(IF($E99=3,SQRT3,2)*BranchK*$AD99*$J99/(INDEX(INDEX(Cond_Table,0,2),$AG99)*MAX(1,$AO99)))/$AB99)</f>
        <v/>
      </c>
      <c r="L99" s="16" t="str" cm="1">
        <f t="array" ref="L99">IF(OR(Tog_Wire&lt;&gt;"ON",$AG99=0),"",IFERROR(IF($AO99&gt;1,"("&amp;$AO99&amp;") ","")&amp;"#"&amp;INDEX(Cond_Size,$AG99)&amp;" | #"&amp;INDEX(Cond_Size,MIN($AG99,MAX(Min_Cond_Pos,MATCH(TRUE,INDEX(Cond_Table,0,2)&gt;=INDEX(INDEX(Cond_Table,0,2),MATCH(INDEX(INDEX(EGC_Table,0,IF(Cfg_BranchMat="Cu",2,3)),MATCH(TRUE,INDEX(EGC_Table,0,1)&gt;=$F99,0)),Cond_Size,0))*INDEX(INDEX(Cond_Table,0,2),$AG99)/INDEX(INDEX(Cond_Table,0,2),MAX(Min_Cond_Pos,MATCH(TRUE,INDEX(Cond_Table,0,IF($AE99&lt;=100,BranchCol60,BranchAmpCol))&gt;=$AE99/MAX(1,$AO99),0))),0))))&amp;"G",""))</f>
        <v/>
      </c>
      <c r="M99" s="428"/>
      <c r="O99" s="217"/>
      <c r="P99" s="218"/>
      <c r="Q99" s="218"/>
      <c r="R99" s="218"/>
      <c r="S99" s="218"/>
      <c r="T99" s="218"/>
      <c r="U99" s="218"/>
      <c r="V99" s="218"/>
      <c r="W99" s="219"/>
      <c r="X99"/>
      <c r="Y99" s="414">
        <f t="shared" si="26"/>
        <v>0</v>
      </c>
      <c r="Z99" s="415">
        <f t="shared" si="27"/>
        <v>0</v>
      </c>
      <c r="AA99" s="31" t="str">
        <f t="shared" si="28"/>
        <v>NONE</v>
      </c>
      <c r="AB99" s="31" t="str">
        <f t="shared" si="37"/>
        <v/>
      </c>
      <c r="AC99" s="526">
        <f t="shared" si="29"/>
        <v>0</v>
      </c>
      <c r="AD99" s="415">
        <f t="shared" si="30"/>
        <v>0</v>
      </c>
      <c r="AE99" s="415">
        <f t="shared" si="12"/>
        <v>0</v>
      </c>
      <c r="AF99" s="415">
        <f t="shared" si="13"/>
        <v>0</v>
      </c>
      <c r="AG99" s="31" cm="1">
        <f t="array" ref="AG99">IF($AE99&lt;=0,0,IFERROR(_xlfn.LET(_xlpm.n,MAX(1,$AO99),_xlpm.i,$AE99/_xlpm.n,MIN(Max_Cond_Pos,MAX(Min_Cond_Pos,IF(_xlpm.n&gt;1,Par_Min_Pos,1),MATCH(TRUE,INDEX(Cond_Table,0,IF(_xlpm.i&lt;=100,BranchCol60,BranchAmpCol))&gt;=_xlpm.i,0),IF(OR(Tog_VD&lt;&gt;"ON",$J99=0,$J99="",$AB99=0),0,MATCH(TRUE,INDEX(Cond_Table,0,2)&gt;=IF($E99=3,SQRT3,2)*BranchK*$AD99*$J99/($AQ$22*$AB99*_xlpm.n),0))))),0))</f>
        <v>0</v>
      </c>
      <c r="AH99" s="415">
        <f t="shared" si="31"/>
        <v>0</v>
      </c>
      <c r="AI99" s="31">
        <f t="shared" si="32"/>
        <v>1</v>
      </c>
      <c r="AJ99" s="415">
        <f t="shared" si="33"/>
        <v>0</v>
      </c>
      <c r="AK99" s="415">
        <f t="shared" si="34"/>
        <v>0</v>
      </c>
      <c r="AL99" s="415">
        <f t="shared" si="35"/>
        <v>0</v>
      </c>
      <c r="AN99" s="31">
        <f t="shared" si="25"/>
        <v>0</v>
      </c>
      <c r="AO99" s="563" cm="1">
        <f t="array" ref="AO99">IF($AE99&lt;=0,0,IFERROR(_xlfn.LET(_xlpm.col,IF($AE99&lt;=100,BranchCol60,BranchAmpCol),_xlpm.nA,ROUNDUP($AE99/INDEX(Cond_Table,Max_Cond_Pos,_xlpm.col),0),_xlpm.cm,IF(OR(Tog_VD&lt;&gt;"ON",$J99=0,$J99="",$AB99=0),0,IF($E99=3,SQRT3,2)*BranchK*$AD99*$J99/($AQ$22*$AB99)),_xlpm.nV,ROUNDUP(_xlpm.cm/INDEX(Cond_Table,Max_Cond_Pos,2),0),MAX(1,_xlpm.nA,_xlpm.nV)),1))</f>
        <v>0</v>
      </c>
    </row>
    <row r="100" spans="1:41" ht="15" customHeight="1" x14ac:dyDescent="0.35">
      <c r="A100"/>
      <c r="B100" s="424">
        <f>2*(ROW()-71)+2</f>
        <v>60</v>
      </c>
      <c r="C100" s="663"/>
      <c r="D100" s="664"/>
      <c r="E100" s="411"/>
      <c r="F100" s="16" t="str" cm="1">
        <f t="array" ref="F100">IF($AN100=1,"-",IF($G100="Spare",IF($AM100&lt;&gt;"",$AM100,20),IF(OR($G100="",$G100="Space",$AF100&lt;=0),"",IFERROR(INDEX(OCPD_List,MATCH($AF100,OCPD_List,1)+IF(INDEX(OCPD_List,MATCH($AF100,OCPD_List,1))&gt;=$AF100,0,1)),15))))</f>
        <v/>
      </c>
      <c r="G100" s="412" t="str" cm="1">
        <f t="array" ref="G100">IF($AN100=1,"-",IF(COUNT($O100:$W100)=0,IF(UPPER(TRIM($C100))="SPARE","Spare","Space"),IF(COUNTIF($O100:$W100,"&gt;0")&gt;1,"COMB",CHOOSE(MATCH(TRUE,INDEX($O100:$W100&lt;&gt;"",0),0),"Lighting","Receptacle","Motor","HVAC","Electric Heat","Kitchen Equip","Continuous (Other)","Non-Continuous","Panel"))))</f>
        <v>Space</v>
      </c>
      <c r="H100" s="30" t="str">
        <f t="shared" si="36"/>
        <v/>
      </c>
      <c r="I100" s="411"/>
      <c r="J100" s="411"/>
      <c r="K100" s="320" t="str" cm="1">
        <f t="array" ref="K100">IF(OR(Tog_VD&lt;&gt;"ON",$AD100=0,$AG100=0,$J100=0,$J100="",$AB100=0),"",(IF($E100=3,SQRT3,2)*BranchK*$AD100*$J100/(INDEX(INDEX(Cond_Table,0,2),$AG100)*MAX(1,$AO100)))/$AB100)</f>
        <v/>
      </c>
      <c r="L100" s="16" t="str" cm="1">
        <f t="array" ref="L100">IF(OR(Tog_Wire&lt;&gt;"ON",$AG100=0),"",IFERROR(IF($AO100&gt;1,"("&amp;$AO100&amp;") ","")&amp;"#"&amp;INDEX(Cond_Size,$AG100)&amp;" | #"&amp;INDEX(Cond_Size,MIN($AG100,MAX(Min_Cond_Pos,MATCH(TRUE,INDEX(Cond_Table,0,2)&gt;=INDEX(INDEX(Cond_Table,0,2),MATCH(INDEX(INDEX(EGC_Table,0,IF(Cfg_BranchMat="Cu",2,3)),MATCH(TRUE,INDEX(EGC_Table,0,1)&gt;=$F100,0)),Cond_Size,0))*INDEX(INDEX(Cond_Table,0,2),$AG100)/INDEX(INDEX(Cond_Table,0,2),MAX(Min_Cond_Pos,MATCH(TRUE,INDEX(Cond_Table,0,IF($AE100&lt;=100,BranchCol60,BranchAmpCol))&gt;=$AE100/MAX(1,$AO100),0))),0))))&amp;"G",""))</f>
        <v/>
      </c>
      <c r="M100" s="428"/>
      <c r="O100" s="217"/>
      <c r="P100" s="218"/>
      <c r="Q100" s="218"/>
      <c r="R100" s="218"/>
      <c r="S100" s="218"/>
      <c r="T100" s="218"/>
      <c r="U100" s="218"/>
      <c r="V100" s="218"/>
      <c r="W100" s="219"/>
      <c r="X100"/>
      <c r="Y100" s="414">
        <f t="shared" si="26"/>
        <v>0</v>
      </c>
      <c r="Z100" s="415">
        <f t="shared" si="27"/>
        <v>0</v>
      </c>
      <c r="AA100" s="31" t="str">
        <f t="shared" si="28"/>
        <v>NONE</v>
      </c>
      <c r="AB100" s="31" t="str">
        <f t="shared" si="37"/>
        <v/>
      </c>
      <c r="AC100" s="526">
        <f t="shared" si="29"/>
        <v>0</v>
      </c>
      <c r="AD100" s="415">
        <f t="shared" si="30"/>
        <v>0</v>
      </c>
      <c r="AE100" s="415">
        <f t="shared" si="12"/>
        <v>0</v>
      </c>
      <c r="AF100" s="415">
        <f t="shared" si="13"/>
        <v>0</v>
      </c>
      <c r="AG100" s="31" cm="1">
        <f t="array" ref="AG100">IF($AE100&lt;=0,0,IFERROR(_xlfn.LET(_xlpm.n,MAX(1,$AO100),_xlpm.i,$AE100/_xlpm.n,MIN(Max_Cond_Pos,MAX(Min_Cond_Pos,IF(_xlpm.n&gt;1,Par_Min_Pos,1),MATCH(TRUE,INDEX(Cond_Table,0,IF(_xlpm.i&lt;=100,BranchCol60,BranchAmpCol))&gt;=_xlpm.i,0),IF(OR(Tog_VD&lt;&gt;"ON",$J100=0,$J100="",$AB100=0),0,MATCH(TRUE,INDEX(Cond_Table,0,2)&gt;=IF($E100=3,SQRT3,2)*BranchK*$AD100*$J100/($AQ$22*$AB100*_xlpm.n),0))))),0))</f>
        <v>0</v>
      </c>
      <c r="AH100" s="415">
        <f t="shared" si="31"/>
        <v>0</v>
      </c>
      <c r="AI100" s="31">
        <f t="shared" si="32"/>
        <v>2</v>
      </c>
      <c r="AJ100" s="415">
        <f t="shared" si="33"/>
        <v>0</v>
      </c>
      <c r="AK100" s="415">
        <f t="shared" si="34"/>
        <v>0</v>
      </c>
      <c r="AL100" s="415">
        <f t="shared" si="35"/>
        <v>0</v>
      </c>
      <c r="AN100" s="31">
        <f t="shared" si="25"/>
        <v>0</v>
      </c>
      <c r="AO100" s="563" cm="1">
        <f t="array" ref="AO100">IF($AE100&lt;=0,0,IFERROR(_xlfn.LET(_xlpm.col,IF($AE100&lt;=100,BranchCol60,BranchAmpCol),_xlpm.nA,ROUNDUP($AE100/INDEX(Cond_Table,Max_Cond_Pos,_xlpm.col),0),_xlpm.cm,IF(OR(Tog_VD&lt;&gt;"ON",$J100=0,$J100="",$AB100=0),0,IF($E100=3,SQRT3,2)*BranchK*$AD100*$J100/($AQ$22*$AB100)),_xlpm.nV,ROUNDUP(_xlpm.cm/INDEX(Cond_Table,Max_Cond_Pos,2),0),MAX(1,_xlpm.nA,_xlpm.nV)),1))</f>
        <v>0</v>
      </c>
    </row>
    <row r="101" spans="1:41" ht="15" customHeight="1" x14ac:dyDescent="0.35">
      <c r="A101"/>
      <c r="B101" s="424">
        <f>2*(ROW()-71)+2</f>
        <v>62</v>
      </c>
      <c r="C101" s="663"/>
      <c r="D101" s="664"/>
      <c r="E101" s="411"/>
      <c r="F101" s="16" t="str" cm="1">
        <f t="array" ref="F101">IF($AN101=1,"-",IF($G101="Spare",IF($AM101&lt;&gt;"",$AM101,20),IF(OR($G101="",$G101="Space",$AF101&lt;=0),"",IFERROR(INDEX(OCPD_List,MATCH($AF101,OCPD_List,1)+IF(INDEX(OCPD_List,MATCH($AF101,OCPD_List,1))&gt;=$AF101,0,1)),15))))</f>
        <v/>
      </c>
      <c r="G101" s="412" t="str" cm="1">
        <f t="array" ref="G101">IF($AN101=1,"-",IF(COUNT($O101:$W101)=0,IF(UPPER(TRIM($C101))="SPARE","Spare","Space"),IF(COUNTIF($O101:$W101,"&gt;0")&gt;1,"COMB",CHOOSE(MATCH(TRUE,INDEX($O101:$W101&lt;&gt;"",0),0),"Lighting","Receptacle","Motor","HVAC","Electric Heat","Kitchen Equip","Continuous (Other)","Non-Continuous","Panel"))))</f>
        <v>Space</v>
      </c>
      <c r="H101" s="30" t="str">
        <f t="shared" si="36"/>
        <v/>
      </c>
      <c r="I101" s="411"/>
      <c r="J101" s="411"/>
      <c r="K101" s="320" t="str" cm="1">
        <f t="array" ref="K101">IF(OR(Tog_VD&lt;&gt;"ON",$AD101=0,$AG101=0,$J101=0,$J101="",$AB101=0),"",(IF($E101=3,SQRT3,2)*BranchK*$AD101*$J101/(INDEX(INDEX(Cond_Table,0,2),$AG101)*MAX(1,$AO101)))/$AB101)</f>
        <v/>
      </c>
      <c r="L101" s="16" t="str" cm="1">
        <f t="array" ref="L101">IF(OR(Tog_Wire&lt;&gt;"ON",$AG101=0),"",IFERROR(IF($AO101&gt;1,"("&amp;$AO101&amp;") ","")&amp;"#"&amp;INDEX(Cond_Size,$AG101)&amp;" | #"&amp;INDEX(Cond_Size,MIN($AG101,MAX(Min_Cond_Pos,MATCH(TRUE,INDEX(Cond_Table,0,2)&gt;=INDEX(INDEX(Cond_Table,0,2),MATCH(INDEX(INDEX(EGC_Table,0,IF(Cfg_BranchMat="Cu",2,3)),MATCH(TRUE,INDEX(EGC_Table,0,1)&gt;=$F101,0)),Cond_Size,0))*INDEX(INDEX(Cond_Table,0,2),$AG101)/INDEX(INDEX(Cond_Table,0,2),MAX(Min_Cond_Pos,MATCH(TRUE,INDEX(Cond_Table,0,IF($AE101&lt;=100,BranchCol60,BranchAmpCol))&gt;=$AE101/MAX(1,$AO101),0))),0))))&amp;"G",""))</f>
        <v/>
      </c>
      <c r="M101" s="428"/>
      <c r="O101" s="217"/>
      <c r="P101" s="218"/>
      <c r="Q101" s="218"/>
      <c r="R101" s="218"/>
      <c r="S101" s="218"/>
      <c r="T101" s="218"/>
      <c r="U101" s="218"/>
      <c r="V101" s="218"/>
      <c r="W101" s="219"/>
      <c r="X101"/>
      <c r="Y101" s="414">
        <f t="shared" si="26"/>
        <v>0</v>
      </c>
      <c r="Z101" s="415">
        <f t="shared" si="27"/>
        <v>0</v>
      </c>
      <c r="AA101" s="31" t="str">
        <f t="shared" si="28"/>
        <v>NONE</v>
      </c>
      <c r="AB101" s="31" t="str">
        <f t="shared" si="37"/>
        <v/>
      </c>
      <c r="AC101" s="526">
        <f t="shared" si="29"/>
        <v>0</v>
      </c>
      <c r="AD101" s="415">
        <f t="shared" si="30"/>
        <v>0</v>
      </c>
      <c r="AE101" s="415">
        <f t="shared" si="12"/>
        <v>0</v>
      </c>
      <c r="AF101" s="415">
        <f t="shared" si="13"/>
        <v>0</v>
      </c>
      <c r="AG101" s="31" cm="1">
        <f t="array" ref="AG101">IF($AE101&lt;=0,0,IFERROR(_xlfn.LET(_xlpm.n,MAX(1,$AO101),_xlpm.i,$AE101/_xlpm.n,MIN(Max_Cond_Pos,MAX(Min_Cond_Pos,IF(_xlpm.n&gt;1,Par_Min_Pos,1),MATCH(TRUE,INDEX(Cond_Table,0,IF(_xlpm.i&lt;=100,BranchCol60,BranchAmpCol))&gt;=_xlpm.i,0),IF(OR(Tog_VD&lt;&gt;"ON",$J101=0,$J101="",$AB101=0),0,MATCH(TRUE,INDEX(Cond_Table,0,2)&gt;=IF($E101=3,SQRT3,2)*BranchK*$AD101*$J101/($AQ$22*$AB101*_xlpm.n),0))))),0))</f>
        <v>0</v>
      </c>
      <c r="AH101" s="415">
        <f t="shared" si="31"/>
        <v>0</v>
      </c>
      <c r="AI101" s="31">
        <f t="shared" si="32"/>
        <v>0</v>
      </c>
      <c r="AJ101" s="415">
        <f t="shared" si="33"/>
        <v>0</v>
      </c>
      <c r="AK101" s="415">
        <f t="shared" si="34"/>
        <v>0</v>
      </c>
      <c r="AL101" s="415">
        <f t="shared" si="35"/>
        <v>0</v>
      </c>
      <c r="AN101" s="31">
        <f t="shared" si="25"/>
        <v>0</v>
      </c>
      <c r="AO101" s="563" cm="1">
        <f t="array" ref="AO101">IF($AE101&lt;=0,0,IFERROR(_xlfn.LET(_xlpm.col,IF($AE101&lt;=100,BranchCol60,BranchAmpCol),_xlpm.nA,ROUNDUP($AE101/INDEX(Cond_Table,Max_Cond_Pos,_xlpm.col),0),_xlpm.cm,IF(OR(Tog_VD&lt;&gt;"ON",$J101=0,$J101="",$AB101=0),0,IF($E101=3,SQRT3,2)*BranchK*$AD101*$J101/($AQ$22*$AB101)),_xlpm.nV,ROUNDUP(_xlpm.cm/INDEX(Cond_Table,Max_Cond_Pos,2),0),MAX(1,_xlpm.nA,_xlpm.nV)),1))</f>
        <v>0</v>
      </c>
    </row>
    <row r="102" spans="1:41" ht="15" customHeight="1" x14ac:dyDescent="0.35">
      <c r="A102"/>
      <c r="B102" s="424">
        <f>2*(ROW()-71)+2</f>
        <v>64</v>
      </c>
      <c r="C102" s="663"/>
      <c r="D102" s="664"/>
      <c r="E102" s="411"/>
      <c r="F102" s="16" t="str" cm="1">
        <f t="array" ref="F102">IF($AN102=1,"-",IF($G102="Spare",IF($AM102&lt;&gt;"",$AM102,20),IF(OR($G102="",$G102="Space",$AF102&lt;=0),"",IFERROR(INDEX(OCPD_List,MATCH($AF102,OCPD_List,1)+IF(INDEX(OCPD_List,MATCH($AF102,OCPD_List,1))&gt;=$AF102,0,1)),15))))</f>
        <v/>
      </c>
      <c r="G102" s="412" t="str" cm="1">
        <f t="array" ref="G102">IF($AN102=1,"-",IF(COUNT($O102:$W102)=0,IF(UPPER(TRIM($C102))="SPARE","Spare","Space"),IF(COUNTIF($O102:$W102,"&gt;0")&gt;1,"COMB",CHOOSE(MATCH(TRUE,INDEX($O102:$W102&lt;&gt;"",0),0),"Lighting","Receptacle","Motor","HVAC","Electric Heat","Kitchen Equip","Continuous (Other)","Non-Continuous","Panel"))))</f>
        <v>Space</v>
      </c>
      <c r="H102" s="30" t="str">
        <f t="shared" si="36"/>
        <v/>
      </c>
      <c r="I102" s="411"/>
      <c r="J102" s="411"/>
      <c r="K102" s="320" t="str" cm="1">
        <f t="array" ref="K102">IF(OR(Tog_VD&lt;&gt;"ON",$AD102=0,$AG102=0,$J102=0,$J102="",$AB102=0),"",(IF($E102=3,SQRT3,2)*BranchK*$AD102*$J102/(INDEX(INDEX(Cond_Table,0,2),$AG102)*MAX(1,$AO102)))/$AB102)</f>
        <v/>
      </c>
      <c r="L102" s="16" t="str" cm="1">
        <f t="array" ref="L102">IF(OR(Tog_Wire&lt;&gt;"ON",$AG102=0),"",IFERROR(IF($AO102&gt;1,"("&amp;$AO102&amp;") ","")&amp;"#"&amp;INDEX(Cond_Size,$AG102)&amp;" | #"&amp;INDEX(Cond_Size,MIN($AG102,MAX(Min_Cond_Pos,MATCH(TRUE,INDEX(Cond_Table,0,2)&gt;=INDEX(INDEX(Cond_Table,0,2),MATCH(INDEX(INDEX(EGC_Table,0,IF(Cfg_BranchMat="Cu",2,3)),MATCH(TRUE,INDEX(EGC_Table,0,1)&gt;=$F102,0)),Cond_Size,0))*INDEX(INDEX(Cond_Table,0,2),$AG102)/INDEX(INDEX(Cond_Table,0,2),MAX(Min_Cond_Pos,MATCH(TRUE,INDEX(Cond_Table,0,IF($AE102&lt;=100,BranchCol60,BranchAmpCol))&gt;=$AE102/MAX(1,$AO102),0))),0))))&amp;"G",""))</f>
        <v/>
      </c>
      <c r="M102" s="428"/>
      <c r="O102" s="217"/>
      <c r="P102" s="218"/>
      <c r="Q102" s="218"/>
      <c r="R102" s="218"/>
      <c r="S102" s="218"/>
      <c r="T102" s="218"/>
      <c r="U102" s="218"/>
      <c r="V102" s="218"/>
      <c r="W102" s="219"/>
      <c r="X102"/>
      <c r="Y102" s="414">
        <f t="shared" si="26"/>
        <v>0</v>
      </c>
      <c r="Z102" s="415">
        <f t="shared" si="27"/>
        <v>0</v>
      </c>
      <c r="AA102" s="31" t="str">
        <f t="shared" si="28"/>
        <v>NONE</v>
      </c>
      <c r="AB102" s="31" t="str">
        <f t="shared" si="37"/>
        <v/>
      </c>
      <c r="AC102" s="526">
        <f t="shared" si="29"/>
        <v>0</v>
      </c>
      <c r="AD102" s="415">
        <f t="shared" si="30"/>
        <v>0</v>
      </c>
      <c r="AE102" s="415">
        <f t="shared" si="12"/>
        <v>0</v>
      </c>
      <c r="AF102" s="415">
        <f t="shared" si="13"/>
        <v>0</v>
      </c>
      <c r="AG102" s="31" cm="1">
        <f t="array" ref="AG102">IF($AE102&lt;=0,0,IFERROR(_xlfn.LET(_xlpm.n,MAX(1,$AO102),_xlpm.i,$AE102/_xlpm.n,MIN(Max_Cond_Pos,MAX(Min_Cond_Pos,IF(_xlpm.n&gt;1,Par_Min_Pos,1),MATCH(TRUE,INDEX(Cond_Table,0,IF(_xlpm.i&lt;=100,BranchCol60,BranchAmpCol))&gt;=_xlpm.i,0),IF(OR(Tog_VD&lt;&gt;"ON",$J102=0,$J102="",$AB102=0),0,MATCH(TRUE,INDEX(Cond_Table,0,2)&gt;=IF($E102=3,SQRT3,2)*BranchK*$AD102*$J102/($AQ$22*$AB102*_xlpm.n),0))))),0))</f>
        <v>0</v>
      </c>
      <c r="AH102" s="415">
        <f t="shared" si="31"/>
        <v>0</v>
      </c>
      <c r="AI102" s="31">
        <f t="shared" si="32"/>
        <v>1</v>
      </c>
      <c r="AJ102" s="415">
        <f t="shared" si="33"/>
        <v>0</v>
      </c>
      <c r="AK102" s="415">
        <f t="shared" si="34"/>
        <v>0</v>
      </c>
      <c r="AL102" s="415">
        <f t="shared" si="35"/>
        <v>0</v>
      </c>
      <c r="AN102" s="31">
        <f t="shared" si="25"/>
        <v>0</v>
      </c>
      <c r="AO102" s="563" cm="1">
        <f t="array" ref="AO102">IF($AE102&lt;=0,0,IFERROR(_xlfn.LET(_xlpm.col,IF($AE102&lt;=100,BranchCol60,BranchAmpCol),_xlpm.nA,ROUNDUP($AE102/INDEX(Cond_Table,Max_Cond_Pos,_xlpm.col),0),_xlpm.cm,IF(OR(Tog_VD&lt;&gt;"ON",$J102=0,$J102="",$AB102=0),0,IF($E102=3,SQRT3,2)*BranchK*$AD102*$J102/($AQ$22*$AB102)),_xlpm.nV,ROUNDUP(_xlpm.cm/INDEX(Cond_Table,Max_Cond_Pos,2),0),MAX(1,_xlpm.nA,_xlpm.nV)),1))</f>
        <v>0</v>
      </c>
    </row>
    <row r="103" spans="1:41" ht="15" customHeight="1" x14ac:dyDescent="0.35">
      <c r="A103"/>
      <c r="B103" s="424">
        <f>2*(ROW()-71)+2</f>
        <v>66</v>
      </c>
      <c r="C103" s="663"/>
      <c r="D103" s="664"/>
      <c r="E103" s="411"/>
      <c r="F103" s="16" t="str" cm="1">
        <f t="array" ref="F103">IF($AN103=1,"-",IF($G103="Spare",IF($AM103&lt;&gt;"",$AM103,20),IF(OR($G103="",$G103="Space",$AF103&lt;=0),"",IFERROR(INDEX(OCPD_List,MATCH($AF103,OCPD_List,1)+IF(INDEX(OCPD_List,MATCH($AF103,OCPD_List,1))&gt;=$AF103,0,1)),15))))</f>
        <v/>
      </c>
      <c r="G103" s="412" t="str" cm="1">
        <f t="array" ref="G103">IF($AN103=1,"-",IF(COUNT($O103:$W103)=0,IF(UPPER(TRIM($C103))="SPARE","Spare","Space"),IF(COUNTIF($O103:$W103,"&gt;0")&gt;1,"COMB",CHOOSE(MATCH(TRUE,INDEX($O103:$W103&lt;&gt;"",0),0),"Lighting","Receptacle","Motor","HVAC","Electric Heat","Kitchen Equip","Continuous (Other)","Non-Continuous","Panel"))))</f>
        <v>Space</v>
      </c>
      <c r="H103" s="30" t="str">
        <f t="shared" si="36"/>
        <v/>
      </c>
      <c r="I103" s="411"/>
      <c r="J103" s="411"/>
      <c r="K103" s="320" t="str" cm="1">
        <f t="array" ref="K103">IF(OR(Tog_VD&lt;&gt;"ON",$AD103=0,$AG103=0,$J103=0,$J103="",$AB103=0),"",(IF($E103=3,SQRT3,2)*BranchK*$AD103*$J103/(INDEX(INDEX(Cond_Table,0,2),$AG103)*MAX(1,$AO103)))/$AB103)</f>
        <v/>
      </c>
      <c r="L103" s="16" t="str" cm="1">
        <f t="array" ref="L103">IF(OR(Tog_Wire&lt;&gt;"ON",$AG103=0),"",IFERROR(IF($AO103&gt;1,"("&amp;$AO103&amp;") ","")&amp;"#"&amp;INDEX(Cond_Size,$AG103)&amp;" | #"&amp;INDEX(Cond_Size,MIN($AG103,MAX(Min_Cond_Pos,MATCH(TRUE,INDEX(Cond_Table,0,2)&gt;=INDEX(INDEX(Cond_Table,0,2),MATCH(INDEX(INDEX(EGC_Table,0,IF(Cfg_BranchMat="Cu",2,3)),MATCH(TRUE,INDEX(EGC_Table,0,1)&gt;=$F103,0)),Cond_Size,0))*INDEX(INDEX(Cond_Table,0,2),$AG103)/INDEX(INDEX(Cond_Table,0,2),MAX(Min_Cond_Pos,MATCH(TRUE,INDEX(Cond_Table,0,IF($AE103&lt;=100,BranchCol60,BranchAmpCol))&gt;=$AE103/MAX(1,$AO103),0))),0))))&amp;"G",""))</f>
        <v/>
      </c>
      <c r="M103" s="428"/>
      <c r="O103" s="217"/>
      <c r="P103" s="218"/>
      <c r="Q103" s="218"/>
      <c r="R103" s="218"/>
      <c r="S103" s="218"/>
      <c r="T103" s="218"/>
      <c r="U103" s="218"/>
      <c r="V103" s="218"/>
      <c r="W103" s="219"/>
      <c r="X103"/>
      <c r="Y103" s="414">
        <f t="shared" si="26"/>
        <v>0</v>
      </c>
      <c r="Z103" s="415">
        <f t="shared" si="27"/>
        <v>0</v>
      </c>
      <c r="AA103" s="31" t="str">
        <f t="shared" si="28"/>
        <v>NONE</v>
      </c>
      <c r="AB103" s="31" t="str">
        <f t="shared" si="37"/>
        <v/>
      </c>
      <c r="AC103" s="526">
        <f t="shared" si="29"/>
        <v>0</v>
      </c>
      <c r="AD103" s="415">
        <f t="shared" si="30"/>
        <v>0</v>
      </c>
      <c r="AE103" s="415">
        <f t="shared" si="12"/>
        <v>0</v>
      </c>
      <c r="AF103" s="415">
        <f t="shared" si="13"/>
        <v>0</v>
      </c>
      <c r="AG103" s="31" cm="1">
        <f t="array" ref="AG103">IF($AE103&lt;=0,0,IFERROR(_xlfn.LET(_xlpm.n,MAX(1,$AO103),_xlpm.i,$AE103/_xlpm.n,MIN(Max_Cond_Pos,MAX(Min_Cond_Pos,IF(_xlpm.n&gt;1,Par_Min_Pos,1),MATCH(TRUE,INDEX(Cond_Table,0,IF(_xlpm.i&lt;=100,BranchCol60,BranchAmpCol))&gt;=_xlpm.i,0),IF(OR(Tog_VD&lt;&gt;"ON",$J103=0,$J103="",$AB103=0),0,MATCH(TRUE,INDEX(Cond_Table,0,2)&gt;=IF($E103=3,SQRT3,2)*BranchK*$AD103*$J103/($AQ$22*$AB103*_xlpm.n),0))))),0))</f>
        <v>0</v>
      </c>
      <c r="AH103" s="415">
        <f t="shared" si="31"/>
        <v>0</v>
      </c>
      <c r="AI103" s="31">
        <f t="shared" si="32"/>
        <v>2</v>
      </c>
      <c r="AJ103" s="415">
        <f t="shared" si="33"/>
        <v>0</v>
      </c>
      <c r="AK103" s="415">
        <f t="shared" si="34"/>
        <v>0</v>
      </c>
      <c r="AL103" s="415">
        <f t="shared" si="35"/>
        <v>0</v>
      </c>
      <c r="AN103" s="31">
        <f t="shared" si="25"/>
        <v>0</v>
      </c>
      <c r="AO103" s="563" cm="1">
        <f t="array" ref="AO103">IF($AE103&lt;=0,0,IFERROR(_xlfn.LET(_xlpm.col,IF($AE103&lt;=100,BranchCol60,BranchAmpCol),_xlpm.nA,ROUNDUP($AE103/INDEX(Cond_Table,Max_Cond_Pos,_xlpm.col),0),_xlpm.cm,IF(OR(Tog_VD&lt;&gt;"ON",$J103=0,$J103="",$AB103=0),0,IF($E103=3,SQRT3,2)*BranchK*$AD103*$J103/($AQ$22*$AB103)),_xlpm.nV,ROUNDUP(_xlpm.cm/INDEX(Cond_Table,Max_Cond_Pos,2),0),MAX(1,_xlpm.nA,_xlpm.nV)),1))</f>
        <v>0</v>
      </c>
    </row>
    <row r="104" spans="1:41" ht="15" customHeight="1" x14ac:dyDescent="0.35">
      <c r="A104"/>
      <c r="B104" s="424">
        <f>2*(ROW()-71)+2</f>
        <v>68</v>
      </c>
      <c r="C104" s="663"/>
      <c r="D104" s="664"/>
      <c r="E104" s="411"/>
      <c r="F104" s="16" t="str" cm="1">
        <f t="array" ref="F104">IF($AN104=1,"-",IF($G104="Spare",IF($AM104&lt;&gt;"",$AM104,20),IF(OR($G104="",$G104="Space",$AF104&lt;=0),"",IFERROR(INDEX(OCPD_List,MATCH($AF104,OCPD_List,1)+IF(INDEX(OCPD_List,MATCH($AF104,OCPD_List,1))&gt;=$AF104,0,1)),15))))</f>
        <v/>
      </c>
      <c r="G104" s="412" t="str" cm="1">
        <f t="array" ref="G104">IF($AN104=1,"-",IF(COUNT($O104:$W104)=0,IF(UPPER(TRIM($C104))="SPARE","Spare","Space"),IF(COUNTIF($O104:$W104,"&gt;0")&gt;1,"COMB",CHOOSE(MATCH(TRUE,INDEX($O104:$W104&lt;&gt;"",0),0),"Lighting","Receptacle","Motor","HVAC","Electric Heat","Kitchen Equip","Continuous (Other)","Non-Continuous","Panel"))))</f>
        <v>Space</v>
      </c>
      <c r="H104" s="30" t="str">
        <f t="shared" si="36"/>
        <v/>
      </c>
      <c r="I104" s="411"/>
      <c r="J104" s="411"/>
      <c r="K104" s="320" t="str" cm="1">
        <f t="array" ref="K104">IF(OR(Tog_VD&lt;&gt;"ON",$AD104=0,$AG104=0,$J104=0,$J104="",$AB104=0),"",(IF($E104=3,SQRT3,2)*BranchK*$AD104*$J104/(INDEX(INDEX(Cond_Table,0,2),$AG104)*MAX(1,$AO104)))/$AB104)</f>
        <v/>
      </c>
      <c r="L104" s="16" t="str" cm="1">
        <f t="array" ref="L104">IF(OR(Tog_Wire&lt;&gt;"ON",$AG104=0),"",IFERROR(IF($AO104&gt;1,"("&amp;$AO104&amp;") ","")&amp;"#"&amp;INDEX(Cond_Size,$AG104)&amp;" | #"&amp;INDEX(Cond_Size,MIN($AG104,MAX(Min_Cond_Pos,MATCH(TRUE,INDEX(Cond_Table,0,2)&gt;=INDEX(INDEX(Cond_Table,0,2),MATCH(INDEX(INDEX(EGC_Table,0,IF(Cfg_BranchMat="Cu",2,3)),MATCH(TRUE,INDEX(EGC_Table,0,1)&gt;=$F104,0)),Cond_Size,0))*INDEX(INDEX(Cond_Table,0,2),$AG104)/INDEX(INDEX(Cond_Table,0,2),MAX(Min_Cond_Pos,MATCH(TRUE,INDEX(Cond_Table,0,IF($AE104&lt;=100,BranchCol60,BranchAmpCol))&gt;=$AE104/MAX(1,$AO104),0))),0))))&amp;"G",""))</f>
        <v/>
      </c>
      <c r="M104" s="428"/>
      <c r="O104" s="217"/>
      <c r="P104" s="218"/>
      <c r="Q104" s="218"/>
      <c r="R104" s="218"/>
      <c r="S104" s="218"/>
      <c r="T104" s="218"/>
      <c r="U104" s="218"/>
      <c r="V104" s="218"/>
      <c r="W104" s="219"/>
      <c r="X104"/>
      <c r="Y104" s="414">
        <f t="shared" si="26"/>
        <v>0</v>
      </c>
      <c r="Z104" s="415">
        <f t="shared" si="27"/>
        <v>0</v>
      </c>
      <c r="AA104" s="31" t="str">
        <f t="shared" si="28"/>
        <v>NONE</v>
      </c>
      <c r="AB104" s="31" t="str">
        <f t="shared" si="37"/>
        <v/>
      </c>
      <c r="AC104" s="526">
        <f t="shared" si="29"/>
        <v>0</v>
      </c>
      <c r="AD104" s="415">
        <f t="shared" si="30"/>
        <v>0</v>
      </c>
      <c r="AE104" s="415">
        <f t="shared" si="12"/>
        <v>0</v>
      </c>
      <c r="AF104" s="415">
        <f t="shared" si="13"/>
        <v>0</v>
      </c>
      <c r="AG104" s="31" cm="1">
        <f t="array" ref="AG104">IF($AE104&lt;=0,0,IFERROR(_xlfn.LET(_xlpm.n,MAX(1,$AO104),_xlpm.i,$AE104/_xlpm.n,MIN(Max_Cond_Pos,MAX(Min_Cond_Pos,IF(_xlpm.n&gt;1,Par_Min_Pos,1),MATCH(TRUE,INDEX(Cond_Table,0,IF(_xlpm.i&lt;=100,BranchCol60,BranchAmpCol))&gt;=_xlpm.i,0),IF(OR(Tog_VD&lt;&gt;"ON",$J104=0,$J104="",$AB104=0),0,MATCH(TRUE,INDEX(Cond_Table,0,2)&gt;=IF($E104=3,SQRT3,2)*BranchK*$AD104*$J104/($AQ$22*$AB104*_xlpm.n),0))))),0))</f>
        <v>0</v>
      </c>
      <c r="AH104" s="415">
        <f t="shared" si="31"/>
        <v>0</v>
      </c>
      <c r="AI104" s="31">
        <f t="shared" si="32"/>
        <v>0</v>
      </c>
      <c r="AJ104" s="415">
        <f t="shared" si="33"/>
        <v>0</v>
      </c>
      <c r="AK104" s="415">
        <f t="shared" si="34"/>
        <v>0</v>
      </c>
      <c r="AL104" s="415">
        <f t="shared" si="35"/>
        <v>0</v>
      </c>
      <c r="AN104" s="31">
        <f t="shared" si="25"/>
        <v>0</v>
      </c>
      <c r="AO104" s="563" cm="1">
        <f t="array" ref="AO104">IF($AE104&lt;=0,0,IFERROR(_xlfn.LET(_xlpm.col,IF($AE104&lt;=100,BranchCol60,BranchAmpCol),_xlpm.nA,ROUNDUP($AE104/INDEX(Cond_Table,Max_Cond_Pos,_xlpm.col),0),_xlpm.cm,IF(OR(Tog_VD&lt;&gt;"ON",$J104=0,$J104="",$AB104=0),0,IF($E104=3,SQRT3,2)*BranchK*$AD104*$J104/($AQ$22*$AB104)),_xlpm.nV,ROUNDUP(_xlpm.cm/INDEX(Cond_Table,Max_Cond_Pos,2),0),MAX(1,_xlpm.nA,_xlpm.nV)),1))</f>
        <v>0</v>
      </c>
    </row>
    <row r="105" spans="1:41" ht="15" customHeight="1" x14ac:dyDescent="0.35">
      <c r="A105"/>
      <c r="B105" s="424">
        <f>2*(ROW()-71)+2</f>
        <v>70</v>
      </c>
      <c r="C105" s="663"/>
      <c r="D105" s="664"/>
      <c r="E105" s="411"/>
      <c r="F105" s="16" t="str" cm="1">
        <f t="array" ref="F105">IF($AN105=1,"-",IF($G105="Spare",IF($AM105&lt;&gt;"",$AM105,20),IF(OR($G105="",$G105="Space",$AF105&lt;=0),"",IFERROR(INDEX(OCPD_List,MATCH($AF105,OCPD_List,1)+IF(INDEX(OCPD_List,MATCH($AF105,OCPD_List,1))&gt;=$AF105,0,1)),15))))</f>
        <v/>
      </c>
      <c r="G105" s="412" t="str" cm="1">
        <f t="array" ref="G105">IF($AN105=1,"-",IF(COUNT($O105:$W105)=0,IF(UPPER(TRIM($C105))="SPARE","Spare","Space"),IF(COUNTIF($O105:$W105,"&gt;0")&gt;1,"COMB",CHOOSE(MATCH(TRUE,INDEX($O105:$W105&lt;&gt;"",0),0),"Lighting","Receptacle","Motor","HVAC","Electric Heat","Kitchen Equip","Continuous (Other)","Non-Continuous","Panel"))))</f>
        <v>Space</v>
      </c>
      <c r="H105" s="30" t="str">
        <f t="shared" si="36"/>
        <v/>
      </c>
      <c r="I105" s="411"/>
      <c r="J105" s="411"/>
      <c r="K105" s="320" t="str" cm="1">
        <f t="array" ref="K105">IF(OR(Tog_VD&lt;&gt;"ON",$AD105=0,$AG105=0,$J105=0,$J105="",$AB105=0),"",(IF($E105=3,SQRT3,2)*BranchK*$AD105*$J105/(INDEX(INDEX(Cond_Table,0,2),$AG105)*MAX(1,$AO105)))/$AB105)</f>
        <v/>
      </c>
      <c r="L105" s="16" t="str" cm="1">
        <f t="array" ref="L105">IF(OR(Tog_Wire&lt;&gt;"ON",$AG105=0),"",IFERROR(IF($AO105&gt;1,"("&amp;$AO105&amp;") ","")&amp;"#"&amp;INDEX(Cond_Size,$AG105)&amp;" | #"&amp;INDEX(Cond_Size,MIN($AG105,MAX(Min_Cond_Pos,MATCH(TRUE,INDEX(Cond_Table,0,2)&gt;=INDEX(INDEX(Cond_Table,0,2),MATCH(INDEX(INDEX(EGC_Table,0,IF(Cfg_BranchMat="Cu",2,3)),MATCH(TRUE,INDEX(EGC_Table,0,1)&gt;=$F105,0)),Cond_Size,0))*INDEX(INDEX(Cond_Table,0,2),$AG105)/INDEX(INDEX(Cond_Table,0,2),MAX(Min_Cond_Pos,MATCH(TRUE,INDEX(Cond_Table,0,IF($AE105&lt;=100,BranchCol60,BranchAmpCol))&gt;=$AE105/MAX(1,$AO105),0))),0))))&amp;"G",""))</f>
        <v/>
      </c>
      <c r="M105" s="428"/>
      <c r="O105" s="217"/>
      <c r="P105" s="218"/>
      <c r="Q105" s="218"/>
      <c r="R105" s="218"/>
      <c r="S105" s="218"/>
      <c r="T105" s="218"/>
      <c r="U105" s="218"/>
      <c r="V105" s="218"/>
      <c r="W105" s="219"/>
      <c r="X105"/>
      <c r="Y105" s="414">
        <f t="shared" si="26"/>
        <v>0</v>
      </c>
      <c r="Z105" s="415">
        <f t="shared" si="27"/>
        <v>0</v>
      </c>
      <c r="AA105" s="31" t="str">
        <f t="shared" si="28"/>
        <v>NONE</v>
      </c>
      <c r="AB105" s="31" t="str">
        <f t="shared" si="37"/>
        <v/>
      </c>
      <c r="AC105" s="526">
        <f t="shared" si="29"/>
        <v>0</v>
      </c>
      <c r="AD105" s="415">
        <f t="shared" si="30"/>
        <v>0</v>
      </c>
      <c r="AE105" s="415">
        <f t="shared" si="12"/>
        <v>0</v>
      </c>
      <c r="AF105" s="415">
        <f t="shared" si="13"/>
        <v>0</v>
      </c>
      <c r="AG105" s="31" cm="1">
        <f t="array" ref="AG105">IF($AE105&lt;=0,0,IFERROR(_xlfn.LET(_xlpm.n,MAX(1,$AO105),_xlpm.i,$AE105/_xlpm.n,MIN(Max_Cond_Pos,MAX(Min_Cond_Pos,IF(_xlpm.n&gt;1,Par_Min_Pos,1),MATCH(TRUE,INDEX(Cond_Table,0,IF(_xlpm.i&lt;=100,BranchCol60,BranchAmpCol))&gt;=_xlpm.i,0),IF(OR(Tog_VD&lt;&gt;"ON",$J105=0,$J105="",$AB105=0),0,MATCH(TRUE,INDEX(Cond_Table,0,2)&gt;=IF($E105=3,SQRT3,2)*BranchK*$AD105*$J105/($AQ$22*$AB105*_xlpm.n),0))))),0))</f>
        <v>0</v>
      </c>
      <c r="AH105" s="415">
        <f t="shared" si="31"/>
        <v>0</v>
      </c>
      <c r="AI105" s="31">
        <f t="shared" si="32"/>
        <v>1</v>
      </c>
      <c r="AJ105" s="415">
        <f t="shared" si="33"/>
        <v>0</v>
      </c>
      <c r="AK105" s="415">
        <f t="shared" si="34"/>
        <v>0</v>
      </c>
      <c r="AL105" s="415">
        <f t="shared" si="35"/>
        <v>0</v>
      </c>
      <c r="AN105" s="31">
        <f t="shared" si="25"/>
        <v>0</v>
      </c>
      <c r="AO105" s="563" cm="1">
        <f t="array" ref="AO105">IF($AE105&lt;=0,0,IFERROR(_xlfn.LET(_xlpm.col,IF($AE105&lt;=100,BranchCol60,BranchAmpCol),_xlpm.nA,ROUNDUP($AE105/INDEX(Cond_Table,Max_Cond_Pos,_xlpm.col),0),_xlpm.cm,IF(OR(Tog_VD&lt;&gt;"ON",$J105=0,$J105="",$AB105=0),0,IF($E105=3,SQRT3,2)*BranchK*$AD105*$J105/($AQ$22*$AB105)),_xlpm.nV,ROUNDUP(_xlpm.cm/INDEX(Cond_Table,Max_Cond_Pos,2),0),MAX(1,_xlpm.nA,_xlpm.nV)),1))</f>
        <v>0</v>
      </c>
    </row>
    <row r="106" spans="1:41" ht="15" customHeight="1" x14ac:dyDescent="0.35">
      <c r="A106"/>
      <c r="B106" s="424">
        <f>2*(ROW()-71)+2</f>
        <v>72</v>
      </c>
      <c r="C106" s="663"/>
      <c r="D106" s="664"/>
      <c r="E106" s="411"/>
      <c r="F106" s="16" t="str" cm="1">
        <f t="array" ref="F106">IF($AN106=1,"-",IF($G106="Spare",IF($AM106&lt;&gt;"",$AM106,20),IF(OR($G106="",$G106="Space",$AF106&lt;=0),"",IFERROR(INDEX(OCPD_List,MATCH($AF106,OCPD_List,1)+IF(INDEX(OCPD_List,MATCH($AF106,OCPD_List,1))&gt;=$AF106,0,1)),15))))</f>
        <v/>
      </c>
      <c r="G106" s="412" t="str" cm="1">
        <f t="array" ref="G106">IF($AN106=1,"-",IF(COUNT($O106:$W106)=0,IF(UPPER(TRIM($C106))="SPARE","Spare","Space"),IF(COUNTIF($O106:$W106,"&gt;0")&gt;1,"COMB",CHOOSE(MATCH(TRUE,INDEX($O106:$W106&lt;&gt;"",0),0),"Lighting","Receptacle","Motor","HVAC","Electric Heat","Kitchen Equip","Continuous (Other)","Non-Continuous","Panel"))))</f>
        <v>Space</v>
      </c>
      <c r="H106" s="30" t="str">
        <f t="shared" si="36"/>
        <v/>
      </c>
      <c r="I106" s="411"/>
      <c r="J106" s="411"/>
      <c r="K106" s="320" t="str" cm="1">
        <f t="array" ref="K106">IF(OR(Tog_VD&lt;&gt;"ON",$AD106=0,$AG106=0,$J106=0,$J106="",$AB106=0),"",(IF($E106=3,SQRT3,2)*BranchK*$AD106*$J106/(INDEX(INDEX(Cond_Table,0,2),$AG106)*MAX(1,$AO106)))/$AB106)</f>
        <v/>
      </c>
      <c r="L106" s="16" t="str" cm="1">
        <f t="array" ref="L106">IF(OR(Tog_Wire&lt;&gt;"ON",$AG106=0),"",IFERROR(IF($AO106&gt;1,"("&amp;$AO106&amp;") ","")&amp;"#"&amp;INDEX(Cond_Size,$AG106)&amp;" | #"&amp;INDEX(Cond_Size,MIN($AG106,MAX(Min_Cond_Pos,MATCH(TRUE,INDEX(Cond_Table,0,2)&gt;=INDEX(INDEX(Cond_Table,0,2),MATCH(INDEX(INDEX(EGC_Table,0,IF(Cfg_BranchMat="Cu",2,3)),MATCH(TRUE,INDEX(EGC_Table,0,1)&gt;=$F106,0)),Cond_Size,0))*INDEX(INDEX(Cond_Table,0,2),$AG106)/INDEX(INDEX(Cond_Table,0,2),MAX(Min_Cond_Pos,MATCH(TRUE,INDEX(Cond_Table,0,IF($AE106&lt;=100,BranchCol60,BranchAmpCol))&gt;=$AE106/MAX(1,$AO106),0))),0))))&amp;"G",""))</f>
        <v/>
      </c>
      <c r="M106" s="428"/>
      <c r="O106" s="217"/>
      <c r="P106" s="218"/>
      <c r="Q106" s="218"/>
      <c r="R106" s="218"/>
      <c r="S106" s="218"/>
      <c r="T106" s="218"/>
      <c r="U106" s="218"/>
      <c r="V106" s="218"/>
      <c r="W106" s="219"/>
      <c r="X106"/>
      <c r="Y106" s="414">
        <f t="shared" si="26"/>
        <v>0</v>
      </c>
      <c r="Z106" s="415">
        <f t="shared" si="27"/>
        <v>0</v>
      </c>
      <c r="AA106" s="31" t="str">
        <f t="shared" si="28"/>
        <v>NONE</v>
      </c>
      <c r="AB106" s="31" t="str">
        <f t="shared" si="37"/>
        <v/>
      </c>
      <c r="AC106" s="526">
        <f t="shared" si="29"/>
        <v>0</v>
      </c>
      <c r="AD106" s="415">
        <f t="shared" si="30"/>
        <v>0</v>
      </c>
      <c r="AE106" s="415">
        <f t="shared" si="12"/>
        <v>0</v>
      </c>
      <c r="AF106" s="415">
        <f t="shared" si="13"/>
        <v>0</v>
      </c>
      <c r="AG106" s="31" cm="1">
        <f t="array" ref="AG106">IF($AE106&lt;=0,0,IFERROR(_xlfn.LET(_xlpm.n,MAX(1,$AO106),_xlpm.i,$AE106/_xlpm.n,MIN(Max_Cond_Pos,MAX(Min_Cond_Pos,IF(_xlpm.n&gt;1,Par_Min_Pos,1),MATCH(TRUE,INDEX(Cond_Table,0,IF(_xlpm.i&lt;=100,BranchCol60,BranchAmpCol))&gt;=_xlpm.i,0),IF(OR(Tog_VD&lt;&gt;"ON",$J106=0,$J106="",$AB106=0),0,MATCH(TRUE,INDEX(Cond_Table,0,2)&gt;=IF($E106=3,SQRT3,2)*BranchK*$AD106*$J106/($AQ$22*$AB106*_xlpm.n),0))))),0))</f>
        <v>0</v>
      </c>
      <c r="AH106" s="415">
        <f t="shared" si="31"/>
        <v>0</v>
      </c>
      <c r="AI106" s="31">
        <f t="shared" si="32"/>
        <v>2</v>
      </c>
      <c r="AJ106" s="415">
        <f t="shared" si="33"/>
        <v>0</v>
      </c>
      <c r="AK106" s="415">
        <f t="shared" si="34"/>
        <v>0</v>
      </c>
      <c r="AL106" s="415">
        <f t="shared" si="35"/>
        <v>0</v>
      </c>
      <c r="AN106" s="31">
        <f t="shared" si="25"/>
        <v>0</v>
      </c>
      <c r="AO106" s="563" cm="1">
        <f t="array" ref="AO106">IF($AE106&lt;=0,0,IFERROR(_xlfn.LET(_xlpm.col,IF($AE106&lt;=100,BranchCol60,BranchAmpCol),_xlpm.nA,ROUNDUP($AE106/INDEX(Cond_Table,Max_Cond_Pos,_xlpm.col),0),_xlpm.cm,IF(OR(Tog_VD&lt;&gt;"ON",$J106=0,$J106="",$AB106=0),0,IF($E106=3,SQRT3,2)*BranchK*$AD106*$J106/($AQ$22*$AB106)),_xlpm.nV,ROUNDUP(_xlpm.cm/INDEX(Cond_Table,Max_Cond_Pos,2),0),MAX(1,_xlpm.nA,_xlpm.nV)),1))</f>
        <v>0</v>
      </c>
    </row>
    <row r="107" spans="1:41" ht="15" customHeight="1" x14ac:dyDescent="0.35">
      <c r="A107"/>
      <c r="B107" s="424">
        <f>2*(ROW()-71)+2</f>
        <v>74</v>
      </c>
      <c r="C107" s="663"/>
      <c r="D107" s="664"/>
      <c r="E107" s="411"/>
      <c r="F107" s="16" t="str" cm="1">
        <f t="array" ref="F107">IF($AN107=1,"-",IF($G107="Spare",IF($AM107&lt;&gt;"",$AM107,20),IF(OR($G107="",$G107="Space",$AF107&lt;=0),"",IFERROR(INDEX(OCPD_List,MATCH($AF107,OCPD_List,1)+IF(INDEX(OCPD_List,MATCH($AF107,OCPD_List,1))&gt;=$AF107,0,1)),15))))</f>
        <v/>
      </c>
      <c r="G107" s="412" t="str" cm="1">
        <f t="array" ref="G107">IF($AN107=1,"-",IF(COUNT($O107:$W107)=0,IF(UPPER(TRIM($C107))="SPARE","Spare","Space"),IF(COUNTIF($O107:$W107,"&gt;0")&gt;1,"COMB",CHOOSE(MATCH(TRUE,INDEX($O107:$W107&lt;&gt;"",0),0),"Lighting","Receptacle","Motor","HVAC","Electric Heat","Kitchen Equip","Continuous (Other)","Non-Continuous","Panel"))))</f>
        <v>Space</v>
      </c>
      <c r="H107" s="30" t="str">
        <f t="shared" si="36"/>
        <v/>
      </c>
      <c r="I107" s="411"/>
      <c r="J107" s="411"/>
      <c r="K107" s="320" t="str" cm="1">
        <f t="array" ref="K107">IF(OR(Tog_VD&lt;&gt;"ON",$AD107=0,$AG107=0,$J107=0,$J107="",$AB107=0),"",(IF($E107=3,SQRT3,2)*BranchK*$AD107*$J107/(INDEX(INDEX(Cond_Table,0,2),$AG107)*MAX(1,$AO107)))/$AB107)</f>
        <v/>
      </c>
      <c r="L107" s="16" t="str" cm="1">
        <f t="array" ref="L107">IF(OR(Tog_Wire&lt;&gt;"ON",$AG107=0),"",IFERROR(IF($AO107&gt;1,"("&amp;$AO107&amp;") ","")&amp;"#"&amp;INDEX(Cond_Size,$AG107)&amp;" | #"&amp;INDEX(Cond_Size,MIN($AG107,MAX(Min_Cond_Pos,MATCH(TRUE,INDEX(Cond_Table,0,2)&gt;=INDEX(INDEX(Cond_Table,0,2),MATCH(INDEX(INDEX(EGC_Table,0,IF(Cfg_BranchMat="Cu",2,3)),MATCH(TRUE,INDEX(EGC_Table,0,1)&gt;=$F107,0)),Cond_Size,0))*INDEX(INDEX(Cond_Table,0,2),$AG107)/INDEX(INDEX(Cond_Table,0,2),MAX(Min_Cond_Pos,MATCH(TRUE,INDEX(Cond_Table,0,IF($AE107&lt;=100,BranchCol60,BranchAmpCol))&gt;=$AE107/MAX(1,$AO107),0))),0))))&amp;"G",""))</f>
        <v/>
      </c>
      <c r="M107" s="428"/>
      <c r="O107" s="217"/>
      <c r="P107" s="218"/>
      <c r="Q107" s="218"/>
      <c r="R107" s="218"/>
      <c r="S107" s="218"/>
      <c r="T107" s="218"/>
      <c r="U107" s="218"/>
      <c r="V107" s="218"/>
      <c r="W107" s="219"/>
      <c r="X107"/>
      <c r="Y107" s="414">
        <f t="shared" si="26"/>
        <v>0</v>
      </c>
      <c r="Z107" s="415">
        <f t="shared" si="27"/>
        <v>0</v>
      </c>
      <c r="AA107" s="31" t="str">
        <f t="shared" si="28"/>
        <v>NONE</v>
      </c>
      <c r="AB107" s="31" t="str">
        <f t="shared" si="37"/>
        <v/>
      </c>
      <c r="AC107" s="526">
        <f t="shared" si="29"/>
        <v>0</v>
      </c>
      <c r="AD107" s="415">
        <f t="shared" si="30"/>
        <v>0</v>
      </c>
      <c r="AE107" s="415">
        <f t="shared" si="12"/>
        <v>0</v>
      </c>
      <c r="AF107" s="415">
        <f t="shared" si="13"/>
        <v>0</v>
      </c>
      <c r="AG107" s="31" cm="1">
        <f t="array" ref="AG107">IF($AE107&lt;=0,0,IFERROR(_xlfn.LET(_xlpm.n,MAX(1,$AO107),_xlpm.i,$AE107/_xlpm.n,MIN(Max_Cond_Pos,MAX(Min_Cond_Pos,IF(_xlpm.n&gt;1,Par_Min_Pos,1),MATCH(TRUE,INDEX(Cond_Table,0,IF(_xlpm.i&lt;=100,BranchCol60,BranchAmpCol))&gt;=_xlpm.i,0),IF(OR(Tog_VD&lt;&gt;"ON",$J107=0,$J107="",$AB107=0),0,MATCH(TRUE,INDEX(Cond_Table,0,2)&gt;=IF($E107=3,SQRT3,2)*BranchK*$AD107*$J107/($AQ$22*$AB107*_xlpm.n),0))))),0))</f>
        <v>0</v>
      </c>
      <c r="AH107" s="415">
        <f t="shared" si="31"/>
        <v>0</v>
      </c>
      <c r="AI107" s="31">
        <f t="shared" si="32"/>
        <v>0</v>
      </c>
      <c r="AJ107" s="415">
        <f t="shared" si="33"/>
        <v>0</v>
      </c>
      <c r="AK107" s="415">
        <f t="shared" si="34"/>
        <v>0</v>
      </c>
      <c r="AL107" s="415">
        <f t="shared" si="35"/>
        <v>0</v>
      </c>
      <c r="AN107" s="31">
        <f t="shared" si="25"/>
        <v>0</v>
      </c>
      <c r="AO107" s="563" cm="1">
        <f t="array" ref="AO107">IF($AE107&lt;=0,0,IFERROR(_xlfn.LET(_xlpm.col,IF($AE107&lt;=100,BranchCol60,BranchAmpCol),_xlpm.nA,ROUNDUP($AE107/INDEX(Cond_Table,Max_Cond_Pos,_xlpm.col),0),_xlpm.cm,IF(OR(Tog_VD&lt;&gt;"ON",$J107=0,$J107="",$AB107=0),0,IF($E107=3,SQRT3,2)*BranchK*$AD107*$J107/($AQ$22*$AB107)),_xlpm.nV,ROUNDUP(_xlpm.cm/INDEX(Cond_Table,Max_Cond_Pos,2),0),MAX(1,_xlpm.nA,_xlpm.nV)),1))</f>
        <v>0</v>
      </c>
    </row>
    <row r="108" spans="1:41" ht="15" customHeight="1" x14ac:dyDescent="0.35">
      <c r="A108"/>
      <c r="B108" s="424">
        <f>2*(ROW()-71)+2</f>
        <v>76</v>
      </c>
      <c r="C108" s="663"/>
      <c r="D108" s="664"/>
      <c r="E108" s="411"/>
      <c r="F108" s="16" t="str" cm="1">
        <f t="array" ref="F108">IF($AN108=1,"-",IF($G108="Spare",IF($AM108&lt;&gt;"",$AM108,20),IF(OR($G108="",$G108="Space",$AF108&lt;=0),"",IFERROR(INDEX(OCPD_List,MATCH($AF108,OCPD_List,1)+IF(INDEX(OCPD_List,MATCH($AF108,OCPD_List,1))&gt;=$AF108,0,1)),15))))</f>
        <v/>
      </c>
      <c r="G108" s="412" t="str" cm="1">
        <f t="array" ref="G108">IF($AN108=1,"-",IF(COUNT($O108:$W108)=0,IF(UPPER(TRIM($C108))="SPARE","Spare","Space"),IF(COUNTIF($O108:$W108,"&gt;0")&gt;1,"COMB",CHOOSE(MATCH(TRUE,INDEX($O108:$W108&lt;&gt;"",0),0),"Lighting","Receptacle","Motor","HVAC","Electric Heat","Kitchen Equip","Continuous (Other)","Non-Continuous","Panel"))))</f>
        <v>Space</v>
      </c>
      <c r="H108" s="30" t="str">
        <f t="shared" si="36"/>
        <v/>
      </c>
      <c r="I108" s="411"/>
      <c r="J108" s="411"/>
      <c r="K108" s="320" t="str" cm="1">
        <f t="array" ref="K108">IF(OR(Tog_VD&lt;&gt;"ON",$AD108=0,$AG108=0,$J108=0,$J108="",$AB108=0),"",(IF($E108=3,SQRT3,2)*BranchK*$AD108*$J108/(INDEX(INDEX(Cond_Table,0,2),$AG108)*MAX(1,$AO108)))/$AB108)</f>
        <v/>
      </c>
      <c r="L108" s="16" t="str" cm="1">
        <f t="array" ref="L108">IF(OR(Tog_Wire&lt;&gt;"ON",$AG108=0),"",IFERROR(IF($AO108&gt;1,"("&amp;$AO108&amp;") ","")&amp;"#"&amp;INDEX(Cond_Size,$AG108)&amp;" | #"&amp;INDEX(Cond_Size,MIN($AG108,MAX(Min_Cond_Pos,MATCH(TRUE,INDEX(Cond_Table,0,2)&gt;=INDEX(INDEX(Cond_Table,0,2),MATCH(INDEX(INDEX(EGC_Table,0,IF(Cfg_BranchMat="Cu",2,3)),MATCH(TRUE,INDEX(EGC_Table,0,1)&gt;=$F108,0)),Cond_Size,0))*INDEX(INDEX(Cond_Table,0,2),$AG108)/INDEX(INDEX(Cond_Table,0,2),MAX(Min_Cond_Pos,MATCH(TRUE,INDEX(Cond_Table,0,IF($AE108&lt;=100,BranchCol60,BranchAmpCol))&gt;=$AE108/MAX(1,$AO108),0))),0))))&amp;"G",""))</f>
        <v/>
      </c>
      <c r="M108" s="428"/>
      <c r="O108" s="217"/>
      <c r="P108" s="218"/>
      <c r="Q108" s="218"/>
      <c r="R108" s="218"/>
      <c r="S108" s="218"/>
      <c r="T108" s="218"/>
      <c r="U108" s="218"/>
      <c r="V108" s="218"/>
      <c r="W108" s="219"/>
      <c r="X108"/>
      <c r="Y108" s="414">
        <f t="shared" si="26"/>
        <v>0</v>
      </c>
      <c r="Z108" s="415">
        <f t="shared" si="27"/>
        <v>0</v>
      </c>
      <c r="AA108" s="31" t="str">
        <f t="shared" si="28"/>
        <v>NONE</v>
      </c>
      <c r="AB108" s="31" t="str">
        <f t="shared" si="37"/>
        <v/>
      </c>
      <c r="AC108" s="526">
        <f t="shared" si="29"/>
        <v>0</v>
      </c>
      <c r="AD108" s="415">
        <f t="shared" si="30"/>
        <v>0</v>
      </c>
      <c r="AE108" s="415">
        <f t="shared" si="12"/>
        <v>0</v>
      </c>
      <c r="AF108" s="415">
        <f t="shared" si="13"/>
        <v>0</v>
      </c>
      <c r="AG108" s="31" cm="1">
        <f t="array" ref="AG108">IF($AE108&lt;=0,0,IFERROR(_xlfn.LET(_xlpm.n,MAX(1,$AO108),_xlpm.i,$AE108/_xlpm.n,MIN(Max_Cond_Pos,MAX(Min_Cond_Pos,IF(_xlpm.n&gt;1,Par_Min_Pos,1),MATCH(TRUE,INDEX(Cond_Table,0,IF(_xlpm.i&lt;=100,BranchCol60,BranchAmpCol))&gt;=_xlpm.i,0),IF(OR(Tog_VD&lt;&gt;"ON",$J108=0,$J108="",$AB108=0),0,MATCH(TRUE,INDEX(Cond_Table,0,2)&gt;=IF($E108=3,SQRT3,2)*BranchK*$AD108*$J108/($AQ$22*$AB108*_xlpm.n),0))))),0))</f>
        <v>0</v>
      </c>
      <c r="AH108" s="415">
        <f t="shared" si="31"/>
        <v>0</v>
      </c>
      <c r="AI108" s="31">
        <f t="shared" si="32"/>
        <v>1</v>
      </c>
      <c r="AJ108" s="415">
        <f t="shared" si="33"/>
        <v>0</v>
      </c>
      <c r="AK108" s="415">
        <f t="shared" si="34"/>
        <v>0</v>
      </c>
      <c r="AL108" s="415">
        <f t="shared" si="35"/>
        <v>0</v>
      </c>
      <c r="AN108" s="31">
        <f t="shared" si="25"/>
        <v>0</v>
      </c>
      <c r="AO108" s="563" cm="1">
        <f t="array" ref="AO108">IF($AE108&lt;=0,0,IFERROR(_xlfn.LET(_xlpm.col,IF($AE108&lt;=100,BranchCol60,BranchAmpCol),_xlpm.nA,ROUNDUP($AE108/INDEX(Cond_Table,Max_Cond_Pos,_xlpm.col),0),_xlpm.cm,IF(OR(Tog_VD&lt;&gt;"ON",$J108=0,$J108="",$AB108=0),0,IF($E108=3,SQRT3,2)*BranchK*$AD108*$J108/($AQ$22*$AB108)),_xlpm.nV,ROUNDUP(_xlpm.cm/INDEX(Cond_Table,Max_Cond_Pos,2),0),MAX(1,_xlpm.nA,_xlpm.nV)),1))</f>
        <v>0</v>
      </c>
    </row>
    <row r="109" spans="1:41" ht="15" customHeight="1" x14ac:dyDescent="0.35">
      <c r="A109"/>
      <c r="B109" s="424">
        <f>2*(ROW()-71)+2</f>
        <v>78</v>
      </c>
      <c r="C109" s="663"/>
      <c r="D109" s="664"/>
      <c r="E109" s="411"/>
      <c r="F109" s="16" t="str" cm="1">
        <f t="array" ref="F109">IF($AN109=1,"-",IF($G109="Spare",IF($AM109&lt;&gt;"",$AM109,20),IF(OR($G109="",$G109="Space",$AF109&lt;=0),"",IFERROR(INDEX(OCPD_List,MATCH($AF109,OCPD_List,1)+IF(INDEX(OCPD_List,MATCH($AF109,OCPD_List,1))&gt;=$AF109,0,1)),15))))</f>
        <v/>
      </c>
      <c r="G109" s="412" t="str" cm="1">
        <f t="array" ref="G109">IF($AN109=1,"-",IF(COUNT($O109:$W109)=0,IF(UPPER(TRIM($C109))="SPARE","Spare","Space"),IF(COUNTIF($O109:$W109,"&gt;0")&gt;1,"COMB",CHOOSE(MATCH(TRUE,INDEX($O109:$W109&lt;&gt;"",0),0),"Lighting","Receptacle","Motor","HVAC","Electric Heat","Kitchen Equip","Continuous (Other)","Non-Continuous","Panel"))))</f>
        <v>Space</v>
      </c>
      <c r="H109" s="30" t="str">
        <f t="shared" si="36"/>
        <v/>
      </c>
      <c r="I109" s="411"/>
      <c r="J109" s="411"/>
      <c r="K109" s="320" t="str" cm="1">
        <f t="array" ref="K109">IF(OR(Tog_VD&lt;&gt;"ON",$AD109=0,$AG109=0,$J109=0,$J109="",$AB109=0),"",(IF($E109=3,SQRT3,2)*BranchK*$AD109*$J109/(INDEX(INDEX(Cond_Table,0,2),$AG109)*MAX(1,$AO109)))/$AB109)</f>
        <v/>
      </c>
      <c r="L109" s="16" t="str" cm="1">
        <f t="array" ref="L109">IF(OR(Tog_Wire&lt;&gt;"ON",$AG109=0),"",IFERROR(IF($AO109&gt;1,"("&amp;$AO109&amp;") ","")&amp;"#"&amp;INDEX(Cond_Size,$AG109)&amp;" | #"&amp;INDEX(Cond_Size,MIN($AG109,MAX(Min_Cond_Pos,MATCH(TRUE,INDEX(Cond_Table,0,2)&gt;=INDEX(INDEX(Cond_Table,0,2),MATCH(INDEX(INDEX(EGC_Table,0,IF(Cfg_BranchMat="Cu",2,3)),MATCH(TRUE,INDEX(EGC_Table,0,1)&gt;=$F109,0)),Cond_Size,0))*INDEX(INDEX(Cond_Table,0,2),$AG109)/INDEX(INDEX(Cond_Table,0,2),MAX(Min_Cond_Pos,MATCH(TRUE,INDEX(Cond_Table,0,IF($AE109&lt;=100,BranchCol60,BranchAmpCol))&gt;=$AE109/MAX(1,$AO109),0))),0))))&amp;"G",""))</f>
        <v/>
      </c>
      <c r="M109" s="428"/>
      <c r="O109" s="217"/>
      <c r="P109" s="218"/>
      <c r="Q109" s="218"/>
      <c r="R109" s="218"/>
      <c r="S109" s="218"/>
      <c r="T109" s="218"/>
      <c r="U109" s="218"/>
      <c r="V109" s="218"/>
      <c r="W109" s="219"/>
      <c r="X109"/>
      <c r="Y109" s="414">
        <f t="shared" si="26"/>
        <v>0</v>
      </c>
      <c r="Z109" s="415">
        <f t="shared" si="27"/>
        <v>0</v>
      </c>
      <c r="AA109" s="31" t="str">
        <f t="shared" si="28"/>
        <v>NONE</v>
      </c>
      <c r="AB109" s="31" t="str">
        <f t="shared" si="37"/>
        <v/>
      </c>
      <c r="AC109" s="526">
        <f t="shared" si="29"/>
        <v>0</v>
      </c>
      <c r="AD109" s="415">
        <f t="shared" si="30"/>
        <v>0</v>
      </c>
      <c r="AE109" s="415">
        <f t="shared" si="12"/>
        <v>0</v>
      </c>
      <c r="AF109" s="415">
        <f t="shared" si="13"/>
        <v>0</v>
      </c>
      <c r="AG109" s="31" cm="1">
        <f t="array" ref="AG109">IF($AE109&lt;=0,0,IFERROR(_xlfn.LET(_xlpm.n,MAX(1,$AO109),_xlpm.i,$AE109/_xlpm.n,MIN(Max_Cond_Pos,MAX(Min_Cond_Pos,IF(_xlpm.n&gt;1,Par_Min_Pos,1),MATCH(TRUE,INDEX(Cond_Table,0,IF(_xlpm.i&lt;=100,BranchCol60,BranchAmpCol))&gt;=_xlpm.i,0),IF(OR(Tog_VD&lt;&gt;"ON",$J109=0,$J109="",$AB109=0),0,MATCH(TRUE,INDEX(Cond_Table,0,2)&gt;=IF($E109=3,SQRT3,2)*BranchK*$AD109*$J109/($AQ$22*$AB109*_xlpm.n),0))))),0))</f>
        <v>0</v>
      </c>
      <c r="AH109" s="415">
        <f t="shared" si="31"/>
        <v>0</v>
      </c>
      <c r="AI109" s="31">
        <f t="shared" si="32"/>
        <v>2</v>
      </c>
      <c r="AJ109" s="415">
        <f t="shared" si="33"/>
        <v>0</v>
      </c>
      <c r="AK109" s="415">
        <f t="shared" si="34"/>
        <v>0</v>
      </c>
      <c r="AL109" s="415">
        <f t="shared" si="35"/>
        <v>0</v>
      </c>
      <c r="AN109" s="31">
        <f t="shared" si="25"/>
        <v>0</v>
      </c>
      <c r="AO109" s="563" cm="1">
        <f t="array" ref="AO109">IF($AE109&lt;=0,0,IFERROR(_xlfn.LET(_xlpm.col,IF($AE109&lt;=100,BranchCol60,BranchAmpCol),_xlpm.nA,ROUNDUP($AE109/INDEX(Cond_Table,Max_Cond_Pos,_xlpm.col),0),_xlpm.cm,IF(OR(Tog_VD&lt;&gt;"ON",$J109=0,$J109="",$AB109=0),0,IF($E109=3,SQRT3,2)*BranchK*$AD109*$J109/($AQ$22*$AB109)),_xlpm.nV,ROUNDUP(_xlpm.cm/INDEX(Cond_Table,Max_Cond_Pos,2),0),MAX(1,_xlpm.nA,_xlpm.nV)),1))</f>
        <v>0</v>
      </c>
    </row>
    <row r="110" spans="1:41" ht="15" customHeight="1" x14ac:dyDescent="0.35">
      <c r="A110"/>
      <c r="B110" s="424">
        <f>2*(ROW()-71)+2</f>
        <v>80</v>
      </c>
      <c r="C110" s="663"/>
      <c r="D110" s="664"/>
      <c r="E110" s="411"/>
      <c r="F110" s="16" t="str" cm="1">
        <f t="array" ref="F110">IF($AN110=1,"-",IF($G110="Spare",IF($AM110&lt;&gt;"",$AM110,20),IF(OR($G110="",$G110="Space",$AF110&lt;=0),"",IFERROR(INDEX(OCPD_List,MATCH($AF110,OCPD_List,1)+IF(INDEX(OCPD_List,MATCH($AF110,OCPD_List,1))&gt;=$AF110,0,1)),15))))</f>
        <v/>
      </c>
      <c r="G110" s="412" t="str" cm="1">
        <f t="array" ref="G110">IF($AN110=1,"-",IF(COUNT($O110:$W110)=0,IF(UPPER(TRIM($C110))="SPARE","Spare","Space"),IF(COUNTIF($O110:$W110,"&gt;0")&gt;1,"COMB",CHOOSE(MATCH(TRUE,INDEX($O110:$W110&lt;&gt;"",0),0),"Lighting","Receptacle","Motor","HVAC","Electric Heat","Kitchen Equip","Continuous (Other)","Non-Continuous","Panel"))))</f>
        <v>Space</v>
      </c>
      <c r="H110" s="30" t="str">
        <f t="shared" si="36"/>
        <v/>
      </c>
      <c r="I110" s="411"/>
      <c r="J110" s="411"/>
      <c r="K110" s="320" t="str" cm="1">
        <f t="array" ref="K110">IF(OR(Tog_VD&lt;&gt;"ON",$AD110=0,$AG110=0,$J110=0,$J110="",$AB110=0),"",(IF($E110=3,SQRT3,2)*BranchK*$AD110*$J110/(INDEX(INDEX(Cond_Table,0,2),$AG110)*MAX(1,$AO110)))/$AB110)</f>
        <v/>
      </c>
      <c r="L110" s="16" t="str" cm="1">
        <f t="array" ref="L110">IF(OR(Tog_Wire&lt;&gt;"ON",$AG110=0),"",IFERROR(IF($AO110&gt;1,"("&amp;$AO110&amp;") ","")&amp;"#"&amp;INDEX(Cond_Size,$AG110)&amp;" | #"&amp;INDEX(Cond_Size,MIN($AG110,MAX(Min_Cond_Pos,MATCH(TRUE,INDEX(Cond_Table,0,2)&gt;=INDEX(INDEX(Cond_Table,0,2),MATCH(INDEX(INDEX(EGC_Table,0,IF(Cfg_BranchMat="Cu",2,3)),MATCH(TRUE,INDEX(EGC_Table,0,1)&gt;=$F110,0)),Cond_Size,0))*INDEX(INDEX(Cond_Table,0,2),$AG110)/INDEX(INDEX(Cond_Table,0,2),MAX(Min_Cond_Pos,MATCH(TRUE,INDEX(Cond_Table,0,IF($AE110&lt;=100,BranchCol60,BranchAmpCol))&gt;=$AE110/MAX(1,$AO110),0))),0))))&amp;"G",""))</f>
        <v/>
      </c>
      <c r="M110" s="428"/>
      <c r="O110" s="217"/>
      <c r="P110" s="218"/>
      <c r="Q110" s="218"/>
      <c r="R110" s="218"/>
      <c r="S110" s="218"/>
      <c r="T110" s="218"/>
      <c r="U110" s="218"/>
      <c r="V110" s="218"/>
      <c r="W110" s="219"/>
      <c r="X110"/>
      <c r="Y110" s="414">
        <f t="shared" si="26"/>
        <v>0</v>
      </c>
      <c r="Z110" s="415">
        <f t="shared" si="27"/>
        <v>0</v>
      </c>
      <c r="AA110" s="31" t="str">
        <f t="shared" si="28"/>
        <v>NONE</v>
      </c>
      <c r="AB110" s="31" t="str">
        <f t="shared" si="37"/>
        <v/>
      </c>
      <c r="AC110" s="526">
        <f t="shared" si="29"/>
        <v>0</v>
      </c>
      <c r="AD110" s="415">
        <f t="shared" si="30"/>
        <v>0</v>
      </c>
      <c r="AE110" s="415">
        <f t="shared" si="12"/>
        <v>0</v>
      </c>
      <c r="AF110" s="415">
        <f t="shared" si="13"/>
        <v>0</v>
      </c>
      <c r="AG110" s="31" cm="1">
        <f t="array" ref="AG110">IF($AE110&lt;=0,0,IFERROR(_xlfn.LET(_xlpm.n,MAX(1,$AO110),_xlpm.i,$AE110/_xlpm.n,MIN(Max_Cond_Pos,MAX(Min_Cond_Pos,IF(_xlpm.n&gt;1,Par_Min_Pos,1),MATCH(TRUE,INDEX(Cond_Table,0,IF(_xlpm.i&lt;=100,BranchCol60,BranchAmpCol))&gt;=_xlpm.i,0),IF(OR(Tog_VD&lt;&gt;"ON",$J110=0,$J110="",$AB110=0),0,MATCH(TRUE,INDEX(Cond_Table,0,2)&gt;=IF($E110=3,SQRT3,2)*BranchK*$AD110*$J110/($AQ$22*$AB110*_xlpm.n),0))))),0))</f>
        <v>0</v>
      </c>
      <c r="AH110" s="415">
        <f t="shared" si="31"/>
        <v>0</v>
      </c>
      <c r="AI110" s="31">
        <f t="shared" si="32"/>
        <v>0</v>
      </c>
      <c r="AJ110" s="415">
        <f t="shared" si="33"/>
        <v>0</v>
      </c>
      <c r="AK110" s="415">
        <f t="shared" si="34"/>
        <v>0</v>
      </c>
      <c r="AL110" s="415">
        <f t="shared" si="35"/>
        <v>0</v>
      </c>
      <c r="AN110" s="31">
        <f t="shared" si="25"/>
        <v>0</v>
      </c>
      <c r="AO110" s="563" cm="1">
        <f t="array" ref="AO110">IF($AE110&lt;=0,0,IFERROR(_xlfn.LET(_xlpm.col,IF($AE110&lt;=100,BranchCol60,BranchAmpCol),_xlpm.nA,ROUNDUP($AE110/INDEX(Cond_Table,Max_Cond_Pos,_xlpm.col),0),_xlpm.cm,IF(OR(Tog_VD&lt;&gt;"ON",$J110=0,$J110="",$AB110=0),0,IF($E110=3,SQRT3,2)*BranchK*$AD110*$J110/($AQ$22*$AB110)),_xlpm.nV,ROUNDUP(_xlpm.cm/INDEX(Cond_Table,Max_Cond_Pos,2),0),MAX(1,_xlpm.nA,_xlpm.nV)),1))</f>
        <v>0</v>
      </c>
    </row>
    <row r="111" spans="1:41" ht="15" customHeight="1" x14ac:dyDescent="0.35">
      <c r="A111"/>
      <c r="B111" s="424">
        <f>2*(ROW()-71)+2</f>
        <v>82</v>
      </c>
      <c r="C111" s="663"/>
      <c r="D111" s="664"/>
      <c r="E111" s="411"/>
      <c r="F111" s="16" t="str" cm="1">
        <f t="array" ref="F111">IF($AN111=1,"-",IF($G111="Spare",IF($AM111&lt;&gt;"",$AM111,20),IF(OR($G111="",$G111="Space",$AF111&lt;=0),"",IFERROR(INDEX(OCPD_List,MATCH($AF111,OCPD_List,1)+IF(INDEX(OCPD_List,MATCH($AF111,OCPD_List,1))&gt;=$AF111,0,1)),15))))</f>
        <v/>
      </c>
      <c r="G111" s="412" t="str" cm="1">
        <f t="array" ref="G111">IF($AN111=1,"-",IF(COUNT($O111:$W111)=0,IF(UPPER(TRIM($C111))="SPARE","Spare","Space"),IF(COUNTIF($O111:$W111,"&gt;0")&gt;1,"COMB",CHOOSE(MATCH(TRUE,INDEX($O111:$W111&lt;&gt;"",0),0),"Lighting","Receptacle","Motor","HVAC","Electric Heat","Kitchen Equip","Continuous (Other)","Non-Continuous","Panel"))))</f>
        <v>Space</v>
      </c>
      <c r="H111" s="30" t="str">
        <f t="shared" si="36"/>
        <v/>
      </c>
      <c r="I111" s="411"/>
      <c r="J111" s="411"/>
      <c r="K111" s="320" t="str" cm="1">
        <f t="array" ref="K111">IF(OR(Tog_VD&lt;&gt;"ON",$AD111=0,$AG111=0,$J111=0,$J111="",$AB111=0),"",(IF($E111=3,SQRT3,2)*BranchK*$AD111*$J111/(INDEX(INDEX(Cond_Table,0,2),$AG111)*MAX(1,$AO111)))/$AB111)</f>
        <v/>
      </c>
      <c r="L111" s="16" t="str" cm="1">
        <f t="array" ref="L111">IF(OR(Tog_Wire&lt;&gt;"ON",$AG111=0),"",IFERROR(IF($AO111&gt;1,"("&amp;$AO111&amp;") ","")&amp;"#"&amp;INDEX(Cond_Size,$AG111)&amp;" | #"&amp;INDEX(Cond_Size,MIN($AG111,MAX(Min_Cond_Pos,MATCH(TRUE,INDEX(Cond_Table,0,2)&gt;=INDEX(INDEX(Cond_Table,0,2),MATCH(INDEX(INDEX(EGC_Table,0,IF(Cfg_BranchMat="Cu",2,3)),MATCH(TRUE,INDEX(EGC_Table,0,1)&gt;=$F111,0)),Cond_Size,0))*INDEX(INDEX(Cond_Table,0,2),$AG111)/INDEX(INDEX(Cond_Table,0,2),MAX(Min_Cond_Pos,MATCH(TRUE,INDEX(Cond_Table,0,IF($AE111&lt;=100,BranchCol60,BranchAmpCol))&gt;=$AE111/MAX(1,$AO111),0))),0))))&amp;"G",""))</f>
        <v/>
      </c>
      <c r="M111" s="428"/>
      <c r="O111" s="217"/>
      <c r="P111" s="218"/>
      <c r="Q111" s="218"/>
      <c r="R111" s="218"/>
      <c r="S111" s="218"/>
      <c r="T111" s="218"/>
      <c r="U111" s="218"/>
      <c r="V111" s="218"/>
      <c r="W111" s="219"/>
      <c r="X111"/>
      <c r="Y111" s="414">
        <f t="shared" si="26"/>
        <v>0</v>
      </c>
      <c r="Z111" s="415">
        <f t="shared" si="27"/>
        <v>0</v>
      </c>
      <c r="AA111" s="31" t="str">
        <f t="shared" si="28"/>
        <v>NONE</v>
      </c>
      <c r="AB111" s="31" t="str">
        <f t="shared" si="37"/>
        <v/>
      </c>
      <c r="AC111" s="526">
        <f t="shared" si="29"/>
        <v>0</v>
      </c>
      <c r="AD111" s="415">
        <f t="shared" si="30"/>
        <v>0</v>
      </c>
      <c r="AE111" s="415">
        <f t="shared" si="12"/>
        <v>0</v>
      </c>
      <c r="AF111" s="415">
        <f t="shared" si="13"/>
        <v>0</v>
      </c>
      <c r="AG111" s="31" cm="1">
        <f t="array" ref="AG111">IF($AE111&lt;=0,0,IFERROR(_xlfn.LET(_xlpm.n,MAX(1,$AO111),_xlpm.i,$AE111/_xlpm.n,MIN(Max_Cond_Pos,MAX(Min_Cond_Pos,IF(_xlpm.n&gt;1,Par_Min_Pos,1),MATCH(TRUE,INDEX(Cond_Table,0,IF(_xlpm.i&lt;=100,BranchCol60,BranchAmpCol))&gt;=_xlpm.i,0),IF(OR(Tog_VD&lt;&gt;"ON",$J111=0,$J111="",$AB111=0),0,MATCH(TRUE,INDEX(Cond_Table,0,2)&gt;=IF($E111=3,SQRT3,2)*BranchK*$AD111*$J111/($AQ$22*$AB111*_xlpm.n),0))))),0))</f>
        <v>0</v>
      </c>
      <c r="AH111" s="415">
        <f t="shared" si="31"/>
        <v>0</v>
      </c>
      <c r="AI111" s="31">
        <f t="shared" si="32"/>
        <v>1</v>
      </c>
      <c r="AJ111" s="415">
        <f t="shared" si="33"/>
        <v>0</v>
      </c>
      <c r="AK111" s="415">
        <f t="shared" si="34"/>
        <v>0</v>
      </c>
      <c r="AL111" s="415">
        <f t="shared" si="35"/>
        <v>0</v>
      </c>
      <c r="AN111" s="31">
        <f t="shared" si="25"/>
        <v>0</v>
      </c>
      <c r="AO111" s="563" cm="1">
        <f t="array" ref="AO111">IF($AE111&lt;=0,0,IFERROR(_xlfn.LET(_xlpm.col,IF($AE111&lt;=100,BranchCol60,BranchAmpCol),_xlpm.nA,ROUNDUP($AE111/INDEX(Cond_Table,Max_Cond_Pos,_xlpm.col),0),_xlpm.cm,IF(OR(Tog_VD&lt;&gt;"ON",$J111=0,$J111="",$AB111=0),0,IF($E111=3,SQRT3,2)*BranchK*$AD111*$J111/($AQ$22*$AB111)),_xlpm.nV,ROUNDUP(_xlpm.cm/INDEX(Cond_Table,Max_Cond_Pos,2),0),MAX(1,_xlpm.nA,_xlpm.nV)),1))</f>
        <v>0</v>
      </c>
    </row>
    <row r="112" spans="1:41" ht="15" customHeight="1" x14ac:dyDescent="0.35">
      <c r="A112"/>
      <c r="B112" s="424">
        <f>2*(ROW()-71)+2</f>
        <v>84</v>
      </c>
      <c r="C112" s="663"/>
      <c r="D112" s="664"/>
      <c r="E112" s="411"/>
      <c r="F112" s="16" t="str" cm="1">
        <f t="array" ref="F112">IF($AN112=1,"-",IF($G112="Spare",IF($AM112&lt;&gt;"",$AM112,20),IF(OR($G112="",$G112="Space",$AF112&lt;=0),"",IFERROR(INDEX(OCPD_List,MATCH($AF112,OCPD_List,1)+IF(INDEX(OCPD_List,MATCH($AF112,OCPD_List,1))&gt;=$AF112,0,1)),15))))</f>
        <v/>
      </c>
      <c r="G112" s="412" t="str" cm="1">
        <f t="array" ref="G112">IF($AN112=1,"-",IF(COUNT($O112:$W112)=0,IF(UPPER(TRIM($C112))="SPARE","Spare","Space"),IF(COUNTIF($O112:$W112,"&gt;0")&gt;1,"COMB",CHOOSE(MATCH(TRUE,INDEX($O112:$W112&lt;&gt;"",0),0),"Lighting","Receptacle","Motor","HVAC","Electric Heat","Kitchen Equip","Continuous (Other)","Non-Continuous","Panel"))))</f>
        <v>Space</v>
      </c>
      <c r="H112" s="30" t="str">
        <f t="shared" si="36"/>
        <v/>
      </c>
      <c r="I112" s="411"/>
      <c r="J112" s="411"/>
      <c r="K112" s="320" t="str" cm="1">
        <f t="array" ref="K112">IF(OR(Tog_VD&lt;&gt;"ON",$AD112=0,$AG112=0,$J112=0,$J112="",$AB112=0),"",(IF($E112=3,SQRT3,2)*BranchK*$AD112*$J112/(INDEX(INDEX(Cond_Table,0,2),$AG112)*MAX(1,$AO112)))/$AB112)</f>
        <v/>
      </c>
      <c r="L112" s="16" t="str" cm="1">
        <f t="array" ref="L112">IF(OR(Tog_Wire&lt;&gt;"ON",$AG112=0),"",IFERROR(IF($AO112&gt;1,"("&amp;$AO112&amp;") ","")&amp;"#"&amp;INDEX(Cond_Size,$AG112)&amp;" | #"&amp;INDEX(Cond_Size,MIN($AG112,MAX(Min_Cond_Pos,MATCH(TRUE,INDEX(Cond_Table,0,2)&gt;=INDEX(INDEX(Cond_Table,0,2),MATCH(INDEX(INDEX(EGC_Table,0,IF(Cfg_BranchMat="Cu",2,3)),MATCH(TRUE,INDEX(EGC_Table,0,1)&gt;=$F112,0)),Cond_Size,0))*INDEX(INDEX(Cond_Table,0,2),$AG112)/INDEX(INDEX(Cond_Table,0,2),MAX(Min_Cond_Pos,MATCH(TRUE,INDEX(Cond_Table,0,IF($AE112&lt;=100,BranchCol60,BranchAmpCol))&gt;=$AE112/MAX(1,$AO112),0))),0))))&amp;"G",""))</f>
        <v/>
      </c>
      <c r="M112" s="428"/>
      <c r="O112" s="226"/>
      <c r="P112" s="227"/>
      <c r="Q112" s="227"/>
      <c r="R112" s="227"/>
      <c r="S112" s="227"/>
      <c r="T112" s="227"/>
      <c r="U112" s="227"/>
      <c r="V112" s="227"/>
      <c r="W112" s="228"/>
      <c r="X112"/>
      <c r="Y112" s="414">
        <f t="shared" si="26"/>
        <v>0</v>
      </c>
      <c r="Z112" s="415">
        <f t="shared" si="27"/>
        <v>0</v>
      </c>
      <c r="AA112" s="31" t="str">
        <f t="shared" si="28"/>
        <v>NONE</v>
      </c>
      <c r="AB112" s="31" t="str">
        <f t="shared" si="37"/>
        <v/>
      </c>
      <c r="AC112" s="526">
        <f t="shared" si="29"/>
        <v>0</v>
      </c>
      <c r="AD112" s="415">
        <f t="shared" si="30"/>
        <v>0</v>
      </c>
      <c r="AE112" s="415">
        <f t="shared" si="12"/>
        <v>0</v>
      </c>
      <c r="AF112" s="415">
        <f t="shared" si="13"/>
        <v>0</v>
      </c>
      <c r="AG112" s="31" cm="1">
        <f t="array" ref="AG112">IF($AE112&lt;=0,0,IFERROR(_xlfn.LET(_xlpm.n,MAX(1,$AO112),_xlpm.i,$AE112/_xlpm.n,MIN(Max_Cond_Pos,MAX(Min_Cond_Pos,IF(_xlpm.n&gt;1,Par_Min_Pos,1),MATCH(TRUE,INDEX(Cond_Table,0,IF(_xlpm.i&lt;=100,BranchCol60,BranchAmpCol))&gt;=_xlpm.i,0),IF(OR(Tog_VD&lt;&gt;"ON",$J112=0,$J112="",$AB112=0),0,MATCH(TRUE,INDEX(Cond_Table,0,2)&gt;=IF($E112=3,SQRT3,2)*BranchK*$AD112*$J112/($AQ$22*$AB112*_xlpm.n),0))))),0))</f>
        <v>0</v>
      </c>
      <c r="AH112" s="415">
        <f t="shared" si="31"/>
        <v>0</v>
      </c>
      <c r="AI112" s="31">
        <f t="shared" si="32"/>
        <v>2</v>
      </c>
      <c r="AJ112" s="415">
        <f t="shared" si="33"/>
        <v>0</v>
      </c>
      <c r="AK112" s="415">
        <f t="shared" si="34"/>
        <v>0</v>
      </c>
      <c r="AL112" s="415">
        <f t="shared" si="35"/>
        <v>0</v>
      </c>
      <c r="AN112" s="31">
        <f t="shared" si="25"/>
        <v>0</v>
      </c>
      <c r="AO112" s="563" cm="1">
        <f t="array" ref="AO112">IF($AE112&lt;=0,0,IFERROR(_xlfn.LET(_xlpm.col,IF($AE112&lt;=100,BranchCol60,BranchAmpCol),_xlpm.nA,ROUNDUP($AE112/INDEX(Cond_Table,Max_Cond_Pos,_xlpm.col),0),_xlpm.cm,IF(OR(Tog_VD&lt;&gt;"ON",$J112=0,$J112="",$AB112=0),0,IF($E112=3,SQRT3,2)*BranchK*$AD112*$J112/($AQ$22*$AB112)),_xlpm.nV,ROUNDUP(_xlpm.cm/INDEX(Cond_Table,Max_Cond_Pos,2),0),MAX(1,_xlpm.nA,_xlpm.nV)),1))</f>
        <v>0</v>
      </c>
    </row>
    <row r="113" spans="1:51" ht="15" customHeight="1" x14ac:dyDescent="0.35">
      <c r="A113"/>
      <c r="B113" s="429"/>
      <c r="C113" s="430"/>
      <c r="D113" s="430"/>
      <c r="E113" s="430"/>
      <c r="F113" s="430"/>
      <c r="G113" s="430"/>
      <c r="H113" s="430"/>
      <c r="I113" s="430"/>
      <c r="J113" s="430"/>
      <c r="K113" s="430"/>
      <c r="L113" s="430"/>
      <c r="M113" s="431"/>
      <c r="N113" s="264"/>
      <c r="O113" s="264"/>
      <c r="P113" s="264"/>
    </row>
    <row r="114" spans="1:51" ht="30" customHeight="1" x14ac:dyDescent="0.45">
      <c r="A114"/>
      <c r="B114" s="615" t="s">
        <v>1198</v>
      </c>
      <c r="C114" s="616"/>
      <c r="D114" s="616"/>
      <c r="E114" s="616"/>
      <c r="F114" s="616"/>
      <c r="G114" s="616"/>
      <c r="H114" s="616"/>
      <c r="I114" s="616"/>
      <c r="J114" s="616"/>
      <c r="K114" s="616"/>
      <c r="L114" s="616"/>
      <c r="M114" s="743"/>
      <c r="N114" s="264"/>
      <c r="O114" s="264"/>
      <c r="P114" s="264"/>
      <c r="AS114" s="236"/>
      <c r="AT114" s="236"/>
      <c r="AU114" s="236"/>
      <c r="AV114" s="236"/>
      <c r="AW114" s="236"/>
      <c r="AX114" s="236"/>
    </row>
    <row r="115" spans="1:51" s="34" customFormat="1" ht="15" customHeight="1" x14ac:dyDescent="0.45">
      <c r="A115"/>
      <c r="B115" s="432"/>
      <c r="M115" s="397"/>
      <c r="Z115" s="236"/>
      <c r="AA115" s="236"/>
      <c r="AB115" s="236"/>
      <c r="AC115" s="236"/>
      <c r="AD115" s="236"/>
      <c r="AE115" s="236"/>
      <c r="AF115" s="236"/>
      <c r="AG115" s="236"/>
      <c r="AH115" s="236"/>
      <c r="AI115" s="236"/>
      <c r="AJ115" s="236"/>
      <c r="AK115" s="236"/>
      <c r="AL115" s="236"/>
      <c r="AM115" s="236"/>
      <c r="AN115" s="236"/>
      <c r="AO115" s="236"/>
      <c r="AP115" s="236"/>
      <c r="AQ115" s="236"/>
      <c r="AR115" s="236"/>
      <c r="AS115" s="31"/>
      <c r="AT115" s="31"/>
      <c r="AU115" s="31"/>
      <c r="AV115" s="31"/>
      <c r="AW115" s="31"/>
      <c r="AX115" s="31"/>
      <c r="AY115" s="236"/>
    </row>
    <row r="116" spans="1:51" ht="15" customHeight="1" x14ac:dyDescent="0.35">
      <c r="A116"/>
      <c r="B116" s="410">
        <v>1</v>
      </c>
      <c r="C116" s="744" t="s">
        <v>1235</v>
      </c>
      <c r="D116" s="744"/>
      <c r="E116" s="744"/>
      <c r="F116" s="744"/>
      <c r="G116" s="744"/>
      <c r="H116" s="744"/>
      <c r="I116" s="744"/>
      <c r="J116" s="744"/>
      <c r="K116" s="744"/>
      <c r="L116" s="744"/>
      <c r="M116" s="433"/>
      <c r="N116" s="264"/>
      <c r="O116" s="264"/>
      <c r="P116" s="264"/>
    </row>
    <row r="117" spans="1:51" ht="15" customHeight="1" x14ac:dyDescent="0.35">
      <c r="A117"/>
      <c r="B117" s="410">
        <v>2</v>
      </c>
      <c r="C117" s="744" t="s">
        <v>1235</v>
      </c>
      <c r="D117" s="744"/>
      <c r="E117" s="744"/>
      <c r="F117" s="744"/>
      <c r="G117" s="744"/>
      <c r="H117" s="744"/>
      <c r="I117" s="744"/>
      <c r="J117" s="744"/>
      <c r="K117" s="744"/>
      <c r="L117" s="744"/>
      <c r="M117" s="433"/>
      <c r="N117" s="264"/>
      <c r="O117" s="264"/>
      <c r="P117" s="264"/>
    </row>
    <row r="118" spans="1:51" ht="15" customHeight="1" x14ac:dyDescent="0.35">
      <c r="A118"/>
      <c r="B118" s="410">
        <v>3</v>
      </c>
      <c r="C118" s="744" t="s">
        <v>1235</v>
      </c>
      <c r="D118" s="744"/>
      <c r="E118" s="744"/>
      <c r="F118" s="744"/>
      <c r="G118" s="744"/>
      <c r="H118" s="744"/>
      <c r="I118" s="744"/>
      <c r="J118" s="744"/>
      <c r="K118" s="744"/>
      <c r="L118" s="744"/>
      <c r="M118" s="433"/>
      <c r="N118" s="264"/>
      <c r="O118" s="264"/>
      <c r="P118" s="264"/>
    </row>
    <row r="119" spans="1:51" ht="15" customHeight="1" x14ac:dyDescent="0.35">
      <c r="A119"/>
      <c r="B119" s="410">
        <v>4</v>
      </c>
      <c r="C119" s="744" t="s">
        <v>1235</v>
      </c>
      <c r="D119" s="744"/>
      <c r="E119" s="744"/>
      <c r="F119" s="744"/>
      <c r="G119" s="744"/>
      <c r="H119" s="744"/>
      <c r="I119" s="744"/>
      <c r="J119" s="744"/>
      <c r="K119" s="744"/>
      <c r="L119" s="744"/>
      <c r="M119" s="433"/>
      <c r="N119" s="264"/>
      <c r="O119" s="264"/>
      <c r="P119" s="264"/>
    </row>
    <row r="120" spans="1:51" ht="15" customHeight="1" x14ac:dyDescent="0.35">
      <c r="A120"/>
      <c r="B120" s="410">
        <v>5</v>
      </c>
      <c r="C120" s="744" t="s">
        <v>1235</v>
      </c>
      <c r="D120" s="744"/>
      <c r="E120" s="744"/>
      <c r="F120" s="744"/>
      <c r="G120" s="744"/>
      <c r="H120" s="744"/>
      <c r="I120" s="744"/>
      <c r="J120" s="744"/>
      <c r="K120" s="744"/>
      <c r="L120" s="744"/>
      <c r="M120" s="433"/>
      <c r="N120" s="264"/>
      <c r="O120" s="264"/>
      <c r="P120" s="264"/>
    </row>
    <row r="121" spans="1:51" ht="15" customHeight="1" x14ac:dyDescent="0.35">
      <c r="A121"/>
      <c r="B121" s="410">
        <v>6</v>
      </c>
      <c r="C121" s="744" t="s">
        <v>1235</v>
      </c>
      <c r="D121" s="744"/>
      <c r="E121" s="744"/>
      <c r="F121" s="744"/>
      <c r="G121" s="744"/>
      <c r="H121" s="744"/>
      <c r="I121" s="744"/>
      <c r="J121" s="744"/>
      <c r="K121" s="744"/>
      <c r="L121" s="744"/>
      <c r="M121" s="433"/>
      <c r="N121" s="264"/>
      <c r="O121" s="264"/>
      <c r="P121" s="264"/>
    </row>
    <row r="122" spans="1:51" ht="15" customHeight="1" x14ac:dyDescent="0.35">
      <c r="A122"/>
      <c r="B122" s="410">
        <v>7</v>
      </c>
      <c r="C122" s="744" t="s">
        <v>1235</v>
      </c>
      <c r="D122" s="744"/>
      <c r="E122" s="744"/>
      <c r="F122" s="744"/>
      <c r="G122" s="744"/>
      <c r="H122" s="744"/>
      <c r="I122" s="744"/>
      <c r="J122" s="744"/>
      <c r="K122" s="744"/>
      <c r="L122" s="744"/>
      <c r="M122" s="433"/>
      <c r="N122" s="264"/>
      <c r="O122" s="264"/>
      <c r="P122" s="264"/>
    </row>
    <row r="123" spans="1:51" ht="15" customHeight="1" x14ac:dyDescent="0.35">
      <c r="A123"/>
      <c r="B123" s="410">
        <v>8</v>
      </c>
      <c r="C123" s="744" t="s">
        <v>1235</v>
      </c>
      <c r="D123" s="744"/>
      <c r="E123" s="744"/>
      <c r="F123" s="744"/>
      <c r="G123" s="744"/>
      <c r="H123" s="744"/>
      <c r="I123" s="744"/>
      <c r="J123" s="744"/>
      <c r="K123" s="744"/>
      <c r="L123" s="744"/>
      <c r="M123" s="433"/>
      <c r="N123" s="264"/>
      <c r="O123" s="264"/>
      <c r="P123" s="264"/>
    </row>
    <row r="124" spans="1:51" ht="15" customHeight="1" x14ac:dyDescent="0.35">
      <c r="A124"/>
      <c r="B124" s="410">
        <v>9</v>
      </c>
      <c r="C124" s="744" t="s">
        <v>1235</v>
      </c>
      <c r="D124" s="744"/>
      <c r="E124" s="744"/>
      <c r="F124" s="744"/>
      <c r="G124" s="744"/>
      <c r="H124" s="744"/>
      <c r="I124" s="744"/>
      <c r="J124" s="744"/>
      <c r="K124" s="744"/>
      <c r="L124" s="744"/>
      <c r="M124" s="433"/>
      <c r="N124" s="264"/>
      <c r="O124" s="264"/>
      <c r="P124" s="264"/>
    </row>
    <row r="125" spans="1:51" ht="15" customHeight="1" x14ac:dyDescent="0.35">
      <c r="A125"/>
      <c r="B125" s="410">
        <v>10</v>
      </c>
      <c r="C125" s="744" t="s">
        <v>1235</v>
      </c>
      <c r="D125" s="744"/>
      <c r="E125" s="744"/>
      <c r="F125" s="744"/>
      <c r="G125" s="744"/>
      <c r="H125" s="744"/>
      <c r="I125" s="744"/>
      <c r="J125" s="744"/>
      <c r="K125" s="744"/>
      <c r="L125" s="744"/>
      <c r="M125" s="433"/>
      <c r="N125" s="264"/>
      <c r="O125" s="264"/>
      <c r="P125" s="264"/>
    </row>
    <row r="126" spans="1:51" ht="15" customHeight="1" x14ac:dyDescent="0.35">
      <c r="A126"/>
      <c r="B126" s="432"/>
      <c r="C126" s="434"/>
      <c r="D126" s="434"/>
      <c r="E126" s="434"/>
      <c r="F126" s="434"/>
      <c r="G126" s="434"/>
      <c r="H126" s="434"/>
      <c r="I126" s="434"/>
      <c r="J126" s="434"/>
      <c r="K126" s="434"/>
      <c r="L126" s="434"/>
      <c r="M126" s="435"/>
      <c r="N126" s="264"/>
      <c r="O126" s="264"/>
      <c r="P126" s="264"/>
    </row>
  </sheetData>
  <sheetProtection sheet="1" objects="1" scenarios="1"/>
  <mergeCells count="111">
    <mergeCell ref="E11:F11"/>
    <mergeCell ref="E12:F12"/>
    <mergeCell ref="E13:F13"/>
    <mergeCell ref="G9:H9"/>
    <mergeCell ref="E20:F20"/>
    <mergeCell ref="O27:W27"/>
    <mergeCell ref="B2:M2"/>
    <mergeCell ref="E18:F18"/>
    <mergeCell ref="E19:F19"/>
    <mergeCell ref="B114:M114"/>
    <mergeCell ref="C41:D41"/>
    <mergeCell ref="C42:D42"/>
    <mergeCell ref="C43:D43"/>
    <mergeCell ref="C44:D44"/>
    <mergeCell ref="C45:D45"/>
    <mergeCell ref="C70:D70"/>
    <mergeCell ref="C61:D61"/>
    <mergeCell ref="C62:D62"/>
    <mergeCell ref="C63:D63"/>
    <mergeCell ref="C64:D64"/>
    <mergeCell ref="C65:D65"/>
    <mergeCell ref="C76:D76"/>
    <mergeCell ref="C77:D77"/>
    <mergeCell ref="C78:D78"/>
    <mergeCell ref="C79:D79"/>
    <mergeCell ref="C80:D80"/>
    <mergeCell ref="C71:D71"/>
    <mergeCell ref="C72:D72"/>
    <mergeCell ref="C73:D73"/>
    <mergeCell ref="C74:D74"/>
    <mergeCell ref="C75:D75"/>
    <mergeCell ref="C86:D86"/>
    <mergeCell ref="C87:D87"/>
    <mergeCell ref="C116:L116"/>
    <mergeCell ref="C118:L118"/>
    <mergeCell ref="C117:L117"/>
    <mergeCell ref="C4:D4"/>
    <mergeCell ref="G4:H4"/>
    <mergeCell ref="G18:H18"/>
    <mergeCell ref="C28:D28"/>
    <mergeCell ref="B27:M27"/>
    <mergeCell ref="J4:L4"/>
    <mergeCell ref="J19:L19"/>
    <mergeCell ref="C36:D36"/>
    <mergeCell ref="C37:D37"/>
    <mergeCell ref="C38:D38"/>
    <mergeCell ref="C39:D39"/>
    <mergeCell ref="C40:D40"/>
    <mergeCell ref="C31:D31"/>
    <mergeCell ref="C30:D30"/>
    <mergeCell ref="C29:D29"/>
    <mergeCell ref="C35:D35"/>
    <mergeCell ref="C46:D46"/>
    <mergeCell ref="C47:D47"/>
    <mergeCell ref="C48:D48"/>
    <mergeCell ref="C49:D49"/>
    <mergeCell ref="C50:D50"/>
    <mergeCell ref="C125:L125"/>
    <mergeCell ref="C124:L124"/>
    <mergeCell ref="C123:L123"/>
    <mergeCell ref="C122:L122"/>
    <mergeCell ref="C121:L121"/>
    <mergeCell ref="C120:L120"/>
    <mergeCell ref="C119:L119"/>
    <mergeCell ref="C34:D34"/>
    <mergeCell ref="C32:D32"/>
    <mergeCell ref="C33:D33"/>
    <mergeCell ref="C56:D56"/>
    <mergeCell ref="C57:D57"/>
    <mergeCell ref="C58:D58"/>
    <mergeCell ref="C59:D59"/>
    <mergeCell ref="C60:D60"/>
    <mergeCell ref="C51:D51"/>
    <mergeCell ref="C52:D52"/>
    <mergeCell ref="C53:D53"/>
    <mergeCell ref="C54:D54"/>
    <mergeCell ref="C55:D55"/>
    <mergeCell ref="C66:D66"/>
    <mergeCell ref="C67:D67"/>
    <mergeCell ref="C68:D68"/>
    <mergeCell ref="C69:D69"/>
    <mergeCell ref="C88:D88"/>
    <mergeCell ref="C89:D89"/>
    <mergeCell ref="C90:D90"/>
    <mergeCell ref="C81:D81"/>
    <mergeCell ref="C82:D82"/>
    <mergeCell ref="C83:D83"/>
    <mergeCell ref="C84:D84"/>
    <mergeCell ref="C85:D85"/>
    <mergeCell ref="C96:D96"/>
    <mergeCell ref="C97:D97"/>
    <mergeCell ref="C98:D98"/>
    <mergeCell ref="C99:D99"/>
    <mergeCell ref="C100:D100"/>
    <mergeCell ref="C91:D91"/>
    <mergeCell ref="C92:D92"/>
    <mergeCell ref="C93:D93"/>
    <mergeCell ref="C94:D94"/>
    <mergeCell ref="C95:D95"/>
    <mergeCell ref="C111:D111"/>
    <mergeCell ref="C112:D112"/>
    <mergeCell ref="C106:D106"/>
    <mergeCell ref="C107:D107"/>
    <mergeCell ref="C108:D108"/>
    <mergeCell ref="C109:D109"/>
    <mergeCell ref="C110:D110"/>
    <mergeCell ref="C101:D101"/>
    <mergeCell ref="C102:D102"/>
    <mergeCell ref="C103:D103"/>
    <mergeCell ref="C104:D104"/>
    <mergeCell ref="C105:D105"/>
  </mergeCells>
  <conditionalFormatting sqref="C116:C125">
    <cfRule type="expression" dxfId="10" priority="1">
      <formula>$AN116=1</formula>
    </cfRule>
  </conditionalFormatting>
  <conditionalFormatting sqref="N29:W112 E29:L112 C29:C112">
    <cfRule type="expression" dxfId="9" priority="6">
      <formula>$AN29=1</formula>
    </cfRule>
  </conditionalFormatting>
  <conditionalFormatting sqref="H7">
    <cfRule type="containsText" dxfId="8" priority="5" operator="containsText" text="UNDER">
      <formula>NOT(ISERROR(SEARCH("UNDER",H7)))</formula>
    </cfRule>
  </conditionalFormatting>
  <conditionalFormatting sqref="D19">
    <cfRule type="expression" dxfId="7" priority="7">
      <formula>AND(N($E$19)&gt;0,ISNUMBER($AQ$36),N($E$19)&lt;$AQ$36)</formula>
    </cfRule>
  </conditionalFormatting>
  <conditionalFormatting sqref="D19">
    <cfRule type="expression" dxfId="6" priority="8">
      <formula>N($E$19)&gt;0</formula>
    </cfRule>
  </conditionalFormatting>
  <conditionalFormatting sqref="D20">
    <cfRule type="expression" dxfId="5" priority="9">
      <formula>AND(N($E$20)&gt;0,ISNUMBER($AQ$37),N($E$20)&lt;$AQ$37)</formula>
    </cfRule>
  </conditionalFormatting>
  <conditionalFormatting sqref="D20">
    <cfRule type="expression" dxfId="4" priority="10">
      <formula>N($E$20)&gt;0</formula>
    </cfRule>
  </conditionalFormatting>
  <conditionalFormatting sqref="D13">
    <cfRule type="expression" dxfId="3" priority="11">
      <formula>AND(N($E$13)&gt;0,ISNUMBER($AQ$41),N($E$13)&lt;$AQ$41)</formula>
    </cfRule>
  </conditionalFormatting>
  <conditionalFormatting sqref="D13">
    <cfRule type="expression" dxfId="2" priority="12">
      <formula>N($E$13)&gt;0</formula>
    </cfRule>
  </conditionalFormatting>
  <conditionalFormatting sqref="E12:F12">
    <cfRule type="expression" dxfId="1" priority="13">
      <formula>AND(N($E$12)&gt;0,N($E$12)&lt;N($AQ$42))</formula>
    </cfRule>
  </conditionalFormatting>
  <dataValidations count="10">
    <dataValidation type="list" allowBlank="1" showInputMessage="1" showErrorMessage="1" sqref="D8" xr:uid="{7828735F-7450-4A29-BAEC-AB32D9671B3A}">
      <formula1>Volt_Sys</formula1>
    </dataValidation>
    <dataValidation type="list" allowBlank="1" showInputMessage="1" showErrorMessage="1" sqref="E29:E112" xr:uid="{E97249FF-0EBD-432D-9F56-5455F354FAA2}">
      <formula1>"1,2,3"</formula1>
    </dataValidation>
    <dataValidation type="list" allowBlank="1" showInputMessage="1" showErrorMessage="1" errorTitle="Invalid entry" error="Pick a value from the dropdown list." sqref="D14" xr:uid="{35700959-427C-481A-9D7E-598D3AD17ACC}">
      <formula1>"Surface,Flush,Free-standing,Pad-mounted"</formula1>
    </dataValidation>
    <dataValidation type="list" allowBlank="1" showInputMessage="1" showErrorMessage="1" errorTitle="Invalid entry" error="Pick a value from the dropdown list." sqref="D15" xr:uid="{9A76A47F-B96B-4BB2-B5D5-18655B7244DA}">
      <formula1>"NEMA 1,NEMA 1 Gasketed,NEMA 3R,NEMA 4,NEMA 4X,NEMA 12"</formula1>
    </dataValidation>
    <dataValidation type="list" allowBlank="1" showInputMessage="1" showErrorMessage="1" errorTitle="Invalid entry" error="Pick a value from the dropdown list." sqref="H12" xr:uid="{3F1DCF6E-B5B1-427A-81A0-D42BB0A45505}">
      <formula1>"Top,Bottom,Top &amp; Bottom,End"</formula1>
    </dataValidation>
    <dataValidation type="list" allowBlank="1" showInputMessage="1" showErrorMessage="1" errorTitle="Invalid entry" error="Pick a value from the dropdown list." sqref="D21" xr:uid="{07D8A962-1DF6-4EB8-9DAE-E9C3B2D60EA1}">
      <formula1>"Class I Type A,Class I Type B,Class II Type B,Class II Type C,Class III Type C"</formula1>
    </dataValidation>
    <dataValidation type="list" allowBlank="1" showInputMessage="1" showErrorMessage="1" errorTitle="Standard rating" error="Pick a standard rating from the list, or clear the cell to use the calculated value." sqref="E19" xr:uid="{D594DB8B-07BA-46A3-A536-78D0B6805175}">
      <formula1>Brace_List</formula1>
    </dataValidation>
    <dataValidation type="list" allowBlank="1" showInputMessage="1" showErrorMessage="1" errorTitle="Standard rating" error="Pick a standard rating from the list, or clear the cell to use the calculated value." sqref="E20" xr:uid="{1824F623-4A61-4FB3-B29E-9A5451FDA3D3}">
      <formula1>Bus_List</formula1>
    </dataValidation>
    <dataValidation type="list" allowBlank="1" showInputMessage="1" showErrorMessage="1" sqref="E13" xr:uid="{7F8563A3-FE18-4C71-B610-0BBEA23DF07F}">
      <formula1>AIC_List</formula1>
    </dataValidation>
    <dataValidation type="list" allowBlank="1" showInputMessage="1" sqref="E12" xr:uid="{80B7C68C-41FC-4E27-B403-DEA333CF56AA}">
      <formula1>OCPD_List</formula1>
    </dataValidation>
  </dataValidations>
  <pageMargins left="0.7" right="0.7" top="0.75" bottom="0.75" header="0.3" footer="0.3"/>
  <pageSetup scale="35" orientation="portrait" r:id="rId1"/>
  <ignoredErrors>
    <ignoredError sqref="L11" formula="1"/>
  </ignoredError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368E-AFF6-4F62-8C0F-108B3296E47A}">
  <sheetPr codeName="Sheet4">
    <tabColor rgb="FF7030A0"/>
  </sheetPr>
  <dimension ref="A1:DG72"/>
  <sheetViews>
    <sheetView workbookViewId="0">
      <selection activeCell="I33" sqref="I33"/>
    </sheetView>
  </sheetViews>
  <sheetFormatPr defaultRowHeight="14.5" x14ac:dyDescent="0.35"/>
  <cols>
    <col min="1" max="1" width="27.26953125" customWidth="1"/>
    <col min="10" max="10" width="20" customWidth="1"/>
    <col min="42" max="42" width="24.7265625" customWidth="1"/>
    <col min="48" max="49" width="13.26953125" customWidth="1"/>
    <col min="102" max="102" width="13.26953125" customWidth="1"/>
    <col min="103" max="105" width="11.453125" customWidth="1"/>
    <col min="106" max="106" width="80" customWidth="1"/>
  </cols>
  <sheetData>
    <row r="1" spans="1:111" ht="18.5" x14ac:dyDescent="0.45">
      <c r="A1" s="18" t="s">
        <v>0</v>
      </c>
      <c r="B1" s="14"/>
      <c r="C1" s="14"/>
      <c r="D1" s="14"/>
      <c r="E1" s="14"/>
      <c r="F1" s="14"/>
      <c r="BX1" s="9" t="s">
        <v>1347</v>
      </c>
      <c r="BY1" s="9"/>
      <c r="BZ1" s="9"/>
      <c r="CA1" s="9"/>
      <c r="CB1" s="9"/>
      <c r="CC1" s="9" t="s">
        <v>1348</v>
      </c>
      <c r="CD1" s="9"/>
      <c r="CX1" s="522" t="s">
        <v>1804</v>
      </c>
    </row>
    <row r="2" spans="1:111" ht="16" x14ac:dyDescent="0.45">
      <c r="A2" s="1" t="s">
        <v>1</v>
      </c>
      <c r="BX2" s="9"/>
      <c r="BY2" s="9"/>
      <c r="BZ2" s="9"/>
      <c r="CA2" s="9"/>
      <c r="CB2" s="9"/>
      <c r="CC2" s="9"/>
      <c r="CD2" s="9"/>
      <c r="CF2" s="162" t="s">
        <v>1431</v>
      </c>
      <c r="CG2" s="162"/>
      <c r="CH2" s="162"/>
      <c r="CI2" s="162"/>
      <c r="CJ2" s="162"/>
      <c r="CL2" s="162" t="s">
        <v>1524</v>
      </c>
      <c r="CM2" s="162"/>
      <c r="CN2" s="162"/>
      <c r="CO2" s="162"/>
      <c r="CP2" s="162"/>
      <c r="CR2" s="162" t="s">
        <v>1539</v>
      </c>
      <c r="CS2" s="162"/>
      <c r="CT2" s="162"/>
      <c r="CU2" s="162"/>
      <c r="CV2" s="162"/>
      <c r="CX2" s="523" t="s">
        <v>1805</v>
      </c>
      <c r="CY2" s="523" t="s">
        <v>1806</v>
      </c>
      <c r="CZ2" s="523" t="s">
        <v>1807</v>
      </c>
      <c r="DA2" s="523" t="s">
        <v>1808</v>
      </c>
      <c r="DB2" s="523" t="s">
        <v>1809</v>
      </c>
    </row>
    <row r="3" spans="1:111" ht="16" x14ac:dyDescent="0.45">
      <c r="BX3" s="162" t="s">
        <v>164</v>
      </c>
      <c r="BY3" s="162" t="s">
        <v>1329</v>
      </c>
      <c r="BZ3" s="162" t="s">
        <v>194</v>
      </c>
      <c r="CA3" s="162" t="s">
        <v>1330</v>
      </c>
      <c r="CB3" s="9" t="s">
        <v>1382</v>
      </c>
      <c r="CC3" s="159" t="s">
        <v>851</v>
      </c>
      <c r="CD3" s="165" t="s">
        <v>1336</v>
      </c>
      <c r="CF3" s="206" t="s">
        <v>1432</v>
      </c>
      <c r="CG3" s="206" t="s">
        <v>571</v>
      </c>
      <c r="CH3" s="206" t="s">
        <v>1433</v>
      </c>
      <c r="CI3" s="206" t="s">
        <v>1374</v>
      </c>
      <c r="CJ3" s="206" t="s">
        <v>1434</v>
      </c>
      <c r="CL3" s="206" t="s">
        <v>1432</v>
      </c>
      <c r="CM3" s="206" t="s">
        <v>571</v>
      </c>
      <c r="CN3" s="206" t="s">
        <v>1433</v>
      </c>
      <c r="CO3" s="206" t="s">
        <v>1374</v>
      </c>
      <c r="CP3" s="206" t="s">
        <v>1434</v>
      </c>
      <c r="CR3" s="206" t="s">
        <v>1432</v>
      </c>
      <c r="CS3" s="206" t="s">
        <v>571</v>
      </c>
      <c r="CT3" s="206" t="s">
        <v>1433</v>
      </c>
      <c r="CU3" s="206" t="s">
        <v>1374</v>
      </c>
      <c r="CV3" s="206" t="s">
        <v>1434</v>
      </c>
      <c r="CX3" s="11" t="s">
        <v>1814</v>
      </c>
      <c r="CY3" s="524" t="s">
        <v>1814</v>
      </c>
      <c r="CZ3" s="524" t="s">
        <v>1814</v>
      </c>
      <c r="DA3" s="524" t="s">
        <v>1814</v>
      </c>
      <c r="DB3" t="s">
        <v>1810</v>
      </c>
      <c r="DD3" s="524" t="s">
        <v>1863</v>
      </c>
      <c r="DF3" s="524" t="s">
        <v>1902</v>
      </c>
    </row>
    <row r="4" spans="1:111" ht="16.5" x14ac:dyDescent="0.45">
      <c r="A4" s="2" t="s">
        <v>2</v>
      </c>
      <c r="H4" s="2" t="str" cm="1">
        <f t="array" ref="H4">"B. STD OCPD ("&amp;NECREF("240.6")&amp;")"</f>
        <v>B. STD OCPD (240.6)</v>
      </c>
      <c r="J4" s="2" t="str" cm="1">
        <f t="array" ref="J4">"C. CONDUCTORS ("&amp;NECREF("310.16")&amp;" ampacity  |  Ch.9 circular mils  |  Bussmann C-values)"</f>
        <v>C. CONDUCTORS (310.16 ampacity  |  Ch.9 circular mils  |  Bussmann C-values)</v>
      </c>
      <c r="W4" s="2" t="str" cm="1">
        <f t="array" ref="W4">"D. EGC ("&amp;NECREF("250.122")&amp;")"</f>
        <v>D. EGC (250.122)</v>
      </c>
      <c r="AA4" s="2" t="s">
        <v>44</v>
      </c>
      <c r="AE4" s="14" t="s">
        <v>449</v>
      </c>
      <c r="AF4" s="14"/>
      <c r="AG4" s="14"/>
      <c r="AH4" s="14"/>
      <c r="AI4" s="14"/>
      <c r="AJ4" s="14"/>
      <c r="AK4" s="14"/>
      <c r="AL4" s="14"/>
      <c r="AM4" s="14"/>
      <c r="AN4" s="14"/>
      <c r="AP4" s="770" t="str" cm="1">
        <f t="array" ref="AP4">"NEC "&amp;NECREF("220.42")&amp;" — GENERAL LIGHTING DEMAND BY OCCUPANCY"</f>
        <v>NEC 220.42 — GENERAL LIGHTING DEMAND BY OCCUPANCY</v>
      </c>
      <c r="AQ4" s="770"/>
      <c r="AR4" s="770"/>
      <c r="AS4" s="770"/>
      <c r="AT4" s="770"/>
      <c r="AU4" s="770"/>
      <c r="AV4" s="770"/>
      <c r="AW4" s="770"/>
      <c r="AY4" s="74" t="str" cm="1">
        <f t="array" ref="AY4">"NEC "&amp;NECREF("310.16")&amp;" — CONDUCTOR AMPACITY (75°C)"</f>
        <v>NEC 310.16 — CONDUCTOR AMPACITY (75°C)</v>
      </c>
      <c r="BC4" s="74" t="str" cm="1">
        <f t="array" ref="BC4">"NEC "&amp;NECREF("250.122")&amp;" — EQUIP GROUNDING CONDUCTOR"</f>
        <v>NEC 250.122 — EQUIP GROUNDING CONDUCTOR</v>
      </c>
      <c r="BG4" s="89" t="str" cm="1">
        <f t="array" ref="BG4">"NEC "&amp;NECREF("250.66")&amp;" / "&amp;NECREF("250.102")&amp;"(C)(1) — GEC &amp; BONDING JUMPER"</f>
        <v>NEC 250.66 / 250.102(C)(1) — GEC &amp; BONDING JUMPER</v>
      </c>
      <c r="BL4" s="89" t="s">
        <v>846</v>
      </c>
      <c r="BO4" s="89" t="s">
        <v>876</v>
      </c>
      <c r="BX4" s="165" t="s">
        <v>15</v>
      </c>
      <c r="BY4" s="165">
        <v>480</v>
      </c>
      <c r="BZ4" s="165">
        <v>3</v>
      </c>
      <c r="CA4" s="165" t="s">
        <v>1331</v>
      </c>
      <c r="CB4" s="9">
        <v>277</v>
      </c>
      <c r="CC4" s="159" t="s">
        <v>852</v>
      </c>
      <c r="CD4" s="165" t="s">
        <v>1337</v>
      </c>
      <c r="CF4" s="160">
        <v>20</v>
      </c>
      <c r="CG4" s="24">
        <v>1</v>
      </c>
      <c r="CH4" s="24" t="s">
        <v>1435</v>
      </c>
      <c r="CI4" s="24" t="s">
        <v>1436</v>
      </c>
      <c r="CJ4" s="24" t="s">
        <v>1437</v>
      </c>
      <c r="CK4" s="24"/>
      <c r="CL4" s="160">
        <v>20</v>
      </c>
      <c r="CM4" s="24">
        <v>1</v>
      </c>
      <c r="CN4" s="24" t="s">
        <v>1435</v>
      </c>
      <c r="CO4" s="24" t="s">
        <v>1525</v>
      </c>
      <c r="CP4" s="24" t="s">
        <v>1437</v>
      </c>
      <c r="CR4" s="160">
        <v>100</v>
      </c>
      <c r="CS4" s="24">
        <v>1</v>
      </c>
      <c r="CT4" s="24" t="s">
        <v>1443</v>
      </c>
      <c r="CU4" s="24" t="s">
        <v>1448</v>
      </c>
      <c r="CV4" s="24" t="s">
        <v>1449</v>
      </c>
      <c r="CX4" s="11" t="s">
        <v>1815</v>
      </c>
      <c r="CY4" s="524" t="s">
        <v>1815</v>
      </c>
      <c r="CZ4" s="524" t="s">
        <v>1815</v>
      </c>
      <c r="DA4" s="524" t="s">
        <v>1815</v>
      </c>
      <c r="DB4" t="s">
        <v>1810</v>
      </c>
      <c r="DD4" s="2" t="s">
        <v>1860</v>
      </c>
      <c r="DE4" s="2" t="s">
        <v>1861</v>
      </c>
      <c r="DF4" s="2" t="s">
        <v>1899</v>
      </c>
      <c r="DG4" s="2" t="s">
        <v>1900</v>
      </c>
    </row>
    <row r="5" spans="1:111" ht="16" x14ac:dyDescent="0.45">
      <c r="A5" s="3" t="s">
        <v>3</v>
      </c>
      <c r="B5" s="4" t="s">
        <v>4</v>
      </c>
      <c r="C5" s="4" t="s">
        <v>5</v>
      </c>
      <c r="D5" s="4" t="s">
        <v>6</v>
      </c>
      <c r="E5" s="4" t="s">
        <v>7</v>
      </c>
      <c r="F5" s="4" t="s">
        <v>8</v>
      </c>
      <c r="H5" s="4" t="s">
        <v>30</v>
      </c>
      <c r="J5" s="4" t="s">
        <v>31</v>
      </c>
      <c r="K5" s="4" t="s">
        <v>32</v>
      </c>
      <c r="L5" s="5" t="s">
        <v>33</v>
      </c>
      <c r="M5" s="5" t="s">
        <v>34</v>
      </c>
      <c r="N5" s="5" t="s">
        <v>35</v>
      </c>
      <c r="O5" s="6" t="s">
        <v>36</v>
      </c>
      <c r="P5" s="6" t="s">
        <v>37</v>
      </c>
      <c r="Q5" s="6" t="s">
        <v>38</v>
      </c>
      <c r="R5" s="4" t="s">
        <v>39</v>
      </c>
      <c r="S5" s="4" t="s">
        <v>40</v>
      </c>
      <c r="T5" s="4" t="s">
        <v>1596</v>
      </c>
      <c r="U5" s="4" t="s">
        <v>1597</v>
      </c>
      <c r="W5" s="4" t="s">
        <v>41</v>
      </c>
      <c r="X5" s="5" t="s">
        <v>42</v>
      </c>
      <c r="Y5" s="6" t="s">
        <v>43</v>
      </c>
      <c r="AA5" s="3" t="s">
        <v>45</v>
      </c>
      <c r="AB5" s="4" t="s">
        <v>46</v>
      </c>
      <c r="AE5" s="4" t="s">
        <v>450</v>
      </c>
      <c r="AF5" s="4" t="s">
        <v>462</v>
      </c>
      <c r="AG5" s="4" t="s">
        <v>486</v>
      </c>
      <c r="AH5" s="4" t="s">
        <v>499</v>
      </c>
      <c r="AI5" s="4" t="s">
        <v>507</v>
      </c>
      <c r="AJ5" s="4" t="s">
        <v>517</v>
      </c>
      <c r="AK5" s="4"/>
      <c r="AL5" s="4" t="s">
        <v>527</v>
      </c>
      <c r="AM5" s="4" t="s">
        <v>528</v>
      </c>
      <c r="AN5" s="4" t="s">
        <v>531</v>
      </c>
      <c r="AP5" s="68" t="s">
        <v>542</v>
      </c>
      <c r="AQ5" s="68" t="s">
        <v>543</v>
      </c>
      <c r="AR5" s="68" t="s">
        <v>544</v>
      </c>
      <c r="AS5" s="68" t="s">
        <v>545</v>
      </c>
      <c r="AT5" s="68" t="s">
        <v>546</v>
      </c>
      <c r="AU5" s="68" t="s">
        <v>547</v>
      </c>
      <c r="AV5" s="68" t="s">
        <v>812</v>
      </c>
      <c r="AW5" s="68" t="s">
        <v>813</v>
      </c>
      <c r="AY5" s="75" t="s">
        <v>555</v>
      </c>
      <c r="AZ5" s="75" t="s">
        <v>556</v>
      </c>
      <c r="BA5" s="75" t="s">
        <v>557</v>
      </c>
      <c r="BB5" s="75" t="s">
        <v>223</v>
      </c>
      <c r="BC5" s="77" t="s">
        <v>558</v>
      </c>
      <c r="BD5" s="77" t="s">
        <v>559</v>
      </c>
      <c r="BE5" s="77" t="s">
        <v>560</v>
      </c>
      <c r="BG5" s="90" t="s">
        <v>837</v>
      </c>
      <c r="BH5" s="90" t="s">
        <v>838</v>
      </c>
      <c r="BI5" s="90" t="s">
        <v>42</v>
      </c>
      <c r="BJ5" s="90" t="s">
        <v>43</v>
      </c>
      <c r="BL5" s="90" t="s">
        <v>336</v>
      </c>
      <c r="BM5" s="90" t="s">
        <v>847</v>
      </c>
      <c r="BO5" s="92" t="s">
        <v>194</v>
      </c>
      <c r="BP5" s="92" t="s">
        <v>200</v>
      </c>
      <c r="BQ5" s="92" t="s">
        <v>201</v>
      </c>
      <c r="BR5" s="92" t="s">
        <v>849</v>
      </c>
      <c r="BS5" s="92" t="s">
        <v>850</v>
      </c>
      <c r="BT5" s="92" t="s">
        <v>851</v>
      </c>
      <c r="BU5" s="92" t="s">
        <v>852</v>
      </c>
      <c r="BV5" s="92" t="s">
        <v>106</v>
      </c>
      <c r="BX5" s="165" t="s">
        <v>12</v>
      </c>
      <c r="BY5" s="165">
        <v>208</v>
      </c>
      <c r="BZ5" s="165">
        <v>3</v>
      </c>
      <c r="CA5" s="165" t="s">
        <v>1332</v>
      </c>
      <c r="CB5" s="9">
        <v>120</v>
      </c>
      <c r="CC5" s="159" t="s">
        <v>106</v>
      </c>
      <c r="CD5" s="165" t="s">
        <v>107</v>
      </c>
      <c r="CF5" s="160">
        <v>30</v>
      </c>
      <c r="CG5" s="24">
        <v>1</v>
      </c>
      <c r="CH5" s="24" t="s">
        <v>1435</v>
      </c>
      <c r="CI5" s="24" t="s">
        <v>1438</v>
      </c>
      <c r="CJ5" s="24" t="s">
        <v>1439</v>
      </c>
      <c r="CK5" s="24"/>
      <c r="CL5" s="160">
        <v>30</v>
      </c>
      <c r="CM5" s="24">
        <v>1</v>
      </c>
      <c r="CN5" s="24" t="s">
        <v>1435</v>
      </c>
      <c r="CO5" s="24" t="s">
        <v>1526</v>
      </c>
      <c r="CP5" s="24" t="s">
        <v>1439</v>
      </c>
      <c r="CR5" s="160" t="s">
        <v>1487</v>
      </c>
      <c r="CS5" s="24">
        <v>1</v>
      </c>
      <c r="CT5" s="24" t="s">
        <v>1443</v>
      </c>
      <c r="CU5" s="24" t="s">
        <v>1488</v>
      </c>
      <c r="CV5" s="24" t="s">
        <v>1449</v>
      </c>
      <c r="CX5" s="11" t="s">
        <v>1816</v>
      </c>
      <c r="CY5" s="524" t="s">
        <v>1816</v>
      </c>
      <c r="CZ5" s="524" t="s">
        <v>1816</v>
      </c>
      <c r="DA5" s="524" t="s">
        <v>1816</v>
      </c>
      <c r="DB5" t="s">
        <v>1810</v>
      </c>
      <c r="DD5" s="4" t="s">
        <v>30</v>
      </c>
      <c r="DE5" s="4" t="s">
        <v>1862</v>
      </c>
      <c r="DF5" s="4" t="s">
        <v>30</v>
      </c>
      <c r="DG5" s="4" t="s">
        <v>1901</v>
      </c>
    </row>
    <row r="6" spans="1:111" ht="16" x14ac:dyDescent="0.45">
      <c r="A6" t="s">
        <v>9</v>
      </c>
      <c r="B6">
        <v>120</v>
      </c>
      <c r="C6">
        <v>1</v>
      </c>
      <c r="D6">
        <v>2</v>
      </c>
      <c r="E6">
        <v>120</v>
      </c>
      <c r="F6" t="s">
        <v>10</v>
      </c>
      <c r="H6">
        <v>15</v>
      </c>
      <c r="J6" s="11" t="s">
        <v>118</v>
      </c>
      <c r="K6" s="7">
        <v>4110</v>
      </c>
      <c r="L6">
        <v>15</v>
      </c>
      <c r="M6">
        <v>20</v>
      </c>
      <c r="N6">
        <v>25</v>
      </c>
      <c r="R6">
        <v>389</v>
      </c>
      <c r="S6">
        <v>237</v>
      </c>
      <c r="T6">
        <v>389</v>
      </c>
      <c r="U6">
        <v>237</v>
      </c>
      <c r="W6">
        <v>15</v>
      </c>
      <c r="X6" s="11" t="s">
        <v>118</v>
      </c>
      <c r="Y6" s="11" t="s">
        <v>119</v>
      </c>
      <c r="AA6" t="s">
        <v>47</v>
      </c>
      <c r="AB6">
        <v>12.9</v>
      </c>
      <c r="AE6" s="64" t="s">
        <v>451</v>
      </c>
      <c r="AF6" s="64" t="s">
        <v>463</v>
      </c>
      <c r="AG6" s="64" t="s">
        <v>487</v>
      </c>
      <c r="AH6" s="64" t="s">
        <v>500</v>
      </c>
      <c r="AI6" s="64" t="s">
        <v>508</v>
      </c>
      <c r="AJ6" s="64" t="s">
        <v>518</v>
      </c>
      <c r="AK6" s="64"/>
      <c r="AL6" s="64">
        <v>30</v>
      </c>
      <c r="AM6" s="64">
        <v>1</v>
      </c>
      <c r="AN6" s="64" t="s">
        <v>532</v>
      </c>
      <c r="AP6" s="69" t="s">
        <v>548</v>
      </c>
      <c r="AQ6" s="69">
        <v>1000000000000</v>
      </c>
      <c r="AR6" s="70">
        <v>1</v>
      </c>
      <c r="AS6" s="69">
        <v>1000000000000</v>
      </c>
      <c r="AT6" s="70">
        <v>1</v>
      </c>
      <c r="AU6" s="70">
        <v>1</v>
      </c>
      <c r="AV6" s="472"/>
      <c r="AW6" s="472"/>
      <c r="AY6" s="76" t="s">
        <v>118</v>
      </c>
      <c r="AZ6">
        <v>20</v>
      </c>
      <c r="BB6">
        <v>4110</v>
      </c>
      <c r="BC6">
        <v>15</v>
      </c>
      <c r="BD6" s="76">
        <v>14</v>
      </c>
      <c r="BE6" s="76">
        <v>12</v>
      </c>
      <c r="BG6">
        <v>66360</v>
      </c>
      <c r="BH6" s="11" t="s">
        <v>839</v>
      </c>
      <c r="BI6" s="11">
        <v>8</v>
      </c>
      <c r="BJ6" s="11">
        <v>6</v>
      </c>
      <c r="BL6" s="11">
        <v>15</v>
      </c>
      <c r="BM6" s="11">
        <v>1.5</v>
      </c>
      <c r="BO6" s="93">
        <v>1</v>
      </c>
      <c r="BP6" s="93">
        <v>208</v>
      </c>
      <c r="BQ6" s="93">
        <v>120</v>
      </c>
      <c r="BR6" s="94" t="s">
        <v>856</v>
      </c>
      <c r="BS6" s="94" t="s">
        <v>857</v>
      </c>
      <c r="BT6" s="94" t="s">
        <v>858</v>
      </c>
      <c r="BU6" s="94" t="s">
        <v>859</v>
      </c>
      <c r="BV6" s="94" t="s">
        <v>860</v>
      </c>
      <c r="BX6" s="165" t="s">
        <v>16</v>
      </c>
      <c r="BY6" s="165">
        <v>480</v>
      </c>
      <c r="BZ6" s="165">
        <v>3</v>
      </c>
      <c r="CA6" s="165" t="s">
        <v>1331</v>
      </c>
      <c r="CB6" s="9">
        <v>277</v>
      </c>
      <c r="CC6" s="9" t="s">
        <v>1351</v>
      </c>
      <c r="CD6" s="167">
        <v>5.75</v>
      </c>
      <c r="CF6" s="160">
        <v>40</v>
      </c>
      <c r="CG6" s="24">
        <v>1</v>
      </c>
      <c r="CH6" s="24" t="s">
        <v>1440</v>
      </c>
      <c r="CI6" s="24" t="s">
        <v>1441</v>
      </c>
      <c r="CJ6" s="24" t="s">
        <v>1439</v>
      </c>
      <c r="CK6" s="24"/>
      <c r="CL6" s="160">
        <v>40</v>
      </c>
      <c r="CM6" s="24">
        <v>1</v>
      </c>
      <c r="CN6" s="24" t="s">
        <v>1440</v>
      </c>
      <c r="CO6" s="24" t="s">
        <v>1527</v>
      </c>
      <c r="CP6" s="24" t="s">
        <v>1439</v>
      </c>
      <c r="CR6" s="160">
        <v>125</v>
      </c>
      <c r="CS6" s="24">
        <v>1</v>
      </c>
      <c r="CT6" s="24" t="s">
        <v>1447</v>
      </c>
      <c r="CU6" s="24" t="s">
        <v>1452</v>
      </c>
      <c r="CV6" s="24" t="s">
        <v>1455</v>
      </c>
      <c r="CX6" s="11" t="s">
        <v>1817</v>
      </c>
      <c r="CY6" s="524" t="s">
        <v>1817</v>
      </c>
      <c r="CZ6" s="524" t="s">
        <v>1817</v>
      </c>
      <c r="DA6" s="524" t="s">
        <v>1817</v>
      </c>
      <c r="DB6" t="s">
        <v>1810</v>
      </c>
      <c r="DD6">
        <v>100</v>
      </c>
      <c r="DE6">
        <v>10</v>
      </c>
      <c r="DF6">
        <v>30</v>
      </c>
      <c r="DG6" s="7">
        <v>10000</v>
      </c>
    </row>
    <row r="7" spans="1:111" ht="16" x14ac:dyDescent="0.45">
      <c r="A7" t="s">
        <v>11</v>
      </c>
      <c r="B7">
        <v>240</v>
      </c>
      <c r="C7">
        <v>1</v>
      </c>
      <c r="D7">
        <v>3</v>
      </c>
      <c r="E7">
        <v>120</v>
      </c>
      <c r="F7" t="s">
        <v>10</v>
      </c>
      <c r="H7">
        <v>20</v>
      </c>
      <c r="J7" s="11" t="s">
        <v>119</v>
      </c>
      <c r="K7" s="7">
        <v>6530</v>
      </c>
      <c r="L7">
        <v>20</v>
      </c>
      <c r="M7">
        <v>25</v>
      </c>
      <c r="N7">
        <v>30</v>
      </c>
      <c r="O7">
        <v>15</v>
      </c>
      <c r="P7">
        <v>20</v>
      </c>
      <c r="Q7">
        <v>25</v>
      </c>
      <c r="R7">
        <v>617</v>
      </c>
      <c r="S7">
        <v>376</v>
      </c>
      <c r="T7">
        <v>617</v>
      </c>
      <c r="U7">
        <v>376</v>
      </c>
      <c r="W7">
        <v>20</v>
      </c>
      <c r="X7" s="11" t="s">
        <v>119</v>
      </c>
      <c r="Y7" s="11" t="s">
        <v>120</v>
      </c>
      <c r="AA7" t="s">
        <v>48</v>
      </c>
      <c r="AB7">
        <v>21.2</v>
      </c>
      <c r="AE7" s="64" t="s">
        <v>452</v>
      </c>
      <c r="AF7" s="64" t="s">
        <v>464</v>
      </c>
      <c r="AG7" s="64" t="s">
        <v>488</v>
      </c>
      <c r="AH7" s="64" t="s">
        <v>501</v>
      </c>
      <c r="AI7" s="64" t="s">
        <v>509</v>
      </c>
      <c r="AJ7" s="64" t="s">
        <v>519</v>
      </c>
      <c r="AK7" s="64"/>
      <c r="AL7" s="64">
        <v>60</v>
      </c>
      <c r="AM7" s="64" t="s">
        <v>529</v>
      </c>
      <c r="AN7" s="64" t="s">
        <v>533</v>
      </c>
      <c r="AP7" s="69" t="s">
        <v>549</v>
      </c>
      <c r="AQ7" s="69">
        <v>12500</v>
      </c>
      <c r="AR7" s="70">
        <v>1</v>
      </c>
      <c r="AS7" s="69">
        <v>1000000000000</v>
      </c>
      <c r="AT7" s="70">
        <v>0.5</v>
      </c>
      <c r="AU7" s="70">
        <v>0.5</v>
      </c>
      <c r="AV7" s="472"/>
      <c r="AW7" s="472"/>
      <c r="AY7" s="76" t="s">
        <v>119</v>
      </c>
      <c r="AZ7">
        <v>25</v>
      </c>
      <c r="BA7">
        <v>20</v>
      </c>
      <c r="BB7">
        <v>6530</v>
      </c>
      <c r="BC7">
        <v>20</v>
      </c>
      <c r="BD7" s="76">
        <v>12</v>
      </c>
      <c r="BE7" s="76">
        <v>10</v>
      </c>
      <c r="BG7">
        <v>105600</v>
      </c>
      <c r="BH7" s="11" t="s">
        <v>840</v>
      </c>
      <c r="BI7" s="11">
        <v>6</v>
      </c>
      <c r="BJ7" s="11">
        <v>4</v>
      </c>
      <c r="BL7" s="11">
        <v>30</v>
      </c>
      <c r="BM7" s="11">
        <v>2</v>
      </c>
      <c r="BO7" s="93">
        <v>3</v>
      </c>
      <c r="BP7" s="93">
        <v>240</v>
      </c>
      <c r="BQ7" s="93">
        <v>208</v>
      </c>
      <c r="BR7" s="94" t="s">
        <v>308</v>
      </c>
      <c r="BS7" s="94" t="s">
        <v>877</v>
      </c>
      <c r="BT7" s="94" t="s">
        <v>879</v>
      </c>
      <c r="BU7" s="94" t="s">
        <v>885</v>
      </c>
      <c r="BV7" s="94" t="s">
        <v>888</v>
      </c>
      <c r="BX7" s="165" t="s">
        <v>1333</v>
      </c>
      <c r="BY7" s="165">
        <v>240</v>
      </c>
      <c r="BZ7" s="165">
        <v>3</v>
      </c>
      <c r="CA7" s="165" t="s">
        <v>1331</v>
      </c>
      <c r="CB7" s="9">
        <v>139</v>
      </c>
      <c r="CC7" s="9" t="s">
        <v>1352</v>
      </c>
      <c r="CD7" s="167">
        <v>15</v>
      </c>
      <c r="CF7" s="160">
        <v>50</v>
      </c>
      <c r="CG7" s="24">
        <v>1</v>
      </c>
      <c r="CH7" s="24" t="s">
        <v>1440</v>
      </c>
      <c r="CI7" s="24" t="s">
        <v>1442</v>
      </c>
      <c r="CJ7" s="24" t="s">
        <v>1439</v>
      </c>
      <c r="CK7" s="24"/>
      <c r="CL7" s="160">
        <v>50</v>
      </c>
      <c r="CM7" s="24">
        <v>1</v>
      </c>
      <c r="CN7" s="24" t="s">
        <v>1440</v>
      </c>
      <c r="CO7" s="24" t="s">
        <v>1528</v>
      </c>
      <c r="CP7" s="24" t="s">
        <v>1439</v>
      </c>
      <c r="CR7" s="160" t="s">
        <v>1489</v>
      </c>
      <c r="CS7" s="24">
        <v>1</v>
      </c>
      <c r="CT7" s="24" t="s">
        <v>1447</v>
      </c>
      <c r="CU7" s="24" t="s">
        <v>1493</v>
      </c>
      <c r="CV7" s="24" t="s">
        <v>1455</v>
      </c>
      <c r="CX7" s="11" t="s">
        <v>1818</v>
      </c>
      <c r="CY7" s="524" t="s">
        <v>1818</v>
      </c>
      <c r="CZ7" s="524" t="s">
        <v>1818</v>
      </c>
      <c r="DA7" s="524" t="s">
        <v>1818</v>
      </c>
      <c r="DB7" t="s">
        <v>1810</v>
      </c>
      <c r="DD7">
        <v>125</v>
      </c>
      <c r="DE7">
        <v>14</v>
      </c>
      <c r="DF7">
        <v>40</v>
      </c>
      <c r="DG7" s="7">
        <v>10000</v>
      </c>
    </row>
    <row r="8" spans="1:111" ht="16" x14ac:dyDescent="0.45">
      <c r="A8" t="s">
        <v>12</v>
      </c>
      <c r="B8">
        <v>208</v>
      </c>
      <c r="C8">
        <v>3</v>
      </c>
      <c r="D8">
        <v>4</v>
      </c>
      <c r="E8">
        <v>120</v>
      </c>
      <c r="F8" t="s">
        <v>10</v>
      </c>
      <c r="H8">
        <v>25</v>
      </c>
      <c r="J8" s="11" t="s">
        <v>120</v>
      </c>
      <c r="K8" s="7">
        <v>10380</v>
      </c>
      <c r="L8">
        <v>30</v>
      </c>
      <c r="M8">
        <v>35</v>
      </c>
      <c r="N8">
        <v>40</v>
      </c>
      <c r="O8">
        <v>25</v>
      </c>
      <c r="P8">
        <v>30</v>
      </c>
      <c r="Q8">
        <v>35</v>
      </c>
      <c r="R8">
        <v>981</v>
      </c>
      <c r="S8">
        <v>599</v>
      </c>
      <c r="T8">
        <v>982</v>
      </c>
      <c r="U8">
        <v>599</v>
      </c>
      <c r="W8">
        <v>60</v>
      </c>
      <c r="X8" s="11" t="s">
        <v>120</v>
      </c>
      <c r="Y8" s="11" t="s">
        <v>121</v>
      </c>
      <c r="AA8" t="s">
        <v>49</v>
      </c>
      <c r="AB8" s="469">
        <v>0.03</v>
      </c>
      <c r="AE8" s="64" t="s">
        <v>453</v>
      </c>
      <c r="AF8" s="64" t="s">
        <v>465</v>
      </c>
      <c r="AG8" s="64" t="s">
        <v>463</v>
      </c>
      <c r="AH8" s="64" t="s">
        <v>502</v>
      </c>
      <c r="AI8" s="64" t="s">
        <v>510</v>
      </c>
      <c r="AJ8" s="64" t="s">
        <v>520</v>
      </c>
      <c r="AK8" s="64"/>
      <c r="AL8" s="64">
        <v>100</v>
      </c>
      <c r="AM8" s="64">
        <v>4</v>
      </c>
      <c r="AN8" s="64"/>
      <c r="AP8" s="69" t="s">
        <v>550</v>
      </c>
      <c r="AQ8" s="69">
        <v>50000</v>
      </c>
      <c r="AR8" s="70">
        <v>0.4</v>
      </c>
      <c r="AS8" s="69">
        <v>1000000000000</v>
      </c>
      <c r="AT8" s="70">
        <v>0.2</v>
      </c>
      <c r="AU8" s="70">
        <v>0.2</v>
      </c>
      <c r="AV8" s="472"/>
      <c r="AW8" s="472"/>
      <c r="AY8" s="76" t="s">
        <v>120</v>
      </c>
      <c r="AZ8">
        <v>35</v>
      </c>
      <c r="BA8">
        <v>30</v>
      </c>
      <c r="BB8">
        <v>10380</v>
      </c>
      <c r="BC8">
        <v>60</v>
      </c>
      <c r="BD8" s="76">
        <v>10</v>
      </c>
      <c r="BE8" s="76">
        <v>8</v>
      </c>
      <c r="BG8">
        <v>167800</v>
      </c>
      <c r="BH8" s="11" t="s">
        <v>841</v>
      </c>
      <c r="BI8" s="11">
        <v>4</v>
      </c>
      <c r="BJ8" s="11">
        <v>2</v>
      </c>
      <c r="BL8" s="11">
        <v>45</v>
      </c>
      <c r="BM8" s="11">
        <v>2.2000000000000002</v>
      </c>
      <c r="BP8" s="93">
        <v>480</v>
      </c>
      <c r="BQ8" s="93">
        <v>240</v>
      </c>
      <c r="BS8" s="94" t="s">
        <v>856</v>
      </c>
      <c r="BT8" s="94" t="s">
        <v>880</v>
      </c>
      <c r="BU8" s="94" t="s">
        <v>886</v>
      </c>
      <c r="BV8" s="94" t="s">
        <v>889</v>
      </c>
      <c r="BX8" s="165" t="s">
        <v>1334</v>
      </c>
      <c r="BY8" s="165">
        <v>240</v>
      </c>
      <c r="BZ8" s="165">
        <v>1</v>
      </c>
      <c r="CA8" s="165" t="s">
        <v>1331</v>
      </c>
      <c r="CB8" s="9">
        <v>120</v>
      </c>
      <c r="CC8" s="9" t="s">
        <v>1355</v>
      </c>
      <c r="CD8" s="170">
        <v>10</v>
      </c>
      <c r="CF8" s="160">
        <v>60</v>
      </c>
      <c r="CG8" s="24">
        <v>1</v>
      </c>
      <c r="CH8" s="24" t="s">
        <v>1443</v>
      </c>
      <c r="CI8" s="24" t="s">
        <v>1444</v>
      </c>
      <c r="CJ8" s="24" t="s">
        <v>1439</v>
      </c>
      <c r="CK8" s="24"/>
      <c r="CL8" s="160">
        <v>60</v>
      </c>
      <c r="CM8" s="24">
        <v>1</v>
      </c>
      <c r="CN8" s="24" t="s">
        <v>1443</v>
      </c>
      <c r="CO8" s="24" t="s">
        <v>1529</v>
      </c>
      <c r="CP8" s="24" t="s">
        <v>1439</v>
      </c>
      <c r="CR8" s="160">
        <v>150</v>
      </c>
      <c r="CS8" s="24">
        <v>1</v>
      </c>
      <c r="CT8" s="24" t="s">
        <v>1450</v>
      </c>
      <c r="CU8" s="24" t="s">
        <v>1453</v>
      </c>
      <c r="CV8" s="24" t="s">
        <v>1455</v>
      </c>
      <c r="CX8" s="11" t="s">
        <v>1819</v>
      </c>
      <c r="CY8" s="524" t="s">
        <v>1819</v>
      </c>
      <c r="CZ8" s="524" t="s">
        <v>1819</v>
      </c>
      <c r="DA8" s="524" t="s">
        <v>1819</v>
      </c>
      <c r="DB8" t="s">
        <v>1810</v>
      </c>
      <c r="DD8">
        <v>150</v>
      </c>
      <c r="DE8">
        <v>18</v>
      </c>
      <c r="DF8">
        <v>70</v>
      </c>
      <c r="DG8" s="7">
        <v>22000</v>
      </c>
    </row>
    <row r="9" spans="1:111" ht="16" x14ac:dyDescent="0.45">
      <c r="A9" t="s">
        <v>13</v>
      </c>
      <c r="B9">
        <v>240</v>
      </c>
      <c r="C9">
        <v>3</v>
      </c>
      <c r="D9">
        <v>3</v>
      </c>
      <c r="F9" t="s">
        <v>10</v>
      </c>
      <c r="H9">
        <v>30</v>
      </c>
      <c r="J9" s="11" t="s">
        <v>121</v>
      </c>
      <c r="K9" s="7">
        <v>16510</v>
      </c>
      <c r="L9">
        <v>40</v>
      </c>
      <c r="M9">
        <v>50</v>
      </c>
      <c r="N9">
        <v>55</v>
      </c>
      <c r="O9">
        <v>35</v>
      </c>
      <c r="P9">
        <v>40</v>
      </c>
      <c r="Q9">
        <v>45</v>
      </c>
      <c r="R9">
        <v>1557</v>
      </c>
      <c r="S9">
        <v>951</v>
      </c>
      <c r="T9">
        <v>1559</v>
      </c>
      <c r="U9">
        <v>952</v>
      </c>
      <c r="W9">
        <v>100</v>
      </c>
      <c r="X9" s="11" t="s">
        <v>121</v>
      </c>
      <c r="Y9" s="11" t="s">
        <v>122</v>
      </c>
      <c r="AA9" t="s">
        <v>1723</v>
      </c>
      <c r="AB9" s="473">
        <f>Cfg_VDTotal</f>
        <v>0.05</v>
      </c>
      <c r="AE9" s="64" t="s">
        <v>454</v>
      </c>
      <c r="AF9" s="64" t="s">
        <v>466</v>
      </c>
      <c r="AG9" s="64" t="s">
        <v>464</v>
      </c>
      <c r="AH9" s="64" t="s">
        <v>503</v>
      </c>
      <c r="AI9" s="64" t="s">
        <v>511</v>
      </c>
      <c r="AJ9" s="64" t="s">
        <v>521</v>
      </c>
      <c r="AK9" s="64"/>
      <c r="AL9" s="64">
        <v>200</v>
      </c>
      <c r="AM9" s="64" t="s">
        <v>530</v>
      </c>
      <c r="AN9" s="64"/>
      <c r="AP9" s="69" t="s">
        <v>551</v>
      </c>
      <c r="AQ9" s="69">
        <v>20000</v>
      </c>
      <c r="AR9" s="70">
        <v>0.5</v>
      </c>
      <c r="AS9" s="69">
        <v>100000</v>
      </c>
      <c r="AT9" s="70">
        <v>0.4</v>
      </c>
      <c r="AU9" s="70">
        <v>0.3</v>
      </c>
      <c r="AV9" s="472"/>
      <c r="AW9" s="472"/>
      <c r="AY9" s="76" t="s">
        <v>121</v>
      </c>
      <c r="AZ9">
        <v>50</v>
      </c>
      <c r="BA9">
        <v>40</v>
      </c>
      <c r="BB9">
        <v>16510</v>
      </c>
      <c r="BC9">
        <v>100</v>
      </c>
      <c r="BD9" s="76">
        <v>8</v>
      </c>
      <c r="BE9" s="76">
        <v>6</v>
      </c>
      <c r="BG9">
        <v>350000</v>
      </c>
      <c r="BH9" s="11" t="s">
        <v>842</v>
      </c>
      <c r="BI9" s="11">
        <v>2</v>
      </c>
      <c r="BJ9" s="11" t="s">
        <v>127</v>
      </c>
      <c r="BL9" s="11">
        <v>75</v>
      </c>
      <c r="BM9" s="11">
        <v>2.6</v>
      </c>
      <c r="BP9" s="93">
        <v>600</v>
      </c>
      <c r="BQ9" s="93">
        <v>480</v>
      </c>
      <c r="BS9" s="94" t="s">
        <v>878</v>
      </c>
      <c r="BT9" s="94" t="s">
        <v>881</v>
      </c>
      <c r="BU9" s="94" t="s">
        <v>887</v>
      </c>
      <c r="BV9" s="94" t="s">
        <v>890</v>
      </c>
      <c r="BX9" s="165" t="s">
        <v>1335</v>
      </c>
      <c r="BY9" s="165">
        <v>208</v>
      </c>
      <c r="BZ9" s="165">
        <v>3</v>
      </c>
      <c r="CA9" s="165" t="s">
        <v>1331</v>
      </c>
      <c r="CB9" s="9">
        <v>120</v>
      </c>
      <c r="CC9" s="9"/>
      <c r="CD9" s="9"/>
      <c r="CF9" s="160">
        <v>70</v>
      </c>
      <c r="CG9" s="24">
        <v>1</v>
      </c>
      <c r="CH9" s="24" t="s">
        <v>1443</v>
      </c>
      <c r="CI9" s="24" t="s">
        <v>1444</v>
      </c>
      <c r="CJ9" s="24" t="s">
        <v>1445</v>
      </c>
      <c r="CK9" s="24"/>
      <c r="CL9" s="160">
        <v>70</v>
      </c>
      <c r="CM9" s="24">
        <v>1</v>
      </c>
      <c r="CN9" s="24" t="s">
        <v>1443</v>
      </c>
      <c r="CO9" s="24" t="s">
        <v>1529</v>
      </c>
      <c r="CP9" s="24" t="s">
        <v>1445</v>
      </c>
      <c r="CR9" s="160" t="s">
        <v>1490</v>
      </c>
      <c r="CS9" s="24">
        <v>1</v>
      </c>
      <c r="CT9" s="24" t="s">
        <v>1450</v>
      </c>
      <c r="CU9" s="24" t="s">
        <v>1495</v>
      </c>
      <c r="CV9" s="24" t="s">
        <v>1455</v>
      </c>
      <c r="CX9" s="11" t="s">
        <v>1820</v>
      </c>
      <c r="CY9" s="524" t="s">
        <v>1820</v>
      </c>
      <c r="CZ9" s="524" t="s">
        <v>1820</v>
      </c>
      <c r="DA9" s="524" t="s">
        <v>1820</v>
      </c>
      <c r="DB9" t="s">
        <v>1810</v>
      </c>
      <c r="DD9">
        <v>225</v>
      </c>
      <c r="DE9">
        <v>22</v>
      </c>
      <c r="DF9">
        <v>100</v>
      </c>
      <c r="DG9" s="7">
        <v>22000</v>
      </c>
    </row>
    <row r="10" spans="1:111" ht="16" x14ac:dyDescent="0.45">
      <c r="A10" t="s">
        <v>14</v>
      </c>
      <c r="B10">
        <v>240</v>
      </c>
      <c r="C10">
        <v>3</v>
      </c>
      <c r="D10">
        <v>4</v>
      </c>
      <c r="E10">
        <v>120</v>
      </c>
      <c r="F10" t="s">
        <v>10</v>
      </c>
      <c r="H10">
        <v>35</v>
      </c>
      <c r="J10" s="11" t="s">
        <v>122</v>
      </c>
      <c r="K10" s="7">
        <v>26240</v>
      </c>
      <c r="L10">
        <v>55</v>
      </c>
      <c r="M10">
        <v>65</v>
      </c>
      <c r="N10">
        <v>75</v>
      </c>
      <c r="O10">
        <v>40</v>
      </c>
      <c r="P10">
        <v>50</v>
      </c>
      <c r="Q10">
        <v>60</v>
      </c>
      <c r="R10">
        <v>2425</v>
      </c>
      <c r="S10">
        <v>1481</v>
      </c>
      <c r="T10">
        <v>2430</v>
      </c>
      <c r="U10">
        <v>1482</v>
      </c>
      <c r="W10">
        <v>200</v>
      </c>
      <c r="X10" s="11" t="s">
        <v>122</v>
      </c>
      <c r="Y10" s="11" t="s">
        <v>123</v>
      </c>
      <c r="AA10" t="s">
        <v>50</v>
      </c>
      <c r="AB10">
        <v>1.732</v>
      </c>
      <c r="AE10" s="64" t="s">
        <v>455</v>
      </c>
      <c r="AF10" s="64" t="s">
        <v>467</v>
      </c>
      <c r="AG10" s="64" t="s">
        <v>465</v>
      </c>
      <c r="AH10" s="64" t="s">
        <v>504</v>
      </c>
      <c r="AI10" s="64" t="s">
        <v>512</v>
      </c>
      <c r="AJ10" s="64" t="s">
        <v>522</v>
      </c>
      <c r="AK10" s="64"/>
      <c r="AL10" s="64">
        <v>400</v>
      </c>
      <c r="AM10" s="64">
        <v>7</v>
      </c>
      <c r="AN10" s="64"/>
      <c r="AP10" s="69" t="s">
        <v>552</v>
      </c>
      <c r="AQ10" s="69">
        <v>3000</v>
      </c>
      <c r="AR10" s="70">
        <v>1</v>
      </c>
      <c r="AS10" s="69">
        <v>120000</v>
      </c>
      <c r="AT10" s="70">
        <v>0.35</v>
      </c>
      <c r="AU10" s="70">
        <v>0.25</v>
      </c>
      <c r="AV10" s="472"/>
      <c r="AW10" s="472"/>
      <c r="AY10" s="76" t="s">
        <v>122</v>
      </c>
      <c r="AZ10">
        <v>65</v>
      </c>
      <c r="BA10">
        <v>50</v>
      </c>
      <c r="BB10">
        <v>26240</v>
      </c>
      <c r="BC10">
        <v>200</v>
      </c>
      <c r="BD10" s="76">
        <v>6</v>
      </c>
      <c r="BE10" s="76">
        <v>4</v>
      </c>
      <c r="BG10">
        <v>600000</v>
      </c>
      <c r="BH10" s="11" t="s">
        <v>843</v>
      </c>
      <c r="BI10" s="11" t="s">
        <v>127</v>
      </c>
      <c r="BJ10" s="11" t="s">
        <v>129</v>
      </c>
      <c r="BL10" s="11">
        <v>112.5</v>
      </c>
      <c r="BM10" s="11">
        <v>3</v>
      </c>
      <c r="BP10" s="93">
        <v>2400</v>
      </c>
      <c r="BQ10" s="93">
        <v>600</v>
      </c>
      <c r="BT10" s="94" t="s">
        <v>882</v>
      </c>
      <c r="BV10" s="94" t="s">
        <v>891</v>
      </c>
      <c r="BX10" s="165" t="s">
        <v>17</v>
      </c>
      <c r="BY10" s="165">
        <v>600</v>
      </c>
      <c r="BZ10" s="165">
        <v>3</v>
      </c>
      <c r="CA10" s="165" t="s">
        <v>1331</v>
      </c>
      <c r="CB10" s="9">
        <v>347</v>
      </c>
      <c r="CC10" s="9" t="s">
        <v>1368</v>
      </c>
      <c r="CD10" s="172">
        <v>250</v>
      </c>
      <c r="CF10" s="160">
        <v>80</v>
      </c>
      <c r="CG10" s="24">
        <v>1</v>
      </c>
      <c r="CH10" s="24" t="s">
        <v>1443</v>
      </c>
      <c r="CI10" s="24" t="s">
        <v>1446</v>
      </c>
      <c r="CJ10" s="24" t="s">
        <v>1445</v>
      </c>
      <c r="CK10" s="24"/>
      <c r="CL10" s="160">
        <v>80</v>
      </c>
      <c r="CM10" s="24">
        <v>1</v>
      </c>
      <c r="CN10" s="24" t="s">
        <v>1443</v>
      </c>
      <c r="CO10" s="24" t="s">
        <v>1530</v>
      </c>
      <c r="CP10" s="24" t="s">
        <v>1445</v>
      </c>
      <c r="CR10" s="160">
        <v>175</v>
      </c>
      <c r="CS10" s="24">
        <v>1</v>
      </c>
      <c r="CT10" s="24" t="s">
        <v>1450</v>
      </c>
      <c r="CU10" s="24" t="s">
        <v>1454</v>
      </c>
      <c r="CV10" s="24" t="s">
        <v>1455</v>
      </c>
      <c r="CX10" s="11" t="s">
        <v>1821</v>
      </c>
      <c r="CY10" s="524" t="s">
        <v>1821</v>
      </c>
      <c r="CZ10" s="524" t="s">
        <v>1821</v>
      </c>
      <c r="DA10" s="524" t="s">
        <v>1821</v>
      </c>
      <c r="DB10" t="s">
        <v>1810</v>
      </c>
      <c r="DD10">
        <v>250</v>
      </c>
      <c r="DE10">
        <v>25</v>
      </c>
      <c r="DF10">
        <v>150</v>
      </c>
      <c r="DG10" s="7">
        <v>22000</v>
      </c>
    </row>
    <row r="11" spans="1:111" ht="16" x14ac:dyDescent="0.45">
      <c r="A11" t="s">
        <v>15</v>
      </c>
      <c r="B11">
        <v>480</v>
      </c>
      <c r="C11">
        <v>3</v>
      </c>
      <c r="D11">
        <v>4</v>
      </c>
      <c r="E11">
        <v>277</v>
      </c>
      <c r="F11" t="s">
        <v>10</v>
      </c>
      <c r="H11">
        <v>40</v>
      </c>
      <c r="J11" s="11" t="s">
        <v>123</v>
      </c>
      <c r="K11" s="7">
        <v>41740</v>
      </c>
      <c r="L11">
        <v>70</v>
      </c>
      <c r="M11">
        <v>85</v>
      </c>
      <c r="N11">
        <v>95</v>
      </c>
      <c r="O11">
        <v>55</v>
      </c>
      <c r="P11">
        <v>65</v>
      </c>
      <c r="Q11">
        <v>75</v>
      </c>
      <c r="R11">
        <v>3806</v>
      </c>
      <c r="S11">
        <v>2346</v>
      </c>
      <c r="T11">
        <v>3826</v>
      </c>
      <c r="U11">
        <v>2350</v>
      </c>
      <c r="W11">
        <v>300</v>
      </c>
      <c r="X11" s="11" t="s">
        <v>123</v>
      </c>
      <c r="Y11" s="11" t="s">
        <v>125</v>
      </c>
      <c r="AE11" s="64" t="s">
        <v>456</v>
      </c>
      <c r="AF11" s="64" t="s">
        <v>468</v>
      </c>
      <c r="AG11" s="64" t="s">
        <v>466</v>
      </c>
      <c r="AH11" s="64" t="s">
        <v>505</v>
      </c>
      <c r="AI11" s="64" t="s">
        <v>513</v>
      </c>
      <c r="AJ11" s="64" t="s">
        <v>523</v>
      </c>
      <c r="AK11" s="64"/>
      <c r="AL11" s="64">
        <v>600</v>
      </c>
      <c r="AM11" s="64">
        <v>9</v>
      </c>
      <c r="AN11" s="64"/>
      <c r="AP11" s="87" t="str" cm="1">
        <f t="array" ref="AP11">"NEC "&amp;NECREF("220.42")&amp;" demand factors are NOT applied — lighting demand = 100% of connected (project decision). Threshold/DF data retained for reference."</f>
        <v>NEC 220.42 demand factors are NOT applied — lighting demand = 100% of connected (project decision). Threshold/DF data retained for reference.</v>
      </c>
      <c r="AY11" s="76" t="s">
        <v>123</v>
      </c>
      <c r="AZ11">
        <v>85</v>
      </c>
      <c r="BA11">
        <v>65</v>
      </c>
      <c r="BB11">
        <v>41740</v>
      </c>
      <c r="BC11">
        <v>300</v>
      </c>
      <c r="BD11" s="76">
        <v>4</v>
      </c>
      <c r="BE11" s="76">
        <v>2</v>
      </c>
      <c r="BG11">
        <v>1100000</v>
      </c>
      <c r="BH11" s="11" t="s">
        <v>844</v>
      </c>
      <c r="BI11" s="11" t="s">
        <v>128</v>
      </c>
      <c r="BJ11" s="11" t="s">
        <v>130</v>
      </c>
      <c r="BL11" s="11">
        <v>150</v>
      </c>
      <c r="BM11" s="11">
        <v>3.2</v>
      </c>
      <c r="BP11" s="93">
        <v>4160</v>
      </c>
      <c r="BT11" s="94" t="s">
        <v>883</v>
      </c>
      <c r="BV11" s="94" t="s">
        <v>892</v>
      </c>
      <c r="BX11" s="165"/>
      <c r="BY11" s="165"/>
      <c r="BZ11" s="165"/>
      <c r="CA11" s="165"/>
      <c r="CB11" s="9"/>
      <c r="CC11" s="9"/>
      <c r="CD11" s="9"/>
      <c r="CF11" s="160">
        <v>90</v>
      </c>
      <c r="CG11" s="24">
        <v>1</v>
      </c>
      <c r="CH11" s="24" t="s">
        <v>1443</v>
      </c>
      <c r="CI11" s="24" t="s">
        <v>1446</v>
      </c>
      <c r="CJ11" s="24" t="s">
        <v>1445</v>
      </c>
      <c r="CK11" s="24"/>
      <c r="CL11" s="160">
        <v>90</v>
      </c>
      <c r="CM11" s="24">
        <v>1</v>
      </c>
      <c r="CN11" s="24" t="s">
        <v>1443</v>
      </c>
      <c r="CO11" s="24" t="s">
        <v>1530</v>
      </c>
      <c r="CP11" s="24" t="s">
        <v>1445</v>
      </c>
      <c r="CR11" s="160" t="s">
        <v>1492</v>
      </c>
      <c r="CS11" s="24">
        <v>1</v>
      </c>
      <c r="CT11" s="24" t="s">
        <v>1450</v>
      </c>
      <c r="CU11" s="24" t="s">
        <v>1497</v>
      </c>
      <c r="CV11" s="24" t="s">
        <v>1455</v>
      </c>
      <c r="CX11" s="11" t="s">
        <v>1822</v>
      </c>
      <c r="CY11" s="524" t="s">
        <v>1822</v>
      </c>
      <c r="CZ11" s="524" t="s">
        <v>1822</v>
      </c>
      <c r="DA11" s="524" t="s">
        <v>1823</v>
      </c>
      <c r="DB11" t="s">
        <v>1811</v>
      </c>
      <c r="DD11">
        <v>400</v>
      </c>
      <c r="DE11">
        <v>35</v>
      </c>
      <c r="DF11">
        <v>200</v>
      </c>
      <c r="DG11" s="7">
        <v>22000</v>
      </c>
    </row>
    <row r="12" spans="1:111" ht="16.5" x14ac:dyDescent="0.45">
      <c r="A12" t="s">
        <v>16</v>
      </c>
      <c r="B12">
        <v>480</v>
      </c>
      <c r="C12">
        <v>3</v>
      </c>
      <c r="D12">
        <v>3</v>
      </c>
      <c r="F12" t="s">
        <v>10</v>
      </c>
      <c r="H12">
        <v>45</v>
      </c>
      <c r="J12" s="11" t="s">
        <v>124</v>
      </c>
      <c r="K12" s="7">
        <v>52620</v>
      </c>
      <c r="L12">
        <v>85</v>
      </c>
      <c r="M12">
        <v>100</v>
      </c>
      <c r="N12">
        <v>110</v>
      </c>
      <c r="O12">
        <v>65</v>
      </c>
      <c r="P12">
        <v>75</v>
      </c>
      <c r="Q12">
        <v>85</v>
      </c>
      <c r="R12">
        <v>4774</v>
      </c>
      <c r="S12">
        <v>2952</v>
      </c>
      <c r="T12">
        <v>4811</v>
      </c>
      <c r="U12">
        <v>2961</v>
      </c>
      <c r="W12">
        <v>400</v>
      </c>
      <c r="X12" s="11" t="s">
        <v>124</v>
      </c>
      <c r="Y12" s="11" t="s">
        <v>126</v>
      </c>
      <c r="AA12" s="19" t="str" cm="1">
        <f t="array" ref="AA12">"F. TERMINATION &amp; MIN-SIZE RULES — NEC "&amp;NECREF("110.14")&amp;"(C)"</f>
        <v>F. TERMINATION &amp; MIN-SIZE RULES — NEC 110.14(C)</v>
      </c>
      <c r="AB12" s="17"/>
      <c r="AE12" s="64" t="s">
        <v>457</v>
      </c>
      <c r="AF12" s="64" t="s">
        <v>469</v>
      </c>
      <c r="AG12" s="64" t="s">
        <v>489</v>
      </c>
      <c r="AH12" s="64" t="s">
        <v>506</v>
      </c>
      <c r="AI12" s="64" t="s">
        <v>514</v>
      </c>
      <c r="AJ12" s="64" t="s">
        <v>524</v>
      </c>
      <c r="AK12" s="64"/>
      <c r="AL12" s="64">
        <v>800</v>
      </c>
      <c r="AM12" s="64">
        <v>12</v>
      </c>
      <c r="AN12" s="64"/>
      <c r="AP12" s="770" t="str" cm="1">
        <f t="array" ref="AP12">"NEC "&amp;NECREF("220.44")&amp;" — RECEPTACLE / GENERAL POWER DEMAND"</f>
        <v>NEC 220.44 — RECEPTACLE / GENERAL POWER DEMAND</v>
      </c>
      <c r="AQ12" s="770"/>
      <c r="AR12" s="770"/>
      <c r="AS12" s="770"/>
      <c r="AT12" s="770"/>
      <c r="AU12" s="770"/>
      <c r="AV12" s="770"/>
      <c r="AW12" s="770"/>
      <c r="AY12" s="76" t="s">
        <v>124</v>
      </c>
      <c r="AZ12">
        <v>100</v>
      </c>
      <c r="BA12">
        <v>75</v>
      </c>
      <c r="BB12">
        <v>52620</v>
      </c>
      <c r="BC12">
        <v>400</v>
      </c>
      <c r="BD12" s="76">
        <v>3</v>
      </c>
      <c r="BE12" s="76">
        <v>1</v>
      </c>
      <c r="BG12">
        <v>99999999</v>
      </c>
      <c r="BH12" s="11" t="s">
        <v>845</v>
      </c>
      <c r="BI12" s="11" t="s">
        <v>129</v>
      </c>
      <c r="BJ12" s="11">
        <v>250</v>
      </c>
      <c r="BL12" s="11">
        <v>225</v>
      </c>
      <c r="BM12" s="11">
        <v>3.6</v>
      </c>
      <c r="BP12" s="93">
        <v>12470</v>
      </c>
      <c r="BT12" s="94" t="s">
        <v>884</v>
      </c>
      <c r="BX12" s="165"/>
      <c r="BY12" s="165"/>
      <c r="BZ12" s="165"/>
      <c r="CA12" s="165"/>
      <c r="CB12" s="9"/>
      <c r="CC12" s="9" t="s">
        <v>1375</v>
      </c>
      <c r="CD12" s="471">
        <v>4</v>
      </c>
      <c r="CF12" s="160">
        <v>100</v>
      </c>
      <c r="CG12" s="24">
        <v>1</v>
      </c>
      <c r="CH12" s="24" t="s">
        <v>1447</v>
      </c>
      <c r="CI12" s="24" t="s">
        <v>1448</v>
      </c>
      <c r="CJ12" s="24" t="s">
        <v>1445</v>
      </c>
      <c r="CK12" s="24"/>
      <c r="CL12" s="160">
        <v>100</v>
      </c>
      <c r="CM12" s="24">
        <v>1</v>
      </c>
      <c r="CN12" s="24" t="s">
        <v>1447</v>
      </c>
      <c r="CO12" s="24" t="s">
        <v>1531</v>
      </c>
      <c r="CP12" s="24" t="s">
        <v>1445</v>
      </c>
      <c r="CR12" s="160">
        <v>200</v>
      </c>
      <c r="CS12" s="24">
        <v>1</v>
      </c>
      <c r="CT12" s="24" t="s">
        <v>1450</v>
      </c>
      <c r="CU12" s="24" t="s">
        <v>1457</v>
      </c>
      <c r="CV12" s="24" t="s">
        <v>1455</v>
      </c>
      <c r="CX12" s="11" t="s">
        <v>1824</v>
      </c>
      <c r="CY12" s="524" t="s">
        <v>1824</v>
      </c>
      <c r="CZ12" s="524" t="s">
        <v>1824</v>
      </c>
      <c r="DA12" s="524" t="s">
        <v>1825</v>
      </c>
      <c r="DB12" t="s">
        <v>1812</v>
      </c>
      <c r="DD12">
        <v>600</v>
      </c>
      <c r="DE12">
        <v>42</v>
      </c>
      <c r="DF12">
        <v>225</v>
      </c>
      <c r="DG12" s="7">
        <v>30000</v>
      </c>
    </row>
    <row r="13" spans="1:111" ht="16" x14ac:dyDescent="0.45">
      <c r="A13" t="s">
        <v>17</v>
      </c>
      <c r="B13">
        <v>600</v>
      </c>
      <c r="C13">
        <v>3</v>
      </c>
      <c r="D13">
        <v>4</v>
      </c>
      <c r="E13">
        <v>347</v>
      </c>
      <c r="F13" t="s">
        <v>10</v>
      </c>
      <c r="H13">
        <v>50</v>
      </c>
      <c r="J13" s="11" t="s">
        <v>125</v>
      </c>
      <c r="K13" s="7">
        <v>66360</v>
      </c>
      <c r="L13">
        <v>95</v>
      </c>
      <c r="M13">
        <v>115</v>
      </c>
      <c r="N13">
        <v>130</v>
      </c>
      <c r="O13">
        <v>75</v>
      </c>
      <c r="P13">
        <v>90</v>
      </c>
      <c r="Q13">
        <v>100</v>
      </c>
      <c r="R13">
        <v>5907</v>
      </c>
      <c r="S13">
        <v>3713</v>
      </c>
      <c r="T13">
        <v>6044</v>
      </c>
      <c r="U13">
        <v>3730</v>
      </c>
      <c r="W13">
        <v>500</v>
      </c>
      <c r="X13" s="11" t="s">
        <v>125</v>
      </c>
      <c r="Y13" s="11" t="s">
        <v>127</v>
      </c>
      <c r="AA13" s="9" t="s">
        <v>233</v>
      </c>
      <c r="AB13" s="25">
        <f>IF(Cfg_BranchMat="Cu",3,6)</f>
        <v>3</v>
      </c>
      <c r="AE13" s="64" t="s">
        <v>458</v>
      </c>
      <c r="AF13" s="64" t="s">
        <v>470</v>
      </c>
      <c r="AG13" s="64" t="s">
        <v>467</v>
      </c>
      <c r="AH13" s="64"/>
      <c r="AI13" s="64" t="s">
        <v>515</v>
      </c>
      <c r="AJ13" s="64" t="s">
        <v>525</v>
      </c>
      <c r="AK13" s="64"/>
      <c r="AL13" s="64">
        <v>1200</v>
      </c>
      <c r="AM13" s="64"/>
      <c r="AN13" s="64"/>
      <c r="AP13" s="71" t="s">
        <v>553</v>
      </c>
      <c r="AQ13" s="72">
        <v>10000</v>
      </c>
      <c r="AY13" s="76" t="s">
        <v>125</v>
      </c>
      <c r="AZ13">
        <v>115</v>
      </c>
      <c r="BA13">
        <v>90</v>
      </c>
      <c r="BB13">
        <v>66360</v>
      </c>
      <c r="BC13">
        <v>500</v>
      </c>
      <c r="BD13" s="76">
        <v>2</v>
      </c>
      <c r="BE13" s="76" t="s">
        <v>127</v>
      </c>
      <c r="BG13" s="91" t="str" cm="1">
        <f t="array" ref="BG13">"SBJ over 1100 kcmil: 12.5% of largest ungrounded phase area per "&amp;NECREF("250.28")&amp;"(D)(1)."</f>
        <v>SBJ over 1100 kcmil: 12.5% of largest ungrounded phase area per 250.28(D)(1).</v>
      </c>
      <c r="BL13" s="11">
        <v>300</v>
      </c>
      <c r="BM13" s="11">
        <v>4</v>
      </c>
      <c r="BP13" s="93">
        <v>13200</v>
      </c>
      <c r="CC13" s="9" t="s">
        <v>1376</v>
      </c>
      <c r="CD13" s="471">
        <v>5</v>
      </c>
      <c r="CF13" s="160">
        <v>125</v>
      </c>
      <c r="CG13" s="24">
        <v>1</v>
      </c>
      <c r="CH13" s="24" t="s">
        <v>1447</v>
      </c>
      <c r="CI13" s="24" t="s">
        <v>1448</v>
      </c>
      <c r="CJ13" s="24" t="s">
        <v>1449</v>
      </c>
      <c r="CK13" s="24"/>
      <c r="CL13" s="160">
        <v>125</v>
      </c>
      <c r="CM13" s="24">
        <v>1</v>
      </c>
      <c r="CN13" s="24" t="s">
        <v>1447</v>
      </c>
      <c r="CO13" s="24" t="s">
        <v>1531</v>
      </c>
      <c r="CP13" s="24" t="s">
        <v>1449</v>
      </c>
      <c r="CR13" s="160" t="s">
        <v>1494</v>
      </c>
      <c r="CS13" s="24">
        <v>1</v>
      </c>
      <c r="CT13" s="24" t="s">
        <v>1456</v>
      </c>
      <c r="CU13" s="24" t="s">
        <v>1499</v>
      </c>
      <c r="CV13" s="24" t="s">
        <v>1455</v>
      </c>
      <c r="CX13" s="11" t="s">
        <v>1826</v>
      </c>
      <c r="CY13" s="524" t="s">
        <v>1826</v>
      </c>
      <c r="CZ13" s="524" t="s">
        <v>1826</v>
      </c>
      <c r="DA13" s="524" t="s">
        <v>1827</v>
      </c>
      <c r="DB13" t="s">
        <v>1811</v>
      </c>
      <c r="DD13">
        <v>800</v>
      </c>
      <c r="DE13">
        <v>50</v>
      </c>
      <c r="DF13">
        <v>260</v>
      </c>
      <c r="DG13" s="7">
        <v>42000</v>
      </c>
    </row>
    <row r="14" spans="1:111" ht="16" x14ac:dyDescent="0.45">
      <c r="A14" t="s">
        <v>18</v>
      </c>
      <c r="B14">
        <v>600</v>
      </c>
      <c r="C14">
        <v>3</v>
      </c>
      <c r="D14">
        <v>3</v>
      </c>
      <c r="F14" t="s">
        <v>10</v>
      </c>
      <c r="H14">
        <v>60</v>
      </c>
      <c r="J14" s="11" t="s">
        <v>126</v>
      </c>
      <c r="K14" s="7">
        <v>83690</v>
      </c>
      <c r="L14">
        <v>110</v>
      </c>
      <c r="M14">
        <v>130</v>
      </c>
      <c r="N14">
        <v>150</v>
      </c>
      <c r="O14">
        <v>85</v>
      </c>
      <c r="P14">
        <v>100</v>
      </c>
      <c r="Q14">
        <v>115</v>
      </c>
      <c r="R14">
        <v>7293</v>
      </c>
      <c r="S14">
        <v>4645</v>
      </c>
      <c r="T14">
        <v>7493</v>
      </c>
      <c r="U14">
        <v>4678</v>
      </c>
      <c r="W14">
        <v>600</v>
      </c>
      <c r="X14" s="11" t="s">
        <v>126</v>
      </c>
      <c r="Y14" s="11" t="s">
        <v>128</v>
      </c>
      <c r="AA14" s="9" t="s">
        <v>234</v>
      </c>
      <c r="AB14" s="25">
        <f>IF(Cfg_FeederMat="Cu",3,6)</f>
        <v>3</v>
      </c>
      <c r="AE14" s="64" t="s">
        <v>459</v>
      </c>
      <c r="AF14" s="64" t="s">
        <v>471</v>
      </c>
      <c r="AG14" s="64" t="s">
        <v>468</v>
      </c>
      <c r="AH14" s="64"/>
      <c r="AI14" s="64" t="s">
        <v>516</v>
      </c>
      <c r="AJ14" s="64" t="s">
        <v>526</v>
      </c>
      <c r="AK14" s="64"/>
      <c r="AL14" s="64"/>
      <c r="AM14" s="64"/>
      <c r="AN14" s="64"/>
      <c r="AP14" s="71" t="s">
        <v>554</v>
      </c>
      <c r="AQ14" s="73">
        <v>0.5</v>
      </c>
      <c r="AY14" s="76" t="s">
        <v>126</v>
      </c>
      <c r="AZ14">
        <v>130</v>
      </c>
      <c r="BA14">
        <v>100</v>
      </c>
      <c r="BB14">
        <v>83690</v>
      </c>
      <c r="BC14">
        <v>600</v>
      </c>
      <c r="BD14" s="76">
        <v>1</v>
      </c>
      <c r="BE14" s="76" t="s">
        <v>128</v>
      </c>
      <c r="BL14" s="11">
        <v>500</v>
      </c>
      <c r="BM14" s="11">
        <v>4.5</v>
      </c>
      <c r="BP14" s="93">
        <v>13800</v>
      </c>
      <c r="CF14" s="160">
        <v>150</v>
      </c>
      <c r="CG14" s="24">
        <v>1</v>
      </c>
      <c r="CH14" s="24" t="s">
        <v>1450</v>
      </c>
      <c r="CI14" s="24" t="s">
        <v>1451</v>
      </c>
      <c r="CJ14" s="24" t="s">
        <v>1449</v>
      </c>
      <c r="CK14" s="24"/>
      <c r="CL14" s="160">
        <v>150</v>
      </c>
      <c r="CM14" s="24">
        <v>1</v>
      </c>
      <c r="CN14" s="24" t="s">
        <v>1450</v>
      </c>
      <c r="CO14" s="24" t="s">
        <v>1532</v>
      </c>
      <c r="CP14" s="24" t="s">
        <v>1449</v>
      </c>
      <c r="CR14" s="160">
        <v>225</v>
      </c>
      <c r="CS14" s="24">
        <v>1</v>
      </c>
      <c r="CT14" s="24" t="s">
        <v>1456</v>
      </c>
      <c r="CU14" s="24" t="s">
        <v>1464</v>
      </c>
      <c r="CV14" s="24" t="s">
        <v>1461</v>
      </c>
      <c r="CX14" s="11" t="s">
        <v>1828</v>
      </c>
      <c r="CY14" s="524" t="s">
        <v>1828</v>
      </c>
      <c r="CZ14" s="524" t="s">
        <v>1828</v>
      </c>
      <c r="DA14" s="524" t="s">
        <v>1829</v>
      </c>
      <c r="DB14" t="s">
        <v>1811</v>
      </c>
      <c r="DD14">
        <v>1000</v>
      </c>
      <c r="DE14">
        <v>65</v>
      </c>
      <c r="DF14">
        <v>400</v>
      </c>
      <c r="DG14" s="7">
        <v>42000</v>
      </c>
    </row>
    <row r="15" spans="1:111" ht="16" x14ac:dyDescent="0.45">
      <c r="A15" t="s">
        <v>19</v>
      </c>
      <c r="B15">
        <v>2400</v>
      </c>
      <c r="C15">
        <v>3</v>
      </c>
      <c r="D15">
        <v>3</v>
      </c>
      <c r="F15" t="s">
        <v>20</v>
      </c>
      <c r="H15">
        <v>70</v>
      </c>
      <c r="J15" s="11" t="s">
        <v>127</v>
      </c>
      <c r="K15" s="7">
        <v>105600</v>
      </c>
      <c r="L15">
        <v>125</v>
      </c>
      <c r="M15">
        <v>150</v>
      </c>
      <c r="N15">
        <v>170</v>
      </c>
      <c r="O15">
        <v>100</v>
      </c>
      <c r="P15">
        <v>120</v>
      </c>
      <c r="Q15">
        <v>135</v>
      </c>
      <c r="R15">
        <v>8925</v>
      </c>
      <c r="S15">
        <v>5777</v>
      </c>
      <c r="T15">
        <v>9317</v>
      </c>
      <c r="U15">
        <v>5838</v>
      </c>
      <c r="W15">
        <v>800</v>
      </c>
      <c r="X15" s="11" t="s">
        <v>127</v>
      </c>
      <c r="Y15" s="11" t="s">
        <v>129</v>
      </c>
      <c r="AA15" s="9" t="s">
        <v>235</v>
      </c>
      <c r="AB15" s="26">
        <v>2</v>
      </c>
      <c r="AE15" s="64" t="s">
        <v>460</v>
      </c>
      <c r="AF15" s="64" t="s">
        <v>472</v>
      </c>
      <c r="AG15" s="64" t="s">
        <v>469</v>
      </c>
      <c r="AH15" s="64"/>
      <c r="AI15" s="64"/>
      <c r="AJ15" s="64"/>
      <c r="AK15" s="64"/>
      <c r="AL15" s="64"/>
      <c r="AM15" s="64"/>
      <c r="AN15" s="64"/>
      <c r="AY15" s="76" t="s">
        <v>127</v>
      </c>
      <c r="AZ15">
        <v>150</v>
      </c>
      <c r="BA15">
        <v>120</v>
      </c>
      <c r="BB15">
        <v>105600</v>
      </c>
      <c r="BC15">
        <v>800</v>
      </c>
      <c r="BD15" s="76" t="s">
        <v>127</v>
      </c>
      <c r="BE15" s="76" t="s">
        <v>129</v>
      </c>
      <c r="BL15" s="11">
        <v>750</v>
      </c>
      <c r="BM15" s="11">
        <v>5</v>
      </c>
      <c r="CC15" s="9" t="s">
        <v>1411</v>
      </c>
      <c r="CD15" s="470">
        <v>0.03</v>
      </c>
      <c r="CF15" s="160">
        <v>175</v>
      </c>
      <c r="CG15" s="24">
        <v>1</v>
      </c>
      <c r="CH15" s="24" t="s">
        <v>1450</v>
      </c>
      <c r="CI15" s="24" t="s">
        <v>1452</v>
      </c>
      <c r="CJ15" s="24" t="s">
        <v>1449</v>
      </c>
      <c r="CK15" s="24"/>
      <c r="CL15" s="160">
        <v>175</v>
      </c>
      <c r="CM15" s="24">
        <v>1</v>
      </c>
      <c r="CN15" s="24" t="s">
        <v>1450</v>
      </c>
      <c r="CO15" s="24" t="s">
        <v>1533</v>
      </c>
      <c r="CP15" s="24" t="s">
        <v>1449</v>
      </c>
      <c r="CR15" s="160" t="s">
        <v>1496</v>
      </c>
      <c r="CS15" s="24">
        <v>1</v>
      </c>
      <c r="CT15" s="24" t="s">
        <v>1456</v>
      </c>
      <c r="CU15" s="24" t="s">
        <v>1512</v>
      </c>
      <c r="CV15" s="24" t="s">
        <v>1461</v>
      </c>
      <c r="CX15" s="11" t="s">
        <v>1830</v>
      </c>
      <c r="CY15" s="524" t="s">
        <v>1830</v>
      </c>
      <c r="CZ15" s="524" t="s">
        <v>1830</v>
      </c>
      <c r="DA15" s="524" t="s">
        <v>1831</v>
      </c>
      <c r="DB15" t="s">
        <v>1811</v>
      </c>
      <c r="DD15">
        <v>1200</v>
      </c>
      <c r="DE15">
        <v>85</v>
      </c>
      <c r="DF15">
        <v>600</v>
      </c>
      <c r="DG15" s="7">
        <v>50000</v>
      </c>
    </row>
    <row r="16" spans="1:111" ht="16" x14ac:dyDescent="0.45">
      <c r="A16" t="s">
        <v>21</v>
      </c>
      <c r="B16">
        <v>4160</v>
      </c>
      <c r="C16">
        <v>3</v>
      </c>
      <c r="D16">
        <v>4</v>
      </c>
      <c r="E16">
        <v>2400</v>
      </c>
      <c r="F16" t="s">
        <v>20</v>
      </c>
      <c r="H16">
        <v>80</v>
      </c>
      <c r="J16" s="11" t="s">
        <v>128</v>
      </c>
      <c r="K16" s="7">
        <v>133100</v>
      </c>
      <c r="L16">
        <v>145</v>
      </c>
      <c r="M16">
        <v>175</v>
      </c>
      <c r="N16">
        <v>195</v>
      </c>
      <c r="O16">
        <v>115</v>
      </c>
      <c r="P16">
        <v>135</v>
      </c>
      <c r="Q16">
        <v>150</v>
      </c>
      <c r="R16">
        <v>10755</v>
      </c>
      <c r="S16">
        <v>7187</v>
      </c>
      <c r="T16">
        <v>11424</v>
      </c>
      <c r="U16">
        <v>7301</v>
      </c>
      <c r="W16">
        <v>1000</v>
      </c>
      <c r="X16" s="11" t="s">
        <v>128</v>
      </c>
      <c r="Y16" s="11" t="s">
        <v>130</v>
      </c>
      <c r="AE16" s="64" t="s">
        <v>461</v>
      </c>
      <c r="AF16" s="64" t="s">
        <v>473</v>
      </c>
      <c r="AG16" s="64" t="s">
        <v>490</v>
      </c>
      <c r="AH16" s="64"/>
      <c r="AI16" s="64"/>
      <c r="AJ16" s="64"/>
      <c r="AK16" s="64"/>
      <c r="AL16" s="64"/>
      <c r="AM16" s="64"/>
      <c r="AN16" s="64"/>
      <c r="AY16" s="76" t="s">
        <v>128</v>
      </c>
      <c r="AZ16">
        <v>175</v>
      </c>
      <c r="BA16">
        <v>135</v>
      </c>
      <c r="BB16">
        <v>133100</v>
      </c>
      <c r="BC16">
        <v>1000</v>
      </c>
      <c r="BD16" s="76" t="s">
        <v>128</v>
      </c>
      <c r="BE16" s="76" t="s">
        <v>130</v>
      </c>
      <c r="BL16" s="11">
        <v>1000</v>
      </c>
      <c r="BM16" s="11">
        <v>5.5</v>
      </c>
      <c r="CC16" s="9" t="s">
        <v>1412</v>
      </c>
      <c r="CD16" s="470">
        <v>0.05</v>
      </c>
      <c r="CF16" s="160">
        <v>200</v>
      </c>
      <c r="CG16" s="24">
        <v>1</v>
      </c>
      <c r="CH16" s="24" t="s">
        <v>1450</v>
      </c>
      <c r="CI16" s="24" t="s">
        <v>1453</v>
      </c>
      <c r="CJ16" s="24" t="s">
        <v>1449</v>
      </c>
      <c r="CK16" s="24"/>
      <c r="CL16" s="160">
        <v>200</v>
      </c>
      <c r="CM16" s="24">
        <v>1</v>
      </c>
      <c r="CN16" s="24" t="s">
        <v>1450</v>
      </c>
      <c r="CO16" s="24" t="s">
        <v>1534</v>
      </c>
      <c r="CP16" s="24" t="s">
        <v>1449</v>
      </c>
      <c r="CR16" s="160">
        <v>250</v>
      </c>
      <c r="CS16" s="24">
        <v>1</v>
      </c>
      <c r="CT16" s="24" t="s">
        <v>1458</v>
      </c>
      <c r="CU16" s="24" t="s">
        <v>1459</v>
      </c>
      <c r="CV16" s="24" t="s">
        <v>1461</v>
      </c>
      <c r="CX16" s="11" t="s">
        <v>1832</v>
      </c>
      <c r="CY16" s="524" t="s">
        <v>1832</v>
      </c>
      <c r="CZ16" s="524" t="s">
        <v>1832</v>
      </c>
      <c r="DA16" s="524" t="s">
        <v>1833</v>
      </c>
      <c r="DB16" t="s">
        <v>1811</v>
      </c>
      <c r="DD16">
        <v>1600</v>
      </c>
      <c r="DE16">
        <v>100</v>
      </c>
      <c r="DF16">
        <v>800</v>
      </c>
      <c r="DG16" s="7">
        <v>50000</v>
      </c>
    </row>
    <row r="17" spans="1:111" ht="16" x14ac:dyDescent="0.45">
      <c r="A17" t="s">
        <v>22</v>
      </c>
      <c r="B17">
        <v>4160</v>
      </c>
      <c r="C17">
        <v>3</v>
      </c>
      <c r="D17">
        <v>3</v>
      </c>
      <c r="F17" t="s">
        <v>20</v>
      </c>
      <c r="H17">
        <v>90</v>
      </c>
      <c r="J17" s="11" t="s">
        <v>129</v>
      </c>
      <c r="K17" s="7">
        <v>167800</v>
      </c>
      <c r="L17">
        <v>165</v>
      </c>
      <c r="M17">
        <v>200</v>
      </c>
      <c r="N17">
        <v>225</v>
      </c>
      <c r="O17">
        <v>130</v>
      </c>
      <c r="P17">
        <v>155</v>
      </c>
      <c r="Q17">
        <v>175</v>
      </c>
      <c r="R17">
        <v>12844</v>
      </c>
      <c r="S17">
        <v>8826</v>
      </c>
      <c r="T17">
        <v>13923</v>
      </c>
      <c r="U17">
        <v>9110</v>
      </c>
      <c r="W17">
        <v>1200</v>
      </c>
      <c r="X17" s="11" t="s">
        <v>129</v>
      </c>
      <c r="Y17" s="11" t="s">
        <v>131</v>
      </c>
      <c r="AE17" s="64"/>
      <c r="AF17" s="64" t="s">
        <v>474</v>
      </c>
      <c r="AG17" s="64" t="s">
        <v>491</v>
      </c>
      <c r="AH17" s="64"/>
      <c r="AI17" s="64"/>
      <c r="AJ17" s="64"/>
      <c r="AK17" s="64"/>
      <c r="AL17" s="64"/>
      <c r="AM17" s="64"/>
      <c r="AN17" s="64"/>
      <c r="AY17" s="76" t="s">
        <v>129</v>
      </c>
      <c r="AZ17">
        <v>200</v>
      </c>
      <c r="BA17">
        <v>155</v>
      </c>
      <c r="BB17">
        <v>167800</v>
      </c>
      <c r="BC17">
        <v>1200</v>
      </c>
      <c r="BD17" s="76" t="s">
        <v>129</v>
      </c>
      <c r="BE17" s="76">
        <v>250</v>
      </c>
      <c r="BL17" s="11">
        <v>1500</v>
      </c>
      <c r="BM17" s="11">
        <v>6</v>
      </c>
      <c r="CF17" s="160">
        <v>225</v>
      </c>
      <c r="CG17" s="24">
        <v>1</v>
      </c>
      <c r="CH17" s="24" t="s">
        <v>1450</v>
      </c>
      <c r="CI17" s="24" t="s">
        <v>1454</v>
      </c>
      <c r="CJ17" s="24" t="s">
        <v>1455</v>
      </c>
      <c r="CK17" s="24"/>
      <c r="CL17" s="160">
        <v>225</v>
      </c>
      <c r="CM17" s="24">
        <v>1</v>
      </c>
      <c r="CN17" s="24" t="s">
        <v>1450</v>
      </c>
      <c r="CO17" s="24" t="s">
        <v>1535</v>
      </c>
      <c r="CP17" s="24" t="s">
        <v>1455</v>
      </c>
      <c r="CR17" s="160" t="s">
        <v>1498</v>
      </c>
      <c r="CS17" s="24">
        <v>1</v>
      </c>
      <c r="CT17" s="24" t="s">
        <v>1458</v>
      </c>
      <c r="CU17" s="24" t="s">
        <v>1501</v>
      </c>
      <c r="CV17" s="24" t="s">
        <v>1461</v>
      </c>
      <c r="CX17" s="11" t="s">
        <v>1834</v>
      </c>
      <c r="CY17" s="524" t="s">
        <v>1834</v>
      </c>
      <c r="CZ17" s="524" t="s">
        <v>1834</v>
      </c>
      <c r="DA17" s="524" t="s">
        <v>1835</v>
      </c>
      <c r="DB17" t="s">
        <v>1813</v>
      </c>
      <c r="DD17">
        <v>2000</v>
      </c>
      <c r="DE17">
        <v>125</v>
      </c>
      <c r="DF17">
        <v>1000</v>
      </c>
      <c r="DG17" s="7">
        <v>65000</v>
      </c>
    </row>
    <row r="18" spans="1:111" ht="16" x14ac:dyDescent="0.45">
      <c r="A18" t="s">
        <v>23</v>
      </c>
      <c r="B18">
        <v>4800</v>
      </c>
      <c r="C18">
        <v>3</v>
      </c>
      <c r="D18">
        <v>3</v>
      </c>
      <c r="F18" t="s">
        <v>20</v>
      </c>
      <c r="H18">
        <v>100</v>
      </c>
      <c r="J18" s="11" t="s">
        <v>130</v>
      </c>
      <c r="K18" s="7">
        <v>211600</v>
      </c>
      <c r="L18">
        <v>195</v>
      </c>
      <c r="M18">
        <v>230</v>
      </c>
      <c r="N18">
        <v>260</v>
      </c>
      <c r="O18">
        <v>150</v>
      </c>
      <c r="P18">
        <v>180</v>
      </c>
      <c r="Q18">
        <v>205</v>
      </c>
      <c r="R18">
        <v>15082</v>
      </c>
      <c r="S18">
        <v>10741</v>
      </c>
      <c r="T18">
        <v>16673</v>
      </c>
      <c r="U18">
        <v>11174</v>
      </c>
      <c r="W18">
        <v>1600</v>
      </c>
      <c r="X18" s="11" t="s">
        <v>130</v>
      </c>
      <c r="Y18" s="11" t="s">
        <v>133</v>
      </c>
      <c r="AE18" s="64"/>
      <c r="AF18" s="64" t="s">
        <v>475</v>
      </c>
      <c r="AG18" s="64" t="s">
        <v>492</v>
      </c>
      <c r="AH18" s="64"/>
      <c r="AI18" s="64"/>
      <c r="AJ18" s="64"/>
      <c r="AK18" s="64"/>
      <c r="AL18" s="64"/>
      <c r="AM18" s="64"/>
      <c r="AN18" s="64"/>
      <c r="AY18" s="76" t="s">
        <v>130</v>
      </c>
      <c r="AZ18">
        <v>230</v>
      </c>
      <c r="BA18">
        <v>180</v>
      </c>
      <c r="BB18">
        <v>211600</v>
      </c>
      <c r="BC18">
        <v>1600</v>
      </c>
      <c r="BD18" s="76" t="s">
        <v>130</v>
      </c>
      <c r="BE18" s="76">
        <v>350</v>
      </c>
      <c r="BL18" s="11">
        <v>2000</v>
      </c>
      <c r="BM18" s="11">
        <v>6.5</v>
      </c>
      <c r="CF18" s="160">
        <v>250</v>
      </c>
      <c r="CG18" s="24">
        <v>1</v>
      </c>
      <c r="CH18" s="24" t="s">
        <v>1456</v>
      </c>
      <c r="CI18" s="24" t="s">
        <v>1457</v>
      </c>
      <c r="CJ18" s="24" t="s">
        <v>1455</v>
      </c>
      <c r="CK18" s="24"/>
      <c r="CL18" s="160">
        <v>250</v>
      </c>
      <c r="CM18" s="24">
        <v>1</v>
      </c>
      <c r="CN18" s="24" t="s">
        <v>1456</v>
      </c>
      <c r="CO18" s="24" t="s">
        <v>1536</v>
      </c>
      <c r="CP18" s="24" t="s">
        <v>1455</v>
      </c>
      <c r="CR18" s="160">
        <v>300</v>
      </c>
      <c r="CS18" s="24">
        <v>1</v>
      </c>
      <c r="CT18" s="24" t="s">
        <v>1458</v>
      </c>
      <c r="CU18" s="24" t="s">
        <v>1460</v>
      </c>
      <c r="CV18" s="24" t="s">
        <v>1461</v>
      </c>
      <c r="CX18" s="11" t="s">
        <v>1836</v>
      </c>
      <c r="CY18" s="524" t="s">
        <v>1836</v>
      </c>
      <c r="CZ18" s="524" t="s">
        <v>1836</v>
      </c>
      <c r="DA18" s="524" t="s">
        <v>1836</v>
      </c>
      <c r="DB18" t="s">
        <v>1810</v>
      </c>
      <c r="DD18">
        <v>2500</v>
      </c>
      <c r="DE18">
        <v>150</v>
      </c>
      <c r="DF18">
        <v>1200</v>
      </c>
      <c r="DG18" s="7">
        <v>65000</v>
      </c>
    </row>
    <row r="19" spans="1:111" ht="16" x14ac:dyDescent="0.45">
      <c r="A19" t="s">
        <v>24</v>
      </c>
      <c r="B19">
        <v>6900</v>
      </c>
      <c r="C19">
        <v>3</v>
      </c>
      <c r="D19">
        <v>3</v>
      </c>
      <c r="F19" t="s">
        <v>20</v>
      </c>
      <c r="H19">
        <v>110</v>
      </c>
      <c r="J19" s="11" t="s">
        <v>131</v>
      </c>
      <c r="K19" s="7">
        <v>250000</v>
      </c>
      <c r="L19">
        <v>215</v>
      </c>
      <c r="M19">
        <v>255</v>
      </c>
      <c r="N19">
        <v>290</v>
      </c>
      <c r="O19">
        <v>170</v>
      </c>
      <c r="P19">
        <v>205</v>
      </c>
      <c r="Q19">
        <v>230</v>
      </c>
      <c r="R19">
        <v>16483</v>
      </c>
      <c r="S19">
        <v>12122</v>
      </c>
      <c r="T19">
        <v>18594</v>
      </c>
      <c r="U19">
        <v>12862</v>
      </c>
      <c r="W19">
        <v>2000</v>
      </c>
      <c r="X19" s="11" t="s">
        <v>131</v>
      </c>
      <c r="Y19" s="11" t="s">
        <v>134</v>
      </c>
      <c r="AE19" s="64"/>
      <c r="AF19" s="64" t="s">
        <v>476</v>
      </c>
      <c r="AG19" s="64" t="s">
        <v>493</v>
      </c>
      <c r="AH19" s="64"/>
      <c r="AI19" s="64"/>
      <c r="AJ19" s="64"/>
      <c r="AK19" s="64"/>
      <c r="AL19" s="64"/>
      <c r="AM19" s="64"/>
      <c r="AN19" s="64"/>
      <c r="AY19" s="76" t="s">
        <v>131</v>
      </c>
      <c r="AZ19">
        <v>255</v>
      </c>
      <c r="BA19">
        <v>205</v>
      </c>
      <c r="BB19">
        <v>250000</v>
      </c>
      <c r="BC19">
        <v>2000</v>
      </c>
      <c r="BD19" s="76">
        <v>250</v>
      </c>
      <c r="BE19" s="76">
        <v>400</v>
      </c>
      <c r="BL19" s="11">
        <v>2500</v>
      </c>
      <c r="BM19" s="11">
        <v>7</v>
      </c>
      <c r="CF19" s="160">
        <v>300</v>
      </c>
      <c r="CG19" s="24">
        <v>1</v>
      </c>
      <c r="CH19" s="24" t="s">
        <v>1458</v>
      </c>
      <c r="CI19" s="24" t="s">
        <v>1459</v>
      </c>
      <c r="CJ19" s="24" t="s">
        <v>1455</v>
      </c>
      <c r="CK19" s="24"/>
      <c r="CL19" s="160">
        <v>300</v>
      </c>
      <c r="CM19" s="24">
        <v>1</v>
      </c>
      <c r="CN19" s="24" t="s">
        <v>1458</v>
      </c>
      <c r="CO19" s="24" t="s">
        <v>1537</v>
      </c>
      <c r="CP19" s="24" t="s">
        <v>1455</v>
      </c>
      <c r="CR19" s="160" t="s">
        <v>1500</v>
      </c>
      <c r="CS19" s="24">
        <v>1</v>
      </c>
      <c r="CT19" s="24" t="s">
        <v>1503</v>
      </c>
      <c r="CU19" s="24" t="s">
        <v>1504</v>
      </c>
      <c r="CV19" s="24" t="s">
        <v>1461</v>
      </c>
      <c r="CX19" s="11" t="s">
        <v>1837</v>
      </c>
      <c r="CY19" s="524" t="s">
        <v>1837</v>
      </c>
      <c r="CZ19" s="524" t="s">
        <v>1837</v>
      </c>
      <c r="DA19" s="524" t="s">
        <v>1837</v>
      </c>
      <c r="DB19" t="s">
        <v>1810</v>
      </c>
      <c r="DD19">
        <v>3000</v>
      </c>
      <c r="DE19">
        <v>200</v>
      </c>
      <c r="DF19">
        <v>1600</v>
      </c>
      <c r="DG19" s="7">
        <v>85000</v>
      </c>
    </row>
    <row r="20" spans="1:111" ht="16" x14ac:dyDescent="0.45">
      <c r="A20" t="s">
        <v>25</v>
      </c>
      <c r="B20">
        <v>12470</v>
      </c>
      <c r="C20">
        <v>3</v>
      </c>
      <c r="D20">
        <v>4</v>
      </c>
      <c r="E20">
        <v>7200</v>
      </c>
      <c r="F20" t="s">
        <v>20</v>
      </c>
      <c r="H20">
        <v>125</v>
      </c>
      <c r="J20" s="11" t="s">
        <v>132</v>
      </c>
      <c r="K20" s="7">
        <v>300000</v>
      </c>
      <c r="L20">
        <v>240</v>
      </c>
      <c r="M20">
        <v>285</v>
      </c>
      <c r="N20">
        <v>320</v>
      </c>
      <c r="O20">
        <v>195</v>
      </c>
      <c r="P20">
        <v>230</v>
      </c>
      <c r="Q20">
        <v>260</v>
      </c>
      <c r="R20">
        <v>18177</v>
      </c>
      <c r="S20">
        <v>13910</v>
      </c>
      <c r="T20">
        <v>20868</v>
      </c>
      <c r="U20">
        <v>14923</v>
      </c>
      <c r="W20">
        <v>2500</v>
      </c>
      <c r="X20" s="11" t="s">
        <v>133</v>
      </c>
      <c r="Y20" s="11" t="s">
        <v>136</v>
      </c>
      <c r="AE20" s="64"/>
      <c r="AF20" s="64" t="s">
        <v>477</v>
      </c>
      <c r="AG20" s="64" t="s">
        <v>494</v>
      </c>
      <c r="AH20" s="64"/>
      <c r="AI20" s="64"/>
      <c r="AJ20" s="64"/>
      <c r="AK20" s="64"/>
      <c r="AL20" s="64"/>
      <c r="AM20" s="64"/>
      <c r="AN20" s="64"/>
      <c r="AY20" s="76" t="s">
        <v>132</v>
      </c>
      <c r="AZ20">
        <v>285</v>
      </c>
      <c r="BA20">
        <v>230</v>
      </c>
      <c r="BB20">
        <v>300000</v>
      </c>
      <c r="BC20">
        <v>2500</v>
      </c>
      <c r="BD20" s="76">
        <v>350</v>
      </c>
      <c r="BE20" s="76">
        <v>600</v>
      </c>
      <c r="BL20" s="91" t="s">
        <v>848</v>
      </c>
      <c r="CF20" s="160">
        <v>350</v>
      </c>
      <c r="CG20" s="24">
        <v>1</v>
      </c>
      <c r="CH20" s="24" t="s">
        <v>1458</v>
      </c>
      <c r="CI20" s="24" t="s">
        <v>1460</v>
      </c>
      <c r="CJ20" s="24" t="s">
        <v>1461</v>
      </c>
      <c r="CK20" s="24"/>
      <c r="CL20" s="160">
        <v>350</v>
      </c>
      <c r="CM20" s="24">
        <v>1</v>
      </c>
      <c r="CN20" s="24" t="s">
        <v>1458</v>
      </c>
      <c r="CO20" s="24" t="s">
        <v>1538</v>
      </c>
      <c r="CP20" s="24" t="s">
        <v>1461</v>
      </c>
      <c r="CR20" s="160">
        <v>350</v>
      </c>
      <c r="CS20" s="24">
        <v>2</v>
      </c>
      <c r="CT20" s="24" t="s">
        <v>1450</v>
      </c>
      <c r="CU20" s="24" t="s">
        <v>1454</v>
      </c>
      <c r="CV20" s="24" t="s">
        <v>1461</v>
      </c>
      <c r="CX20" s="11" t="s">
        <v>1838</v>
      </c>
      <c r="CY20" s="524" t="s">
        <v>1838</v>
      </c>
      <c r="CZ20" s="524" t="s">
        <v>1838</v>
      </c>
      <c r="DA20" s="524" t="s">
        <v>1838</v>
      </c>
      <c r="DB20" t="s">
        <v>1810</v>
      </c>
      <c r="DD20">
        <v>4000</v>
      </c>
      <c r="DF20">
        <v>2000</v>
      </c>
      <c r="DG20" s="7">
        <v>100000</v>
      </c>
    </row>
    <row r="21" spans="1:111" ht="16" x14ac:dyDescent="0.45">
      <c r="A21" t="s">
        <v>26</v>
      </c>
      <c r="B21">
        <v>13200</v>
      </c>
      <c r="C21">
        <v>3</v>
      </c>
      <c r="D21">
        <v>3</v>
      </c>
      <c r="F21" t="s">
        <v>20</v>
      </c>
      <c r="H21">
        <v>150</v>
      </c>
      <c r="J21" s="11" t="s">
        <v>133</v>
      </c>
      <c r="K21" s="7">
        <v>350000</v>
      </c>
      <c r="L21">
        <v>260</v>
      </c>
      <c r="M21">
        <v>310</v>
      </c>
      <c r="N21">
        <v>350</v>
      </c>
      <c r="O21">
        <v>210</v>
      </c>
      <c r="P21">
        <v>250</v>
      </c>
      <c r="Q21">
        <v>280</v>
      </c>
      <c r="R21">
        <v>19704</v>
      </c>
      <c r="S21">
        <v>15484</v>
      </c>
      <c r="T21">
        <v>22737</v>
      </c>
      <c r="U21">
        <v>16813</v>
      </c>
      <c r="W21">
        <v>3000</v>
      </c>
      <c r="X21" s="11" t="s">
        <v>134</v>
      </c>
      <c r="Y21" s="11" t="s">
        <v>136</v>
      </c>
      <c r="AE21" s="64"/>
      <c r="AF21" s="64" t="s">
        <v>478</v>
      </c>
      <c r="AG21" s="64" t="s">
        <v>495</v>
      </c>
      <c r="AH21" s="64"/>
      <c r="AI21" s="64"/>
      <c r="AJ21" s="64"/>
      <c r="AK21" s="64"/>
      <c r="AL21" s="64"/>
      <c r="AM21" s="64"/>
      <c r="AN21" s="64"/>
      <c r="AY21" s="76" t="s">
        <v>133</v>
      </c>
      <c r="AZ21">
        <v>310</v>
      </c>
      <c r="BA21">
        <v>250</v>
      </c>
      <c r="BB21">
        <v>350000</v>
      </c>
      <c r="BC21">
        <v>3000</v>
      </c>
      <c r="BD21" s="76">
        <v>400</v>
      </c>
      <c r="BE21" s="76">
        <v>600</v>
      </c>
      <c r="CF21" s="160">
        <v>380</v>
      </c>
      <c r="CG21" s="24">
        <v>1</v>
      </c>
      <c r="CH21" s="24" t="s">
        <v>1458</v>
      </c>
      <c r="CI21" s="24" t="s">
        <v>1460</v>
      </c>
      <c r="CJ21" s="24" t="s">
        <v>1461</v>
      </c>
      <c r="CK21" s="24"/>
      <c r="CL21" s="160">
        <v>380</v>
      </c>
      <c r="CM21" s="24">
        <v>1</v>
      </c>
      <c r="CN21" s="24" t="s">
        <v>1458</v>
      </c>
      <c r="CO21" s="24" t="s">
        <v>1538</v>
      </c>
      <c r="CP21" s="24" t="s">
        <v>1461</v>
      </c>
      <c r="CR21" s="160" t="s">
        <v>1502</v>
      </c>
      <c r="CS21" s="24">
        <v>2</v>
      </c>
      <c r="CT21" s="24" t="s">
        <v>1450</v>
      </c>
      <c r="CU21" s="24" t="s">
        <v>1497</v>
      </c>
      <c r="CV21" s="24" t="s">
        <v>1461</v>
      </c>
      <c r="CX21" s="11" t="s">
        <v>1839</v>
      </c>
      <c r="CY21" s="524" t="s">
        <v>1839</v>
      </c>
      <c r="CZ21" s="524" t="s">
        <v>1839</v>
      </c>
      <c r="DA21" s="524" t="s">
        <v>1839</v>
      </c>
      <c r="DB21" t="s">
        <v>1810</v>
      </c>
      <c r="DD21">
        <v>5000</v>
      </c>
      <c r="DF21">
        <v>2500</v>
      </c>
      <c r="DG21" s="7">
        <v>100000</v>
      </c>
    </row>
    <row r="22" spans="1:111" ht="16" x14ac:dyDescent="0.45">
      <c r="A22" t="s">
        <v>27</v>
      </c>
      <c r="B22">
        <v>13800</v>
      </c>
      <c r="C22">
        <v>3</v>
      </c>
      <c r="D22">
        <v>3</v>
      </c>
      <c r="F22" t="s">
        <v>20</v>
      </c>
      <c r="H22">
        <v>175</v>
      </c>
      <c r="J22" s="11" t="s">
        <v>134</v>
      </c>
      <c r="K22" s="7">
        <v>400000</v>
      </c>
      <c r="L22">
        <v>280</v>
      </c>
      <c r="M22">
        <v>335</v>
      </c>
      <c r="N22">
        <v>380</v>
      </c>
      <c r="O22">
        <v>225</v>
      </c>
      <c r="P22">
        <v>270</v>
      </c>
      <c r="Q22">
        <v>305</v>
      </c>
      <c r="R22">
        <v>20566</v>
      </c>
      <c r="S22">
        <v>16671</v>
      </c>
      <c r="T22">
        <v>24297</v>
      </c>
      <c r="U22">
        <v>18506</v>
      </c>
      <c r="W22">
        <v>4000</v>
      </c>
      <c r="X22" s="11" t="s">
        <v>135</v>
      </c>
      <c r="Y22" s="11" t="s">
        <v>138</v>
      </c>
      <c r="AE22" s="64"/>
      <c r="AF22" s="64" t="s">
        <v>479</v>
      </c>
      <c r="AG22" s="64" t="s">
        <v>496</v>
      </c>
      <c r="AH22" s="64"/>
      <c r="AI22" s="64"/>
      <c r="AJ22" s="64"/>
      <c r="AK22" s="64"/>
      <c r="AL22" s="64"/>
      <c r="AM22" s="64"/>
      <c r="AN22" s="64"/>
      <c r="AY22" s="76" t="s">
        <v>134</v>
      </c>
      <c r="AZ22">
        <v>335</v>
      </c>
      <c r="BA22">
        <v>270</v>
      </c>
      <c r="BB22">
        <v>400000</v>
      </c>
      <c r="BC22">
        <v>4000</v>
      </c>
      <c r="BD22" s="76">
        <v>500</v>
      </c>
      <c r="BE22" s="76">
        <v>750</v>
      </c>
      <c r="CF22" s="160">
        <v>400</v>
      </c>
      <c r="CG22" s="24">
        <v>2</v>
      </c>
      <c r="CH22" s="24" t="s">
        <v>1450</v>
      </c>
      <c r="CI22" s="24" t="s">
        <v>1453</v>
      </c>
      <c r="CJ22" s="24" t="s">
        <v>1461</v>
      </c>
      <c r="CK22" s="24"/>
      <c r="CL22" s="160">
        <v>400</v>
      </c>
      <c r="CM22" s="24">
        <v>2</v>
      </c>
      <c r="CN22" s="24" t="s">
        <v>1450</v>
      </c>
      <c r="CO22" s="24" t="s">
        <v>1534</v>
      </c>
      <c r="CP22" s="24" t="s">
        <v>1461</v>
      </c>
      <c r="CR22" s="160">
        <v>400</v>
      </c>
      <c r="CS22" s="24">
        <v>2</v>
      </c>
      <c r="CT22" s="24" t="s">
        <v>1450</v>
      </c>
      <c r="CU22" s="24" t="s">
        <v>1457</v>
      </c>
      <c r="CV22" s="24" t="s">
        <v>1462</v>
      </c>
      <c r="CX22" s="11" t="s">
        <v>1840</v>
      </c>
      <c r="CY22" s="524" t="s">
        <v>1840</v>
      </c>
      <c r="CZ22" s="524" t="s">
        <v>1840</v>
      </c>
      <c r="DA22" s="524" t="s">
        <v>1840</v>
      </c>
      <c r="DB22" t="s">
        <v>1810</v>
      </c>
      <c r="DD22">
        <v>6000</v>
      </c>
      <c r="DF22">
        <v>3000</v>
      </c>
      <c r="DG22" s="7">
        <v>100000</v>
      </c>
    </row>
    <row r="23" spans="1:111" ht="16" x14ac:dyDescent="0.45">
      <c r="A23" t="s">
        <v>28</v>
      </c>
      <c r="B23">
        <v>24940</v>
      </c>
      <c r="C23">
        <v>3</v>
      </c>
      <c r="D23">
        <v>4</v>
      </c>
      <c r="E23">
        <v>14400</v>
      </c>
      <c r="F23" t="s">
        <v>20</v>
      </c>
      <c r="H23">
        <v>200</v>
      </c>
      <c r="J23" s="11" t="s">
        <v>135</v>
      </c>
      <c r="K23" s="7">
        <v>500000</v>
      </c>
      <c r="L23">
        <v>320</v>
      </c>
      <c r="M23">
        <v>380</v>
      </c>
      <c r="N23">
        <v>430</v>
      </c>
      <c r="O23">
        <v>260</v>
      </c>
      <c r="P23">
        <v>310</v>
      </c>
      <c r="Q23">
        <v>350</v>
      </c>
      <c r="R23">
        <v>22185</v>
      </c>
      <c r="S23">
        <v>18756</v>
      </c>
      <c r="T23">
        <v>26706</v>
      </c>
      <c r="U23">
        <v>21391</v>
      </c>
      <c r="W23">
        <v>5000</v>
      </c>
      <c r="X23" s="11" t="s">
        <v>137</v>
      </c>
      <c r="Y23" s="11" t="s">
        <v>141</v>
      </c>
      <c r="AE23" s="64"/>
      <c r="AF23" s="64" t="s">
        <v>480</v>
      </c>
      <c r="AG23" s="64" t="s">
        <v>497</v>
      </c>
      <c r="AH23" s="64"/>
      <c r="AI23" s="64"/>
      <c r="AJ23" s="64"/>
      <c r="AK23" s="64"/>
      <c r="AL23" s="64"/>
      <c r="AM23" s="64"/>
      <c r="AN23" s="64"/>
      <c r="AY23" s="76" t="s">
        <v>135</v>
      </c>
      <c r="AZ23">
        <v>380</v>
      </c>
      <c r="BA23">
        <v>310</v>
      </c>
      <c r="BB23">
        <v>500000</v>
      </c>
      <c r="CF23" s="160">
        <v>500</v>
      </c>
      <c r="CG23" s="24">
        <v>2</v>
      </c>
      <c r="CH23" s="24" t="s">
        <v>1456</v>
      </c>
      <c r="CI23" s="24" t="s">
        <v>1457</v>
      </c>
      <c r="CJ23" s="24" t="s">
        <v>1461</v>
      </c>
      <c r="CK23" s="24"/>
      <c r="CL23" s="160" t="s">
        <v>1473</v>
      </c>
      <c r="CM23" s="24">
        <v>1</v>
      </c>
      <c r="CN23" s="24" t="s">
        <v>1435</v>
      </c>
      <c r="CO23" s="24" t="s">
        <v>1436</v>
      </c>
      <c r="CP23" s="24" t="s">
        <v>1437</v>
      </c>
      <c r="CR23" s="160" t="s">
        <v>1506</v>
      </c>
      <c r="CS23" s="24">
        <v>2</v>
      </c>
      <c r="CT23" s="24" t="s">
        <v>1456</v>
      </c>
      <c r="CU23" s="24" t="s">
        <v>1499</v>
      </c>
      <c r="CV23" s="24" t="s">
        <v>1462</v>
      </c>
      <c r="CX23" s="11" t="s">
        <v>1841</v>
      </c>
      <c r="CY23" s="524" t="s">
        <v>1841</v>
      </c>
      <c r="CZ23" s="524" t="s">
        <v>1841</v>
      </c>
      <c r="DA23" s="524" t="s">
        <v>1841</v>
      </c>
      <c r="DB23" t="s">
        <v>1810</v>
      </c>
      <c r="DF23">
        <v>4000</v>
      </c>
      <c r="DG23" s="7">
        <v>100000</v>
      </c>
    </row>
    <row r="24" spans="1:111" ht="16" x14ac:dyDescent="0.45">
      <c r="A24" t="s">
        <v>29</v>
      </c>
      <c r="B24">
        <v>34500</v>
      </c>
      <c r="C24">
        <v>3</v>
      </c>
      <c r="D24">
        <v>3</v>
      </c>
      <c r="F24" t="s">
        <v>20</v>
      </c>
      <c r="H24">
        <v>225</v>
      </c>
      <c r="J24" s="11" t="s">
        <v>136</v>
      </c>
      <c r="K24" s="7">
        <v>600000</v>
      </c>
      <c r="L24">
        <v>350</v>
      </c>
      <c r="M24">
        <v>420</v>
      </c>
      <c r="N24">
        <v>475</v>
      </c>
      <c r="O24">
        <v>285</v>
      </c>
      <c r="P24">
        <v>340</v>
      </c>
      <c r="Q24">
        <v>385</v>
      </c>
      <c r="R24">
        <v>22965</v>
      </c>
      <c r="S24">
        <v>20093</v>
      </c>
      <c r="T24">
        <v>28033</v>
      </c>
      <c r="U24">
        <v>23451</v>
      </c>
      <c r="W24">
        <v>6000</v>
      </c>
      <c r="X24" s="11" t="s">
        <v>139</v>
      </c>
      <c r="Y24" s="11" t="s">
        <v>141</v>
      </c>
      <c r="AE24" s="64"/>
      <c r="AF24" s="64" t="s">
        <v>481</v>
      </c>
      <c r="AG24" s="64" t="s">
        <v>498</v>
      </c>
      <c r="AH24" s="64"/>
      <c r="AI24" s="64"/>
      <c r="AJ24" s="64"/>
      <c r="AK24" s="64"/>
      <c r="AL24" s="64"/>
      <c r="AM24" s="64"/>
      <c r="AN24" s="64"/>
      <c r="AY24" s="76" t="s">
        <v>136</v>
      </c>
      <c r="AZ24">
        <v>420</v>
      </c>
      <c r="BA24">
        <v>340</v>
      </c>
      <c r="BB24">
        <v>600000</v>
      </c>
      <c r="CF24" s="160">
        <v>600</v>
      </c>
      <c r="CG24" s="24">
        <v>2</v>
      </c>
      <c r="CH24" s="24" t="s">
        <v>1458</v>
      </c>
      <c r="CI24" s="24" t="s">
        <v>1459</v>
      </c>
      <c r="CJ24" s="24" t="s">
        <v>1462</v>
      </c>
      <c r="CK24" s="24"/>
      <c r="CL24" s="160" t="s">
        <v>1475</v>
      </c>
      <c r="CM24" s="24">
        <v>1</v>
      </c>
      <c r="CN24" s="24" t="s">
        <v>1435</v>
      </c>
      <c r="CO24" s="24" t="s">
        <v>1438</v>
      </c>
      <c r="CP24" s="24" t="s">
        <v>1439</v>
      </c>
      <c r="CR24" s="160">
        <v>500</v>
      </c>
      <c r="CS24" s="24">
        <v>2</v>
      </c>
      <c r="CT24" s="24" t="s">
        <v>1456</v>
      </c>
      <c r="CU24" s="24" t="s">
        <v>1459</v>
      </c>
      <c r="CV24" s="24" t="s">
        <v>1463</v>
      </c>
      <c r="CX24" s="11" t="s">
        <v>1842</v>
      </c>
      <c r="CY24" s="524" t="s">
        <v>1842</v>
      </c>
      <c r="CZ24" s="524" t="s">
        <v>1842</v>
      </c>
      <c r="DA24" s="524" t="s">
        <v>1842</v>
      </c>
      <c r="DB24" t="s">
        <v>1810</v>
      </c>
    </row>
    <row r="25" spans="1:111" ht="16" x14ac:dyDescent="0.45">
      <c r="H25">
        <v>250</v>
      </c>
      <c r="J25" s="11" t="s">
        <v>137</v>
      </c>
      <c r="K25" s="7">
        <v>700000</v>
      </c>
      <c r="L25">
        <v>385</v>
      </c>
      <c r="M25">
        <v>460</v>
      </c>
      <c r="N25">
        <v>520</v>
      </c>
      <c r="O25">
        <v>315</v>
      </c>
      <c r="P25">
        <v>375</v>
      </c>
      <c r="Q25">
        <v>425</v>
      </c>
      <c r="R25" s="7">
        <f>R24+(K25-K24)/(K26-K24)*(R26-R24)</f>
        <v>23746.333333333332</v>
      </c>
      <c r="S25" s="7">
        <f>S24+(K25-K24)/(K26-K24)*(S26-S24)</f>
        <v>21208.333333333332</v>
      </c>
      <c r="T25" s="7">
        <f>T24+(K25-K24)/(K26-K24)*(T26-T24)</f>
        <v>29167.666666666668</v>
      </c>
      <c r="U25" s="7">
        <f>U24+(K25-K24)/(K26-K24)*(U26-U24)</f>
        <v>25134.333333333332</v>
      </c>
      <c r="AE25" s="64"/>
      <c r="AF25" s="64" t="s">
        <v>482</v>
      </c>
      <c r="AG25" s="64"/>
      <c r="AH25" s="64"/>
      <c r="AI25" s="64"/>
      <c r="AJ25" s="64"/>
      <c r="AK25" s="64"/>
      <c r="AL25" s="64"/>
      <c r="AM25" s="64"/>
      <c r="AN25" s="64"/>
      <c r="AY25" s="76" t="s">
        <v>138</v>
      </c>
      <c r="AZ25">
        <v>475</v>
      </c>
      <c r="BA25">
        <v>385</v>
      </c>
      <c r="BB25">
        <v>750000</v>
      </c>
      <c r="CF25" s="160">
        <v>700</v>
      </c>
      <c r="CG25" s="24">
        <v>2</v>
      </c>
      <c r="CH25" s="24" t="s">
        <v>1458</v>
      </c>
      <c r="CI25" s="24" t="s">
        <v>1460</v>
      </c>
      <c r="CJ25" s="24" t="s">
        <v>1463</v>
      </c>
      <c r="CK25" s="24"/>
      <c r="CL25" s="160" t="s">
        <v>1477</v>
      </c>
      <c r="CM25" s="24">
        <v>1</v>
      </c>
      <c r="CN25" s="24" t="s">
        <v>1440</v>
      </c>
      <c r="CO25" s="24" t="s">
        <v>1441</v>
      </c>
      <c r="CP25" s="24" t="s">
        <v>1439</v>
      </c>
      <c r="CR25" s="160" t="s">
        <v>1507</v>
      </c>
      <c r="CS25" s="24">
        <v>2</v>
      </c>
      <c r="CT25" s="24" t="s">
        <v>1458</v>
      </c>
      <c r="CU25" s="24" t="s">
        <v>1501</v>
      </c>
      <c r="CV25" s="24" t="s">
        <v>1463</v>
      </c>
      <c r="CX25" s="11" t="s">
        <v>1843</v>
      </c>
      <c r="CY25" s="524" t="s">
        <v>1843</v>
      </c>
      <c r="CZ25" s="524" t="s">
        <v>1843</v>
      </c>
      <c r="DA25" s="524" t="s">
        <v>1843</v>
      </c>
      <c r="DB25" t="s">
        <v>1810</v>
      </c>
    </row>
    <row r="26" spans="1:111" ht="16" x14ac:dyDescent="0.45">
      <c r="H26">
        <v>300</v>
      </c>
      <c r="J26" s="11" t="s">
        <v>138</v>
      </c>
      <c r="K26" s="7">
        <v>750000</v>
      </c>
      <c r="L26">
        <v>400</v>
      </c>
      <c r="M26">
        <v>475</v>
      </c>
      <c r="N26">
        <v>535</v>
      </c>
      <c r="O26">
        <v>320</v>
      </c>
      <c r="P26">
        <v>385</v>
      </c>
      <c r="Q26">
        <v>435</v>
      </c>
      <c r="R26">
        <v>24137</v>
      </c>
      <c r="S26">
        <v>21766</v>
      </c>
      <c r="T26">
        <v>29735</v>
      </c>
      <c r="U26">
        <v>25976</v>
      </c>
      <c r="AE26" s="64"/>
      <c r="AF26" s="64" t="s">
        <v>483</v>
      </c>
      <c r="AG26" s="64"/>
      <c r="AH26" s="64"/>
      <c r="AI26" s="64"/>
      <c r="AJ26" s="64"/>
      <c r="AK26" s="64"/>
      <c r="AL26" s="64"/>
      <c r="AM26" s="64"/>
      <c r="AN26" s="64"/>
      <c r="CF26" s="160">
        <v>760</v>
      </c>
      <c r="CG26" s="24">
        <v>2</v>
      </c>
      <c r="CH26" s="24" t="s">
        <v>1458</v>
      </c>
      <c r="CI26" s="24" t="s">
        <v>1460</v>
      </c>
      <c r="CJ26" s="24" t="s">
        <v>1463</v>
      </c>
      <c r="CK26" s="24"/>
      <c r="CL26" s="160" t="s">
        <v>1479</v>
      </c>
      <c r="CM26" s="24">
        <v>1</v>
      </c>
      <c r="CN26" s="24" t="s">
        <v>1440</v>
      </c>
      <c r="CO26" s="24" t="s">
        <v>1442</v>
      </c>
      <c r="CP26" s="24" t="s">
        <v>1439</v>
      </c>
      <c r="CR26" s="160">
        <v>600</v>
      </c>
      <c r="CS26" s="24">
        <v>2</v>
      </c>
      <c r="CT26" s="24" t="s">
        <v>1458</v>
      </c>
      <c r="CU26" s="24" t="s">
        <v>1460</v>
      </c>
      <c r="CV26" s="24" t="s">
        <v>1466</v>
      </c>
      <c r="CX26" s="11" t="s">
        <v>1844</v>
      </c>
      <c r="CY26" s="524" t="s">
        <v>1844</v>
      </c>
      <c r="CZ26" s="524" t="s">
        <v>1844</v>
      </c>
      <c r="DA26" s="524" t="s">
        <v>1844</v>
      </c>
      <c r="DB26" t="s">
        <v>1810</v>
      </c>
    </row>
    <row r="27" spans="1:111" ht="16" x14ac:dyDescent="0.45">
      <c r="H27">
        <v>350</v>
      </c>
      <c r="J27" s="11" t="s">
        <v>139</v>
      </c>
      <c r="K27" s="7">
        <v>800000</v>
      </c>
      <c r="L27">
        <v>410</v>
      </c>
      <c r="M27">
        <v>490</v>
      </c>
      <c r="N27">
        <v>555</v>
      </c>
      <c r="O27">
        <v>330</v>
      </c>
      <c r="P27">
        <v>395</v>
      </c>
      <c r="Q27">
        <v>445</v>
      </c>
      <c r="R27" s="7">
        <f>R26+(K27-K26)/(K28-K26)*(R28-R26)</f>
        <v>24365.200000000001</v>
      </c>
      <c r="S27" s="7">
        <f>S26+(K27-K26)/(K28-K26)*(S28-S26)</f>
        <v>22108.400000000001</v>
      </c>
      <c r="T27" s="7">
        <f>T26+(K27-K26)/(K28-K26)*(T28-T26)</f>
        <v>30086.2</v>
      </c>
      <c r="U27" s="7">
        <f>U26+(K27-K26)/(K28-K26)*(U28-U26)</f>
        <v>26536.6</v>
      </c>
      <c r="AE27" s="64"/>
      <c r="AF27" s="64" t="s">
        <v>484</v>
      </c>
      <c r="AG27" s="64"/>
      <c r="AH27" s="64"/>
      <c r="AI27" s="64"/>
      <c r="AJ27" s="64"/>
      <c r="AK27" s="64"/>
      <c r="AL27" s="64"/>
      <c r="AM27" s="64"/>
      <c r="AN27" s="64"/>
      <c r="CF27" s="160">
        <v>800</v>
      </c>
      <c r="CG27" s="24">
        <v>3</v>
      </c>
      <c r="CH27" s="24" t="s">
        <v>1458</v>
      </c>
      <c r="CI27" s="24" t="s">
        <v>1464</v>
      </c>
      <c r="CJ27" s="24" t="s">
        <v>1463</v>
      </c>
      <c r="CK27" s="24"/>
      <c r="CL27" s="160" t="s">
        <v>1481</v>
      </c>
      <c r="CM27" s="24">
        <v>1</v>
      </c>
      <c r="CN27" s="24" t="s">
        <v>1443</v>
      </c>
      <c r="CO27" s="24" t="s">
        <v>1444</v>
      </c>
      <c r="CP27" s="24" t="s">
        <v>1439</v>
      </c>
      <c r="CR27" s="160" t="s">
        <v>1508</v>
      </c>
      <c r="CS27" s="24">
        <v>2</v>
      </c>
      <c r="CT27" s="24" t="s">
        <v>1458</v>
      </c>
      <c r="CU27" s="24" t="s">
        <v>1504</v>
      </c>
      <c r="CV27" s="24" t="s">
        <v>1466</v>
      </c>
      <c r="CX27" s="11" t="s">
        <v>1845</v>
      </c>
      <c r="CY27" s="524" t="s">
        <v>1845</v>
      </c>
      <c r="CZ27" s="524" t="s">
        <v>1845</v>
      </c>
      <c r="DA27" s="524" t="s">
        <v>1845</v>
      </c>
      <c r="DB27" t="s">
        <v>1810</v>
      </c>
    </row>
    <row r="28" spans="1:111" ht="16" x14ac:dyDescent="0.45">
      <c r="H28">
        <v>400</v>
      </c>
      <c r="J28" s="11" t="s">
        <v>140</v>
      </c>
      <c r="K28" s="7">
        <v>1000000</v>
      </c>
      <c r="L28">
        <v>455</v>
      </c>
      <c r="M28">
        <v>545</v>
      </c>
      <c r="N28">
        <v>615</v>
      </c>
      <c r="O28">
        <v>375</v>
      </c>
      <c r="P28">
        <v>445</v>
      </c>
      <c r="Q28">
        <v>500</v>
      </c>
      <c r="R28">
        <v>25278</v>
      </c>
      <c r="S28">
        <v>23478</v>
      </c>
      <c r="T28">
        <v>31491</v>
      </c>
      <c r="U28">
        <v>28779</v>
      </c>
      <c r="AE28" s="64"/>
      <c r="AF28" s="64" t="s">
        <v>485</v>
      </c>
      <c r="AG28" s="64"/>
      <c r="AH28" s="64"/>
      <c r="AI28" s="64"/>
      <c r="AJ28" s="64"/>
      <c r="AK28" s="64"/>
      <c r="AL28" s="64"/>
      <c r="AM28" s="64"/>
      <c r="AN28" s="64"/>
      <c r="CF28" s="160">
        <v>1000</v>
      </c>
      <c r="CG28" s="24">
        <v>3</v>
      </c>
      <c r="CH28" s="24" t="s">
        <v>1458</v>
      </c>
      <c r="CI28" s="24" t="s">
        <v>1465</v>
      </c>
      <c r="CJ28" s="24" t="s">
        <v>1466</v>
      </c>
      <c r="CK28" s="24"/>
      <c r="CL28" s="160" t="s">
        <v>1483</v>
      </c>
      <c r="CM28" s="24">
        <v>1</v>
      </c>
      <c r="CN28" s="24" t="s">
        <v>1443</v>
      </c>
      <c r="CO28" s="24" t="s">
        <v>1444</v>
      </c>
      <c r="CP28" s="24" t="s">
        <v>1445</v>
      </c>
      <c r="CR28" s="160">
        <v>700</v>
      </c>
      <c r="CS28" s="24">
        <v>3</v>
      </c>
      <c r="CT28" s="24" t="s">
        <v>1458</v>
      </c>
      <c r="CU28" s="24" t="s">
        <v>1459</v>
      </c>
      <c r="CV28" s="24" t="s">
        <v>1467</v>
      </c>
      <c r="CX28" s="11" t="s">
        <v>1846</v>
      </c>
      <c r="CY28" s="524" t="s">
        <v>1846</v>
      </c>
      <c r="CZ28" s="524" t="s">
        <v>1846</v>
      </c>
      <c r="DA28" s="524" t="s">
        <v>1846</v>
      </c>
      <c r="DB28" t="s">
        <v>1810</v>
      </c>
    </row>
    <row r="29" spans="1:111" ht="16" x14ac:dyDescent="0.45">
      <c r="H29">
        <v>450</v>
      </c>
      <c r="AE29" s="64"/>
      <c r="AF29" s="64"/>
      <c r="AG29" s="64"/>
      <c r="AH29" s="64"/>
      <c r="AI29" s="64"/>
      <c r="AJ29" s="64"/>
      <c r="AK29" s="64"/>
      <c r="AL29" s="64"/>
      <c r="AM29" s="64"/>
      <c r="AN29" s="64"/>
      <c r="CF29" s="160">
        <v>1200</v>
      </c>
      <c r="CG29" s="24">
        <v>4</v>
      </c>
      <c r="CH29" s="24" t="s">
        <v>1458</v>
      </c>
      <c r="CI29" s="24" t="s">
        <v>1459</v>
      </c>
      <c r="CJ29" s="24" t="s">
        <v>1467</v>
      </c>
      <c r="CK29" s="24"/>
      <c r="CL29" s="160" t="s">
        <v>1484</v>
      </c>
      <c r="CM29" s="24">
        <v>1</v>
      </c>
      <c r="CN29" s="24" t="s">
        <v>1443</v>
      </c>
      <c r="CO29" s="24" t="s">
        <v>1446</v>
      </c>
      <c r="CP29" s="24" t="s">
        <v>1445</v>
      </c>
      <c r="CR29" s="160" t="s">
        <v>1509</v>
      </c>
      <c r="CS29" s="24">
        <v>3</v>
      </c>
      <c r="CT29" s="24" t="s">
        <v>1458</v>
      </c>
      <c r="CU29" s="24" t="s">
        <v>1501</v>
      </c>
      <c r="CV29" s="24" t="s">
        <v>1467</v>
      </c>
      <c r="CX29" s="11" t="s">
        <v>1847</v>
      </c>
      <c r="CY29" s="524" t="s">
        <v>1847</v>
      </c>
      <c r="CZ29" s="524" t="s">
        <v>1847</v>
      </c>
      <c r="DA29" s="524" t="s">
        <v>1847</v>
      </c>
      <c r="DB29" t="s">
        <v>1810</v>
      </c>
    </row>
    <row r="30" spans="1:111" ht="16" x14ac:dyDescent="0.45">
      <c r="H30">
        <v>500</v>
      </c>
      <c r="J30" s="166" t="s">
        <v>1598</v>
      </c>
      <c r="K30" s="9"/>
      <c r="AE30" s="64"/>
      <c r="AF30" s="64"/>
      <c r="AG30" s="64"/>
      <c r="AH30" s="64"/>
      <c r="AI30" s="64"/>
      <c r="AJ30" s="64"/>
      <c r="AK30" s="64"/>
      <c r="AL30" s="64"/>
      <c r="AM30" s="64"/>
      <c r="AN30" s="64"/>
      <c r="CF30" s="160">
        <v>1600</v>
      </c>
      <c r="CG30" s="24">
        <v>5</v>
      </c>
      <c r="CH30" s="24" t="s">
        <v>1458</v>
      </c>
      <c r="CI30" s="24" t="s">
        <v>1465</v>
      </c>
      <c r="CJ30" s="24" t="s">
        <v>1468</v>
      </c>
      <c r="CK30" s="24"/>
      <c r="CL30" s="160" t="s">
        <v>1486</v>
      </c>
      <c r="CM30" s="24">
        <v>1</v>
      </c>
      <c r="CN30" s="24" t="s">
        <v>1443</v>
      </c>
      <c r="CO30" s="24" t="s">
        <v>1446</v>
      </c>
      <c r="CP30" s="24" t="s">
        <v>1445</v>
      </c>
      <c r="CR30" s="160">
        <v>800</v>
      </c>
      <c r="CS30" s="24">
        <v>3</v>
      </c>
      <c r="CT30" s="24" t="s">
        <v>1458</v>
      </c>
      <c r="CU30" s="24" t="s">
        <v>1465</v>
      </c>
      <c r="CV30" s="24" t="s">
        <v>1467</v>
      </c>
      <c r="CX30" s="11" t="s">
        <v>1848</v>
      </c>
      <c r="CY30" s="524" t="s">
        <v>1848</v>
      </c>
      <c r="CZ30" s="524" t="s">
        <v>1848</v>
      </c>
      <c r="DA30" s="524" t="s">
        <v>1848</v>
      </c>
      <c r="DB30" t="s">
        <v>1810</v>
      </c>
    </row>
    <row r="31" spans="1:111" ht="16" x14ac:dyDescent="0.45">
      <c r="H31">
        <v>600</v>
      </c>
      <c r="J31" s="9" t="s">
        <v>1599</v>
      </c>
      <c r="K31" s="9" t="s">
        <v>1600</v>
      </c>
      <c r="CF31" s="160">
        <v>2000</v>
      </c>
      <c r="CG31" s="24">
        <v>6</v>
      </c>
      <c r="CH31" s="24" t="s">
        <v>1458</v>
      </c>
      <c r="CI31" s="24" t="s">
        <v>1465</v>
      </c>
      <c r="CJ31" s="24" t="s">
        <v>1469</v>
      </c>
      <c r="CK31" s="24"/>
      <c r="CL31" s="160" t="s">
        <v>1487</v>
      </c>
      <c r="CM31" s="24">
        <v>1</v>
      </c>
      <c r="CN31" s="24" t="s">
        <v>1447</v>
      </c>
      <c r="CO31" s="24" t="s">
        <v>1448</v>
      </c>
      <c r="CP31" s="24" t="s">
        <v>1445</v>
      </c>
      <c r="CR31" s="160" t="s">
        <v>1511</v>
      </c>
      <c r="CS31" s="24">
        <v>3</v>
      </c>
      <c r="CT31" s="24" t="s">
        <v>1458</v>
      </c>
      <c r="CU31" s="24" t="s">
        <v>1514</v>
      </c>
      <c r="CV31" s="24" t="s">
        <v>1467</v>
      </c>
      <c r="CX31" s="11" t="s">
        <v>1849</v>
      </c>
      <c r="CY31" s="524" t="s">
        <v>1849</v>
      </c>
      <c r="CZ31" s="524" t="s">
        <v>1849</v>
      </c>
      <c r="DA31" s="524" t="s">
        <v>1849</v>
      </c>
      <c r="DB31" t="s">
        <v>1810</v>
      </c>
    </row>
    <row r="32" spans="1:111" ht="16" x14ac:dyDescent="0.45">
      <c r="H32">
        <v>700</v>
      </c>
      <c r="J32" s="9" t="s">
        <v>1601</v>
      </c>
      <c r="K32" s="9" t="s">
        <v>308</v>
      </c>
      <c r="CF32" s="160">
        <v>2500</v>
      </c>
      <c r="CG32" s="24">
        <v>7</v>
      </c>
      <c r="CH32" s="24" t="s">
        <v>1458</v>
      </c>
      <c r="CI32" s="24" t="s">
        <v>1460</v>
      </c>
      <c r="CJ32" s="24" t="s">
        <v>1470</v>
      </c>
      <c r="CK32" s="24"/>
      <c r="CL32" s="160" t="s">
        <v>1489</v>
      </c>
      <c r="CM32" s="24">
        <v>1</v>
      </c>
      <c r="CN32" s="24" t="s">
        <v>1447</v>
      </c>
      <c r="CO32" s="24" t="s">
        <v>1448</v>
      </c>
      <c r="CP32" s="24" t="s">
        <v>1449</v>
      </c>
      <c r="CR32" s="160">
        <v>1000</v>
      </c>
      <c r="CS32" s="24">
        <v>4</v>
      </c>
      <c r="CT32" s="24" t="s">
        <v>1458</v>
      </c>
      <c r="CU32" s="24" t="s">
        <v>1459</v>
      </c>
      <c r="CV32" s="24" t="s">
        <v>1468</v>
      </c>
      <c r="CX32" s="11" t="s">
        <v>1850</v>
      </c>
      <c r="CY32" s="524" t="s">
        <v>1850</v>
      </c>
      <c r="CZ32" s="524" t="s">
        <v>1850</v>
      </c>
      <c r="DA32" s="524" t="s">
        <v>1850</v>
      </c>
      <c r="DB32" t="s">
        <v>1810</v>
      </c>
    </row>
    <row r="33" spans="1:106" ht="16" x14ac:dyDescent="0.45">
      <c r="H33">
        <v>800</v>
      </c>
      <c r="J33" s="9" t="s">
        <v>1257</v>
      </c>
      <c r="K33" s="9" t="s">
        <v>347</v>
      </c>
      <c r="CF33" s="160">
        <v>3000</v>
      </c>
      <c r="CG33" s="24">
        <v>8</v>
      </c>
      <c r="CH33" s="24" t="s">
        <v>1458</v>
      </c>
      <c r="CI33" s="24" t="s">
        <v>1460</v>
      </c>
      <c r="CJ33" s="24" t="s">
        <v>1471</v>
      </c>
      <c r="CK33" s="24"/>
      <c r="CL33" s="160" t="s">
        <v>1490</v>
      </c>
      <c r="CM33" s="24">
        <v>1</v>
      </c>
      <c r="CN33" s="24" t="s">
        <v>1450</v>
      </c>
      <c r="CO33" s="24" t="s">
        <v>1451</v>
      </c>
      <c r="CP33" s="24" t="s">
        <v>1449</v>
      </c>
      <c r="CR33" s="160" t="s">
        <v>1513</v>
      </c>
      <c r="CS33" s="24">
        <v>4</v>
      </c>
      <c r="CT33" s="24" t="s">
        <v>1458</v>
      </c>
      <c r="CU33" s="24" t="s">
        <v>1501</v>
      </c>
      <c r="CV33" s="24" t="s">
        <v>1468</v>
      </c>
      <c r="CX33" s="11" t="s">
        <v>1851</v>
      </c>
      <c r="CY33" s="524" t="s">
        <v>1851</v>
      </c>
      <c r="CZ33" s="524" t="s">
        <v>1851</v>
      </c>
      <c r="DA33" s="524" t="s">
        <v>1851</v>
      </c>
      <c r="DB33" t="s">
        <v>1810</v>
      </c>
    </row>
    <row r="34" spans="1:106" ht="16" x14ac:dyDescent="0.45">
      <c r="H34">
        <v>1000</v>
      </c>
      <c r="J34" s="9" t="s">
        <v>1602</v>
      </c>
      <c r="K34" s="9" t="s">
        <v>347</v>
      </c>
      <c r="CF34" s="160">
        <v>3500</v>
      </c>
      <c r="CG34" s="24">
        <v>10</v>
      </c>
      <c r="CH34" s="24" t="s">
        <v>1458</v>
      </c>
      <c r="CI34" s="24" t="s">
        <v>1460</v>
      </c>
      <c r="CJ34" s="24" t="s">
        <v>1471</v>
      </c>
      <c r="CK34" s="24"/>
      <c r="CL34" s="160" t="s">
        <v>1492</v>
      </c>
      <c r="CM34" s="24">
        <v>1</v>
      </c>
      <c r="CN34" s="24" t="s">
        <v>1450</v>
      </c>
      <c r="CO34" s="24" t="s">
        <v>1452</v>
      </c>
      <c r="CP34" s="24" t="s">
        <v>1449</v>
      </c>
      <c r="CR34" s="160">
        <v>1200</v>
      </c>
      <c r="CS34" s="24">
        <v>4</v>
      </c>
      <c r="CT34" s="24" t="s">
        <v>1458</v>
      </c>
      <c r="CU34" s="24" t="s">
        <v>1460</v>
      </c>
      <c r="CV34" s="24" t="s">
        <v>1469</v>
      </c>
      <c r="CX34" s="11" t="s">
        <v>137</v>
      </c>
      <c r="CY34" s="524" t="s">
        <v>137</v>
      </c>
      <c r="CZ34" s="524" t="s">
        <v>137</v>
      </c>
      <c r="DA34" s="524" t="s">
        <v>137</v>
      </c>
      <c r="DB34" t="s">
        <v>1810</v>
      </c>
    </row>
    <row r="35" spans="1:106" ht="16" x14ac:dyDescent="0.45">
      <c r="H35">
        <v>1200</v>
      </c>
      <c r="CF35" s="160">
        <v>4000</v>
      </c>
      <c r="CG35" s="24">
        <v>11</v>
      </c>
      <c r="CH35" s="24" t="s">
        <v>1458</v>
      </c>
      <c r="CI35" s="24" t="s">
        <v>1460</v>
      </c>
      <c r="CJ35" s="24" t="s">
        <v>1472</v>
      </c>
      <c r="CK35" s="24"/>
      <c r="CL35" s="160" t="s">
        <v>1494</v>
      </c>
      <c r="CM35" s="24">
        <v>1</v>
      </c>
      <c r="CN35" s="24" t="s">
        <v>1450</v>
      </c>
      <c r="CO35" s="24" t="s">
        <v>1453</v>
      </c>
      <c r="CP35" s="24" t="s">
        <v>1449</v>
      </c>
      <c r="CR35" s="160" t="s">
        <v>1515</v>
      </c>
      <c r="CS35" s="24">
        <v>4</v>
      </c>
      <c r="CT35" s="24" t="s">
        <v>1503</v>
      </c>
      <c r="CU35" s="24" t="s">
        <v>1504</v>
      </c>
      <c r="CV35" s="24" t="s">
        <v>1469</v>
      </c>
      <c r="CX35" s="11" t="s">
        <v>1853</v>
      </c>
      <c r="CY35" s="524" t="s">
        <v>1853</v>
      </c>
      <c r="CZ35" s="524" t="s">
        <v>1853</v>
      </c>
      <c r="DA35" s="524" t="s">
        <v>1853</v>
      </c>
      <c r="DB35" t="s">
        <v>1810</v>
      </c>
    </row>
    <row r="36" spans="1:106" ht="16" x14ac:dyDescent="0.45">
      <c r="H36">
        <v>1600</v>
      </c>
      <c r="CF36" s="160" t="s">
        <v>1473</v>
      </c>
      <c r="CG36" s="24">
        <v>1</v>
      </c>
      <c r="CH36" s="24" t="s">
        <v>1435</v>
      </c>
      <c r="CI36" s="24" t="s">
        <v>1474</v>
      </c>
      <c r="CJ36" s="24" t="s">
        <v>1437</v>
      </c>
      <c r="CK36" s="24"/>
      <c r="CL36" s="160" t="s">
        <v>1496</v>
      </c>
      <c r="CM36" s="24">
        <v>1</v>
      </c>
      <c r="CN36" s="24" t="s">
        <v>1450</v>
      </c>
      <c r="CO36" s="24" t="s">
        <v>1454</v>
      </c>
      <c r="CP36" s="24" t="s">
        <v>1455</v>
      </c>
      <c r="CR36" s="160">
        <v>1600</v>
      </c>
      <c r="CS36" s="24">
        <v>6</v>
      </c>
      <c r="CT36" s="24" t="s">
        <v>1458</v>
      </c>
      <c r="CU36" s="24" t="s">
        <v>1465</v>
      </c>
      <c r="CV36" s="24" t="s">
        <v>1470</v>
      </c>
      <c r="CX36" s="11"/>
      <c r="CY36" s="524"/>
      <c r="CZ36" s="524"/>
      <c r="DA36" s="524"/>
    </row>
    <row r="37" spans="1:106" ht="16" x14ac:dyDescent="0.45">
      <c r="H37">
        <v>2000</v>
      </c>
      <c r="CF37" s="160" t="s">
        <v>1475</v>
      </c>
      <c r="CG37" s="24">
        <v>1</v>
      </c>
      <c r="CH37" s="24" t="s">
        <v>1435</v>
      </c>
      <c r="CI37" s="24" t="s">
        <v>1476</v>
      </c>
      <c r="CJ37" s="24" t="s">
        <v>1439</v>
      </c>
      <c r="CK37" s="24"/>
      <c r="CL37" s="160" t="s">
        <v>1498</v>
      </c>
      <c r="CM37" s="24">
        <v>1</v>
      </c>
      <c r="CN37" s="24" t="s">
        <v>1456</v>
      </c>
      <c r="CO37" s="24" t="s">
        <v>1457</v>
      </c>
      <c r="CP37" s="24" t="s">
        <v>1455</v>
      </c>
      <c r="CR37" s="160" t="s">
        <v>1516</v>
      </c>
      <c r="CS37" s="24">
        <v>6</v>
      </c>
      <c r="CT37" s="24" t="s">
        <v>1458</v>
      </c>
      <c r="CU37" s="24" t="s">
        <v>1514</v>
      </c>
      <c r="CV37" s="24" t="s">
        <v>1470</v>
      </c>
      <c r="CX37" s="11"/>
      <c r="CY37" s="524"/>
      <c r="CZ37" s="524"/>
      <c r="DA37" s="524"/>
    </row>
    <row r="38" spans="1:106" ht="16" x14ac:dyDescent="0.45">
      <c r="H38">
        <v>2500</v>
      </c>
      <c r="CF38" s="160" t="s">
        <v>1477</v>
      </c>
      <c r="CG38" s="24">
        <v>1</v>
      </c>
      <c r="CH38" s="24" t="s">
        <v>1440</v>
      </c>
      <c r="CI38" s="24" t="s">
        <v>1478</v>
      </c>
      <c r="CJ38" s="24" t="s">
        <v>1439</v>
      </c>
      <c r="CK38" s="24"/>
      <c r="CL38" s="160" t="s">
        <v>1500</v>
      </c>
      <c r="CM38" s="24">
        <v>1</v>
      </c>
      <c r="CN38" s="24" t="s">
        <v>1458</v>
      </c>
      <c r="CO38" s="24" t="s">
        <v>1459</v>
      </c>
      <c r="CP38" s="24" t="s">
        <v>1455</v>
      </c>
      <c r="CR38" s="160">
        <v>2000</v>
      </c>
      <c r="CS38" s="24">
        <v>7</v>
      </c>
      <c r="CT38" s="24" t="s">
        <v>1458</v>
      </c>
      <c r="CU38" s="24" t="s">
        <v>1460</v>
      </c>
      <c r="CV38" s="24" t="s">
        <v>1471</v>
      </c>
      <c r="CX38" s="11"/>
      <c r="CY38" s="524"/>
      <c r="CZ38" s="524"/>
      <c r="DA38" s="524"/>
    </row>
    <row r="39" spans="1:106" ht="16" x14ac:dyDescent="0.45">
      <c r="H39">
        <v>3000</v>
      </c>
      <c r="CF39" s="160" t="s">
        <v>1479</v>
      </c>
      <c r="CG39" s="24">
        <v>1</v>
      </c>
      <c r="CH39" s="24" t="s">
        <v>1440</v>
      </c>
      <c r="CI39" s="24" t="s">
        <v>1480</v>
      </c>
      <c r="CJ39" s="24" t="s">
        <v>1439</v>
      </c>
      <c r="CK39" s="24"/>
      <c r="CL39" s="160" t="s">
        <v>1502</v>
      </c>
      <c r="CM39" s="24">
        <v>1</v>
      </c>
      <c r="CN39" s="24" t="s">
        <v>1458</v>
      </c>
      <c r="CO39" s="24" t="s">
        <v>1460</v>
      </c>
      <c r="CP39" s="24" t="s">
        <v>1461</v>
      </c>
      <c r="CR39" s="160" t="s">
        <v>1517</v>
      </c>
      <c r="CS39" s="24">
        <v>7</v>
      </c>
      <c r="CT39" s="24" t="s">
        <v>1503</v>
      </c>
      <c r="CU39" s="24" t="s">
        <v>1504</v>
      </c>
      <c r="CV39" s="24" t="s">
        <v>1471</v>
      </c>
      <c r="CX39" s="11"/>
      <c r="CY39" s="524"/>
      <c r="CZ39" s="524"/>
      <c r="DA39" s="524"/>
    </row>
    <row r="40" spans="1:106" ht="16" x14ac:dyDescent="0.45">
      <c r="H40">
        <v>4000</v>
      </c>
      <c r="CF40" s="160" t="s">
        <v>1481</v>
      </c>
      <c r="CG40" s="24">
        <v>1</v>
      </c>
      <c r="CH40" s="24" t="s">
        <v>1443</v>
      </c>
      <c r="CI40" s="24" t="s">
        <v>1482</v>
      </c>
      <c r="CJ40" s="24" t="s">
        <v>1439</v>
      </c>
      <c r="CK40" s="24"/>
      <c r="CL40" s="160" t="s">
        <v>1505</v>
      </c>
      <c r="CM40" s="24">
        <v>1</v>
      </c>
      <c r="CN40" s="24" t="s">
        <v>1458</v>
      </c>
      <c r="CO40" s="24" t="s">
        <v>1460</v>
      </c>
      <c r="CP40" s="24" t="s">
        <v>1461</v>
      </c>
      <c r="CR40" s="160">
        <v>2500</v>
      </c>
      <c r="CS40" s="24">
        <v>9</v>
      </c>
      <c r="CT40" s="24" t="s">
        <v>1458</v>
      </c>
      <c r="CU40" s="24" t="s">
        <v>1460</v>
      </c>
      <c r="CV40" s="24" t="s">
        <v>1540</v>
      </c>
      <c r="CX40" s="11"/>
      <c r="CY40" s="524"/>
      <c r="CZ40" s="524"/>
      <c r="DA40" s="524"/>
    </row>
    <row r="41" spans="1:106" ht="16" x14ac:dyDescent="0.45">
      <c r="H41">
        <v>5000</v>
      </c>
      <c r="CF41" s="160" t="s">
        <v>1483</v>
      </c>
      <c r="CG41" s="24">
        <v>1</v>
      </c>
      <c r="CH41" s="24" t="s">
        <v>1443</v>
      </c>
      <c r="CI41" s="24" t="s">
        <v>1482</v>
      </c>
      <c r="CJ41" s="24" t="s">
        <v>1445</v>
      </c>
      <c r="CK41" s="24"/>
      <c r="CL41" s="160" t="s">
        <v>1506</v>
      </c>
      <c r="CM41" s="24">
        <v>2</v>
      </c>
      <c r="CN41" s="24" t="s">
        <v>1450</v>
      </c>
      <c r="CO41" s="24" t="s">
        <v>1453</v>
      </c>
      <c r="CP41" s="24" t="s">
        <v>1461</v>
      </c>
      <c r="CR41" s="160" t="s">
        <v>1518</v>
      </c>
      <c r="CS41" s="24">
        <v>9</v>
      </c>
      <c r="CT41" s="24" t="s">
        <v>1503</v>
      </c>
      <c r="CU41" s="24" t="s">
        <v>1504</v>
      </c>
      <c r="CV41" s="24" t="s">
        <v>1540</v>
      </c>
      <c r="CX41" s="11"/>
      <c r="CY41" s="524"/>
      <c r="CZ41" s="524"/>
      <c r="DA41" s="524"/>
    </row>
    <row r="42" spans="1:106" ht="16" x14ac:dyDescent="0.45">
      <c r="H42">
        <v>6000</v>
      </c>
      <c r="CF42" s="160" t="s">
        <v>1484</v>
      </c>
      <c r="CG42" s="24">
        <v>1</v>
      </c>
      <c r="CH42" s="24" t="s">
        <v>1447</v>
      </c>
      <c r="CI42" s="24" t="s">
        <v>1485</v>
      </c>
      <c r="CJ42" s="24" t="s">
        <v>1445</v>
      </c>
      <c r="CK42" s="24"/>
      <c r="CL42" s="160" t="s">
        <v>1522</v>
      </c>
      <c r="CM42" s="24" t="s">
        <v>1523</v>
      </c>
      <c r="CN42" s="24"/>
      <c r="CO42" s="24"/>
      <c r="CP42" s="24"/>
      <c r="CR42" s="160">
        <v>3000</v>
      </c>
      <c r="CS42" s="24">
        <v>10</v>
      </c>
      <c r="CT42" s="24" t="s">
        <v>1458</v>
      </c>
      <c r="CU42" s="24" t="s">
        <v>1460</v>
      </c>
      <c r="CV42" s="24" t="s">
        <v>1540</v>
      </c>
      <c r="CX42" s="11"/>
      <c r="CY42" s="524"/>
      <c r="CZ42" s="524"/>
      <c r="DA42" s="524"/>
    </row>
    <row r="43" spans="1:106" ht="16" x14ac:dyDescent="0.45">
      <c r="CF43" s="160" t="s">
        <v>1486</v>
      </c>
      <c r="CG43" s="24">
        <v>1</v>
      </c>
      <c r="CH43" s="24" t="s">
        <v>1447</v>
      </c>
      <c r="CI43" s="24" t="s">
        <v>1485</v>
      </c>
      <c r="CJ43" s="24" t="s">
        <v>1445</v>
      </c>
      <c r="CK43" s="24"/>
      <c r="CL43" s="24"/>
      <c r="CM43" s="24"/>
      <c r="CN43" s="24"/>
      <c r="CO43" s="24"/>
      <c r="CP43" s="24"/>
      <c r="CR43" s="160" t="s">
        <v>1519</v>
      </c>
      <c r="CS43" s="24">
        <v>10</v>
      </c>
      <c r="CT43" s="24" t="s">
        <v>1503</v>
      </c>
      <c r="CU43" s="24" t="s">
        <v>1504</v>
      </c>
      <c r="CV43" s="24" t="s">
        <v>1540</v>
      </c>
      <c r="CX43" s="11"/>
      <c r="CY43" s="524"/>
      <c r="CZ43" s="524"/>
      <c r="DA43" s="524"/>
    </row>
    <row r="44" spans="1:106" ht="16" x14ac:dyDescent="0.45">
      <c r="A44" s="2" t="str" cm="1">
        <f t="array" ref="A44">"F. MOTOR FLC — THREE-PHASE (NEC "&amp;NECREF("430.250")&amp;")  [amps]"</f>
        <v>F. MOTOR FLC — THREE-PHASE (NEC 430.250)  [amps]</v>
      </c>
      <c r="G44" s="2" t="str" cm="1">
        <f t="array" ref="G44">"G. MOTOR FLC — 1Ø ("&amp;NECREF("430.248")&amp;")"</f>
        <v>G. MOTOR FLC — 1Ø (430.248)</v>
      </c>
      <c r="K44" s="2" t="s">
        <v>82</v>
      </c>
      <c r="AA44" s="27" t="s">
        <v>323</v>
      </c>
      <c r="AB44" s="9"/>
      <c r="AC44" s="27" t="s">
        <v>324</v>
      </c>
      <c r="AD44" s="9"/>
      <c r="CF44" s="160" t="s">
        <v>1487</v>
      </c>
      <c r="CG44" s="24">
        <v>1</v>
      </c>
      <c r="CH44" s="24" t="s">
        <v>1447</v>
      </c>
      <c r="CI44" s="24" t="s">
        <v>1488</v>
      </c>
      <c r="CJ44" s="24" t="s">
        <v>1445</v>
      </c>
      <c r="CK44" s="24"/>
      <c r="CL44" s="24"/>
      <c r="CM44" s="24"/>
      <c r="CN44" s="24"/>
      <c r="CO44" s="24"/>
      <c r="CP44" s="24"/>
      <c r="CR44" s="160">
        <v>3500</v>
      </c>
      <c r="CS44" s="24">
        <v>10</v>
      </c>
      <c r="CT44" s="24" t="s">
        <v>1458</v>
      </c>
      <c r="CU44" s="24" t="s">
        <v>1460</v>
      </c>
      <c r="CV44" s="24" t="s">
        <v>1540</v>
      </c>
      <c r="CX44" s="11"/>
      <c r="CY44" s="524"/>
      <c r="CZ44" s="524"/>
      <c r="DA44" s="524"/>
    </row>
    <row r="45" spans="1:106" ht="16" x14ac:dyDescent="0.45">
      <c r="A45" s="4" t="s">
        <v>76</v>
      </c>
      <c r="B45" s="4" t="s">
        <v>77</v>
      </c>
      <c r="C45" s="4" t="s">
        <v>78</v>
      </c>
      <c r="D45" s="4" t="s">
        <v>79</v>
      </c>
      <c r="E45" s="4" t="s">
        <v>80</v>
      </c>
      <c r="G45" s="4" t="s">
        <v>76</v>
      </c>
      <c r="H45" s="4" t="s">
        <v>81</v>
      </c>
      <c r="I45" s="4" t="s">
        <v>78</v>
      </c>
      <c r="K45" s="4" t="s">
        <v>83</v>
      </c>
      <c r="L45" s="4" t="s">
        <v>84</v>
      </c>
      <c r="M45" s="4" t="s">
        <v>85</v>
      </c>
      <c r="N45" s="4" t="s">
        <v>142</v>
      </c>
      <c r="P45" s="12" t="str" cm="1">
        <f t="array" ref="P45">"I. KITCHEN "&amp;NECREF("220.56")</f>
        <v>I. KITCHEN 220.56</v>
      </c>
      <c r="S45" s="2" t="s">
        <v>156</v>
      </c>
      <c r="T45" s="2"/>
      <c r="U45" s="2"/>
      <c r="W45" s="2" t="s">
        <v>157</v>
      </c>
      <c r="Y45" s="2" t="s">
        <v>158</v>
      </c>
      <c r="Z45" s="13" t="s">
        <v>159</v>
      </c>
      <c r="AA45" s="9">
        <v>30</v>
      </c>
      <c r="AB45" s="9"/>
      <c r="AC45" s="9">
        <v>10</v>
      </c>
      <c r="AD45" s="9"/>
      <c r="CF45" s="160" t="s">
        <v>1489</v>
      </c>
      <c r="CG45" s="24">
        <v>1</v>
      </c>
      <c r="CH45" s="24" t="s">
        <v>1447</v>
      </c>
      <c r="CI45" s="24" t="s">
        <v>1488</v>
      </c>
      <c r="CJ45" s="24" t="s">
        <v>1449</v>
      </c>
      <c r="CK45" s="24"/>
      <c r="CL45" s="24"/>
      <c r="CM45" s="24"/>
      <c r="CN45" s="24"/>
      <c r="CO45" s="24"/>
      <c r="CP45" s="24"/>
      <c r="CR45" s="160" t="s">
        <v>1520</v>
      </c>
      <c r="CS45" s="24">
        <v>10</v>
      </c>
      <c r="CT45" s="24" t="s">
        <v>1503</v>
      </c>
      <c r="CU45" s="24" t="s">
        <v>1504</v>
      </c>
      <c r="CV45" s="24" t="s">
        <v>1540</v>
      </c>
      <c r="CX45" s="11"/>
      <c r="CY45" s="524"/>
      <c r="CZ45" s="524"/>
      <c r="DA45" s="524"/>
    </row>
    <row r="46" spans="1:106" ht="16" x14ac:dyDescent="0.45">
      <c r="A46">
        <v>0.5</v>
      </c>
      <c r="B46">
        <v>2.4</v>
      </c>
      <c r="C46">
        <v>2.2000000000000002</v>
      </c>
      <c r="D46">
        <v>1.1000000000000001</v>
      </c>
      <c r="E46">
        <v>0.9</v>
      </c>
      <c r="G46">
        <v>0.5</v>
      </c>
      <c r="H46">
        <v>9.8000000000000007</v>
      </c>
      <c r="I46">
        <v>4.9000000000000004</v>
      </c>
      <c r="K46" t="s">
        <v>86</v>
      </c>
      <c r="L46">
        <v>1</v>
      </c>
      <c r="M46">
        <v>0</v>
      </c>
      <c r="N46" t="s">
        <v>143</v>
      </c>
      <c r="P46" s="3" t="s">
        <v>154</v>
      </c>
      <c r="Q46" s="3" t="s">
        <v>155</v>
      </c>
      <c r="S46">
        <v>15</v>
      </c>
      <c r="W46">
        <v>15</v>
      </c>
      <c r="Y46">
        <v>10000</v>
      </c>
      <c r="AA46" s="9">
        <v>40</v>
      </c>
      <c r="AB46" s="9"/>
      <c r="AC46" s="9">
        <v>15</v>
      </c>
      <c r="AD46" s="9"/>
      <c r="CF46" s="160" t="s">
        <v>1490</v>
      </c>
      <c r="CG46" s="24">
        <v>1</v>
      </c>
      <c r="CH46" s="24" t="s">
        <v>1450</v>
      </c>
      <c r="CI46" s="24" t="s">
        <v>1491</v>
      </c>
      <c r="CJ46" s="24" t="s">
        <v>1449</v>
      </c>
      <c r="CK46" s="24"/>
      <c r="CL46" s="24"/>
      <c r="CM46" s="24"/>
      <c r="CN46" s="24"/>
      <c r="CO46" s="24"/>
      <c r="CP46" s="24"/>
      <c r="CR46" s="160">
        <v>4000</v>
      </c>
      <c r="CS46" s="24">
        <v>10</v>
      </c>
      <c r="CT46" s="24" t="s">
        <v>1458</v>
      </c>
      <c r="CU46" s="24" t="s">
        <v>1460</v>
      </c>
      <c r="CV46" s="24" t="s">
        <v>1541</v>
      </c>
    </row>
    <row r="47" spans="1:106" ht="16" x14ac:dyDescent="0.45">
      <c r="A47">
        <v>0.75</v>
      </c>
      <c r="B47">
        <v>3.5</v>
      </c>
      <c r="C47">
        <v>3.2</v>
      </c>
      <c r="D47">
        <v>1.6</v>
      </c>
      <c r="E47">
        <v>1.3</v>
      </c>
      <c r="G47">
        <v>0.75</v>
      </c>
      <c r="H47">
        <v>13.8</v>
      </c>
      <c r="I47">
        <v>6.9</v>
      </c>
      <c r="K47" t="s">
        <v>87</v>
      </c>
      <c r="L47">
        <v>1.25</v>
      </c>
      <c r="M47">
        <v>0</v>
      </c>
      <c r="N47" t="s">
        <v>144</v>
      </c>
      <c r="P47">
        <v>0</v>
      </c>
      <c r="Q47">
        <v>1</v>
      </c>
      <c r="S47">
        <v>30</v>
      </c>
      <c r="W47">
        <v>25</v>
      </c>
      <c r="Y47">
        <v>14000</v>
      </c>
      <c r="AA47" s="9">
        <v>50</v>
      </c>
      <c r="AB47" s="9"/>
      <c r="AC47" s="9">
        <v>20</v>
      </c>
      <c r="AD47" s="9"/>
      <c r="CF47" s="160" t="s">
        <v>1492</v>
      </c>
      <c r="CG47" s="24">
        <v>1</v>
      </c>
      <c r="CH47" s="24" t="s">
        <v>1450</v>
      </c>
      <c r="CI47" s="24" t="s">
        <v>1493</v>
      </c>
      <c r="CJ47" s="24" t="s">
        <v>1449</v>
      </c>
      <c r="CK47" s="24"/>
      <c r="CL47" s="24"/>
      <c r="CM47" s="24"/>
      <c r="CN47" s="24"/>
      <c r="CO47" s="24"/>
      <c r="CP47" s="24"/>
      <c r="CR47" s="160" t="s">
        <v>1521</v>
      </c>
      <c r="CS47" s="24">
        <v>10</v>
      </c>
      <c r="CT47" s="24" t="s">
        <v>1503</v>
      </c>
      <c r="CU47" s="24" t="s">
        <v>1504</v>
      </c>
      <c r="CV47" s="24" t="s">
        <v>1541</v>
      </c>
    </row>
    <row r="48" spans="1:106" ht="16" x14ac:dyDescent="0.45">
      <c r="A48">
        <v>1</v>
      </c>
      <c r="B48">
        <v>4.5999999999999996</v>
      </c>
      <c r="C48">
        <v>4.2</v>
      </c>
      <c r="D48">
        <v>2.1</v>
      </c>
      <c r="E48">
        <v>1.7</v>
      </c>
      <c r="G48">
        <v>1</v>
      </c>
      <c r="H48">
        <v>16</v>
      </c>
      <c r="I48">
        <v>8</v>
      </c>
      <c r="K48" t="s">
        <v>88</v>
      </c>
      <c r="L48">
        <v>1.25</v>
      </c>
      <c r="M48">
        <v>1</v>
      </c>
      <c r="N48" t="s">
        <v>145</v>
      </c>
      <c r="P48">
        <v>3</v>
      </c>
      <c r="Q48">
        <v>0.9</v>
      </c>
      <c r="S48">
        <v>45</v>
      </c>
      <c r="W48">
        <v>37.5</v>
      </c>
      <c r="Y48">
        <v>18000</v>
      </c>
      <c r="AA48" s="9">
        <v>60</v>
      </c>
      <c r="AB48" s="9"/>
      <c r="AC48" s="9">
        <v>30</v>
      </c>
      <c r="AD48" s="9"/>
      <c r="CF48" s="160" t="s">
        <v>1494</v>
      </c>
      <c r="CG48" s="24">
        <v>1</v>
      </c>
      <c r="CH48" s="24" t="s">
        <v>1450</v>
      </c>
      <c r="CI48" s="24" t="s">
        <v>1495</v>
      </c>
      <c r="CJ48" s="24" t="s">
        <v>1449</v>
      </c>
      <c r="CK48" s="24"/>
      <c r="CL48" s="24"/>
      <c r="CM48" s="24"/>
      <c r="CN48" s="24"/>
      <c r="CO48" s="24"/>
      <c r="CP48" s="24"/>
      <c r="CR48" s="160" t="s">
        <v>1522</v>
      </c>
      <c r="CS48" s="24" t="s">
        <v>1523</v>
      </c>
      <c r="CT48" s="24"/>
      <c r="CU48" s="24"/>
      <c r="CV48" s="24"/>
    </row>
    <row r="49" spans="1:94" ht="16" x14ac:dyDescent="0.45">
      <c r="A49">
        <v>1.5</v>
      </c>
      <c r="B49">
        <v>6.6</v>
      </c>
      <c r="C49">
        <v>6</v>
      </c>
      <c r="D49">
        <v>3</v>
      </c>
      <c r="E49">
        <v>2.4</v>
      </c>
      <c r="G49">
        <v>1.5</v>
      </c>
      <c r="H49">
        <v>20</v>
      </c>
      <c r="I49">
        <v>10</v>
      </c>
      <c r="K49" t="s">
        <v>89</v>
      </c>
      <c r="L49">
        <v>1.25</v>
      </c>
      <c r="M49">
        <v>0</v>
      </c>
      <c r="N49" t="s">
        <v>146</v>
      </c>
      <c r="P49">
        <v>4</v>
      </c>
      <c r="Q49">
        <v>0.8</v>
      </c>
      <c r="S49">
        <v>75</v>
      </c>
      <c r="W49">
        <v>50</v>
      </c>
      <c r="Y49">
        <v>22000</v>
      </c>
      <c r="AA49" s="9">
        <v>80</v>
      </c>
      <c r="AB49" s="9"/>
      <c r="AC49" s="9">
        <v>40</v>
      </c>
      <c r="AD49" s="9"/>
      <c r="CF49" s="160" t="s">
        <v>1496</v>
      </c>
      <c r="CG49" s="24">
        <v>1</v>
      </c>
      <c r="CH49" s="24" t="s">
        <v>1456</v>
      </c>
      <c r="CI49" s="24" t="s">
        <v>1497</v>
      </c>
      <c r="CJ49" s="24" t="s">
        <v>1455</v>
      </c>
      <c r="CK49" s="24"/>
      <c r="CL49" s="24"/>
      <c r="CM49" s="24"/>
      <c r="CN49" s="24"/>
      <c r="CO49" s="24"/>
      <c r="CP49" s="24"/>
    </row>
    <row r="50" spans="1:94" ht="16" x14ac:dyDescent="0.45">
      <c r="A50">
        <v>2</v>
      </c>
      <c r="B50">
        <v>7.5</v>
      </c>
      <c r="C50">
        <v>6.8</v>
      </c>
      <c r="D50">
        <v>3.4</v>
      </c>
      <c r="E50">
        <v>2.7</v>
      </c>
      <c r="G50">
        <v>2</v>
      </c>
      <c r="H50">
        <v>24</v>
      </c>
      <c r="I50">
        <v>12</v>
      </c>
      <c r="K50" t="s">
        <v>90</v>
      </c>
      <c r="L50">
        <v>1.25</v>
      </c>
      <c r="M50">
        <v>0</v>
      </c>
      <c r="N50" t="s">
        <v>147</v>
      </c>
      <c r="P50">
        <v>5</v>
      </c>
      <c r="Q50">
        <v>0.7</v>
      </c>
      <c r="S50">
        <v>112.5</v>
      </c>
      <c r="W50">
        <v>75</v>
      </c>
      <c r="Y50">
        <v>25000</v>
      </c>
      <c r="AA50" s="9">
        <v>100</v>
      </c>
      <c r="AB50" s="9"/>
      <c r="AC50" s="9">
        <v>50</v>
      </c>
      <c r="AD50" s="9"/>
      <c r="CF50" s="160" t="s">
        <v>1498</v>
      </c>
      <c r="CG50" s="24">
        <v>1</v>
      </c>
      <c r="CH50" s="24" t="s">
        <v>1458</v>
      </c>
      <c r="CI50" s="24" t="s">
        <v>1499</v>
      </c>
      <c r="CJ50" s="24" t="s">
        <v>1455</v>
      </c>
      <c r="CK50" s="24"/>
      <c r="CL50" s="24"/>
      <c r="CM50" s="24"/>
      <c r="CN50" s="24"/>
      <c r="CO50" s="24"/>
      <c r="CP50" s="24"/>
    </row>
    <row r="51" spans="1:94" ht="16" x14ac:dyDescent="0.45">
      <c r="A51">
        <v>3</v>
      </c>
      <c r="B51">
        <v>10.6</v>
      </c>
      <c r="C51">
        <v>9.6</v>
      </c>
      <c r="D51">
        <v>4.8</v>
      </c>
      <c r="E51">
        <v>3.9</v>
      </c>
      <c r="G51">
        <v>3</v>
      </c>
      <c r="H51">
        <v>34</v>
      </c>
      <c r="I51">
        <v>17</v>
      </c>
      <c r="K51" t="s">
        <v>91</v>
      </c>
      <c r="L51">
        <v>1</v>
      </c>
      <c r="M51">
        <v>0</v>
      </c>
      <c r="N51" t="s">
        <v>148</v>
      </c>
      <c r="P51">
        <v>6</v>
      </c>
      <c r="Q51">
        <v>0.65</v>
      </c>
      <c r="S51">
        <v>150</v>
      </c>
      <c r="W51">
        <v>100</v>
      </c>
      <c r="Y51">
        <v>35000</v>
      </c>
      <c r="AA51" s="9">
        <v>125</v>
      </c>
      <c r="AB51" s="9"/>
      <c r="AC51" s="9">
        <v>60</v>
      </c>
      <c r="AD51" s="9"/>
      <c r="CF51" s="160" t="s">
        <v>1500</v>
      </c>
      <c r="CG51" s="24">
        <v>1</v>
      </c>
      <c r="CH51" s="24" t="s">
        <v>1458</v>
      </c>
      <c r="CI51" s="24" t="s">
        <v>1501</v>
      </c>
      <c r="CJ51" s="24" t="s">
        <v>1455</v>
      </c>
      <c r="CK51" s="24"/>
      <c r="CL51" s="24"/>
      <c r="CM51" s="24"/>
      <c r="CN51" s="24"/>
      <c r="CO51" s="24"/>
      <c r="CP51" s="24"/>
    </row>
    <row r="52" spans="1:94" ht="16" x14ac:dyDescent="0.45">
      <c r="A52">
        <v>5</v>
      </c>
      <c r="B52">
        <v>16.7</v>
      </c>
      <c r="C52">
        <v>15.2</v>
      </c>
      <c r="D52">
        <v>7.6</v>
      </c>
      <c r="E52">
        <v>6.1</v>
      </c>
      <c r="G52">
        <v>5</v>
      </c>
      <c r="H52">
        <v>56</v>
      </c>
      <c r="I52">
        <v>28</v>
      </c>
      <c r="K52" t="s">
        <v>92</v>
      </c>
      <c r="L52">
        <v>1.25</v>
      </c>
      <c r="M52">
        <v>0</v>
      </c>
      <c r="N52" t="s">
        <v>149</v>
      </c>
      <c r="S52">
        <v>225</v>
      </c>
      <c r="W52">
        <v>167</v>
      </c>
      <c r="Y52">
        <v>42000</v>
      </c>
      <c r="AA52" s="9">
        <v>150</v>
      </c>
      <c r="AB52" s="9"/>
      <c r="AC52" s="9">
        <v>80</v>
      </c>
      <c r="AD52" s="9"/>
      <c r="CF52" s="160" t="s">
        <v>1502</v>
      </c>
      <c r="CG52" s="24">
        <v>1</v>
      </c>
      <c r="CH52" s="24" t="s">
        <v>1503</v>
      </c>
      <c r="CI52" s="24" t="s">
        <v>1504</v>
      </c>
      <c r="CJ52" s="24" t="s">
        <v>1461</v>
      </c>
      <c r="CK52" s="24"/>
      <c r="CL52" s="24"/>
      <c r="CM52" s="24"/>
      <c r="CN52" s="24"/>
      <c r="CO52" s="24"/>
      <c r="CP52" s="24"/>
    </row>
    <row r="53" spans="1:94" ht="16" x14ac:dyDescent="0.45">
      <c r="A53">
        <v>7.5</v>
      </c>
      <c r="B53">
        <v>24.2</v>
      </c>
      <c r="C53">
        <v>22</v>
      </c>
      <c r="D53">
        <v>11</v>
      </c>
      <c r="E53">
        <v>9</v>
      </c>
      <c r="G53">
        <v>7.5</v>
      </c>
      <c r="H53">
        <v>80</v>
      </c>
      <c r="I53">
        <v>40</v>
      </c>
      <c r="K53" t="s">
        <v>93</v>
      </c>
      <c r="L53">
        <v>1</v>
      </c>
      <c r="M53">
        <v>0</v>
      </c>
      <c r="N53" t="s">
        <v>150</v>
      </c>
      <c r="S53">
        <v>300</v>
      </c>
      <c r="W53">
        <v>250</v>
      </c>
      <c r="Y53">
        <v>50000</v>
      </c>
      <c r="AA53" s="9">
        <v>175</v>
      </c>
      <c r="AB53" s="9"/>
      <c r="AC53" s="9">
        <v>100</v>
      </c>
      <c r="AD53" s="9"/>
      <c r="CF53" s="160" t="s">
        <v>1505</v>
      </c>
      <c r="CG53" s="24">
        <v>1</v>
      </c>
      <c r="CH53" s="24" t="s">
        <v>1503</v>
      </c>
      <c r="CI53" s="24" t="s">
        <v>1504</v>
      </c>
      <c r="CJ53" s="24" t="s">
        <v>1461</v>
      </c>
      <c r="CK53" s="24"/>
      <c r="CL53" s="24"/>
      <c r="CM53" s="24"/>
      <c r="CN53" s="24"/>
      <c r="CO53" s="24"/>
      <c r="CP53" s="24"/>
    </row>
    <row r="54" spans="1:94" ht="16" x14ac:dyDescent="0.45">
      <c r="A54">
        <v>10</v>
      </c>
      <c r="B54">
        <v>30.8</v>
      </c>
      <c r="C54">
        <v>28</v>
      </c>
      <c r="D54">
        <v>14</v>
      </c>
      <c r="E54">
        <v>11</v>
      </c>
      <c r="G54">
        <v>10</v>
      </c>
      <c r="H54">
        <v>100</v>
      </c>
      <c r="I54">
        <v>50</v>
      </c>
      <c r="K54" t="s">
        <v>94</v>
      </c>
      <c r="L54">
        <v>0</v>
      </c>
      <c r="M54">
        <v>0</v>
      </c>
      <c r="N54" t="s">
        <v>151</v>
      </c>
      <c r="P54" s="27" t="str" cm="1">
        <f t="array" ref="P54">"M. ELEVATORS "&amp;NECREF("620.14")</f>
        <v>M. ELEVATORS 620.14</v>
      </c>
      <c r="Q54" s="9"/>
      <c r="S54">
        <v>500</v>
      </c>
      <c r="W54">
        <v>333</v>
      </c>
      <c r="Y54">
        <v>65000</v>
      </c>
      <c r="AA54" s="9">
        <v>200</v>
      </c>
      <c r="AB54" s="9"/>
      <c r="AC54" s="9">
        <v>125</v>
      </c>
      <c r="AD54" s="9"/>
      <c r="CF54" s="160" t="s">
        <v>1506</v>
      </c>
      <c r="CG54" s="24">
        <v>2</v>
      </c>
      <c r="CH54" s="24" t="s">
        <v>1450</v>
      </c>
      <c r="CI54" s="24" t="s">
        <v>1495</v>
      </c>
      <c r="CJ54" s="24" t="s">
        <v>1461</v>
      </c>
      <c r="CK54" s="24"/>
      <c r="CL54" s="24"/>
      <c r="CM54" s="24"/>
      <c r="CN54" s="24"/>
      <c r="CO54" s="24"/>
      <c r="CP54" s="24"/>
    </row>
    <row r="55" spans="1:94" ht="16" x14ac:dyDescent="0.45">
      <c r="A55">
        <v>15</v>
      </c>
      <c r="B55">
        <v>46.2</v>
      </c>
      <c r="C55">
        <v>42</v>
      </c>
      <c r="D55">
        <v>21</v>
      </c>
      <c r="E55">
        <v>17</v>
      </c>
      <c r="K55" t="s">
        <v>95</v>
      </c>
      <c r="L55">
        <v>0</v>
      </c>
      <c r="M55">
        <v>0</v>
      </c>
      <c r="N55" t="s">
        <v>151</v>
      </c>
      <c r="P55" s="9" t="s">
        <v>154</v>
      </c>
      <c r="Q55" s="9" t="s">
        <v>155</v>
      </c>
      <c r="S55">
        <v>750</v>
      </c>
      <c r="W55">
        <v>500</v>
      </c>
      <c r="Y55">
        <v>85000</v>
      </c>
      <c r="AA55" s="9">
        <v>230</v>
      </c>
      <c r="AB55" s="9"/>
      <c r="AC55" s="9">
        <v>160</v>
      </c>
      <c r="AD55" s="9"/>
      <c r="CF55" s="160" t="s">
        <v>1507</v>
      </c>
      <c r="CG55" s="24">
        <v>2</v>
      </c>
      <c r="CH55" s="24" t="s">
        <v>1456</v>
      </c>
      <c r="CI55" s="24" t="s">
        <v>1499</v>
      </c>
      <c r="CJ55" s="24" t="s">
        <v>1461</v>
      </c>
      <c r="CK55" s="24"/>
      <c r="CL55" s="24"/>
      <c r="CM55" s="24"/>
      <c r="CN55" s="24"/>
      <c r="CO55" s="24"/>
      <c r="CP55" s="24"/>
    </row>
    <row r="56" spans="1:94" ht="16" x14ac:dyDescent="0.45">
      <c r="A56">
        <v>20</v>
      </c>
      <c r="B56">
        <v>59.4</v>
      </c>
      <c r="C56">
        <v>54</v>
      </c>
      <c r="D56">
        <v>27</v>
      </c>
      <c r="E56">
        <v>22</v>
      </c>
      <c r="K56" t="s">
        <v>152</v>
      </c>
      <c r="L56">
        <v>1</v>
      </c>
      <c r="M56">
        <v>0</v>
      </c>
      <c r="N56" t="s">
        <v>153</v>
      </c>
      <c r="P56" s="9">
        <v>1</v>
      </c>
      <c r="Q56" s="9">
        <v>1</v>
      </c>
      <c r="S56">
        <v>1000</v>
      </c>
      <c r="Y56">
        <v>100000</v>
      </c>
      <c r="AA56" s="9">
        <v>250</v>
      </c>
      <c r="AB56" s="9"/>
      <c r="AC56" s="9">
        <v>200</v>
      </c>
      <c r="AD56" s="9"/>
      <c r="CF56" s="160" t="s">
        <v>1508</v>
      </c>
      <c r="CG56" s="24">
        <v>2</v>
      </c>
      <c r="CH56" s="24" t="s">
        <v>1458</v>
      </c>
      <c r="CI56" s="24" t="s">
        <v>1501</v>
      </c>
      <c r="CJ56" s="24" t="s">
        <v>1462</v>
      </c>
      <c r="CK56" s="24"/>
      <c r="CL56" s="24"/>
      <c r="CM56" s="24"/>
      <c r="CN56" s="24"/>
      <c r="CO56" s="24"/>
      <c r="CP56" s="24"/>
    </row>
    <row r="57" spans="1:94" ht="16" x14ac:dyDescent="0.45">
      <c r="A57">
        <v>25</v>
      </c>
      <c r="B57">
        <v>74.8</v>
      </c>
      <c r="C57">
        <v>68</v>
      </c>
      <c r="D57">
        <v>34</v>
      </c>
      <c r="E57">
        <v>27</v>
      </c>
      <c r="K57" t="s">
        <v>236</v>
      </c>
      <c r="L57">
        <v>1.25</v>
      </c>
      <c r="M57">
        <v>0</v>
      </c>
      <c r="N57" t="s">
        <v>144</v>
      </c>
      <c r="P57" s="9">
        <v>2</v>
      </c>
      <c r="Q57" s="9">
        <v>0.95</v>
      </c>
      <c r="S57">
        <v>1500</v>
      </c>
      <c r="Y57">
        <v>200000</v>
      </c>
      <c r="AA57" s="9">
        <v>300</v>
      </c>
      <c r="AB57" s="9"/>
      <c r="AC57" s="9">
        <v>225</v>
      </c>
      <c r="AD57" s="9"/>
      <c r="CF57" s="160" t="s">
        <v>1509</v>
      </c>
      <c r="CG57" s="24">
        <v>2</v>
      </c>
      <c r="CH57" s="24" t="s">
        <v>1458</v>
      </c>
      <c r="CI57" s="24" t="s">
        <v>1504</v>
      </c>
      <c r="CJ57" s="24" t="s">
        <v>1463</v>
      </c>
      <c r="CK57" s="24"/>
      <c r="CL57" s="24"/>
      <c r="CM57" s="24"/>
      <c r="CN57" s="24"/>
      <c r="CO57" s="24"/>
      <c r="CP57" s="24"/>
    </row>
    <row r="58" spans="1:94" ht="16" x14ac:dyDescent="0.45">
      <c r="A58">
        <v>30</v>
      </c>
      <c r="B58">
        <v>88</v>
      </c>
      <c r="C58">
        <v>80</v>
      </c>
      <c r="D58">
        <v>40</v>
      </c>
      <c r="E58">
        <v>32</v>
      </c>
      <c r="P58" s="9">
        <v>3</v>
      </c>
      <c r="Q58" s="9">
        <v>0.9</v>
      </c>
      <c r="S58">
        <v>2000</v>
      </c>
      <c r="AA58" s="9">
        <v>350</v>
      </c>
      <c r="AB58" s="9"/>
      <c r="AC58" s="9">
        <v>250</v>
      </c>
      <c r="AD58" s="9"/>
      <c r="CF58" s="160" t="s">
        <v>1510</v>
      </c>
      <c r="CG58" s="24">
        <v>2</v>
      </c>
      <c r="CH58" s="24" t="s">
        <v>1458</v>
      </c>
      <c r="CI58" s="24" t="s">
        <v>1504</v>
      </c>
      <c r="CJ58" s="24" t="s">
        <v>1463</v>
      </c>
      <c r="CK58" s="24"/>
      <c r="CL58" s="24"/>
      <c r="CM58" s="24"/>
      <c r="CN58" s="24"/>
      <c r="CO58" s="24"/>
      <c r="CP58" s="24"/>
    </row>
    <row r="59" spans="1:94" ht="16" x14ac:dyDescent="0.45">
      <c r="A59">
        <v>40</v>
      </c>
      <c r="B59">
        <v>114</v>
      </c>
      <c r="C59">
        <v>104</v>
      </c>
      <c r="D59">
        <v>52</v>
      </c>
      <c r="E59">
        <v>41</v>
      </c>
      <c r="P59" s="9">
        <v>4</v>
      </c>
      <c r="Q59" s="9">
        <v>0.85</v>
      </c>
      <c r="S59">
        <v>2500</v>
      </c>
      <c r="AA59" s="9">
        <v>400</v>
      </c>
      <c r="AB59" s="9"/>
      <c r="AC59" s="9">
        <v>300</v>
      </c>
      <c r="AD59" s="9"/>
      <c r="CF59" s="160" t="s">
        <v>1511</v>
      </c>
      <c r="CG59" s="24">
        <v>3</v>
      </c>
      <c r="CH59" s="24" t="s">
        <v>1458</v>
      </c>
      <c r="CI59" s="24" t="s">
        <v>1512</v>
      </c>
      <c r="CJ59" s="24" t="s">
        <v>1463</v>
      </c>
      <c r="CK59" s="24"/>
      <c r="CL59" s="24"/>
      <c r="CM59" s="24"/>
      <c r="CN59" s="24"/>
      <c r="CO59" s="24"/>
      <c r="CP59" s="24"/>
    </row>
    <row r="60" spans="1:94" ht="16" x14ac:dyDescent="0.45">
      <c r="A60">
        <v>50</v>
      </c>
      <c r="B60">
        <v>143</v>
      </c>
      <c r="C60">
        <v>130</v>
      </c>
      <c r="D60">
        <v>65</v>
      </c>
      <c r="E60">
        <v>52</v>
      </c>
      <c r="P60" s="9">
        <v>5</v>
      </c>
      <c r="Q60" s="9">
        <v>0.82</v>
      </c>
      <c r="AA60" s="9">
        <v>500</v>
      </c>
      <c r="AB60" s="9"/>
      <c r="AC60" s="9">
        <v>400</v>
      </c>
      <c r="AD60" s="9"/>
      <c r="CF60" s="160" t="s">
        <v>1513</v>
      </c>
      <c r="CG60" s="24">
        <v>3</v>
      </c>
      <c r="CH60" s="24" t="s">
        <v>1458</v>
      </c>
      <c r="CI60" s="24" t="s">
        <v>1514</v>
      </c>
      <c r="CJ60" s="24" t="s">
        <v>1466</v>
      </c>
      <c r="CK60" s="24"/>
      <c r="CL60" s="24"/>
      <c r="CM60" s="24"/>
      <c r="CN60" s="24"/>
      <c r="CO60" s="24"/>
      <c r="CP60" s="24"/>
    </row>
    <row r="61" spans="1:94" ht="16" x14ac:dyDescent="0.45">
      <c r="A61">
        <v>60</v>
      </c>
      <c r="B61">
        <v>169</v>
      </c>
      <c r="C61">
        <v>154</v>
      </c>
      <c r="D61">
        <v>77</v>
      </c>
      <c r="E61">
        <v>62</v>
      </c>
      <c r="P61" s="9">
        <v>6</v>
      </c>
      <c r="Q61" s="9">
        <v>0.79</v>
      </c>
      <c r="AA61" s="9">
        <v>600</v>
      </c>
      <c r="AB61" s="9"/>
      <c r="AC61" s="9">
        <v>500</v>
      </c>
      <c r="AD61" s="9"/>
      <c r="CF61" s="160" t="s">
        <v>1515</v>
      </c>
      <c r="CG61" s="24">
        <v>4</v>
      </c>
      <c r="CH61" s="24" t="s">
        <v>1458</v>
      </c>
      <c r="CI61" s="24" t="s">
        <v>1501</v>
      </c>
      <c r="CJ61" s="24" t="s">
        <v>1467</v>
      </c>
      <c r="CK61" s="24"/>
      <c r="CL61" s="24"/>
      <c r="CM61" s="24"/>
      <c r="CN61" s="24"/>
      <c r="CO61" s="24"/>
      <c r="CP61" s="24"/>
    </row>
    <row r="62" spans="1:94" ht="16" x14ac:dyDescent="0.45">
      <c r="A62">
        <v>75</v>
      </c>
      <c r="B62">
        <v>211</v>
      </c>
      <c r="C62">
        <v>192</v>
      </c>
      <c r="D62">
        <v>96</v>
      </c>
      <c r="E62">
        <v>77</v>
      </c>
      <c r="P62" s="9">
        <v>7</v>
      </c>
      <c r="Q62" s="9">
        <v>0.77</v>
      </c>
      <c r="AA62" s="9">
        <v>750</v>
      </c>
      <c r="AB62" s="9"/>
      <c r="AC62" s="9">
        <v>625</v>
      </c>
      <c r="AD62" s="9"/>
      <c r="CF62" s="160" t="s">
        <v>1516</v>
      </c>
      <c r="CG62" s="24">
        <v>5</v>
      </c>
      <c r="CH62" s="24" t="s">
        <v>1458</v>
      </c>
      <c r="CI62" s="24" t="s">
        <v>1514</v>
      </c>
      <c r="CJ62" s="24" t="s">
        <v>1468</v>
      </c>
      <c r="CK62" s="24"/>
      <c r="CL62" s="24"/>
      <c r="CM62" s="24"/>
      <c r="CN62" s="24"/>
      <c r="CO62" s="24"/>
      <c r="CP62" s="24"/>
    </row>
    <row r="63" spans="1:94" ht="16" x14ac:dyDescent="0.45">
      <c r="A63">
        <v>100</v>
      </c>
      <c r="B63">
        <v>273</v>
      </c>
      <c r="C63">
        <v>248</v>
      </c>
      <c r="D63">
        <v>124</v>
      </c>
      <c r="E63">
        <v>99</v>
      </c>
      <c r="P63" s="9">
        <v>8</v>
      </c>
      <c r="Q63" s="9">
        <v>0.75</v>
      </c>
      <c r="AA63" s="9">
        <v>800</v>
      </c>
      <c r="AB63" s="9"/>
      <c r="AC63" s="9">
        <v>750</v>
      </c>
      <c r="AD63" s="9"/>
      <c r="CF63" s="160" t="s">
        <v>1517</v>
      </c>
      <c r="CG63" s="24">
        <v>6</v>
      </c>
      <c r="CH63" s="24" t="s">
        <v>1458</v>
      </c>
      <c r="CI63" s="24" t="s">
        <v>1514</v>
      </c>
      <c r="CJ63" s="24" t="s">
        <v>1469</v>
      </c>
      <c r="CK63" s="24"/>
      <c r="CL63" s="24"/>
      <c r="CM63" s="24"/>
      <c r="CN63" s="24"/>
      <c r="CO63" s="24"/>
      <c r="CP63" s="24"/>
    </row>
    <row r="64" spans="1:94" ht="16" x14ac:dyDescent="0.45">
      <c r="A64">
        <v>125</v>
      </c>
      <c r="B64">
        <v>343</v>
      </c>
      <c r="C64">
        <v>312</v>
      </c>
      <c r="D64">
        <v>156</v>
      </c>
      <c r="E64">
        <v>125</v>
      </c>
      <c r="P64" s="9">
        <v>9</v>
      </c>
      <c r="Q64" s="9">
        <v>0.73</v>
      </c>
      <c r="AA64" s="9">
        <v>1000</v>
      </c>
      <c r="AB64" s="9"/>
      <c r="AC64" s="9">
        <v>900</v>
      </c>
      <c r="AD64" s="9"/>
      <c r="CF64" s="160" t="s">
        <v>1518</v>
      </c>
      <c r="CG64" s="24">
        <v>7</v>
      </c>
      <c r="CH64" s="24" t="s">
        <v>1503</v>
      </c>
      <c r="CI64" s="24" t="s">
        <v>1504</v>
      </c>
      <c r="CJ64" s="24" t="s">
        <v>1470</v>
      </c>
      <c r="CK64" s="24"/>
      <c r="CL64" s="24"/>
      <c r="CM64" s="24"/>
      <c r="CN64" s="24"/>
      <c r="CO64" s="24"/>
      <c r="CP64" s="24"/>
    </row>
    <row r="65" spans="1:94" ht="16" x14ac:dyDescent="0.45">
      <c r="A65">
        <v>150</v>
      </c>
      <c r="B65">
        <v>396</v>
      </c>
      <c r="C65">
        <v>360</v>
      </c>
      <c r="D65">
        <v>180</v>
      </c>
      <c r="E65">
        <v>144</v>
      </c>
      <c r="P65" s="9">
        <v>10</v>
      </c>
      <c r="Q65" s="9">
        <v>0.72</v>
      </c>
      <c r="AA65" s="9">
        <v>1250</v>
      </c>
      <c r="AB65" s="9"/>
      <c r="AC65" s="9">
        <v>1100</v>
      </c>
      <c r="AD65" s="9"/>
      <c r="CF65" s="160" t="s">
        <v>1519</v>
      </c>
      <c r="CG65" s="24">
        <v>8</v>
      </c>
      <c r="CH65" s="24" t="s">
        <v>1503</v>
      </c>
      <c r="CI65" s="24" t="s">
        <v>1504</v>
      </c>
      <c r="CJ65" s="24" t="s">
        <v>1471</v>
      </c>
      <c r="CK65" s="24"/>
      <c r="CL65" s="24"/>
      <c r="CM65" s="24"/>
      <c r="CN65" s="24"/>
      <c r="CO65" s="24"/>
      <c r="CP65" s="24"/>
    </row>
    <row r="66" spans="1:94" ht="16" x14ac:dyDescent="0.45">
      <c r="A66">
        <v>200</v>
      </c>
      <c r="B66">
        <v>528</v>
      </c>
      <c r="C66">
        <v>480</v>
      </c>
      <c r="D66">
        <v>240</v>
      </c>
      <c r="E66">
        <v>192</v>
      </c>
      <c r="AA66" s="9">
        <v>1500</v>
      </c>
      <c r="AB66" s="9"/>
      <c r="AC66" s="9"/>
      <c r="AD66" s="9"/>
      <c r="CF66" s="160" t="s">
        <v>1520</v>
      </c>
      <c r="CG66" s="24">
        <v>10</v>
      </c>
      <c r="CH66" s="24" t="s">
        <v>1503</v>
      </c>
      <c r="CI66" s="24" t="s">
        <v>1504</v>
      </c>
      <c r="CJ66" s="24" t="s">
        <v>1472</v>
      </c>
      <c r="CK66" s="24"/>
      <c r="CL66" s="24"/>
      <c r="CM66" s="24"/>
      <c r="CN66" s="24"/>
      <c r="CO66" s="24"/>
      <c r="CP66" s="24"/>
    </row>
    <row r="67" spans="1:94" ht="16" x14ac:dyDescent="0.45">
      <c r="A67">
        <v>250</v>
      </c>
      <c r="C67">
        <v>604</v>
      </c>
      <c r="D67">
        <v>302</v>
      </c>
      <c r="E67">
        <v>242</v>
      </c>
      <c r="AA67" s="9">
        <v>1750</v>
      </c>
      <c r="AB67" s="9"/>
      <c r="AC67" s="9"/>
      <c r="AD67" s="9"/>
      <c r="CF67" s="160" t="s">
        <v>1521</v>
      </c>
      <c r="CG67" s="24">
        <v>11</v>
      </c>
      <c r="CH67" s="24" t="s">
        <v>1503</v>
      </c>
      <c r="CI67" s="24" t="s">
        <v>1504</v>
      </c>
      <c r="CJ67" s="24" t="s">
        <v>1472</v>
      </c>
      <c r="CK67" s="24"/>
      <c r="CL67" s="24"/>
      <c r="CM67" s="24"/>
      <c r="CN67" s="24"/>
      <c r="CO67" s="24"/>
      <c r="CP67" s="24"/>
    </row>
    <row r="68" spans="1:94" ht="16" x14ac:dyDescent="0.45">
      <c r="A68">
        <v>300</v>
      </c>
      <c r="C68">
        <v>722</v>
      </c>
      <c r="D68">
        <v>361</v>
      </c>
      <c r="E68">
        <v>289</v>
      </c>
      <c r="AA68" s="9">
        <v>2000</v>
      </c>
      <c r="AB68" s="9"/>
      <c r="AC68" s="9"/>
      <c r="AD68" s="9"/>
      <c r="CF68" s="160" t="s">
        <v>1522</v>
      </c>
      <c r="CG68" s="24" t="s">
        <v>1523</v>
      </c>
      <c r="CH68" s="24"/>
      <c r="CI68" s="24"/>
      <c r="CJ68" s="24"/>
      <c r="CK68" s="24"/>
      <c r="CL68" s="24"/>
      <c r="CM68" s="24"/>
      <c r="CN68" s="24"/>
      <c r="CO68" s="24"/>
      <c r="CP68" s="24"/>
    </row>
    <row r="69" spans="1:94" ht="16" x14ac:dyDescent="0.45">
      <c r="A69">
        <v>350</v>
      </c>
      <c r="C69">
        <v>828</v>
      </c>
      <c r="D69">
        <v>414</v>
      </c>
      <c r="E69">
        <v>336</v>
      </c>
      <c r="AA69" s="9">
        <v>2500</v>
      </c>
      <c r="AB69" s="9"/>
      <c r="AC69" s="9"/>
      <c r="AD69" s="9"/>
    </row>
    <row r="70" spans="1:94" ht="16" x14ac:dyDescent="0.45">
      <c r="A70">
        <v>400</v>
      </c>
      <c r="C70">
        <v>954</v>
      </c>
      <c r="D70">
        <v>477</v>
      </c>
      <c r="E70">
        <v>382</v>
      </c>
      <c r="AA70" s="9">
        <v>3000</v>
      </c>
      <c r="AB70" s="9"/>
      <c r="AC70" s="9"/>
      <c r="AD70" s="9"/>
    </row>
    <row r="71" spans="1:94" x14ac:dyDescent="0.35">
      <c r="A71">
        <v>450</v>
      </c>
      <c r="C71">
        <v>1030</v>
      </c>
      <c r="D71">
        <v>515</v>
      </c>
      <c r="E71">
        <v>412</v>
      </c>
    </row>
    <row r="72" spans="1:94" x14ac:dyDescent="0.35">
      <c r="A72">
        <v>500</v>
      </c>
      <c r="C72">
        <v>1180</v>
      </c>
      <c r="D72">
        <v>590</v>
      </c>
      <c r="E72">
        <v>472</v>
      </c>
    </row>
  </sheetData>
  <sheetProtection sheet="1" objects="1" scenarios="1"/>
  <mergeCells count="2">
    <mergeCell ref="AP4:AW4"/>
    <mergeCell ref="AP12:AW12"/>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090A-8970-4D93-86BA-156F81DB7A47}">
  <sheetPr codeName="Sheet21">
    <tabColor rgb="FF7030A0"/>
  </sheetPr>
  <dimension ref="A1:J200"/>
  <sheetViews>
    <sheetView workbookViewId="0">
      <selection activeCell="I33" sqref="I33"/>
    </sheetView>
  </sheetViews>
  <sheetFormatPr defaultRowHeight="14.5" x14ac:dyDescent="0.35"/>
  <cols>
    <col min="1" max="1" width="57.1796875" customWidth="1"/>
    <col min="2" max="3" width="18.1796875" customWidth="1"/>
    <col min="4" max="4" width="15.7265625" customWidth="1"/>
    <col min="5" max="5" width="81.81640625" customWidth="1"/>
    <col min="6" max="7" width="18.1796875" customWidth="1"/>
    <col min="8" max="8" width="21.81640625" customWidth="1"/>
    <col min="10" max="10" width="81.81640625" customWidth="1"/>
  </cols>
  <sheetData>
    <row r="1" spans="1:10" ht="30" customHeight="1" x14ac:dyDescent="0.35">
      <c r="A1" s="771" t="s">
        <v>783</v>
      </c>
      <c r="B1" s="771"/>
      <c r="C1" s="771"/>
      <c r="D1" s="771"/>
      <c r="E1" s="771"/>
      <c r="F1" s="771"/>
      <c r="G1" s="771"/>
      <c r="H1" s="771"/>
    </row>
    <row r="2" spans="1:10" ht="16" x14ac:dyDescent="0.45">
      <c r="A2" s="772" t="s">
        <v>784</v>
      </c>
      <c r="B2" s="772"/>
      <c r="C2" s="772"/>
      <c r="D2" s="772"/>
      <c r="E2" s="772"/>
      <c r="F2" s="772"/>
      <c r="G2" s="772"/>
      <c r="H2" s="772"/>
    </row>
    <row r="3" spans="1:10" ht="16.5" x14ac:dyDescent="0.45">
      <c r="A3" s="773" t="s">
        <v>785</v>
      </c>
      <c r="B3" s="773"/>
      <c r="C3" s="773"/>
      <c r="E3" s="773" t="s">
        <v>790</v>
      </c>
      <c r="F3" s="773"/>
      <c r="G3" s="773"/>
      <c r="H3" s="773"/>
      <c r="J3" s="19" t="s">
        <v>808</v>
      </c>
    </row>
    <row r="4" spans="1:10" ht="16" x14ac:dyDescent="0.45">
      <c r="A4" s="86" t="s">
        <v>643</v>
      </c>
      <c r="B4" s="86" t="s">
        <v>786</v>
      </c>
      <c r="C4" s="86" t="s">
        <v>787</v>
      </c>
      <c r="E4" s="86" t="s">
        <v>674</v>
      </c>
      <c r="F4" s="86" t="s">
        <v>786</v>
      </c>
      <c r="G4" s="86" t="s">
        <v>787</v>
      </c>
      <c r="H4" s="86" t="s">
        <v>675</v>
      </c>
      <c r="J4" s="84" t="s">
        <v>809</v>
      </c>
    </row>
    <row r="5" spans="1:10" ht="15" customHeight="1" x14ac:dyDescent="0.45">
      <c r="A5" s="81" t="s">
        <v>645</v>
      </c>
      <c r="B5" s="83">
        <v>0.64</v>
      </c>
      <c r="C5" s="83">
        <v>0.69</v>
      </c>
      <c r="E5" s="81" t="s">
        <v>676</v>
      </c>
      <c r="F5" s="83">
        <v>0.39</v>
      </c>
      <c r="G5" s="83">
        <v>0.3</v>
      </c>
      <c r="H5" s="82" t="s">
        <v>677</v>
      </c>
      <c r="J5" s="28" t="str" cm="1">
        <f t="array" ref="J5:J36">_xlfn.LET(_xlpm.m,Cfg_LPD_Method,_xlpm.c,Cfg_Energy_Code,_xlpm.nm,IF(_xlpm.m="Space-by-Space Method",LPD_Space_List,LPD_BldgArea_List),_xlpm.tb,IF(_xlpm.m="Space-by-Space Method",LPD_Space_Table,LPD_BldgArea_Table),_xlpm.v,IF(_xlpm.c="SEC (Seattle)",INDEX(_xlpm.tb,0,3),INDEX(_xlpm.tb,0,2)),_xlfn._xlws.FILTER(_xlpm.nm,_xlpm.v&lt;&gt;"","— none —"))</f>
        <v>Automotive facility</v>
      </c>
    </row>
    <row r="6" spans="1:10" ht="15" customHeight="1" x14ac:dyDescent="0.45">
      <c r="A6" s="81" t="s">
        <v>646</v>
      </c>
      <c r="B6" s="83">
        <v>0.64</v>
      </c>
      <c r="C6" s="83">
        <v>0.61</v>
      </c>
      <c r="E6" s="81" t="s">
        <v>678</v>
      </c>
      <c r="F6" s="83">
        <v>0.48</v>
      </c>
      <c r="G6" s="83">
        <v>0.39</v>
      </c>
      <c r="H6" s="82" t="s">
        <v>677</v>
      </c>
      <c r="J6" s="28" t="str">
        <v>Convention center</v>
      </c>
    </row>
    <row r="7" spans="1:10" ht="15" customHeight="1" x14ac:dyDescent="0.45">
      <c r="A7" s="81" t="s">
        <v>647</v>
      </c>
      <c r="B7" s="83">
        <v>0.79</v>
      </c>
      <c r="C7" s="83">
        <v>0.71</v>
      </c>
      <c r="E7" s="81" t="s">
        <v>679</v>
      </c>
      <c r="F7" s="83">
        <v>0.6</v>
      </c>
      <c r="G7" s="83">
        <v>0.48</v>
      </c>
      <c r="H7" s="82" t="s">
        <v>677</v>
      </c>
      <c r="J7" s="28" t="str">
        <v>Court house</v>
      </c>
    </row>
    <row r="8" spans="1:10" ht="15" customHeight="1" x14ac:dyDescent="0.45">
      <c r="A8" s="81" t="s">
        <v>648</v>
      </c>
      <c r="B8" s="83">
        <v>0.79</v>
      </c>
      <c r="C8" s="83">
        <v>0.7</v>
      </c>
      <c r="E8" s="81" t="s">
        <v>680</v>
      </c>
      <c r="F8" s="83">
        <v>0.61</v>
      </c>
      <c r="G8" s="83">
        <v>0.54</v>
      </c>
      <c r="H8" s="82" t="s">
        <v>677</v>
      </c>
      <c r="J8" s="28" t="str">
        <v>Dining: Bar lounge/leisure</v>
      </c>
    </row>
    <row r="9" spans="1:10" ht="15" customHeight="1" x14ac:dyDescent="0.45">
      <c r="A9" s="81" t="s">
        <v>649</v>
      </c>
      <c r="B9" s="83">
        <v>0.72</v>
      </c>
      <c r="C9" s="83">
        <v>0.67</v>
      </c>
      <c r="E9" s="81" t="s">
        <v>681</v>
      </c>
      <c r="F9" s="83">
        <v>0.23</v>
      </c>
      <c r="G9" s="83">
        <v>0.22</v>
      </c>
      <c r="H9" s="82" t="s">
        <v>677</v>
      </c>
      <c r="J9" s="28" t="str">
        <v>Dining: Cafeteria/fast food</v>
      </c>
    </row>
    <row r="10" spans="1:10" ht="15" customHeight="1" x14ac:dyDescent="0.45">
      <c r="A10" s="81" t="s">
        <v>650</v>
      </c>
      <c r="B10" s="83">
        <v>0.71</v>
      </c>
      <c r="C10" s="83">
        <v>0.62</v>
      </c>
      <c r="E10" s="81" t="s">
        <v>682</v>
      </c>
      <c r="F10" s="83">
        <v>0.27</v>
      </c>
      <c r="G10" s="83">
        <v>0.26</v>
      </c>
      <c r="H10" s="82" t="s">
        <v>677</v>
      </c>
      <c r="J10" s="28" t="str">
        <v>Dining: Family</v>
      </c>
    </row>
    <row r="11" spans="1:10" ht="15" customHeight="1" x14ac:dyDescent="0.45">
      <c r="A11" s="81" t="s">
        <v>651</v>
      </c>
      <c r="B11" s="83">
        <v>0.46</v>
      </c>
      <c r="C11" s="83">
        <v>0.49</v>
      </c>
      <c r="E11" s="81" t="s">
        <v>683</v>
      </c>
      <c r="F11" s="83">
        <v>0.67</v>
      </c>
      <c r="G11" s="83">
        <v>0.56000000000000005</v>
      </c>
      <c r="H11" s="82" t="s">
        <v>677</v>
      </c>
      <c r="J11" s="28" t="str">
        <v>Dormitory</v>
      </c>
    </row>
    <row r="12" spans="1:10" ht="15" customHeight="1" x14ac:dyDescent="0.45">
      <c r="A12" s="81" t="s">
        <v>652</v>
      </c>
      <c r="B12" s="83">
        <v>0.67</v>
      </c>
      <c r="C12" s="83">
        <v>0.68</v>
      </c>
      <c r="E12" s="81" t="s">
        <v>684</v>
      </c>
      <c r="F12" s="83">
        <v>1.1599999999999999</v>
      </c>
      <c r="G12" s="83">
        <v>1.04</v>
      </c>
      <c r="H12" s="82" t="s">
        <v>677</v>
      </c>
      <c r="J12" s="28" t="str">
        <v>Exercise center</v>
      </c>
    </row>
    <row r="13" spans="1:10" ht="15" customHeight="1" x14ac:dyDescent="0.45">
      <c r="A13" s="81" t="s">
        <v>653</v>
      </c>
      <c r="B13" s="83">
        <v>0.54</v>
      </c>
      <c r="C13" s="83">
        <v>0.53</v>
      </c>
      <c r="E13" s="81" t="s">
        <v>685</v>
      </c>
      <c r="F13" s="83">
        <v>0.72</v>
      </c>
      <c r="G13" s="83">
        <v>0.68</v>
      </c>
      <c r="H13" s="82" t="s">
        <v>677</v>
      </c>
      <c r="J13" s="28" t="str">
        <v>Fire station</v>
      </c>
    </row>
    <row r="14" spans="1:10" ht="15" customHeight="1" x14ac:dyDescent="0.45">
      <c r="A14" s="81" t="s">
        <v>654</v>
      </c>
      <c r="B14" s="83">
        <v>0.75</v>
      </c>
      <c r="C14" s="83">
        <v>0.71</v>
      </c>
      <c r="E14" s="81" t="s">
        <v>686</v>
      </c>
      <c r="F14" s="83">
        <v>0.33</v>
      </c>
      <c r="G14" s="83">
        <v>0.26</v>
      </c>
      <c r="H14" s="82" t="s">
        <v>677</v>
      </c>
      <c r="J14" s="28" t="str">
        <v>Gymnasium</v>
      </c>
    </row>
    <row r="15" spans="1:10" ht="15" customHeight="1" x14ac:dyDescent="0.45">
      <c r="A15" s="81" t="s">
        <v>655</v>
      </c>
      <c r="B15" s="83">
        <v>0.7</v>
      </c>
      <c r="C15" s="83">
        <v>0.77</v>
      </c>
      <c r="E15" s="81" t="s">
        <v>687</v>
      </c>
      <c r="F15" s="83">
        <v>0.23</v>
      </c>
      <c r="G15" s="83">
        <v>0.22</v>
      </c>
      <c r="H15" s="82" t="s">
        <v>677</v>
      </c>
      <c r="J15" s="28" t="str">
        <v>Health care clinic</v>
      </c>
    </row>
    <row r="16" spans="1:10" ht="15" customHeight="1" x14ac:dyDescent="0.45">
      <c r="A16" s="81" t="s">
        <v>550</v>
      </c>
      <c r="B16" s="83">
        <v>0.84</v>
      </c>
      <c r="C16" s="83">
        <v>0.92</v>
      </c>
      <c r="E16" s="81" t="s">
        <v>688</v>
      </c>
      <c r="F16" s="83">
        <v>0.61</v>
      </c>
      <c r="G16" s="83"/>
      <c r="H16" s="82" t="s">
        <v>677</v>
      </c>
      <c r="J16" s="28" t="str">
        <v>Hospital</v>
      </c>
    </row>
    <row r="17" spans="1:10" ht="15" customHeight="1" x14ac:dyDescent="0.45">
      <c r="A17" s="81" t="s">
        <v>788</v>
      </c>
      <c r="B17" s="83">
        <v>0.56000000000000005</v>
      </c>
      <c r="C17" s="83">
        <v>0.5</v>
      </c>
      <c r="E17" s="81" t="s">
        <v>689</v>
      </c>
      <c r="F17" s="83">
        <v>0.89</v>
      </c>
      <c r="G17" s="83">
        <v>0.74</v>
      </c>
      <c r="H17" s="82" t="s">
        <v>677</v>
      </c>
      <c r="J17" s="28" t="str">
        <v>Hotel / motel</v>
      </c>
    </row>
    <row r="18" spans="1:10" ht="15" customHeight="1" x14ac:dyDescent="0.45">
      <c r="A18" s="81" t="s">
        <v>656</v>
      </c>
      <c r="B18" s="83">
        <v>0.83</v>
      </c>
      <c r="C18" s="83">
        <v>0.79</v>
      </c>
      <c r="E18" s="81" t="s">
        <v>690</v>
      </c>
      <c r="F18" s="83">
        <v>0.71</v>
      </c>
      <c r="G18" s="83">
        <v>0.68</v>
      </c>
      <c r="H18" s="82" t="s">
        <v>677</v>
      </c>
      <c r="J18" s="28" t="str">
        <v>Library</v>
      </c>
    </row>
    <row r="19" spans="1:10" ht="15" customHeight="1" x14ac:dyDescent="0.45">
      <c r="A19" s="81" t="s">
        <v>657</v>
      </c>
      <c r="B19" s="83">
        <v>0.82</v>
      </c>
      <c r="C19" s="83">
        <v>0.78</v>
      </c>
      <c r="E19" s="81" t="s">
        <v>691</v>
      </c>
      <c r="F19" s="83">
        <v>0.94</v>
      </c>
      <c r="G19" s="83">
        <v>0.71</v>
      </c>
      <c r="H19" s="82" t="s">
        <v>677</v>
      </c>
      <c r="J19" s="28" t="str">
        <v>Manufacturing facility</v>
      </c>
    </row>
    <row r="20" spans="1:10" ht="15" customHeight="1" x14ac:dyDescent="0.45">
      <c r="A20" s="81" t="s">
        <v>658</v>
      </c>
      <c r="B20" s="83">
        <v>0.44</v>
      </c>
      <c r="C20" s="83">
        <v>0.41</v>
      </c>
      <c r="E20" s="81" t="s">
        <v>692</v>
      </c>
      <c r="F20" s="83">
        <v>0.97</v>
      </c>
      <c r="G20" s="83">
        <v>0.84</v>
      </c>
      <c r="H20" s="82" t="s">
        <v>677</v>
      </c>
      <c r="J20" s="28" t="str">
        <v>Motion picture theater</v>
      </c>
    </row>
    <row r="21" spans="1:10" ht="15" customHeight="1" x14ac:dyDescent="0.45">
      <c r="A21" s="81" t="s">
        <v>789</v>
      </c>
      <c r="B21" s="83">
        <v>0.41</v>
      </c>
      <c r="C21" s="83">
        <v>0.44</v>
      </c>
      <c r="E21" s="81" t="s">
        <v>693</v>
      </c>
      <c r="F21" s="83">
        <v>0.7</v>
      </c>
      <c r="G21" s="83"/>
      <c r="H21" s="82" t="s">
        <v>677</v>
      </c>
      <c r="J21" s="28" t="str">
        <v>Multifamily</v>
      </c>
    </row>
    <row r="22" spans="1:10" ht="15" customHeight="1" x14ac:dyDescent="0.45">
      <c r="A22" s="81" t="s">
        <v>659</v>
      </c>
      <c r="B22" s="83">
        <v>0.55000000000000004</v>
      </c>
      <c r="C22" s="83">
        <v>0.53</v>
      </c>
      <c r="E22" s="81" t="s">
        <v>694</v>
      </c>
      <c r="F22" s="83">
        <v>0.31</v>
      </c>
      <c r="G22" s="83">
        <v>0.53</v>
      </c>
      <c r="H22" s="82" t="s">
        <v>677</v>
      </c>
      <c r="J22" s="28" t="str">
        <v>Museum</v>
      </c>
    </row>
    <row r="23" spans="1:10" ht="15" customHeight="1" x14ac:dyDescent="0.45">
      <c r="A23" s="81" t="s">
        <v>660</v>
      </c>
      <c r="B23" s="83">
        <v>0.64</v>
      </c>
      <c r="C23" s="83">
        <v>0.59</v>
      </c>
      <c r="E23" s="81" t="s">
        <v>695</v>
      </c>
      <c r="F23" s="83">
        <v>0.71</v>
      </c>
      <c r="G23" s="83">
        <v>0.71</v>
      </c>
      <c r="H23" s="82" t="s">
        <v>677</v>
      </c>
      <c r="J23" s="28" t="str">
        <v>Office</v>
      </c>
    </row>
    <row r="24" spans="1:10" ht="15" customHeight="1" x14ac:dyDescent="0.45">
      <c r="A24" s="81" t="s">
        <v>661</v>
      </c>
      <c r="B24" s="83">
        <v>0.14000000000000001</v>
      </c>
      <c r="C24" s="83">
        <v>0.16</v>
      </c>
      <c r="E24" s="81" t="s">
        <v>696</v>
      </c>
      <c r="F24" s="83">
        <v>0.71</v>
      </c>
      <c r="G24" s="83">
        <v>0.61</v>
      </c>
      <c r="H24" s="82" t="s">
        <v>677</v>
      </c>
      <c r="J24" s="28" t="str">
        <v>Parking garage</v>
      </c>
    </row>
    <row r="25" spans="1:10" ht="15" customHeight="1" x14ac:dyDescent="0.45">
      <c r="A25" s="81" t="s">
        <v>662</v>
      </c>
      <c r="B25" s="83">
        <v>0.65</v>
      </c>
      <c r="C25" s="83">
        <v>0.65</v>
      </c>
      <c r="E25" s="81" t="s">
        <v>697</v>
      </c>
      <c r="F25" s="83">
        <v>0.41</v>
      </c>
      <c r="G25" s="83"/>
      <c r="H25" s="82" t="s">
        <v>677</v>
      </c>
      <c r="J25" s="28" t="str">
        <v>Penitentiary</v>
      </c>
    </row>
    <row r="26" spans="1:10" ht="15" customHeight="1" x14ac:dyDescent="0.45">
      <c r="A26" s="81" t="s">
        <v>663</v>
      </c>
      <c r="B26" s="83">
        <v>0.84</v>
      </c>
      <c r="C26" s="83">
        <v>0.78</v>
      </c>
      <c r="E26" s="81" t="s">
        <v>698</v>
      </c>
      <c r="F26" s="83">
        <v>0.41</v>
      </c>
      <c r="G26" s="83">
        <v>0.42</v>
      </c>
      <c r="H26" s="82" t="s">
        <v>677</v>
      </c>
      <c r="J26" s="28" t="str">
        <v>Performing arts theater</v>
      </c>
    </row>
    <row r="27" spans="1:10" ht="15" customHeight="1" x14ac:dyDescent="0.45">
      <c r="A27" s="81" t="s">
        <v>664</v>
      </c>
      <c r="B27" s="83">
        <v>0.66</v>
      </c>
      <c r="C27" s="83">
        <v>0.59</v>
      </c>
      <c r="E27" s="81" t="s">
        <v>699</v>
      </c>
      <c r="F27" s="83">
        <v>1.2</v>
      </c>
      <c r="G27" s="83">
        <v>1.03</v>
      </c>
      <c r="H27" s="82" t="s">
        <v>677</v>
      </c>
      <c r="J27" s="28" t="str">
        <v>Police station</v>
      </c>
    </row>
    <row r="28" spans="1:10" ht="15" customHeight="1" x14ac:dyDescent="0.45">
      <c r="A28" s="81" t="s">
        <v>665</v>
      </c>
      <c r="B28" s="83">
        <v>0.65</v>
      </c>
      <c r="C28" s="83">
        <v>0.61</v>
      </c>
      <c r="E28" s="81" t="s">
        <v>700</v>
      </c>
      <c r="F28" s="83">
        <v>0.42</v>
      </c>
      <c r="G28" s="83">
        <v>0.35</v>
      </c>
      <c r="H28" s="82" t="s">
        <v>677</v>
      </c>
      <c r="J28" s="28" t="str">
        <v>Post office</v>
      </c>
    </row>
    <row r="29" spans="1:10" ht="15" customHeight="1" x14ac:dyDescent="0.45">
      <c r="A29" s="81" t="s">
        <v>666</v>
      </c>
      <c r="B29" s="83">
        <v>0.67</v>
      </c>
      <c r="C29" s="83">
        <v>0.63</v>
      </c>
      <c r="E29" s="81" t="s">
        <v>701</v>
      </c>
      <c r="F29" s="83">
        <v>1.27</v>
      </c>
      <c r="G29" s="83">
        <v>1.22</v>
      </c>
      <c r="H29" s="82" t="s">
        <v>677</v>
      </c>
      <c r="J29" s="28" t="str">
        <v>Religious building</v>
      </c>
    </row>
    <row r="30" spans="1:10" ht="15" customHeight="1" x14ac:dyDescent="0.45">
      <c r="A30" s="81" t="s">
        <v>667</v>
      </c>
      <c r="B30" s="83">
        <v>0.84</v>
      </c>
      <c r="C30" s="83">
        <v>0.74</v>
      </c>
      <c r="E30" s="81" t="s">
        <v>702</v>
      </c>
      <c r="F30" s="83">
        <v>0.86</v>
      </c>
      <c r="G30" s="83">
        <v>0.72</v>
      </c>
      <c r="H30" s="82" t="s">
        <v>677</v>
      </c>
      <c r="J30" s="28" t="str">
        <v>Retail</v>
      </c>
    </row>
    <row r="31" spans="1:10" ht="15" customHeight="1" x14ac:dyDescent="0.45">
      <c r="A31" s="81" t="s">
        <v>668</v>
      </c>
      <c r="B31" s="83">
        <v>0.7</v>
      </c>
      <c r="C31" s="83">
        <v>0.67</v>
      </c>
      <c r="E31" s="81" t="s">
        <v>703</v>
      </c>
      <c r="F31" s="83">
        <v>0.4</v>
      </c>
      <c r="G31" s="83">
        <v>0.34</v>
      </c>
      <c r="H31" s="82" t="s">
        <v>677</v>
      </c>
      <c r="J31" s="28" t="str">
        <v>School/university</v>
      </c>
    </row>
    <row r="32" spans="1:10" ht="15" customHeight="1" x14ac:dyDescent="0.45">
      <c r="A32" s="81" t="s">
        <v>669</v>
      </c>
      <c r="B32" s="83">
        <v>0.62</v>
      </c>
      <c r="C32" s="83">
        <v>0.69</v>
      </c>
      <c r="E32" s="81" t="s">
        <v>704</v>
      </c>
      <c r="F32" s="83">
        <v>0.6</v>
      </c>
      <c r="G32" s="83">
        <v>0.49</v>
      </c>
      <c r="H32" s="82" t="s">
        <v>677</v>
      </c>
      <c r="J32" s="28" t="str">
        <v>Sports arena</v>
      </c>
    </row>
    <row r="33" spans="1:10" ht="15" customHeight="1" x14ac:dyDescent="0.45">
      <c r="A33" s="81" t="s">
        <v>670</v>
      </c>
      <c r="B33" s="83">
        <v>0.69</v>
      </c>
      <c r="C33" s="83">
        <v>0.64</v>
      </c>
      <c r="E33" s="81" t="s">
        <v>705</v>
      </c>
      <c r="F33" s="83">
        <v>0.43</v>
      </c>
      <c r="G33" s="83">
        <v>0.4</v>
      </c>
      <c r="H33" s="82" t="s">
        <v>677</v>
      </c>
      <c r="J33" s="28" t="str">
        <v>Town hall</v>
      </c>
    </row>
    <row r="34" spans="1:10" ht="15" customHeight="1" x14ac:dyDescent="0.45">
      <c r="A34" s="81" t="s">
        <v>671</v>
      </c>
      <c r="B34" s="83">
        <v>0.5</v>
      </c>
      <c r="C34" s="83">
        <v>0.53</v>
      </c>
      <c r="E34" s="81" t="s">
        <v>706</v>
      </c>
      <c r="F34" s="83">
        <v>0.43</v>
      </c>
      <c r="G34" s="83">
        <v>0.64</v>
      </c>
      <c r="H34" s="82" t="s">
        <v>677</v>
      </c>
      <c r="J34" s="28" t="str">
        <v>Transportation</v>
      </c>
    </row>
    <row r="35" spans="1:10" ht="15" customHeight="1" x14ac:dyDescent="0.45">
      <c r="A35" s="81" t="s">
        <v>672</v>
      </c>
      <c r="B35" s="83">
        <v>0.4</v>
      </c>
      <c r="C35" s="83">
        <v>0.43</v>
      </c>
      <c r="E35" s="81" t="s">
        <v>707</v>
      </c>
      <c r="F35" s="83">
        <v>0.52</v>
      </c>
      <c r="G35" s="83">
        <v>0.48</v>
      </c>
      <c r="H35" s="82" t="s">
        <v>677</v>
      </c>
      <c r="J35" s="28" t="str">
        <v>Warehouse</v>
      </c>
    </row>
    <row r="36" spans="1:10" ht="15" customHeight="1" x14ac:dyDescent="0.45">
      <c r="A36" s="81" t="s">
        <v>673</v>
      </c>
      <c r="B36" s="83">
        <v>0.91</v>
      </c>
      <c r="C36" s="83">
        <v>0.82</v>
      </c>
      <c r="E36" s="81" t="s">
        <v>708</v>
      </c>
      <c r="F36" s="83">
        <v>1.0900000000000001</v>
      </c>
      <c r="G36" s="83">
        <v>1.1299999999999999</v>
      </c>
      <c r="H36" s="82" t="s">
        <v>677</v>
      </c>
      <c r="J36" s="28" t="str">
        <v>Workshop</v>
      </c>
    </row>
    <row r="37" spans="1:10" ht="15" customHeight="1" x14ac:dyDescent="0.45">
      <c r="E37" s="81" t="s">
        <v>709</v>
      </c>
      <c r="F37" s="83">
        <v>0.41</v>
      </c>
      <c r="G37" s="83"/>
      <c r="H37" s="82" t="s">
        <v>677</v>
      </c>
      <c r="J37" s="28"/>
    </row>
    <row r="38" spans="1:10" ht="15" customHeight="1" x14ac:dyDescent="0.45">
      <c r="E38" s="81" t="s">
        <v>710</v>
      </c>
      <c r="F38" s="83">
        <v>1.1100000000000001</v>
      </c>
      <c r="G38" s="83">
        <v>1</v>
      </c>
      <c r="H38" s="82" t="s">
        <v>677</v>
      </c>
      <c r="J38" s="28"/>
    </row>
    <row r="39" spans="1:10" ht="15" customHeight="1" x14ac:dyDescent="0.45">
      <c r="E39" s="81" t="s">
        <v>711</v>
      </c>
      <c r="F39" s="83">
        <v>1.33</v>
      </c>
      <c r="G39" s="83">
        <v>1.1399999999999999</v>
      </c>
      <c r="H39" s="82" t="s">
        <v>677</v>
      </c>
      <c r="J39" s="28"/>
    </row>
    <row r="40" spans="1:10" ht="15" customHeight="1" x14ac:dyDescent="0.45">
      <c r="E40" s="81" t="s">
        <v>712</v>
      </c>
      <c r="F40" s="83">
        <v>0.53</v>
      </c>
      <c r="G40" s="83">
        <v>0.48</v>
      </c>
      <c r="H40" s="82" t="s">
        <v>677</v>
      </c>
      <c r="J40" s="28"/>
    </row>
    <row r="41" spans="1:10" ht="15" customHeight="1" x14ac:dyDescent="0.45">
      <c r="E41" s="81" t="s">
        <v>713</v>
      </c>
      <c r="F41" s="83">
        <v>0.88</v>
      </c>
      <c r="G41" s="83">
        <v>0.83</v>
      </c>
      <c r="H41" s="82" t="s">
        <v>677</v>
      </c>
      <c r="J41" s="28"/>
    </row>
    <row r="42" spans="1:10" ht="15" customHeight="1" x14ac:dyDescent="0.45">
      <c r="E42" s="81" t="s">
        <v>714</v>
      </c>
      <c r="F42" s="83">
        <v>1.69</v>
      </c>
      <c r="G42" s="83">
        <v>1.44</v>
      </c>
      <c r="H42" s="82" t="s">
        <v>677</v>
      </c>
      <c r="J42" s="28"/>
    </row>
    <row r="43" spans="1:10" ht="15" customHeight="1" x14ac:dyDescent="0.45">
      <c r="E43" s="81" t="s">
        <v>715</v>
      </c>
      <c r="F43" s="83">
        <v>0.65</v>
      </c>
      <c r="G43" s="83">
        <v>0.61</v>
      </c>
      <c r="H43" s="82" t="s">
        <v>677</v>
      </c>
      <c r="J43" s="28"/>
    </row>
    <row r="44" spans="1:10" ht="15" customHeight="1" x14ac:dyDescent="0.45">
      <c r="E44" s="81" t="s">
        <v>716</v>
      </c>
      <c r="F44" s="83">
        <v>0.51</v>
      </c>
      <c r="G44" s="83">
        <v>0.46</v>
      </c>
      <c r="H44" s="82" t="s">
        <v>677</v>
      </c>
      <c r="J44" s="28"/>
    </row>
    <row r="45" spans="1:10" ht="15" customHeight="1" x14ac:dyDescent="0.45">
      <c r="E45" s="81" t="s">
        <v>717</v>
      </c>
      <c r="F45" s="83">
        <v>0.23</v>
      </c>
      <c r="G45" s="83">
        <v>0.19</v>
      </c>
      <c r="H45" s="82" t="s">
        <v>677</v>
      </c>
      <c r="J45" s="28"/>
    </row>
    <row r="46" spans="1:10" ht="15" customHeight="1" x14ac:dyDescent="0.45">
      <c r="E46" s="81" t="s">
        <v>718</v>
      </c>
      <c r="F46" s="83">
        <v>1.25</v>
      </c>
      <c r="G46" s="83">
        <v>1.1399999999999999</v>
      </c>
      <c r="H46" s="82" t="s">
        <v>677</v>
      </c>
      <c r="J46" s="28"/>
    </row>
    <row r="47" spans="1:10" ht="15" customHeight="1" x14ac:dyDescent="0.45">
      <c r="E47" s="81" t="s">
        <v>719</v>
      </c>
      <c r="F47" s="83">
        <v>0.84</v>
      </c>
      <c r="G47" s="83">
        <v>0.76</v>
      </c>
      <c r="H47" s="82" t="s">
        <v>677</v>
      </c>
      <c r="J47" s="28"/>
    </row>
    <row r="48" spans="1:10" ht="15" customHeight="1" x14ac:dyDescent="0.45">
      <c r="E48" s="81" t="s">
        <v>720</v>
      </c>
      <c r="F48" s="83">
        <v>0.52</v>
      </c>
      <c r="G48" s="83">
        <v>0.41</v>
      </c>
      <c r="H48" s="82" t="s">
        <v>677</v>
      </c>
      <c r="J48" s="28"/>
    </row>
    <row r="49" spans="5:10" ht="15" customHeight="1" x14ac:dyDescent="0.45">
      <c r="E49" s="81" t="s">
        <v>721</v>
      </c>
      <c r="F49" s="83">
        <v>0.42</v>
      </c>
      <c r="G49" s="83">
        <v>0.77</v>
      </c>
      <c r="H49" s="82" t="s">
        <v>677</v>
      </c>
      <c r="J49" s="28"/>
    </row>
    <row r="50" spans="5:10" ht="15" customHeight="1" x14ac:dyDescent="0.45">
      <c r="E50" s="81" t="s">
        <v>722</v>
      </c>
      <c r="F50" s="83">
        <v>0.59</v>
      </c>
      <c r="G50" s="83">
        <v>0.52</v>
      </c>
      <c r="H50" s="82" t="s">
        <v>677</v>
      </c>
      <c r="J50" s="28"/>
    </row>
    <row r="51" spans="5:10" ht="15" customHeight="1" x14ac:dyDescent="0.45">
      <c r="E51" s="81" t="s">
        <v>723</v>
      </c>
      <c r="F51" s="83">
        <v>0.74</v>
      </c>
      <c r="G51" s="83">
        <v>0.69</v>
      </c>
      <c r="H51" s="82" t="s">
        <v>677</v>
      </c>
      <c r="J51" s="28"/>
    </row>
    <row r="52" spans="5:10" ht="15" customHeight="1" x14ac:dyDescent="0.45">
      <c r="E52" s="81" t="s">
        <v>724</v>
      </c>
      <c r="F52" s="83">
        <v>0.66</v>
      </c>
      <c r="G52" s="83">
        <v>0.69</v>
      </c>
      <c r="H52" s="82" t="s">
        <v>677</v>
      </c>
      <c r="J52" s="28"/>
    </row>
    <row r="53" spans="5:10" ht="15" customHeight="1" x14ac:dyDescent="0.45">
      <c r="E53" s="81" t="s">
        <v>725</v>
      </c>
      <c r="F53" s="83">
        <v>0.61</v>
      </c>
      <c r="G53" s="83">
        <v>0.53</v>
      </c>
      <c r="H53" s="82" t="s">
        <v>677</v>
      </c>
      <c r="J53" s="28"/>
    </row>
    <row r="54" spans="5:10" ht="15" customHeight="1" x14ac:dyDescent="0.45">
      <c r="E54" s="81" t="s">
        <v>726</v>
      </c>
      <c r="F54" s="83">
        <v>0.15</v>
      </c>
      <c r="G54" s="83">
        <v>0.1</v>
      </c>
      <c r="H54" s="82" t="s">
        <v>677</v>
      </c>
      <c r="J54" s="28"/>
    </row>
    <row r="55" spans="5:10" ht="15" customHeight="1" x14ac:dyDescent="0.45">
      <c r="E55" s="81" t="s">
        <v>727</v>
      </c>
      <c r="F55" s="83">
        <v>1.66</v>
      </c>
      <c r="G55" s="83">
        <v>1.59</v>
      </c>
      <c r="H55" s="82" t="s">
        <v>677</v>
      </c>
      <c r="J55" s="28"/>
    </row>
    <row r="56" spans="5:10" ht="15" customHeight="1" x14ac:dyDescent="0.45">
      <c r="E56" s="81" t="s">
        <v>728</v>
      </c>
      <c r="F56" s="83">
        <v>1.26</v>
      </c>
      <c r="G56" s="83">
        <v>0.96</v>
      </c>
      <c r="H56" s="82" t="s">
        <v>677</v>
      </c>
      <c r="J56" s="28"/>
    </row>
    <row r="57" spans="5:10" ht="15" customHeight="1" x14ac:dyDescent="0.45">
      <c r="E57" s="81" t="s">
        <v>729</v>
      </c>
      <c r="F57" s="83">
        <v>0.63</v>
      </c>
      <c r="G57" s="83">
        <v>0.7</v>
      </c>
      <c r="H57" s="82" t="s">
        <v>677</v>
      </c>
      <c r="J57" s="28"/>
    </row>
    <row r="58" spans="5:10" ht="15" customHeight="1" x14ac:dyDescent="0.45">
      <c r="E58" s="81" t="s">
        <v>730</v>
      </c>
      <c r="F58" s="83">
        <v>1.05</v>
      </c>
      <c r="G58" s="83">
        <v>0.81</v>
      </c>
      <c r="H58" s="82" t="s">
        <v>677</v>
      </c>
      <c r="J58" s="28"/>
    </row>
    <row r="59" spans="5:10" ht="15" customHeight="1" x14ac:dyDescent="0.45">
      <c r="E59" s="81" t="s">
        <v>731</v>
      </c>
      <c r="F59" s="83">
        <v>0.23</v>
      </c>
      <c r="G59" s="83">
        <v>0.2</v>
      </c>
      <c r="H59" s="82" t="s">
        <v>677</v>
      </c>
      <c r="J59" s="28"/>
    </row>
    <row r="60" spans="5:10" ht="15" customHeight="1" x14ac:dyDescent="0.45">
      <c r="E60" s="81" t="s">
        <v>791</v>
      </c>
      <c r="F60" s="83"/>
      <c r="G60" s="83">
        <v>0.64</v>
      </c>
      <c r="H60" s="82" t="s">
        <v>677</v>
      </c>
      <c r="J60" s="28"/>
    </row>
    <row r="61" spans="5:10" ht="15" customHeight="1" x14ac:dyDescent="0.45">
      <c r="E61" s="81" t="s">
        <v>792</v>
      </c>
      <c r="F61" s="83"/>
      <c r="G61" s="83">
        <v>0.93</v>
      </c>
      <c r="H61" s="82" t="s">
        <v>677</v>
      </c>
      <c r="J61" s="28"/>
    </row>
    <row r="62" spans="5:10" ht="15" customHeight="1" x14ac:dyDescent="0.45">
      <c r="E62" s="81" t="s">
        <v>793</v>
      </c>
      <c r="F62" s="83"/>
      <c r="G62" s="83">
        <v>0.56000000000000005</v>
      </c>
      <c r="H62" s="82" t="s">
        <v>677</v>
      </c>
      <c r="J62" s="28"/>
    </row>
    <row r="63" spans="5:10" ht="15" customHeight="1" x14ac:dyDescent="0.45">
      <c r="E63" s="81" t="s">
        <v>732</v>
      </c>
      <c r="F63" s="83">
        <v>0.49</v>
      </c>
      <c r="G63" s="83">
        <v>0.45</v>
      </c>
      <c r="H63" s="82" t="s">
        <v>677</v>
      </c>
      <c r="J63" s="28"/>
    </row>
    <row r="64" spans="5:10" ht="15" customHeight="1" x14ac:dyDescent="0.45">
      <c r="E64" s="81" t="s">
        <v>733</v>
      </c>
      <c r="F64" s="83">
        <v>0.51</v>
      </c>
      <c r="G64" s="83">
        <v>0.47</v>
      </c>
      <c r="H64" s="82" t="s">
        <v>677</v>
      </c>
      <c r="J64" s="28"/>
    </row>
    <row r="65" spans="5:10" ht="15" customHeight="1" x14ac:dyDescent="0.45">
      <c r="E65" s="81" t="s">
        <v>734</v>
      </c>
      <c r="F65" s="83">
        <v>0.38</v>
      </c>
      <c r="G65" s="83"/>
      <c r="H65" s="82" t="s">
        <v>677</v>
      </c>
      <c r="J65" s="28"/>
    </row>
    <row r="66" spans="5:10" ht="15" customHeight="1" x14ac:dyDescent="0.45">
      <c r="E66" s="81" t="s">
        <v>735</v>
      </c>
      <c r="F66" s="83">
        <v>0.38</v>
      </c>
      <c r="G66" s="83">
        <v>0.33</v>
      </c>
      <c r="H66" s="82" t="s">
        <v>677</v>
      </c>
      <c r="J66" s="28"/>
    </row>
    <row r="67" spans="5:10" ht="15" customHeight="1" x14ac:dyDescent="0.45">
      <c r="E67" s="81" t="s">
        <v>736</v>
      </c>
      <c r="F67" s="83">
        <v>0.6</v>
      </c>
      <c r="G67" s="83">
        <v>0.56000000000000005</v>
      </c>
      <c r="H67" s="82" t="s">
        <v>677</v>
      </c>
      <c r="J67" s="28"/>
    </row>
    <row r="68" spans="5:10" ht="15" customHeight="1" x14ac:dyDescent="0.45">
      <c r="E68" s="81" t="s">
        <v>673</v>
      </c>
      <c r="F68" s="83">
        <v>1.26</v>
      </c>
      <c r="G68" s="83">
        <v>1.1100000000000001</v>
      </c>
      <c r="H68" s="82" t="s">
        <v>677</v>
      </c>
      <c r="J68" s="28"/>
    </row>
    <row r="69" spans="5:10" ht="15" customHeight="1" x14ac:dyDescent="0.45">
      <c r="E69" s="81" t="s">
        <v>737</v>
      </c>
      <c r="F69" s="83">
        <v>0.61</v>
      </c>
      <c r="G69" s="83">
        <v>0.48</v>
      </c>
      <c r="H69" s="82" t="s">
        <v>738</v>
      </c>
      <c r="J69" s="28"/>
    </row>
    <row r="70" spans="5:10" ht="15" customHeight="1" x14ac:dyDescent="0.45">
      <c r="E70" s="81" t="s">
        <v>739</v>
      </c>
      <c r="F70" s="83">
        <v>0.5</v>
      </c>
      <c r="G70" s="83"/>
      <c r="H70" s="82" t="s">
        <v>738</v>
      </c>
      <c r="J70" s="28"/>
    </row>
    <row r="71" spans="5:10" ht="15" customHeight="1" x14ac:dyDescent="0.45">
      <c r="E71" s="81" t="s">
        <v>740</v>
      </c>
      <c r="F71" s="83">
        <v>0.7</v>
      </c>
      <c r="G71" s="83">
        <v>0.57999999999999996</v>
      </c>
      <c r="H71" s="82" t="s">
        <v>738</v>
      </c>
      <c r="J71" s="28"/>
    </row>
    <row r="72" spans="5:10" ht="15" customHeight="1" x14ac:dyDescent="0.45">
      <c r="E72" s="81" t="s">
        <v>741</v>
      </c>
      <c r="F72" s="83">
        <v>1.77</v>
      </c>
      <c r="G72" s="83">
        <v>1.2</v>
      </c>
      <c r="H72" s="82" t="s">
        <v>738</v>
      </c>
      <c r="J72" s="28"/>
    </row>
    <row r="73" spans="5:10" ht="15" customHeight="1" x14ac:dyDescent="0.45">
      <c r="E73" s="81" t="s">
        <v>742</v>
      </c>
      <c r="F73" s="83">
        <v>0.23</v>
      </c>
      <c r="G73" s="83"/>
      <c r="H73" s="82" t="s">
        <v>738</v>
      </c>
      <c r="J73" s="28"/>
    </row>
    <row r="74" spans="5:10" ht="15" customHeight="1" x14ac:dyDescent="0.45">
      <c r="E74" s="81" t="s">
        <v>794</v>
      </c>
      <c r="F74" s="83"/>
      <c r="G74" s="83">
        <v>1.6</v>
      </c>
      <c r="H74" s="82" t="s">
        <v>738</v>
      </c>
      <c r="J74" s="28"/>
    </row>
    <row r="75" spans="5:10" ht="15" customHeight="1" x14ac:dyDescent="0.45">
      <c r="E75" s="81" t="s">
        <v>795</v>
      </c>
      <c r="F75" s="83"/>
      <c r="G75" s="83">
        <v>0.51</v>
      </c>
      <c r="H75" s="82" t="s">
        <v>738</v>
      </c>
      <c r="J75" s="28"/>
    </row>
    <row r="76" spans="5:10" ht="15" customHeight="1" x14ac:dyDescent="0.45">
      <c r="E76" s="81" t="s">
        <v>796</v>
      </c>
      <c r="F76" s="83"/>
      <c r="G76" s="83">
        <v>0.78</v>
      </c>
      <c r="H76" s="82" t="s">
        <v>738</v>
      </c>
      <c r="J76" s="28"/>
    </row>
    <row r="77" spans="5:10" ht="15" customHeight="1" x14ac:dyDescent="0.45">
      <c r="E77" s="81" t="s">
        <v>797</v>
      </c>
      <c r="F77" s="83"/>
      <c r="G77" s="83">
        <v>1.04</v>
      </c>
      <c r="H77" s="82" t="s">
        <v>738</v>
      </c>
      <c r="J77" s="28"/>
    </row>
    <row r="78" spans="5:10" ht="15" customHeight="1" x14ac:dyDescent="0.45">
      <c r="E78" s="81" t="s">
        <v>743</v>
      </c>
      <c r="F78" s="83">
        <v>0.9</v>
      </c>
      <c r="G78" s="83">
        <v>0.78</v>
      </c>
      <c r="H78" s="82" t="s">
        <v>738</v>
      </c>
      <c r="J78" s="28"/>
    </row>
    <row r="79" spans="5:10" ht="15" customHeight="1" x14ac:dyDescent="0.45">
      <c r="E79" s="81" t="s">
        <v>744</v>
      </c>
      <c r="F79" s="83">
        <v>0.85</v>
      </c>
      <c r="G79" s="83">
        <v>0.78</v>
      </c>
      <c r="H79" s="82" t="s">
        <v>738</v>
      </c>
      <c r="J79" s="28"/>
    </row>
    <row r="80" spans="5:10" ht="15" customHeight="1" x14ac:dyDescent="0.45">
      <c r="E80" s="81" t="s">
        <v>745</v>
      </c>
      <c r="F80" s="83">
        <v>1.4</v>
      </c>
      <c r="G80" s="83">
        <v>1.33</v>
      </c>
      <c r="H80" s="82" t="s">
        <v>738</v>
      </c>
      <c r="J80" s="28"/>
    </row>
    <row r="81" spans="5:10" ht="15" customHeight="1" x14ac:dyDescent="0.45">
      <c r="E81" s="81" t="s">
        <v>746</v>
      </c>
      <c r="F81" s="83">
        <v>0.94</v>
      </c>
      <c r="G81" s="83">
        <v>0.94</v>
      </c>
      <c r="H81" s="82" t="s">
        <v>738</v>
      </c>
      <c r="J81" s="28"/>
    </row>
    <row r="82" spans="5:10" ht="15" customHeight="1" x14ac:dyDescent="0.45">
      <c r="E82" s="81" t="s">
        <v>747</v>
      </c>
      <c r="F82" s="83">
        <v>0.62</v>
      </c>
      <c r="G82" s="83">
        <v>0.56000000000000005</v>
      </c>
      <c r="H82" s="82" t="s">
        <v>738</v>
      </c>
      <c r="J82" s="28"/>
    </row>
    <row r="83" spans="5:10" ht="15" customHeight="1" x14ac:dyDescent="0.45">
      <c r="E83" s="81" t="s">
        <v>748</v>
      </c>
      <c r="F83" s="83">
        <v>0.92</v>
      </c>
      <c r="G83" s="83">
        <v>0.87</v>
      </c>
      <c r="H83" s="82" t="s">
        <v>738</v>
      </c>
      <c r="J83" s="28"/>
    </row>
    <row r="84" spans="5:10" ht="15" customHeight="1" x14ac:dyDescent="0.45">
      <c r="E84" s="81" t="s">
        <v>749</v>
      </c>
      <c r="F84" s="83">
        <v>1.17</v>
      </c>
      <c r="G84" s="83">
        <v>1.07</v>
      </c>
      <c r="H84" s="82" t="s">
        <v>738</v>
      </c>
      <c r="J84" s="28"/>
    </row>
    <row r="85" spans="5:10" ht="15" customHeight="1" x14ac:dyDescent="0.45">
      <c r="E85" s="81" t="s">
        <v>750</v>
      </c>
      <c r="F85" s="83">
        <v>2.2599999999999998</v>
      </c>
      <c r="G85" s="83">
        <v>2.2599999999999998</v>
      </c>
      <c r="H85" s="82" t="s">
        <v>738</v>
      </c>
      <c r="J85" s="28"/>
    </row>
    <row r="86" spans="5:10" ht="15" customHeight="1" x14ac:dyDescent="0.45">
      <c r="E86" s="81" t="s">
        <v>751</v>
      </c>
      <c r="F86" s="83">
        <v>0.68</v>
      </c>
      <c r="G86" s="83"/>
      <c r="H86" s="82" t="s">
        <v>738</v>
      </c>
      <c r="J86" s="28"/>
    </row>
    <row r="87" spans="5:10" ht="15" customHeight="1" x14ac:dyDescent="0.45">
      <c r="E87" s="81" t="s">
        <v>752</v>
      </c>
      <c r="F87" s="83">
        <v>0.91</v>
      </c>
      <c r="G87" s="83">
        <v>0.82</v>
      </c>
      <c r="H87" s="82" t="s">
        <v>738</v>
      </c>
      <c r="J87" s="28"/>
    </row>
    <row r="88" spans="5:10" ht="15" customHeight="1" x14ac:dyDescent="0.45">
      <c r="E88" s="81" t="s">
        <v>753</v>
      </c>
      <c r="F88" s="83">
        <v>1.25</v>
      </c>
      <c r="G88" s="83">
        <v>1.18</v>
      </c>
      <c r="H88" s="82" t="s">
        <v>738</v>
      </c>
      <c r="J88" s="28"/>
    </row>
    <row r="89" spans="5:10" ht="15" customHeight="1" x14ac:dyDescent="0.45">
      <c r="E89" s="81" t="s">
        <v>798</v>
      </c>
      <c r="F89" s="83"/>
      <c r="G89" s="83">
        <v>1.44</v>
      </c>
      <c r="H89" s="82" t="s">
        <v>738</v>
      </c>
      <c r="J89" s="28"/>
    </row>
    <row r="90" spans="5:10" ht="15" customHeight="1" x14ac:dyDescent="0.45">
      <c r="E90" s="81" t="s">
        <v>754</v>
      </c>
      <c r="F90" s="83">
        <v>0.96</v>
      </c>
      <c r="G90" s="83">
        <v>0.82</v>
      </c>
      <c r="H90" s="82" t="s">
        <v>738</v>
      </c>
      <c r="J90" s="28"/>
    </row>
    <row r="91" spans="5:10" ht="15" customHeight="1" x14ac:dyDescent="0.45">
      <c r="E91" s="81" t="s">
        <v>755</v>
      </c>
      <c r="F91" s="83">
        <v>1.1000000000000001</v>
      </c>
      <c r="G91" s="83">
        <v>1.1200000000000001</v>
      </c>
      <c r="H91" s="82" t="s">
        <v>738</v>
      </c>
      <c r="J91" s="28"/>
    </row>
    <row r="92" spans="5:10" ht="15" customHeight="1" x14ac:dyDescent="0.45">
      <c r="E92" s="81" t="s">
        <v>756</v>
      </c>
      <c r="F92" s="83">
        <v>0.8</v>
      </c>
      <c r="G92" s="83">
        <v>0.71</v>
      </c>
      <c r="H92" s="82" t="s">
        <v>738</v>
      </c>
      <c r="J92" s="28"/>
    </row>
    <row r="93" spans="5:10" ht="15" customHeight="1" x14ac:dyDescent="0.45">
      <c r="E93" s="81" t="s">
        <v>757</v>
      </c>
      <c r="F93" s="83">
        <v>0.76</v>
      </c>
      <c r="G93" s="83">
        <v>0.69</v>
      </c>
      <c r="H93" s="82" t="s">
        <v>738</v>
      </c>
      <c r="J93" s="28"/>
    </row>
    <row r="94" spans="5:10" ht="15" customHeight="1" x14ac:dyDescent="0.45">
      <c r="E94" s="81" t="s">
        <v>758</v>
      </c>
      <c r="F94" s="83">
        <v>1.42</v>
      </c>
      <c r="G94" s="83">
        <v>1.29</v>
      </c>
      <c r="H94" s="82" t="s">
        <v>738</v>
      </c>
      <c r="J94" s="28"/>
    </row>
    <row r="95" spans="5:10" ht="15" customHeight="1" x14ac:dyDescent="0.45">
      <c r="E95" s="81" t="s">
        <v>759</v>
      </c>
      <c r="F95" s="83">
        <v>1.24</v>
      </c>
      <c r="G95" s="83">
        <v>1.18</v>
      </c>
      <c r="H95" s="82" t="s">
        <v>738</v>
      </c>
      <c r="J95" s="28"/>
    </row>
    <row r="96" spans="5:10" ht="15" customHeight="1" x14ac:dyDescent="0.45">
      <c r="E96" s="81" t="s">
        <v>760</v>
      </c>
      <c r="F96" s="83">
        <v>0.86</v>
      </c>
      <c r="G96" s="83">
        <v>0.81</v>
      </c>
      <c r="H96" s="82" t="s">
        <v>738</v>
      </c>
      <c r="J96" s="28"/>
    </row>
    <row r="97" spans="5:10" ht="15" customHeight="1" x14ac:dyDescent="0.45">
      <c r="E97" s="81" t="s">
        <v>761</v>
      </c>
      <c r="F97" s="83">
        <v>0.31</v>
      </c>
      <c r="G97" s="83">
        <v>0.28999999999999998</v>
      </c>
      <c r="H97" s="82" t="s">
        <v>738</v>
      </c>
      <c r="J97" s="28"/>
    </row>
    <row r="98" spans="5:10" ht="15" customHeight="1" x14ac:dyDescent="0.45">
      <c r="E98" s="81" t="s">
        <v>762</v>
      </c>
      <c r="F98" s="83">
        <v>1.1000000000000001</v>
      </c>
      <c r="G98" s="83">
        <v>1.18</v>
      </c>
      <c r="H98" s="82" t="s">
        <v>738</v>
      </c>
      <c r="J98" s="28"/>
    </row>
    <row r="99" spans="5:10" ht="15" customHeight="1" x14ac:dyDescent="0.45">
      <c r="E99" s="81" t="s">
        <v>763</v>
      </c>
      <c r="F99" s="83">
        <v>0.41</v>
      </c>
      <c r="G99" s="83">
        <v>0.37</v>
      </c>
      <c r="H99" s="82" t="s">
        <v>738</v>
      </c>
      <c r="J99" s="28"/>
    </row>
    <row r="100" spans="5:10" ht="15" customHeight="1" x14ac:dyDescent="0.45">
      <c r="E100" s="81" t="s">
        <v>764</v>
      </c>
      <c r="F100" s="83">
        <v>0.76</v>
      </c>
      <c r="G100" s="83">
        <v>0.67</v>
      </c>
      <c r="H100" s="82" t="s">
        <v>738</v>
      </c>
      <c r="J100" s="28"/>
    </row>
    <row r="101" spans="5:10" ht="15" customHeight="1" x14ac:dyDescent="0.45">
      <c r="E101" s="81" t="s">
        <v>765</v>
      </c>
      <c r="F101" s="83">
        <v>0.54</v>
      </c>
      <c r="G101" s="83">
        <v>0.48</v>
      </c>
      <c r="H101" s="82" t="s">
        <v>738</v>
      </c>
      <c r="J101" s="28"/>
    </row>
    <row r="102" spans="5:10" ht="15" customHeight="1" x14ac:dyDescent="0.45">
      <c r="E102" s="81" t="s">
        <v>766</v>
      </c>
      <c r="F102" s="83">
        <v>0.85</v>
      </c>
      <c r="G102" s="83">
        <v>0.71</v>
      </c>
      <c r="H102" s="82" t="s">
        <v>738</v>
      </c>
      <c r="J102" s="28"/>
    </row>
    <row r="103" spans="5:10" ht="15" customHeight="1" x14ac:dyDescent="0.45">
      <c r="E103" s="81" t="s">
        <v>767</v>
      </c>
      <c r="F103" s="83">
        <v>0.51</v>
      </c>
      <c r="G103" s="83">
        <v>0.43</v>
      </c>
      <c r="H103" s="82" t="s">
        <v>738</v>
      </c>
      <c r="J103" s="28"/>
    </row>
    <row r="104" spans="5:10" ht="15" customHeight="1" x14ac:dyDescent="0.45">
      <c r="E104" s="81" t="s">
        <v>799</v>
      </c>
      <c r="F104" s="83"/>
      <c r="G104" s="83">
        <v>0.62</v>
      </c>
      <c r="H104" s="82" t="s">
        <v>738</v>
      </c>
      <c r="J104" s="28"/>
    </row>
    <row r="105" spans="5:10" ht="15" customHeight="1" x14ac:dyDescent="0.45">
      <c r="E105" s="81" t="s">
        <v>800</v>
      </c>
      <c r="F105" s="83"/>
      <c r="G105" s="83">
        <v>0.71</v>
      </c>
      <c r="H105" s="82" t="s">
        <v>738</v>
      </c>
      <c r="J105" s="28"/>
    </row>
    <row r="106" spans="5:10" ht="15" customHeight="1" x14ac:dyDescent="0.45">
      <c r="E106" s="81" t="s">
        <v>768</v>
      </c>
      <c r="F106" s="83">
        <v>0.82</v>
      </c>
      <c r="G106" s="83">
        <v>0.54</v>
      </c>
      <c r="H106" s="82" t="s">
        <v>738</v>
      </c>
      <c r="J106" s="28"/>
    </row>
    <row r="107" spans="5:10" ht="15" customHeight="1" x14ac:dyDescent="0.45">
      <c r="E107" s="81" t="s">
        <v>801</v>
      </c>
      <c r="F107" s="83"/>
      <c r="G107" s="83">
        <v>0.77</v>
      </c>
      <c r="H107" s="82" t="s">
        <v>738</v>
      </c>
      <c r="J107" s="28"/>
    </row>
    <row r="108" spans="5:10" ht="15" customHeight="1" x14ac:dyDescent="0.45">
      <c r="E108" s="81" t="s">
        <v>769</v>
      </c>
      <c r="F108" s="83">
        <v>2.94</v>
      </c>
      <c r="G108" s="83">
        <v>2.72</v>
      </c>
      <c r="H108" s="82" t="s">
        <v>738</v>
      </c>
      <c r="J108" s="28"/>
    </row>
    <row r="109" spans="5:10" ht="15" customHeight="1" x14ac:dyDescent="0.45">
      <c r="E109" s="81" t="s">
        <v>770</v>
      </c>
      <c r="F109" s="83">
        <v>2.0099999999999998</v>
      </c>
      <c r="G109" s="83">
        <v>1.88</v>
      </c>
      <c r="H109" s="82" t="s">
        <v>738</v>
      </c>
      <c r="J109" s="28"/>
    </row>
    <row r="110" spans="5:10" ht="15" customHeight="1" x14ac:dyDescent="0.45">
      <c r="E110" s="81" t="s">
        <v>771</v>
      </c>
      <c r="F110" s="83">
        <v>1.3</v>
      </c>
      <c r="G110" s="83">
        <v>1.23</v>
      </c>
      <c r="H110" s="82" t="s">
        <v>738</v>
      </c>
      <c r="J110" s="28"/>
    </row>
    <row r="111" spans="5:10" ht="15" customHeight="1" x14ac:dyDescent="0.45">
      <c r="E111" s="81" t="s">
        <v>772</v>
      </c>
      <c r="F111" s="83">
        <v>0.86</v>
      </c>
      <c r="G111" s="83">
        <v>0.81</v>
      </c>
      <c r="H111" s="82" t="s">
        <v>738</v>
      </c>
      <c r="J111" s="28"/>
    </row>
    <row r="112" spans="5:10" ht="15" customHeight="1" x14ac:dyDescent="0.45">
      <c r="E112" s="81" t="s">
        <v>802</v>
      </c>
      <c r="F112" s="83"/>
      <c r="G112" s="83">
        <v>2.09</v>
      </c>
      <c r="H112" s="82" t="s">
        <v>738</v>
      </c>
      <c r="J112" s="28"/>
    </row>
    <row r="113" spans="5:10" ht="15" customHeight="1" x14ac:dyDescent="0.45">
      <c r="E113" s="81" t="s">
        <v>803</v>
      </c>
      <c r="F113" s="83"/>
      <c r="G113" s="83">
        <v>1.4</v>
      </c>
      <c r="H113" s="82" t="s">
        <v>738</v>
      </c>
      <c r="J113" s="28"/>
    </row>
    <row r="114" spans="5:10" ht="15" customHeight="1" x14ac:dyDescent="0.45">
      <c r="E114" s="81" t="s">
        <v>804</v>
      </c>
      <c r="F114" s="83"/>
      <c r="G114" s="83">
        <v>0.94</v>
      </c>
      <c r="H114" s="82" t="s">
        <v>738</v>
      </c>
      <c r="J114" s="28"/>
    </row>
    <row r="115" spans="5:10" ht="15" customHeight="1" x14ac:dyDescent="0.45">
      <c r="E115" s="81" t="s">
        <v>805</v>
      </c>
      <c r="F115" s="83"/>
      <c r="G115" s="83">
        <v>0.56000000000000005</v>
      </c>
      <c r="H115" s="82" t="s">
        <v>738</v>
      </c>
      <c r="J115" s="28"/>
    </row>
    <row r="116" spans="5:10" ht="15" customHeight="1" x14ac:dyDescent="0.45">
      <c r="E116" s="81" t="s">
        <v>806</v>
      </c>
      <c r="F116" s="83"/>
      <c r="G116" s="83">
        <v>1.29</v>
      </c>
      <c r="H116" s="82" t="s">
        <v>738</v>
      </c>
      <c r="J116" s="28"/>
    </row>
    <row r="117" spans="5:10" ht="15" customHeight="1" x14ac:dyDescent="0.45">
      <c r="E117" s="81" t="s">
        <v>773</v>
      </c>
      <c r="F117" s="83">
        <v>0.39</v>
      </c>
      <c r="G117" s="83">
        <v>0.27</v>
      </c>
      <c r="H117" s="82" t="s">
        <v>738</v>
      </c>
      <c r="J117" s="28"/>
    </row>
    <row r="118" spans="5:10" ht="15" customHeight="1" x14ac:dyDescent="0.45">
      <c r="E118" s="81" t="s">
        <v>774</v>
      </c>
      <c r="F118" s="83">
        <v>0.25</v>
      </c>
      <c r="G118" s="83">
        <v>0.47</v>
      </c>
      <c r="H118" s="82" t="s">
        <v>738</v>
      </c>
      <c r="J118" s="28"/>
    </row>
    <row r="119" spans="5:10" ht="15" customHeight="1" x14ac:dyDescent="0.45">
      <c r="E119" s="81" t="s">
        <v>775</v>
      </c>
      <c r="F119" s="83">
        <v>0.51</v>
      </c>
      <c r="G119" s="83">
        <v>0.38</v>
      </c>
      <c r="H119" s="82" t="s">
        <v>738</v>
      </c>
      <c r="J119" s="28"/>
    </row>
    <row r="120" spans="5:10" ht="15" customHeight="1" x14ac:dyDescent="0.45">
      <c r="E120" s="81" t="s">
        <v>807</v>
      </c>
      <c r="F120" s="83"/>
      <c r="G120" s="83">
        <v>0.67</v>
      </c>
      <c r="H120" s="82" t="s">
        <v>738</v>
      </c>
      <c r="J120" s="28"/>
    </row>
    <row r="121" spans="5:10" ht="15" customHeight="1" x14ac:dyDescent="0.45">
      <c r="E121" s="81" t="s">
        <v>776</v>
      </c>
      <c r="F121" s="83">
        <v>0.33</v>
      </c>
      <c r="G121" s="83">
        <v>0.31</v>
      </c>
      <c r="H121" s="82" t="s">
        <v>738</v>
      </c>
      <c r="J121" s="28"/>
    </row>
    <row r="122" spans="5:10" ht="15" customHeight="1" x14ac:dyDescent="0.45">
      <c r="E122" s="81" t="s">
        <v>777</v>
      </c>
      <c r="F122" s="83">
        <v>0.69</v>
      </c>
      <c r="G122" s="83">
        <v>0.66</v>
      </c>
      <c r="H122" s="82" t="s">
        <v>738</v>
      </c>
      <c r="J122" s="28"/>
    </row>
    <row r="123" spans="5:10" ht="16" x14ac:dyDescent="0.45">
      <c r="J123" s="28"/>
    </row>
    <row r="124" spans="5:10" ht="16" x14ac:dyDescent="0.45">
      <c r="J124" s="28"/>
    </row>
    <row r="125" spans="5:10" ht="16" x14ac:dyDescent="0.45">
      <c r="J125" s="28"/>
    </row>
    <row r="126" spans="5:10" ht="16" x14ac:dyDescent="0.45">
      <c r="J126" s="28"/>
    </row>
    <row r="127" spans="5:10" ht="16" x14ac:dyDescent="0.45">
      <c r="J127" s="28"/>
    </row>
    <row r="128" spans="5:10" ht="16" x14ac:dyDescent="0.45">
      <c r="J128" s="28"/>
    </row>
    <row r="129" spans="10:10" ht="16" x14ac:dyDescent="0.45">
      <c r="J129" s="28"/>
    </row>
    <row r="130" spans="10:10" ht="16" x14ac:dyDescent="0.45">
      <c r="J130" s="28"/>
    </row>
    <row r="131" spans="10:10" ht="16" x14ac:dyDescent="0.45">
      <c r="J131" s="28"/>
    </row>
    <row r="132" spans="10:10" ht="16" x14ac:dyDescent="0.45">
      <c r="J132" s="28"/>
    </row>
    <row r="133" spans="10:10" ht="16" x14ac:dyDescent="0.45">
      <c r="J133" s="28"/>
    </row>
    <row r="134" spans="10:10" ht="16" x14ac:dyDescent="0.45">
      <c r="J134" s="28"/>
    </row>
    <row r="135" spans="10:10" ht="16" x14ac:dyDescent="0.45">
      <c r="J135" s="28"/>
    </row>
    <row r="136" spans="10:10" ht="16" x14ac:dyDescent="0.45">
      <c r="J136" s="28"/>
    </row>
    <row r="137" spans="10:10" ht="16" x14ac:dyDescent="0.45">
      <c r="J137" s="28"/>
    </row>
    <row r="138" spans="10:10" ht="16" x14ac:dyDescent="0.45">
      <c r="J138" s="28"/>
    </row>
    <row r="139" spans="10:10" ht="16" x14ac:dyDescent="0.45">
      <c r="J139" s="28"/>
    </row>
    <row r="140" spans="10:10" ht="16" x14ac:dyDescent="0.45">
      <c r="J140" s="28"/>
    </row>
    <row r="141" spans="10:10" ht="16" x14ac:dyDescent="0.45">
      <c r="J141" s="28"/>
    </row>
    <row r="142" spans="10:10" ht="16" x14ac:dyDescent="0.45">
      <c r="J142" s="28"/>
    </row>
    <row r="143" spans="10:10" ht="16" x14ac:dyDescent="0.45">
      <c r="J143" s="28"/>
    </row>
    <row r="144" spans="10:10" ht="16" x14ac:dyDescent="0.45">
      <c r="J144" s="28"/>
    </row>
    <row r="145" spans="10:10" ht="16" x14ac:dyDescent="0.45">
      <c r="J145" s="28"/>
    </row>
    <row r="146" spans="10:10" ht="16" x14ac:dyDescent="0.45">
      <c r="J146" s="28"/>
    </row>
    <row r="147" spans="10:10" ht="16" x14ac:dyDescent="0.45">
      <c r="J147" s="28"/>
    </row>
    <row r="148" spans="10:10" ht="16" x14ac:dyDescent="0.45">
      <c r="J148" s="28"/>
    </row>
    <row r="149" spans="10:10" ht="16" x14ac:dyDescent="0.45">
      <c r="J149" s="28"/>
    </row>
    <row r="150" spans="10:10" ht="16" x14ac:dyDescent="0.45">
      <c r="J150" s="28"/>
    </row>
    <row r="151" spans="10:10" ht="16" x14ac:dyDescent="0.45">
      <c r="J151" s="28"/>
    </row>
    <row r="152" spans="10:10" ht="16" x14ac:dyDescent="0.45">
      <c r="J152" s="28"/>
    </row>
    <row r="153" spans="10:10" ht="16" x14ac:dyDescent="0.45">
      <c r="J153" s="28"/>
    </row>
    <row r="154" spans="10:10" ht="16" x14ac:dyDescent="0.45">
      <c r="J154" s="28"/>
    </row>
    <row r="155" spans="10:10" ht="16" x14ac:dyDescent="0.45">
      <c r="J155" s="28"/>
    </row>
    <row r="156" spans="10:10" ht="16" x14ac:dyDescent="0.45">
      <c r="J156" s="28"/>
    </row>
    <row r="157" spans="10:10" ht="16" x14ac:dyDescent="0.45">
      <c r="J157" s="28"/>
    </row>
    <row r="158" spans="10:10" ht="16" x14ac:dyDescent="0.45">
      <c r="J158" s="28"/>
    </row>
    <row r="159" spans="10:10" ht="16" x14ac:dyDescent="0.45">
      <c r="J159" s="28"/>
    </row>
    <row r="160" spans="10:10" ht="16" x14ac:dyDescent="0.45">
      <c r="J160" s="28"/>
    </row>
    <row r="161" spans="10:10" ht="16" x14ac:dyDescent="0.45">
      <c r="J161" s="28"/>
    </row>
    <row r="162" spans="10:10" ht="16" x14ac:dyDescent="0.45">
      <c r="J162" s="28"/>
    </row>
    <row r="163" spans="10:10" ht="16" x14ac:dyDescent="0.45">
      <c r="J163" s="28"/>
    </row>
    <row r="164" spans="10:10" ht="16" x14ac:dyDescent="0.45">
      <c r="J164" s="28"/>
    </row>
    <row r="165" spans="10:10" ht="16" x14ac:dyDescent="0.45">
      <c r="J165" s="28"/>
    </row>
    <row r="166" spans="10:10" ht="16" x14ac:dyDescent="0.45">
      <c r="J166" s="28"/>
    </row>
    <row r="167" spans="10:10" ht="16" x14ac:dyDescent="0.45">
      <c r="J167" s="28"/>
    </row>
    <row r="168" spans="10:10" ht="16" x14ac:dyDescent="0.45">
      <c r="J168" s="28"/>
    </row>
    <row r="169" spans="10:10" ht="16" x14ac:dyDescent="0.45">
      <c r="J169" s="28"/>
    </row>
    <row r="170" spans="10:10" ht="16" x14ac:dyDescent="0.45">
      <c r="J170" s="28"/>
    </row>
    <row r="171" spans="10:10" ht="16" x14ac:dyDescent="0.45">
      <c r="J171" s="28"/>
    </row>
    <row r="172" spans="10:10" ht="16" x14ac:dyDescent="0.45">
      <c r="J172" s="28"/>
    </row>
    <row r="173" spans="10:10" ht="16" x14ac:dyDescent="0.45">
      <c r="J173" s="28"/>
    </row>
    <row r="174" spans="10:10" ht="16" x14ac:dyDescent="0.45">
      <c r="J174" s="28"/>
    </row>
    <row r="175" spans="10:10" ht="16" x14ac:dyDescent="0.45">
      <c r="J175" s="28"/>
    </row>
    <row r="176" spans="10:10" ht="16" x14ac:dyDescent="0.45">
      <c r="J176" s="28"/>
    </row>
    <row r="177" spans="10:10" ht="16" x14ac:dyDescent="0.45">
      <c r="J177" s="28"/>
    </row>
    <row r="178" spans="10:10" ht="16" x14ac:dyDescent="0.45">
      <c r="J178" s="28"/>
    </row>
    <row r="179" spans="10:10" ht="16" x14ac:dyDescent="0.45">
      <c r="J179" s="28"/>
    </row>
    <row r="180" spans="10:10" ht="16" x14ac:dyDescent="0.45">
      <c r="J180" s="28"/>
    </row>
    <row r="181" spans="10:10" ht="16" x14ac:dyDescent="0.45">
      <c r="J181" s="28"/>
    </row>
    <row r="182" spans="10:10" ht="16" x14ac:dyDescent="0.45">
      <c r="J182" s="28"/>
    </row>
    <row r="183" spans="10:10" ht="16" x14ac:dyDescent="0.45">
      <c r="J183" s="28"/>
    </row>
    <row r="184" spans="10:10" ht="16" x14ac:dyDescent="0.45">
      <c r="J184" s="28"/>
    </row>
    <row r="185" spans="10:10" ht="16" x14ac:dyDescent="0.45">
      <c r="J185" s="28"/>
    </row>
    <row r="186" spans="10:10" ht="16" x14ac:dyDescent="0.45">
      <c r="J186" s="28"/>
    </row>
    <row r="187" spans="10:10" ht="16" x14ac:dyDescent="0.45">
      <c r="J187" s="28"/>
    </row>
    <row r="188" spans="10:10" ht="16" x14ac:dyDescent="0.45">
      <c r="J188" s="28"/>
    </row>
    <row r="189" spans="10:10" ht="16" x14ac:dyDescent="0.45">
      <c r="J189" s="28"/>
    </row>
    <row r="190" spans="10:10" ht="16" x14ac:dyDescent="0.45">
      <c r="J190" s="28"/>
    </row>
    <row r="191" spans="10:10" ht="16" x14ac:dyDescent="0.45">
      <c r="J191" s="28"/>
    </row>
    <row r="192" spans="10:10" ht="16" x14ac:dyDescent="0.45">
      <c r="J192" s="28"/>
    </row>
    <row r="193" spans="10:10" ht="16" x14ac:dyDescent="0.45">
      <c r="J193" s="28"/>
    </row>
    <row r="194" spans="10:10" ht="16" x14ac:dyDescent="0.45">
      <c r="J194" s="28"/>
    </row>
    <row r="195" spans="10:10" ht="16" x14ac:dyDescent="0.45">
      <c r="J195" s="28"/>
    </row>
    <row r="196" spans="10:10" ht="16" x14ac:dyDescent="0.45">
      <c r="J196" s="28"/>
    </row>
    <row r="197" spans="10:10" ht="16" x14ac:dyDescent="0.45">
      <c r="J197" s="28"/>
    </row>
    <row r="198" spans="10:10" ht="16" x14ac:dyDescent="0.45">
      <c r="J198" s="28"/>
    </row>
    <row r="199" spans="10:10" ht="16" x14ac:dyDescent="0.45">
      <c r="J199" s="28"/>
    </row>
    <row r="200" spans="10:10" ht="16" x14ac:dyDescent="0.45">
      <c r="J200" s="28"/>
    </row>
  </sheetData>
  <sheetProtection sheet="1" objects="1" scenarios="1"/>
  <mergeCells count="4">
    <mergeCell ref="A1:H1"/>
    <mergeCell ref="A2:H2"/>
    <mergeCell ref="A3:C3"/>
    <mergeCell ref="E3:H3"/>
  </mergeCells>
  <pageMargins left="0.7" right="0.7" top="0.75" bottom="0.75" header="0.3" footer="0.3"/>
</worksheet>
</file>

<file path=customUI/customUI14.xml>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198</vt:i4>
      </vt:variant>
    </vt:vector>
  </HeadingPairs>
  <TitlesOfParts>
    <vt:vector size="217" baseType="lpstr">
      <vt:lpstr>Instructions</vt:lpstr>
      <vt:lpstr>Dashboard</vt:lpstr>
      <vt:lpstr>Load Calc</vt:lpstr>
      <vt:lpstr>Utility Demand</vt:lpstr>
      <vt:lpstr>Logging Demand</vt:lpstr>
      <vt:lpstr>Generator</vt:lpstr>
      <vt:lpstr>UPS</vt:lpstr>
      <vt:lpstr>Transformers</vt:lpstr>
      <vt:lpstr>Feeder Schedule</vt:lpstr>
      <vt:lpstr>Short Circuit</vt:lpstr>
      <vt:lpstr>Voltage Drop</vt:lpstr>
      <vt:lpstr>Arc Flash</vt:lpstr>
      <vt:lpstr>Studies</vt:lpstr>
      <vt:lpstr>Report</vt:lpstr>
      <vt:lpstr>TPL_Switchboard</vt:lpstr>
      <vt:lpstr>TPL_MCC</vt:lpstr>
      <vt:lpstr>TPL_Panelboard</vt:lpstr>
      <vt:lpstr>NEC_Data</vt:lpstr>
      <vt:lpstr>Energy_Code_Data</vt:lpstr>
      <vt:lpstr>AIC_List</vt:lpstr>
      <vt:lpstr>Ampacity_Al</vt:lpstr>
      <vt:lpstr>Ampacity_CM</vt:lpstr>
      <vt:lpstr>Ampacity_Cu</vt:lpstr>
      <vt:lpstr>Ampacity_Size</vt:lpstr>
      <vt:lpstr>ATS_List</vt:lpstr>
      <vt:lpstr>ATS_WCR</vt:lpstr>
      <vt:lpstr>Brace_List</vt:lpstr>
      <vt:lpstr>BranchAmpCol</vt:lpstr>
      <vt:lpstr>BranchCcol</vt:lpstr>
      <vt:lpstr>BranchCol60</vt:lpstr>
      <vt:lpstr>BranchK</vt:lpstr>
      <vt:lpstr>Bus_List</vt:lpstr>
      <vt:lpstr>Cfg_BranchMat</vt:lpstr>
      <vt:lpstr>Cfg_Class</vt:lpstr>
      <vt:lpstr>Cfg_Conduit</vt:lpstr>
      <vt:lpstr>Cfg_Energy_Code</vt:lpstr>
      <vt:lpstr>Cfg_FeederMat</vt:lpstr>
      <vt:lpstr>Cfg_LPD_Method</vt:lpstr>
      <vt:lpstr>Cfg_MaxNodes</vt:lpstr>
      <vt:lpstr>Cfg_MotorMult</vt:lpstr>
      <vt:lpstr>Cfg_MotorMultMCC</vt:lpstr>
      <vt:lpstr>Cfg_NEC</vt:lpstr>
      <vt:lpstr>Cfg_Phase</vt:lpstr>
      <vt:lpstr>Cfg_SCA</vt:lpstr>
      <vt:lpstr>Cfg_Temp</vt:lpstr>
      <vt:lpstr>Cfg_UtilFLA</vt:lpstr>
      <vt:lpstr>Cfg_UtilIscInf</vt:lpstr>
      <vt:lpstr>Cfg_UtilKVA</vt:lpstr>
      <vt:lpstr>Cfg_UtilPriV</vt:lpstr>
      <vt:lpstr>Cfg_UtilProvider</vt:lpstr>
      <vt:lpstr>Cfg_UtilTag</vt:lpstr>
      <vt:lpstr>Cfg_UtilXR</vt:lpstr>
      <vt:lpstr>Cfg_UtilZ</vt:lpstr>
      <vt:lpstr>Cfg_VDFeeder</vt:lpstr>
      <vt:lpstr>Cfg_VDTotal</vt:lpstr>
      <vt:lpstr>Cfg_VLN</vt:lpstr>
      <vt:lpstr>Cfg_Volt</vt:lpstr>
      <vt:lpstr>Class_List</vt:lpstr>
      <vt:lpstr>Class_Table</vt:lpstr>
      <vt:lpstr>Cond_Size</vt:lpstr>
      <vt:lpstr>Cond_Table</vt:lpstr>
      <vt:lpstr>EGC_Al</vt:lpstr>
      <vt:lpstr>EGC_Cu</vt:lpstr>
      <vt:lpstr>EGC_OCPD</vt:lpstr>
      <vt:lpstr>EGC_Table</vt:lpstr>
      <vt:lpstr>Elev_DF</vt:lpstr>
      <vt:lpstr>Equip_Demand</vt:lpstr>
      <vt:lpstr>Equip_EmLen</vt:lpstr>
      <vt:lpstr>Equip_FdrExist</vt:lpstr>
      <vt:lpstr>Equip_FdrLen</vt:lpstr>
      <vt:lpstr>Equip_FdrMat</vt:lpstr>
      <vt:lpstr>Equip_FdrRace</vt:lpstr>
      <vt:lpstr>Equip_FedFrom</vt:lpstr>
      <vt:lpstr>Equip_List</vt:lpstr>
      <vt:lpstr>Equip_Registry</vt:lpstr>
      <vt:lpstr>Equip_Type</vt:lpstr>
      <vt:lpstr>Equip_Volt</vt:lpstr>
      <vt:lpstr>Equip_XfPriLen</vt:lpstr>
      <vt:lpstr>FeederAmpCol</vt:lpstr>
      <vt:lpstr>FeederCcol</vt:lpstr>
      <vt:lpstr>FeederCol60</vt:lpstr>
      <vt:lpstr>FeederK</vt:lpstr>
      <vt:lpstr>Frame_List</vt:lpstr>
      <vt:lpstr>Gec_Al</vt:lpstr>
      <vt:lpstr>Gec_CM</vt:lpstr>
      <vt:lpstr>Gec_Cu</vt:lpstr>
      <vt:lpstr>Gen_kW_List</vt:lpstr>
      <vt:lpstr>Gen_SizeBasis</vt:lpstr>
      <vt:lpstr>TPL_MCC!GEO_MAP</vt:lpstr>
      <vt:lpstr>TPL_Panelboard!GEO_MAP</vt:lpstr>
      <vt:lpstr>TPL_Switchboard!GEO_MAP</vt:lpstr>
      <vt:lpstr>K_Al</vt:lpstr>
      <vt:lpstr>K_Cu</vt:lpstr>
      <vt:lpstr>Kitchen_Table</vt:lpstr>
      <vt:lpstr>LC_AdjustedDemand</vt:lpstr>
      <vt:lpstr>LC_ConnectedTotal</vt:lpstr>
      <vt:lpstr>LC_ContinuousAdder</vt:lpstr>
      <vt:lpstr>LC_DemandAmps</vt:lpstr>
      <vt:lpstr>LC_DemandTotal</vt:lpstr>
      <vt:lpstr>LC_DesignAmps</vt:lpstr>
      <vt:lpstr>LC_DesignLoad</vt:lpstr>
      <vt:lpstr>LC_DesignSpare</vt:lpstr>
      <vt:lpstr>LC_ExistingLoad125</vt:lpstr>
      <vt:lpstr>LC_ExistingSpare</vt:lpstr>
      <vt:lpstr>LC_GenByCategory</vt:lpstr>
      <vt:lpstr>LC_GenTotal</vt:lpstr>
      <vt:lpstr>LC_MotorAdder</vt:lpstr>
      <vt:lpstr>LC_RemovedLoad</vt:lpstr>
      <vt:lpstr>LC_RenovationTotal</vt:lpstr>
      <vt:lpstr>LC_SectionState</vt:lpstr>
      <vt:lpstr>LC_ServiceSize</vt:lpstr>
      <vt:lpstr>LC_TotalSF</vt:lpstr>
      <vt:lpstr>LC_UPSByCategory</vt:lpstr>
      <vt:lpstr>LC_UPSTotal</vt:lpstr>
      <vt:lpstr>Light_Demand_kVA</vt:lpstr>
      <vt:lpstr>LPD_BldgArea_List</vt:lpstr>
      <vt:lpstr>LPD_BldgArea_Table</vt:lpstr>
      <vt:lpstr>LPD_Space_List</vt:lpstr>
      <vt:lpstr>LPD_Space_Table</vt:lpstr>
      <vt:lpstr>Min_Cond_Pos</vt:lpstr>
      <vt:lpstr>Motor1_HP</vt:lpstr>
      <vt:lpstr>Motor1_Table</vt:lpstr>
      <vt:lpstr>Motor3_HP</vt:lpstr>
      <vt:lpstr>Motor3_Table</vt:lpstr>
      <vt:lpstr>NEC_Ref2020</vt:lpstr>
      <vt:lpstr>NEC_Ref2023</vt:lpstr>
      <vt:lpstr>NEC_Ref2026</vt:lpstr>
      <vt:lpstr>NEC_RefKey</vt:lpstr>
      <vt:lpstr>NEMA_120</vt:lpstr>
      <vt:lpstr>NEMA_208</vt:lpstr>
      <vt:lpstr>NEMA_240</vt:lpstr>
      <vt:lpstr>NEMA_277</vt:lpstr>
      <vt:lpstr>NEMA_480</vt:lpstr>
      <vt:lpstr>NEMA_600</vt:lpstr>
      <vt:lpstr>NEMA_Encl_List</vt:lpstr>
      <vt:lpstr>Occ_List</vt:lpstr>
      <vt:lpstr>OCPD_List</vt:lpstr>
      <vt:lpstr>'Arc Flash'!Print_Area</vt:lpstr>
      <vt:lpstr>Dashboard!Print_Area</vt:lpstr>
      <vt:lpstr>'Feeder Schedule'!Print_Area</vt:lpstr>
      <vt:lpstr>Generator!Print_Area</vt:lpstr>
      <vt:lpstr>'Load Calc'!Print_Area</vt:lpstr>
      <vt:lpstr>'Logging Demand'!Print_Area</vt:lpstr>
      <vt:lpstr>Report!Print_Area</vt:lpstr>
      <vt:lpstr>'Short Circuit'!Print_Area</vt:lpstr>
      <vt:lpstr>Studies!Print_Area</vt:lpstr>
      <vt:lpstr>TPL_MCC!Print_Area</vt:lpstr>
      <vt:lpstr>TPL_Panelboard!Print_Area</vt:lpstr>
      <vt:lpstr>TPL_Switchboard!Print_Area</vt:lpstr>
      <vt:lpstr>Transformers!Print_Area</vt:lpstr>
      <vt:lpstr>UPS!Print_Area</vt:lpstr>
      <vt:lpstr>'Utility Demand'!Print_Area</vt:lpstr>
      <vt:lpstr>'Voltage Drop'!Print_Area</vt:lpstr>
      <vt:lpstr>Studies!Print_Titles</vt:lpstr>
      <vt:lpstr>Transformers!Print_Titles</vt:lpstr>
      <vt:lpstr>Race_Mag</vt:lpstr>
      <vt:lpstr>Race_Raceway</vt:lpstr>
      <vt:lpstr>Rcpt_Rem_DF</vt:lpstr>
      <vt:lpstr>Rcpt_Thresh_VA</vt:lpstr>
      <vt:lpstr>SQRT3</vt:lpstr>
      <vt:lpstr>Std_Al3_Code</vt:lpstr>
      <vt:lpstr>Std_Al3_Table</vt:lpstr>
      <vt:lpstr>Std_Cu1_Code</vt:lpstr>
      <vt:lpstr>Std_Cu1_Table</vt:lpstr>
      <vt:lpstr>Std_Cu3_Code</vt:lpstr>
      <vt:lpstr>Std_Cu3_Table</vt:lpstr>
      <vt:lpstr>Supply_List</vt:lpstr>
      <vt:lpstr>Tie_BusA</vt:lpstr>
      <vt:lpstr>Tie_BusB</vt:lpstr>
      <vt:lpstr>Tie_Normal</vt:lpstr>
      <vt:lpstr>Tie_Tags</vt:lpstr>
      <vt:lpstr>Tie_Transfer</vt:lpstr>
      <vt:lpstr>Tog_Gen</vt:lpstr>
      <vt:lpstr>Tog_SC</vt:lpstr>
      <vt:lpstr>Tog_UPS</vt:lpstr>
      <vt:lpstr>Tog_VD</vt:lpstr>
      <vt:lpstr>Tog_Wire</vt:lpstr>
      <vt:lpstr>TxEncl</vt:lpstr>
      <vt:lpstr>TxPh</vt:lpstr>
      <vt:lpstr>TxPriConn</vt:lpstr>
      <vt:lpstr>TxPriV</vt:lpstr>
      <vt:lpstr>TxSecConn</vt:lpstr>
      <vt:lpstr>TxSecV</vt:lpstr>
      <vt:lpstr>TxTaps</vt:lpstr>
      <vt:lpstr>TxType</vt:lpstr>
      <vt:lpstr>'Utility Demand'!UD_MeterBlock</vt:lpstr>
      <vt:lpstr>UPS_kVA_List</vt:lpstr>
      <vt:lpstr>Util_IscInf</vt:lpstr>
      <vt:lpstr>Util_KVA</vt:lpstr>
      <vt:lpstr>Util_Owner</vt:lpstr>
      <vt:lpstr>Util_PriV</vt:lpstr>
      <vt:lpstr>Util_Provider</vt:lpstr>
      <vt:lpstr>Util_SCA</vt:lpstr>
      <vt:lpstr>Util_SCAEff</vt:lpstr>
      <vt:lpstr>Util_SecV</vt:lpstr>
      <vt:lpstr>Util_Tags</vt:lpstr>
      <vt:lpstr>Util_XR</vt:lpstr>
      <vt:lpstr>Util_Z</vt:lpstr>
      <vt:lpstr>VD_Branch</vt:lpstr>
      <vt:lpstr>VD_Total</vt:lpstr>
      <vt:lpstr>Volt_Sys</vt:lpstr>
      <vt:lpstr>Volt_Table</vt:lpstr>
      <vt:lpstr>Xfmr_BaseV</vt:lpstr>
      <vt:lpstr>Xfmr_Conn</vt:lpstr>
      <vt:lpstr>Xfmr_DefEncl</vt:lpstr>
      <vt:lpstr>Xfmr_DefTaps</vt:lpstr>
      <vt:lpstr>Xfmr_DefType</vt:lpstr>
      <vt:lpstr>Xfmr_DefXR</vt:lpstr>
      <vt:lpstr>Xfmr_DefZ</vt:lpstr>
      <vt:lpstr>Xfmr_Inrush</vt:lpstr>
      <vt:lpstr>Xfmr_LNV</vt:lpstr>
      <vt:lpstr>Xfmr_Ph</vt:lpstr>
      <vt:lpstr>Xfmr_VoltStr</vt:lpstr>
      <vt:lpstr>Xfmr1_kVA</vt:lpstr>
      <vt:lpstr>Xfmr3_kVA</vt:lpstr>
      <vt:lpstr>XR_kVA</vt:lpstr>
      <vt:lpstr>XR_Typ</vt:lpstr>
    </vt:vector>
  </TitlesOfParts>
  <Manager>Corey McKinnon</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SGI PowerCalc</dc:title>
  <dc:creator>Corey McKinnon</dc:creator>
  <cp:keywords>SGI PowerCalc</cp:keywords>
  <cp:lastModifiedBy>Corey McKinnon</cp:lastModifiedBy>
  <dcterms:created xsi:type="dcterms:W3CDTF">2026-07-11T16:46:37Z</dcterms:created>
  <dcterms:modified xsi:type="dcterms:W3CDTF">2026-10-27T22:43:17Z</dcterms:modified>
</cp:coreProperties>
</file>